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ibrary" sheetId="2" state="visible" r:id="rId2"/>
    <sheet xmlns:r="http://schemas.openxmlformats.org/officeDocument/2006/relationships" name="Queue" sheetId="3" state="visible" r:id="rId3"/>
    <sheet xmlns:r="http://schemas.openxmlformats.org/officeDocument/2006/relationships" name="Calendar" sheetId="4" state="visible" r:id="rId4"/>
    <sheet xmlns:r="http://schemas.openxmlformats.org/officeDocument/2006/relationships" name="Events" sheetId="5" state="visible" r:id="rId5"/>
    <sheet xmlns:r="http://schemas.openxmlformats.org/officeDocument/2006/relationships" name="History" sheetId="6" state="visible" r:id="rId6"/>
    <sheet xmlns:r="http://schemas.openxmlformats.org/officeDocument/2006/relationships" name="Stats" sheetId="7" state="visible" r:id="rId7"/>
    <sheet xmlns:r="http://schemas.openxmlformats.org/officeDocument/2006/relationships" name="Channels" sheetId="8" state="visible" r:id="rId8"/>
    <sheet xmlns:r="http://schemas.openxmlformats.org/officeDocument/2006/relationships" name="Carry Over" sheetId="9" state="visible" r:id="rId9"/>
    <sheet xmlns:r="http://schemas.openxmlformats.org/officeDocument/2006/relationships" name="Settings" sheetId="10" state="visible" r:id="rId10"/>
    <sheet xmlns:r="http://schemas.openxmlformats.org/officeDocument/2006/relationships" name="Lists" sheetId="11" state="hidden" r:id="rId11"/>
    <sheet xmlns:r="http://schemas.openxmlformats.org/officeDocument/2006/relationships" name="EventGrid" sheetId="12" state="hidden" r:id="rId12"/>
  </sheets>
  <definedNames>
    <definedName name="YearList">Lists!$A$1:$A$16</definedName>
    <definedName name="MonthList">Lists!$C$1:$C$12</definedName>
    <definedName name="ChannelList">OFFSET(Lists!$E$1,0,0,COUNTIF(Lists!$E$1:$E$40,"?*"),1)</definedName>
    <definedName name="_xlnm.Print_Titles" localSheetId="1">'Library'!$5:$5</definedName>
  </definedNames>
  <calcPr calcId="124519" fullCalcOnLoad="1"/>
</workbook>
</file>

<file path=xl/styles.xml><?xml version="1.0" encoding="utf-8"?>
<styleSheet xmlns="http://schemas.openxmlformats.org/spreadsheetml/2006/main">
  <numFmts count="17">
    <numFmt numFmtId="164" formatCode="yyyy-mm-dd"/>
    <numFmt numFmtId="165" formatCode="yyyy-mm-dd h:mm:ss"/>
    <numFmt numFmtId="166" formatCode="yyyy-mm-dd hh:mm"/>
    <numFmt numFmtId="167" formatCode="yyyy-mm-dd  h:mm AM/PM"/>
    <numFmt numFmtId="168" formatCode="yyyy-mm-dd hh:mm:ss"/>
    <numFmt numFmtId="169" formatCode="yyyy-mm-dd h:mm AM/PM"/>
    <numFmt numFmtId="170" formatCode="#,##0;-#,##0;&quot;·&quot;"/>
    <numFmt numFmtId="171" formatCode="[h]&quot; h &quot;mm&quot; m&quot;;;&quot;·&quot;"/>
    <numFmt numFmtId="172" formatCode="[h]&quot; h &quot;mm&quot; m&quot;"/>
    <numFmt numFmtId="173" formatCode="mmm yyyy"/>
    <numFmt numFmtId="174" formatCode="0.0%"/>
    <numFmt numFmtId="175" formatCode="0.0"/>
    <numFmt numFmtId="176" formatCode="+#,##0;-#,##0;0"/>
    <numFmt numFmtId="177" formatCode="+#,##0&quot; h&quot;;-#,##0&quot; h&quot;;0&quot; h&quot;"/>
    <numFmt numFmtId="178" formatCode="#,##0&quot; h&quot;"/>
    <numFmt numFmtId="179" formatCode="d mmm yyyy"/>
    <numFmt numFmtId="180" formatCode="ddd d mmm yyyy"/>
  </numFmts>
  <fonts count="29">
    <font>
      <name val="Calibri"/>
      <family val="2"/>
      <color theme="1"/>
      <sz val="11"/>
      <scheme val="minor"/>
    </font>
    <font>
      <name val="Arial"/>
      <b val="1"/>
      <color rgb="001F2A44"/>
      <sz val="20"/>
    </font>
    <font>
      <name val="Arial"/>
      <i val="1"/>
      <color rgb="006B7385"/>
      <sz val="9"/>
    </font>
    <font>
      <name val="Arial"/>
      <b val="1"/>
      <color rgb="000F7B8A"/>
      <sz val="9"/>
      <u val="single"/>
    </font>
    <font>
      <name val="Arial"/>
      <b val="1"/>
      <color rgb="00FFFFFF"/>
      <sz val="9"/>
    </font>
    <font>
      <name val="Arial"/>
      <b val="1"/>
      <color rgb="00000000"/>
      <sz val="10"/>
    </font>
    <font>
      <name val="Arial"/>
      <color rgb="006B7385"/>
      <sz val="9"/>
    </font>
    <font>
      <name val="Arial"/>
      <b val="1"/>
      <color rgb="001F2A44"/>
      <sz val="10"/>
    </font>
    <font>
      <name val="Arial"/>
      <color rgb="00444444"/>
      <sz val="10"/>
    </font>
    <font>
      <name val="Arial"/>
      <b val="1"/>
      <color rgb="001F2A44"/>
      <sz val="18"/>
    </font>
    <font>
      <name val="Arial"/>
      <b val="1"/>
      <color rgb="001155CC"/>
      <sz val="10"/>
    </font>
    <font>
      <name val="Arial"/>
      <color rgb="00333333"/>
      <sz val="10"/>
    </font>
    <font>
      <name val="Arial"/>
      <b val="1"/>
      <color rgb="006B7385"/>
      <sz val="9"/>
    </font>
    <font>
      <name val="Arial"/>
      <b val="1"/>
      <color rgb="001F2A44"/>
      <sz val="11"/>
    </font>
    <font>
      <name val="Arial"/>
      <b val="1"/>
      <color rgb="00FFFFFF"/>
      <sz val="11"/>
    </font>
    <font>
      <name val="Arial"/>
      <color rgb="00000000"/>
      <sz val="10"/>
    </font>
    <font>
      <name val="Arial"/>
      <i val="1"/>
      <color rgb="006B7385"/>
      <sz val="8"/>
    </font>
    <font>
      <name val="Arial"/>
      <color rgb="00000000"/>
      <sz val="9"/>
    </font>
    <font>
      <name val="Arial"/>
      <b val="1"/>
      <color rgb="001F2A44"/>
      <sz val="22"/>
    </font>
    <font>
      <name val="Arial"/>
      <b val="1"/>
      <color rgb="00FFFFFF"/>
      <sz val="10"/>
    </font>
    <font>
      <name val="Arial"/>
      <b val="1"/>
      <color rgb="006B7385"/>
      <sz val="8"/>
    </font>
    <font>
      <name val="Arial"/>
      <b val="1"/>
      <color rgb="000F7B8A"/>
      <sz val="22"/>
    </font>
    <font>
      <name val="Arial"/>
      <color rgb="006B7385"/>
      <sz val="8"/>
    </font>
    <font>
      <name val="Arial"/>
      <b val="1"/>
      <color rgb="002E9E6B"/>
      <sz val="22"/>
    </font>
    <font>
      <name val="Arial"/>
      <color rgb="001155CC"/>
      <sz val="10"/>
    </font>
    <font>
      <name val="Arial"/>
      <color rgb="009AA3B5"/>
      <sz val="8"/>
    </font>
    <font>
      <name val="Arial"/>
      <b val="1"/>
      <color rgb="00333333"/>
      <sz val="9"/>
    </font>
    <font>
      <name val="Arial"/>
      <i val="1"/>
      <color rgb="00333333"/>
      <sz val="9"/>
    </font>
    <font>
      <name val="Arial"/>
      <b val="1"/>
      <color rgb="000F7B8A"/>
      <sz val="12"/>
    </font>
  </fonts>
  <fills count="22">
    <fill>
      <patternFill/>
    </fill>
    <fill>
      <patternFill patternType="gray125"/>
    </fill>
    <fill>
      <patternFill patternType="solid">
        <fgColor rgb="003B4A63"/>
        <bgColor rgb="003B4A63"/>
      </patternFill>
    </fill>
    <fill>
      <patternFill patternType="solid">
        <fgColor rgb="003B6FB6"/>
        <bgColor rgb="003B6FB6"/>
      </patternFill>
    </fill>
    <fill>
      <patternFill patternType="solid">
        <fgColor rgb="00FFF8E1"/>
        <bgColor rgb="00FFF8E1"/>
      </patternFill>
    </fill>
    <fill>
      <patternFill patternType="solid">
        <fgColor rgb="002E9E6B"/>
        <bgColor rgb="002E9E6B"/>
      </patternFill>
    </fill>
    <fill>
      <patternFill patternType="solid">
        <fgColor rgb="00E08A1E"/>
        <bgColor rgb="00E08A1E"/>
      </patternFill>
    </fill>
    <fill>
      <patternFill patternType="solid">
        <fgColor rgb="008E5BB5"/>
        <bgColor rgb="008E5BB5"/>
      </patternFill>
    </fill>
    <fill>
      <patternFill patternType="solid">
        <fgColor rgb="00D1495B"/>
        <bgColor rgb="00D1495B"/>
      </patternFill>
    </fill>
    <fill>
      <patternFill patternType="solid">
        <fgColor rgb="001F9EA8"/>
        <bgColor rgb="001F9EA8"/>
      </patternFill>
    </fill>
    <fill>
      <patternFill patternType="solid">
        <fgColor rgb="000F7B8A"/>
        <bgColor rgb="000F7B8A"/>
      </patternFill>
    </fill>
    <fill>
      <patternFill patternType="solid">
        <fgColor rgb="00B7791F"/>
        <bgColor rgb="00B7791F"/>
      </patternFill>
    </fill>
    <fill>
      <patternFill patternType="solid">
        <fgColor rgb="00F5DADE"/>
        <bgColor rgb="00F5DADE"/>
      </patternFill>
    </fill>
    <fill>
      <patternFill patternType="solid">
        <fgColor rgb="00D7E2F0"/>
        <bgColor rgb="00D7E2F0"/>
      </patternFill>
    </fill>
    <fill>
      <patternFill patternType="solid">
        <fgColor rgb="00E8DEF0"/>
        <bgColor rgb="00E8DEF0"/>
      </patternFill>
    </fill>
    <fill>
      <patternFill patternType="solid">
        <fgColor rgb="00D5EBE1"/>
        <bgColor rgb="00D5EBE1"/>
      </patternFill>
    </fill>
    <fill>
      <patternFill patternType="solid">
        <fgColor rgb="00F8E7D2"/>
        <bgColor rgb="00F8E7D2"/>
      </patternFill>
    </fill>
    <fill>
      <patternFill patternType="solid">
        <fgColor rgb="00D2EBED"/>
        <bgColor rgb="00D2EBED"/>
      </patternFill>
    </fill>
    <fill>
      <patternFill patternType="solid">
        <fgColor rgb="001F2A44"/>
        <bgColor rgb="001F2A44"/>
      </patternFill>
    </fill>
    <fill>
      <patternFill patternType="solid">
        <fgColor rgb="00EEF0F5"/>
        <bgColor rgb="00EEF0F5"/>
      </patternFill>
    </fill>
    <fill>
      <patternFill patternType="solid">
        <fgColor rgb="00F3F5F9"/>
        <bgColor rgb="00F3F5F9"/>
      </patternFill>
    </fill>
    <fill>
      <patternFill patternType="solid">
        <fgColor rgb="00E9ECF3"/>
        <bgColor rgb="00E9ECF3"/>
      </patternFill>
    </fill>
  </fills>
  <borders count="6">
    <border>
      <left/>
      <right/>
      <top/>
      <bottom/>
      <diagonal/>
    </border>
    <border>
      <left style="thin">
        <color rgb="00D5D9E2"/>
      </left>
      <right style="thin">
        <color rgb="00D5D9E2"/>
      </right>
      <top style="thin">
        <color rgb="00D5D9E2"/>
      </top>
      <bottom style="thin">
        <color rgb="00D5D9E2"/>
      </bottom>
    </border>
    <border>
      <left/>
      <right/>
      <top style="thin">
        <color rgb="00D5D9E2"/>
      </top>
      <bottom/>
      <diagonal/>
    </border>
    <border>
      <left/>
      <right style="thin">
        <color rgb="00D5D9E2"/>
      </right>
      <top style="thin">
        <color rgb="00D5D9E2"/>
      </top>
      <bottom/>
      <diagonal/>
    </border>
    <border>
      <left/>
      <right/>
      <top style="thin">
        <color rgb="00D5D9E2"/>
      </top>
      <bottom style="thin">
        <color rgb="00D5D9E2"/>
      </bottom>
      <diagonal/>
    </border>
    <border>
      <left/>
      <right style="thin">
        <color rgb="00D5D9E2"/>
      </right>
      <top style="thin">
        <color rgb="00D5D9E2"/>
      </top>
      <bottom style="thin">
        <color rgb="00D5D9E2"/>
      </bottom>
      <diagonal/>
    </border>
  </borders>
  <cellStyleXfs count="1">
    <xf numFmtId="0" fontId="0" fillId="0" borderId="0"/>
  </cellStyleXfs>
  <cellXfs count="131">
    <xf numFmtId="0" fontId="0" fillId="0" borderId="0" pivotButton="0" quotePrefix="0" xfId="0"/>
    <xf numFmtId="0" fontId="18" fillId="0" borderId="0" pivotButton="0" quotePrefix="0" xfId="0"/>
    <xf numFmtId="0" fontId="2" fillId="0" borderId="0" pivotButton="0" quotePrefix="0" xfId="0"/>
    <xf numFmtId="0" fontId="19" fillId="10" borderId="0" applyAlignment="1" pivotButton="0" quotePrefix="0" xfId="0">
      <alignment horizontal="center" vertical="center" wrapText="1"/>
    </xf>
    <xf numFmtId="0" fontId="20" fillId="20" borderId="0" applyAlignment="1" pivotButton="0" quotePrefix="0" xfId="0">
      <alignment horizontal="center" vertical="center" wrapText="1"/>
    </xf>
    <xf numFmtId="0" fontId="0" fillId="20" borderId="0" pivotButton="0" quotePrefix="0" xfId="0"/>
    <xf numFmtId="3" fontId="21" fillId="20" borderId="0" applyAlignment="1" pivotButton="0" quotePrefix="0" xfId="0">
      <alignment horizontal="center" vertical="center" wrapText="1"/>
    </xf>
    <xf numFmtId="174" fontId="23" fillId="20" borderId="0" applyAlignment="1" pivotButton="0" quotePrefix="0" xfId="0">
      <alignment horizontal="center" vertical="center" wrapText="1"/>
    </xf>
    <xf numFmtId="178" fontId="21" fillId="20" borderId="0" applyAlignment="1" pivotButton="0" quotePrefix="0" xfId="0">
      <alignment horizontal="center" vertical="center" wrapText="1"/>
    </xf>
    <xf numFmtId="0" fontId="22" fillId="20" borderId="0" applyAlignment="1" pivotButton="0" quotePrefix="0" xfId="0">
      <alignment horizontal="center" vertical="center" wrapText="1"/>
    </xf>
    <xf numFmtId="0" fontId="14" fillId="18" borderId="0" applyAlignment="1" pivotButton="0" quotePrefix="0" xfId="0">
      <alignment horizontal="left" vertical="center"/>
    </xf>
    <xf numFmtId="0" fontId="0" fillId="18" borderId="0" pivotButton="0" quotePrefix="0" xfId="0"/>
    <xf numFmtId="0" fontId="4"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5" fillId="13" borderId="1" pivotButton="0" quotePrefix="0" xfId="0"/>
    <xf numFmtId="3" fontId="0" fillId="0" borderId="1" applyAlignment="1" pivotButton="0" quotePrefix="0" xfId="0">
      <alignment horizontal="center" vertical="center" wrapText="1"/>
    </xf>
    <xf numFmtId="174" fontId="0" fillId="0" borderId="1" applyAlignment="1" pivotButton="0" quotePrefix="0" xfId="0">
      <alignment horizontal="center" vertical="center" wrapText="1"/>
    </xf>
    <xf numFmtId="172" fontId="0" fillId="0" borderId="1" applyAlignment="1" pivotButton="0" quotePrefix="0" xfId="0">
      <alignment horizontal="center" vertical="center" wrapText="1"/>
    </xf>
    <xf numFmtId="179" fontId="0" fillId="0" borderId="1" applyAlignment="1" pivotButton="0" quotePrefix="0" xfId="0">
      <alignment horizontal="center" vertical="center" wrapText="1"/>
    </xf>
    <xf numFmtId="0" fontId="5" fillId="15" borderId="1" pivotButton="0" quotePrefix="0" xfId="0"/>
    <xf numFmtId="0" fontId="5" fillId="16" borderId="1" pivotButton="0" quotePrefix="0" xfId="0"/>
    <xf numFmtId="0" fontId="5" fillId="14" borderId="1" pivotButton="0" quotePrefix="0" xfId="0"/>
    <xf numFmtId="0" fontId="5" fillId="12" borderId="1" pivotButton="0" quotePrefix="0" xfId="0"/>
    <xf numFmtId="0" fontId="5" fillId="17" borderId="1" pivotButton="0" quotePrefix="0" xfId="0"/>
    <xf numFmtId="0" fontId="5" fillId="19" borderId="1" pivotButton="0" quotePrefix="0" xfId="0"/>
    <xf numFmtId="3" fontId="5" fillId="19" borderId="1" applyAlignment="1" pivotButton="0" quotePrefix="0" xfId="0">
      <alignment horizontal="center" vertical="center" wrapText="1"/>
    </xf>
    <xf numFmtId="174" fontId="5" fillId="19" borderId="1" applyAlignment="1" pivotButton="0" quotePrefix="0" xfId="0">
      <alignment horizontal="center" vertical="center" wrapText="1"/>
    </xf>
    <xf numFmtId="172" fontId="5" fillId="19" borderId="1" applyAlignment="1" pivotButton="0" quotePrefix="0" xfId="0">
      <alignment horizontal="center" vertical="center" wrapText="1"/>
    </xf>
    <xf numFmtId="0" fontId="24" fillId="0" borderId="1" pivotButton="0" quotePrefix="0" xfId="0"/>
    <xf numFmtId="46" fontId="0" fillId="0" borderId="1" applyAlignment="1" pivotButton="0" quotePrefix="0" xfId="0">
      <alignment horizontal="center" vertical="center" wrapText="1"/>
    </xf>
    <xf numFmtId="180" fontId="0" fillId="0"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horizontal="center" vertical="center" wrapText="1"/>
    </xf>
    <xf numFmtId="0" fontId="9" fillId="0" borderId="0" pivotButton="0" quotePrefix="0" xfId="0"/>
    <xf numFmtId="0" fontId="3" fillId="0" borderId="0" pivotButton="0" quotePrefix="0" xfId="0"/>
    <xf numFmtId="0" fontId="4" fillId="10" borderId="1" applyAlignment="1" pivotButton="0" quotePrefix="0" xfId="0">
      <alignment horizontal="center" vertical="center" wrapText="1"/>
    </xf>
    <xf numFmtId="0" fontId="4" fillId="11" borderId="1" applyAlignment="1" pivotButton="0" quotePrefix="0" xfId="0">
      <alignment horizontal="center" vertical="center" wrapText="1"/>
    </xf>
    <xf numFmtId="0" fontId="10" fillId="0"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4" borderId="0" applyAlignment="1" applyProtection="1" pivotButton="0" quotePrefix="0" xfId="0">
      <alignment horizontal="center" vertical="center" wrapText="1"/>
      <protection locked="0" hidden="0"/>
    </xf>
    <xf numFmtId="164" fontId="0" fillId="4" borderId="0" applyAlignment="1" applyProtection="1" pivotButton="0" quotePrefix="0" xfId="0">
      <alignment horizontal="center" vertical="center" wrapText="1"/>
      <protection locked="0" hidden="0"/>
    </xf>
    <xf numFmtId="167" fontId="0" fillId="0" borderId="0" applyAlignment="1" pivotButton="0" quotePrefix="0" xfId="0">
      <alignment horizontal="center" vertical="center" wrapText="1"/>
    </xf>
    <xf numFmtId="0" fontId="0" fillId="12" borderId="0" pivotButton="0" quotePrefix="0" xfId="0"/>
    <xf numFmtId="46" fontId="0" fillId="0" borderId="0" applyAlignment="1" pivotButton="0" quotePrefix="0" xfId="0">
      <alignment horizontal="center" vertical="center" wrapText="1"/>
    </xf>
    <xf numFmtId="3" fontId="0" fillId="0" borderId="0" pivotButton="0" quotePrefix="0" xfId="0"/>
    <xf numFmtId="0" fontId="0" fillId="4" borderId="0" applyProtection="1" pivotButton="0" quotePrefix="0" xfId="0">
      <protection locked="0" hidden="0"/>
    </xf>
    <xf numFmtId="0" fontId="6" fillId="0" borderId="0" pivotButton="0" quotePrefix="0" xfId="0"/>
    <xf numFmtId="168" fontId="6" fillId="0" borderId="0" pivotButton="0" quotePrefix="0" xfId="0"/>
    <xf numFmtId="164" fontId="6" fillId="0"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1" fillId="0" borderId="0" pivotButton="0" quotePrefix="0" xfId="0"/>
    <xf numFmtId="0" fontId="12" fillId="0" borderId="0" pivotButton="0" quotePrefix="0" xfId="0"/>
    <xf numFmtId="0" fontId="13" fillId="4" borderId="1" applyAlignment="1" applyProtection="1" pivotButton="0" quotePrefix="0" xfId="0">
      <alignment horizontal="center" vertical="center" wrapText="1"/>
      <protection locked="0" hidden="0"/>
    </xf>
    <xf numFmtId="0" fontId="6" fillId="0" borderId="1" applyAlignment="1" pivotButton="0" quotePrefix="0" xfId="0">
      <alignment horizontal="center" vertical="center" wrapText="1"/>
    </xf>
    <xf numFmtId="164" fontId="0" fillId="0" borderId="0" pivotButton="0" quotePrefix="0" xfId="0"/>
    <xf numFmtId="0" fontId="3" fillId="0" borderId="0" applyAlignment="1" pivotButton="0" quotePrefix="0" xfId="0">
      <alignment horizontal="left" vertical="center"/>
    </xf>
    <xf numFmtId="0" fontId="13" fillId="0" borderId="0" pivotButton="0" quotePrefix="0" xfId="0"/>
    <xf numFmtId="0" fontId="26" fillId="13" borderId="1" applyAlignment="1" pivotButton="0" quotePrefix="0" xfId="0">
      <alignment horizontal="center" vertical="center" wrapText="1"/>
    </xf>
    <xf numFmtId="0" fontId="26" fillId="15" borderId="1" applyAlignment="1" pivotButton="0" quotePrefix="0" xfId="0">
      <alignment horizontal="center" vertical="center" wrapText="1"/>
    </xf>
    <xf numFmtId="0" fontId="26" fillId="16" borderId="1" applyAlignment="1" pivotButton="0" quotePrefix="0" xfId="0">
      <alignment horizontal="center" vertical="center" wrapText="1"/>
    </xf>
    <xf numFmtId="0" fontId="26" fillId="14" borderId="1" applyAlignment="1" pivotButton="0" quotePrefix="0" xfId="0">
      <alignment horizontal="center" vertical="center" wrapText="1"/>
    </xf>
    <xf numFmtId="0" fontId="26" fillId="12" borderId="1" applyAlignment="1" pivotButton="0" quotePrefix="0" xfId="0">
      <alignment horizontal="center" vertical="center" wrapText="1"/>
    </xf>
    <xf numFmtId="0" fontId="26" fillId="17" borderId="1" applyAlignment="1" pivotButton="0" quotePrefix="0" xfId="0">
      <alignment horizontal="center" vertical="center" wrapText="1"/>
    </xf>
    <xf numFmtId="0" fontId="19" fillId="18" borderId="0" applyAlignment="1" pivotButton="0" quotePrefix="0" xfId="0">
      <alignment horizontal="center" vertical="center" wrapText="1"/>
    </xf>
    <xf numFmtId="0" fontId="7" fillId="21" borderId="1" applyAlignment="1" pivotButton="0" quotePrefix="0" xfId="0">
      <alignment horizontal="left" vertical="center"/>
    </xf>
    <xf numFmtId="0" fontId="27" fillId="0" borderId="1" applyAlignment="1" pivotButton="0" quotePrefix="0" xfId="0">
      <alignment horizontal="left" vertical="center"/>
    </xf>
    <xf numFmtId="0" fontId="17" fillId="0" borderId="1" applyAlignment="1" pivotButton="0" quotePrefix="0" xfId="0">
      <alignment horizontal="left" vertical="center"/>
    </xf>
    <xf numFmtId="0" fontId="12" fillId="0" borderId="1" pivotButton="0" quotePrefix="0" xfId="0"/>
    <xf numFmtId="0" fontId="5" fillId="0" borderId="1" pivotButton="0" quotePrefix="0" xfId="0"/>
    <xf numFmtId="0" fontId="2" fillId="0" borderId="1" pivotButton="0" quotePrefix="0" xfId="0"/>
    <xf numFmtId="164" fontId="0" fillId="0" borderId="0" applyAlignment="1" pivotButton="0" quotePrefix="0" xfId="0">
      <alignment horizontal="center" vertical="center" wrapText="1"/>
    </xf>
    <xf numFmtId="0" fontId="0" fillId="4" borderId="0" applyAlignment="1" pivotButton="0" quotePrefix="0" xfId="0">
      <alignment horizontal="center" vertical="center" wrapText="1"/>
    </xf>
    <xf numFmtId="0" fontId="6" fillId="0" borderId="0" applyAlignment="1" pivotButton="0" quotePrefix="0" xfId="0">
      <alignment horizontal="center" vertical="center" wrapText="1"/>
    </xf>
    <xf numFmtId="0" fontId="25" fillId="0" borderId="0" pivotButton="0" quotePrefix="0" xfId="0"/>
    <xf numFmtId="164" fontId="0" fillId="4" borderId="0" applyAlignment="1" pivotButton="0" quotePrefix="0" xfId="0">
      <alignment horizontal="center" vertical="center" wrapText="1"/>
    </xf>
    <xf numFmtId="0" fontId="0" fillId="4" borderId="0" pivotButton="0" quotePrefix="0" xfId="0"/>
    <xf numFmtId="0" fontId="6" fillId="4" borderId="0" pivotButton="0" quotePrefix="0" xfId="0"/>
    <xf numFmtId="0" fontId="5" fillId="0" borderId="1" applyAlignment="1" pivotButton="0" quotePrefix="0" xfId="0">
      <alignment horizontal="center" vertical="center" wrapText="1"/>
    </xf>
    <xf numFmtId="170" fontId="0" fillId="0" borderId="1" applyAlignment="1" pivotButton="0" quotePrefix="0" xfId="0">
      <alignment horizontal="center" vertical="center" wrapText="1"/>
    </xf>
    <xf numFmtId="0" fontId="5" fillId="19"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170" fontId="5" fillId="19" borderId="1" applyAlignment="1" pivotButton="0" quotePrefix="0" xfId="0">
      <alignment horizontal="center" vertical="center" wrapText="1"/>
    </xf>
    <xf numFmtId="171" fontId="0" fillId="0" borderId="1" applyAlignment="1" pivotButton="0" quotePrefix="0" xfId="0">
      <alignment horizontal="center" vertical="center" wrapText="1"/>
    </xf>
    <xf numFmtId="173" fontId="5" fillId="0" borderId="1" applyAlignment="1" pivotButton="0" quotePrefix="0" xfId="0">
      <alignment horizontal="center" vertical="center" wrapText="1"/>
    </xf>
    <xf numFmtId="0" fontId="12" fillId="0" borderId="1" applyAlignment="1" pivotButton="0" quotePrefix="0" xfId="0">
      <alignment horizontal="center" vertical="center" wrapText="1"/>
    </xf>
    <xf numFmtId="46" fontId="15" fillId="0" borderId="1" applyAlignment="1" pivotButton="0" quotePrefix="0" xfId="0">
      <alignment horizontal="center" vertical="center" wrapText="1"/>
    </xf>
    <xf numFmtId="46" fontId="5" fillId="19" borderId="1" applyAlignment="1" pivotButton="0" quotePrefix="0" xfId="0">
      <alignment horizontal="center" vertical="center" wrapText="1"/>
    </xf>
    <xf numFmtId="0" fontId="16" fillId="0" borderId="0" pivotButton="0" quotePrefix="0" xfId="0"/>
    <xf numFmtId="164" fontId="0" fillId="0" borderId="1" applyAlignment="1" pivotButton="0" quotePrefix="0" xfId="0">
      <alignment horizontal="center" vertical="center" wrapText="1"/>
    </xf>
    <xf numFmtId="175" fontId="0" fillId="0" borderId="1" applyAlignment="1" pivotButton="0" quotePrefix="0" xfId="0">
      <alignment horizontal="center" vertical="center" wrapText="1"/>
    </xf>
    <xf numFmtId="1" fontId="0" fillId="0" borderId="1" applyAlignment="1" pivotButton="0" quotePrefix="0" xfId="0">
      <alignment horizontal="center" vertical="center" wrapText="1"/>
    </xf>
    <xf numFmtId="0" fontId="17" fillId="0" borderId="1" pivotButton="0" quotePrefix="0" xfId="0"/>
    <xf numFmtId="164" fontId="0" fillId="19" borderId="1" applyAlignment="1" pivotButton="0" quotePrefix="0" xfId="0">
      <alignment horizontal="center" vertical="center" wrapText="1"/>
    </xf>
    <xf numFmtId="175" fontId="0" fillId="19" borderId="1" applyAlignment="1" pivotButton="0" quotePrefix="0" xfId="0">
      <alignment horizontal="center" vertical="center" wrapText="1"/>
    </xf>
    <xf numFmtId="1" fontId="0" fillId="19" borderId="1" applyAlignment="1" pivotButton="0" quotePrefix="0" xfId="0">
      <alignment horizontal="center" vertical="center" wrapText="1"/>
    </xf>
    <xf numFmtId="3" fontId="0" fillId="19" borderId="1" applyAlignment="1" pivotButton="0" quotePrefix="0" xfId="0">
      <alignment horizontal="center" vertical="center" wrapText="1"/>
    </xf>
    <xf numFmtId="46" fontId="0" fillId="19" borderId="1" applyAlignment="1" pivotButton="0" quotePrefix="0" xfId="0">
      <alignment horizontal="center" vertical="center" wrapText="1"/>
    </xf>
    <xf numFmtId="0" fontId="17" fillId="19" borderId="1" pivotButton="0" quotePrefix="0" xfId="0"/>
    <xf numFmtId="176" fontId="0" fillId="0" borderId="1" applyAlignment="1" pivotButton="0" quotePrefix="0" xfId="0">
      <alignment horizontal="center" vertical="center" wrapText="1"/>
    </xf>
    <xf numFmtId="177" fontId="0" fillId="0" borderId="1" applyAlignment="1" pivotButton="0" quotePrefix="0" xfId="0">
      <alignment horizontal="center" vertical="center" wrapText="1"/>
    </xf>
    <xf numFmtId="0" fontId="17" fillId="0" borderId="0" pivotButton="0" quotePrefix="0" xfId="0"/>
    <xf numFmtId="0" fontId="0" fillId="3" borderId="1" pivotButton="0" quotePrefix="0" xfId="0"/>
    <xf numFmtId="0" fontId="0" fillId="0" borderId="1" applyAlignment="1" applyProtection="1" pivotButton="0" quotePrefix="0" xfId="0">
      <alignment horizontal="center" vertical="center" wrapText="1"/>
      <protection locked="0" hidden="0"/>
    </xf>
    <xf numFmtId="0" fontId="6" fillId="0" borderId="1" pivotButton="0" quotePrefix="0" xfId="0"/>
    <xf numFmtId="164" fontId="0" fillId="4" borderId="1" applyAlignment="1" pivotButton="0" quotePrefix="0" xfId="0">
      <alignment horizontal="center" vertical="center" wrapText="1"/>
    </xf>
    <xf numFmtId="166" fontId="6" fillId="0" borderId="1" applyAlignment="1" pivotButton="0" quotePrefix="0" xfId="0">
      <alignment horizontal="center" vertical="center" wrapText="1"/>
    </xf>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7" fillId="0" borderId="0" pivotButton="0" quotePrefix="0" xfId="0"/>
    <xf numFmtId="0" fontId="8" fillId="0" borderId="0" pivotButton="0" quotePrefix="0" xfId="0"/>
    <xf numFmtId="0" fontId="28" fillId="0" borderId="0" pivotButton="0" quotePrefix="0" xfId="0"/>
    <xf numFmtId="0" fontId="5" fillId="0" borderId="0" pivotButton="0" quotePrefix="0" xfId="0"/>
    <xf numFmtId="0" fontId="0" fillId="4" borderId="1" applyProtection="1" pivotButton="0" quotePrefix="0" xfId="0">
      <protection locked="0" hidden="0"/>
    </xf>
    <xf numFmtId="169" fontId="0" fillId="0" borderId="1" applyAlignment="1" pivotButton="0" quotePrefix="0" xfId="0">
      <alignment horizontal="left" vertical="center"/>
    </xf>
    <xf numFmtId="3" fontId="0" fillId="0" borderId="1" applyAlignment="1" pivotButton="0" quotePrefix="0" xfId="0">
      <alignment horizontal="left" vertical="center"/>
    </xf>
    <xf numFmtId="0" fontId="0" fillId="0" borderId="1" applyAlignment="1" pivotButton="0" quotePrefix="0" xfId="0">
      <alignment horizontal="left" vertical="center"/>
    </xf>
    <xf numFmtId="0" fontId="11" fillId="0" borderId="0" pivotButton="0" quotePrefix="0" xfId="0"/>
    <xf numFmtId="0" fontId="22" fillId="0" borderId="0" pivotButton="0" quotePrefix="0" xfId="0"/>
  </cellXfs>
  <cellStyles count="1">
    <cellStyle name="Normal" xfId="0" builtinId="0" hidden="0"/>
  </cellStyles>
  <dxfs count="39">
    <dxf>
      <font>
        <b val="1"/>
        <i val="1"/>
        <color rgb="00C0392B"/>
      </font>
    </dxf>
    <dxf>
      <fill>
        <patternFill patternType="solid">
          <fgColor rgb="00DDF2E2"/>
          <bgColor rgb="00DDF2E2"/>
        </patternFill>
      </fill>
    </dxf>
    <dxf>
      <font>
        <color rgb="001E6B34"/>
      </font>
      <fill>
        <patternFill patternType="solid">
          <fgColor rgb="00DDF2E2"/>
          <bgColor rgb="00DDF2E2"/>
        </patternFill>
      </fill>
    </dxf>
    <dxf>
      <font>
        <color rgb="008A5A00"/>
      </font>
      <fill>
        <patternFill patternType="solid">
          <fgColor rgb="00FFEFC2"/>
          <bgColor rgb="00FFEFC2"/>
        </patternFill>
      </fill>
    </dxf>
    <dxf>
      <font>
        <color rgb="007A8294"/>
      </font>
      <fill>
        <patternFill patternType="solid">
          <fgColor rgb="00E6E8EC"/>
          <bgColor rgb="00E6E8EC"/>
        </patternFill>
      </fill>
    </dxf>
    <dxf>
      <font>
        <color rgb="007A8294"/>
      </font>
    </dxf>
    <dxf>
      <font>
        <b val="1"/>
        <color rgb="00C0392B"/>
      </font>
    </dxf>
    <dxf>
      <fill>
        <patternFill patternType="solid">
          <fgColor rgb="00D7E2F0"/>
          <bgColor rgb="00D7E2F0"/>
        </patternFill>
      </fill>
    </dxf>
    <dxf>
      <fill>
        <patternFill patternType="solid">
          <fgColor rgb="00D5EBE1"/>
          <bgColor rgb="00D5EBE1"/>
        </patternFill>
      </fill>
    </dxf>
    <dxf>
      <fill>
        <patternFill patternType="solid">
          <fgColor rgb="00F8E7D2"/>
          <bgColor rgb="00F8E7D2"/>
        </patternFill>
      </fill>
    </dxf>
    <dxf>
      <fill>
        <patternFill patternType="solid">
          <fgColor rgb="00E8DEF0"/>
          <bgColor rgb="00E8DEF0"/>
        </patternFill>
      </fill>
    </dxf>
    <dxf>
      <fill>
        <patternFill patternType="solid">
          <fgColor rgb="00F5DADE"/>
          <bgColor rgb="00F5DADE"/>
        </patternFill>
      </fill>
    </dxf>
    <dxf>
      <fill>
        <patternFill patternType="solid">
          <fgColor rgb="00D2EBED"/>
          <bgColor rgb="00D2EBED"/>
        </patternFill>
      </fill>
    </dxf>
    <dxf>
      <fill>
        <patternFill patternType="solid">
          <fgColor rgb="00D5D9E2"/>
          <bgColor rgb="00D5D9E2"/>
        </patternFill>
      </fill>
    </dxf>
    <dxf>
      <fill>
        <patternFill patternType="solid">
          <fgColor rgb="00C8D6EA"/>
          <bgColor rgb="00C8D6EA"/>
        </patternFill>
      </fill>
    </dxf>
    <dxf>
      <fill>
        <patternFill patternType="solid">
          <fgColor rgb="00C4E3D5"/>
          <bgColor rgb="00C4E3D5"/>
        </patternFill>
      </fill>
    </dxf>
    <dxf>
      <fill>
        <patternFill patternType="solid">
          <fgColor rgb="00F6DEC0"/>
          <bgColor rgb="00F6DEC0"/>
        </patternFill>
      </fill>
    </dxf>
    <dxf>
      <fill>
        <patternFill patternType="solid">
          <fgColor rgb="00DFD1EA"/>
          <bgColor rgb="00DFD1EA"/>
        </patternFill>
      </fill>
    </dxf>
    <dxf>
      <fill>
        <patternFill patternType="solid">
          <fgColor rgb="00F2CCD1"/>
          <bgColor rgb="00F2CCD1"/>
        </patternFill>
      </fill>
    </dxf>
    <dxf>
      <fill>
        <patternFill patternType="solid">
          <fgColor rgb="00C0E3E6"/>
          <bgColor rgb="00C0E3E6"/>
        </patternFill>
      </fill>
    </dxf>
    <dxf>
      <font>
        <color rgb="008A93A6"/>
      </font>
    </dxf>
    <dxf>
      <fill>
        <patternFill patternType="solid">
          <fgColor rgb="00F6DEE1"/>
          <bgColor rgb="00F6DEE1"/>
        </patternFill>
      </fill>
    </dxf>
    <dxf>
      <fill>
        <patternFill patternType="solid">
          <fgColor rgb="00EAE1F1"/>
          <bgColor rgb="00EAE1F1"/>
        </patternFill>
      </fill>
    </dxf>
    <dxf>
      <fill>
        <patternFill patternType="solid">
          <fgColor rgb="00DBE5F1"/>
          <bgColor rgb="00DBE5F1"/>
        </patternFill>
      </fill>
    </dxf>
    <dxf>
      <fill>
        <patternFill patternType="solid">
          <fgColor rgb="00D9EDE4"/>
          <bgColor rgb="00D9EDE4"/>
        </patternFill>
      </fill>
    </dxf>
    <dxf>
      <fill>
        <patternFill patternType="solid">
          <fgColor rgb="00F9E9D6"/>
          <bgColor rgb="00F9E9D6"/>
        </patternFill>
      </fill>
    </dxf>
    <dxf>
      <fill>
        <patternFill patternType="solid">
          <fgColor rgb="00F5EED8"/>
          <bgColor rgb="00F5EED8"/>
        </patternFill>
      </fill>
    </dxf>
    <dxf>
      <fill>
        <patternFill patternType="solid">
          <fgColor rgb="00E1E4E7"/>
          <bgColor rgb="00E1E4E7"/>
        </patternFill>
      </fill>
    </dxf>
    <dxf>
      <font>
        <i val="1"/>
        <color rgb="009AA3B5"/>
      </font>
    </dxf>
    <dxf>
      <fill>
        <patternFill patternType="solid">
          <fgColor rgb="00F4D6DA"/>
          <bgColor rgb="00F4D6DA"/>
        </patternFill>
      </fill>
    </dxf>
    <dxf>
      <fill>
        <patternFill patternType="solid">
          <fgColor rgb="00E6DAEE"/>
          <bgColor rgb="00E6DAEE"/>
        </patternFill>
      </fill>
    </dxf>
    <dxf>
      <fill>
        <patternFill patternType="solid">
          <fgColor rgb="00D3DFEE"/>
          <bgColor rgb="00D3DFEE"/>
        </patternFill>
      </fill>
    </dxf>
    <dxf>
      <fill>
        <patternFill patternType="solid">
          <fgColor rgb="00D1E9DE"/>
          <bgColor rgb="00D1E9DE"/>
        </patternFill>
      </fill>
    </dxf>
    <dxf>
      <fill>
        <patternFill patternType="solid">
          <fgColor rgb="00F8E5CD"/>
          <bgColor rgb="00F8E5CD"/>
        </patternFill>
      </fill>
    </dxf>
    <dxf>
      <fill>
        <patternFill patternType="solid">
          <fgColor rgb="00F3EACF"/>
          <bgColor rgb="00F3EACF"/>
        </patternFill>
      </fill>
    </dxf>
    <dxf>
      <fill>
        <patternFill patternType="solid">
          <fgColor rgb="00DBDEE1"/>
          <bgColor rgb="00DBDEE1"/>
        </patternFill>
      </fill>
    </dxf>
    <dxf>
      <fill>
        <patternFill patternType="solid">
          <fgColor rgb="00FFD9C2"/>
          <bgColor rgb="00FFD9C2"/>
        </patternFill>
      </fill>
    </dxf>
    <dxf>
      <fill>
        <patternFill patternType="solid">
          <fgColor rgb="00E6E8EC"/>
          <bgColor rgb="00E6E8EC"/>
        </patternFill>
      </fill>
    </dxf>
    <dxf>
      <font>
        <b val="1"/>
        <color rgb="001E6B3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Watched vs. backlog (videos)</a:t>
            </a:r>
          </a:p>
        </rich>
      </tx>
      <overlay val="0"/>
    </title>
    <plotArea>
      <barChart>
        <barDir val="bar"/>
        <grouping val="stacked"/>
        <ser>
          <idx val="0"/>
          <order val="0"/>
          <tx>
            <strRef>
              <f>'Stats'!D7</f>
            </strRef>
          </tx>
          <spPr>
            <a:solidFill xmlns:a="http://schemas.openxmlformats.org/drawingml/2006/main">
              <a:srgbClr val="2E9E6B"/>
            </a:solidFill>
            <a:ln xmlns:a="http://schemas.openxmlformats.org/drawingml/2006/main">
              <a:solidFill>
                <a:srgbClr val="2E9E6B"/>
              </a:solidFill>
              <a:prstDash val="solid"/>
            </a:ln>
          </spPr>
          <cat>
            <numRef>
              <f>'Stats'!$B$8:$B$13</f>
            </numRef>
          </cat>
          <val>
            <numRef>
              <f>'Stats'!$D$8:$D$13</f>
            </numRef>
          </val>
        </ser>
        <ser>
          <idx val="1"/>
          <order val="1"/>
          <tx>
            <strRef>
              <f>'Stats'!E7</f>
            </strRef>
          </tx>
          <spPr>
            <a:solidFill xmlns:a="http://schemas.openxmlformats.org/drawingml/2006/main">
              <a:srgbClr val="E0B33A"/>
            </a:solidFill>
            <a:ln xmlns:a="http://schemas.openxmlformats.org/drawingml/2006/main">
              <a:solidFill>
                <a:srgbClr val="E0B33A"/>
              </a:solidFill>
              <a:prstDash val="solid"/>
            </a:ln>
          </spPr>
          <cat>
            <numRef>
              <f>'Stats'!$B$8:$B$13</f>
            </numRef>
          </cat>
          <val>
            <numRef>
              <f>'Stats'!$E$8:$E$13</f>
            </numRef>
          </val>
        </ser>
        <ser>
          <idx val="2"/>
          <order val="2"/>
          <tx>
            <strRef>
              <f>'Stats'!F7</f>
            </strRef>
          </tx>
          <spPr>
            <a:solidFill xmlns:a="http://schemas.openxmlformats.org/drawingml/2006/main">
              <a:srgbClr val="C5CAD6"/>
            </a:solidFill>
            <a:ln xmlns:a="http://schemas.openxmlformats.org/drawingml/2006/main">
              <a:solidFill>
                <a:srgbClr val="C5CAD6"/>
              </a:solidFill>
              <a:prstDash val="solid"/>
            </a:ln>
          </spPr>
          <cat>
            <numRef>
              <f>'Stats'!$B$8:$B$13</f>
            </numRef>
          </cat>
          <val>
            <numRef>
              <f>'Stats'!$F$8:$F$13</f>
            </numRef>
          </val>
        </ser>
        <gapWidth val="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crosses val="max"/>
      </valAx>
    </plotArea>
    <legend>
      <legendPos val="b"/>
      <layout>
        <manualLayout>
          <xMode val="edge"/>
          <yMode val="edge"/>
          <wMode val="factor"/>
          <hMode val="factor"/>
          <x val="0.03"/>
          <y val="0.87"/>
          <w val="0.9399999999999999"/>
          <h val="0.11"/>
        </manualLayout>
      </layout>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Videos uploaded per year</a:t>
            </a:r>
          </a:p>
        </rich>
      </tx>
      <overlay val="0"/>
    </title>
    <plotArea>
      <barChart>
        <barDir val="col"/>
        <grouping val="clustered"/>
        <ser>
          <idx val="0"/>
          <order val="0"/>
          <tx>
            <strRef>
              <f>'History'!I63</f>
            </strRef>
          </tx>
          <spPr>
            <a:solidFill xmlns:a="http://schemas.openxmlformats.org/drawingml/2006/main">
              <a:srgbClr val="0F7B8A"/>
            </a:solidFill>
            <a:ln xmlns:a="http://schemas.openxmlformats.org/drawingml/2006/main">
              <a:prstDash val="solid"/>
            </a:ln>
          </spPr>
          <cat>
            <numRef>
              <f>'History'!$B$64:$B$78</f>
            </numRef>
          </cat>
          <val>
            <numRef>
              <f>'History'!$I$64:$I$78</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Uploads by month (selected year)</a:t>
            </a:r>
          </a:p>
        </rich>
      </tx>
      <overlay val="0"/>
    </title>
    <plotArea>
      <barChart>
        <barDir val="col"/>
        <grouping val="stacked"/>
        <ser>
          <idx val="0"/>
          <order val="0"/>
          <tx>
            <strRef>
              <f>'History'!C27</f>
            </strRef>
          </tx>
          <spPr>
            <a:solidFill xmlns:a="http://schemas.openxmlformats.org/drawingml/2006/main">
              <a:srgbClr val="3B6FB6"/>
            </a:solidFill>
            <a:ln xmlns:a="http://schemas.openxmlformats.org/drawingml/2006/main">
              <a:solidFill>
                <a:srgbClr val="3B6FB6"/>
              </a:solidFill>
              <a:prstDash val="solid"/>
            </a:ln>
          </spPr>
          <cat>
            <numRef>
              <f>'History'!$B$28:$B$39</f>
            </numRef>
          </cat>
          <val>
            <numRef>
              <f>'History'!$C$28:$C$39</f>
            </numRef>
          </val>
        </ser>
        <ser>
          <idx val="1"/>
          <order val="1"/>
          <tx>
            <strRef>
              <f>'History'!D27</f>
            </strRef>
          </tx>
          <spPr>
            <a:solidFill xmlns:a="http://schemas.openxmlformats.org/drawingml/2006/main">
              <a:srgbClr val="2E9E6B"/>
            </a:solidFill>
            <a:ln xmlns:a="http://schemas.openxmlformats.org/drawingml/2006/main">
              <a:solidFill>
                <a:srgbClr val="2E9E6B"/>
              </a:solidFill>
              <a:prstDash val="solid"/>
            </a:ln>
          </spPr>
          <cat>
            <numRef>
              <f>'History'!$B$28:$B$39</f>
            </numRef>
          </cat>
          <val>
            <numRef>
              <f>'History'!$D$28:$D$39</f>
            </numRef>
          </val>
        </ser>
        <ser>
          <idx val="2"/>
          <order val="2"/>
          <tx>
            <strRef>
              <f>'History'!E27</f>
            </strRef>
          </tx>
          <spPr>
            <a:solidFill xmlns:a="http://schemas.openxmlformats.org/drawingml/2006/main">
              <a:srgbClr val="E08A1E"/>
            </a:solidFill>
            <a:ln xmlns:a="http://schemas.openxmlformats.org/drawingml/2006/main">
              <a:solidFill>
                <a:srgbClr val="E08A1E"/>
              </a:solidFill>
              <a:prstDash val="solid"/>
            </a:ln>
          </spPr>
          <cat>
            <numRef>
              <f>'History'!$B$28:$B$39</f>
            </numRef>
          </cat>
          <val>
            <numRef>
              <f>'History'!$E$28:$E$39</f>
            </numRef>
          </val>
        </ser>
        <ser>
          <idx val="3"/>
          <order val="3"/>
          <tx>
            <strRef>
              <f>'History'!F27</f>
            </strRef>
          </tx>
          <spPr>
            <a:solidFill xmlns:a="http://schemas.openxmlformats.org/drawingml/2006/main">
              <a:srgbClr val="8E5BB5"/>
            </a:solidFill>
            <a:ln xmlns:a="http://schemas.openxmlformats.org/drawingml/2006/main">
              <a:solidFill>
                <a:srgbClr val="8E5BB5"/>
              </a:solidFill>
              <a:prstDash val="solid"/>
            </a:ln>
          </spPr>
          <cat>
            <numRef>
              <f>'History'!$B$28:$B$39</f>
            </numRef>
          </cat>
          <val>
            <numRef>
              <f>'History'!$F$28:$F$39</f>
            </numRef>
          </val>
        </ser>
        <ser>
          <idx val="4"/>
          <order val="4"/>
          <tx>
            <strRef>
              <f>'History'!G27</f>
            </strRef>
          </tx>
          <spPr>
            <a:solidFill xmlns:a="http://schemas.openxmlformats.org/drawingml/2006/main">
              <a:srgbClr val="D1495B"/>
            </a:solidFill>
            <a:ln xmlns:a="http://schemas.openxmlformats.org/drawingml/2006/main">
              <a:solidFill>
                <a:srgbClr val="D1495B"/>
              </a:solidFill>
              <a:prstDash val="solid"/>
            </a:ln>
          </spPr>
          <cat>
            <numRef>
              <f>'History'!$B$28:$B$39</f>
            </numRef>
          </cat>
          <val>
            <numRef>
              <f>'History'!$G$28:$G$39</f>
            </numRef>
          </val>
        </ser>
        <ser>
          <idx val="5"/>
          <order val="5"/>
          <tx>
            <strRef>
              <f>'History'!H27</f>
            </strRef>
          </tx>
          <spPr>
            <a:solidFill xmlns:a="http://schemas.openxmlformats.org/drawingml/2006/main">
              <a:srgbClr val="1F9EA8"/>
            </a:solidFill>
            <a:ln xmlns:a="http://schemas.openxmlformats.org/drawingml/2006/main">
              <a:solidFill>
                <a:srgbClr val="1F9EA8"/>
              </a:solidFill>
              <a:prstDash val="solid"/>
            </a:ln>
          </spPr>
          <cat>
            <numRef>
              <f>'History'!$B$28:$B$39</f>
            </numRef>
          </cat>
          <val>
            <numRef>
              <f>'History'!$H$28:$H$39</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ayout>
        <manualLayout>
          <xMode val="edge"/>
          <yMode val="edge"/>
          <wMode val="factor"/>
          <hMode val="factor"/>
          <x val="0.03"/>
          <y val="0.87"/>
          <w val="0.9399999999999999"/>
          <h val="0.11"/>
        </manualLayout>
      </layout>
      <overlay val="0"/>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Videos uploaded per year</a:t>
            </a:r>
          </a:p>
        </rich>
      </tx>
      <overlay val="0"/>
    </title>
    <plotArea>
      <barChart>
        <barDir val="col"/>
        <grouping val="stacked"/>
        <ser>
          <idx val="0"/>
          <order val="0"/>
          <tx>
            <strRef>
              <f>'History'!C63</f>
            </strRef>
          </tx>
          <spPr>
            <a:solidFill xmlns:a="http://schemas.openxmlformats.org/drawingml/2006/main">
              <a:srgbClr val="3B6FB6"/>
            </a:solidFill>
            <a:ln xmlns:a="http://schemas.openxmlformats.org/drawingml/2006/main">
              <a:solidFill>
                <a:srgbClr val="3B6FB6"/>
              </a:solidFill>
              <a:prstDash val="solid"/>
            </a:ln>
          </spPr>
          <cat>
            <numRef>
              <f>'History'!$B$64:$B$78</f>
            </numRef>
          </cat>
          <val>
            <numRef>
              <f>'History'!$C$64:$C$78</f>
            </numRef>
          </val>
        </ser>
        <ser>
          <idx val="1"/>
          <order val="1"/>
          <tx>
            <strRef>
              <f>'History'!D63</f>
            </strRef>
          </tx>
          <spPr>
            <a:solidFill xmlns:a="http://schemas.openxmlformats.org/drawingml/2006/main">
              <a:srgbClr val="2E9E6B"/>
            </a:solidFill>
            <a:ln xmlns:a="http://schemas.openxmlformats.org/drawingml/2006/main">
              <a:solidFill>
                <a:srgbClr val="2E9E6B"/>
              </a:solidFill>
              <a:prstDash val="solid"/>
            </a:ln>
          </spPr>
          <cat>
            <numRef>
              <f>'History'!$B$64:$B$78</f>
            </numRef>
          </cat>
          <val>
            <numRef>
              <f>'History'!$D$64:$D$78</f>
            </numRef>
          </val>
        </ser>
        <ser>
          <idx val="2"/>
          <order val="2"/>
          <tx>
            <strRef>
              <f>'History'!E63</f>
            </strRef>
          </tx>
          <spPr>
            <a:solidFill xmlns:a="http://schemas.openxmlformats.org/drawingml/2006/main">
              <a:srgbClr val="E08A1E"/>
            </a:solidFill>
            <a:ln xmlns:a="http://schemas.openxmlformats.org/drawingml/2006/main">
              <a:solidFill>
                <a:srgbClr val="E08A1E"/>
              </a:solidFill>
              <a:prstDash val="solid"/>
            </a:ln>
          </spPr>
          <cat>
            <numRef>
              <f>'History'!$B$64:$B$78</f>
            </numRef>
          </cat>
          <val>
            <numRef>
              <f>'History'!$E$64:$E$78</f>
            </numRef>
          </val>
        </ser>
        <ser>
          <idx val="3"/>
          <order val="3"/>
          <tx>
            <strRef>
              <f>'History'!F63</f>
            </strRef>
          </tx>
          <spPr>
            <a:solidFill xmlns:a="http://schemas.openxmlformats.org/drawingml/2006/main">
              <a:srgbClr val="8E5BB5"/>
            </a:solidFill>
            <a:ln xmlns:a="http://schemas.openxmlformats.org/drawingml/2006/main">
              <a:solidFill>
                <a:srgbClr val="8E5BB5"/>
              </a:solidFill>
              <a:prstDash val="solid"/>
            </a:ln>
          </spPr>
          <cat>
            <numRef>
              <f>'History'!$B$64:$B$78</f>
            </numRef>
          </cat>
          <val>
            <numRef>
              <f>'History'!$F$64:$F$78</f>
            </numRef>
          </val>
        </ser>
        <ser>
          <idx val="4"/>
          <order val="4"/>
          <tx>
            <strRef>
              <f>'History'!G63</f>
            </strRef>
          </tx>
          <spPr>
            <a:solidFill xmlns:a="http://schemas.openxmlformats.org/drawingml/2006/main">
              <a:srgbClr val="D1495B"/>
            </a:solidFill>
            <a:ln xmlns:a="http://schemas.openxmlformats.org/drawingml/2006/main">
              <a:solidFill>
                <a:srgbClr val="D1495B"/>
              </a:solidFill>
              <a:prstDash val="solid"/>
            </a:ln>
          </spPr>
          <cat>
            <numRef>
              <f>'History'!$B$64:$B$78</f>
            </numRef>
          </cat>
          <val>
            <numRef>
              <f>'History'!$G$64:$G$78</f>
            </numRef>
          </val>
        </ser>
        <ser>
          <idx val="5"/>
          <order val="5"/>
          <tx>
            <strRef>
              <f>'History'!H63</f>
            </strRef>
          </tx>
          <spPr>
            <a:solidFill xmlns:a="http://schemas.openxmlformats.org/drawingml/2006/main">
              <a:srgbClr val="1F9EA8"/>
            </a:solidFill>
            <a:ln xmlns:a="http://schemas.openxmlformats.org/drawingml/2006/main">
              <a:solidFill>
                <a:srgbClr val="1F9EA8"/>
              </a:solidFill>
              <a:prstDash val="solid"/>
            </a:ln>
          </spPr>
          <cat>
            <numRef>
              <f>'History'!$B$64:$B$78</f>
            </numRef>
          </cat>
          <val>
            <numRef>
              <f>'History'!$H$64:$H$78</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ayout>
        <manualLayout>
          <xMode val="edge"/>
          <yMode val="edge"/>
          <wMode val="factor"/>
          <hMode val="factor"/>
          <x val="0.03"/>
          <y val="0.87"/>
          <w val="0.9399999999999999"/>
          <h val="0.11"/>
        </manualLayout>
      </layout>
      <overlay val="0"/>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Videos uploaded per month, by channel</a:t>
            </a:r>
          </a:p>
        </rich>
      </tx>
      <overlay val="0"/>
    </title>
    <plotArea>
      <barChart>
        <barDir val="col"/>
        <grouping val="stacked"/>
        <ser>
          <idx val="0"/>
          <order val="0"/>
          <tx>
            <strRef>
              <f>'History'!C143</f>
            </strRef>
          </tx>
          <spPr>
            <a:solidFill xmlns:a="http://schemas.openxmlformats.org/drawingml/2006/main">
              <a:srgbClr val="3B6FB6"/>
            </a:solidFill>
            <a:ln xmlns:a="http://schemas.openxmlformats.org/drawingml/2006/main">
              <a:solidFill>
                <a:srgbClr val="3B6FB6"/>
              </a:solidFill>
              <a:prstDash val="solid"/>
            </a:ln>
          </spPr>
          <cat>
            <numRef>
              <f>'History'!$B$144:$B$317</f>
            </numRef>
          </cat>
          <val>
            <numRef>
              <f>'History'!$C$144:$C$317</f>
            </numRef>
          </val>
        </ser>
        <ser>
          <idx val="1"/>
          <order val="1"/>
          <tx>
            <strRef>
              <f>'History'!D143</f>
            </strRef>
          </tx>
          <spPr>
            <a:solidFill xmlns:a="http://schemas.openxmlformats.org/drawingml/2006/main">
              <a:srgbClr val="2E9E6B"/>
            </a:solidFill>
            <a:ln xmlns:a="http://schemas.openxmlformats.org/drawingml/2006/main">
              <a:solidFill>
                <a:srgbClr val="2E9E6B"/>
              </a:solidFill>
              <a:prstDash val="solid"/>
            </a:ln>
          </spPr>
          <cat>
            <numRef>
              <f>'History'!$B$144:$B$317</f>
            </numRef>
          </cat>
          <val>
            <numRef>
              <f>'History'!$D$144:$D$317</f>
            </numRef>
          </val>
        </ser>
        <ser>
          <idx val="2"/>
          <order val="2"/>
          <tx>
            <strRef>
              <f>'History'!E143</f>
            </strRef>
          </tx>
          <spPr>
            <a:solidFill xmlns:a="http://schemas.openxmlformats.org/drawingml/2006/main">
              <a:srgbClr val="E08A1E"/>
            </a:solidFill>
            <a:ln xmlns:a="http://schemas.openxmlformats.org/drawingml/2006/main">
              <a:solidFill>
                <a:srgbClr val="E08A1E"/>
              </a:solidFill>
              <a:prstDash val="solid"/>
            </a:ln>
          </spPr>
          <cat>
            <numRef>
              <f>'History'!$B$144:$B$317</f>
            </numRef>
          </cat>
          <val>
            <numRef>
              <f>'History'!$E$144:$E$317</f>
            </numRef>
          </val>
        </ser>
        <ser>
          <idx val="3"/>
          <order val="3"/>
          <tx>
            <strRef>
              <f>'History'!F143</f>
            </strRef>
          </tx>
          <spPr>
            <a:solidFill xmlns:a="http://schemas.openxmlformats.org/drawingml/2006/main">
              <a:srgbClr val="8E5BB5"/>
            </a:solidFill>
            <a:ln xmlns:a="http://schemas.openxmlformats.org/drawingml/2006/main">
              <a:solidFill>
                <a:srgbClr val="8E5BB5"/>
              </a:solidFill>
              <a:prstDash val="solid"/>
            </a:ln>
          </spPr>
          <cat>
            <numRef>
              <f>'History'!$B$144:$B$317</f>
            </numRef>
          </cat>
          <val>
            <numRef>
              <f>'History'!$F$144:$F$317</f>
            </numRef>
          </val>
        </ser>
        <ser>
          <idx val="4"/>
          <order val="4"/>
          <tx>
            <strRef>
              <f>'History'!G143</f>
            </strRef>
          </tx>
          <spPr>
            <a:solidFill xmlns:a="http://schemas.openxmlformats.org/drawingml/2006/main">
              <a:srgbClr val="D1495B"/>
            </a:solidFill>
            <a:ln xmlns:a="http://schemas.openxmlformats.org/drawingml/2006/main">
              <a:solidFill>
                <a:srgbClr val="D1495B"/>
              </a:solidFill>
              <a:prstDash val="solid"/>
            </a:ln>
          </spPr>
          <cat>
            <numRef>
              <f>'History'!$B$144:$B$317</f>
            </numRef>
          </cat>
          <val>
            <numRef>
              <f>'History'!$G$144:$G$317</f>
            </numRef>
          </val>
        </ser>
        <ser>
          <idx val="5"/>
          <order val="5"/>
          <tx>
            <strRef>
              <f>'History'!H143</f>
            </strRef>
          </tx>
          <spPr>
            <a:solidFill xmlns:a="http://schemas.openxmlformats.org/drawingml/2006/main">
              <a:srgbClr val="1F9EA8"/>
            </a:solidFill>
            <a:ln xmlns:a="http://schemas.openxmlformats.org/drawingml/2006/main">
              <a:solidFill>
                <a:srgbClr val="1F9EA8"/>
              </a:solidFill>
              <a:prstDash val="solid"/>
            </a:ln>
          </spPr>
          <cat>
            <numRef>
              <f>'History'!$B$144:$B$317</f>
            </numRef>
          </cat>
          <val>
            <numRef>
              <f>'History'!$H$144:$H$317</f>
            </numRef>
          </val>
        </ser>
        <gapWidth val="10"/>
        <overlap val="100"/>
        <axId val="10"/>
        <axId val="100"/>
      </barChart>
      <catAx>
        <axId val="10"/>
        <scaling>
          <orientation val="minMax"/>
        </scaling>
        <delete val="0"/>
        <axPos val="l"/>
        <numFmt formatCode="mmm yyyy" sourceLinked="0"/>
        <majorTickMark val="none"/>
        <minorTickMark val="none"/>
        <crossAx val="100"/>
        <lblOffset val="100"/>
      </catAx>
      <valAx>
        <axId val="100"/>
        <scaling>
          <orientation val="minMax"/>
        </scaling>
        <delete val="0"/>
        <axPos val="l"/>
        <majorGridlines/>
        <majorTickMark val="none"/>
        <minorTickMark val="none"/>
        <crossAx val="10"/>
      </valAx>
    </plotArea>
    <legend>
      <legendPos val="b"/>
      <layout>
        <manualLayout>
          <xMode val="edge"/>
          <yMode val="edge"/>
          <wMode val="factor"/>
          <hMode val="factor"/>
          <x val="0.03"/>
          <y val="0.87"/>
          <w val="0.9399999999999999"/>
          <h val="0.11"/>
        </manualLayout>
      </layout>
      <overlay val="0"/>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Videos watched per month (only those with a Watched On date)</a:t>
            </a:r>
          </a:p>
        </rich>
      </tx>
      <overlay val="0"/>
    </title>
    <plotArea>
      <barChart>
        <barDir val="col"/>
        <grouping val="clustered"/>
        <ser>
          <idx val="0"/>
          <order val="0"/>
          <tx>
            <strRef>
              <f>'History'!K143</f>
            </strRef>
          </tx>
          <spPr>
            <a:solidFill xmlns:a="http://schemas.openxmlformats.org/drawingml/2006/main">
              <a:srgbClr val="2E9E6B"/>
            </a:solidFill>
            <a:ln xmlns:a="http://schemas.openxmlformats.org/drawingml/2006/main">
              <a:prstDash val="solid"/>
            </a:ln>
          </spPr>
          <cat>
            <numRef>
              <f>'History'!$B$144:$B$317</f>
            </numRef>
          </cat>
          <val>
            <numRef>
              <f>'History'!$K$144:$K$317</f>
            </numRef>
          </val>
        </ser>
        <gapWidth val="10"/>
        <axId val="10"/>
        <axId val="100"/>
      </barChart>
      <catAx>
        <axId val="10"/>
        <scaling>
          <orientation val="minMax"/>
        </scaling>
        <delete val="0"/>
        <axPos val="l"/>
        <numFmt formatCode="mmm yyyy" sourceLinked="0"/>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chart" Target="/xl/charts/chart6.xml" Id="rId4"/></Relationships>
</file>

<file path=xl/drawings/drawing1.xml><?xml version="1.0" encoding="utf-8"?>
<wsDr xmlns="http://schemas.openxmlformats.org/drawingml/2006/spreadsheetDrawing">
  <oneCellAnchor>
    <from>
      <col>1</col>
      <colOff>0</colOff>
      <row>19</row>
      <rowOff>0</rowOff>
    </from>
    <ext cx="4896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4896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41</row>
      <rowOff>0</rowOff>
    </from>
    <ext cx="93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79</row>
      <rowOff>0</rowOff>
    </from>
    <ext cx="93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100</row>
      <rowOff>0</rowOff>
    </from>
    <ext cx="118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121</row>
      <rowOff>0</rowOff>
    </from>
    <ext cx="118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tblVideos" displayName="tblVideos" ref="A5:X3267" headerRowCount="1">
  <autoFilter ref="A5:X3267"/>
  <tableColumns count="24">
    <tableColumn id="1" name="Open"/>
    <tableColumn id="2" name="Status"/>
    <tableColumn id="3" name="Mark"/>
    <tableColumn id="4" name="Watched On"/>
    <tableColumn id="5" name="Published"/>
    <tableColumn id="6" name="Channel"/>
    <tableColumn id="7" name="Title"/>
    <tableColumn id="8" name="Length"/>
    <tableColumn id="9" name="Views"/>
    <tableColumn id="10" name="Likes"/>
    <tableColumn id="11" name="Comments"/>
    <tableColumn id="12" name="Notes"/>
    <tableColumn id="13" name="Video ID"/>
    <tableColumn id="14" name="Channel ID"/>
    <tableColumn id="15" name="Published UTC"/>
    <tableColumn id="16" name="Day"/>
    <tableColumn id="17" name="Seq"/>
    <tableColumn id="18" name="Availability"/>
    <tableColumn id="19" name="First Seen"/>
    <tableColumn id="20" name="Last Seen"/>
    <tableColumn id="21" name="Description"/>
    <tableColumn id="22" name="Cal Key"/>
    <tableColumn id="23" name="Queue Key"/>
    <tableColumn id="24" name="Catch Key"/>
  </tableColumns>
  <tableStyleInfo name="TableStyleLight1" showRowStripes="1"/>
</table>
</file>

<file path=xl/tables/table2.xml><?xml version="1.0" encoding="utf-8"?>
<table xmlns="http://schemas.openxmlformats.org/spreadsheetml/2006/main" id="2" name="tblEvents" displayName="tblEvents" ref="A5:I448" headerRowCount="1">
  <autoFilter ref="A5:I448"/>
  <tableColumns count="9">
    <tableColumn id="1" name="Date"/>
    <tableColumn id="2" name="End Date"/>
    <tableColumn id="3" name="Event"/>
    <tableColumn id="4" name="Category"/>
    <tableColumn id="5" name="Repeats Yearly"/>
    <tableColumn id="6" name="Notes / Link"/>
    <tableColumn id="7" name="Show"/>
    <tableColumn id="8" name="Source"/>
    <tableColumn id="9" name="Key"/>
  </tableColumns>
  <tableStyleInfo name="TableStyleLight1" showRowStripes="1"/>
</table>
</file>

<file path=xl/tables/table3.xml><?xml version="1.0" encoding="utf-8"?>
<table xmlns="http://schemas.openxmlformats.org/spreadsheetml/2006/main" id="3" name="tblChannels" displayName="tblChannels" ref="A5:L11" headerRowCount="1">
  <autoFilter ref="A5:L11"/>
  <tableColumns count="12">
    <tableColumn id="1" name="Color"/>
    <tableColumn id="2" name="Enabled"/>
    <tableColumn id="3" name="Display Name"/>
    <tableColumn id="4" name="Handle or URL"/>
    <tableColumn id="5" name="Channel ID"/>
    <tableColumn id="6" name="Watched Through"/>
    <tableColumn id="7" name="YouTube Title"/>
    <tableColumn id="8" name="Videos"/>
    <tableColumn id="9" name="Watched"/>
    <tableColumn id="10" name="Backlog"/>
    <tableColumn id="11" name="Latest Upload"/>
    <tableColumn id="12" name="Last Refresh"/>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1F2A44"/>
    <outlinePr summaryBelow="1" summaryRight="1"/>
    <pageSetUpPr fitToPage="1"/>
  </sheetPr>
  <dimension ref="B1:O60"/>
  <sheetViews>
    <sheetView showGridLines="0" workbookViewId="0">
      <selection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hidden="1" outlineLevel="1" width="13" customWidth="1" min="15" max="15"/>
  </cols>
  <sheetData>
    <row r="1"/>
    <row r="2" ht="32" customHeight="1">
      <c r="B2" s="1" t="inlineStr">
        <is>
          <t>SCB Video Library</t>
        </is>
      </c>
    </row>
    <row r="3">
      <c r="B3" s="2">
        <f>IF(Settings!$C$5="","","Last updated "&amp;TEXT(Settings!$C$5,"d mmm yyyy h:mm AM/PM")&amp;"   ·   "&amp;TODAY()-INT(Settings!$C$5)&amp;" day(s) ago")</f>
        <v/>
      </c>
    </row>
    <row r="4" ht="22" customHeight="1">
      <c r="B4" s="3">
        <f>HYPERLINK("#'Library'!A1","Library")</f>
        <v/>
      </c>
      <c r="C4" s="3">
        <f>HYPERLINK("#'Queue'!A1","Queue")</f>
        <v/>
      </c>
      <c r="D4" s="3">
        <f>HYPERLINK("#'Calendar'!A1","Calendar")</f>
        <v/>
      </c>
      <c r="E4" s="3">
        <f>HYPERLINK("#'Events'!A1","Events")</f>
        <v/>
      </c>
      <c r="F4" s="3">
        <f>HYPERLINK("#'History'!A1","History")</f>
        <v/>
      </c>
      <c r="G4" s="3">
        <f>HYPERLINK("#'Stats'!A1","Stats")</f>
        <v/>
      </c>
      <c r="H4" s="3">
        <f>HYPERLINK("#'Channels'!A1","Channels")</f>
        <v/>
      </c>
      <c r="I4" s="3">
        <f>HYPERLINK("#'Settings'!A1","Settings")</f>
        <v/>
      </c>
    </row>
    <row r="6">
      <c r="B6" s="4" t="inlineStr">
        <is>
          <t>TOTAL VIDEOS</t>
        </is>
      </c>
      <c r="C6" s="5" t="n"/>
      <c r="D6" s="4" t="inlineStr">
        <is>
          <t>WATCHED</t>
        </is>
      </c>
      <c r="E6" s="5" t="n"/>
      <c r="F6" s="4" t="inlineStr">
        <is>
          <t>BACKLOG</t>
        </is>
      </c>
      <c r="G6" s="5" t="n"/>
      <c r="H6" s="4" t="inlineStr">
        <is>
          <t>% WATCHED</t>
        </is>
      </c>
      <c r="I6" s="5" t="n"/>
      <c r="J6" s="4" t="inlineStr">
        <is>
          <t>HOURS WATCHED</t>
        </is>
      </c>
      <c r="K6" s="5" t="n"/>
      <c r="L6" s="4" t="inlineStr">
        <is>
          <t>HOURS REMAINING</t>
        </is>
      </c>
      <c r="M6" s="5" t="n"/>
    </row>
    <row r="7" ht="34" customHeight="1">
      <c r="B7" s="6">
        <f>Stats!C14</f>
        <v/>
      </c>
      <c r="C7" s="5" t="n"/>
      <c r="D7" s="6">
        <f>Stats!D14</f>
        <v/>
      </c>
      <c r="E7" s="5" t="n"/>
      <c r="F7" s="6">
        <f>Stats!E14+Stats!F14</f>
        <v/>
      </c>
      <c r="G7" s="5" t="n"/>
      <c r="H7" s="7">
        <f>Stats!H14</f>
        <v/>
      </c>
      <c r="I7" s="5" t="n"/>
      <c r="J7" s="8">
        <f>Stats!J14*24</f>
        <v/>
      </c>
      <c r="K7" s="5" t="n"/>
      <c r="L7" s="8">
        <f>Stats!K14*24</f>
        <v/>
      </c>
      <c r="M7" s="5" t="n"/>
    </row>
    <row r="8">
      <c r="B8" s="9">
        <f>"across "&amp;6&amp;" channels"</f>
        <v/>
      </c>
      <c r="C8" s="5" t="n"/>
      <c r="D8" s="9">
        <f>"of "&amp;TEXT(Stats!C14-Stats!G14,"#,##0")&amp;" tracked"</f>
        <v/>
      </c>
      <c r="E8" s="5" t="n"/>
      <c r="F8" s="9">
        <f>TEXT(Stats!E14,"#,##0")&amp;" watch-later"</f>
        <v/>
      </c>
      <c r="G8" s="5" t="n"/>
      <c r="H8" s="9">
        <f>TEXT(Stats!L14,"0.0%")&amp;" of runtime"</f>
        <v/>
      </c>
      <c r="I8" s="5" t="n"/>
      <c r="J8" s="9">
        <f>"of "&amp;TEXT(Stats!I14*24,"#,##0")&amp;" h total"</f>
        <v/>
      </c>
      <c r="K8" s="5" t="n"/>
      <c r="L8" s="9">
        <f>"≈ "&amp;TEXT(Stats!K14,"#,##0")&amp;" days of video"</f>
        <v/>
      </c>
      <c r="M8" s="5" t="n"/>
    </row>
    <row r="10" ht="20" customHeight="1">
      <c r="B10" s="10" t="inlineStr">
        <is>
          <t>By channel</t>
        </is>
      </c>
      <c r="C10" s="11" t="n"/>
      <c r="D10" s="11" t="n"/>
      <c r="E10" s="11" t="n"/>
      <c r="F10" s="11" t="n"/>
      <c r="G10" s="11" t="n"/>
      <c r="H10" s="11" t="n"/>
      <c r="I10" s="11" t="n"/>
      <c r="J10" s="11" t="n"/>
      <c r="K10" s="11" t="n"/>
      <c r="L10" s="11" t="n"/>
      <c r="M10" s="11" t="n"/>
    </row>
    <row r="11" ht="22" customHeight="1">
      <c r="B11" s="12" t="inlineStr">
        <is>
          <t>Channel</t>
        </is>
      </c>
      <c r="C11" s="13" t="n"/>
      <c r="D11" s="14" t="n"/>
      <c r="E11" s="12" t="inlineStr">
        <is>
          <t>Videos</t>
        </is>
      </c>
      <c r="F11" s="12" t="inlineStr">
        <is>
          <t>Watched</t>
        </is>
      </c>
      <c r="G11" s="12" t="inlineStr">
        <is>
          <t>Backlog</t>
        </is>
      </c>
      <c r="H11" s="12" t="inlineStr">
        <is>
          <t>% Watched</t>
        </is>
      </c>
      <c r="I11" s="12" t="inlineStr">
        <is>
          <t>Time left</t>
        </is>
      </c>
      <c r="J11" s="12" t="inlineStr">
        <is>
          <t>Latest upload</t>
        </is>
      </c>
      <c r="K11" s="14" t="n"/>
      <c r="L11" s="12" t="inlineStr">
        <is>
          <t>Days since</t>
        </is>
      </c>
      <c r="M11" s="14" t="n"/>
    </row>
    <row r="12">
      <c r="B12" s="15">
        <f>Stats!B8</f>
        <v/>
      </c>
      <c r="E12" s="16">
        <f>Stats!C8</f>
        <v/>
      </c>
      <c r="F12" s="16">
        <f>Stats!D8</f>
        <v/>
      </c>
      <c r="G12" s="16">
        <f>Stats!E8+Stats!F8</f>
        <v/>
      </c>
      <c r="H12" s="17">
        <f>Stats!H8</f>
        <v/>
      </c>
      <c r="I12" s="18">
        <f>Stats!K8</f>
        <v/>
      </c>
      <c r="J12" s="19">
        <f>Stats!D20</f>
        <v/>
      </c>
      <c r="L12" s="16">
        <f>IF(J12="","",TODAY()-J12)</f>
        <v/>
      </c>
    </row>
    <row r="13">
      <c r="B13" s="20">
        <f>Stats!B9</f>
        <v/>
      </c>
      <c r="E13" s="16">
        <f>Stats!C9</f>
        <v/>
      </c>
      <c r="F13" s="16">
        <f>Stats!D9</f>
        <v/>
      </c>
      <c r="G13" s="16">
        <f>Stats!E9+Stats!F9</f>
        <v/>
      </c>
      <c r="H13" s="17">
        <f>Stats!H9</f>
        <v/>
      </c>
      <c r="I13" s="18">
        <f>Stats!K9</f>
        <v/>
      </c>
      <c r="J13" s="19">
        <f>Stats!D21</f>
        <v/>
      </c>
      <c r="L13" s="16">
        <f>IF(J13="","",TODAY()-J13)</f>
        <v/>
      </c>
    </row>
    <row r="14">
      <c r="B14" s="21">
        <f>Stats!B10</f>
        <v/>
      </c>
      <c r="E14" s="16">
        <f>Stats!C10</f>
        <v/>
      </c>
      <c r="F14" s="16">
        <f>Stats!D10</f>
        <v/>
      </c>
      <c r="G14" s="16">
        <f>Stats!E10+Stats!F10</f>
        <v/>
      </c>
      <c r="H14" s="17">
        <f>Stats!H10</f>
        <v/>
      </c>
      <c r="I14" s="18">
        <f>Stats!K10</f>
        <v/>
      </c>
      <c r="J14" s="19">
        <f>Stats!D22</f>
        <v/>
      </c>
      <c r="L14" s="16">
        <f>IF(J14="","",TODAY()-J14)</f>
        <v/>
      </c>
    </row>
    <row r="15">
      <c r="B15" s="22">
        <f>Stats!B11</f>
        <v/>
      </c>
      <c r="E15" s="16">
        <f>Stats!C11</f>
        <v/>
      </c>
      <c r="F15" s="16">
        <f>Stats!D11</f>
        <v/>
      </c>
      <c r="G15" s="16">
        <f>Stats!E11+Stats!F11</f>
        <v/>
      </c>
      <c r="H15" s="17">
        <f>Stats!H11</f>
        <v/>
      </c>
      <c r="I15" s="18">
        <f>Stats!K11</f>
        <v/>
      </c>
      <c r="J15" s="19">
        <f>Stats!D23</f>
        <v/>
      </c>
      <c r="L15" s="16">
        <f>IF(J15="","",TODAY()-J15)</f>
        <v/>
      </c>
    </row>
    <row r="16">
      <c r="B16" s="23">
        <f>Stats!B12</f>
        <v/>
      </c>
      <c r="E16" s="16">
        <f>Stats!C12</f>
        <v/>
      </c>
      <c r="F16" s="16">
        <f>Stats!D12</f>
        <v/>
      </c>
      <c r="G16" s="16">
        <f>Stats!E12+Stats!F12</f>
        <v/>
      </c>
      <c r="H16" s="17">
        <f>Stats!H12</f>
        <v/>
      </c>
      <c r="I16" s="18">
        <f>Stats!K12</f>
        <v/>
      </c>
      <c r="J16" s="19">
        <f>Stats!D24</f>
        <v/>
      </c>
      <c r="L16" s="16">
        <f>IF(J16="","",TODAY()-J16)</f>
        <v/>
      </c>
    </row>
    <row r="17">
      <c r="B17" s="24">
        <f>Stats!B13</f>
        <v/>
      </c>
      <c r="E17" s="16">
        <f>Stats!C13</f>
        <v/>
      </c>
      <c r="F17" s="16">
        <f>Stats!D13</f>
        <v/>
      </c>
      <c r="G17" s="16">
        <f>Stats!E13+Stats!F13</f>
        <v/>
      </c>
      <c r="H17" s="17">
        <f>Stats!H13</f>
        <v/>
      </c>
      <c r="I17" s="18">
        <f>Stats!K13</f>
        <v/>
      </c>
      <c r="J17" s="19">
        <f>Stats!D25</f>
        <v/>
      </c>
      <c r="L17" s="16">
        <f>IF(J17="","",TODAY()-J17)</f>
        <v/>
      </c>
    </row>
    <row r="18">
      <c r="B18" s="25" t="inlineStr">
        <is>
          <t>All channels</t>
        </is>
      </c>
      <c r="E18" s="26">
        <f>Stats!C14</f>
        <v/>
      </c>
      <c r="F18" s="26">
        <f>Stats!D14</f>
        <v/>
      </c>
      <c r="G18" s="26">
        <f>Stats!E14+Stats!F14</f>
        <v/>
      </c>
      <c r="H18" s="27">
        <f>Stats!H14</f>
        <v/>
      </c>
      <c r="I18" s="28">
        <f>Stats!K14</f>
        <v/>
      </c>
    </row>
    <row r="39" ht="20" customHeight="1">
      <c r="B39" s="10" t="inlineStr">
        <is>
          <t>Up next  -  oldest unwatched video in each channel</t>
        </is>
      </c>
      <c r="C39" s="11" t="n"/>
      <c r="D39" s="11" t="n"/>
      <c r="E39" s="11" t="n"/>
      <c r="F39" s="11" t="n"/>
      <c r="G39" s="11" t="n"/>
      <c r="H39" s="11" t="n"/>
      <c r="I39" s="11" t="n"/>
      <c r="J39" s="11" t="n"/>
      <c r="K39" s="11" t="n"/>
      <c r="L39" s="11" t="n"/>
      <c r="M39" s="11" t="n"/>
    </row>
    <row r="40" ht="20" customHeight="1">
      <c r="B40" s="12" t="inlineStr">
        <is>
          <t>Channel</t>
        </is>
      </c>
      <c r="C40" s="13" t="n"/>
      <c r="D40" s="14" t="n"/>
      <c r="E40" s="12" t="inlineStr">
        <is>
          <t>Video</t>
        </is>
      </c>
      <c r="F40" s="13" t="n"/>
      <c r="G40" s="13" t="n"/>
      <c r="H40" s="13" t="n"/>
      <c r="I40" s="13" t="n"/>
      <c r="J40" s="13" t="n"/>
      <c r="K40" s="14" t="n"/>
      <c r="L40" s="12" t="inlineStr">
        <is>
          <t>Length</t>
        </is>
      </c>
      <c r="M40" s="12" t="inlineStr">
        <is>
          <t>Published</t>
        </is>
      </c>
    </row>
    <row r="41">
      <c r="B41" s="15">
        <f>Channels!$C$6</f>
        <v/>
      </c>
      <c r="E41" s="29">
        <f>IF($O41="","All caught up ✓",IF(INDEX(tblVideos[Video ID],$O41)="",INDEX(tblVideos[Title],$O41),HYPERLINK("https://www.youtube.com/watch?v="&amp;INDEX(tblVideos[Video ID],$O41),INDEX(tblVideos[Title],$O41))))</f>
        <v/>
      </c>
      <c r="L41" s="30">
        <f>IF($O41="","",INDEX(tblVideos[Length],$O41))</f>
        <v/>
      </c>
      <c r="M41" s="19">
        <f>IF($O41="","",INDEX(tblVideos[Day],$O41))</f>
        <v/>
      </c>
      <c r="O41">
        <f>IF(_xlfn.MINIFS(tblVideos[Seq],tblVideos[Channel ID],Channels!$E$6,tblVideos[Status],"Unwatched")=0,"",MATCH(_xlfn.MINIFS(tblVideos[Seq],tblVideos[Channel ID],Channels!$E$6,tblVideos[Status],"Unwatched"),tblVideos[Seq],0))</f>
        <v/>
      </c>
    </row>
    <row r="42">
      <c r="B42" s="20">
        <f>Channels!$C$7</f>
        <v/>
      </c>
      <c r="E42" s="29">
        <f>IF($O42="","All caught up ✓",IF(INDEX(tblVideos[Video ID],$O42)="",INDEX(tblVideos[Title],$O42),HYPERLINK("https://www.youtube.com/watch?v="&amp;INDEX(tblVideos[Video ID],$O42),INDEX(tblVideos[Title],$O42))))</f>
        <v/>
      </c>
      <c r="L42" s="30">
        <f>IF($O42="","",INDEX(tblVideos[Length],$O42))</f>
        <v/>
      </c>
      <c r="M42" s="19">
        <f>IF($O42="","",INDEX(tblVideos[Day],$O42))</f>
        <v/>
      </c>
      <c r="O42">
        <f>IF(_xlfn.MINIFS(tblVideos[Seq],tblVideos[Channel ID],Channels!$E$7,tblVideos[Status],"Unwatched")=0,"",MATCH(_xlfn.MINIFS(tblVideos[Seq],tblVideos[Channel ID],Channels!$E$7,tblVideos[Status],"Unwatched"),tblVideos[Seq],0))</f>
        <v/>
      </c>
    </row>
    <row r="43">
      <c r="B43" s="21">
        <f>Channels!$C$8</f>
        <v/>
      </c>
      <c r="E43" s="29">
        <f>IF($O43="","All caught up ✓",IF(INDEX(tblVideos[Video ID],$O43)="",INDEX(tblVideos[Title],$O43),HYPERLINK("https://www.youtube.com/watch?v="&amp;INDEX(tblVideos[Video ID],$O43),INDEX(tblVideos[Title],$O43))))</f>
        <v/>
      </c>
      <c r="L43" s="30">
        <f>IF($O43="","",INDEX(tblVideos[Length],$O43))</f>
        <v/>
      </c>
      <c r="M43" s="19">
        <f>IF($O43="","",INDEX(tblVideos[Day],$O43))</f>
        <v/>
      </c>
      <c r="O43">
        <f>IF(_xlfn.MINIFS(tblVideos[Seq],tblVideos[Channel ID],Channels!$E$8,tblVideos[Status],"Unwatched")=0,"",MATCH(_xlfn.MINIFS(tblVideos[Seq],tblVideos[Channel ID],Channels!$E$8,tblVideos[Status],"Unwatched"),tblVideos[Seq],0))</f>
        <v/>
      </c>
    </row>
    <row r="44">
      <c r="B44" s="22">
        <f>Channels!$C$9</f>
        <v/>
      </c>
      <c r="E44" s="29">
        <f>IF($O44="","All caught up ✓",IF(INDEX(tblVideos[Video ID],$O44)="",INDEX(tblVideos[Title],$O44),HYPERLINK("https://www.youtube.com/watch?v="&amp;INDEX(tblVideos[Video ID],$O44),INDEX(tblVideos[Title],$O44))))</f>
        <v/>
      </c>
      <c r="L44" s="30">
        <f>IF($O44="","",INDEX(tblVideos[Length],$O44))</f>
        <v/>
      </c>
      <c r="M44" s="19">
        <f>IF($O44="","",INDEX(tblVideos[Day],$O44))</f>
        <v/>
      </c>
      <c r="O44">
        <f>IF(_xlfn.MINIFS(tblVideos[Seq],tblVideos[Channel ID],Channels!$E$9,tblVideos[Status],"Unwatched")=0,"",MATCH(_xlfn.MINIFS(tblVideos[Seq],tblVideos[Channel ID],Channels!$E$9,tblVideos[Status],"Unwatched"),tblVideos[Seq],0))</f>
        <v/>
      </c>
    </row>
    <row r="45">
      <c r="B45" s="23">
        <f>Channels!$C$10</f>
        <v/>
      </c>
      <c r="E45" s="29">
        <f>IF($O45="","All caught up ✓",IF(INDEX(tblVideos[Video ID],$O45)="",INDEX(tblVideos[Title],$O45),HYPERLINK("https://www.youtube.com/watch?v="&amp;INDEX(tblVideos[Video ID],$O45),INDEX(tblVideos[Title],$O45))))</f>
        <v/>
      </c>
      <c r="L45" s="30">
        <f>IF($O45="","",INDEX(tblVideos[Length],$O45))</f>
        <v/>
      </c>
      <c r="M45" s="19">
        <f>IF($O45="","",INDEX(tblVideos[Day],$O45))</f>
        <v/>
      </c>
      <c r="O45">
        <f>IF(_xlfn.MINIFS(tblVideos[Seq],tblVideos[Channel ID],Channels!$E$10,tblVideos[Status],"Unwatched")=0,"",MATCH(_xlfn.MINIFS(tblVideos[Seq],tblVideos[Channel ID],Channels!$E$10,tblVideos[Status],"Unwatched"),tblVideos[Seq],0))</f>
        <v/>
      </c>
    </row>
    <row r="46">
      <c r="B46" s="24">
        <f>Channels!$C$11</f>
        <v/>
      </c>
      <c r="E46" s="29">
        <f>IF($O46="","All caught up ✓",IF(INDEX(tblVideos[Video ID],$O46)="",INDEX(tblVideos[Title],$O46),HYPERLINK("https://www.youtube.com/watch?v="&amp;INDEX(tblVideos[Video ID],$O46),INDEX(tblVideos[Title],$O46))))</f>
        <v/>
      </c>
      <c r="L46" s="30">
        <f>IF($O46="","",INDEX(tblVideos[Length],$O46))</f>
        <v/>
      </c>
      <c r="M46" s="19">
        <f>IF($O46="","",INDEX(tblVideos[Day],$O46))</f>
        <v/>
      </c>
      <c r="O46">
        <f>IF(_xlfn.MINIFS(tblVideos[Seq],tblVideos[Channel ID],Channels!$E$11,tblVideos[Status],"Unwatched")=0,"",MATCH(_xlfn.MINIFS(tblVideos[Seq],tblVideos[Channel ID],Channels!$E$11,tblVideos[Status],"Unwatched"),tblVideos[Seq],0))</f>
        <v/>
      </c>
    </row>
    <row r="49" ht="20" customHeight="1">
      <c r="B49" s="10" t="inlineStr">
        <is>
          <t>Newest uploads</t>
        </is>
      </c>
      <c r="C49" s="11" t="n"/>
      <c r="D49" s="11" t="n"/>
      <c r="E49" s="11" t="n"/>
      <c r="F49" s="11" t="n"/>
      <c r="G49" s="11" t="n"/>
      <c r="H49" s="11" t="n"/>
      <c r="I49" s="11" t="n"/>
      <c r="J49" s="11" t="n"/>
      <c r="K49" s="11" t="n"/>
      <c r="L49" s="11" t="n"/>
      <c r="M49" s="11" t="n"/>
    </row>
    <row r="50" ht="20" customHeight="1">
      <c r="B50" s="12" t="inlineStr">
        <is>
          <t>Published</t>
        </is>
      </c>
      <c r="C50" s="14" t="n"/>
      <c r="D50" s="12" t="inlineStr">
        <is>
          <t>Channel</t>
        </is>
      </c>
      <c r="E50" s="14" t="n"/>
      <c r="F50" s="12" t="inlineStr">
        <is>
          <t>Title</t>
        </is>
      </c>
      <c r="G50" s="13" t="n"/>
      <c r="H50" s="13" t="n"/>
      <c r="I50" s="13" t="n"/>
      <c r="J50" s="13" t="n"/>
      <c r="K50" s="14" t="n"/>
      <c r="L50" s="12" t="inlineStr">
        <is>
          <t>Length</t>
        </is>
      </c>
      <c r="M50" s="12" t="inlineStr">
        <is>
          <t>Status</t>
        </is>
      </c>
    </row>
    <row r="51">
      <c r="B51" s="31">
        <f>IF($O51="","",INDEX(tblVideos[Day],$O51))</f>
        <v/>
      </c>
      <c r="D51" s="32">
        <f>IF($O51="","",INDEX(tblVideos[Channel],$O51))</f>
        <v/>
      </c>
      <c r="F51" s="29">
        <f>IF($O51="","",IF(INDEX(tblVideos[Video ID],$O51)="",INDEX(tblVideos[Title],$O51),HYPERLINK("https://www.youtube.com/watch?v="&amp;INDEX(tblVideos[Video ID],$O51),INDEX(tblVideos[Title],$O51))))</f>
        <v/>
      </c>
      <c r="L51" s="30">
        <f>IF($O51="","",INDEX(tblVideos[Length],$O51))</f>
        <v/>
      </c>
      <c r="M51" s="33">
        <f>IF($O51="","",INDEX(tblVideos[Status],$O51))</f>
        <v/>
      </c>
      <c r="O51">
        <f>IFERROR(MATCH(MAX(tblVideos[Seq])-0,tblVideos[Seq],0),"")</f>
        <v/>
      </c>
    </row>
    <row r="52">
      <c r="B52" s="31">
        <f>IF($O52="","",INDEX(tblVideos[Day],$O52))</f>
        <v/>
      </c>
      <c r="D52" s="32">
        <f>IF($O52="","",INDEX(tblVideos[Channel],$O52))</f>
        <v/>
      </c>
      <c r="F52" s="29">
        <f>IF($O52="","",IF(INDEX(tblVideos[Video ID],$O52)="",INDEX(tblVideos[Title],$O52),HYPERLINK("https://www.youtube.com/watch?v="&amp;INDEX(tblVideos[Video ID],$O52),INDEX(tblVideos[Title],$O52))))</f>
        <v/>
      </c>
      <c r="L52" s="30">
        <f>IF($O52="","",INDEX(tblVideos[Length],$O52))</f>
        <v/>
      </c>
      <c r="M52" s="33">
        <f>IF($O52="","",INDEX(tblVideos[Status],$O52))</f>
        <v/>
      </c>
      <c r="O52">
        <f>IFERROR(MATCH(MAX(tblVideos[Seq])-1,tblVideos[Seq],0),"")</f>
        <v/>
      </c>
    </row>
    <row r="53">
      <c r="B53" s="31">
        <f>IF($O53="","",INDEX(tblVideos[Day],$O53))</f>
        <v/>
      </c>
      <c r="D53" s="32">
        <f>IF($O53="","",INDEX(tblVideos[Channel],$O53))</f>
        <v/>
      </c>
      <c r="F53" s="29">
        <f>IF($O53="","",IF(INDEX(tblVideos[Video ID],$O53)="",INDEX(tblVideos[Title],$O53),HYPERLINK("https://www.youtube.com/watch?v="&amp;INDEX(tblVideos[Video ID],$O53),INDEX(tblVideos[Title],$O53))))</f>
        <v/>
      </c>
      <c r="L53" s="30">
        <f>IF($O53="","",INDEX(tblVideos[Length],$O53))</f>
        <v/>
      </c>
      <c r="M53" s="33">
        <f>IF($O53="","",INDEX(tblVideos[Status],$O53))</f>
        <v/>
      </c>
      <c r="O53">
        <f>IFERROR(MATCH(MAX(tblVideos[Seq])-2,tblVideos[Seq],0),"")</f>
        <v/>
      </c>
    </row>
    <row r="54">
      <c r="B54" s="31">
        <f>IF($O54="","",INDEX(tblVideos[Day],$O54))</f>
        <v/>
      </c>
      <c r="D54" s="32">
        <f>IF($O54="","",INDEX(tblVideos[Channel],$O54))</f>
        <v/>
      </c>
      <c r="F54" s="29">
        <f>IF($O54="","",IF(INDEX(tblVideos[Video ID],$O54)="",INDEX(tblVideos[Title],$O54),HYPERLINK("https://www.youtube.com/watch?v="&amp;INDEX(tblVideos[Video ID],$O54),INDEX(tblVideos[Title],$O54))))</f>
        <v/>
      </c>
      <c r="L54" s="30">
        <f>IF($O54="","",INDEX(tblVideos[Length],$O54))</f>
        <v/>
      </c>
      <c r="M54" s="33">
        <f>IF($O54="","",INDEX(tblVideos[Status],$O54))</f>
        <v/>
      </c>
      <c r="O54">
        <f>IFERROR(MATCH(MAX(tblVideos[Seq])-3,tblVideos[Seq],0),"")</f>
        <v/>
      </c>
    </row>
    <row r="55">
      <c r="B55" s="31">
        <f>IF($O55="","",INDEX(tblVideos[Day],$O55))</f>
        <v/>
      </c>
      <c r="D55" s="32">
        <f>IF($O55="","",INDEX(tblVideos[Channel],$O55))</f>
        <v/>
      </c>
      <c r="F55" s="29">
        <f>IF($O55="","",IF(INDEX(tblVideos[Video ID],$O55)="",INDEX(tblVideos[Title],$O55),HYPERLINK("https://www.youtube.com/watch?v="&amp;INDEX(tblVideos[Video ID],$O55),INDEX(tblVideos[Title],$O55))))</f>
        <v/>
      </c>
      <c r="L55" s="30">
        <f>IF($O55="","",INDEX(tblVideos[Length],$O55))</f>
        <v/>
      </c>
      <c r="M55" s="33">
        <f>IF($O55="","",INDEX(tblVideos[Status],$O55))</f>
        <v/>
      </c>
      <c r="O55">
        <f>IFERROR(MATCH(MAX(tblVideos[Seq])-4,tblVideos[Seq],0),"")</f>
        <v/>
      </c>
    </row>
    <row r="56">
      <c r="B56" s="31">
        <f>IF($O56="","",INDEX(tblVideos[Day],$O56))</f>
        <v/>
      </c>
      <c r="D56" s="32">
        <f>IF($O56="","",INDEX(tblVideos[Channel],$O56))</f>
        <v/>
      </c>
      <c r="F56" s="29">
        <f>IF($O56="","",IF(INDEX(tblVideos[Video ID],$O56)="",INDEX(tblVideos[Title],$O56),HYPERLINK("https://www.youtube.com/watch?v="&amp;INDEX(tblVideos[Video ID],$O56),INDEX(tblVideos[Title],$O56))))</f>
        <v/>
      </c>
      <c r="L56" s="30">
        <f>IF($O56="","",INDEX(tblVideos[Length],$O56))</f>
        <v/>
      </c>
      <c r="M56" s="33">
        <f>IF($O56="","",INDEX(tblVideos[Status],$O56))</f>
        <v/>
      </c>
      <c r="O56">
        <f>IFERROR(MATCH(MAX(tblVideos[Seq])-5,tblVideos[Seq],0),"")</f>
        <v/>
      </c>
    </row>
    <row r="57">
      <c r="B57" s="31">
        <f>IF($O57="","",INDEX(tblVideos[Day],$O57))</f>
        <v/>
      </c>
      <c r="D57" s="32">
        <f>IF($O57="","",INDEX(tblVideos[Channel],$O57))</f>
        <v/>
      </c>
      <c r="F57" s="29">
        <f>IF($O57="","",IF(INDEX(tblVideos[Video ID],$O57)="",INDEX(tblVideos[Title],$O57),HYPERLINK("https://www.youtube.com/watch?v="&amp;INDEX(tblVideos[Video ID],$O57),INDEX(tblVideos[Title],$O57))))</f>
        <v/>
      </c>
      <c r="L57" s="30">
        <f>IF($O57="","",INDEX(tblVideos[Length],$O57))</f>
        <v/>
      </c>
      <c r="M57" s="33">
        <f>IF($O57="","",INDEX(tblVideos[Status],$O57))</f>
        <v/>
      </c>
      <c r="O57">
        <f>IFERROR(MATCH(MAX(tblVideos[Seq])-6,tblVideos[Seq],0),"")</f>
        <v/>
      </c>
    </row>
    <row r="58">
      <c r="B58" s="31">
        <f>IF($O58="","",INDEX(tblVideos[Day],$O58))</f>
        <v/>
      </c>
      <c r="D58" s="32">
        <f>IF($O58="","",INDEX(tblVideos[Channel],$O58))</f>
        <v/>
      </c>
      <c r="F58" s="29">
        <f>IF($O58="","",IF(INDEX(tblVideos[Video ID],$O58)="",INDEX(tblVideos[Title],$O58),HYPERLINK("https://www.youtube.com/watch?v="&amp;INDEX(tblVideos[Video ID],$O58),INDEX(tblVideos[Title],$O58))))</f>
        <v/>
      </c>
      <c r="L58" s="30">
        <f>IF($O58="","",INDEX(tblVideos[Length],$O58))</f>
        <v/>
      </c>
      <c r="M58" s="33">
        <f>IF($O58="","",INDEX(tblVideos[Status],$O58))</f>
        <v/>
      </c>
      <c r="O58">
        <f>IFERROR(MATCH(MAX(tblVideos[Seq])-7,tblVideos[Seq],0),"")</f>
        <v/>
      </c>
    </row>
    <row r="59">
      <c r="B59" s="31">
        <f>IF($O59="","",INDEX(tblVideos[Day],$O59))</f>
        <v/>
      </c>
      <c r="D59" s="32">
        <f>IF($O59="","",INDEX(tblVideos[Channel],$O59))</f>
        <v/>
      </c>
      <c r="F59" s="29">
        <f>IF($O59="","",IF(INDEX(tblVideos[Video ID],$O59)="",INDEX(tblVideos[Title],$O59),HYPERLINK("https://www.youtube.com/watch?v="&amp;INDEX(tblVideos[Video ID],$O59),INDEX(tblVideos[Title],$O59))))</f>
        <v/>
      </c>
      <c r="L59" s="30">
        <f>IF($O59="","",INDEX(tblVideos[Length],$O59))</f>
        <v/>
      </c>
      <c r="M59" s="33">
        <f>IF($O59="","",INDEX(tblVideos[Status],$O59))</f>
        <v/>
      </c>
      <c r="O59">
        <f>IFERROR(MATCH(MAX(tblVideos[Seq])-8,tblVideos[Seq],0),"")</f>
        <v/>
      </c>
    </row>
    <row r="60">
      <c r="B60" s="31">
        <f>IF($O60="","",INDEX(tblVideos[Day],$O60))</f>
        <v/>
      </c>
      <c r="D60" s="32">
        <f>IF($O60="","",INDEX(tblVideos[Channel],$O60))</f>
        <v/>
      </c>
      <c r="F60" s="29">
        <f>IF($O60="","",IF(INDEX(tblVideos[Video ID],$O60)="",INDEX(tblVideos[Title],$O60),HYPERLINK("https://www.youtube.com/watch?v="&amp;INDEX(tblVideos[Video ID],$O60),INDEX(tblVideos[Title],$O60))))</f>
        <v/>
      </c>
      <c r="L60" s="30">
        <f>IF($O60="","",INDEX(tblVideos[Length],$O60))</f>
        <v/>
      </c>
      <c r="M60" s="33">
        <f>IF($O60="","",INDEX(tblVideos[Status],$O60))</f>
        <v/>
      </c>
      <c r="O60">
        <f>IFERROR(MATCH(MAX(tblVideos[Seq])-9,tblVideos[Seq],0),"")</f>
        <v/>
      </c>
    </row>
  </sheetData>
  <sheetProtection selectLockedCells="0" selectUnlockedCells="0" sheet="1" objects="0" insertRows="1" insertHyperlinks="1" autoFilter="1" scenarios="0" formatColumns="1" deleteColumns="1" insertColumns="1" pivotTables="1" deleteRows="1" formatCells="1" formatRows="1" sort="1"/>
  <mergeCells count="87">
    <mergeCell ref="B11:D11"/>
    <mergeCell ref="L17:M17"/>
    <mergeCell ref="B42:D42"/>
    <mergeCell ref="F51:K51"/>
    <mergeCell ref="D60:E60"/>
    <mergeCell ref="F50:K50"/>
    <mergeCell ref="B44:D44"/>
    <mergeCell ref="D6:E6"/>
    <mergeCell ref="L12:M12"/>
    <mergeCell ref="L14:M14"/>
    <mergeCell ref="D7:E7"/>
    <mergeCell ref="F53:K53"/>
    <mergeCell ref="D56:E56"/>
    <mergeCell ref="B55:C55"/>
    <mergeCell ref="E40:K40"/>
    <mergeCell ref="B51:C51"/>
    <mergeCell ref="D51:E51"/>
    <mergeCell ref="B43:D43"/>
    <mergeCell ref="F59:K59"/>
    <mergeCell ref="F55:K55"/>
    <mergeCell ref="L7:M7"/>
    <mergeCell ref="L16:M16"/>
    <mergeCell ref="B17:D17"/>
    <mergeCell ref="F6:G6"/>
    <mergeCell ref="F56:K56"/>
    <mergeCell ref="F58:K58"/>
    <mergeCell ref="E42:K42"/>
    <mergeCell ref="F52:K52"/>
    <mergeCell ref="B53:C53"/>
    <mergeCell ref="D53:E53"/>
    <mergeCell ref="J11:K11"/>
    <mergeCell ref="B45:D45"/>
    <mergeCell ref="F60:K60"/>
    <mergeCell ref="E44:K44"/>
    <mergeCell ref="F57:K57"/>
    <mergeCell ref="B6:C6"/>
    <mergeCell ref="J12:K12"/>
    <mergeCell ref="L6:M6"/>
    <mergeCell ref="B46:D46"/>
    <mergeCell ref="E46:K46"/>
    <mergeCell ref="B54:C54"/>
    <mergeCell ref="B14:D14"/>
    <mergeCell ref="B7:C7"/>
    <mergeCell ref="B13:D13"/>
    <mergeCell ref="B56:C56"/>
    <mergeCell ref="E41:K41"/>
    <mergeCell ref="F7:G7"/>
    <mergeCell ref="B58:C58"/>
    <mergeCell ref="B52:C52"/>
    <mergeCell ref="D52:E52"/>
    <mergeCell ref="E43:K43"/>
    <mergeCell ref="B60:C60"/>
    <mergeCell ref="L8:M8"/>
    <mergeCell ref="B57:C57"/>
    <mergeCell ref="F8:G8"/>
    <mergeCell ref="B41:D41"/>
    <mergeCell ref="J16:K16"/>
    <mergeCell ref="D55:E55"/>
    <mergeCell ref="F54:K54"/>
    <mergeCell ref="L11:M11"/>
    <mergeCell ref="D54:E54"/>
    <mergeCell ref="B12:D12"/>
    <mergeCell ref="E45:K45"/>
    <mergeCell ref="B59:C59"/>
    <mergeCell ref="J14:K14"/>
    <mergeCell ref="J13:K13"/>
    <mergeCell ref="L13:M13"/>
    <mergeCell ref="H6:I6"/>
    <mergeCell ref="J6:K6"/>
    <mergeCell ref="D57:E57"/>
    <mergeCell ref="J15:K15"/>
    <mergeCell ref="L15:M15"/>
    <mergeCell ref="B40:D40"/>
    <mergeCell ref="B15:D15"/>
    <mergeCell ref="B8:C8"/>
    <mergeCell ref="H7:I7"/>
    <mergeCell ref="J7:K7"/>
    <mergeCell ref="D58:E58"/>
    <mergeCell ref="B16:D16"/>
    <mergeCell ref="D8:E8"/>
    <mergeCell ref="B18:D18"/>
    <mergeCell ref="B50:C50"/>
    <mergeCell ref="H8:I8"/>
    <mergeCell ref="D50:E50"/>
    <mergeCell ref="J8:K8"/>
    <mergeCell ref="D59:E59"/>
    <mergeCell ref="J17:K17"/>
  </mergeCells>
  <conditionalFormatting sqref="B3">
    <cfRule type="expression" priority="1" dxfId="0">
      <formula>TODAY()-INT(Settings!$C$5)&gt;7</formula>
    </cfRule>
  </conditionalFormatting>
  <conditionalFormatting sqref="H12:H17">
    <cfRule type="dataBar" priority="2">
      <dataBar>
        <cfvo type="num" val="0"/>
        <cfvo type="num" val="1"/>
        <color rgb="002E9E6B"/>
      </dataBar>
    </cfRule>
  </conditionalFormatting>
  <conditionalFormatting sqref="M51:M60">
    <cfRule type="cellIs" priority="3" operator="equal" dxfId="1">
      <formula>"Watched"</formula>
    </cfRule>
  </conditionalFormatting>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0F7B8A"/>
    <outlinePr summaryBelow="1" summaryRight="1"/>
    <pageSetUpPr fitToPage="1"/>
  </sheetPr>
  <dimension ref="A1:X3267"/>
  <sheetViews>
    <sheetView showGridLines="0" workbookViewId="0">
      <pane ySplit="5" topLeftCell="A6" activePane="bottomLeft" state="frozen"/>
      <selection pane="bottomLeft" activeCell="A1" sqref="A1"/>
    </sheetView>
  </sheetViews>
  <sheetFormatPr baseColWidth="8" defaultRowHeight="15"/>
  <cols>
    <col width="7" customWidth="1" min="1" max="1"/>
    <col width="12" customWidth="1" min="2" max="2"/>
    <col width="13" customWidth="1" min="3" max="3"/>
    <col width="13" customWidth="1" min="4" max="4"/>
    <col width="21" customWidth="1" min="5" max="5"/>
    <col width="24" customWidth="1" min="6" max="6"/>
    <col width="70" customWidth="1" min="7" max="7"/>
    <col width="10" customWidth="1" min="8" max="8"/>
    <col width="11" customWidth="1" min="9" max="9"/>
    <col width="9" customWidth="1" min="10" max="10"/>
    <col width="10" customWidth="1" min="11" max="11"/>
    <col width="32" customWidth="1" min="12" max="12"/>
    <col hidden="1" outlineLevel="1" width="13" customWidth="1" min="13" max="20"/>
    <col width="60" customWidth="1" min="21" max="21"/>
    <col hidden="1" outlineLevel="1" width="10" customWidth="1" min="22" max="24"/>
  </cols>
  <sheetData>
    <row r="1" ht="28" customHeight="1">
      <c r="A1" s="34" t="inlineStr">
        <is>
          <t>Video Library</t>
        </is>
      </c>
    </row>
    <row r="2">
      <c r="A2" s="2" t="inlineStr">
        <is>
          <t>Slate columns come from YouTube and are refreshed by the updater.  Teal columns are calculated.  Gold columns (Mark, Watched On, Notes) are YOURS and are never overwritten.</t>
        </is>
      </c>
    </row>
    <row r="3">
      <c r="A3" s="35">
        <f>HYPERLINK("#'Dashboard'!A1","◄ Dashboard")</f>
        <v/>
      </c>
    </row>
    <row r="5" ht="24" customHeight="1">
      <c r="A5" s="36" t="inlineStr">
        <is>
          <t>Open</t>
        </is>
      </c>
      <c r="B5" s="36" t="inlineStr">
        <is>
          <t>Status</t>
        </is>
      </c>
      <c r="C5" s="37" t="inlineStr">
        <is>
          <t>Mark</t>
        </is>
      </c>
      <c r="D5" s="37" t="inlineStr">
        <is>
          <t>Watched On</t>
        </is>
      </c>
      <c r="E5" s="12" t="inlineStr">
        <is>
          <t>Published</t>
        </is>
      </c>
      <c r="F5" s="12" t="inlineStr">
        <is>
          <t>Channel</t>
        </is>
      </c>
      <c r="G5" s="12" t="inlineStr">
        <is>
          <t>Title</t>
        </is>
      </c>
      <c r="H5" s="12" t="inlineStr">
        <is>
          <t>Length</t>
        </is>
      </c>
      <c r="I5" s="12" t="inlineStr">
        <is>
          <t>Views</t>
        </is>
      </c>
      <c r="J5" s="12" t="inlineStr">
        <is>
          <t>Likes</t>
        </is>
      </c>
      <c r="K5" s="12" t="inlineStr">
        <is>
          <t>Comments</t>
        </is>
      </c>
      <c r="L5" s="37" t="inlineStr">
        <is>
          <t>Notes</t>
        </is>
      </c>
      <c r="M5" s="12" t="inlineStr">
        <is>
          <t>Video ID</t>
        </is>
      </c>
      <c r="N5" s="12" t="inlineStr">
        <is>
          <t>Channel ID</t>
        </is>
      </c>
      <c r="O5" s="12" t="inlineStr">
        <is>
          <t>Published UTC</t>
        </is>
      </c>
      <c r="P5" s="12" t="inlineStr">
        <is>
          <t>Day</t>
        </is>
      </c>
      <c r="Q5" s="12" t="inlineStr">
        <is>
          <t>Seq</t>
        </is>
      </c>
      <c r="R5" s="12" t="inlineStr">
        <is>
          <t>Availability</t>
        </is>
      </c>
      <c r="S5" s="12" t="inlineStr">
        <is>
          <t>First Seen</t>
        </is>
      </c>
      <c r="T5" s="12" t="inlineStr">
        <is>
          <t>Last Seen</t>
        </is>
      </c>
      <c r="U5" s="12" t="inlineStr">
        <is>
          <t>Description</t>
        </is>
      </c>
      <c r="V5" s="36" t="inlineStr">
        <is>
          <t>Cal Key</t>
        </is>
      </c>
      <c r="W5" s="36" t="inlineStr">
        <is>
          <t>Queue Key</t>
        </is>
      </c>
      <c r="X5" s="36" t="inlineStr">
        <is>
          <t>Catch Key</t>
        </is>
      </c>
    </row>
    <row r="6">
      <c r="A6" s="38">
        <f>IF(M6="","",HYPERLINK("https://www.youtube.com/watch?v="&amp;M6,"▶"))</f>
        <v/>
      </c>
      <c r="B6" s="39">
        <f>IF(C6&lt;&gt;"",C6,IF(P6&lt;=IFERROR(INDEX(tblChannels[Watched Through],MATCH(N6,tblChannels[Channel ID],0)),0),"Watched","Unwatched"))</f>
        <v/>
      </c>
      <c r="C6" s="40" t="n"/>
      <c r="D6" s="41" t="n"/>
      <c r="E6" s="42" t="n">
        <v>46297.41666666666</v>
      </c>
      <c r="F6" s="43" t="inlineStr">
        <is>
          <t>Popcorn Culture</t>
        </is>
      </c>
      <c r="G6" t="inlineStr">
        <is>
          <t>Top 100 TV Shows! | Popcorn Culture</t>
        </is>
      </c>
      <c r="H6" s="44" t="n">
        <v>0.07789351851851851</v>
      </c>
      <c r="I6" s="45" t="n">
        <v>209</v>
      </c>
      <c r="J6" s="45" t="n">
        <v>16</v>
      </c>
      <c r="K6" s="45" t="n">
        <v>7</v>
      </c>
      <c r="L6" s="46" t="n"/>
      <c r="M6" s="47" t="n"/>
      <c r="N6" s="47" t="inlineStr">
        <is>
          <t>UCHfIbq9thHPC8yrKjAdJgDA</t>
        </is>
      </c>
      <c r="O6" s="48" t="n">
        <v>46297.58333333334</v>
      </c>
      <c r="P6" s="49" t="n">
        <v>46297</v>
      </c>
      <c r="Q6" s="47" t="n">
        <v>3262</v>
      </c>
      <c r="R6" s="47" t="inlineStr">
        <is>
          <t>No Video ID yet</t>
        </is>
      </c>
      <c r="S6" s="49" t="n"/>
      <c r="T6" s="49" t="n"/>
      <c r="U6" s="47" t="inlineStr">
        <is>
          <t>In the 356th episode of the Pop, Ben and J discuss victorious sports, nervous tics, evolution of technology, and the NYT 100 Best TV Shows of the 21st Century. NYT 100 Top Shows List -</t>
        </is>
      </c>
      <c r="V6" s="47">
        <f>IF(AND(P6&gt;=Calendar!$K$2,P6&lt;EDATE(Calendar!$K$2,1),OR(Calendar!$K$4="*",N6=Calendar!$K$4)),P6*100+COUNTIFS($P$6:$P$3267,P6,$Q$6:$Q$3267,"&lt;="&amp;Q6,$N$6:$N$3267,Calendar!$K$4),"")</f>
        <v/>
      </c>
      <c r="W6" s="47">
        <f>IF(AND(B6=Queue!$C$4,OR(Queue!$K$4="*",N6=Queue!$K$4)),Q6,"")</f>
        <v/>
      </c>
    </row>
    <row r="7">
      <c r="A7" s="38">
        <f>IF(M7="","",HYPERLINK("https://www.youtube.com/watch?v="&amp;M7,"▶"))</f>
        <v/>
      </c>
      <c r="B7" s="39">
        <f>IF(C7&lt;&gt;"",C7,IF(P7&lt;=IFERROR(INDEX(tblChannels[Watched Through],MATCH(N7,tblChannels[Channel ID],0)),0),"Watched","Unwatched"))</f>
        <v/>
      </c>
      <c r="C7" s="40" t="n"/>
      <c r="D7" s="41" t="n"/>
      <c r="E7" s="42" t="n">
        <v>46295.64861111111</v>
      </c>
      <c r="F7" s="50" t="inlineStr">
        <is>
          <t>Super Carlin Brothers</t>
        </is>
      </c>
      <c r="G7" t="inlineStr">
        <is>
          <t>Slughorn’s SECRET Son Revealed</t>
        </is>
      </c>
      <c r="H7" s="44" t="n">
        <v>0.01108796296296296</v>
      </c>
      <c r="I7" s="45" t="n">
        <v>62777</v>
      </c>
      <c r="J7" s="45" t="n">
        <v>1573</v>
      </c>
      <c r="K7" s="45" t="n">
        <v>250</v>
      </c>
      <c r="L7" s="46" t="n"/>
      <c r="M7" s="47" t="n"/>
      <c r="N7" s="47" t="inlineStr">
        <is>
          <t>UCKZo4N0lVPccBkSiuyVh4yg</t>
        </is>
      </c>
      <c r="O7" s="48" t="n">
        <v>46295.81527777778</v>
      </c>
      <c r="P7" s="49" t="n">
        <v>46295</v>
      </c>
      <c r="Q7" s="47" t="n">
        <v>3261</v>
      </c>
      <c r="R7" s="47" t="inlineStr">
        <is>
          <t>No Video ID yet</t>
        </is>
      </c>
      <c r="S7" s="49" t="n"/>
      <c r="T7" s="49" t="n"/>
      <c r="U7" s="47" t="inlineStr">
        <is>
          <t>This episode is sponsored by Factor – Head to and use code super50off to get 50% off and 1 free breakfast item per box for 1 year. This episode is sponsored by Raycon – Go to to get 20% off. Today J dives into Horace Slughorn’s memory to find out if he had a secret son hiding in plain sight this whole time. Who was the obsessive love he warns about in potions class? What does it have to do with the Crouch family and was Barty Crouch screaming the truth at us this whole time?! #HarryPotter #supercarlinbrothers</t>
        </is>
      </c>
      <c r="V7" s="47">
        <f>IF(AND(P7&gt;=Calendar!$K$2,P7&lt;EDATE(Calendar!$K$2,1),OR(Calendar!$K$4="*",N7=Calendar!$K$4)),P7*100+COUNTIFS($P$6:$P$3267,P7,$Q$6:$Q$3267,"&lt;="&amp;Q7,$N$6:$N$3267,Calendar!$K$4),"")</f>
        <v/>
      </c>
      <c r="W7" s="47">
        <f>IF(AND(B7=Queue!$C$4,OR(Queue!$K$4="*",N7=Queue!$K$4)),Q7,"")</f>
        <v/>
      </c>
    </row>
    <row r="8">
      <c r="A8" s="38">
        <f>IF(M8="","",HYPERLINK("https://www.youtube.com/watch?v="&amp;M8,"▶"))</f>
        <v/>
      </c>
      <c r="B8" s="39">
        <f>IF(C8&lt;&gt;"",C8,IF(P8&lt;=IFERROR(INDEX(tblChannels[Watched Through],MATCH(N8,tblChannels[Channel ID],0)),0),"Watched","Unwatched"))</f>
        <v/>
      </c>
      <c r="C8" s="40" t="n"/>
      <c r="D8" s="41" t="n"/>
      <c r="E8" s="42" t="n">
        <v>46292.41666666666</v>
      </c>
      <c r="F8" s="51" t="inlineStr">
        <is>
          <t>Through The Griffin Door</t>
        </is>
      </c>
      <c r="G8" t="inlineStr">
        <is>
          <t>Chapter 15: The Unbreakable Vow | Half-Blood Prince</t>
        </is>
      </c>
      <c r="H8" s="44" t="n">
        <v>0.07679398148148148</v>
      </c>
      <c r="I8" s="45" t="n">
        <v>41173</v>
      </c>
      <c r="J8" s="45" t="n">
        <v>692</v>
      </c>
      <c r="K8" s="45" t="n">
        <v>303</v>
      </c>
      <c r="L8" s="46" t="n"/>
      <c r="M8" s="47" t="n"/>
      <c r="N8" s="47" t="inlineStr">
        <is>
          <t>UCEscP6ETYXWSSvsNrDHekMQ</t>
        </is>
      </c>
      <c r="O8" s="48" t="n">
        <v>46292.58333333334</v>
      </c>
      <c r="P8" s="49" t="n">
        <v>46292</v>
      </c>
      <c r="Q8" s="47" t="n">
        <v>3260</v>
      </c>
      <c r="R8" s="47" t="inlineStr">
        <is>
          <t>No Video ID yet</t>
        </is>
      </c>
      <c r="S8" s="49" t="n"/>
      <c r="T8" s="49" t="n"/>
      <c r="U8" s="47" t="inlineStr">
        <is>
          <t>This episode is sponsored by Shopify – Go to shopify.com/griffin to start your free trial! Taking care of your health just got easier – start here with Zocdoc: Join J and Ben as they dive into Chapter 15 of the Half Blood Prince and discuss mistletoe and snogging, finding the name of Charms, everlasting elixirs, a ridiculous Madame Pince moment, cute Harmione moments, Harry going to the party with Luna, Draco getting caught, strawfangs, and Snape and Malfoy’s secret discussion. 05:45 - Chapter Breakdown 59:48 - Ad Break (Shopify &amp; ZocDoc) 1:02:57 - More Chapter Breakdown 1:43:16 - Closing Thoughts and Review</t>
        </is>
      </c>
      <c r="V8" s="47">
        <f>IF(AND(P8&gt;=Calendar!$K$2,P8&lt;EDATE(Calendar!$K$2,1),OR(Calendar!$K$4="*",N8=Calendar!$K$4)),P8*100+COUNTIFS($P$6:$P$3267,P8,$Q$6:$Q$3267,"&lt;="&amp;Q8,$N$6:$N$3267,Calendar!$K$4),"")</f>
        <v/>
      </c>
      <c r="W8" s="47">
        <f>IF(AND(B8=Queue!$C$4,OR(Queue!$K$4="*",N8=Queue!$K$4)),Q8,"")</f>
        <v/>
      </c>
    </row>
    <row r="9">
      <c r="A9" s="38">
        <f>IF(M9="","",HYPERLINK("https://www.youtube.com/watch?v="&amp;M9,"▶"))</f>
        <v/>
      </c>
      <c r="B9" s="39">
        <f>IF(C9&lt;&gt;"",C9,IF(P9&lt;=IFERROR(INDEX(tblChannels[Watched Through],MATCH(N9,tblChannels[Channel ID],0)),0),"Watched","Unwatched"))</f>
        <v/>
      </c>
      <c r="C9" s="40" t="n"/>
      <c r="D9" s="41" t="n"/>
      <c r="E9" s="42" t="n">
        <v>46290.68194444444</v>
      </c>
      <c r="F9" s="50" t="inlineStr">
        <is>
          <t>Super Carlin Brothers</t>
        </is>
      </c>
      <c r="G9" t="inlineStr">
        <is>
          <t>J vs Ben: How Well Do We Know The Boy Who Lived (MAX DIFFICULTY)</t>
        </is>
      </c>
      <c r="H9" s="44" t="n">
        <v>0.03479166666666667</v>
      </c>
      <c r="I9" s="45" t="n">
        <v>102063</v>
      </c>
      <c r="J9" s="45" t="n">
        <v>1791</v>
      </c>
      <c r="K9" s="45" t="n">
        <v>297</v>
      </c>
      <c r="L9" s="46" t="n"/>
      <c r="M9" s="47" t="n"/>
      <c r="N9" s="47" t="inlineStr">
        <is>
          <t>UCKZo4N0lVPccBkSiuyVh4yg</t>
        </is>
      </c>
      <c r="O9" s="48" t="n">
        <v>46290.84861111111</v>
      </c>
      <c r="P9" s="49" t="n">
        <v>46290</v>
      </c>
      <c r="Q9" s="47" t="n">
        <v>3259</v>
      </c>
      <c r="R9" s="47" t="inlineStr">
        <is>
          <t>No Video ID yet</t>
        </is>
      </c>
      <c r="S9" s="49" t="n"/>
      <c r="T9" s="49" t="n"/>
      <c r="U9" s="47" t="inlineStr">
        <is>
          <t>This video is sponsored by Proton VPN – go to to get 70% off a two year plan. This video is also sponsored by Faire – Sign up today and get 50% off your first wholesale order, up to $100 at Today J and Ben face off once more to find out who knows more about The Boy Who Lived, The Chosen One: Harry Potter. As the main character, questions about Harry could come from ANYWHERE and span all 7 books - Have our Quiz Masters managed to stump the guys? Special Thanks to these Quiz Masters: Fate3841, Firemon6000, Hermione Baggins, Mercedes, MrTeacher, Kellbell, Peyton Taylor, Elizabeth Potter, Tina's Hotdog Sophie, TrexDog, Julie Sherwood, LifeIsLavely, Crafty Lizard, Teghan Denlinger, Denise, Bradferd, Elfish Princess Hosted by: Kat Stine</t>
        </is>
      </c>
      <c r="V9" s="47">
        <f>IF(AND(P9&gt;=Calendar!$K$2,P9&lt;EDATE(Calendar!$K$2,1),OR(Calendar!$K$4="*",N9=Calendar!$K$4)),P9*100+COUNTIFS($P$6:$P$3267,P9,$Q$6:$Q$3267,"&lt;="&amp;Q9,$N$6:$N$3267,Calendar!$K$4),"")</f>
        <v/>
      </c>
      <c r="W9" s="47">
        <f>IF(AND(B9=Queue!$C$4,OR(Queue!$K$4="*",N9=Queue!$K$4)),Q9,"")</f>
        <v/>
      </c>
    </row>
    <row r="10">
      <c r="A10" s="38">
        <f>IF(M10="","",HYPERLINK("https://www.youtube.com/watch?v="&amp;M10,"▶"))</f>
        <v/>
      </c>
      <c r="B10" s="39">
        <f>IF(C10&lt;&gt;"",C10,IF(P10&lt;=IFERROR(INDEX(tblChannels[Watched Through],MATCH(N10,tblChannels[Channel ID],0)),0),"Watched","Unwatched"))</f>
        <v/>
      </c>
      <c r="C10" s="40" t="n"/>
      <c r="D10" s="41" t="n"/>
      <c r="E10" s="42" t="n">
        <v>46290.41666666666</v>
      </c>
      <c r="F10" s="43" t="inlineStr">
        <is>
          <t>Popcorn Culture</t>
        </is>
      </c>
      <c r="G10" t="inlineStr">
        <is>
          <t>Tour in a Podshell | Popcorn Culture</t>
        </is>
      </c>
      <c r="H10" s="44" t="n">
        <v>0.04733796296296296</v>
      </c>
      <c r="I10" s="45" t="n">
        <v>3615</v>
      </c>
      <c r="J10" s="45" t="n">
        <v>90</v>
      </c>
      <c r="K10" s="45" t="n">
        <v>18</v>
      </c>
      <c r="L10" s="46" t="n"/>
      <c r="M10" s="47" t="n"/>
      <c r="N10" s="47" t="inlineStr">
        <is>
          <t>UCHfIbq9thHPC8yrKjAdJgDA</t>
        </is>
      </c>
      <c r="O10" s="48" t="n">
        <v>46290.58333333334</v>
      </c>
      <c r="P10" s="49" t="n">
        <v>46290</v>
      </c>
      <c r="Q10" s="47" t="n">
        <v>3258</v>
      </c>
      <c r="R10" s="47" t="inlineStr">
        <is>
          <t>No Video ID yet</t>
        </is>
      </c>
      <c r="S10" s="49" t="n"/>
      <c r="T10" s="49" t="n"/>
      <c r="U10" s="47" t="inlineStr">
        <is>
          <t>In the 355th episode of the Pod, Ben and J discuss all things TOUR: getting locked out of the van, an amazing Boston show, Hartford being AN place, the magic of New York, the race to the finish line and many special moments in between. Lolita -</t>
        </is>
      </c>
      <c r="V10" s="47">
        <f>IF(AND(P10&gt;=Calendar!$K$2,P10&lt;EDATE(Calendar!$K$2,1),OR(Calendar!$K$4="*",N10=Calendar!$K$4)),P10*100+COUNTIFS($P$6:$P$3267,P10,$Q$6:$Q$3267,"&lt;="&amp;Q10,$N$6:$N$3267,Calendar!$K$4),"")</f>
        <v/>
      </c>
      <c r="W10" s="47">
        <f>IF(AND(B10=Queue!$C$4,OR(Queue!$K$4="*",N10=Queue!$K$4)),Q10,"")</f>
        <v/>
      </c>
    </row>
    <row r="11">
      <c r="A11" s="38">
        <f>IF(M11="","",HYPERLINK("https://www.youtube.com/watch?v="&amp;M11,"▶"))</f>
        <v/>
      </c>
      <c r="B11" s="39">
        <f>IF(C11&lt;&gt;"",C11,IF(P11&lt;=IFERROR(INDEX(tblChannels[Watched Through],MATCH(N11,tblChannels[Channel ID],0)),0),"Watched","Unwatched"))</f>
        <v/>
      </c>
      <c r="C11" s="40" t="n"/>
      <c r="D11" s="41" t="n"/>
      <c r="E11" s="42" t="n">
        <v>46289.65347222222</v>
      </c>
      <c r="F11" s="43" t="inlineStr">
        <is>
          <t>Popcorn Culture</t>
        </is>
      </c>
      <c r="G11" t="inlineStr">
        <is>
          <t>Mr. Ben's Worst Day Ever | Popcorn Culture</t>
        </is>
      </c>
      <c r="H11" s="44" t="n">
        <v>0.002627314814814815</v>
      </c>
      <c r="I11" s="45" t="n">
        <v>2235</v>
      </c>
      <c r="J11" s="45" t="n">
        <v>118</v>
      </c>
      <c r="K11" s="45" t="n">
        <v>27</v>
      </c>
      <c r="L11" s="46" t="n"/>
      <c r="M11" s="47" t="n"/>
      <c r="N11" s="47" t="inlineStr">
        <is>
          <t>UCHfIbq9thHPC8yrKjAdJgDA</t>
        </is>
      </c>
      <c r="O11" s="48" t="n">
        <v>46289.82013888889</v>
      </c>
      <c r="P11" s="49" t="n">
        <v>46289</v>
      </c>
      <c r="Q11" s="47" t="n">
        <v>3257</v>
      </c>
      <c r="R11" s="47" t="inlineStr">
        <is>
          <t>No Video ID yet</t>
        </is>
      </c>
      <c r="S11" s="49" t="n"/>
      <c r="T11" s="49" t="n"/>
      <c r="U11" s="47" t="inlineStr">
        <is>
          <t>You know that feeling when the universe is determined to make your own life hard for you? Yeah! That. Watch the full episode: Animated by: Isybelle Christley</t>
        </is>
      </c>
      <c r="V11" s="47">
        <f>IF(AND(P11&gt;=Calendar!$K$2,P11&lt;EDATE(Calendar!$K$2,1),OR(Calendar!$K$4="*",N11=Calendar!$K$4)),P11*100+COUNTIFS($P$6:$P$3267,P11,$Q$6:$Q$3267,"&lt;="&amp;Q11,$N$6:$N$3267,Calendar!$K$4),"")</f>
        <v/>
      </c>
      <c r="W11" s="47">
        <f>IF(AND(B11=Queue!$C$4,OR(Queue!$K$4="*",N11=Queue!$K$4)),Q11,"")</f>
        <v/>
      </c>
    </row>
    <row r="12">
      <c r="A12" s="38">
        <f>IF(M12="","",HYPERLINK("https://www.youtube.com/watch?v="&amp;M12,"▶"))</f>
        <v/>
      </c>
      <c r="B12" s="39">
        <f>IF(C12&lt;&gt;"",C12,IF(P12&lt;=IFERROR(INDEX(tblChannels[Watched Through],MATCH(N12,tblChannels[Channel ID],0)),0),"Watched","Unwatched"))</f>
        <v/>
      </c>
      <c r="C12" s="40" t="n"/>
      <c r="D12" s="41" t="n"/>
      <c r="E12" s="42" t="n">
        <v>46288.67430555556</v>
      </c>
      <c r="F12" s="50" t="inlineStr">
        <is>
          <t>Super Carlin Brothers</t>
        </is>
      </c>
      <c r="G12" t="inlineStr">
        <is>
          <t>Slughorn’s SECRET Role In Creating Voldemort</t>
        </is>
      </c>
      <c r="H12" s="44" t="n">
        <v>0.01101851851851852</v>
      </c>
      <c r="I12" s="45" t="n">
        <v>188618</v>
      </c>
      <c r="J12" s="45" t="n">
        <v>3039</v>
      </c>
      <c r="K12" s="45" t="n">
        <v>280</v>
      </c>
      <c r="L12" s="46" t="n"/>
      <c r="M12" s="47" t="n"/>
      <c r="N12" s="47" t="inlineStr">
        <is>
          <t>UCKZo4N0lVPccBkSiuyVh4yg</t>
        </is>
      </c>
      <c r="O12" s="48" t="n">
        <v>46288.84097222222</v>
      </c>
      <c r="P12" s="49" t="n">
        <v>46288</v>
      </c>
      <c r="Q12" s="47" t="n">
        <v>3256</v>
      </c>
      <c r="R12" s="47" t="inlineStr">
        <is>
          <t>No Video ID yet</t>
        </is>
      </c>
      <c r="S12" s="49" t="n"/>
      <c r="T12" s="49" t="n"/>
      <c r="U12" s="47" t="inlineStr">
        <is>
          <t>This show is sponsored by BetterHelp. Go to to get 10% off your first month. Head to and use code super50off to get 50% off and 1 free breakfast item per box for 1 year. What if Slughorn’s role in Voldemort’s story began long before he explained Horcruxes to Tom Riddle? Today Ben dives into the Wizarding World of Harry Potter and Voldemort’s past. From Merope Gaunt and the Slug Club to Tom’s first connections at Hogwarts, we’re tracing a theory that puts Horace Slughorn at nearly every turning point in Voldemort’s rise. Then there’s a strange run of luck involving Harry, the Half-Blood Prince’s potion book, and Felix Felicis that may have helped bring Voldemort down. Did Slughorn accidentally help create the Dark Lord and give Harry the means to defeat him? Let’s dive on in!</t>
        </is>
      </c>
      <c r="V12" s="47">
        <f>IF(AND(P12&gt;=Calendar!$K$2,P12&lt;EDATE(Calendar!$K$2,1),OR(Calendar!$K$4="*",N12=Calendar!$K$4)),P12*100+COUNTIFS($P$6:$P$3267,P12,$Q$6:$Q$3267,"&lt;="&amp;Q12,$N$6:$N$3267,Calendar!$K$4),"")</f>
        <v/>
      </c>
      <c r="W12" s="47">
        <f>IF(AND(B12=Queue!$C$4,OR(Queue!$K$4="*",N12=Queue!$K$4)),Q12,"")</f>
        <v/>
      </c>
    </row>
    <row r="13">
      <c r="A13" s="38">
        <f>IF(M13="","",HYPERLINK("https://www.youtube.com/watch?v="&amp;M13,"▶"))</f>
        <v/>
      </c>
      <c r="B13" s="39">
        <f>IF(C13&lt;&gt;"",C13,IF(P13&lt;=IFERROR(INDEX(tblChannels[Watched Through],MATCH(N13,tblChannels[Channel ID],0)),0),"Watched","Unwatched"))</f>
        <v/>
      </c>
      <c r="C13" s="40" t="n"/>
      <c r="D13" s="41" t="n"/>
      <c r="E13" s="42" t="n">
        <v>46285.41666666666</v>
      </c>
      <c r="F13" s="51" t="inlineStr">
        <is>
          <t>Through The Griffin Door</t>
        </is>
      </c>
      <c r="G13" t="inlineStr">
        <is>
          <t>The Owlery Special Part 5!</t>
        </is>
      </c>
      <c r="H13" s="44" t="n">
        <v>0.05418981481481482</v>
      </c>
      <c r="I13" s="45" t="n">
        <v>25554</v>
      </c>
      <c r="J13" s="45" t="n">
        <v>452</v>
      </c>
      <c r="K13" s="45" t="n">
        <v>122</v>
      </c>
      <c r="L13" s="46" t="n"/>
      <c r="M13" s="47" t="n"/>
      <c r="N13" s="47" t="inlineStr">
        <is>
          <t>UCEscP6ETYXWSSvsNrDHekMQ</t>
        </is>
      </c>
      <c r="O13" s="48" t="n">
        <v>46285.58333333334</v>
      </c>
      <c r="P13" s="49" t="n">
        <v>46285</v>
      </c>
      <c r="Q13" s="47" t="n">
        <v>3255</v>
      </c>
      <c r="R13" s="47" t="inlineStr">
        <is>
          <t>No Video ID yet</t>
        </is>
      </c>
      <c r="S13" s="49" t="n"/>
      <c r="T13" s="49" t="n"/>
      <c r="U13" s="47" t="inlineStr">
        <is>
          <t>Join J and Ben as they dive into YOUR QUESTIONS and answer the questions: How EXACTLY does the Unbreakable Vow work? What would have changed if Sirius just picked up Voldy's wand in the Godric's Hollow wreckage? Is Peter Pettigrew actually INCREDIBLY powerful? Do you want to have your questions answered on a future episode of The Owlery? Support us on Patreon: 02:12 - Question 1 27:08 - Question 2 53:40 - Question 3 Edited by :: Ethan Edghill and Isybelle Christley</t>
        </is>
      </c>
      <c r="V13" s="47">
        <f>IF(AND(P13&gt;=Calendar!$K$2,P13&lt;EDATE(Calendar!$K$2,1),OR(Calendar!$K$4="*",N13=Calendar!$K$4)),P13*100+COUNTIFS($P$6:$P$3267,P13,$Q$6:$Q$3267,"&lt;="&amp;Q13,$N$6:$N$3267,Calendar!$K$4),"")</f>
        <v/>
      </c>
      <c r="W13" s="47">
        <f>IF(AND(B13=Queue!$C$4,OR(Queue!$K$4="*",N13=Queue!$K$4)),Q13,"")</f>
        <v/>
      </c>
    </row>
    <row r="14">
      <c r="A14" s="38">
        <f>IF(M14="","",HYPERLINK("https://www.youtube.com/watch?v="&amp;M14,"▶"))</f>
        <v/>
      </c>
      <c r="B14" s="39">
        <f>IF(C14&lt;&gt;"",C14,IF(P14&lt;=IFERROR(INDEX(tblChannels[Watched Through],MATCH(N14,tblChannels[Channel ID],0)),0),"Watched","Unwatched"))</f>
        <v/>
      </c>
      <c r="C14" s="40" t="n"/>
      <c r="D14" s="41" t="n"/>
      <c r="E14" s="42" t="n">
        <v>46283.625</v>
      </c>
      <c r="F14" s="50" t="inlineStr">
        <is>
          <t>Super Carlin Brothers</t>
        </is>
      </c>
      <c r="G14" t="inlineStr">
        <is>
          <t>J &amp; Ben VS AI - Harry Potter Trivia</t>
        </is>
      </c>
      <c r="H14" s="44" t="n">
        <v>0.03126157407407407</v>
      </c>
      <c r="I14" s="45" t="n">
        <v>115261</v>
      </c>
      <c r="J14" s="45" t="n">
        <v>2389</v>
      </c>
      <c r="K14" s="45" t="n">
        <v>450</v>
      </c>
      <c r="L14" s="46" t="n"/>
      <c r="M14" s="47" t="n"/>
      <c r="N14" s="47" t="inlineStr">
        <is>
          <t>UCKZo4N0lVPccBkSiuyVh4yg</t>
        </is>
      </c>
      <c r="O14" s="48" t="n">
        <v>46283.79166666666</v>
      </c>
      <c r="P14" s="49" t="n">
        <v>46283</v>
      </c>
      <c r="Q14" s="47" t="n">
        <v>3254</v>
      </c>
      <c r="R14" s="47" t="inlineStr">
        <is>
          <t>No Video ID yet</t>
        </is>
      </c>
      <c r="S14" s="49" t="n"/>
      <c r="T14" s="49" t="n"/>
      <c r="U14" s="47" t="inlineStr">
        <is>
          <t>Today J and Ben join forces to take down Artificial Intelligence as they compete with ChatGPT in Harry Potter Trivia. AI might be able to read all 7 books in 3 seconds… but can it remember which kids Voldemort brought to the cave? Which Weasley went through platform 9 ¾ first? Play Along With Us ::</t>
        </is>
      </c>
      <c r="V14" s="47">
        <f>IF(AND(P14&gt;=Calendar!$K$2,P14&lt;EDATE(Calendar!$K$2,1),OR(Calendar!$K$4="*",N14=Calendar!$K$4)),P14*100+COUNTIFS($P$6:$P$3267,P14,$Q$6:$Q$3267,"&lt;="&amp;Q14,$N$6:$N$3267,Calendar!$K$4),"")</f>
        <v/>
      </c>
      <c r="W14" s="47">
        <f>IF(AND(B14=Queue!$C$4,OR(Queue!$K$4="*",N14=Queue!$K$4)),Q14,"")</f>
        <v/>
      </c>
    </row>
    <row r="15">
      <c r="A15" s="38">
        <f>IF(M15="","",HYPERLINK("https://www.youtube.com/watch?v="&amp;M15,"▶"))</f>
        <v/>
      </c>
      <c r="B15" s="39">
        <f>IF(C15&lt;&gt;"",C15,IF(P15&lt;=IFERROR(INDEX(tblChannels[Watched Through],MATCH(N15,tblChannels[Channel ID],0)),0),"Watched","Unwatched"))</f>
        <v/>
      </c>
      <c r="C15" s="40" t="n"/>
      <c r="D15" s="41" t="n"/>
      <c r="E15" s="42" t="n">
        <v>46283.41666666666</v>
      </c>
      <c r="F15" s="43" t="inlineStr">
        <is>
          <t>Popcorn Culture</t>
        </is>
      </c>
      <c r="G15" t="inlineStr">
        <is>
          <t>The Roanoke Bracket | Popcorn Culture</t>
        </is>
      </c>
      <c r="H15" s="44" t="n">
        <v>0.05040509259259259</v>
      </c>
      <c r="I15" s="45" t="n">
        <v>3167</v>
      </c>
      <c r="J15" s="45" t="n">
        <v>96</v>
      </c>
      <c r="K15" s="45" t="n">
        <v>22</v>
      </c>
      <c r="L15" s="46" t="n"/>
      <c r="M15" s="47" t="n"/>
      <c r="N15" s="47" t="inlineStr">
        <is>
          <t>UCHfIbq9thHPC8yrKjAdJgDA</t>
        </is>
      </c>
      <c r="O15" s="48" t="n">
        <v>46283.58333333334</v>
      </c>
      <c r="P15" s="49" t="n">
        <v>46283</v>
      </c>
      <c r="Q15" s="47" t="n">
        <v>3253</v>
      </c>
      <c r="R15" s="47" t="inlineStr">
        <is>
          <t>No Video ID yet</t>
        </is>
      </c>
      <c r="S15" s="49" t="n"/>
      <c r="T15" s="49" t="n"/>
      <c r="U15" s="47" t="inlineStr">
        <is>
          <t>In the 354th episode of the PopBen and J discuss tour prep, a Roanoke this or that, camaraderie of sports, buying a movie theater, classic Hollywood stories, and CGI Bluey. CGI Bluey Trailer - 2D vs CGI 00:00 - Intro, Tour Prep 01:37 - Improving Roanoke 46:57 - Bringing Back the Oldies 56:40 - CGI Bluey</t>
        </is>
      </c>
      <c r="V15" s="47">
        <f>IF(AND(P15&gt;=Calendar!$K$2,P15&lt;EDATE(Calendar!$K$2,1),OR(Calendar!$K$4="*",N15=Calendar!$K$4)),P15*100+COUNTIFS($P$6:$P$3267,P15,$Q$6:$Q$3267,"&lt;="&amp;Q15,$N$6:$N$3267,Calendar!$K$4),"")</f>
        <v/>
      </c>
      <c r="W15" s="47">
        <f>IF(AND(B15=Queue!$C$4,OR(Queue!$K$4="*",N15=Queue!$K$4)),Q15,"")</f>
        <v/>
      </c>
    </row>
    <row r="16">
      <c r="A16" s="38">
        <f>IF(M16="","",HYPERLINK("https://www.youtube.com/watch?v="&amp;M16,"▶"))</f>
        <v/>
      </c>
      <c r="B16" s="39">
        <f>IF(C16&lt;&gt;"",C16,IF(P16&lt;=IFERROR(INDEX(tblChannels[Watched Through],MATCH(N16,tblChannels[Channel ID],0)),0),"Watched","Unwatched"))</f>
        <v/>
      </c>
      <c r="C16" s="40" t="n"/>
      <c r="D16" s="41" t="n"/>
      <c r="E16" s="42" t="n">
        <v>46281.625</v>
      </c>
      <c r="F16" s="50" t="inlineStr">
        <is>
          <t>Super Carlin Brothers</t>
        </is>
      </c>
      <c r="G16" t="inlineStr">
        <is>
          <t>Theories From A Hat: Defending MORE Wild Harry Potter Theories</t>
        </is>
      </c>
      <c r="H16" s="44" t="n">
        <v>0.0271875</v>
      </c>
      <c r="I16" s="45" t="n">
        <v>104475</v>
      </c>
      <c r="J16" s="45" t="n">
        <v>1972</v>
      </c>
      <c r="K16" s="45" t="n">
        <v>409</v>
      </c>
      <c r="L16" s="46" t="n"/>
      <c r="M16" s="47" t="n"/>
      <c r="N16" s="47" t="inlineStr">
        <is>
          <t>UCKZo4N0lVPccBkSiuyVh4yg</t>
        </is>
      </c>
      <c r="O16" s="48" t="n">
        <v>46281.79166666666</v>
      </c>
      <c r="P16" s="49" t="n">
        <v>46281</v>
      </c>
      <c r="Q16" s="47" t="n">
        <v>3252</v>
      </c>
      <c r="R16" s="47" t="inlineStr">
        <is>
          <t>No Video ID yet</t>
        </is>
      </c>
      <c r="S16" s="49" t="n"/>
      <c r="T16" s="49" t="n"/>
      <c r="U16" s="47" t="inlineStr">
        <is>
          <t>This show is sponsored by BetterHelp – Go to Today J and Ben are diving into the magical Theory Hat once more to draw and defend your craziest, worst and funniest Harry Potter theories on the fly! Was Snape ACTUALLY in love with James? Did Moody create a Horcrux? Is Felix Felicis just bourbon? Was Hermione secretly in love with Harry?? #HarryPotter #supercarlinbrothers</t>
        </is>
      </c>
      <c r="V16" s="47">
        <f>IF(AND(P16&gt;=Calendar!$K$2,P16&lt;EDATE(Calendar!$K$2,1),OR(Calendar!$K$4="*",N16=Calendar!$K$4)),P16*100+COUNTIFS($P$6:$P$3267,P16,$Q$6:$Q$3267,"&lt;="&amp;Q16,$N$6:$N$3267,Calendar!$K$4),"")</f>
        <v/>
      </c>
      <c r="W16" s="47">
        <f>IF(AND(B16=Queue!$C$4,OR(Queue!$K$4="*",N16=Queue!$K$4)),Q16,"")</f>
        <v/>
      </c>
    </row>
    <row r="17">
      <c r="A17" s="38">
        <f>IF(M17="","",HYPERLINK("https://www.youtube.com/watch?v="&amp;M17,"▶"))</f>
        <v/>
      </c>
      <c r="B17" s="39">
        <f>IF(C17&lt;&gt;"",C17,IF(P17&lt;=IFERROR(INDEX(tblChannels[Watched Through],MATCH(N17,tblChannels[Channel ID],0)),0),"Watched","Unwatched"))</f>
        <v/>
      </c>
      <c r="C17" s="40" t="n"/>
      <c r="D17" s="41" t="n"/>
      <c r="E17" s="42" t="n">
        <v>46278.47569444445</v>
      </c>
      <c r="F17" s="51" t="inlineStr">
        <is>
          <t>Through The Griffin Door</t>
        </is>
      </c>
      <c r="G17" t="inlineStr">
        <is>
          <t>Chapter 14: Felix Felicis | Half-Blood Prince</t>
        </is>
      </c>
      <c r="H17" s="44" t="n">
        <v>0.07971064814814814</v>
      </c>
      <c r="I17" s="45" t="n">
        <v>38643</v>
      </c>
      <c r="J17" s="45" t="n">
        <v>813</v>
      </c>
      <c r="K17" s="45" t="n">
        <v>243</v>
      </c>
      <c r="L17" s="46" t="n"/>
      <c r="M17" s="47" t="n"/>
      <c r="N17" s="47" t="inlineStr">
        <is>
          <t>UCEscP6ETYXWSSvsNrDHekMQ</t>
        </is>
      </c>
      <c r="O17" s="48" t="n">
        <v>46278.64236111111</v>
      </c>
      <c r="P17" s="49" t="n">
        <v>46278</v>
      </c>
      <c r="Q17" s="47" t="n">
        <v>3251</v>
      </c>
      <c r="R17" s="47" t="inlineStr">
        <is>
          <t>No Video ID yet</t>
        </is>
      </c>
      <c r="S17" s="49" t="n"/>
      <c r="T17" s="49" t="n"/>
      <c r="U17" s="47" t="inlineStr">
        <is>
          <t>This episode is sponsored by Shopify – Go to shopify.com/griffin to start your free trial! Join J and Ben as they dive into Chapter 14 of the Half Blood Prince and discuss “weird mist”, new Voldemort “lore”, Neville crushing herbology, gross plants, the snogging conflict with Ginny, Harry’s placebo plan, Hermione’s fumble, and the beginning of WonWon and LavLav. 5:53- Chapter Breakdown 52:52 - Ad Break (Shopify) 54:33 - More Chapter Breakdown 1:41:11- Closing Thoughts and Review</t>
        </is>
      </c>
      <c r="V17" s="47">
        <f>IF(AND(P17&gt;=Calendar!$K$2,P17&lt;EDATE(Calendar!$K$2,1),OR(Calendar!$K$4="*",N17=Calendar!$K$4)),P17*100+COUNTIFS($P$6:$P$3267,P17,$Q$6:$Q$3267,"&lt;="&amp;Q17,$N$6:$N$3267,Calendar!$K$4),"")</f>
        <v/>
      </c>
      <c r="W17" s="47">
        <f>IF(AND(B17=Queue!$C$4,OR(Queue!$K$4="*",N17=Queue!$K$4)),Q17,"")</f>
        <v/>
      </c>
    </row>
    <row r="18">
      <c r="A18" s="38">
        <f>IF(M18="","",HYPERLINK("https://www.youtube.com/watch?v="&amp;M18,"▶"))</f>
        <v/>
      </c>
      <c r="B18" s="39">
        <f>IF(C18&lt;&gt;"",C18,IF(P18&lt;=IFERROR(INDEX(tblChannels[Watched Through],MATCH(N18,tblChannels[Channel ID],0)),0),"Watched","Unwatched"))</f>
        <v/>
      </c>
      <c r="C18" s="40" t="n"/>
      <c r="D18" s="41" t="n"/>
      <c r="E18" s="42" t="n">
        <v>46276.625</v>
      </c>
      <c r="F18" s="50" t="inlineStr">
        <is>
          <t>Super Carlin Brothers</t>
        </is>
      </c>
      <c r="G18" t="inlineStr">
        <is>
          <t>J vs Ben: MAX Difficulty Muggle Born Harry Potter Quiz</t>
        </is>
      </c>
      <c r="H18" s="44" t="n">
        <v>0.03378472222222222</v>
      </c>
      <c r="I18" s="45" t="n">
        <v>103882</v>
      </c>
      <c r="J18" s="45" t="n">
        <v>1907</v>
      </c>
      <c r="K18" s="45" t="n">
        <v>369</v>
      </c>
      <c r="L18" s="46" t="n"/>
      <c r="M18" s="47" t="n"/>
      <c r="N18" s="47" t="inlineStr">
        <is>
          <t>UCKZo4N0lVPccBkSiuyVh4yg</t>
        </is>
      </c>
      <c r="O18" s="48" t="n">
        <v>46276.79166666666</v>
      </c>
      <c r="P18" s="49" t="n">
        <v>46276</v>
      </c>
      <c r="Q18" s="47" t="n">
        <v>3250</v>
      </c>
      <c r="R18" s="47" t="inlineStr">
        <is>
          <t>No Video ID yet</t>
        </is>
      </c>
      <c r="S18" s="49" t="n"/>
      <c r="T18" s="49" t="n"/>
      <c r="U18" s="47" t="inlineStr">
        <is>
          <t>This episode is sponsored by Proton VPN - For 70% off a two year plan go to This episode is sponsored by Factor - Head to and use code jvsb50off to get 50 percent off and 1 free breakfast item per box for 1 year Today J and Ben face off once more to find out who knows more about the Wizarding World of Harry Potter as they take on a MAX Difficulty Muggle Born Quiz submitted by our dastardly Quiz Masters! (jk we love you all) Play Along With Us :: Special thanks to these Quiz Masters: Dola, KellBell, Penguin - Taylor, Fis, Drawing Xaos, GooeyChewie, Jessica Theriault, SweaterBrothers, Crafty Lizard, Elijah, Katrina(aaah!), LawNinja, prastarkeepers, Braferd, GenKenobi, Mustard Beaver, BoullionCube, Tara Walker Edited by: Riley Murtagh</t>
        </is>
      </c>
      <c r="V18" s="47">
        <f>IF(AND(P18&gt;=Calendar!$K$2,P18&lt;EDATE(Calendar!$K$2,1),OR(Calendar!$K$4="*",N18=Calendar!$K$4)),P18*100+COUNTIFS($P$6:$P$3267,P18,$Q$6:$Q$3267,"&lt;="&amp;Q18,$N$6:$N$3267,Calendar!$K$4),"")</f>
        <v/>
      </c>
      <c r="W18" s="47">
        <f>IF(AND(B18=Queue!$C$4,OR(Queue!$K$4="*",N18=Queue!$K$4)),Q18,"")</f>
        <v/>
      </c>
    </row>
    <row r="19">
      <c r="A19" s="38">
        <f>IF(M19="","",HYPERLINK("https://www.youtube.com/watch?v="&amp;M19,"▶"))</f>
        <v/>
      </c>
      <c r="B19" s="39">
        <f>IF(C19&lt;&gt;"",C19,IF(P19&lt;=IFERROR(INDEX(tblChannels[Watched Through],MATCH(N19,tblChannels[Channel ID],0)),0),"Watched","Unwatched"))</f>
        <v/>
      </c>
      <c r="C19" s="40" t="n"/>
      <c r="D19" s="41" t="n"/>
      <c r="E19" s="42" t="n">
        <v>46276.41666666666</v>
      </c>
      <c r="F19" s="43" t="inlineStr">
        <is>
          <t>Popcorn Culture</t>
        </is>
      </c>
      <c r="G19" t="inlineStr">
        <is>
          <t>Betty and the Chair | Popcorn Culture</t>
        </is>
      </c>
      <c r="H19" s="44" t="n">
        <v>0.04520833333333334</v>
      </c>
      <c r="I19" s="45" t="n">
        <v>2979</v>
      </c>
      <c r="J19" s="45" t="n">
        <v>98</v>
      </c>
      <c r="K19" s="45" t="n">
        <v>29</v>
      </c>
      <c r="L19" s="46" t="n"/>
      <c r="M19" s="47" t="n"/>
      <c r="N19" s="47" t="inlineStr">
        <is>
          <t>UCHfIbq9thHPC8yrKjAdJgDA</t>
        </is>
      </c>
      <c r="O19" s="48" t="n">
        <v>46276.58333333334</v>
      </c>
      <c r="P19" s="49" t="n">
        <v>46276</v>
      </c>
      <c r="Q19" s="47" t="n">
        <v>3249</v>
      </c>
      <c r="R19" s="47" t="inlineStr">
        <is>
          <t>No Video ID yet</t>
        </is>
      </c>
      <c r="S19" s="49" t="n"/>
      <c r="T19" s="49" t="n"/>
      <c r="U19" s="47" t="inlineStr">
        <is>
          <t>In the 353rd episode of the Pop, Ben and J discuss trolling on Facebook, a book idea, and sports strategy. SecretLabs Link - Pluribus - Project Hail Mary - The Martian - 00:00 - Intro, Facebook Marketplace 22:46 - Human Generated AI 42:24 - A Blue Bulls Update</t>
        </is>
      </c>
      <c r="V19" s="47">
        <f>IF(AND(P19&gt;=Calendar!$K$2,P19&lt;EDATE(Calendar!$K$2,1),OR(Calendar!$K$4="*",N19=Calendar!$K$4)),P19*100+COUNTIFS($P$6:$P$3267,P19,$Q$6:$Q$3267,"&lt;="&amp;Q19,$N$6:$N$3267,Calendar!$K$4),"")</f>
        <v/>
      </c>
      <c r="W19" s="47">
        <f>IF(AND(B19=Queue!$C$4,OR(Queue!$K$4="*",N19=Queue!$K$4)),Q19,"")</f>
        <v/>
      </c>
    </row>
    <row r="20">
      <c r="A20" s="38">
        <f>IF(M20="","",HYPERLINK("https://www.youtube.com/watch?v="&amp;M20,"▶"))</f>
        <v/>
      </c>
      <c r="B20" s="39">
        <f>IF(C20&lt;&gt;"",C20,IF(P20&lt;=IFERROR(INDEX(tblChannels[Watched Through],MATCH(N20,tblChannels[Channel ID],0)),0),"Watched","Unwatched"))</f>
        <v/>
      </c>
      <c r="C20" s="40" t="n"/>
      <c r="D20" s="41" t="n"/>
      <c r="E20" s="42" t="n">
        <v>46274.625</v>
      </c>
      <c r="F20" s="50" t="inlineStr">
        <is>
          <t>Super Carlin Brothers</t>
        </is>
      </c>
      <c r="G20" t="inlineStr">
        <is>
          <t>Hedwig Was an Animagus… And I Can Prove It</t>
        </is>
      </c>
      <c r="H20" s="44" t="n">
        <v>0.01186342592592593</v>
      </c>
      <c r="I20" s="45" t="n">
        <v>384535</v>
      </c>
      <c r="J20" s="45" t="n">
        <v>5502</v>
      </c>
      <c r="K20" s="45" t="n">
        <v>783</v>
      </c>
      <c r="L20" s="46" t="n"/>
      <c r="M20" s="47" t="n"/>
      <c r="N20" s="47" t="inlineStr">
        <is>
          <t>UCKZo4N0lVPccBkSiuyVh4yg</t>
        </is>
      </c>
      <c r="O20" s="48" t="n">
        <v>46274.79166666666</v>
      </c>
      <c r="P20" s="49" t="n">
        <v>46274</v>
      </c>
      <c r="Q20" s="47" t="n">
        <v>3248</v>
      </c>
      <c r="R20" s="47" t="inlineStr">
        <is>
          <t>No Video ID yet</t>
        </is>
      </c>
      <c r="S20" s="49" t="n"/>
      <c r="T20" s="49" t="n"/>
      <c r="U20" s="47" t="inlineStr">
        <is>
          <t>This show is sponsored by BetterHelp – Go to This show is sponsored by Shopify – Start your free trial at Harry Potter’s snowy owl has always been unusually intelligent — but there may be a reason for that. Today we're diving into one of our wildest Harry Potter theories yet: that Hedwig was actually an Animagus secretly tasked with watching over Harry. And once you start looking at the evidence — her strange behavior, her connection to Dumbledore, the Animagus registry, Nicolas and Perenelle Flamel, and the exact timing of Hedwig's death — this theory gets WAY more convincing than it has any right to be. #HarryPotter #WizardingWorld #SuperCarlinBrothers</t>
        </is>
      </c>
      <c r="V20" s="47">
        <f>IF(AND(P20&gt;=Calendar!$K$2,P20&lt;EDATE(Calendar!$K$2,1),OR(Calendar!$K$4="*",N20=Calendar!$K$4)),P20*100+COUNTIFS($P$6:$P$3267,P20,$Q$6:$Q$3267,"&lt;="&amp;Q20,$N$6:$N$3267,Calendar!$K$4),"")</f>
        <v/>
      </c>
      <c r="W20" s="47">
        <f>IF(AND(B20=Queue!$C$4,OR(Queue!$K$4="*",N20=Queue!$K$4)),Q20,"")</f>
        <v/>
      </c>
    </row>
    <row r="21">
      <c r="A21" s="38">
        <f>IF(M21="","",HYPERLINK("https://www.youtube.com/watch?v="&amp;M21,"▶"))</f>
        <v/>
      </c>
      <c r="B21" s="39">
        <f>IF(C21&lt;&gt;"",C21,IF(P21&lt;=IFERROR(INDEX(tblChannels[Watched Through],MATCH(N21,tblChannels[Channel ID],0)),0),"Watched","Unwatched"))</f>
        <v/>
      </c>
      <c r="C21" s="40" t="n"/>
      <c r="D21" s="41" t="n"/>
      <c r="E21" s="42" t="n">
        <v>46271.41666666666</v>
      </c>
      <c r="F21" s="51" t="inlineStr">
        <is>
          <t>Through The Griffin Door</t>
        </is>
      </c>
      <c r="G21" t="inlineStr">
        <is>
          <t>Chapter 13: The Secret Riddle | Half-Blood Prince</t>
        </is>
      </c>
      <c r="H21" s="44" t="n">
        <v>0.06916666666666667</v>
      </c>
      <c r="I21" s="45" t="n">
        <v>38028</v>
      </c>
      <c r="J21" s="45" t="n">
        <v>823</v>
      </c>
      <c r="K21" s="45" t="n">
        <v>303</v>
      </c>
      <c r="L21" s="46" t="n"/>
      <c r="M21" s="47" t="n"/>
      <c r="N21" s="47" t="inlineStr">
        <is>
          <t>UCEscP6ETYXWSSvsNrDHekMQ</t>
        </is>
      </c>
      <c r="O21" s="48" t="n">
        <v>46271.58333333334</v>
      </c>
      <c r="P21" s="49" t="n">
        <v>46271</v>
      </c>
      <c r="Q21" s="47" t="n">
        <v>3247</v>
      </c>
      <c r="R21" s="47" t="inlineStr">
        <is>
          <t>No Video ID yet</t>
        </is>
      </c>
      <c r="S21" s="49" t="n"/>
      <c r="T21" s="49" t="n"/>
      <c r="U21" s="47" t="inlineStr">
        <is>
          <t>Join J and Ben as they dive into Chapter 13 of the Half Blood Prince and discuss the debrief with Dumbledore, obscurus magic, getting Mrs. Cole drunk, and Tom as a child. Thanos - The Pensieve’s Dark Twin - 0:04:11 - Chapter Breakdown 1:33:11 - Closing Thoughts and Review</t>
        </is>
      </c>
      <c r="V21" s="47">
        <f>IF(AND(P21&gt;=Calendar!$K$2,P21&lt;EDATE(Calendar!$K$2,1),OR(Calendar!$K$4="*",N21=Calendar!$K$4)),P21*100+COUNTIFS($P$6:$P$3267,P21,$Q$6:$Q$3267,"&lt;="&amp;Q21,$N$6:$N$3267,Calendar!$K$4),"")</f>
        <v/>
      </c>
      <c r="W21" s="47">
        <f>IF(AND(B21=Queue!$C$4,OR(Queue!$K$4="*",N21=Queue!$K$4)),Q21,"")</f>
        <v/>
      </c>
    </row>
    <row r="22">
      <c r="A22" s="38">
        <f>IF(M22="","",HYPERLINK("https://www.youtube.com/watch?v="&amp;M22,"▶"))</f>
        <v/>
      </c>
      <c r="B22" s="39">
        <f>IF(C22&lt;&gt;"",C22,IF(P22&lt;=IFERROR(INDEX(tblChannels[Watched Through],MATCH(N22,tblChannels[Channel ID],0)),0),"Watched","Unwatched"))</f>
        <v/>
      </c>
      <c r="C22" s="40" t="n"/>
      <c r="D22" s="41" t="n"/>
      <c r="E22" s="42" t="n">
        <v>46269.41666666666</v>
      </c>
      <c r="F22" s="43" t="inlineStr">
        <is>
          <t>Popcorn Culture</t>
        </is>
      </c>
      <c r="G22" t="inlineStr">
        <is>
          <t>The Birth of Burbles (WITH ALYCE!) | Popcorn Culture</t>
        </is>
      </c>
      <c r="H22" s="44" t="n">
        <v>0.04740740740740741</v>
      </c>
      <c r="I22" s="45" t="n">
        <v>7115</v>
      </c>
      <c r="J22" s="45" t="n">
        <v>142</v>
      </c>
      <c r="K22" s="45" t="n">
        <v>26</v>
      </c>
      <c r="L22" s="46" t="n"/>
      <c r="M22" s="47" t="n"/>
      <c r="N22" s="47" t="inlineStr">
        <is>
          <t>UCHfIbq9thHPC8yrKjAdJgDA</t>
        </is>
      </c>
      <c r="O22" s="48" t="n">
        <v>46269.58333333334</v>
      </c>
      <c r="P22" s="49" t="n">
        <v>46269</v>
      </c>
      <c r="Q22" s="47" t="n">
        <v>3246</v>
      </c>
      <c r="R22" s="47" t="inlineStr">
        <is>
          <t>No Video ID yet</t>
        </is>
      </c>
      <c r="S22" s="49" t="n"/>
      <c r="T22" s="49" t="n"/>
      <c r="U22" s="47" t="inlineStr">
        <is>
          <t>In the 352nd episode of the Pop, Ben and ALYCE discuss their dreams for New’d, their hopeful England itinerary, F1, Ben’s sleep talking red flags, degree of difficulty of their jobs, favorite movies, Tiana’s Bayou, Addy’s confidence, name spellings, cemeteries, F1 - Clarkson’s Farm - Downton Abbey - Trek Trendy - Christopher Robin - One Piece - Dungeons and Dragons - Lord of the Rings Movies - Pitch Perfect - 00:00 - Intro, Cliff Jumping 04:07 - Dreamin’ 26:58 - Switching Jobs 31:56 - Favorite Movies 41:08 - Disney Parks with Addy 50:09 - Season Tickets 54:55 - Name Spelling</t>
        </is>
      </c>
      <c r="V22" s="47">
        <f>IF(AND(P22&gt;=Calendar!$K$2,P22&lt;EDATE(Calendar!$K$2,1),OR(Calendar!$K$4="*",N22=Calendar!$K$4)),P22*100+COUNTIFS($P$6:$P$3267,P22,$Q$6:$Q$3267,"&lt;="&amp;Q22,$N$6:$N$3267,Calendar!$K$4),"")</f>
        <v/>
      </c>
      <c r="W22" s="47">
        <f>IF(AND(B22=Queue!$C$4,OR(Queue!$K$4="*",N22=Queue!$K$4)),Q22,"")</f>
        <v/>
      </c>
    </row>
    <row r="23">
      <c r="A23" s="38">
        <f>IF(M23="","",HYPERLINK("https://www.youtube.com/watch?v="&amp;M23,"▶"))</f>
        <v/>
      </c>
      <c r="B23" s="39">
        <f>IF(C23&lt;&gt;"",C23,IF(P23&lt;=IFERROR(INDEX(tblChannels[Watched Through],MATCH(N23,tblChannels[Channel ID],0)),0),"Watched","Unwatched"))</f>
        <v/>
      </c>
      <c r="C23" s="40" t="n"/>
      <c r="D23" s="41" t="n"/>
      <c r="E23" s="42" t="n">
        <v>46268.70833333334</v>
      </c>
      <c r="F23" s="50" t="inlineStr">
        <is>
          <t>Super Carlin Brothers</t>
        </is>
      </c>
      <c r="G23" t="inlineStr">
        <is>
          <t>Harry Potter HBO Trailer 2: Everything You Missed!</t>
        </is>
      </c>
      <c r="H23" s="44" t="n">
        <v>0.01802083333333333</v>
      </c>
      <c r="I23" s="45" t="n">
        <v>565277</v>
      </c>
      <c r="J23" s="45" t="n">
        <v>7688</v>
      </c>
      <c r="K23" s="45" t="n">
        <v>1412</v>
      </c>
      <c r="L23" s="46" t="n"/>
      <c r="M23" s="47" t="n"/>
      <c r="N23" s="47" t="inlineStr">
        <is>
          <t>UCKZo4N0lVPccBkSiuyVh4yg</t>
        </is>
      </c>
      <c r="O23" s="48" t="n">
        <v>46268.875</v>
      </c>
      <c r="P23" s="49" t="n">
        <v>46268</v>
      </c>
      <c r="Q23" s="47" t="n">
        <v>3245</v>
      </c>
      <c r="R23" s="47" t="inlineStr">
        <is>
          <t>No Video ID yet</t>
        </is>
      </c>
      <c r="S23" s="49" t="n"/>
      <c r="T23" s="49" t="n"/>
      <c r="U23" s="47" t="inlineStr">
        <is>
          <t>Y’all the second Harry Potter and the Philosopher's Stone HBO trailer is HERE, and it gave us our biggest look yet at the new series! From Hogwarts and the Sorting Ceremony to the BURROW, Quidditch, classes, the Mirror of Erised and even the Philosopher's Stone, there is a TON to break down. Today we're going frame-by-frame through the new Harry Potter trailer to breakdown everything you missed, all the hidden details, book references, character reveals and BIG changes from the original Harry Potter movies! #HarryPotter #supercarlinbrothers Watch the full trailer here ::</t>
        </is>
      </c>
      <c r="V23" s="47">
        <f>IF(AND(P23&gt;=Calendar!$K$2,P23&lt;EDATE(Calendar!$K$2,1),OR(Calendar!$K$4="*",N23=Calendar!$K$4)),P23*100+COUNTIFS($P$6:$P$3267,P23,$Q$6:$Q$3267,"&lt;="&amp;Q23,$N$6:$N$3267,Calendar!$K$4),"")</f>
        <v/>
      </c>
      <c r="W23" s="47">
        <f>IF(AND(B23=Queue!$C$4,OR(Queue!$K$4="*",N23=Queue!$K$4)),Q23,"")</f>
        <v/>
      </c>
    </row>
    <row r="24">
      <c r="A24" s="38">
        <f>IF(M24="","",HYPERLINK("https://www.youtube.com/watch?v="&amp;M24,"▶"))</f>
        <v/>
      </c>
      <c r="B24" s="39">
        <f>IF(C24&lt;&gt;"",C24,IF(P24&lt;=IFERROR(INDEX(tblChannels[Watched Through],MATCH(N24,tblChannels[Channel ID],0)),0),"Watched","Unwatched"))</f>
        <v/>
      </c>
      <c r="C24" s="40" t="n"/>
      <c r="D24" s="41" t="n"/>
      <c r="E24" s="42" t="n">
        <v>46267.70208333333</v>
      </c>
      <c r="F24" s="50" t="inlineStr">
        <is>
          <t>Super Carlin Brothers</t>
        </is>
      </c>
      <c r="G24" t="inlineStr">
        <is>
          <t>The WORST Chapter In Every Harry Potter Book</t>
        </is>
      </c>
      <c r="H24" s="44" t="n">
        <v>0.01741898148148148</v>
      </c>
      <c r="I24" s="45" t="n">
        <v>239580</v>
      </c>
      <c r="J24" s="45" t="n">
        <v>3546</v>
      </c>
      <c r="K24" s="45" t="n">
        <v>431</v>
      </c>
      <c r="L24" s="46" t="n"/>
      <c r="M24" s="47" t="n"/>
      <c r="N24" s="47" t="inlineStr">
        <is>
          <t>UCKZo4N0lVPccBkSiuyVh4yg</t>
        </is>
      </c>
      <c r="O24" s="48" t="n">
        <v>46267.86875</v>
      </c>
      <c r="P24" s="49" t="n">
        <v>46267</v>
      </c>
      <c r="Q24" s="47" t="n">
        <v>3244</v>
      </c>
      <c r="R24" s="47" t="inlineStr">
        <is>
          <t>No Video ID yet</t>
        </is>
      </c>
      <c r="S24" s="49" t="n"/>
      <c r="T24" s="49" t="n"/>
      <c r="U24" s="47" t="inlineStr">
        <is>
          <t>This show is sponsored by BetterHelp – Go to We've read the Harry Potter series more times than we can count—and dissected basically every sentence along the way. But even in a series we love, something has to come in last. Today we're picking our least favorite chapter from EACH Harry Potter book, from Philosopher's Stone all the way through Deathly Hallows. Prepare for some Hot takes yall because YES we included “The Marauders Map” and “The Hungarian Horntail” - You have been warned!</t>
        </is>
      </c>
      <c r="V24" s="47">
        <f>IF(AND(P24&gt;=Calendar!$K$2,P24&lt;EDATE(Calendar!$K$2,1),OR(Calendar!$K$4="*",N24=Calendar!$K$4)),P24*100+COUNTIFS($P$6:$P$3267,P24,$Q$6:$Q$3267,"&lt;="&amp;Q24,$N$6:$N$3267,Calendar!$K$4),"")</f>
        <v/>
      </c>
      <c r="W24" s="47">
        <f>IF(AND(B24=Queue!$C$4,OR(Queue!$K$4="*",N24=Queue!$K$4)),Q24,"")</f>
        <v/>
      </c>
    </row>
    <row r="25">
      <c r="A25" s="38">
        <f>IF(M25="","",HYPERLINK("https://www.youtube.com/watch?v="&amp;M25,"▶"))</f>
        <v/>
      </c>
      <c r="B25" s="39">
        <f>IF(C25&lt;&gt;"",C25,IF(P25&lt;=IFERROR(INDEX(tblChannels[Watched Through],MATCH(N25,tblChannels[Channel ID],0)),0),"Watched","Unwatched"))</f>
        <v/>
      </c>
      <c r="C25" s="40" t="n"/>
      <c r="D25" s="41" t="n"/>
      <c r="E25" s="42" t="n">
        <v>46264.41666666666</v>
      </c>
      <c r="F25" s="51" t="inlineStr">
        <is>
          <t>Through The Griffin Door</t>
        </is>
      </c>
      <c r="G25" t="inlineStr">
        <is>
          <t>Chapter 12: Silver and Opals | Half-Blood Prince</t>
        </is>
      </c>
      <c r="H25" s="44" t="n">
        <v>0.06476851851851852</v>
      </c>
      <c r="I25" s="45" t="n">
        <v>37050</v>
      </c>
      <c r="J25" s="45" t="n">
        <v>794</v>
      </c>
      <c r="K25" s="45" t="n">
        <v>265</v>
      </c>
      <c r="L25" s="46" t="n"/>
      <c r="M25" s="47" t="n"/>
      <c r="N25" s="47" t="inlineStr">
        <is>
          <t>UCEscP6ETYXWSSvsNrDHekMQ</t>
        </is>
      </c>
      <c r="O25" s="48" t="n">
        <v>46264.58333333334</v>
      </c>
      <c r="P25" s="49" t="n">
        <v>46264</v>
      </c>
      <c r="Q25" s="47" t="n">
        <v>3243</v>
      </c>
      <c r="R25" s="47" t="inlineStr">
        <is>
          <t>No Video ID yet</t>
        </is>
      </c>
      <c r="S25" s="49" t="n"/>
      <c r="T25" s="49" t="n"/>
      <c r="U25" s="47" t="inlineStr">
        <is>
          <t>Join J and Ben as they dive into Chapter 12 of the Half Blood Prince and discuss Dumbledore being gone, learning Levicorpus, the Sacred 28, the sad/cold trip to Hogsmeade, Katie being cursed, and Harry’s suspicions. 08:32 - Chapter Breakdown 1:22:23 - Closing Thoughts and Review</t>
        </is>
      </c>
      <c r="V25" s="47">
        <f>IF(AND(P25&gt;=Calendar!$K$2,P25&lt;EDATE(Calendar!$K$2,1),OR(Calendar!$K$4="*",N25=Calendar!$K$4)),P25*100+COUNTIFS($P$6:$P$3267,P25,$Q$6:$Q$3267,"&lt;="&amp;Q25,$N$6:$N$3267,Calendar!$K$4),"")</f>
        <v/>
      </c>
      <c r="W25" s="47">
        <f>IF(AND(B25=Queue!$C$4,OR(Queue!$K$4="*",N25=Queue!$K$4)),Q25,"")</f>
        <v/>
      </c>
    </row>
    <row r="26">
      <c r="A26" s="38">
        <f>IF(M26="","",HYPERLINK("https://www.youtube.com/watch?v="&amp;M26,"▶"))</f>
        <v/>
      </c>
      <c r="B26" s="39">
        <f>IF(C26&lt;&gt;"",C26,IF(P26&lt;=IFERROR(INDEX(tblChannels[Watched Through],MATCH(N26,tblChannels[Channel ID],0)),0),"Watched","Unwatched"))</f>
        <v/>
      </c>
      <c r="C26" s="40" t="n"/>
      <c r="D26" s="41" t="n"/>
      <c r="E26" s="42" t="n">
        <v>46262.7</v>
      </c>
      <c r="F26" s="50" t="inlineStr">
        <is>
          <t>Super Carlin Brothers</t>
        </is>
      </c>
      <c r="G26" t="inlineStr">
        <is>
          <t>The SECRET Pattern Hidden in Harry Potter</t>
        </is>
      </c>
      <c r="H26" s="44" t="n">
        <v>0.01267361111111111</v>
      </c>
      <c r="I26" s="45" t="n">
        <v>262533</v>
      </c>
      <c r="J26" s="45" t="n">
        <v>4579</v>
      </c>
      <c r="K26" s="45" t="n">
        <v>501</v>
      </c>
      <c r="L26" s="46" t="n"/>
      <c r="M26" s="47" t="n"/>
      <c r="N26" s="47" t="inlineStr">
        <is>
          <t>UCKZo4N0lVPccBkSiuyVh4yg</t>
        </is>
      </c>
      <c r="O26" s="48" t="n">
        <v>46262.86666666667</v>
      </c>
      <c r="P26" s="49" t="n">
        <v>46262</v>
      </c>
      <c r="Q26" s="47" t="n">
        <v>3242</v>
      </c>
      <c r="R26" s="47" t="inlineStr">
        <is>
          <t>No Video ID yet</t>
        </is>
      </c>
      <c r="S26" s="49" t="n"/>
      <c r="T26" s="49" t="n"/>
      <c r="U26" s="47" t="inlineStr">
        <is>
          <t>Raycon's Everyday Earbuds Classics are the perfect back-to-school companion. Go to to get 20% off. Thanks to Raycon for sponsoring! Head to and use code 'super50off' to get 50% off and 1 free breakfast item per box for 1 year, while supplies last until 10/31/2026. See website for more details Today J is diving into the Wizarding World to uncover Harry Potter’s secret storytelling structure known as Ring Composition. Where the second half of a story mirrors the first half in reverse. And once you know what to look for, it starts showing up EVERYWHERE. From Harry's encounters with Voldemort and his parents, to Sirius, Aragog, the Malfoys, prophecies, Patronuses, potions and even dragons, today we're breaking down the SECRET PATTERN hidden throughout the Harry Potter series! #HarryPotter #WizardingWorld #supercarlinbrothers</t>
        </is>
      </c>
      <c r="V26" s="47">
        <f>IF(AND(P26&gt;=Calendar!$K$2,P26&lt;EDATE(Calendar!$K$2,1),OR(Calendar!$K$4="*",N26=Calendar!$K$4)),P26*100+COUNTIFS($P$6:$P$3267,P26,$Q$6:$Q$3267,"&lt;="&amp;Q26,$N$6:$N$3267,Calendar!$K$4),"")</f>
        <v/>
      </c>
      <c r="W26" s="47">
        <f>IF(AND(B26=Queue!$C$4,OR(Queue!$K$4="*",N26=Queue!$K$4)),Q26,"")</f>
        <v/>
      </c>
    </row>
    <row r="27">
      <c r="A27" s="38">
        <f>IF(M27="","",HYPERLINK("https://www.youtube.com/watch?v="&amp;M27,"▶"))</f>
        <v/>
      </c>
      <c r="B27" s="39">
        <f>IF(C27&lt;&gt;"",C27,IF(P27&lt;=IFERROR(INDEX(tblChannels[Watched Through],MATCH(N27,tblChannels[Channel ID],0)),0),"Watched","Unwatched"))</f>
        <v/>
      </c>
      <c r="C27" s="40" t="n"/>
      <c r="D27" s="41" t="n"/>
      <c r="E27" s="42" t="n">
        <v>46262.41666666666</v>
      </c>
      <c r="F27" s="43" t="inlineStr">
        <is>
          <t>Popcorn Culture</t>
        </is>
      </c>
      <c r="G27" t="inlineStr">
        <is>
          <t>Stop BEING Your Opinions | Popcorn Culture</t>
        </is>
      </c>
      <c r="H27" s="44" t="n">
        <v>0.05579861111111111</v>
      </c>
      <c r="I27" s="45" t="n">
        <v>3488</v>
      </c>
      <c r="J27" s="45" t="n">
        <v>98</v>
      </c>
      <c r="K27" s="45" t="n">
        <v>25</v>
      </c>
      <c r="L27" s="46" t="n"/>
      <c r="M27" s="47" t="n"/>
      <c r="N27" s="47" t="inlineStr">
        <is>
          <t>UCHfIbq9thHPC8yrKjAdJgDA</t>
        </is>
      </c>
      <c r="O27" s="48" t="n">
        <v>46262.58333333334</v>
      </c>
      <c r="P27" s="49" t="n">
        <v>46262</v>
      </c>
      <c r="Q27" s="47" t="n">
        <v>3241</v>
      </c>
      <c r="R27" s="47" t="inlineStr">
        <is>
          <t>No Video ID yet</t>
        </is>
      </c>
      <c r="S27" s="49" t="n"/>
      <c r="T27" s="49" t="n"/>
      <c r="U27" s="47" t="inlineStr">
        <is>
          <t>In the 351st episode of the Pop, Ben and J discuss a strong opinion about a STRONG thing, coaching the first game, voice mails, a potential apocalypse situation, and finally give a D23 debrief. Alternative Titles: #ZoomOut The Blue Bulls 00:00 - Intro, #zoomout 12:15 - Coaching and Email 34:56 - Transformers and the Apocalypse 44:39 - D23</t>
        </is>
      </c>
      <c r="V27" s="47">
        <f>IF(AND(P27&gt;=Calendar!$K$2,P27&lt;EDATE(Calendar!$K$2,1),OR(Calendar!$K$4="*",N27=Calendar!$K$4)),P27*100+COUNTIFS($P$6:$P$3267,P27,$Q$6:$Q$3267,"&lt;="&amp;Q27,$N$6:$N$3267,Calendar!$K$4),"")</f>
        <v/>
      </c>
      <c r="W27" s="47">
        <f>IF(AND(B27=Queue!$C$4,OR(Queue!$K$4="*",N27=Queue!$K$4)),Q27,"")</f>
        <v/>
      </c>
    </row>
    <row r="28">
      <c r="A28" s="38">
        <f>IF(M28="","",HYPERLINK("https://www.youtube.com/watch?v="&amp;M28,"▶"))</f>
        <v/>
      </c>
      <c r="B28" s="39">
        <f>IF(C28&lt;&gt;"",C28,IF(P28&lt;=IFERROR(INDEX(tblChannels[Watched Through],MATCH(N28,tblChannels[Channel ID],0)),0),"Watched","Unwatched"))</f>
        <v/>
      </c>
      <c r="C28" s="40" t="n"/>
      <c r="D28" s="41" t="n"/>
      <c r="E28" s="42" t="n">
        <v>46260.71875</v>
      </c>
      <c r="F28" s="50" t="inlineStr">
        <is>
          <t>Super Carlin Brothers</t>
        </is>
      </c>
      <c r="G28" t="inlineStr">
        <is>
          <t>J vs Ben: INSANE Harry Potter Muggle Quiz</t>
        </is>
      </c>
      <c r="H28" s="44" t="n">
        <v>0.03006944444444444</v>
      </c>
      <c r="I28" s="45" t="n">
        <v>106086</v>
      </c>
      <c r="J28" s="45" t="n">
        <v>2207</v>
      </c>
      <c r="K28" s="45" t="n">
        <v>258</v>
      </c>
      <c r="L28" s="46" t="n"/>
      <c r="M28" s="47" t="n"/>
      <c r="N28" s="47" t="inlineStr">
        <is>
          <t>UCKZo4N0lVPccBkSiuyVh4yg</t>
        </is>
      </c>
      <c r="O28" s="48" t="n">
        <v>46260.88541666666</v>
      </c>
      <c r="P28" s="49" t="n">
        <v>46260</v>
      </c>
      <c r="Q28" s="47" t="n">
        <v>3240</v>
      </c>
      <c r="R28" s="47" t="inlineStr">
        <is>
          <t>No Video ID yet</t>
        </is>
      </c>
      <c r="S28" s="49" t="n"/>
      <c r="T28" s="49" t="n"/>
      <c r="U28" s="47" t="inlineStr">
        <is>
          <t>This episode is sponsored by Whatnot – Get $15 off your first purchase on Whatnot using this link 👉🏼 J and Ben face off once more in this INSANE Harry Potter Muggle quiz to find out who knows more about the Wizarding World! #harrypotter #jvsben #supercarlinbrothers</t>
        </is>
      </c>
      <c r="V28" s="47">
        <f>IF(AND(P28&gt;=Calendar!$K$2,P28&lt;EDATE(Calendar!$K$2,1),OR(Calendar!$K$4="*",N28=Calendar!$K$4)),P28*100+COUNTIFS($P$6:$P$3267,P28,$Q$6:$Q$3267,"&lt;="&amp;Q28,$N$6:$N$3267,Calendar!$K$4),"")</f>
        <v/>
      </c>
      <c r="W28" s="47">
        <f>IF(AND(B28=Queue!$C$4,OR(Queue!$K$4="*",N28=Queue!$K$4)),Q28,"")</f>
        <v/>
      </c>
    </row>
    <row r="29">
      <c r="A29" s="38">
        <f>IF(M29="","",HYPERLINK("https://www.youtube.com/watch?v="&amp;M29,"▶"))</f>
        <v/>
      </c>
      <c r="B29" s="39">
        <f>IF(C29&lt;&gt;"",C29,IF(P29&lt;=IFERROR(INDEX(tblChannels[Watched Through],MATCH(N29,tblChannels[Channel ID],0)),0),"Watched","Unwatched"))</f>
        <v/>
      </c>
      <c r="C29" s="40" t="n"/>
      <c r="D29" s="41" t="n"/>
      <c r="E29" s="42" t="n">
        <v>46257.41666666666</v>
      </c>
      <c r="F29" s="51" t="inlineStr">
        <is>
          <t>Through The Griffin Door</t>
        </is>
      </c>
      <c r="G29" t="inlineStr">
        <is>
          <t>Chapter 11: Hermione’s Helping Hand | Half-Blood Prince</t>
        </is>
      </c>
      <c r="H29" s="44" t="n">
        <v>0.07094907407407407</v>
      </c>
      <c r="I29" s="45" t="n">
        <v>32211</v>
      </c>
      <c r="J29" s="45" t="n">
        <v>824</v>
      </c>
      <c r="K29" s="45" t="n">
        <v>307</v>
      </c>
      <c r="L29" s="46" t="n"/>
      <c r="M29" s="47" t="n"/>
      <c r="N29" s="47" t="inlineStr">
        <is>
          <t>UCEscP6ETYXWSSvsNrDHekMQ</t>
        </is>
      </c>
      <c r="O29" s="48" t="n">
        <v>46257.58333333334</v>
      </c>
      <c r="P29" s="49" t="n">
        <v>46257</v>
      </c>
      <c r="Q29" s="47" t="n">
        <v>3239</v>
      </c>
      <c r="R29" s="47" t="inlineStr">
        <is>
          <t>No Video ID yet</t>
        </is>
      </c>
      <c r="S29" s="49" t="n"/>
      <c r="T29" s="49" t="n"/>
      <c r="U29" s="47" t="inlineStr">
        <is>
          <t>This episode is sponsored by Shopify – Go to shopify.com/griffin to start your free trial! Join J and Ben as they dive into Chapter 11 of the Half Blood Prince and discuss the trio’s “busy” class schedule, pranks, flirting, Stan’s arrest, Quidditch tryouts, finally seeing Hagrid, Cormac being confunded, the article with Arthur, and Demelza’s message. Fred &amp; George POISONED Cormac McClaggen?! - 05:37 - Chapter Breakdown 50:54 - Ad Break (Shopify) 52:12 - More Chapter Breakdown 1:35:07 - Closing Thoughts and Review</t>
        </is>
      </c>
      <c r="V29" s="47">
        <f>IF(AND(P29&gt;=Calendar!$K$2,P29&lt;EDATE(Calendar!$K$2,1),OR(Calendar!$K$4="*",N29=Calendar!$K$4)),P29*100+COUNTIFS($P$6:$P$3267,P29,$Q$6:$Q$3267,"&lt;="&amp;Q29,$N$6:$N$3267,Calendar!$K$4),"")</f>
        <v/>
      </c>
      <c r="W29" s="47">
        <f>IF(AND(B29=Queue!$C$4,OR(Queue!$K$4="*",N29=Queue!$K$4)),Q29,"")</f>
        <v/>
      </c>
    </row>
    <row r="30">
      <c r="A30" s="38">
        <f>IF(M30="","",HYPERLINK("https://www.youtube.com/watch?v="&amp;M30,"▶"))</f>
        <v/>
      </c>
      <c r="B30" s="39">
        <f>IF(C30&lt;&gt;"",C30,IF(P30&lt;=IFERROR(INDEX(tblChannels[Watched Through],MATCH(N30,tblChannels[Channel ID],0)),0),"Watched","Unwatched"))</f>
        <v/>
      </c>
      <c r="C30" s="40" t="n"/>
      <c r="D30" s="41" t="n"/>
      <c r="E30" s="42" t="n">
        <v>46255.82222222222</v>
      </c>
      <c r="F30" s="50" t="inlineStr">
        <is>
          <t>Super Carlin Brothers</t>
        </is>
      </c>
      <c r="G30" t="inlineStr">
        <is>
          <t>We Sorted Every Disney Princess Into Hogwarts Houses</t>
        </is>
      </c>
      <c r="H30" s="44" t="n">
        <v>0.01609953703703704</v>
      </c>
      <c r="I30" s="45" t="n">
        <v>102380</v>
      </c>
      <c r="J30" s="45" t="n">
        <v>3701</v>
      </c>
      <c r="K30" s="45" t="n">
        <v>635</v>
      </c>
      <c r="L30" s="46" t="n"/>
      <c r="M30" s="47" t="n"/>
      <c r="N30" s="47" t="inlineStr">
        <is>
          <t>UCKZo4N0lVPccBkSiuyVh4yg</t>
        </is>
      </c>
      <c r="O30" s="48" t="n">
        <v>46255.98888888889</v>
      </c>
      <c r="P30" s="49" t="n">
        <v>46255</v>
      </c>
      <c r="Q30" s="47" t="n">
        <v>3238</v>
      </c>
      <c r="R30" s="47" t="inlineStr">
        <is>
          <t>No Video ID yet</t>
        </is>
      </c>
      <c r="S30" s="49" t="n"/>
      <c r="T30" s="49" t="n"/>
      <c r="U30" s="47" t="inlineStr">
        <is>
          <t>This show is sponsored by BetterHelp – Go to This show is sponsored by Raycon – Go to to get 20% off the Everyday Earbuds Classics! What Hogwarts House would every Disney Princess be sorted into? Today we're putting Disney's princesses under the Sorting Hat and deciding who belongs in Gryffindor, Hufflepuff, Ravenclaw, and Slytherin! Some are easy. Belle? Come on. Others are WAY more complicated. Is Jasmine actually a Slytherin? Is Merida the most Gryffindor princess ever? And then there's Mulan… who somehow has a legitimate case for ALL FOUR HOUSES. #Disney #HarryPotter #DisneyPrincesses</t>
        </is>
      </c>
      <c r="V30" s="47">
        <f>IF(AND(P30&gt;=Calendar!$K$2,P30&lt;EDATE(Calendar!$K$2,1),OR(Calendar!$K$4="*",N30=Calendar!$K$4)),P30*100+COUNTIFS($P$6:$P$3267,P30,$Q$6:$Q$3267,"&lt;="&amp;Q30,$N$6:$N$3267,Calendar!$K$4),"")</f>
        <v/>
      </c>
      <c r="W30" s="47">
        <f>IF(AND(B30=Queue!$C$4,OR(Queue!$K$4="*",N30=Queue!$K$4)),Q30,"")</f>
        <v/>
      </c>
    </row>
    <row r="31">
      <c r="A31" s="38">
        <f>IF(M31="","",HYPERLINK("https://www.youtube.com/watch?v="&amp;M31,"▶"))</f>
        <v/>
      </c>
      <c r="B31" s="39">
        <f>IF(C31&lt;&gt;"",C31,IF(P31&lt;=IFERROR(INDEX(tblChannels[Watched Through],MATCH(N31,tblChannels[Channel ID],0)),0),"Watched","Unwatched"))</f>
        <v/>
      </c>
      <c r="C31" s="40" t="n"/>
      <c r="D31" s="41" t="n"/>
      <c r="E31" s="42" t="n">
        <v>46255.41666666666</v>
      </c>
      <c r="F31" s="43" t="inlineStr">
        <is>
          <t>Popcorn Culture</t>
        </is>
      </c>
      <c r="G31" t="inlineStr">
        <is>
          <t>BEN GOT ROBBED?! | Popcorn Culture</t>
        </is>
      </c>
      <c r="H31" s="44" t="n">
        <v>0.04834490740740741</v>
      </c>
      <c r="I31" s="45" t="n">
        <v>1800</v>
      </c>
      <c r="J31" s="45" t="n">
        <v>86</v>
      </c>
      <c r="K31" s="45" t="n">
        <v>8</v>
      </c>
      <c r="L31" s="46" t="n"/>
      <c r="M31" s="47" t="n"/>
      <c r="N31" s="47" t="inlineStr">
        <is>
          <t>UCHfIbq9thHPC8yrKjAdJgDA</t>
        </is>
      </c>
      <c r="O31" s="48" t="n">
        <v>46255.58333333334</v>
      </c>
      <c r="P31" s="49" t="n">
        <v>46255</v>
      </c>
      <c r="Q31" s="47" t="n">
        <v>3237</v>
      </c>
      <c r="R31" s="47" t="inlineStr">
        <is>
          <t>No Video ID yet</t>
        </is>
      </c>
      <c r="S31" s="49" t="n"/>
      <c r="T31" s="49" t="n"/>
      <c r="U31" s="47" t="inlineStr">
        <is>
          <t>In the 350th(!!) episode of the Pop, Ben and J discuss Ben’s truck robbery, Ding Dong Ditching, convenience store bathrooms, J going full Lasso, science fair projects, and MORE Ding Dong Ditching. Relevant Links Scott Pilgrim - Snow Day - Ted Lasso - Without Limits - Alternative Titles: iRock The Art of The Ding Dong Ditch Is That A Person?? Free Trench! Chapters (SCB Version): 00:00 - Intro and Another Intro 01:28 - Ben Got Robbed 15:35 - Ding Dong Ditch 43:15 - Urinal Cakes 45:07 - Coaching Update 1:05:20 - Science Fair</t>
        </is>
      </c>
      <c r="V31" s="47">
        <f>IF(AND(P31&gt;=Calendar!$K$2,P31&lt;EDATE(Calendar!$K$2,1),OR(Calendar!$K$4="*",N31=Calendar!$K$4)),P31*100+COUNTIFS($P$6:$P$3267,P31,$Q$6:$Q$3267,"&lt;="&amp;Q31,$N$6:$N$3267,Calendar!$K$4),"")</f>
        <v/>
      </c>
      <c r="W31" s="47">
        <f>IF(AND(B31=Queue!$C$4,OR(Queue!$K$4="*",N31=Queue!$K$4)),Q31,"")</f>
        <v/>
      </c>
    </row>
    <row r="32">
      <c r="A32" s="38">
        <f>IF(M32="","",HYPERLINK("https://www.youtube.com/watch?v="&amp;M32,"▶"))</f>
        <v/>
      </c>
      <c r="B32" s="39">
        <f>IF(C32&lt;&gt;"",C32,IF(P32&lt;=IFERROR(INDEX(tblChannels[Watched Through],MATCH(N32,tblChannels[Channel ID],0)),0),"Watched","Unwatched"))</f>
        <v/>
      </c>
      <c r="C32" s="40" t="n"/>
      <c r="D32" s="41" t="n"/>
      <c r="E32" s="42" t="n">
        <v>46254.71111111111</v>
      </c>
      <c r="F32" s="50" t="inlineStr">
        <is>
          <t>Super Carlin Brothers</t>
        </is>
      </c>
      <c r="G32" t="inlineStr">
        <is>
          <t>A VERY Important Video About Disney Trash Cans</t>
        </is>
      </c>
      <c r="H32" s="44" t="n">
        <v>0.01306712962962963</v>
      </c>
      <c r="I32" s="45" t="n">
        <v>27324</v>
      </c>
      <c r="J32" s="45" t="n">
        <v>1244</v>
      </c>
      <c r="K32" s="45" t="n">
        <v>210</v>
      </c>
      <c r="L32" s="46" t="n"/>
      <c r="M32" s="47" t="n"/>
      <c r="N32" s="47" t="inlineStr">
        <is>
          <t>UCKZo4N0lVPccBkSiuyVh4yg</t>
        </is>
      </c>
      <c r="O32" s="48" t="n">
        <v>46254.87777777778</v>
      </c>
      <c r="P32" s="49" t="n">
        <v>46254</v>
      </c>
      <c r="Q32" s="47" t="n">
        <v>3236</v>
      </c>
      <c r="R32" s="47" t="inlineStr">
        <is>
          <t>No Video ID yet</t>
        </is>
      </c>
      <c r="S32" s="49" t="n"/>
      <c r="T32" s="49" t="n"/>
      <c r="U32" s="47" t="inlineStr">
        <is>
          <t>This episode is sponsored by Better Help – Go to and see if Better Help is right for you. Disney Trash Cans have LORE. After watching two actual Disney trash cans sell for more than $10,000 EACH, we had questions. Why are Disney's trash cans so iconic? What's the deal with the legendary "30-step rule?" Is there really a secret network of tubes sucking trash underneath the parks? And what happened to beloved cans like PUSH and Binny? Today we're dumpster diving into the surprisingly fascinating history of Disney Trash Cans. From Walt Disney's obsession with keeping Disneyland clean, to talking robotic trash cans, pneumatic waste systems, trash can merchandise, and the CONTROVERSIAL new solar-powered cans taking over Walt Disney World. Yes. This is an entire video about trash cans. And yes. It's VERY important. Let us know: Have you ever used a Disney trash can as a table? And do you own any Disney trash can merch?</t>
        </is>
      </c>
      <c r="V32" s="47">
        <f>IF(AND(P32&gt;=Calendar!$K$2,P32&lt;EDATE(Calendar!$K$2,1),OR(Calendar!$K$4="*",N32=Calendar!$K$4)),P32*100+COUNTIFS($P$6:$P$3267,P32,$Q$6:$Q$3267,"&lt;="&amp;Q32,$N$6:$N$3267,Calendar!$K$4),"")</f>
        <v/>
      </c>
      <c r="W32" s="47">
        <f>IF(AND(B32=Queue!$C$4,OR(Queue!$K$4="*",N32=Queue!$K$4)),Q32,"")</f>
        <v/>
      </c>
    </row>
    <row r="33">
      <c r="A33" s="38">
        <f>IF(M33="","",HYPERLINK("https://www.youtube.com/watch?v="&amp;M33,"▶"))</f>
        <v/>
      </c>
      <c r="B33" s="39">
        <f>IF(C33&lt;&gt;"",C33,IF(P33&lt;=IFERROR(INDEX(tblChannels[Watched Through],MATCH(N33,tblChannels[Channel ID],0)),0),"Watched","Unwatched"))</f>
        <v/>
      </c>
      <c r="C33" s="40" t="n"/>
      <c r="D33" s="41" t="n"/>
      <c r="E33" s="42" t="n">
        <v>46253.65</v>
      </c>
      <c r="F33" s="50" t="inlineStr">
        <is>
          <t>Super Carlin Brothers</t>
        </is>
      </c>
      <c r="G33" t="inlineStr">
        <is>
          <t>Ben Got Robbed...</t>
        </is>
      </c>
      <c r="H33" s="44" t="n">
        <v>0.04917824074074074</v>
      </c>
      <c r="I33" s="45" t="n">
        <v>44963</v>
      </c>
      <c r="J33" s="45" t="n">
        <v>1230</v>
      </c>
      <c r="K33" s="45" t="n">
        <v>175</v>
      </c>
      <c r="L33" s="46" t="n"/>
      <c r="M33" s="47" t="n"/>
      <c r="N33" s="47" t="inlineStr">
        <is>
          <t>UCKZo4N0lVPccBkSiuyVh4yg</t>
        </is>
      </c>
      <c r="O33" s="48" t="n">
        <v>46253.81666666667</v>
      </c>
      <c r="P33" s="49" t="n">
        <v>46253</v>
      </c>
      <c r="Q33" s="47" t="n">
        <v>3235</v>
      </c>
      <c r="R33" s="47" t="inlineStr">
        <is>
          <t>No Video ID yet</t>
        </is>
      </c>
      <c r="S33" s="49" t="n"/>
      <c r="T33" s="49" t="n"/>
      <c r="U33" s="47" t="inlineStr">
        <is>
          <t>Ben's car was recently broken into and he managed to catch the guy trying to rob him on camera - enjoy this early look at an upcoming episode of Popcorn Culture! In this episode, Ben and J discuss Ben’s truck robbery, Ding Dong Ditching, convenience store bathrooms, J going full Ted Lasso, science fair projects, and MORE Ding Dong Ditching. Relevant Links Scott Pilgrim - Snow Day - Ted Lasso - Without Limits - Alternative Titles: iRock The Art of The Ding Dong Ditch Is That A Person?? Free Trench! 00:00 - Intro and Another Intro 01:28 - Ben Got Robbed 15:35 - Ding Dong Ditch 43:15 - Urinal Cakes 45:07 - Coaching Update 1:05:20 - Science Fair</t>
        </is>
      </c>
      <c r="V33" s="47">
        <f>IF(AND(P33&gt;=Calendar!$K$2,P33&lt;EDATE(Calendar!$K$2,1),OR(Calendar!$K$4="*",N33=Calendar!$K$4)),P33*100+COUNTIFS($P$6:$P$3267,P33,$Q$6:$Q$3267,"&lt;="&amp;Q33,$N$6:$N$3267,Calendar!$K$4),"")</f>
        <v/>
      </c>
      <c r="W33" s="47">
        <f>IF(AND(B33=Queue!$C$4,OR(Queue!$K$4="*",N33=Queue!$K$4)),Q33,"")</f>
        <v/>
      </c>
    </row>
    <row r="34">
      <c r="A34" s="38">
        <f>IF(M34="","",HYPERLINK("https://www.youtube.com/watch?v="&amp;M34,"▶"))</f>
        <v/>
      </c>
      <c r="B34" s="39">
        <f>IF(C34&lt;&gt;"",C34,IF(P34&lt;=IFERROR(INDEX(tblChannels[Watched Through],MATCH(N34,tblChannels[Channel ID],0)),0),"Watched","Unwatched"))</f>
        <v/>
      </c>
      <c r="C34" s="40" t="n"/>
      <c r="D34" s="41" t="n"/>
      <c r="E34" s="42" t="n">
        <v>46250.41666666666</v>
      </c>
      <c r="F34" s="51" t="inlineStr">
        <is>
          <t>Through The Griffin Door</t>
        </is>
      </c>
      <c r="G34" t="inlineStr">
        <is>
          <t>Chapter 10: The House of Gaunt | Half-Blood Prince</t>
        </is>
      </c>
      <c r="H34" s="44" t="n">
        <v>0.07670138888888889</v>
      </c>
      <c r="I34" s="45" t="n">
        <v>34883</v>
      </c>
      <c r="J34" s="45" t="n">
        <v>872</v>
      </c>
      <c r="K34" s="45" t="n">
        <v>483</v>
      </c>
      <c r="L34" s="46" t="n"/>
      <c r="M34" s="47" t="n"/>
      <c r="N34" s="47" t="inlineStr">
        <is>
          <t>UCEscP6ETYXWSSvsNrDHekMQ</t>
        </is>
      </c>
      <c r="O34" s="48" t="n">
        <v>46250.58333333334</v>
      </c>
      <c r="P34" s="49" t="n">
        <v>46250</v>
      </c>
      <c r="Q34" s="47" t="n">
        <v>3234</v>
      </c>
      <c r="R34" s="47" t="inlineStr">
        <is>
          <t>No Video ID yet</t>
        </is>
      </c>
      <c r="S34" s="49" t="n"/>
      <c r="T34" s="49" t="n"/>
      <c r="U34" s="47" t="inlineStr">
        <is>
          <t>Taking care of your health just got easier – start here with Zocdoc: Join J and Ben as they dive into Chapter 10 of the Half Blood Prince and discuss Harry’s fixation with the Prince, Trelawney reading cards, the Art of War, Bob Ogden’s memory, how horrible Marvolo is, Tom Riddle passing by and Dumbledore’s debrief after the memory. Slughorn's Darkest Secret - 04:32 - Chapter Breakdown 58:33 - Ad Break (ZocDoc) 59:48 - More Chapter Breakdown 1:40:27 - Closing Thoughts and Review</t>
        </is>
      </c>
      <c r="V34" s="47">
        <f>IF(AND(P34&gt;=Calendar!$K$2,P34&lt;EDATE(Calendar!$K$2,1),OR(Calendar!$K$4="*",N34=Calendar!$K$4)),P34*100+COUNTIFS($P$6:$P$3267,P34,$Q$6:$Q$3267,"&lt;="&amp;Q34,$N$6:$N$3267,Calendar!$K$4),"")</f>
        <v/>
      </c>
      <c r="W34" s="47">
        <f>IF(AND(B34=Queue!$C$4,OR(Queue!$K$4="*",N34=Queue!$K$4)),Q34,"")</f>
        <v/>
      </c>
    </row>
    <row r="35">
      <c r="A35" s="38">
        <f>IF(M35="","",HYPERLINK("https://www.youtube.com/watch?v="&amp;M35,"▶"))</f>
        <v/>
      </c>
      <c r="B35" s="39">
        <f>IF(C35&lt;&gt;"",C35,IF(P35&lt;=IFERROR(INDEX(tblChannels[Watched Through],MATCH(N35,tblChannels[Channel ID],0)),0),"Watched","Unwatched"))</f>
        <v/>
      </c>
      <c r="C35" s="40" t="n"/>
      <c r="D35" s="41" t="n"/>
      <c r="E35" s="42" t="n">
        <v>46248.625</v>
      </c>
      <c r="F35" s="50" t="inlineStr">
        <is>
          <t>Super Carlin Brothers</t>
        </is>
      </c>
      <c r="G35" t="inlineStr">
        <is>
          <t>Does Ned REALLY Remember Peter? | Spider-Man: Brand New Day</t>
        </is>
      </c>
      <c r="H35" s="44" t="n">
        <v>0.01256944444444444</v>
      </c>
      <c r="I35" s="45" t="n">
        <v>95831</v>
      </c>
      <c r="J35" s="45" t="n">
        <v>3320</v>
      </c>
      <c r="K35" s="45" t="n">
        <v>561</v>
      </c>
      <c r="L35" s="46" t="n"/>
      <c r="M35" s="47" t="n"/>
      <c r="N35" s="47" t="inlineStr">
        <is>
          <t>UCKZo4N0lVPccBkSiuyVh4yg</t>
        </is>
      </c>
      <c r="O35" s="48" t="n">
        <v>46248.79166666666</v>
      </c>
      <c r="P35" s="49" t="n">
        <v>46248</v>
      </c>
      <c r="Q35" s="47" t="n">
        <v>3233</v>
      </c>
      <c r="R35" s="47" t="inlineStr">
        <is>
          <t>No Video ID yet</t>
        </is>
      </c>
      <c r="S35" s="49" t="n"/>
      <c r="T35" s="49" t="n"/>
      <c r="U35" s="47" t="inlineStr">
        <is>
          <t>This episode is sponsored by Better Help – Go to and see if Better Help is right for you. Spider-Man: Brand New Day leaves us with one HUGE question: Does Ned actually remember Peter Parker? In the movie's final moments, Peter finally reintroduces himself to his old best friend — and their secret handshake seems to unlock something in Ned's memory. But is he actually remembering Peter, or has he simply figured out that Peter is Spider-Man? Today J is diving into the Marvel Cinematic Universe and breaking down all the clues, from Ned's suspiciously familiar knowledge of Spider-Man to his history with magic, MJ's lingering instincts, and one VERY important encounter with the Hulk that may prove Doctor Strange's spell has some major loopholes. Because if Ned can remember Peter... maybe MJ can too. #SpiderMan #Marvel #MCU</t>
        </is>
      </c>
      <c r="V35" s="47">
        <f>IF(AND(P35&gt;=Calendar!$K$2,P35&lt;EDATE(Calendar!$K$2,1),OR(Calendar!$K$4="*",N35=Calendar!$K$4)),P35*100+COUNTIFS($P$6:$P$3267,P35,$Q$6:$Q$3267,"&lt;="&amp;Q35,$N$6:$N$3267,Calendar!$K$4),"")</f>
        <v/>
      </c>
      <c r="W35" s="47">
        <f>IF(AND(B35=Queue!$C$4,OR(Queue!$K$4="*",N35=Queue!$K$4)),Q35,"")</f>
        <v/>
      </c>
    </row>
    <row r="36">
      <c r="A36" s="38">
        <f>IF(M36="","",HYPERLINK("https://www.youtube.com/watch?v="&amp;M36,"▶"))</f>
        <v/>
      </c>
      <c r="B36" s="39">
        <f>IF(C36&lt;&gt;"",C36,IF(P36&lt;=IFERROR(INDEX(tblChannels[Watched Through],MATCH(N36,tblChannels[Channel ID],0)),0),"Watched","Unwatched"))</f>
        <v/>
      </c>
      <c r="C36" s="40" t="n"/>
      <c r="D36" s="41" t="n"/>
      <c r="E36" s="42" t="n">
        <v>46248.41666666666</v>
      </c>
      <c r="F36" s="43" t="inlineStr">
        <is>
          <t>Popcorn Culture</t>
        </is>
      </c>
      <c r="G36" t="inlineStr">
        <is>
          <t>100 Year Storm | Popcorn Culture</t>
        </is>
      </c>
      <c r="H36" s="44" t="n">
        <v>0.05097222222222222</v>
      </c>
      <c r="I36" s="45" t="n">
        <v>1833</v>
      </c>
      <c r="J36" s="45" t="n">
        <v>85</v>
      </c>
      <c r="K36" s="45" t="n">
        <v>17</v>
      </c>
      <c r="L36" s="46" t="n"/>
      <c r="M36" s="47" t="n"/>
      <c r="N36" s="47" t="inlineStr">
        <is>
          <t>UCHfIbq9thHPC8yrKjAdJgDA</t>
        </is>
      </c>
      <c r="O36" s="48" t="n">
        <v>46248.58333333334</v>
      </c>
      <c r="P36" s="49" t="n">
        <v>46248</v>
      </c>
      <c r="Q36" s="47" t="n">
        <v>3232</v>
      </c>
      <c r="R36" s="47" t="inlineStr">
        <is>
          <t>No Video ID yet</t>
        </is>
      </c>
      <c r="S36" s="49" t="n"/>
      <c r="T36" s="49" t="n"/>
      <c r="U36" s="47" t="inlineStr">
        <is>
          <t>In the 349th episode of the Pop, Ben and J discuss whether or not the beach wagon was worth it, a 100 year storm of a person, high school reunions, John Krasinski Prom, a famous night club in Berlin, and K-Pop. Relevant Links The Berghain night club - D23 - BlackPink - 00:00 - Intro, Beach Trips 17:25 - 100 Year Storms 30:48 - High School Reunions 42:35 - Berghain</t>
        </is>
      </c>
      <c r="V36" s="47">
        <f>IF(AND(P36&gt;=Calendar!$K$2,P36&lt;EDATE(Calendar!$K$2,1),OR(Calendar!$K$4="*",N36=Calendar!$K$4)),P36*100+COUNTIFS($P$6:$P$3267,P36,$Q$6:$Q$3267,"&lt;="&amp;Q36,$N$6:$N$3267,Calendar!$K$4),"")</f>
        <v/>
      </c>
      <c r="W36" s="47">
        <f>IF(AND(B36=Queue!$C$4,OR(Queue!$K$4="*",N36=Queue!$K$4)),Q36,"")</f>
        <v/>
      </c>
    </row>
    <row r="37">
      <c r="A37" s="38">
        <f>IF(M37="","",HYPERLINK("https://www.youtube.com/watch?v="&amp;M37,"▶"))</f>
        <v/>
      </c>
      <c r="B37" s="39">
        <f>IF(C37&lt;&gt;"",C37,IF(P37&lt;=IFERROR(INDEX(tblChannels[Watched Through],MATCH(N37,tblChannels[Channel ID],0)),0),"Watched","Unwatched"))</f>
        <v/>
      </c>
      <c r="C37" s="40" t="n"/>
      <c r="D37" s="41" t="n"/>
      <c r="E37" s="42" t="n">
        <v>46246.81111111111</v>
      </c>
      <c r="F37" s="50" t="inlineStr">
        <is>
          <t>Super Carlin Brothers</t>
        </is>
      </c>
      <c r="G37" t="inlineStr">
        <is>
          <t>J vs Ben: The Impossible Black Family Tree Quiz</t>
        </is>
      </c>
      <c r="H37" s="44" t="n">
        <v>0.03695601851851852</v>
      </c>
      <c r="I37" s="45" t="n">
        <v>73044</v>
      </c>
      <c r="J37" s="45" t="n">
        <v>2244</v>
      </c>
      <c r="K37" s="45" t="n">
        <v>329</v>
      </c>
      <c r="L37" s="46" t="n"/>
      <c r="M37" s="47" t="n"/>
      <c r="N37" s="47" t="inlineStr">
        <is>
          <t>UCKZo4N0lVPccBkSiuyVh4yg</t>
        </is>
      </c>
      <c r="O37" s="48" t="n">
        <v>46246.97777777778</v>
      </c>
      <c r="P37" s="49" t="n">
        <v>46246</v>
      </c>
      <c r="Q37" s="47" t="n">
        <v>3231</v>
      </c>
      <c r="R37" s="47" t="inlineStr">
        <is>
          <t>No Video ID yet</t>
        </is>
      </c>
      <c r="S37" s="49" t="n"/>
      <c r="T37" s="49" t="n"/>
      <c r="U37" s="47" t="inlineStr">
        <is>
          <t>Head to and use code jvsb50off to get 50% off and 1 free breakfast item per box for 1 year. Today J and Ben are putting their Harry Potter knowledge to the test with an IMPOSSIBLE quiz all about the Black Family Tree! Sirius, Bellatrix, Narcissa, Andromeda, Regulus… and about a million interconnected witches and wizards in between. How well do we actually know one of the oldest and most complicated pure-blood families in the Wizarding World? Play along and let us know how many YOU got right! #JvsBen #HarryPotter #SuperCarlinBrothers</t>
        </is>
      </c>
      <c r="V37" s="47">
        <f>IF(AND(P37&gt;=Calendar!$K$2,P37&lt;EDATE(Calendar!$K$2,1),OR(Calendar!$K$4="*",N37=Calendar!$K$4)),P37*100+COUNTIFS($P$6:$P$3267,P37,$Q$6:$Q$3267,"&lt;="&amp;Q37,$N$6:$N$3267,Calendar!$K$4),"")</f>
        <v/>
      </c>
      <c r="W37" s="47">
        <f>IF(AND(B37=Queue!$C$4,OR(Queue!$K$4="*",N37=Queue!$K$4)),Q37,"")</f>
        <v/>
      </c>
    </row>
    <row r="38">
      <c r="A38" s="38">
        <f>IF(M38="","",HYPERLINK("https://www.youtube.com/watch?v="&amp;M38,"▶"))</f>
        <v/>
      </c>
      <c r="B38" s="39">
        <f>IF(C38&lt;&gt;"",C38,IF(P38&lt;=IFERROR(INDEX(tblChannels[Watched Through],MATCH(N38,tblChannels[Channel ID],0)),0),"Watched","Unwatched"))</f>
        <v/>
      </c>
      <c r="C38" s="40" t="n"/>
      <c r="D38" s="41" t="n"/>
      <c r="E38" s="42" t="n">
        <v>46243.41666666666</v>
      </c>
      <c r="F38" s="51" t="inlineStr">
        <is>
          <t>Through The Griffin Door</t>
        </is>
      </c>
      <c r="G38" t="inlineStr">
        <is>
          <t>Chapter 9: The Half-Blood Prince | Half-Blood Prince</t>
        </is>
      </c>
      <c r="H38" s="44" t="n">
        <v>0.08589120370370371</v>
      </c>
      <c r="I38" s="45" t="n">
        <v>36638</v>
      </c>
      <c r="J38" s="45" t="n">
        <v>873</v>
      </c>
      <c r="K38" s="45" t="n">
        <v>410</v>
      </c>
      <c r="L38" s="46" t="n"/>
      <c r="M38" s="47" t="n"/>
      <c r="N38" s="47" t="inlineStr">
        <is>
          <t>UCEscP6ETYXWSSvsNrDHekMQ</t>
        </is>
      </c>
      <c r="O38" s="48" t="n">
        <v>46243.58333333334</v>
      </c>
      <c r="P38" s="49" t="n">
        <v>46243</v>
      </c>
      <c r="Q38" s="47" t="n">
        <v>3230</v>
      </c>
      <c r="R38" s="47" t="inlineStr">
        <is>
          <t>No Video ID yet</t>
        </is>
      </c>
      <c r="S38" s="49" t="n"/>
      <c r="T38" s="49" t="n"/>
      <c r="U38" s="47" t="inlineStr">
        <is>
          <t>Join J and Ben as they dive into Chapter 9 of the Half Blood Prince and discuss Ron showing off, dropping COMC, McGonagall giving out class schedules, whether or not Harry should hold Quidditch tryouts, Snape’s DADA speech, one of the best comebacks in the series, DA LAGS, THE Potions class, and Harry finding THE book. We Accidentally Proved James Potter Was The Half-Blood Prince - 08:20 - Chapter Breakdown 1:53:31 - Closing Thoughts and Review</t>
        </is>
      </c>
      <c r="V38" s="47">
        <f>IF(AND(P38&gt;=Calendar!$K$2,P38&lt;EDATE(Calendar!$K$2,1),OR(Calendar!$K$4="*",N38=Calendar!$K$4)),P38*100+COUNTIFS($P$6:$P$3267,P38,$Q$6:$Q$3267,"&lt;="&amp;Q38,$N$6:$N$3267,Calendar!$K$4),"")</f>
        <v/>
      </c>
      <c r="W38" s="47">
        <f>IF(AND(B38=Queue!$C$4,OR(Queue!$K$4="*",N38=Queue!$K$4)),Q38,"")</f>
        <v/>
      </c>
    </row>
    <row r="39">
      <c r="A39" s="38">
        <f>IF(M39="","",HYPERLINK("https://www.youtube.com/watch?v="&amp;M39,"▶"))</f>
        <v/>
      </c>
      <c r="B39" s="39">
        <f>IF(C39&lt;&gt;"",C39,IF(P39&lt;=IFERROR(INDEX(tblChannels[Watched Through],MATCH(N39,tblChannels[Channel ID],0)),0),"Watched","Unwatched"))</f>
        <v/>
      </c>
      <c r="C39" s="40" t="n"/>
      <c r="D39" s="41" t="n"/>
      <c r="E39" s="42" t="n">
        <v>46241.625</v>
      </c>
      <c r="F39" s="50" t="inlineStr">
        <is>
          <t>Super Carlin Brothers</t>
        </is>
      </c>
      <c r="G39" t="inlineStr">
        <is>
          <t>We’re OFFICIALLY Wizards Now | Exit The Game</t>
        </is>
      </c>
      <c r="H39" s="44" t="n">
        <v>0.03973379629629629</v>
      </c>
      <c r="I39" s="45" t="n">
        <v>29905</v>
      </c>
      <c r="J39" s="45" t="n">
        <v>1183</v>
      </c>
      <c r="K39" s="45" t="n">
        <v>122</v>
      </c>
      <c r="L39" s="46" t="n"/>
      <c r="M39" s="47" t="n"/>
      <c r="N39" s="47" t="inlineStr">
        <is>
          <t>UCKZo4N0lVPccBkSiuyVh4yg</t>
        </is>
      </c>
      <c r="O39" s="48" t="n">
        <v>46241.79166666666</v>
      </c>
      <c r="P39" s="49" t="n">
        <v>46241</v>
      </c>
      <c r="Q39" s="47" t="n">
        <v>3229</v>
      </c>
      <c r="R39" s="47" t="inlineStr">
        <is>
          <t>No Video ID yet</t>
        </is>
      </c>
      <c r="S39" s="49" t="n"/>
      <c r="T39" s="49" t="n"/>
      <c r="U39" s="47" t="inlineStr">
        <is>
          <t>This episode is sponsored by Better Help – Go to and see if Better Help is right for you. This week, J and Ben finally receive their Hogwarts letters and are sent off to the Magic Academy! But what’s this? Mysterious creatures from another dimension have been unleashed throughout the school!? With their professors nowhere to be found, J and Ben become the Chosen One(s)! Watch them trudge through obstacle after obstacle, solving riddle after riddle. All in the name of defeating the nefarious “polterbolds” and saving the academy from total and utter destruction. #SuperCarlinBrothers #ExitTheGame Edited by: Ethan Edghill and Isybelle Christley</t>
        </is>
      </c>
      <c r="V39" s="47">
        <f>IF(AND(P39&gt;=Calendar!$K$2,P39&lt;EDATE(Calendar!$K$2,1),OR(Calendar!$K$4="*",N39=Calendar!$K$4)),P39*100+COUNTIFS($P$6:$P$3267,P39,$Q$6:$Q$3267,"&lt;="&amp;Q39,$N$6:$N$3267,Calendar!$K$4),"")</f>
        <v/>
      </c>
      <c r="W39" s="47">
        <f>IF(AND(B39=Queue!$C$4,OR(Queue!$K$4="*",N39=Queue!$K$4)),Q39,"")</f>
        <v/>
      </c>
    </row>
    <row r="40">
      <c r="A40" s="38">
        <f>IF(M40="","",HYPERLINK("https://www.youtube.com/watch?v="&amp;M40,"▶"))</f>
        <v/>
      </c>
      <c r="B40" s="39">
        <f>IF(C40&lt;&gt;"",C40,IF(P40&lt;=IFERROR(INDEX(tblChannels[Watched Through],MATCH(N40,tblChannels[Channel ID],0)),0),"Watched","Unwatched"))</f>
        <v/>
      </c>
      <c r="C40" s="40" t="n"/>
      <c r="D40" s="41" t="n"/>
      <c r="E40" s="42" t="n">
        <v>46241.41666666666</v>
      </c>
      <c r="F40" s="43" t="inlineStr">
        <is>
          <t>Popcorn Culture</t>
        </is>
      </c>
      <c r="G40" t="inlineStr">
        <is>
          <t>Childhood Blueprints | Popcorn Culture</t>
        </is>
      </c>
      <c r="H40" s="44" t="n">
        <v>0.04722222222222222</v>
      </c>
      <c r="I40" s="45" t="n">
        <v>1964</v>
      </c>
      <c r="J40" s="45" t="n">
        <v>102</v>
      </c>
      <c r="K40" s="45" t="n">
        <v>16</v>
      </c>
      <c r="L40" s="46" t="n"/>
      <c r="M40" s="47" t="n"/>
      <c r="N40" s="47" t="inlineStr">
        <is>
          <t>UCHfIbq9thHPC8yrKjAdJgDA</t>
        </is>
      </c>
      <c r="O40" s="48" t="n">
        <v>46241.58333333334</v>
      </c>
      <c r="P40" s="49" t="n">
        <v>46241</v>
      </c>
      <c r="Q40" s="47" t="n">
        <v>3228</v>
      </c>
      <c r="R40" s="47" t="inlineStr">
        <is>
          <t>No Video ID yet</t>
        </is>
      </c>
      <c r="S40" s="49" t="n"/>
      <c r="T40" s="49" t="n"/>
      <c r="U40" s="47" t="inlineStr">
        <is>
          <t>In the 348th episode of the Pop, Ben and J discuss childhood blueprints, particularly of their beach trips, popcorn buckets, and growing/foraging/etc your own food for a year, Relevant Links Shibumi - 00:00 - Intro, Beach Wagon Update 03:21 - Childhood Blueprint 30:45 - Popcorn Buckets 45:42 - More Nostalgic Places 53:35 - No Buy Food Challenge</t>
        </is>
      </c>
      <c r="V40" s="47">
        <f>IF(AND(P40&gt;=Calendar!$K$2,P40&lt;EDATE(Calendar!$K$2,1),OR(Calendar!$K$4="*",N40=Calendar!$K$4)),P40*100+COUNTIFS($P$6:$P$3267,P40,$Q$6:$Q$3267,"&lt;="&amp;Q40,$N$6:$N$3267,Calendar!$K$4),"")</f>
        <v/>
      </c>
      <c r="W40" s="47">
        <f>IF(AND(B40=Queue!$C$4,OR(Queue!$K$4="*",N40=Queue!$K$4)),Q40,"")</f>
        <v/>
      </c>
    </row>
    <row r="41">
      <c r="A41" s="38">
        <f>IF(M41="","",HYPERLINK("https://www.youtube.com/watch?v="&amp;M41,"▶"))</f>
        <v/>
      </c>
      <c r="B41" s="39">
        <f>IF(C41&lt;&gt;"",C41,IF(P41&lt;=IFERROR(INDEX(tblChannels[Watched Through],MATCH(N41,tblChannels[Channel ID],0)),0),"Watched","Unwatched"))</f>
        <v/>
      </c>
      <c r="C41" s="40" t="n"/>
      <c r="D41" s="41" t="n"/>
      <c r="E41" s="42" t="n">
        <v>46239.625</v>
      </c>
      <c r="F41" s="50" t="inlineStr">
        <is>
          <t>Super Carlin Brothers</t>
        </is>
      </c>
      <c r="G41" t="inlineStr">
        <is>
          <t>J vs Ben FUNNIEST Moments Compilation</t>
        </is>
      </c>
      <c r="H41" s="44" t="n">
        <v>0.09592592592592593</v>
      </c>
      <c r="I41" s="45" t="n">
        <v>22200</v>
      </c>
      <c r="J41" s="45" t="n">
        <v>768</v>
      </c>
      <c r="K41" s="45" t="n">
        <v>82</v>
      </c>
      <c r="L41" s="46" t="n"/>
      <c r="M41" s="47" t="n"/>
      <c r="N41" s="47" t="inlineStr">
        <is>
          <t>UCKZo4N0lVPccBkSiuyVh4yg</t>
        </is>
      </c>
      <c r="O41" s="48" t="n">
        <v>46239.79166666666</v>
      </c>
      <c r="P41" s="49" t="n">
        <v>46239</v>
      </c>
      <c r="Q41" s="47" t="n">
        <v>3227</v>
      </c>
      <c r="R41" s="47" t="inlineStr">
        <is>
          <t>No Video ID yet</t>
        </is>
      </c>
      <c r="S41" s="49" t="n"/>
      <c r="T41" s="49" t="n"/>
      <c r="U41" s="47" t="inlineStr">
        <is>
          <t>This week brings you some of your FAVORITE moments from the past couple years of J vs Ben. The funny, the epic, the HOT (wings), the DISGUSTING (tricks) and everything in between. This is where the inside jokes are born and the competition is FIERCE … well sometimes, we’re mostly just here to have a good time.</t>
        </is>
      </c>
      <c r="V41" s="47">
        <f>IF(AND(P41&gt;=Calendar!$K$2,P41&lt;EDATE(Calendar!$K$2,1),OR(Calendar!$K$4="*",N41=Calendar!$K$4)),P41*100+COUNTIFS($P$6:$P$3267,P41,$Q$6:$Q$3267,"&lt;="&amp;Q41,$N$6:$N$3267,Calendar!$K$4),"")</f>
        <v/>
      </c>
      <c r="W41" s="47">
        <f>IF(AND(B41=Queue!$C$4,OR(Queue!$K$4="*",N41=Queue!$K$4)),Q41,"")</f>
        <v/>
      </c>
    </row>
    <row r="42">
      <c r="A42" s="38">
        <f>IF(M42="","",HYPERLINK("https://www.youtube.com/watch?v="&amp;M42,"▶"))</f>
        <v/>
      </c>
      <c r="B42" s="39">
        <f>IF(C42&lt;&gt;"",C42,IF(P42&lt;=IFERROR(INDEX(tblChannels[Watched Through],MATCH(N42,tblChannels[Channel ID],0)),0),"Watched","Unwatched"))</f>
        <v/>
      </c>
      <c r="C42" s="40" t="n"/>
      <c r="D42" s="41" t="n"/>
      <c r="E42" s="42" t="n">
        <v>46236.41666666666</v>
      </c>
      <c r="F42" s="51" t="inlineStr">
        <is>
          <t>Through The Griffin Door</t>
        </is>
      </c>
      <c r="G42" t="inlineStr">
        <is>
          <t>Chapter 8: Snape Victorious | Half-Blood Prince</t>
        </is>
      </c>
      <c r="H42" s="44" t="n">
        <v>0.05710648148148148</v>
      </c>
      <c r="I42" s="45" t="n">
        <v>30213</v>
      </c>
      <c r="J42" s="45" t="n">
        <v>881</v>
      </c>
      <c r="K42" s="45" t="n">
        <v>310</v>
      </c>
      <c r="L42" s="46" t="n"/>
      <c r="M42" s="47" t="n"/>
      <c r="N42" s="47" t="inlineStr">
        <is>
          <t>UCEscP6ETYXWSSvsNrDHekMQ</t>
        </is>
      </c>
      <c r="O42" s="48" t="n">
        <v>46236.58333333334</v>
      </c>
      <c r="P42" s="49" t="n">
        <v>46236</v>
      </c>
      <c r="Q42" s="47" t="n">
        <v>3226</v>
      </c>
      <c r="R42" s="47" t="inlineStr">
        <is>
          <t>No Video ID yet</t>
        </is>
      </c>
      <c r="S42" s="49" t="n"/>
      <c r="T42" s="49" t="n"/>
      <c r="U42" s="47" t="inlineStr">
        <is>
          <t>Join J and Ben as they dive into Chapter 8 of the Half Blood Prince and discuss the train’s schedule, nonverbal magic, werewolves underuse in the series, Snape being a jerk to Tonks, the start of term speech, and “Jerk Harry”. 07:30 - Chapter Breakdown 1:17:14 - Closing Thoughts and Review</t>
        </is>
      </c>
      <c r="V42" s="47">
        <f>IF(AND(P42&gt;=Calendar!$K$2,P42&lt;EDATE(Calendar!$K$2,1),OR(Calendar!$K$4="*",N42=Calendar!$K$4)),P42*100+COUNTIFS($P$6:$P$3267,P42,$Q$6:$Q$3267,"&lt;="&amp;Q42,$N$6:$N$3267,Calendar!$K$4),"")</f>
        <v/>
      </c>
      <c r="W42" s="47">
        <f>IF(AND(B42=Queue!$C$4,OR(Queue!$K$4="*",N42=Queue!$K$4)),Q42,"")</f>
        <v/>
      </c>
    </row>
    <row r="43">
      <c r="A43" s="38">
        <f>IF(M43="","",HYPERLINK("https://www.youtube.com/watch?v="&amp;M43,"▶"))</f>
        <v/>
      </c>
      <c r="B43" s="39">
        <f>IF(C43&lt;&gt;"",C43,IF(P43&lt;=IFERROR(INDEX(tblChannels[Watched Through],MATCH(N43,tblChannels[Channel ID],0)),0),"Watched","Unwatched"))</f>
        <v/>
      </c>
      <c r="C43" s="40" t="n"/>
      <c r="D43" s="41" t="n"/>
      <c r="E43" s="42" t="n">
        <v>46234.72638888889</v>
      </c>
      <c r="F43" s="50" t="inlineStr">
        <is>
          <t>Super Carlin Brothers</t>
        </is>
      </c>
      <c r="G43" t="inlineStr">
        <is>
          <t>5 Tiny Harry Potter Secrets Hidden in Plain Sight</t>
        </is>
      </c>
      <c r="H43" s="44" t="n">
        <v>0.01304398148148148</v>
      </c>
      <c r="I43" s="45" t="n">
        <v>115416</v>
      </c>
      <c r="J43" s="45" t="n">
        <v>4077</v>
      </c>
      <c r="K43" s="45" t="n">
        <v>338</v>
      </c>
      <c r="L43" s="46" t="n"/>
      <c r="M43" s="47" t="n"/>
      <c r="N43" s="47" t="inlineStr">
        <is>
          <t>UCKZo4N0lVPccBkSiuyVh4yg</t>
        </is>
      </c>
      <c r="O43" s="48" t="n">
        <v>46234.89305555556</v>
      </c>
      <c r="P43" s="49" t="n">
        <v>46234</v>
      </c>
      <c r="Q43" s="47" t="n">
        <v>3225</v>
      </c>
      <c r="R43" s="47" t="inlineStr">
        <is>
          <t>No Video ID yet</t>
        </is>
      </c>
      <c r="S43" s="49" t="n"/>
      <c r="T43" s="49" t="n"/>
      <c r="U43" s="47" t="inlineStr">
        <is>
          <t>Have you ever wondered why Gilderoy Lockhart's favorite color is lilac? Believe it or not... the Harry Potter books actually answer that question. Today we're diving into five bite-sized Harry Potter theories that were too fun to leave on the cutting room floor. From the hidden meaning behind Lockhart's favorite color to how Love Potions might actually work, whether Regulus Black was a Hatstall, the true identity of the mysterious "Muggle tramp" Voldemort killed to create Slytherin's Locket Horcrux, and why Dumbledore compliments the Dursleys' agapanthus flowers, we're uncovering some of the smallest (and strangest) secrets hidden throughout the Wizarding World. Sometimes the best Harry Potter theories aren't big enough for their own video... but they're way too good not to share.</t>
        </is>
      </c>
      <c r="V43" s="47">
        <f>IF(AND(P43&gt;=Calendar!$K$2,P43&lt;EDATE(Calendar!$K$2,1),OR(Calendar!$K$4="*",N43=Calendar!$K$4)),P43*100+COUNTIFS($P$6:$P$3267,P43,$Q$6:$Q$3267,"&lt;="&amp;Q43,$N$6:$N$3267,Calendar!$K$4),"")</f>
        <v/>
      </c>
      <c r="W43" s="47">
        <f>IF(AND(B43=Queue!$C$4,OR(Queue!$K$4="*",N43=Queue!$K$4)),Q43,"")</f>
        <v/>
      </c>
    </row>
    <row r="44">
      <c r="A44" s="38">
        <f>IF(M44="","",HYPERLINK("https://www.youtube.com/watch?v="&amp;M44,"▶"))</f>
        <v/>
      </c>
      <c r="B44" s="39">
        <f>IF(C44&lt;&gt;"",C44,IF(P44&lt;=IFERROR(INDEX(tblChannels[Watched Through],MATCH(N44,tblChannels[Channel ID],0)),0),"Watched","Unwatched"))</f>
        <v/>
      </c>
      <c r="C44" s="40" t="n"/>
      <c r="D44" s="41" t="n"/>
      <c r="E44" s="42" t="n">
        <v>46234.41666666666</v>
      </c>
      <c r="F44" s="43" t="inlineStr">
        <is>
          <t>Popcorn Culture</t>
        </is>
      </c>
      <c r="G44" t="inlineStr">
        <is>
          <t>Beach Wagon Dread | Popcorn Culture</t>
        </is>
      </c>
      <c r="H44" s="44" t="n">
        <v>0.05178240740740741</v>
      </c>
      <c r="I44" s="45" t="n">
        <v>2205</v>
      </c>
      <c r="J44" s="45" t="n">
        <v>105</v>
      </c>
      <c r="K44" s="45" t="n">
        <v>28</v>
      </c>
      <c r="L44" s="46" t="n"/>
      <c r="M44" s="47" t="n"/>
      <c r="N44" s="47" t="inlineStr">
        <is>
          <t>UCHfIbq9thHPC8yrKjAdJgDA</t>
        </is>
      </c>
      <c r="O44" s="48" t="n">
        <v>46234.58333333334</v>
      </c>
      <c r="P44" s="49" t="n">
        <v>46234</v>
      </c>
      <c r="Q44" s="47" t="n">
        <v>3224</v>
      </c>
      <c r="R44" s="47" t="inlineStr">
        <is>
          <t>No Video ID yet</t>
        </is>
      </c>
      <c r="S44" s="49" t="n"/>
      <c r="T44" s="49" t="n"/>
      <c r="U44" s="47" t="inlineStr">
        <is>
          <t>In the 347th episode of the Pop, Ben and J discuss J’s surprise peach harvest, partridges, the alphabet, the Byzantine Empire, beach wagons, and more 27 Butts ideas. Relevant Links Avatar the Last Airbender - Alternative Titles: The Lonely Partridge What Even IS The Byzantine Empire?? 00:00 - Intro, Peach Harvest 17:04 - Categorizing 38:16 - To Beach Wagon or to Not Beach Wagon</t>
        </is>
      </c>
      <c r="V44" s="47">
        <f>IF(AND(P44&gt;=Calendar!$K$2,P44&lt;EDATE(Calendar!$K$2,1),OR(Calendar!$K$4="*",N44=Calendar!$K$4)),P44*100+COUNTIFS($P$6:$P$3267,P44,$Q$6:$Q$3267,"&lt;="&amp;Q44,$N$6:$N$3267,Calendar!$K$4),"")</f>
        <v/>
      </c>
      <c r="W44" s="47">
        <f>IF(AND(B44=Queue!$C$4,OR(Queue!$K$4="*",N44=Queue!$K$4)),Q44,"")</f>
        <v/>
      </c>
    </row>
    <row r="45">
      <c r="A45" s="38">
        <f>IF(M45="","",HYPERLINK("https://www.youtube.com/watch?v="&amp;M45,"▶"))</f>
        <v/>
      </c>
      <c r="B45" s="39">
        <f>IF(C45&lt;&gt;"",C45,IF(P45&lt;=IFERROR(INDEX(tblChannels[Watched Through],MATCH(N45,tblChannels[Channel ID],0)),0),"Watched","Unwatched"))</f>
        <v/>
      </c>
      <c r="C45" s="40" t="n"/>
      <c r="D45" s="41" t="n"/>
      <c r="E45" s="42" t="n">
        <v>46232.73125</v>
      </c>
      <c r="F45" s="50" t="inlineStr">
        <is>
          <t>Super Carlin Brothers</t>
        </is>
      </c>
      <c r="G45" t="inlineStr">
        <is>
          <t>We Retook Every Question We Got Wrong… | Redemption Quiz</t>
        </is>
      </c>
      <c r="H45" s="44" t="n">
        <v>0.03284722222222222</v>
      </c>
      <c r="I45" s="45" t="n">
        <v>65648</v>
      </c>
      <c r="J45" s="45" t="n">
        <v>2475</v>
      </c>
      <c r="K45" s="45" t="n">
        <v>354</v>
      </c>
      <c r="L45" s="46" t="n"/>
      <c r="M45" s="47" t="n"/>
      <c r="N45" s="47" t="inlineStr">
        <is>
          <t>UCKZo4N0lVPccBkSiuyVh4yg</t>
        </is>
      </c>
      <c r="O45" s="48" t="n">
        <v>46232.89791666667</v>
      </c>
      <c r="P45" s="49" t="n">
        <v>46232</v>
      </c>
      <c r="Q45" s="47" t="n">
        <v>3223</v>
      </c>
      <c r="R45" s="47" t="inlineStr">
        <is>
          <t>No Video ID yet</t>
        </is>
      </c>
      <c r="S45" s="49" t="n"/>
      <c r="T45" s="49" t="n"/>
      <c r="U45" s="47" t="inlineStr">
        <is>
          <t>Get $15 off your first purchase on Whatnot using this link Today J and Ben face off against each other AND their past selves for a shot at redemption and GLORY. All of the questions on today’s quizzes are ones both guys got wrong in the past. Can they learn from their mistakes or will they fail them a 2nd time?! Written by: The Quiz Masters Hosted by: Quizybelle</t>
        </is>
      </c>
      <c r="V45" s="47">
        <f>IF(AND(P45&gt;=Calendar!$K$2,P45&lt;EDATE(Calendar!$K$2,1),OR(Calendar!$K$4="*",N45=Calendar!$K$4)),P45*100+COUNTIFS($P$6:$P$3267,P45,$Q$6:$Q$3267,"&lt;="&amp;Q45,$N$6:$N$3267,Calendar!$K$4),"")</f>
        <v/>
      </c>
      <c r="W45" s="47">
        <f>IF(AND(B45=Queue!$C$4,OR(Queue!$K$4="*",N45=Queue!$K$4)),Q45,"")</f>
        <v/>
      </c>
    </row>
    <row r="46">
      <c r="A46" s="38">
        <f>IF(M46="","",HYPERLINK("https://www.youtube.com/watch?v="&amp;M46,"▶"))</f>
        <v/>
      </c>
      <c r="B46" s="39">
        <f>IF(C46&lt;&gt;"",C46,IF(P46&lt;=IFERROR(INDEX(tblChannels[Watched Through],MATCH(N46,tblChannels[Channel ID],0)),0),"Watched","Unwatched"))</f>
        <v/>
      </c>
      <c r="C46" s="40" t="n"/>
      <c r="D46" s="41" t="n"/>
      <c r="E46" s="42" t="n">
        <v>46229.41666666666</v>
      </c>
      <c r="F46" s="51" t="inlineStr">
        <is>
          <t>Through The Griffin Door</t>
        </is>
      </c>
      <c r="G46" t="inlineStr">
        <is>
          <t>Chapter 7: The Slug Club | Half-Blood Prince</t>
        </is>
      </c>
      <c r="H46" s="44" t="n">
        <v>0.07896990740740741</v>
      </c>
      <c r="I46" s="45" t="n">
        <v>36283</v>
      </c>
      <c r="J46" s="45" t="n">
        <v>926</v>
      </c>
      <c r="K46" s="45" t="n">
        <v>346</v>
      </c>
      <c r="L46" s="46" t="n"/>
      <c r="M46" s="47" t="n"/>
      <c r="N46" s="47" t="inlineStr">
        <is>
          <t>UCEscP6ETYXWSSvsNrDHekMQ</t>
        </is>
      </c>
      <c r="O46" s="48" t="n">
        <v>46229.58333333334</v>
      </c>
      <c r="P46" s="49" t="n">
        <v>46229</v>
      </c>
      <c r="Q46" s="47" t="n">
        <v>3222</v>
      </c>
      <c r="R46" s="47" t="inlineStr">
        <is>
          <t>No Video ID yet</t>
        </is>
      </c>
      <c r="S46" s="49" t="n"/>
      <c r="T46" s="49" t="n"/>
      <c r="U46" s="47" t="inlineStr">
        <is>
          <t>This episode is sponsored by Shopify – Go to shopify.com/griffin to start your free trial! Join J and Ben as they dive into Chapter 7 of the Half Blood Prince and discuss Harry’s musings about Malfoy’s plans, Fleur’s (maybe?) rudeness, getting to the platform, meeting up with Neville and Luna, going to the Slug Club, Belby not getting pies, and sneaking into the Slytherin compartment. Sign up annually for our Patreon before July 31st to get your TTGD Galleon! 3 WAY Better Careers for Harry Potter - Inglourious Basterds - 04:50 - Chapter Breakdown 43:28 - Ad Break (Shopify) 44:46 - More Chapter Breakdown 1:45:57 - Closing Thoughts and Review</t>
        </is>
      </c>
      <c r="V46" s="47">
        <f>IF(AND(P46&gt;=Calendar!$K$2,P46&lt;EDATE(Calendar!$K$2,1),OR(Calendar!$K$4="*",N46=Calendar!$K$4)),P46*100+COUNTIFS($P$6:$P$3267,P46,$Q$6:$Q$3267,"&lt;="&amp;Q46,$N$6:$N$3267,Calendar!$K$4),"")</f>
        <v/>
      </c>
      <c r="W46" s="47">
        <f>IF(AND(B46=Queue!$C$4,OR(Queue!$K$4="*",N46=Queue!$K$4)),Q46,"")</f>
        <v/>
      </c>
    </row>
    <row r="47">
      <c r="A47" s="38">
        <f>IF(M47="","",HYPERLINK("https://www.youtube.com/watch?v="&amp;M47,"▶"))</f>
        <v/>
      </c>
      <c r="B47" s="39">
        <f>IF(C47&lt;&gt;"",C47,IF(P47&lt;=IFERROR(INDEX(tblChannels[Watched Through],MATCH(N47,tblChannels[Channel ID],0)),0),"Watched","Unwatched"))</f>
        <v/>
      </c>
      <c r="C47" s="40" t="n"/>
      <c r="D47" s="41" t="n"/>
      <c r="E47" s="42" t="n">
        <v>46227.70625</v>
      </c>
      <c r="F47" s="50" t="inlineStr">
        <is>
          <t>Super Carlin Brothers</t>
        </is>
      </c>
      <c r="G47" t="inlineStr">
        <is>
          <t>Defending More WILD Harry Potter Theories | Theories From A Hat</t>
        </is>
      </c>
      <c r="H47" s="44" t="n">
        <v>0.0303125</v>
      </c>
      <c r="I47" s="45" t="n">
        <v>79734</v>
      </c>
      <c r="J47" s="45" t="n">
        <v>2665</v>
      </c>
      <c r="K47" s="45" t="n">
        <v>492</v>
      </c>
      <c r="L47" s="46" t="n"/>
      <c r="M47" s="47" t="n"/>
      <c r="N47" s="47" t="inlineStr">
        <is>
          <t>UCKZo4N0lVPccBkSiuyVh4yg</t>
        </is>
      </c>
      <c r="O47" s="48" t="n">
        <v>46227.87291666667</v>
      </c>
      <c r="P47" s="49" t="n">
        <v>46227</v>
      </c>
      <c r="Q47" s="47" t="n">
        <v>3221</v>
      </c>
      <c r="R47" s="47" t="inlineStr">
        <is>
          <t>No Video ID yet</t>
        </is>
      </c>
      <c r="S47" s="49" t="n"/>
      <c r="T47" s="49" t="n"/>
      <c r="U47" s="47" t="inlineStr">
        <is>
          <t>This episode is sponsored by BetterHelp – Sign up and get 10% off at This episode is sponsored by Shopify – Build your own business with a free trial at This episode is sponsored by Factor – Head to Factormeals.com/super50off and use code “super50off” to get 50 percent off and free daily greens per box. Today J and Ben are defending more wild Harry Potter theories submitted to us from our Quiz Masters! Can we prove Hedwig is still alive? Was Hedwig an animagus? What REALLY happened to Florean Fortescue? Was Snape Harry’s secret father the whole time!? The Marauders Map is a Horcrux?!</t>
        </is>
      </c>
      <c r="V47" s="47">
        <f>IF(AND(P47&gt;=Calendar!$K$2,P47&lt;EDATE(Calendar!$K$2,1),OR(Calendar!$K$4="*",N47=Calendar!$K$4)),P47*100+COUNTIFS($P$6:$P$3267,P47,$Q$6:$Q$3267,"&lt;="&amp;Q47,$N$6:$N$3267,Calendar!$K$4),"")</f>
        <v/>
      </c>
      <c r="W47" s="47">
        <f>IF(AND(B47=Queue!$C$4,OR(Queue!$K$4="*",N47=Queue!$K$4)),Q47,"")</f>
        <v/>
      </c>
    </row>
    <row r="48">
      <c r="A48" s="38">
        <f>IF(M48="","",HYPERLINK("https://www.youtube.com/watch?v="&amp;M48,"▶"))</f>
        <v/>
      </c>
      <c r="B48" s="39">
        <f>IF(C48&lt;&gt;"",C48,IF(P48&lt;=IFERROR(INDEX(tblChannels[Watched Through],MATCH(N48,tblChannels[Channel ID],0)),0),"Watched","Unwatched"))</f>
        <v/>
      </c>
      <c r="C48" s="40" t="n"/>
      <c r="D48" s="41" t="n"/>
      <c r="E48" s="42" t="n">
        <v>46227.41666666666</v>
      </c>
      <c r="F48" s="43" t="inlineStr">
        <is>
          <t>Popcorn Culture</t>
        </is>
      </c>
      <c r="G48" t="inlineStr">
        <is>
          <t>Gourmet Orange Slices | Popcorn Culture</t>
        </is>
      </c>
      <c r="H48" s="44" t="n">
        <v>0.0446412037037037</v>
      </c>
      <c r="I48" s="45" t="n">
        <v>2006</v>
      </c>
      <c r="J48" s="45" t="n">
        <v>97</v>
      </c>
      <c r="K48" s="45" t="n">
        <v>15</v>
      </c>
      <c r="L48" s="46" t="n"/>
      <c r="M48" s="47" t="n"/>
      <c r="N48" s="47" t="inlineStr">
        <is>
          <t>UCHfIbq9thHPC8yrKjAdJgDA</t>
        </is>
      </c>
      <c r="O48" s="48" t="n">
        <v>46227.58333333334</v>
      </c>
      <c r="P48" s="49" t="n">
        <v>46227</v>
      </c>
      <c r="Q48" s="47" t="n">
        <v>3220</v>
      </c>
      <c r="R48" s="47" t="inlineStr">
        <is>
          <t>No Video ID yet</t>
        </is>
      </c>
      <c r="S48" s="49" t="n"/>
      <c r="T48" s="49" t="n"/>
      <c r="U48" s="47" t="inlineStr">
        <is>
          <t>In the 346th episode of the Pop, Ben and J discuss go-to selfie faces, sports announcers, and prepping for coaching soccer. Relevant Links Anaconda – 00:00 - Intro, Selfies 30:07 - Coaching Soccer</t>
        </is>
      </c>
      <c r="V48" s="47">
        <f>IF(AND(P48&gt;=Calendar!$K$2,P48&lt;EDATE(Calendar!$K$2,1),OR(Calendar!$K$4="*",N48=Calendar!$K$4)),P48*100+COUNTIFS($P$6:$P$3267,P48,$Q$6:$Q$3267,"&lt;="&amp;Q48,$N$6:$N$3267,Calendar!$K$4),"")</f>
        <v/>
      </c>
      <c r="W48" s="47">
        <f>IF(AND(B48=Queue!$C$4,OR(Queue!$K$4="*",N48=Queue!$K$4)),Q48,"")</f>
        <v/>
      </c>
    </row>
    <row r="49">
      <c r="A49" s="38">
        <f>IF(M49="","",HYPERLINK("https://www.youtube.com/watch?v="&amp;M49,"▶"))</f>
        <v/>
      </c>
      <c r="B49" s="39">
        <f>IF(C49&lt;&gt;"",C49,IF(P49&lt;=IFERROR(INDEX(tblChannels[Watched Through],MATCH(N49,tblChannels[Channel ID],0)),0),"Watched","Unwatched"))</f>
        <v/>
      </c>
      <c r="C49" s="40" t="n"/>
      <c r="D49" s="41" t="n"/>
      <c r="E49" s="42" t="n">
        <v>46225.60972222222</v>
      </c>
      <c r="F49" s="50" t="inlineStr">
        <is>
          <t>Super Carlin Brothers</t>
        </is>
      </c>
      <c r="G49" t="inlineStr">
        <is>
          <t>Neville Was The REAL Chosen One</t>
        </is>
      </c>
      <c r="H49" s="44" t="n">
        <v>0.01128472222222222</v>
      </c>
      <c r="I49" s="45" t="n">
        <v>62348</v>
      </c>
      <c r="J49" s="45" t="n">
        <v>2909</v>
      </c>
      <c r="K49" s="45" t="n">
        <v>433</v>
      </c>
      <c r="L49" s="46" t="n"/>
      <c r="M49" s="47" t="n"/>
      <c r="N49" s="47" t="inlineStr">
        <is>
          <t>UCKZo4N0lVPccBkSiuyVh4yg</t>
        </is>
      </c>
      <c r="O49" s="48" t="n">
        <v>46225.77638888889</v>
      </c>
      <c r="P49" s="49" t="n">
        <v>46225</v>
      </c>
      <c r="Q49" s="47" t="n">
        <v>3219</v>
      </c>
      <c r="R49" s="47" t="inlineStr">
        <is>
          <t>No Video ID yet</t>
        </is>
      </c>
      <c r="S49" s="49" t="n"/>
      <c r="T49" s="49" t="n"/>
      <c r="U49" s="47" t="inlineStr">
        <is>
          <t>This episode is sponsored by BetterHelp – Sign up and get 10% off at What if we've misunderstood the prophecy for nearly 30 years? Everyone assumes Harry Potter is the Chosen One... but what if Neville Longbottom actually fulfills every requirement first? Today we're breaking down every line of Trelawney's prophecy, Voldemort's choices, Neville's role at the Battle of Hogwarts, and why Harry may never have been the prophecy's true subject after all. Could Dumbledore—and all of us—have been reading it wrong? Let us know what you think in the comments! Written by: J and Ben Carlin</t>
        </is>
      </c>
      <c r="V49" s="47">
        <f>IF(AND(P49&gt;=Calendar!$K$2,P49&lt;EDATE(Calendar!$K$2,1),OR(Calendar!$K$4="*",N49=Calendar!$K$4)),P49*100+COUNTIFS($P$6:$P$3267,P49,$Q$6:$Q$3267,"&lt;="&amp;Q49,$N$6:$N$3267,Calendar!$K$4),"")</f>
        <v/>
      </c>
      <c r="W49" s="47">
        <f>IF(AND(B49=Queue!$C$4,OR(Queue!$K$4="*",N49=Queue!$K$4)),Q49,"")</f>
        <v/>
      </c>
    </row>
    <row r="50">
      <c r="A50" s="38">
        <f>IF(M50="","",HYPERLINK("https://www.youtube.com/watch?v="&amp;M50,"▶"))</f>
        <v/>
      </c>
      <c r="B50" s="39">
        <f>IF(C50&lt;&gt;"",C50,IF(P50&lt;=IFERROR(INDEX(tblChannels[Watched Through],MATCH(N50,tblChannels[Channel ID],0)),0),"Watched","Unwatched"))</f>
        <v/>
      </c>
      <c r="C50" s="40" t="n"/>
      <c r="D50" s="41" t="n"/>
      <c r="E50" s="42" t="n">
        <v>46223.70763888889</v>
      </c>
      <c r="F50" s="50" t="inlineStr">
        <is>
          <t>Super Carlin Brothers</t>
        </is>
      </c>
      <c r="G50" t="inlineStr">
        <is>
          <t>J vs Ben vs THE CAST OF HARRY POTTER!</t>
        </is>
      </c>
      <c r="H50" s="44" t="n">
        <v>0.03878472222222222</v>
      </c>
      <c r="I50" s="45" t="n">
        <v>84727</v>
      </c>
      <c r="J50" s="45" t="n">
        <v>3188</v>
      </c>
      <c r="K50" s="45" t="n">
        <v>374</v>
      </c>
      <c r="L50" s="46" t="n"/>
      <c r="M50" s="47" t="n"/>
      <c r="N50" s="47" t="inlineStr">
        <is>
          <t>UCKZo4N0lVPccBkSiuyVh4yg</t>
        </is>
      </c>
      <c r="O50" s="48" t="n">
        <v>46223.87430555555</v>
      </c>
      <c r="P50" s="49" t="n">
        <v>46223</v>
      </c>
      <c r="Q50" s="47" t="n">
        <v>3218</v>
      </c>
      <c r="R50" s="47" t="inlineStr">
        <is>
          <t>No Video ID yet</t>
        </is>
      </c>
      <c r="S50" s="49" t="n"/>
      <c r="T50" s="49" t="n"/>
      <c r="U50" s="47" t="inlineStr">
        <is>
          <t>Thank you Helix Sleep for sponsoring! Visit to take advantage of their Fourth of July Sale Exclusive Partner Offer and get 27% Off Sitewide! Want us to film you a Cameo? Today J and Ben face off once again to find out who knows the most about the Wizarding World of Harry Potter, but we have an amazing round of special guests all FROM THE CAST OF HARRY POTTER including Bonnie Wright, James &amp; Oliver Phelps and more! #HarryPotter #SuperCarlinBrothers #bestmattress, #Helixmattress #bedmattresssale Get your own Secret Labs chair: Written by: Our Quiz Masters!</t>
        </is>
      </c>
      <c r="V50" s="47">
        <f>IF(AND(P50&gt;=Calendar!$K$2,P50&lt;EDATE(Calendar!$K$2,1),OR(Calendar!$K$4="*",N50=Calendar!$K$4)),P50*100+COUNTIFS($P$6:$P$3267,P50,$Q$6:$Q$3267,"&lt;="&amp;Q50,$N$6:$N$3267,Calendar!$K$4),"")</f>
        <v/>
      </c>
      <c r="W50" s="47">
        <f>IF(AND(B50=Queue!$C$4,OR(Queue!$K$4="*",N50=Queue!$K$4)),Q50,"")</f>
        <v/>
      </c>
    </row>
    <row r="51">
      <c r="A51" s="38">
        <f>IF(M51="","",HYPERLINK("https://www.youtube.com/watch?v="&amp;M51,"▶"))</f>
        <v/>
      </c>
      <c r="B51" s="39">
        <f>IF(C51&lt;&gt;"",C51,IF(P51&lt;=IFERROR(INDEX(tblChannels[Watched Through],MATCH(N51,tblChannels[Channel ID],0)),0),"Watched","Unwatched"))</f>
        <v/>
      </c>
      <c r="C51" s="40" t="n"/>
      <c r="D51" s="41" t="n"/>
      <c r="E51" s="42" t="n">
        <v>46222.41666666666</v>
      </c>
      <c r="F51" s="51" t="inlineStr">
        <is>
          <t>Through The Griffin Door</t>
        </is>
      </c>
      <c r="G51" t="inlineStr">
        <is>
          <t>Chapter 6: Draco’s Detour | Half-Blood Prince</t>
        </is>
      </c>
      <c r="H51" s="44" t="n">
        <v>0.07483796296296297</v>
      </c>
      <c r="I51" s="45" t="n">
        <v>36083</v>
      </c>
      <c r="J51" s="45" t="n">
        <v>915</v>
      </c>
      <c r="K51" s="45" t="n">
        <v>291</v>
      </c>
      <c r="L51" s="46" t="n"/>
      <c r="M51" s="47" t="n"/>
      <c r="N51" s="47" t="inlineStr">
        <is>
          <t>UCEscP6ETYXWSSvsNrDHekMQ</t>
        </is>
      </c>
      <c r="O51" s="48" t="n">
        <v>46222.58333333334</v>
      </c>
      <c r="P51" s="49" t="n">
        <v>46222</v>
      </c>
      <c r="Q51" s="47" t="n">
        <v>3217</v>
      </c>
      <c r="R51" s="47" t="inlineStr">
        <is>
          <t>No Video ID yet</t>
        </is>
      </c>
      <c r="S51" s="49" t="n"/>
      <c r="T51" s="49" t="n"/>
      <c r="U51" s="47" t="inlineStr">
        <is>
          <t>Join J and Ben as they dive into Chapter 6 of the Half Blood Prince and discuss two aside Quidditch, Florean Fortescue’s abduction, “Harry Is Special” moments, the reverse of book 1, Draco in Madam Malkins, all the Weasley’s Wizard Wheezes inventions, and spying on Malfoy Sign up annually for our Patreon before July 31st to get your TTGD Galleon! Linkin Park: “Heavy is the Crown” - 08:53 - Chapter Breakdown 1:44:52 - Closing Thoughts and Review</t>
        </is>
      </c>
      <c r="V51" s="47">
        <f>IF(AND(P51&gt;=Calendar!$K$2,P51&lt;EDATE(Calendar!$K$2,1),OR(Calendar!$K$4="*",N51=Calendar!$K$4)),P51*100+COUNTIFS($P$6:$P$3267,P51,$Q$6:$Q$3267,"&lt;="&amp;Q51,$N$6:$N$3267,Calendar!$K$4),"")</f>
        <v/>
      </c>
      <c r="W51" s="47">
        <f>IF(AND(B51=Queue!$C$4,OR(Queue!$K$4="*",N51=Queue!$K$4)),Q51,"")</f>
        <v/>
      </c>
    </row>
    <row r="52">
      <c r="A52" s="38">
        <f>IF(M52="","",HYPERLINK("https://www.youtube.com/watch?v="&amp;M52,"▶"))</f>
        <v/>
      </c>
      <c r="B52" s="39">
        <f>IF(C52&lt;&gt;"",C52,IF(P52&lt;=IFERROR(INDEX(tblChannels[Watched Through],MATCH(N52,tblChannels[Channel ID],0)),0),"Watched","Unwatched"))</f>
        <v/>
      </c>
      <c r="C52" s="40" t="n"/>
      <c r="D52" s="41" t="n"/>
      <c r="E52" s="42" t="n">
        <v>46220.57013888889</v>
      </c>
      <c r="F52" s="50" t="inlineStr">
        <is>
          <t>Super Carlin Brothers</t>
        </is>
      </c>
      <c r="G52" t="inlineStr">
        <is>
          <t>3 MUCH Better Careers for Harry Potter</t>
        </is>
      </c>
      <c r="H52" s="44" t="n">
        <v>0.01484953703703704</v>
      </c>
      <c r="I52" s="45" t="n">
        <v>81403</v>
      </c>
      <c r="J52" s="45" t="n">
        <v>3501</v>
      </c>
      <c r="K52" s="45" t="n">
        <v>585</v>
      </c>
      <c r="L52" s="46" t="n"/>
      <c r="M52" s="47" t="n"/>
      <c r="N52" s="47" t="inlineStr">
        <is>
          <t>UCKZo4N0lVPccBkSiuyVh4yg</t>
        </is>
      </c>
      <c r="O52" s="48" t="n">
        <v>46220.73680555556</v>
      </c>
      <c r="P52" s="49" t="n">
        <v>46220</v>
      </c>
      <c r="Q52" s="47" t="n">
        <v>3216</v>
      </c>
      <c r="R52" s="47" t="inlineStr">
        <is>
          <t>No Video ID yet</t>
        </is>
      </c>
      <c r="S52" s="49" t="n"/>
      <c r="T52" s="49" t="n"/>
      <c r="U52" s="47" t="inlineStr">
        <is>
          <t>This show is sponsored by Better Help - Sign up and get 10% off at This show is sponsored by Raycon - Go to to get 20% off. Harry “The Chosen One” Potter eventually goes on to become an Auror, which feels like a good choice on the surface. Until you realize it means he’s following the career path suggested to him by a Death Eater and that he works for the same government that expelled him, slandered him, attacked him with dementors, sent a toad to torture him and then asked for him to tell the public they were doing a great job! Not only that, there are a few other careers that make WAY more sense for Harry to have pursued - today we explore all of Harry’s other Career opportunities! J’s K-Pop Playlist :: Written by: J and Ben Carlin</t>
        </is>
      </c>
      <c r="V52" s="47">
        <f>IF(AND(P52&gt;=Calendar!$K$2,P52&lt;EDATE(Calendar!$K$2,1),OR(Calendar!$K$4="*",N52=Calendar!$K$4)),P52*100+COUNTIFS($P$6:$P$3267,P52,$Q$6:$Q$3267,"&lt;="&amp;Q52,$N$6:$N$3267,Calendar!$K$4),"")</f>
        <v/>
      </c>
      <c r="W52" s="47">
        <f>IF(AND(B52=Queue!$C$4,OR(Queue!$K$4="*",N52=Queue!$K$4)),Q52,"")</f>
        <v/>
      </c>
    </row>
    <row r="53">
      <c r="A53" s="38">
        <f>IF(M53="","",HYPERLINK("https://www.youtube.com/watch?v="&amp;M53,"▶"))</f>
        <v/>
      </c>
      <c r="B53" s="39">
        <f>IF(C53&lt;&gt;"",C53,IF(P53&lt;=IFERROR(INDEX(tblChannels[Watched Through],MATCH(N53,tblChannels[Channel ID],0)),0),"Watched","Unwatched"))</f>
        <v/>
      </c>
      <c r="C53" s="40" t="n"/>
      <c r="D53" s="41" t="n"/>
      <c r="E53" s="42" t="n">
        <v>46220.41666666666</v>
      </c>
      <c r="F53" s="43" t="inlineStr">
        <is>
          <t>Popcorn Culture</t>
        </is>
      </c>
      <c r="G53" t="inlineStr">
        <is>
          <t>NOTHING Is Better Than Coffee Mate (Deragatory) | Popcorn Culture</t>
        </is>
      </c>
      <c r="H53" s="44" t="n">
        <v>0.04913194444444444</v>
      </c>
      <c r="I53" s="45" t="n">
        <v>2303</v>
      </c>
      <c r="J53" s="45" t="n">
        <v>111</v>
      </c>
      <c r="K53" s="45" t="n">
        <v>14</v>
      </c>
      <c r="L53" s="46" t="n"/>
      <c r="M53" s="47" t="n"/>
      <c r="N53" s="47" t="inlineStr">
        <is>
          <t>UCHfIbq9thHPC8yrKjAdJgDA</t>
        </is>
      </c>
      <c r="O53" s="48" t="n">
        <v>46220.58333333334</v>
      </c>
      <c r="P53" s="49" t="n">
        <v>46220</v>
      </c>
      <c r="Q53" s="47" t="n">
        <v>3215</v>
      </c>
      <c r="R53" s="47" t="inlineStr">
        <is>
          <t>No Video ID yet</t>
        </is>
      </c>
      <c r="S53" s="49" t="n"/>
      <c r="T53" s="49" t="n"/>
      <c r="U53" s="47" t="inlineStr">
        <is>
          <t>In the 345th episode of the Pop, Ben and J discuss juicy fingers, extension chords, facebook marketplace, Pluto pins, Achievement vs Fulfillment, and Coffee Mate creamer. Relavant Links Enjoy Alyssa’s Substack - 00:00 - Intro, Outdoor Outlets 15:22 - Selling Stuff 31:37 - Achievement vs Fulfillment 1:01:18 - Coffee Creamers</t>
        </is>
      </c>
      <c r="V53" s="47">
        <f>IF(AND(P53&gt;=Calendar!$K$2,P53&lt;EDATE(Calendar!$K$2,1),OR(Calendar!$K$4="*",N53=Calendar!$K$4)),P53*100+COUNTIFS($P$6:$P$3267,P53,$Q$6:$Q$3267,"&lt;="&amp;Q53,$N$6:$N$3267,Calendar!$K$4),"")</f>
        <v/>
      </c>
      <c r="W53" s="47">
        <f>IF(AND(B53=Queue!$C$4,OR(Queue!$K$4="*",N53=Queue!$K$4)),Q53,"")</f>
        <v/>
      </c>
    </row>
    <row r="54">
      <c r="A54" s="38">
        <f>IF(M54="","",HYPERLINK("https://www.youtube.com/watch?v="&amp;M54,"▶"))</f>
        <v/>
      </c>
      <c r="B54" s="39">
        <f>IF(C54&lt;&gt;"",C54,IF(P54&lt;=IFERROR(INDEX(tblChannels[Watched Through],MATCH(N54,tblChannels[Channel ID],0)),0),"Watched","Unwatched"))</f>
        <v/>
      </c>
      <c r="C54" s="40" t="n"/>
      <c r="D54" s="41" t="n"/>
      <c r="E54" s="42" t="n">
        <v>46218.66527777778</v>
      </c>
      <c r="F54" s="50" t="inlineStr">
        <is>
          <t>Super Carlin Brothers</t>
        </is>
      </c>
      <c r="G54" t="inlineStr">
        <is>
          <t>Can You Handle This INSANE House Elf Quiz? (we tried our best…)</t>
        </is>
      </c>
      <c r="H54" s="44" t="n">
        <v>0.02325231481481482</v>
      </c>
      <c r="I54" s="45" t="n">
        <v>50624</v>
      </c>
      <c r="J54" s="45" t="n">
        <v>2063</v>
      </c>
      <c r="K54" s="45" t="n">
        <v>232</v>
      </c>
      <c r="L54" s="46" t="n"/>
      <c r="M54" s="47" t="n"/>
      <c r="N54" s="47" t="inlineStr">
        <is>
          <t>UCKZo4N0lVPccBkSiuyVh4yg</t>
        </is>
      </c>
      <c r="O54" s="48" t="n">
        <v>46218.83194444444</v>
      </c>
      <c r="P54" s="49" t="n">
        <v>46218</v>
      </c>
      <c r="Q54" s="47" t="n">
        <v>3214</v>
      </c>
      <c r="R54" s="47" t="inlineStr">
        <is>
          <t>No Video ID yet</t>
        </is>
      </c>
      <c r="S54" s="49" t="n"/>
      <c r="T54" s="49" t="n"/>
      <c r="U54" s="47" t="inlineStr">
        <is>
          <t>This episode is sponsored by MeUndies – Get up to 50% off their Subscribe &amp; Save deal at and use promo code “brother.” This episode is sponsored by Factor – Head to and use the code “jvsb50off” to get 50 percent off and free daily greens. How well do you know the house elves of Harry Potter? What they served to who and when? Who did they work for? How much do certain of them get paid? This lore goes deep.. Is your trivia knowledge up to the challenge? Special thanks to our Quiz Masters: Bradferd, Elfish Princess, Katrina(aaah!), Kellbell, LawNinja, MrTeacher, Nathan Morgan, Rowena R,Tina’s Hotdog Sophie, Amara Woolf, Boullion Cube, Julie Sherwood, Hermione Baggins, Oryan’s Wizard Parts, The Hufflepuff Pancake Chef, DJ-Kempen, Crafty Lizard, di-stitch626, Dola, magical misfires, Tara Walker, Kevin, and Flood Walters Written by: Our Quiz Masters! Hosted by: Kat Stine</t>
        </is>
      </c>
      <c r="V54" s="47">
        <f>IF(AND(P54&gt;=Calendar!$K$2,P54&lt;EDATE(Calendar!$K$2,1),OR(Calendar!$K$4="*",N54=Calendar!$K$4)),P54*100+COUNTIFS($P$6:$P$3267,P54,$Q$6:$Q$3267,"&lt;="&amp;Q54,$N$6:$N$3267,Calendar!$K$4),"")</f>
        <v/>
      </c>
      <c r="W54" s="47">
        <f>IF(AND(B54=Queue!$C$4,OR(Queue!$K$4="*",N54=Queue!$K$4)),Q54,"")</f>
        <v/>
      </c>
    </row>
    <row r="55">
      <c r="A55" s="38">
        <f>IF(M55="","",HYPERLINK("https://www.youtube.com/watch?v="&amp;M55,"▶"))</f>
        <v/>
      </c>
      <c r="B55" s="39">
        <f>IF(C55&lt;&gt;"",C55,IF(P55&lt;=IFERROR(INDEX(tblChannels[Watched Through],MATCH(N55,tblChannels[Channel ID],0)),0),"Watched","Unwatched"))</f>
        <v/>
      </c>
      <c r="C55" s="40" t="n"/>
      <c r="D55" s="41" t="n"/>
      <c r="E55" s="42" t="n">
        <v>46215.41666666666</v>
      </c>
      <c r="F55" s="51" t="inlineStr">
        <is>
          <t>Through The Griffin Door</t>
        </is>
      </c>
      <c r="G55" t="inlineStr">
        <is>
          <t>Chapter 5: An Excess of Phlegm | Half-Blood Prince</t>
        </is>
      </c>
      <c r="H55" s="44" t="n">
        <v>0.08392361111111112</v>
      </c>
      <c r="I55" s="45" t="n">
        <v>39863</v>
      </c>
      <c r="J55" s="45" t="n">
        <v>1025</v>
      </c>
      <c r="K55" s="45" t="n">
        <v>457</v>
      </c>
      <c r="L55" s="46" t="n"/>
      <c r="M55" s="47" t="n"/>
      <c r="N55" s="47" t="inlineStr">
        <is>
          <t>UCEscP6ETYXWSSvsNrDHekMQ</t>
        </is>
      </c>
      <c r="O55" s="48" t="n">
        <v>46215.58333333334</v>
      </c>
      <c r="P55" s="49" t="n">
        <v>46215</v>
      </c>
      <c r="Q55" s="47" t="n">
        <v>3213</v>
      </c>
      <c r="R55" s="47" t="inlineStr">
        <is>
          <t>No Video ID yet</t>
        </is>
      </c>
      <c r="S55" s="49" t="n"/>
      <c r="T55" s="49" t="n"/>
      <c r="U55" s="47" t="inlineStr">
        <is>
          <t>Join J and Ben as they dive into Chapter 5 of the Half Blood Prince and discuss broom racing a la “Fast and Furious”, apparition, Slughorn’s history, the MOST awkward moment with Molly and Arthur, Hermione sitting in Harry’s bed, timeline math, Fleur’s entrance and the girls’ jealousy, telling Ron and Hermione the prophecy, and OWL grades. Harry Potter's Apparition Problem, FINALLY Explained - Slughorn's Darkest Secret - 07:25 - Chapter Breakdown 54:22- Ad Break (Shopify) 56:09 - More Chapter Breakdown 1:52:15 - Closing Thoughts and Review</t>
        </is>
      </c>
      <c r="V55" s="47">
        <f>IF(AND(P55&gt;=Calendar!$K$2,P55&lt;EDATE(Calendar!$K$2,1),OR(Calendar!$K$4="*",N55=Calendar!$K$4)),P55*100+COUNTIFS($P$6:$P$3267,P55,$Q$6:$Q$3267,"&lt;="&amp;Q55,$N$6:$N$3267,Calendar!$K$4),"")</f>
        <v/>
      </c>
      <c r="W55" s="47">
        <f>IF(AND(B55=Queue!$C$4,OR(Queue!$K$4="*",N55=Queue!$K$4)),Q55,"")</f>
        <v/>
      </c>
    </row>
    <row r="56">
      <c r="A56" s="38">
        <f>IF(M56="","",HYPERLINK("https://www.youtube.com/watch?v="&amp;M56,"▶"))</f>
        <v/>
      </c>
      <c r="B56" s="39">
        <f>IF(C56&lt;&gt;"",C56,IF(P56&lt;=IFERROR(INDEX(tblChannels[Watched Through],MATCH(N56,tblChannels[Channel ID],0)),0),"Watched","Unwatched"))</f>
        <v/>
      </c>
      <c r="C56" s="40" t="n"/>
      <c r="D56" s="41" t="n"/>
      <c r="E56" s="42" t="n">
        <v>46213.67986111111</v>
      </c>
      <c r="F56" s="50" t="inlineStr">
        <is>
          <t>Super Carlin Brothers</t>
        </is>
      </c>
      <c r="G56" t="inlineStr">
        <is>
          <t>How Voldemort Defeated Himself</t>
        </is>
      </c>
      <c r="H56" s="44" t="n">
        <v>0.01060185185185185</v>
      </c>
      <c r="I56" s="45" t="n">
        <v>55260</v>
      </c>
      <c r="J56" s="45" t="n">
        <v>2623</v>
      </c>
      <c r="K56" s="45" t="n">
        <v>228</v>
      </c>
      <c r="L56" s="46" t="n"/>
      <c r="M56" s="47" t="n"/>
      <c r="N56" s="47" t="inlineStr">
        <is>
          <t>UCKZo4N0lVPccBkSiuyVh4yg</t>
        </is>
      </c>
      <c r="O56" s="48" t="n">
        <v>46213.84652777778</v>
      </c>
      <c r="P56" s="49" t="n">
        <v>46213</v>
      </c>
      <c r="Q56" s="47" t="n">
        <v>3212</v>
      </c>
      <c r="R56" s="47" t="inlineStr">
        <is>
          <t>No Video ID yet</t>
        </is>
      </c>
      <c r="S56" s="49" t="n"/>
      <c r="T56" s="49" t="n"/>
      <c r="U56" s="47" t="inlineStr">
        <is>
          <t>This episode is sponsored by BetterHelp - Sign up and get 10% off at Voldemort always believed Harry Potter was his greatest enemy... but what if Harry was actually Voldemort's greatest mistake? Today we're exploring one of the most overlooked consequences of the night Voldemort attacked baby Harry: not just the scar or the Horcrux, but the possibility that Voldemort accidentally shaped Harry into the exact kind of leader capable of defeating him. Did Voldemort unknowingly create the hero who would one day bring about his own downfall? Let's dive in. Written by: J and Ben Carlin</t>
        </is>
      </c>
      <c r="V56" s="47">
        <f>IF(AND(P56&gt;=Calendar!$K$2,P56&lt;EDATE(Calendar!$K$2,1),OR(Calendar!$K$4="*",N56=Calendar!$K$4)),P56*100+COUNTIFS($P$6:$P$3267,P56,$Q$6:$Q$3267,"&lt;="&amp;Q56,$N$6:$N$3267,Calendar!$K$4),"")</f>
        <v/>
      </c>
      <c r="W56" s="47">
        <f>IF(AND(B56=Queue!$C$4,OR(Queue!$K$4="*",N56=Queue!$K$4)),Q56,"")</f>
        <v/>
      </c>
    </row>
    <row r="57">
      <c r="A57" s="38">
        <f>IF(M57="","",HYPERLINK("https://www.youtube.com/watch?v="&amp;M57,"▶"))</f>
        <v/>
      </c>
      <c r="B57" s="39">
        <f>IF(C57&lt;&gt;"",C57,IF(P57&lt;=IFERROR(INDEX(tblChannels[Watched Through],MATCH(N57,tblChannels[Channel ID],0)),0),"Watched","Unwatched"))</f>
        <v/>
      </c>
      <c r="C57" s="40" t="n"/>
      <c r="D57" s="41" t="n"/>
      <c r="E57" s="42" t="n">
        <v>46213.41666666666</v>
      </c>
      <c r="F57" s="43" t="inlineStr">
        <is>
          <t>Popcorn Culture</t>
        </is>
      </c>
      <c r="G57" t="inlineStr">
        <is>
          <t>The California Backflip | Popcorn Culture</t>
        </is>
      </c>
      <c r="H57" s="44" t="n">
        <v>0.05306712962962963</v>
      </c>
      <c r="I57" s="45" t="n">
        <v>2000</v>
      </c>
      <c r="J57" s="45" t="n">
        <v>94</v>
      </c>
      <c r="K57" s="45" t="n">
        <v>9</v>
      </c>
      <c r="L57" s="46" t="n"/>
      <c r="M57" s="47" t="n"/>
      <c r="N57" s="47" t="inlineStr">
        <is>
          <t>UCHfIbq9thHPC8yrKjAdJgDA</t>
        </is>
      </c>
      <c r="O57" s="48" t="n">
        <v>46213.58333333334</v>
      </c>
      <c r="P57" s="49" t="n">
        <v>46213</v>
      </c>
      <c r="Q57" s="47" t="n">
        <v>3211</v>
      </c>
      <c r="R57" s="47" t="inlineStr">
        <is>
          <t>No Video ID yet</t>
        </is>
      </c>
      <c r="S57" s="49" t="n"/>
      <c r="T57" s="49" t="n"/>
      <c r="U57" s="47" t="inlineStr">
        <is>
          <t>In the 344th episode of the Pop, Ben and J discuss renovations, Magic the Gathering, FIFA World Cup, coaching kids soccer, snow machines and diving boards. Drafting Kids Soccer We Really Needed This Rain 00:00 - Intro, The Week Off 24:50 - The World Cup 43:38 - Low Lake Levels</t>
        </is>
      </c>
      <c r="V57" s="47">
        <f>IF(AND(P57&gt;=Calendar!$K$2,P57&lt;EDATE(Calendar!$K$2,1),OR(Calendar!$K$4="*",N57=Calendar!$K$4)),P57*100+COUNTIFS($P$6:$P$3267,P57,$Q$6:$Q$3267,"&lt;="&amp;Q57,$N$6:$N$3267,Calendar!$K$4),"")</f>
        <v/>
      </c>
      <c r="W57" s="47">
        <f>IF(AND(B57=Queue!$C$4,OR(Queue!$K$4="*",N57=Queue!$K$4)),Q57,"")</f>
        <v/>
      </c>
    </row>
    <row r="58">
      <c r="A58" s="38">
        <f>IF(M58="","",HYPERLINK("https://www.youtube.com/watch?v="&amp;M58,"▶"))</f>
        <v/>
      </c>
      <c r="B58" s="39">
        <f>IF(C58&lt;&gt;"",C58,IF(P58&lt;=IFERROR(INDEX(tblChannels[Watched Through],MATCH(N58,tblChannels[Channel ID],0)),0),"Watched","Unwatched"))</f>
        <v/>
      </c>
      <c r="C58" s="40" t="n"/>
      <c r="D58" s="41" t="n"/>
      <c r="E58" s="42" t="n">
        <v>46211.71319444444</v>
      </c>
      <c r="F58" s="50" t="inlineStr">
        <is>
          <t>Super Carlin Brothers</t>
        </is>
      </c>
      <c r="G58" t="inlineStr">
        <is>
          <t>Why Does Buzz Freeze? SOLVED</t>
        </is>
      </c>
      <c r="H58" s="44" t="n">
        <v>0.01228009259259259</v>
      </c>
      <c r="I58" s="45" t="n">
        <v>89109</v>
      </c>
      <c r="J58" s="45" t="n">
        <v>4188</v>
      </c>
      <c r="K58" s="45" t="n">
        <v>454</v>
      </c>
      <c r="L58" s="46" t="n"/>
      <c r="M58" s="47" t="n"/>
      <c r="N58" s="47" t="inlineStr">
        <is>
          <t>UCKZo4N0lVPccBkSiuyVh4yg</t>
        </is>
      </c>
      <c r="O58" s="48" t="n">
        <v>46211.87986111111</v>
      </c>
      <c r="P58" s="49" t="n">
        <v>46211</v>
      </c>
      <c r="Q58" s="47" t="n">
        <v>3210</v>
      </c>
      <c r="R58" s="47" t="inlineStr">
        <is>
          <t>No Video ID yet</t>
        </is>
      </c>
      <c r="S58" s="49" t="n"/>
      <c r="T58" s="49" t="n"/>
      <c r="U58" s="47" t="inlineStr">
        <is>
          <t>It’s possibly the oldest question in all of Toy Story - If Buzz Lightyear really thinks he is a Space Ranger, then why does he freeze when, Andy is the room. Certainly this would tip him off that he’s a toy right? Is it just a part of his space ranger training? Is it fight or flight? Thanks to Toy Story 5, we may have finally gotten an answer to this question after 30 years of wondering! #Pixar #ToyStory #SuperCarlinBrothers Written by: J and Ben Carlin</t>
        </is>
      </c>
      <c r="V58" s="47">
        <f>IF(AND(P58&gt;=Calendar!$K$2,P58&lt;EDATE(Calendar!$K$2,1),OR(Calendar!$K$4="*",N58=Calendar!$K$4)),P58*100+COUNTIFS($P$6:$P$3267,P58,$Q$6:$Q$3267,"&lt;="&amp;Q58,$N$6:$N$3267,Calendar!$K$4),"")</f>
        <v/>
      </c>
      <c r="W58" s="47">
        <f>IF(AND(B58=Queue!$C$4,OR(Queue!$K$4="*",N58=Queue!$K$4)),Q58,"")</f>
        <v/>
      </c>
    </row>
    <row r="59">
      <c r="A59" s="38">
        <f>IF(M59="","",HYPERLINK("https://www.youtube.com/watch?v="&amp;M59,"▶"))</f>
        <v/>
      </c>
      <c r="B59" s="39">
        <f>IF(C59&lt;&gt;"",C59,IF(P59&lt;=IFERROR(INDEX(tblChannels[Watched Through],MATCH(N59,tblChannels[Channel ID],0)),0),"Watched","Unwatched"))</f>
        <v/>
      </c>
      <c r="C59" s="40" t="n"/>
      <c r="D59" s="41" t="n"/>
      <c r="E59" s="42" t="n">
        <v>46208.41666666666</v>
      </c>
      <c r="F59" s="51" t="inlineStr">
        <is>
          <t>Through The Griffin Door</t>
        </is>
      </c>
      <c r="G59" t="inlineStr">
        <is>
          <t>The Owlery Special Part 4!</t>
        </is>
      </c>
      <c r="H59" s="44" t="n">
        <v>0.06575231481481482</v>
      </c>
      <c r="I59" s="45" t="n">
        <v>19724</v>
      </c>
      <c r="J59" s="45" t="n">
        <v>565</v>
      </c>
      <c r="K59" s="45" t="n">
        <v>244</v>
      </c>
      <c r="L59" s="46" t="n"/>
      <c r="M59" s="47" t="n"/>
      <c r="N59" s="47" t="inlineStr">
        <is>
          <t>UCEscP6ETYXWSSvsNrDHekMQ</t>
        </is>
      </c>
      <c r="O59" s="48" t="n">
        <v>46208.58333333334</v>
      </c>
      <c r="P59" s="49" t="n">
        <v>46208</v>
      </c>
      <c r="Q59" s="47" t="n">
        <v>3209</v>
      </c>
      <c r="R59" s="47" t="inlineStr">
        <is>
          <t>No Video ID yet</t>
        </is>
      </c>
      <c r="S59" s="49" t="n"/>
      <c r="T59" s="49" t="n"/>
      <c r="U59" s="47" t="inlineStr">
        <is>
          <t>Join J and Ben as they dive into YOUR QUESTIONS and answer the questions: How would the story be different if Snape was sorted into Griffindor? How does the Pensive REALLY work? If Dumbledore never saw the destroyed diary, would he have realized Voldemort was using Horcruxes? Do you want to have your questions answered on a future episode of The Owlery? Support us on Patreon: Caller Unknown - 02:57 - Owlery 1 36:10 - Owlery 2 1:07:06 - Owlery 3</t>
        </is>
      </c>
      <c r="V59" s="47">
        <f>IF(AND(P59&gt;=Calendar!$K$2,P59&lt;EDATE(Calendar!$K$2,1),OR(Calendar!$K$4="*",N59=Calendar!$K$4)),P59*100+COUNTIFS($P$6:$P$3267,P59,$Q$6:$Q$3267,"&lt;="&amp;Q59,$N$6:$N$3267,Calendar!$K$4),"")</f>
        <v/>
      </c>
      <c r="W59" s="47">
        <f>IF(AND(B59=Queue!$C$4,OR(Queue!$K$4="*",N59=Queue!$K$4)),Q59,"")</f>
        <v/>
      </c>
    </row>
    <row r="60">
      <c r="A60" s="38">
        <f>IF(M60="","",HYPERLINK("https://www.youtube.com/watch?v="&amp;M60,"▶"))</f>
        <v/>
      </c>
      <c r="B60" s="39">
        <f>IF(C60&lt;&gt;"",C60,IF(P60&lt;=IFERROR(INDEX(tblChannels[Watched Through],MATCH(N60,tblChannels[Channel ID],0)),0),"Watched","Unwatched"))</f>
        <v/>
      </c>
      <c r="C60" s="40" t="n"/>
      <c r="D60" s="41" t="n"/>
      <c r="E60" s="42" t="n">
        <v>46206.625</v>
      </c>
      <c r="F60" s="50" t="inlineStr">
        <is>
          <t>Super Carlin Brothers</t>
        </is>
      </c>
      <c r="G60" t="inlineStr">
        <is>
          <t>How Dumbledore Actually LOST Against Grindelwald</t>
        </is>
      </c>
      <c r="H60" s="44" t="n">
        <v>0.01171296296296296</v>
      </c>
      <c r="I60" s="45" t="n">
        <v>54451</v>
      </c>
      <c r="J60" s="45" t="n">
        <v>2395</v>
      </c>
      <c r="K60" s="45" t="n">
        <v>222</v>
      </c>
      <c r="L60" s="46" t="n"/>
      <c r="M60" s="47" t="n"/>
      <c r="N60" s="47" t="inlineStr">
        <is>
          <t>UCKZo4N0lVPccBkSiuyVh4yg</t>
        </is>
      </c>
      <c r="O60" s="48" t="n">
        <v>46206.79166666666</v>
      </c>
      <c r="P60" s="49" t="n">
        <v>46206</v>
      </c>
      <c r="Q60" s="47" t="n">
        <v>3208</v>
      </c>
      <c r="R60" s="47" t="inlineStr">
        <is>
          <t>No Video ID yet</t>
        </is>
      </c>
      <c r="S60" s="49" t="n"/>
      <c r="T60" s="49" t="n"/>
      <c r="U60" s="47" t="inlineStr">
        <is>
          <t>This episode is sponsored by BetterHelp – Sign up and get 10% off at Today Ben dives into the Wizarding World of Harry Potter and Fantastic Beasts and Where to Find Them to find out why despite owning the Elder Wand, Grindelwald waved the white flag and surrendered to Dumbledore as we discover the secret behind Dumbledore's Greatest Duel. #HarryPotter #FantasticBeasts #SuperCarlinBrothers Written by: J and Ben Carlin</t>
        </is>
      </c>
      <c r="V60" s="47">
        <f>IF(AND(P60&gt;=Calendar!$K$2,P60&lt;EDATE(Calendar!$K$2,1),OR(Calendar!$K$4="*",N60=Calendar!$K$4)),P60*100+COUNTIFS($P$6:$P$3267,P60,$Q$6:$Q$3267,"&lt;="&amp;Q60,$N$6:$N$3267,Calendar!$K$4),"")</f>
        <v/>
      </c>
      <c r="W60" s="47">
        <f>IF(AND(B60=Queue!$C$4,OR(Queue!$K$4="*",N60=Queue!$K$4)),Q60,"")</f>
        <v/>
      </c>
    </row>
    <row r="61">
      <c r="A61" s="38">
        <f>IF(M61="","",HYPERLINK("https://www.youtube.com/watch?v="&amp;M61,"▶"))</f>
        <v/>
      </c>
      <c r="B61" s="39">
        <f>IF(C61&lt;&gt;"",C61,IF(P61&lt;=IFERROR(INDEX(tblChannels[Watched Through],MATCH(N61,tblChannels[Channel ID],0)),0),"Watched","Unwatched"))</f>
        <v/>
      </c>
      <c r="C61" s="40" t="n"/>
      <c r="D61" s="41" t="n"/>
      <c r="E61" s="42" t="n">
        <v>46206.41666666666</v>
      </c>
      <c r="F61" s="43" t="inlineStr">
        <is>
          <t>Popcorn Culture</t>
        </is>
      </c>
      <c r="G61" t="inlineStr">
        <is>
          <t>J is NOT a Capricorn Rabbit | Popcorn Culture</t>
        </is>
      </c>
      <c r="H61" s="44" t="n">
        <v>0.05695601851851852</v>
      </c>
      <c r="I61" s="45" t="n">
        <v>1872</v>
      </c>
      <c r="J61" s="45" t="n">
        <v>103</v>
      </c>
      <c r="K61" s="45" t="n">
        <v>16</v>
      </c>
      <c r="L61" s="46" t="n"/>
      <c r="M61" s="47" t="n"/>
      <c r="N61" s="47" t="inlineStr">
        <is>
          <t>UCHfIbq9thHPC8yrKjAdJgDA</t>
        </is>
      </c>
      <c r="O61" s="48" t="n">
        <v>46206.58333333334</v>
      </c>
      <c r="P61" s="49" t="n">
        <v>46206</v>
      </c>
      <c r="Q61" s="47" t="n">
        <v>3207</v>
      </c>
      <c r="R61" s="47" t="inlineStr">
        <is>
          <t>No Video ID yet</t>
        </is>
      </c>
      <c r="S61" s="49" t="n"/>
      <c r="T61" s="49" t="n"/>
      <c r="U61" s="47" t="inlineStr">
        <is>
          <t>In the 343rd episode of the Pop, Ben and J discuss Chinese New Year animals and horoscopes, the OTHER Jonathan Carlin, the concept of boredom, Universe 25 and utopias. Universe 25 - The Matrix - Ready Player One - The Giver - Dumb Years Math Caveman Legacy 00:00 - Intro, Elevators 02:35 - Days, Months, Years Math 13:17 - Google Alerts 25:05 - Boredom 46:07 - Universe 25</t>
        </is>
      </c>
      <c r="V61" s="47">
        <f>IF(AND(P61&gt;=Calendar!$K$2,P61&lt;EDATE(Calendar!$K$2,1),OR(Calendar!$K$4="*",N61=Calendar!$K$4)),P61*100+COUNTIFS($P$6:$P$3267,P61,$Q$6:$Q$3267,"&lt;="&amp;Q61,$N$6:$N$3267,Calendar!$K$4),"")</f>
        <v/>
      </c>
      <c r="W61" s="47">
        <f>IF(AND(B61=Queue!$C$4,OR(Queue!$K$4="*",N61=Queue!$K$4)),Q61,"")</f>
        <v/>
      </c>
    </row>
    <row r="62">
      <c r="A62" s="38">
        <f>IF(M62="","",HYPERLINK("https://www.youtube.com/watch?v="&amp;M62,"▶"))</f>
        <v/>
      </c>
      <c r="B62" s="39">
        <f>IF(C62&lt;&gt;"",C62,IF(P62&lt;=IFERROR(INDEX(tblChannels[Watched Through],MATCH(N62,tblChannels[Channel ID],0)),0),"Watched","Unwatched"))</f>
        <v/>
      </c>
      <c r="C62" s="40" t="n"/>
      <c r="D62" s="41" t="n"/>
      <c r="E62" s="42" t="n">
        <v>46204.625</v>
      </c>
      <c r="F62" s="50" t="inlineStr">
        <is>
          <t>Super Carlin Brothers</t>
        </is>
      </c>
      <c r="G62" t="inlineStr">
        <is>
          <t>Can We Handle This INSANE Order of The Phoenix Quiz</t>
        </is>
      </c>
      <c r="H62" s="44" t="n">
        <v>0.0278125</v>
      </c>
      <c r="I62" s="45" t="n">
        <v>98144</v>
      </c>
      <c r="J62" s="45" t="n">
        <v>2859</v>
      </c>
      <c r="K62" s="45" t="n">
        <v>263</v>
      </c>
      <c r="L62" s="46" t="n"/>
      <c r="M62" s="47" t="n"/>
      <c r="N62" s="47" t="inlineStr">
        <is>
          <t>UCKZo4N0lVPccBkSiuyVh4yg</t>
        </is>
      </c>
      <c r="O62" s="48" t="n">
        <v>46204.79166666666</v>
      </c>
      <c r="P62" s="49" t="n">
        <v>46204</v>
      </c>
      <c r="Q62" s="47" t="n">
        <v>3206</v>
      </c>
      <c r="R62" s="47" t="inlineStr">
        <is>
          <t>No Video ID yet</t>
        </is>
      </c>
      <c r="S62" s="49" t="n"/>
      <c r="T62" s="49" t="n"/>
      <c r="U62" s="47" t="inlineStr">
        <is>
          <t>Today J and Ben face off to find out who knows more about Harry Potter and the Order of the Phoenix as they take on a brutal Quiz assembled by our Quiz Masters! Who will emerge as the Harry Potter Trivia King today!? #HarryPotter #JvsBen #SuperCarlinBrothers Sept. 17 - Richmond, VA+ Written by: The Quiz Masters! Edited by: Ethan Edghil</t>
        </is>
      </c>
      <c r="V62" s="47">
        <f>IF(AND(P62&gt;=Calendar!$K$2,P62&lt;EDATE(Calendar!$K$2,1),OR(Calendar!$K$4="*",N62=Calendar!$K$4)),P62*100+COUNTIFS($P$6:$P$3267,P62,$Q$6:$Q$3267,"&lt;="&amp;Q62,$N$6:$N$3267,Calendar!$K$4),"")</f>
        <v/>
      </c>
      <c r="W62" s="47">
        <f>IF(AND(B62=Queue!$C$4,OR(Queue!$K$4="*",N62=Queue!$K$4)),Q62,"")</f>
        <v/>
      </c>
    </row>
    <row r="63">
      <c r="A63" s="38">
        <f>IF(M63="","",HYPERLINK("https://www.youtube.com/watch?v="&amp;M63,"▶"))</f>
        <v/>
      </c>
      <c r="B63" s="39">
        <f>IF(C63&lt;&gt;"",C63,IF(P63&lt;=IFERROR(INDEX(tblChannels[Watched Through],MATCH(N63,tblChannels[Channel ID],0)),0),"Watched","Unwatched"))</f>
        <v/>
      </c>
      <c r="C63" s="40" t="n"/>
      <c r="D63" s="41" t="n"/>
      <c r="E63" s="42" t="n">
        <v>46201.41666666666</v>
      </c>
      <c r="F63" s="51" t="inlineStr">
        <is>
          <t>Through The Griffin Door</t>
        </is>
      </c>
      <c r="G63" t="inlineStr">
        <is>
          <t>Chapter 4: Horace Slughorn | Half-Blood Prince</t>
        </is>
      </c>
      <c r="H63" s="44" t="n">
        <v>0.08177083333333333</v>
      </c>
      <c r="I63" s="45" t="n">
        <v>41425</v>
      </c>
      <c r="J63" s="45" t="n">
        <v>1012</v>
      </c>
      <c r="K63" s="45" t="n">
        <v>410</v>
      </c>
      <c r="L63" s="46" t="n"/>
      <c r="M63" s="47" t="n"/>
      <c r="N63" s="47" t="inlineStr">
        <is>
          <t>UCEscP6ETYXWSSvsNrDHekMQ</t>
        </is>
      </c>
      <c r="O63" s="48" t="n">
        <v>46201.58333333334</v>
      </c>
      <c r="P63" s="49" t="n">
        <v>46201</v>
      </c>
      <c r="Q63" s="47" t="n">
        <v>3205</v>
      </c>
      <c r="R63" s="47" t="inlineStr">
        <is>
          <t>No Video ID yet</t>
        </is>
      </c>
      <c r="S63" s="49" t="n"/>
      <c r="T63" s="49" t="n"/>
      <c r="U63" s="47" t="inlineStr">
        <is>
          <t>Join J and Ben as they dive into Chapter 4 of the Half Blood Prince and discuss apparition, the bookend moments, Amelia Bones’ death, poking Slughorn, various collections, prejudices, spiders, and Dumbledore’s instructions before dropping Harry off at the Burrow. Caller Unknown - 07:38 - Chapter Breakdown 1:01:40 - Ad Break (Shopify) 1:03:08 - More Chapter Breakdown 1:51:14 - Closing Thoughts and Review</t>
        </is>
      </c>
      <c r="V63" s="47">
        <f>IF(AND(P63&gt;=Calendar!$K$2,P63&lt;EDATE(Calendar!$K$2,1),OR(Calendar!$K$4="*",N63=Calendar!$K$4)),P63*100+COUNTIFS($P$6:$P$3267,P63,$Q$6:$Q$3267,"&lt;="&amp;Q63,$N$6:$N$3267,Calendar!$K$4),"")</f>
        <v/>
      </c>
      <c r="W63" s="47">
        <f>IF(AND(B63=Queue!$C$4,OR(Queue!$K$4="*",N63=Queue!$K$4)),Q63,"")</f>
        <v/>
      </c>
    </row>
    <row r="64">
      <c r="A64" s="38">
        <f>IF(M64="","",HYPERLINK("https://www.youtube.com/watch?v="&amp;M64,"▶"))</f>
        <v/>
      </c>
      <c r="B64" s="39">
        <f>IF(C64&lt;&gt;"",C64,IF(P64&lt;=IFERROR(INDEX(tblChannels[Watched Through],MATCH(N64,tblChannels[Channel ID],0)),0),"Watched","Unwatched"))</f>
        <v/>
      </c>
      <c r="C64" s="40" t="n"/>
      <c r="D64" s="41" t="n"/>
      <c r="E64" s="42" t="n">
        <v>46199.65277777778</v>
      </c>
      <c r="F64" s="50" t="inlineStr">
        <is>
          <t>Super Carlin Brothers</t>
        </is>
      </c>
      <c r="G64" t="inlineStr">
        <is>
          <t>Dumbledore’s Horcrux</t>
        </is>
      </c>
      <c r="H64" s="44" t="n">
        <v>0.01752314814814815</v>
      </c>
      <c r="I64" s="45" t="n">
        <v>101357</v>
      </c>
      <c r="J64" s="45" t="n">
        <v>4094</v>
      </c>
      <c r="K64" s="45" t="n">
        <v>803</v>
      </c>
      <c r="L64" s="46" t="n"/>
      <c r="M64" s="47" t="n"/>
      <c r="N64" s="47" t="inlineStr">
        <is>
          <t>UCKZo4N0lVPccBkSiuyVh4yg</t>
        </is>
      </c>
      <c r="O64" s="48" t="n">
        <v>46199.81944444445</v>
      </c>
      <c r="P64" s="49" t="n">
        <v>46199</v>
      </c>
      <c r="Q64" s="47" t="n">
        <v>3204</v>
      </c>
      <c r="R64" s="47" t="inlineStr">
        <is>
          <t>No Video ID yet</t>
        </is>
      </c>
      <c r="S64" s="49" t="n"/>
      <c r="T64" s="49" t="n"/>
      <c r="U64" s="47" t="inlineStr">
        <is>
          <t>Did Dumbledore secretly create a Horcrux? For years, Fawkes the Phoenix has been one of the biggest mysteries in Harry Potter. Why does he always appear exactly when Dumbledore needs him? Why can he seemingly ignore magical rules? And why were his feathers chosen for both Harry and Voldemort's wands? Today we're revisiting one of our oldest and most controversial Harry Potter theories—with new evidence from Fantastic Beasts and years of additional analysis. Could Fawkes actually be Dumbledore's Horcrux? #HarryPotter #HarryPotterTheory #supercarlinbrothers Written by: J and Ben Carlin</t>
        </is>
      </c>
      <c r="V64" s="47">
        <f>IF(AND(P64&gt;=Calendar!$K$2,P64&lt;EDATE(Calendar!$K$2,1),OR(Calendar!$K$4="*",N64=Calendar!$K$4)),P64*100+COUNTIFS($P$6:$P$3267,P64,$Q$6:$Q$3267,"&lt;="&amp;Q64,$N$6:$N$3267,Calendar!$K$4),"")</f>
        <v/>
      </c>
      <c r="W64" s="47">
        <f>IF(AND(B64=Queue!$C$4,OR(Queue!$K$4="*",N64=Queue!$K$4)),Q64,"")</f>
        <v/>
      </c>
    </row>
    <row r="65">
      <c r="A65" s="38">
        <f>IF(M65="","",HYPERLINK("https://www.youtube.com/watch?v="&amp;M65,"▶"))</f>
        <v/>
      </c>
      <c r="B65" s="39">
        <f>IF(C65&lt;&gt;"",C65,IF(P65&lt;=IFERROR(INDEX(tblChannels[Watched Through],MATCH(N65,tblChannels[Channel ID],0)),0),"Watched","Unwatched"))</f>
        <v/>
      </c>
      <c r="C65" s="40" t="n"/>
      <c r="D65" s="41" t="n"/>
      <c r="E65" s="42" t="n">
        <v>46199.41666666666</v>
      </c>
      <c r="F65" s="43" t="inlineStr">
        <is>
          <t>Popcorn Culture</t>
        </is>
      </c>
      <c r="G65" t="inlineStr">
        <is>
          <t>Pretending to Be a Dead Ant | Popcorn Culture</t>
        </is>
      </c>
      <c r="H65" s="44" t="n">
        <v>0.05313657407407407</v>
      </c>
      <c r="I65" s="45" t="n">
        <v>2252</v>
      </c>
      <c r="J65" s="45" t="n">
        <v>109</v>
      </c>
      <c r="K65" s="45" t="n">
        <v>21</v>
      </c>
      <c r="L65" s="46" t="n"/>
      <c r="M65" s="47" t="n"/>
      <c r="N65" s="47" t="inlineStr">
        <is>
          <t>UCHfIbq9thHPC8yrKjAdJgDA</t>
        </is>
      </c>
      <c r="O65" s="48" t="n">
        <v>46199.58333333334</v>
      </c>
      <c r="P65" s="49" t="n">
        <v>46199</v>
      </c>
      <c r="Q65" s="47" t="n">
        <v>3203</v>
      </c>
      <c r="R65" s="47" t="inlineStr">
        <is>
          <t>No Video ID yet</t>
        </is>
      </c>
      <c r="S65" s="49" t="n"/>
      <c r="T65" s="49" t="n"/>
      <c r="U65" s="47" t="inlineStr">
        <is>
          <t>In the 342nd episode of the Pop, Ben and J discuss gripes about Spotify, “Shake It Off,” rivals, being a dead ant, gas station popcorn, small town-ed-ness, and a quaint 5K. Leiningen Versus the Ants - Farmer John’s Popcorn - Leave a review for the Marabito Convenience Store! - Analyzing “Shake It Off” Wet Popped Beef with Big Achiote</t>
        </is>
      </c>
      <c r="V65" s="47">
        <f>IF(AND(P65&gt;=Calendar!$K$2,P65&lt;EDATE(Calendar!$K$2,1),OR(Calendar!$K$4="*",N65=Calendar!$K$4)),P65*100+COUNTIFS($P$6:$P$3267,P65,$Q$6:$Q$3267,"&lt;="&amp;Q65,$N$6:$N$3267,Calendar!$K$4),"")</f>
        <v/>
      </c>
      <c r="W65" s="47">
        <f>IF(AND(B65=Queue!$C$4,OR(Queue!$K$4="*",N65=Queue!$K$4)),Q65,"")</f>
        <v/>
      </c>
    </row>
    <row r="66">
      <c r="A66" s="38">
        <f>IF(M66="","",HYPERLINK("https://www.youtube.com/watch?v="&amp;M66,"▶"))</f>
        <v/>
      </c>
      <c r="B66" s="39">
        <f>IF(C66&lt;&gt;"",C66,IF(P66&lt;=IFERROR(INDEX(tblChannels[Watched Through],MATCH(N66,tblChannels[Channel ID],0)),0),"Watched","Unwatched"))</f>
        <v/>
      </c>
      <c r="C66" s="40" t="n"/>
      <c r="D66" s="41" t="n"/>
      <c r="E66" s="42" t="n">
        <v>46197.72083333333</v>
      </c>
      <c r="F66" s="50" t="inlineStr">
        <is>
          <t>Super Carlin Brothers</t>
        </is>
      </c>
      <c r="G66" t="inlineStr">
        <is>
          <t>Harry Potter's Apparition Problem, FINALLY Explained</t>
        </is>
      </c>
      <c r="H66" s="44" t="n">
        <v>0.01306712962962963</v>
      </c>
      <c r="I66" s="45" t="n">
        <v>76368</v>
      </c>
      <c r="J66" s="45" t="n">
        <v>3062</v>
      </c>
      <c r="K66" s="45" t="n">
        <v>400</v>
      </c>
      <c r="L66" s="46" t="n"/>
      <c r="M66" s="47" t="n"/>
      <c r="N66" s="47" t="inlineStr">
        <is>
          <t>UCKZo4N0lVPccBkSiuyVh4yg</t>
        </is>
      </c>
      <c r="O66" s="48" t="n">
        <v>46197.8875</v>
      </c>
      <c r="P66" s="49" t="n">
        <v>46197</v>
      </c>
      <c r="Q66" s="47" t="n">
        <v>3202</v>
      </c>
      <c r="R66" s="47" t="inlineStr">
        <is>
          <t>No Video ID yet</t>
        </is>
      </c>
      <c r="S66" s="49" t="n"/>
      <c r="T66" s="49" t="n"/>
      <c r="U66" s="47" t="inlineStr">
        <is>
          <t>This episode is sponsored by BetterHelp Find support in therapy! Sign up and get 10% off at This episode is sponsored by Factor – Head to Factormeals.com/super50off and use code 'Super50off' to get 50% off and free daily greens per box, with new subscription only, while supplies last until 09/27/2026. (See website for more details). Apparition is one of the most useful forms of magic in all of Harry Potter... and also one of the most confusing. Why do Bellatrix and Narcissa apparate blocks away from Spinner's End? Why can't wizards simply teleport directly into Hogwarts? Why do some homes allow apparition while others don't? And why does everyone still need Floo Powder, Portkeys, and even Thestrals if teleportation exists? Today, we're diving into every clue throughout the series to finally explain how apparition really works, when and where you can do it, and how Neville Longbottom may have accidentally discovered a loophole that allowed Harry's supporters to bypass Hogwarts' greatest defense. #HarryPotter #HarryPotterTheory #SuperCarlinBrothers Written by: J and Ben Carlin</t>
        </is>
      </c>
      <c r="V66" s="47">
        <f>IF(AND(P66&gt;=Calendar!$K$2,P66&lt;EDATE(Calendar!$K$2,1),OR(Calendar!$K$4="*",N66=Calendar!$K$4)),P66*100+COUNTIFS($P$6:$P$3267,P66,$Q$6:$Q$3267,"&lt;="&amp;Q66,$N$6:$N$3267,Calendar!$K$4),"")</f>
        <v/>
      </c>
      <c r="W66" s="47">
        <f>IF(AND(B66=Queue!$C$4,OR(Queue!$K$4="*",N66=Queue!$K$4)),Q66,"")</f>
        <v/>
      </c>
    </row>
    <row r="67">
      <c r="A67" s="38">
        <f>IF(M67="","",HYPERLINK("https://www.youtube.com/watch?v="&amp;M67,"▶"))</f>
        <v/>
      </c>
      <c r="B67" s="39">
        <f>IF(C67&lt;&gt;"",C67,IF(P67&lt;=IFERROR(INDEX(tblChannels[Watched Through],MATCH(N67,tblChannels[Channel ID],0)),0),"Watched","Unwatched"))</f>
        <v/>
      </c>
      <c r="C67" s="40" t="n"/>
      <c r="D67" s="41" t="n"/>
      <c r="E67" s="42" t="n">
        <v>46195.66180555556</v>
      </c>
      <c r="F67" s="43" t="inlineStr">
        <is>
          <t>Popcorn Culture</t>
        </is>
      </c>
      <c r="G67" t="inlineStr">
        <is>
          <t>Dead Ants..? | Popcorn Culture</t>
        </is>
      </c>
      <c r="H67" s="44" t="n">
        <v>0.001226851851851852</v>
      </c>
      <c r="I67" s="45" t="n">
        <v>1880</v>
      </c>
      <c r="J67" s="45" t="n">
        <v>131</v>
      </c>
      <c r="K67" s="45" t="n">
        <v>6</v>
      </c>
      <c r="L67" s="46" t="n"/>
      <c r="M67" s="47" t="n"/>
      <c r="N67" s="47" t="inlineStr">
        <is>
          <t>UCHfIbq9thHPC8yrKjAdJgDA</t>
        </is>
      </c>
      <c r="O67" s="48" t="n">
        <v>46195.82847222222</v>
      </c>
      <c r="P67" s="49" t="n">
        <v>46195</v>
      </c>
      <c r="Q67" s="47" t="n">
        <v>3201</v>
      </c>
      <c r="R67" s="47" t="inlineStr">
        <is>
          <t>No Video ID yet</t>
        </is>
      </c>
      <c r="S67" s="49" t="n"/>
      <c r="T67" s="49" t="n"/>
      <c r="U67" s="47" t="inlineStr">
        <is>
          <t>You know how its common to pretend to be a dead ant in 10th grade english class? Right? Tune into the Pop this Friday to figure out what in the world any of this means.</t>
        </is>
      </c>
      <c r="V67" s="47">
        <f>IF(AND(P67&gt;=Calendar!$K$2,P67&lt;EDATE(Calendar!$K$2,1),OR(Calendar!$K$4="*",N67=Calendar!$K$4)),P67*100+COUNTIFS($P$6:$P$3267,P67,$Q$6:$Q$3267,"&lt;="&amp;Q67,$N$6:$N$3267,Calendar!$K$4),"")</f>
        <v/>
      </c>
      <c r="W67" s="47">
        <f>IF(AND(B67=Queue!$C$4,OR(Queue!$K$4="*",N67=Queue!$K$4)),Q67,"")</f>
        <v/>
      </c>
    </row>
    <row r="68">
      <c r="A68" s="38">
        <f>IF(M68="","",HYPERLINK("https://www.youtube.com/watch?v="&amp;M68,"▶"))</f>
        <v/>
      </c>
      <c r="B68" s="39">
        <f>IF(C68&lt;&gt;"",C68,IF(P68&lt;=IFERROR(INDEX(tblChannels[Watched Through],MATCH(N68,tblChannels[Channel ID],0)),0),"Watched","Unwatched"))</f>
        <v/>
      </c>
      <c r="C68" s="40" t="n"/>
      <c r="D68" s="41" t="n"/>
      <c r="E68" s="42" t="n">
        <v>46194.41666666666</v>
      </c>
      <c r="F68" s="51" t="inlineStr">
        <is>
          <t>Through The Griffin Door</t>
        </is>
      </c>
      <c r="G68" t="inlineStr">
        <is>
          <t>Chapter 3: Will and Won’t | Half-Blood Prince</t>
        </is>
      </c>
      <c r="H68" s="44" t="n">
        <v>0.0675</v>
      </c>
      <c r="I68" s="45" t="n">
        <v>37936</v>
      </c>
      <c r="J68" s="45" t="n">
        <v>1025</v>
      </c>
      <c r="K68" s="45" t="n">
        <v>438</v>
      </c>
      <c r="L68" s="46" t="n"/>
      <c r="M68" s="47" t="n"/>
      <c r="N68" s="47" t="inlineStr">
        <is>
          <t>UCEscP6ETYXWSSvsNrDHekMQ</t>
        </is>
      </c>
      <c r="O68" s="48" t="n">
        <v>46194.58333333334</v>
      </c>
      <c r="P68" s="49" t="n">
        <v>46194</v>
      </c>
      <c r="Q68" s="47" t="n">
        <v>3200</v>
      </c>
      <c r="R68" s="47" t="inlineStr">
        <is>
          <t>No Video ID yet</t>
        </is>
      </c>
      <c r="S68" s="49" t="n"/>
      <c r="T68" s="49" t="n"/>
      <c r="U68" s="47" t="inlineStr">
        <is>
          <t>This episode is sponsored by AuraFrames - Exclusive $25 off Carver Mat at Promo Code GRIFFIN Join J and Ben as they dive into Chapter 3 of the Half Blood Prince and discuss Harry’s snoring, the foreshadowing pamphlet, Dumbledore’s unfailing politeness, Sirius’s will, house elf magic, and coming of age. Dumbledore’s Drinking Problem - 07:52 - Chapter Breakdown 44:10 - Ad Break (Shopify) 46:49 - More Chapter Breakdown 1:29:02 - Closing Thoughts and Review</t>
        </is>
      </c>
      <c r="V68" s="47">
        <f>IF(AND(P68&gt;=Calendar!$K$2,P68&lt;EDATE(Calendar!$K$2,1),OR(Calendar!$K$4="*",N68=Calendar!$K$4)),P68*100+COUNTIFS($P$6:$P$3267,P68,$Q$6:$Q$3267,"&lt;="&amp;Q68,$N$6:$N$3267,Calendar!$K$4),"")</f>
        <v/>
      </c>
      <c r="W68" s="47">
        <f>IF(AND(B68=Queue!$C$4,OR(Queue!$K$4="*",N68=Queue!$K$4)),Q68,"")</f>
        <v/>
      </c>
    </row>
    <row r="69">
      <c r="A69" s="38">
        <f>IF(M69="","",HYPERLINK("https://www.youtube.com/watch?v="&amp;M69,"▶"))</f>
        <v/>
      </c>
      <c r="B69" s="39">
        <f>IF(C69&lt;&gt;"",C69,IF(P69&lt;=IFERROR(INDEX(tblChannels[Watched Through],MATCH(N69,tblChannels[Channel ID],0)),0),"Watched","Unwatched"))</f>
        <v/>
      </c>
      <c r="C69" s="40" t="n"/>
      <c r="D69" s="41" t="n"/>
      <c r="E69" s="42" t="n">
        <v>46192.65902777778</v>
      </c>
      <c r="F69" s="50" t="inlineStr">
        <is>
          <t>Super Carlin Brothers</t>
        </is>
      </c>
      <c r="G69" t="inlineStr">
        <is>
          <t>We Accidentally Proved James Potter Was The Half-Blood Prince</t>
        </is>
      </c>
      <c r="H69" s="44" t="n">
        <v>0.0119212962962963</v>
      </c>
      <c r="I69" s="45" t="n">
        <v>160920</v>
      </c>
      <c r="J69" s="45" t="n">
        <v>5303</v>
      </c>
      <c r="K69" s="45" t="n">
        <v>671</v>
      </c>
      <c r="L69" s="46" t="n"/>
      <c r="M69" s="47" t="n"/>
      <c r="N69" s="47" t="inlineStr">
        <is>
          <t>UCKZo4N0lVPccBkSiuyVh4yg</t>
        </is>
      </c>
      <c r="O69" s="48" t="n">
        <v>46192.82569444444</v>
      </c>
      <c r="P69" s="49" t="n">
        <v>46192</v>
      </c>
      <c r="Q69" s="47" t="n">
        <v>3199</v>
      </c>
      <c r="R69" s="47" t="inlineStr">
        <is>
          <t>No Video ID yet</t>
        </is>
      </c>
      <c r="S69" s="49" t="n"/>
      <c r="T69" s="49" t="n"/>
      <c r="U69" s="47" t="inlineStr">
        <is>
          <t>This episode is sponsored by BetterHelp - Sign up and get 10% off at We accidentally landed on this crazy Harry Potter Theory.. Severus Snape is the Half-Blood Prince, but did he steal the info from James Potter? Today we're investigating one of the strangest Harry Potter theories we've ever attempted: Was James Potter the REAL Half-Blood Prince? From hidden clues in Snape's handwriting, to Lily Evans' extraordinary potions talent, to the timeline surrounding Levicorpus, we uncover a surprisingly convincing case that Snape may have stolen far more than a nickname. It sounds ridiculous... until the evidence starts piling up. #HarryPotter #HalfBloodPrince #SuperCarlinBrothers Written by: J and Ben Carlin</t>
        </is>
      </c>
      <c r="V69" s="47">
        <f>IF(AND(P69&gt;=Calendar!$K$2,P69&lt;EDATE(Calendar!$K$2,1),OR(Calendar!$K$4="*",N69=Calendar!$K$4)),P69*100+COUNTIFS($P$6:$P$3267,P69,$Q$6:$Q$3267,"&lt;="&amp;Q69,$N$6:$N$3267,Calendar!$K$4),"")</f>
        <v/>
      </c>
      <c r="W69" s="47">
        <f>IF(AND(B69=Queue!$C$4,OR(Queue!$K$4="*",N69=Queue!$K$4)),Q69,"")</f>
        <v/>
      </c>
    </row>
    <row r="70">
      <c r="A70" s="38">
        <f>IF(M70="","",HYPERLINK("https://www.youtube.com/watch?v="&amp;M70,"▶"))</f>
        <v/>
      </c>
      <c r="B70" s="39">
        <f>IF(C70&lt;&gt;"",C70,IF(P70&lt;=IFERROR(INDEX(tblChannels[Watched Through],MATCH(N70,tblChannels[Channel ID],0)),0),"Watched","Unwatched"))</f>
        <v/>
      </c>
      <c r="C70" s="40" t="n"/>
      <c r="D70" s="41" t="n"/>
      <c r="E70" s="42" t="n">
        <v>46192.41666666666</v>
      </c>
      <c r="F70" s="43" t="inlineStr">
        <is>
          <t>Popcorn Culture</t>
        </is>
      </c>
      <c r="G70" t="inlineStr">
        <is>
          <t>Our FIRST EVER Movie Premiere!! | Popcorn Culture</t>
        </is>
      </c>
      <c r="H70" s="44" t="n">
        <v>0.06755787037037037</v>
      </c>
      <c r="I70" s="45" t="n">
        <v>3183</v>
      </c>
      <c r="J70" s="45" t="n">
        <v>157</v>
      </c>
      <c r="K70" s="45" t="n">
        <v>25</v>
      </c>
      <c r="L70" s="46" t="n"/>
      <c r="M70" s="47" t="n"/>
      <c r="N70" s="47" t="inlineStr">
        <is>
          <t>UCHfIbq9thHPC8yrKjAdJgDA</t>
        </is>
      </c>
      <c r="O70" s="48" t="n">
        <v>46192.58333333334</v>
      </c>
      <c r="P70" s="49" t="n">
        <v>46192</v>
      </c>
      <c r="Q70" s="47" t="n">
        <v>3198</v>
      </c>
      <c r="R70" s="47" t="inlineStr">
        <is>
          <t>No Video ID yet</t>
        </is>
      </c>
      <c r="S70" s="49" t="n"/>
      <c r="T70" s="49" t="n"/>
      <c r="U70" s="47" t="inlineStr">
        <is>
          <t>In the 341st episode of the Pop, Ben and J discuss THE TOY STORY 5 PREMIERE!!! The stressful travel to get there, the best but weirdest hotel breakfast, the modern art museum, getting to the actual premiere, seeing Taylor Swift IRL, and meeting lots of cool people at the afterparty. The Pixar Theory - The LACMA - The French Dispatch - Blippi - Toy Story 0 - Mabel is Russel’s Mom - Alice Payne -</t>
        </is>
      </c>
      <c r="V70" s="47">
        <f>IF(AND(P70&gt;=Calendar!$K$2,P70&lt;EDATE(Calendar!$K$2,1),OR(Calendar!$K$4="*",N70=Calendar!$K$4)),P70*100+COUNTIFS($P$6:$P$3267,P70,$Q$6:$Q$3267,"&lt;="&amp;Q70,$N$6:$N$3267,Calendar!$K$4),"")</f>
        <v/>
      </c>
      <c r="W70" s="47">
        <f>IF(AND(B70=Queue!$C$4,OR(Queue!$K$4="*",N70=Queue!$K$4)),Q70,"")</f>
        <v/>
      </c>
    </row>
    <row r="71">
      <c r="A71" s="38">
        <f>IF(M71="","",HYPERLINK("https://www.youtube.com/watch?v="&amp;M71,"▶"))</f>
        <v/>
      </c>
      <c r="B71" s="39">
        <f>IF(C71&lt;&gt;"",C71,IF(P71&lt;=IFERROR(INDEX(tblChannels[Watched Through],MATCH(N71,tblChannels[Channel ID],0)),0),"Watched","Unwatched"))</f>
        <v/>
      </c>
      <c r="C71" s="40" t="n"/>
      <c r="D71" s="41" t="n"/>
      <c r="E71" s="42" t="n">
        <v>46190.69791666666</v>
      </c>
      <c r="F71" s="50" t="inlineStr">
        <is>
          <t>Super Carlin Brothers</t>
        </is>
      </c>
      <c r="G71" t="inlineStr">
        <is>
          <t>The ULTIMATE Dumbledore's Army Quiz ⚡️| J vs Ben</t>
        </is>
      </c>
      <c r="H71" s="44" t="n">
        <v>0.02207175925925926</v>
      </c>
      <c r="I71" s="45" t="n">
        <v>55077</v>
      </c>
      <c r="J71" s="45" t="n">
        <v>2209</v>
      </c>
      <c r="K71" s="45" t="n">
        <v>276</v>
      </c>
      <c r="L71" s="46" t="n"/>
      <c r="M71" s="47" t="n"/>
      <c r="N71" s="47" t="inlineStr">
        <is>
          <t>UCKZo4N0lVPccBkSiuyVh4yg</t>
        </is>
      </c>
      <c r="O71" s="48" t="n">
        <v>46190.86458333334</v>
      </c>
      <c r="P71" s="49" t="n">
        <v>46190</v>
      </c>
      <c r="Q71" s="47" t="n">
        <v>3197</v>
      </c>
      <c r="R71" s="47" t="inlineStr">
        <is>
          <t>No Video ID yet</t>
        </is>
      </c>
      <c r="S71" s="49" t="n"/>
      <c r="T71" s="49" t="n"/>
      <c r="U71" s="47" t="inlineStr">
        <is>
          <t xml:space="preserve">$500 GIVEAWAY! How to enter: sign up to Whatnot using my link and follow me on Whatnot. Winner will be picked in a month. #whatnotpartner Get $15 off your first purchase on Whatnot using this link NO PURCHASE NECESSARY. Open to legal residents of the 50 U.S. states and D.C., 18+. To enter: (i) Sign up to Whatnot using the following link and (ii) follow the following Whatnot account @jonkerlin. One entry per person. Entries must be received by 07/17/2026 at 11:59:59 p.m. PT. Winner selected at random on or about 07/17/2026. Winner will be notified via the email associated with their Whatnot account and must respond within 5 days or prize may be forfeited and an alternate winner selected. Prize: $500 of Whatnot credit redeemable for purchases on the Whatnot platform (ARV: $500). Winner is responsible for all applicable taxes. This promotion is not sponsored, endorsed, or administered by YouTube. Sponsored by Super Carlin Brothers . Void where prohibited. Today J and Ben face off once more to find out who knows more about the six most important members of Dumbledore’s Army aka the Platinum Sextant aka Harry, Ron, Hermione, Ginny, Neville and Luna! Special thanks to the following Quiz </t>
        </is>
      </c>
      <c r="V71" s="47">
        <f>IF(AND(P71&gt;=Calendar!$K$2,P71&lt;EDATE(Calendar!$K$2,1),OR(Calendar!$K$4="*",N71=Calendar!$K$4)),P71*100+COUNTIFS($P$6:$P$3267,P71,$Q$6:$Q$3267,"&lt;="&amp;Q71,$N$6:$N$3267,Calendar!$K$4),"")</f>
        <v/>
      </c>
      <c r="W71" s="47">
        <f>IF(AND(B71=Queue!$C$4,OR(Queue!$K$4="*",N71=Queue!$K$4)),Q71,"")</f>
        <v/>
      </c>
    </row>
    <row r="72">
      <c r="A72" s="38">
        <f>IF(M72="","",HYPERLINK("https://www.youtube.com/watch?v="&amp;M72,"▶"))</f>
        <v/>
      </c>
      <c r="B72" s="39">
        <f>IF(C72&lt;&gt;"",C72,IF(P72&lt;=IFERROR(INDEX(tblChannels[Watched Through],MATCH(N72,tblChannels[Channel ID],0)),0),"Watched","Unwatched"))</f>
        <v/>
      </c>
      <c r="C72" s="40" t="n"/>
      <c r="D72" s="41" t="n"/>
      <c r="E72" s="42" t="n">
        <v>46188.70833333334</v>
      </c>
      <c r="F72" s="51" t="inlineStr">
        <is>
          <t>Through The Griffin Door</t>
        </is>
      </c>
      <c r="G72" t="inlineStr">
        <is>
          <t>LIVE at the Trash Pandas! - Chapter 2: Spinner’s End | Half-Blood Prince</t>
        </is>
      </c>
      <c r="H72" s="44" t="n">
        <v>0.05954861111111111</v>
      </c>
      <c r="I72" s="45" t="n">
        <v>6639</v>
      </c>
      <c r="J72" s="45" t="n">
        <v>205</v>
      </c>
      <c r="K72" s="45" t="n">
        <v>32</v>
      </c>
      <c r="L72" s="46" t="n"/>
      <c r="M72" s="47" t="n"/>
      <c r="N72" s="47" t="inlineStr">
        <is>
          <t>UCEscP6ETYXWSSvsNrDHekMQ</t>
        </is>
      </c>
      <c r="O72" s="48" t="n">
        <v>46188.875</v>
      </c>
      <c r="P72" s="49" t="n">
        <v>46188</v>
      </c>
      <c r="Q72" s="47" t="n">
        <v>3196</v>
      </c>
      <c r="R72" s="47" t="inlineStr">
        <is>
          <t>No Video ID yet</t>
        </is>
      </c>
      <c r="S72" s="49" t="n"/>
      <c r="T72" s="49" t="n"/>
      <c r="U72" s="47" t="inlineStr">
        <is>
          <t>Join J and Ben as they compete in a LIVE J vs Ben and dive BACK into Chapter 2, discussing Lily and Petunia’s childhood home?? A vexing fox, the irony of Peter’s position, Snape dodging and weaving, and the unbreakable vow. Want to see us do this IN REAL LIFE? Get your Through the Griffin Tour Northeast Tickets Here:</t>
        </is>
      </c>
      <c r="V72" s="47">
        <f>IF(AND(P72&gt;=Calendar!$K$2,P72&lt;EDATE(Calendar!$K$2,1),OR(Calendar!$K$4="*",N72=Calendar!$K$4)),P72*100+COUNTIFS($P$6:$P$3267,P72,$Q$6:$Q$3267,"&lt;="&amp;Q72,$N$6:$N$3267,Calendar!$K$4),"")</f>
        <v/>
      </c>
      <c r="W72" s="47">
        <f>IF(AND(B72=Queue!$C$4,OR(Queue!$K$4="*",N72=Queue!$K$4)),Q72,"")</f>
        <v/>
      </c>
    </row>
    <row r="73">
      <c r="A73" s="38">
        <f>IF(M73="","",HYPERLINK("https://www.youtube.com/watch?v="&amp;M73,"▶"))</f>
        <v/>
      </c>
      <c r="B73" s="39">
        <f>IF(C73&lt;&gt;"",C73,IF(P73&lt;=IFERROR(INDEX(tblChannels[Watched Through],MATCH(N73,tblChannels[Channel ID],0)),0),"Watched","Unwatched"))</f>
        <v/>
      </c>
      <c r="C73" s="40" t="n"/>
      <c r="D73" s="41" t="n"/>
      <c r="E73" s="42" t="n">
        <v>46187.41666666666</v>
      </c>
      <c r="F73" s="51" t="inlineStr">
        <is>
          <t>Through The Griffin Door</t>
        </is>
      </c>
      <c r="G73" t="inlineStr">
        <is>
          <t>Chapter 2: Spinner’s End | Half Blood Prince</t>
        </is>
      </c>
      <c r="H73" s="44" t="n">
        <v>0.06918981481481482</v>
      </c>
      <c r="I73" s="45" t="n">
        <v>35541</v>
      </c>
      <c r="J73" s="45" t="n">
        <v>990</v>
      </c>
      <c r="K73" s="45" t="n">
        <v>333</v>
      </c>
      <c r="L73" s="46" t="n"/>
      <c r="M73" s="47" t="n"/>
      <c r="N73" s="47" t="inlineStr">
        <is>
          <t>UCEscP6ETYXWSSvsNrDHekMQ</t>
        </is>
      </c>
      <c r="O73" s="48" t="n">
        <v>46187.58333333334</v>
      </c>
      <c r="P73" s="49" t="n">
        <v>46187</v>
      </c>
      <c r="Q73" s="47" t="n">
        <v>3195</v>
      </c>
      <c r="R73" s="47" t="inlineStr">
        <is>
          <t>No Video ID yet</t>
        </is>
      </c>
      <c r="S73" s="49" t="n"/>
      <c r="T73" s="49" t="n"/>
      <c r="U73" s="47" t="inlineStr">
        <is>
          <t>This episode is sponsored by AuraFrames - Exclusive $25 off Carver Mat at Promo Code GRIFFIN Join J and Ben as they dive into Chapter 2 of the Half Blood Prince and discuss the downtrodden neighborhood, the fox mystery, another cupboard under the stairs, the Snape exposition dump, and the Unbreakable Vow. 10:19 - Chapter Breakdown 58:51 - Ad Break (Aura Frames) 1:00:09 - More Chapter Breakdown 1:31:38 - Closing Thoughts and Review</t>
        </is>
      </c>
      <c r="V73" s="47">
        <f>IF(AND(P73&gt;=Calendar!$K$2,P73&lt;EDATE(Calendar!$K$2,1),OR(Calendar!$K$4="*",N73=Calendar!$K$4)),P73*100+COUNTIFS($P$6:$P$3267,P73,$Q$6:$Q$3267,"&lt;="&amp;Q73,$N$6:$N$3267,Calendar!$K$4),"")</f>
        <v/>
      </c>
      <c r="W73" s="47">
        <f>IF(AND(B73=Queue!$C$4,OR(Queue!$K$4="*",N73=Queue!$K$4)),Q73,"")</f>
        <v/>
      </c>
    </row>
    <row r="74">
      <c r="A74" s="38">
        <f>IF(M74="","",HYPERLINK("https://www.youtube.com/watch?v="&amp;M74,"▶"))</f>
        <v/>
      </c>
      <c r="B74" s="39">
        <f>IF(C74&lt;&gt;"",C74,IF(P74&lt;=IFERROR(INDEX(tblChannels[Watched Through],MATCH(N74,tblChannels[Channel ID],0)),0),"Watched","Unwatched"))</f>
        <v/>
      </c>
      <c r="C74" s="40" t="n"/>
      <c r="D74" s="41" t="n"/>
      <c r="E74" s="42" t="n">
        <v>46185.625</v>
      </c>
      <c r="F74" s="50" t="inlineStr">
        <is>
          <t>Super Carlin Brothers</t>
        </is>
      </c>
      <c r="G74" t="inlineStr">
        <is>
          <t>Theories From A Hat: Can We Defend These WILD Harry Potter Theories?</t>
        </is>
      </c>
      <c r="H74" s="44" t="n">
        <v>0.03725694444444445</v>
      </c>
      <c r="I74" s="45" t="n">
        <v>86794</v>
      </c>
      <c r="J74" s="45" t="n">
        <v>2776</v>
      </c>
      <c r="K74" s="45" t="n">
        <v>639</v>
      </c>
      <c r="L74" s="46" t="n"/>
      <c r="M74" s="47" t="n"/>
      <c r="N74" s="47" t="inlineStr">
        <is>
          <t>UCKZo4N0lVPccBkSiuyVh4yg</t>
        </is>
      </c>
      <c r="O74" s="48" t="n">
        <v>46185.79166666666</v>
      </c>
      <c r="P74" s="49" t="n">
        <v>46185</v>
      </c>
      <c r="Q74" s="47" t="n">
        <v>3194</v>
      </c>
      <c r="R74" s="47" t="inlineStr">
        <is>
          <t>No Video ID yet</t>
        </is>
      </c>
      <c r="S74" s="49" t="n"/>
      <c r="T74" s="49" t="n"/>
      <c r="U74" s="47" t="inlineStr">
        <is>
          <t>This episode is sponsored by BetterHelp - Sign up and get 10% off at This show is sponsored by Raycon - Go to buy to get 15% off Today, J and Ben are drawing crazy Harry Potter theories out of a hat and must defend them as if they were real! Can they source info to prove Hagrid DID kill myrtle? That James was the real half blood prince, Dumbledore can time travel or that Dumbledore intended for Harry to develop a horcrux?</t>
        </is>
      </c>
      <c r="V74" s="47">
        <f>IF(AND(P74&gt;=Calendar!$K$2,P74&lt;EDATE(Calendar!$K$2,1),OR(Calendar!$K$4="*",N74=Calendar!$K$4)),P74*100+COUNTIFS($P$6:$P$3267,P74,$Q$6:$Q$3267,"&lt;="&amp;Q74,$N$6:$N$3267,Calendar!$K$4),"")</f>
        <v/>
      </c>
      <c r="W74" s="47">
        <f>IF(AND(B74=Queue!$C$4,OR(Queue!$K$4="*",N74=Queue!$K$4)),Q74,"")</f>
        <v/>
      </c>
    </row>
    <row r="75">
      <c r="A75" s="38">
        <f>IF(M75="","",HYPERLINK("https://www.youtube.com/watch?v="&amp;M75,"▶"))</f>
        <v/>
      </c>
      <c r="B75" s="39">
        <f>IF(C75&lt;&gt;"",C75,IF(P75&lt;=IFERROR(INDEX(tblChannels[Watched Through],MATCH(N75,tblChannels[Channel ID],0)),0),"Watched","Unwatched"))</f>
        <v/>
      </c>
      <c r="C75" s="40" t="n"/>
      <c r="D75" s="41" t="n"/>
      <c r="E75" s="42" t="n">
        <v>46185.41666666666</v>
      </c>
      <c r="F75" s="43" t="inlineStr">
        <is>
          <t>Popcorn Culture</t>
        </is>
      </c>
      <c r="G75" t="inlineStr">
        <is>
          <t>Locked In the Hospital | Popcorn Culture</t>
        </is>
      </c>
      <c r="H75" s="44" t="n">
        <v>0.04572916666666667</v>
      </c>
      <c r="I75" s="45" t="n">
        <v>2174</v>
      </c>
      <c r="J75" s="45" t="n">
        <v>119</v>
      </c>
      <c r="K75" s="45" t="n">
        <v>12</v>
      </c>
      <c r="L75" s="46" t="n"/>
      <c r="M75" s="47" t="n"/>
      <c r="N75" s="47" t="inlineStr">
        <is>
          <t>UCHfIbq9thHPC8yrKjAdJgDA</t>
        </is>
      </c>
      <c r="O75" s="48" t="n">
        <v>46185.58333333334</v>
      </c>
      <c r="P75" s="49" t="n">
        <v>46185</v>
      </c>
      <c r="Q75" s="47" t="n">
        <v>3193</v>
      </c>
      <c r="R75" s="47" t="inlineStr">
        <is>
          <t>No Video ID yet</t>
        </is>
      </c>
      <c r="S75" s="49" t="n"/>
      <c r="T75" s="49" t="n"/>
      <c r="U75" s="47" t="inlineStr">
        <is>
          <t>In the 340th episod of the Pop, Ben and J discuss J’s weird hospital experience, Walmart parking lot adventures, teaching kids how to teach, their (then) upcoming Toy Story 5 premiere trip, red carpet outfits, and maybe meeting Taylor Swift??? Karate Kid - Toy Story Zero: The True Story Of Andy’s Dad &amp; Woody’s Origin -</t>
        </is>
      </c>
      <c r="V75" s="47">
        <f>IF(AND(P75&gt;=Calendar!$K$2,P75&lt;EDATE(Calendar!$K$2,1),OR(Calendar!$K$4="*",N75=Calendar!$K$4)),P75*100+COUNTIFS($P$6:$P$3267,P75,$Q$6:$Q$3267,"&lt;="&amp;Q75,$N$6:$N$3267,Calendar!$K$4),"")</f>
        <v/>
      </c>
      <c r="W75" s="47">
        <f>IF(AND(B75=Queue!$C$4,OR(Queue!$K$4="*",N75=Queue!$K$4)),Q75,"")</f>
        <v/>
      </c>
    </row>
    <row r="76">
      <c r="A76" s="38">
        <f>IF(M76="","",HYPERLINK("https://www.youtube.com/watch?v="&amp;M76,"▶"))</f>
        <v/>
      </c>
      <c r="B76" s="39">
        <f>IF(C76&lt;&gt;"",C76,IF(P76&lt;=IFERROR(INDEX(tblChannels[Watched Through],MATCH(N76,tblChannels[Channel ID],0)),0),"Watched","Unwatched"))</f>
        <v/>
      </c>
      <c r="C76" s="40" t="n"/>
      <c r="D76" s="41" t="n"/>
      <c r="E76" s="42" t="n">
        <v>46183.625</v>
      </c>
      <c r="F76" s="50" t="inlineStr">
        <is>
          <t>Super Carlin Brothers</t>
        </is>
      </c>
      <c r="G76" t="inlineStr">
        <is>
          <t>Hoppers Just CONFIRMED the Pixar Theory 🪵</t>
        </is>
      </c>
      <c r="H76" s="44" t="n">
        <v>0.01225694444444445</v>
      </c>
      <c r="I76" s="45" t="n">
        <v>93606</v>
      </c>
      <c r="J76" s="45" t="n">
        <v>3627</v>
      </c>
      <c r="K76" s="45" t="n">
        <v>353</v>
      </c>
      <c r="L76" s="46" t="n"/>
      <c r="M76" s="47" t="n"/>
      <c r="N76" s="47" t="inlineStr">
        <is>
          <t>UCKZo4N0lVPccBkSiuyVh4yg</t>
        </is>
      </c>
      <c r="O76" s="48" t="n">
        <v>46183.79166666666</v>
      </c>
      <c r="P76" s="49" t="n">
        <v>46183</v>
      </c>
      <c r="Q76" s="47" t="n">
        <v>3192</v>
      </c>
      <c r="R76" s="47" t="inlineStr">
        <is>
          <t>No Video ID yet</t>
        </is>
      </c>
      <c r="S76" s="49" t="n"/>
      <c r="T76" s="49" t="n"/>
      <c r="U76" s="47" t="inlineStr">
        <is>
          <t>A single chalkboard scene in Hoppers appears to reveal the origins of some of Pixar's most important technologies, including talking dog collars, WALL-E, MO, scream canisters, and possibly even the secret behind Cars itself. Today we're breaking down every clue, every Easter egg, and every connection to discover how Hoppers fits into the Pixar Theory timeline. #pixar #Hoppers #SuperCarlinBrothers</t>
        </is>
      </c>
      <c r="V76" s="47">
        <f>IF(AND(P76&gt;=Calendar!$K$2,P76&lt;EDATE(Calendar!$K$2,1),OR(Calendar!$K$4="*",N76=Calendar!$K$4)),P76*100+COUNTIFS($P$6:$P$3267,P76,$Q$6:$Q$3267,"&lt;="&amp;Q76,$N$6:$N$3267,Calendar!$K$4),"")</f>
        <v/>
      </c>
      <c r="W76" s="47">
        <f>IF(AND(B76=Queue!$C$4,OR(Queue!$K$4="*",N76=Queue!$K$4)),Q76,"")</f>
        <v/>
      </c>
    </row>
    <row r="77">
      <c r="A77" s="38">
        <f>IF(M77="","",HYPERLINK("https://www.youtube.com/watch?v="&amp;M77,"▶"))</f>
        <v/>
      </c>
      <c r="B77" s="39">
        <f>IF(C77&lt;&gt;"",C77,IF(P77&lt;=IFERROR(INDEX(tblChannels[Watched Through],MATCH(N77,tblChannels[Channel ID],0)),0),"Watched","Unwatched"))</f>
        <v/>
      </c>
      <c r="C77" s="40" t="n"/>
      <c r="D77" s="41" t="n"/>
      <c r="E77" s="42" t="n">
        <v>46180.5</v>
      </c>
      <c r="F77" s="51" t="inlineStr">
        <is>
          <t>Through The Griffin Door</t>
        </is>
      </c>
      <c r="G77" t="inlineStr">
        <is>
          <t>Chapter 1: The Other Minister | Half Blood Prince</t>
        </is>
      </c>
      <c r="H77" s="44" t="n">
        <v>0.07152777777777777</v>
      </c>
      <c r="I77" s="45" t="n">
        <v>41332</v>
      </c>
      <c r="J77" s="45" t="n">
        <v>1172</v>
      </c>
      <c r="K77" s="45" t="n">
        <v>467</v>
      </c>
      <c r="L77" s="46" t="n"/>
      <c r="M77" s="47" t="n"/>
      <c r="N77" s="47" t="inlineStr">
        <is>
          <t>UCEscP6ETYXWSSvsNrDHekMQ</t>
        </is>
      </c>
      <c r="O77" s="48" t="n">
        <v>46180.66666666666</v>
      </c>
      <c r="P77" s="49" t="n">
        <v>46180</v>
      </c>
      <c r="Q77" s="47" t="n">
        <v>3191</v>
      </c>
      <c r="R77" s="47" t="inlineStr">
        <is>
          <t>No Video ID yet</t>
        </is>
      </c>
      <c r="S77" s="49" t="n"/>
      <c r="T77" s="49" t="n"/>
      <c r="U77" s="47" t="inlineStr">
        <is>
          <t>Join J and Ben as they dive into Chapter 1 of the Half Blood Prince and discuss the state of politics, the recap via flashbacks, Fudge getting sacked, the terrors of the Death Eaters, the intro to Scrimgeour, and Kingsley’s protection. 13:29 - Chapter Breakdown 1:32:31 - Closing Thoughts and Review</t>
        </is>
      </c>
      <c r="V77" s="47">
        <f>IF(AND(P77&gt;=Calendar!$K$2,P77&lt;EDATE(Calendar!$K$2,1),OR(Calendar!$K$4="*",N77=Calendar!$K$4)),P77*100+COUNTIFS($P$6:$P$3267,P77,$Q$6:$Q$3267,"&lt;="&amp;Q77,$N$6:$N$3267,Calendar!$K$4),"")</f>
        <v/>
      </c>
      <c r="W77" s="47">
        <f>IF(AND(B77=Queue!$C$4,OR(Queue!$K$4="*",N77=Queue!$K$4)),Q77,"")</f>
        <v/>
      </c>
    </row>
    <row r="78">
      <c r="A78" s="38">
        <f>IF(M78="","",HYPERLINK("https://www.youtube.com/watch?v="&amp;M78,"▶"))</f>
        <v/>
      </c>
      <c r="B78" s="39">
        <f>IF(C78&lt;&gt;"",C78,IF(P78&lt;=IFERROR(INDEX(tblChannels[Watched Through],MATCH(N78,tblChannels[Channel ID],0)),0),"Watched","Unwatched"))</f>
        <v/>
      </c>
      <c r="C78" s="40" t="n"/>
      <c r="D78" s="41" t="n"/>
      <c r="E78" s="42" t="n">
        <v>46178.67847222222</v>
      </c>
      <c r="F78" s="50" t="inlineStr">
        <is>
          <t>Super Carlin Brothers</t>
        </is>
      </c>
      <c r="G78" t="inlineStr">
        <is>
          <t>Is Mabel Russell's MOM?! 🦫🪵🦎🥔</t>
        </is>
      </c>
      <c r="H78" s="44" t="n">
        <v>0.01231481481481481</v>
      </c>
      <c r="I78" s="45" t="n">
        <v>89208</v>
      </c>
      <c r="J78" s="45" t="n">
        <v>3406</v>
      </c>
      <c r="K78" s="45" t="n">
        <v>371</v>
      </c>
      <c r="L78" s="46" t="n"/>
      <c r="M78" s="47" t="n"/>
      <c r="N78" s="47" t="inlineStr">
        <is>
          <t>UCKZo4N0lVPccBkSiuyVh4yg</t>
        </is>
      </c>
      <c r="O78" s="48" t="n">
        <v>46178.84513888889</v>
      </c>
      <c r="P78" s="49" t="n">
        <v>46178</v>
      </c>
      <c r="Q78" s="47" t="n">
        <v>3190</v>
      </c>
      <c r="R78" s="47" t="inlineStr">
        <is>
          <t>No Video ID yet</t>
        </is>
      </c>
      <c r="S78" s="49" t="n"/>
      <c r="T78" s="49" t="n"/>
      <c r="U78" s="47" t="inlineStr">
        <is>
          <t>Find support in therapy! Sign up and get 10% off at Is Mabel from Hoppers secretly the mother of Russel from Up? Today J dives into the ever-expanding Pixar Universe find out! From their love of the outdoors, door-to-door enthusiasm, and relationship with the elderly, these 2 have a lot in common. They may have both encountered the villainous Charles Muntz as well… #pixar #Hoppers #SuperCarlinBrothers</t>
        </is>
      </c>
      <c r="V78" s="47">
        <f>IF(AND(P78&gt;=Calendar!$K$2,P78&lt;EDATE(Calendar!$K$2,1),OR(Calendar!$K$4="*",N78=Calendar!$K$4)),P78*100+COUNTIFS($P$6:$P$3267,P78,$Q$6:$Q$3267,"&lt;="&amp;Q78,$N$6:$N$3267,Calendar!$K$4),"")</f>
        <v/>
      </c>
      <c r="W78" s="47">
        <f>IF(AND(B78=Queue!$C$4,OR(Queue!$K$4="*",N78=Queue!$K$4)),Q78,"")</f>
        <v/>
      </c>
    </row>
    <row r="79">
      <c r="A79" s="38">
        <f>IF(M79="","",HYPERLINK("https://www.youtube.com/watch?v="&amp;M79,"▶"))</f>
        <v/>
      </c>
      <c r="B79" s="39">
        <f>IF(C79&lt;&gt;"",C79,IF(P79&lt;=IFERROR(INDEX(tblChannels[Watched Through],MATCH(N79,tblChannels[Channel ID],0)),0),"Watched","Unwatched"))</f>
        <v/>
      </c>
      <c r="C79" s="40" t="n"/>
      <c r="D79" s="41" t="n"/>
      <c r="E79" s="42" t="n">
        <v>46178.41666666666</v>
      </c>
      <c r="F79" s="43" t="inlineStr">
        <is>
          <t>Popcorn Culture</t>
        </is>
      </c>
      <c r="G79" t="inlineStr">
        <is>
          <t>Ben’s Block of Nine | Popcorn Culture</t>
        </is>
      </c>
      <c r="H79" s="44" t="n">
        <v>0.07157407407407407</v>
      </c>
      <c r="I79" s="45" t="n">
        <v>2695</v>
      </c>
      <c r="J79" s="45" t="n">
        <v>115</v>
      </c>
      <c r="K79" s="45" t="n">
        <v>16</v>
      </c>
      <c r="L79" s="46" t="n"/>
      <c r="M79" s="47" t="n"/>
      <c r="N79" s="47" t="inlineStr">
        <is>
          <t>UCHfIbq9thHPC8yrKjAdJgDA</t>
        </is>
      </c>
      <c r="O79" s="48" t="n">
        <v>46178.58333333334</v>
      </c>
      <c r="P79" s="49" t="n">
        <v>46178</v>
      </c>
      <c r="Q79" s="47" t="n">
        <v>3189</v>
      </c>
      <c r="R79" s="47" t="inlineStr">
        <is>
          <t>No Video ID yet</t>
        </is>
      </c>
      <c r="S79" s="49" t="n"/>
      <c r="T79" s="49" t="n"/>
      <c r="U79" s="47" t="inlineStr">
        <is>
          <t>In the 339th episode of the Pop, Ben and J discuss text based conversations, Ben’s (cringey) rules to life, refereeing soccer, avoiding dreams, practicing confidence, different kinds of lists, and a looooooot of introspection.</t>
        </is>
      </c>
      <c r="V79" s="47">
        <f>IF(AND(P79&gt;=Calendar!$K$2,P79&lt;EDATE(Calendar!$K$2,1),OR(Calendar!$K$4="*",N79=Calendar!$K$4)),P79*100+COUNTIFS($P$6:$P$3267,P79,$Q$6:$Q$3267,"&lt;="&amp;Q79,$N$6:$N$3267,Calendar!$K$4),"")</f>
        <v/>
      </c>
      <c r="W79" s="47">
        <f>IF(AND(B79=Queue!$C$4,OR(Queue!$K$4="*",N79=Queue!$K$4)),Q79,"")</f>
        <v/>
      </c>
    </row>
    <row r="80">
      <c r="A80" s="38">
        <f>IF(M80="","",HYPERLINK("https://www.youtube.com/watch?v="&amp;M80,"▶"))</f>
        <v/>
      </c>
      <c r="B80" s="39">
        <f>IF(C80&lt;&gt;"",C80,IF(P80&lt;=IFERROR(INDEX(tblChannels[Watched Through],MATCH(N80,tblChannels[Channel ID],0)),0),"Watched","Unwatched"))</f>
        <v/>
      </c>
      <c r="C80" s="40" t="n"/>
      <c r="D80" s="41" t="n"/>
      <c r="E80" s="42" t="n">
        <v>46176.69791666666</v>
      </c>
      <c r="F80" s="50" t="inlineStr">
        <is>
          <t>Super Carlin Brothers</t>
        </is>
      </c>
      <c r="G80" t="inlineStr">
        <is>
          <t>Harry Potter Summer Trivia Is HARDER Than You Think</t>
        </is>
      </c>
      <c r="H80" s="44" t="n">
        <v>0.03185185185185185</v>
      </c>
      <c r="I80" s="45" t="n">
        <v>89071</v>
      </c>
      <c r="J80" s="45" t="n">
        <v>2851</v>
      </c>
      <c r="K80" s="45" t="n">
        <v>362</v>
      </c>
      <c r="L80" s="46" t="n"/>
      <c r="M80" s="47" t="n"/>
      <c r="N80" s="47" t="inlineStr">
        <is>
          <t>UCKZo4N0lVPccBkSiuyVh4yg</t>
        </is>
      </c>
      <c r="O80" s="48" t="n">
        <v>46176.86458333334</v>
      </c>
      <c r="P80" s="49" t="n">
        <v>46176</v>
      </c>
      <c r="Q80" s="47" t="n">
        <v>3188</v>
      </c>
      <c r="R80" s="47" t="inlineStr">
        <is>
          <t>No Video ID yet</t>
        </is>
      </c>
      <c r="S80" s="49" t="n"/>
      <c r="T80" s="49" t="n"/>
      <c r="U80" s="47" t="inlineStr">
        <is>
          <t>Check out Zocdoc and stop putting off those doctor's appointments. Go to to find and instantly book a top-rated doctor today. This message is sponsored by Zocdoc. Head to and use code 'JvsB50off' to get 50% off and recieve FREE daily greens per box. We all remember Harry’s time at Hogwarts, but who well do you remember what happens when he’s NOT at school? Today J and Ben face off once more to find out who knows more about Harry Potter’s summer breaks. #HarryPotter #JvsBen #SuperCarlinBrothers</t>
        </is>
      </c>
      <c r="V80" s="47">
        <f>IF(AND(P80&gt;=Calendar!$K$2,P80&lt;EDATE(Calendar!$K$2,1),OR(Calendar!$K$4="*",N80=Calendar!$K$4)),P80*100+COUNTIFS($P$6:$P$3267,P80,$Q$6:$Q$3267,"&lt;="&amp;Q80,$N$6:$N$3267,Calendar!$K$4),"")</f>
        <v/>
      </c>
      <c r="W80" s="47">
        <f>IF(AND(B80=Queue!$C$4,OR(Queue!$K$4="*",N80=Queue!$K$4)),Q80,"")</f>
        <v/>
      </c>
    </row>
    <row r="81">
      <c r="A81" s="38">
        <f>IF(M81="","",HYPERLINK("https://www.youtube.com/watch?v="&amp;M81,"▶"))</f>
        <v/>
      </c>
      <c r="B81" s="39">
        <f>IF(C81&lt;&gt;"",C81,IF(P81&lt;=IFERROR(INDEX(tblChannels[Watched Through],MATCH(N81,tblChannels[Channel ID],0)),0),"Watched","Unwatched"))</f>
        <v/>
      </c>
      <c r="C81" s="40" t="n"/>
      <c r="D81" s="41" t="n"/>
      <c r="E81" s="42" t="n">
        <v>46173.41666666666</v>
      </c>
      <c r="F81" s="51" t="inlineStr">
        <is>
          <t>Through The Griffin Door</t>
        </is>
      </c>
      <c r="G81" t="inlineStr">
        <is>
          <t>Dumbledore's Big Plan: Order of the Phoenix Edition</t>
        </is>
      </c>
      <c r="H81" s="44" t="n">
        <v>0.03509259259259259</v>
      </c>
      <c r="I81" s="45" t="n">
        <v>21268</v>
      </c>
      <c r="J81" s="45" t="n">
        <v>806</v>
      </c>
      <c r="K81" s="45" t="n">
        <v>189</v>
      </c>
      <c r="L81" s="46" t="n"/>
      <c r="M81" s="47" t="n"/>
      <c r="N81" s="47" t="inlineStr">
        <is>
          <t>UCEscP6ETYXWSSvsNrDHekMQ</t>
        </is>
      </c>
      <c r="O81" s="48" t="n">
        <v>46173.58333333334</v>
      </c>
      <c r="P81" s="49" t="n">
        <v>46173</v>
      </c>
      <c r="Q81" s="47" t="n">
        <v>3187</v>
      </c>
      <c r="R81" s="47" t="inlineStr">
        <is>
          <t>No Video ID yet</t>
        </is>
      </c>
      <c r="S81" s="49" t="n"/>
      <c r="T81" s="49" t="n"/>
      <c r="U81" s="47" t="inlineStr">
        <is>
          <t>Join J and Ben as they dive into how Dumbledore’s Big Plan fits into Order of the Phoenix.</t>
        </is>
      </c>
      <c r="V81" s="47">
        <f>IF(AND(P81&gt;=Calendar!$K$2,P81&lt;EDATE(Calendar!$K$2,1),OR(Calendar!$K$4="*",N81=Calendar!$K$4)),P81*100+COUNTIFS($P$6:$P$3267,P81,$Q$6:$Q$3267,"&lt;="&amp;Q81,$N$6:$N$3267,Calendar!$K$4),"")</f>
        <v/>
      </c>
      <c r="W81" s="47">
        <f>IF(AND(B81=Queue!$C$4,OR(Queue!$K$4="*",N81=Queue!$K$4)),Q81,"")</f>
        <v/>
      </c>
    </row>
    <row r="82">
      <c r="A82" s="38">
        <f>IF(M82="","",HYPERLINK("https://www.youtube.com/watch?v="&amp;M82,"▶"))</f>
        <v/>
      </c>
      <c r="B82" s="39">
        <f>IF(C82&lt;&gt;"",C82,IF(P82&lt;=IFERROR(INDEX(tblChannels[Watched Through],MATCH(N82,tblChannels[Channel ID],0)),0),"Watched","Unwatched"))</f>
        <v/>
      </c>
      <c r="C82" s="40" t="n"/>
      <c r="D82" s="41" t="n"/>
      <c r="E82" s="42" t="n">
        <v>46171.69236111111</v>
      </c>
      <c r="F82" s="50" t="inlineStr">
        <is>
          <t>Super Carlin Brothers</t>
        </is>
      </c>
      <c r="G82" t="inlineStr">
        <is>
          <t>Toy Story 5 Just Revived Pixar's Biggest Theory</t>
        </is>
      </c>
      <c r="H82" s="44" t="n">
        <v>0.01290509259259259</v>
      </c>
      <c r="I82" s="45" t="n">
        <v>104414</v>
      </c>
      <c r="J82" s="45" t="n">
        <v>3294</v>
      </c>
      <c r="K82" s="45" t="n">
        <v>354</v>
      </c>
      <c r="L82" s="46" t="n"/>
      <c r="M82" s="47" t="n"/>
      <c r="N82" s="47" t="inlineStr">
        <is>
          <t>UCKZo4N0lVPccBkSiuyVh4yg</t>
        </is>
      </c>
      <c r="O82" s="48" t="n">
        <v>46171.85902777778</v>
      </c>
      <c r="P82" s="49" t="n">
        <v>46171</v>
      </c>
      <c r="Q82" s="47" t="n">
        <v>3186</v>
      </c>
      <c r="R82" s="47" t="inlineStr">
        <is>
          <t>No Video ID yet</t>
        </is>
      </c>
      <c r="S82" s="49" t="n"/>
      <c r="T82" s="49" t="n"/>
      <c r="U82" s="47" t="inlineStr">
        <is>
          <t>Y’ALL The final trailer for Toy Story 5 just dropped, and it may have just revealed the return of one of the most important characters in Pixar history: EMILY. While she only appears briefly in Toy Story 2's iconic "When She Loved Me" sequence, Emily's decision to abandon Jessie shaped the entire future of the character—and arguably changed Pixar forever. Now, thanks to some hidden clues throughout the final Toy Story 5 trailer, it looks like Jessie may finally get the closure she (and we) have been waiting for FOR decades! Plus, if Emily really is returning... could Pixar finally be revisiting one of the oldest Toy Story theories of all time? Is Emily actually Andy's Mom? #Pixar #ToyStory #ToyStory5 #supercarlinbrothers</t>
        </is>
      </c>
      <c r="V82" s="47">
        <f>IF(AND(P82&gt;=Calendar!$K$2,P82&lt;EDATE(Calendar!$K$2,1),OR(Calendar!$K$4="*",N82=Calendar!$K$4)),P82*100+COUNTIFS($P$6:$P$3267,P82,$Q$6:$Q$3267,"&lt;="&amp;Q82,$N$6:$N$3267,Calendar!$K$4),"")</f>
        <v/>
      </c>
      <c r="W82" s="47">
        <f>IF(AND(B82=Queue!$C$4,OR(Queue!$K$4="*",N82=Queue!$K$4)),Q82,"")</f>
        <v/>
      </c>
    </row>
    <row r="83">
      <c r="A83" s="38">
        <f>IF(M83="","",HYPERLINK("https://www.youtube.com/watch?v="&amp;M83,"▶"))</f>
        <v/>
      </c>
      <c r="B83" s="39">
        <f>IF(C83&lt;&gt;"",C83,IF(P83&lt;=IFERROR(INDEX(tblChannels[Watched Through],MATCH(N83,tblChannels[Channel ID],0)),0),"Watched","Unwatched"))</f>
        <v/>
      </c>
      <c r="C83" s="40" t="n"/>
      <c r="D83" s="41" t="n"/>
      <c r="E83" s="42" t="n">
        <v>46171.41666666666</v>
      </c>
      <c r="F83" s="43" t="inlineStr">
        <is>
          <t>Popcorn Culture</t>
        </is>
      </c>
      <c r="G83" t="inlineStr">
        <is>
          <t>Soap Mucus | Popcorn Culture</t>
        </is>
      </c>
      <c r="H83" s="44" t="n">
        <v>0.05287037037037037</v>
      </c>
      <c r="I83" s="45" t="n">
        <v>2472</v>
      </c>
      <c r="J83" s="45" t="n">
        <v>110</v>
      </c>
      <c r="K83" s="45" t="n">
        <v>19</v>
      </c>
      <c r="L83" s="46" t="n"/>
      <c r="M83" s="47" t="n"/>
      <c r="N83" s="47" t="inlineStr">
        <is>
          <t>UCHfIbq9thHPC8yrKjAdJgDA</t>
        </is>
      </c>
      <c r="O83" s="48" t="n">
        <v>46171.58333333334</v>
      </c>
      <c r="P83" s="49" t="n">
        <v>46171</v>
      </c>
      <c r="Q83" s="47" t="n">
        <v>3185</v>
      </c>
      <c r="R83" s="47" t="inlineStr">
        <is>
          <t>No Video ID yet</t>
        </is>
      </c>
      <c r="S83" s="49" t="n"/>
      <c r="T83" s="49" t="n"/>
      <c r="U83" s="47" t="inlineStr">
        <is>
          <t>In the 338th episode of the Pop, Ben and J discuss getting ready in the morning, growin’ corn, roasting soap, asking vs. assuming and developmental age achievements. Hundreds of Beavers - Chelsea Explains - Chef - Think Through Pudding CORN LIKE THE WIND! Power Rangers Soap 00:00 - Intro, Getting Kids Out the Door 15:19 - Irish Spring Soap 29:55 - Chelsea Explains' Observation</t>
        </is>
      </c>
      <c r="V83" s="47">
        <f>IF(AND(P83&gt;=Calendar!$K$2,P83&lt;EDATE(Calendar!$K$2,1),OR(Calendar!$K$4="*",N83=Calendar!$K$4)),P83*100+COUNTIFS($P$6:$P$3267,P83,$Q$6:$Q$3267,"&lt;="&amp;Q83,$N$6:$N$3267,Calendar!$K$4),"")</f>
        <v/>
      </c>
      <c r="W83" s="47">
        <f>IF(AND(B83=Queue!$C$4,OR(Queue!$K$4="*",N83=Queue!$K$4)),Q83,"")</f>
        <v/>
      </c>
    </row>
    <row r="84">
      <c r="A84" s="38">
        <f>IF(M84="","",HYPERLINK("https://www.youtube.com/watch?v="&amp;M84,"▶"))</f>
        <v/>
      </c>
      <c r="B84" s="39">
        <f>IF(C84&lt;&gt;"",C84,IF(P84&lt;=IFERROR(INDEX(tblChannels[Watched Through],MATCH(N84,tblChannels[Channel ID],0)),0),"Watched","Unwatched"))</f>
        <v/>
      </c>
      <c r="C84" s="40" t="n"/>
      <c r="D84" s="41" t="n"/>
      <c r="E84" s="42" t="n">
        <v>46170.45555555556</v>
      </c>
      <c r="F84" s="50" t="inlineStr">
        <is>
          <t>Super Carlin Brothers</t>
        </is>
      </c>
      <c r="G84" t="inlineStr">
        <is>
          <t>Harry Potter needs GRAPES! 🍇 #harrypotter</t>
        </is>
      </c>
      <c r="H84" s="44" t="n">
        <v>0.001134259259259259</v>
      </c>
      <c r="I84" s="45" t="n">
        <v>57411</v>
      </c>
      <c r="J84" s="45" t="n">
        <v>1996</v>
      </c>
      <c r="K84" s="45" t="n">
        <v>96</v>
      </c>
      <c r="L84" s="46" t="n"/>
      <c r="M84" s="47" t="n"/>
      <c r="N84" s="47" t="inlineStr">
        <is>
          <t>UCKZo4N0lVPccBkSiuyVh4yg</t>
        </is>
      </c>
      <c r="O84" s="48" t="n">
        <v>46170.62222222222</v>
      </c>
      <c r="P84" s="49" t="n">
        <v>46170</v>
      </c>
      <c r="Q84" s="47" t="n">
        <v>3184</v>
      </c>
      <c r="R84" s="47" t="inlineStr">
        <is>
          <t>No Video ID yet</t>
        </is>
      </c>
      <c r="S84" s="49" t="n"/>
      <c r="T84" s="49" t="n"/>
      <c r="U84" s="47" t="inlineStr">
        <is>
          <t>When Harry Potter needs some middle of the night grapes, there is only one first year up to the job: Colin Creevey 🍇 📸 🐍 #supercarlinbrothers #potterhead #podcast #podcastclips</t>
        </is>
      </c>
      <c r="V84" s="47">
        <f>IF(AND(P84&gt;=Calendar!$K$2,P84&lt;EDATE(Calendar!$K$2,1),OR(Calendar!$K$4="*",N84=Calendar!$K$4)),P84*100+COUNTIFS($P$6:$P$3267,P84,$Q$6:$Q$3267,"&lt;="&amp;Q84,$N$6:$N$3267,Calendar!$K$4),"")</f>
        <v/>
      </c>
      <c r="W84" s="47">
        <f>IF(AND(B84=Queue!$C$4,OR(Queue!$K$4="*",N84=Queue!$K$4)),Q84,"")</f>
        <v/>
      </c>
    </row>
    <row r="85">
      <c r="A85" s="38">
        <f>IF(M85="","",HYPERLINK("https://www.youtube.com/watch?v="&amp;M85,"▶"))</f>
        <v/>
      </c>
      <c r="B85" s="39">
        <f>IF(C85&lt;&gt;"",C85,IF(P85&lt;=IFERROR(INDEX(tblChannels[Watched Through],MATCH(N85,tblChannels[Channel ID],0)),0),"Watched","Unwatched"))</f>
        <v/>
      </c>
      <c r="C85" s="40" t="n"/>
      <c r="D85" s="41" t="n"/>
      <c r="E85" s="42" t="n">
        <v>46169.65972222222</v>
      </c>
      <c r="F85" s="50" t="inlineStr">
        <is>
          <t>Super Carlin Brothers</t>
        </is>
      </c>
      <c r="G85" t="inlineStr">
        <is>
          <t>Dumbledore’s Drinking Problem</t>
        </is>
      </c>
      <c r="H85" s="44" t="n">
        <v>0.01197916666666667</v>
      </c>
      <c r="I85" s="45" t="n">
        <v>89866</v>
      </c>
      <c r="J85" s="45" t="n">
        <v>4110</v>
      </c>
      <c r="K85" s="45" t="n">
        <v>575</v>
      </c>
      <c r="L85" s="46" t="n"/>
      <c r="M85" s="47" t="n"/>
      <c r="N85" s="47" t="inlineStr">
        <is>
          <t>UCKZo4N0lVPccBkSiuyVh4yg</t>
        </is>
      </c>
      <c r="O85" s="48" t="n">
        <v>46169.82638888889</v>
      </c>
      <c r="P85" s="49" t="n">
        <v>46169</v>
      </c>
      <c r="Q85" s="47" t="n">
        <v>3183</v>
      </c>
      <c r="R85" s="47" t="inlineStr">
        <is>
          <t>No Video ID yet</t>
        </is>
      </c>
      <c r="S85" s="49" t="n"/>
      <c r="T85" s="49" t="n"/>
      <c r="U85" s="47" t="inlineStr">
        <is>
          <t>This show is sponsored by BetterHelp. Go to for 10% off your first month. Head to and use code 'super50off' to get 50% off and FREE Daily Greens per box! What if Dumbledore’s “drinking problem” in Harry Potter wasn’t just a running gag… but an actual curse? Throughout the Harry Potter series, Dumbledore constantly offers people drinks — tea, brandy, wine, mead, butterbeer — and somehow nobody ever seems to drink with him. From Hagrid and Slughorn to the Dursleys and even the Yule Ball, a bizarre pattern quietly follows Albus Dumbledore throughout the entire story. Today we explore one of the strangest hidden patterns in Harry Potter and the shocking moment the curse may have begun. #HarryPotter #Dumbledore #HarryPotterTheory #harrypotter #supercarlinbrothers</t>
        </is>
      </c>
      <c r="V85" s="47">
        <f>IF(AND(P85&gt;=Calendar!$K$2,P85&lt;EDATE(Calendar!$K$2,1),OR(Calendar!$K$4="*",N85=Calendar!$K$4)),P85*100+COUNTIFS($P$6:$P$3267,P85,$Q$6:$Q$3267,"&lt;="&amp;Q85,$N$6:$N$3267,Calendar!$K$4),"")</f>
        <v/>
      </c>
      <c r="W85" s="47">
        <f>IF(AND(B85=Queue!$C$4,OR(Queue!$K$4="*",N85=Queue!$K$4)),Q85,"")</f>
        <v/>
      </c>
    </row>
    <row r="86">
      <c r="A86" s="38">
        <f>IF(M86="","",HYPERLINK("https://www.youtube.com/watch?v="&amp;M86,"▶"))</f>
        <v/>
      </c>
      <c r="B86" s="39">
        <f>IF(C86&lt;&gt;"",C86,IF(P86&lt;=IFERROR(INDEX(tblChannels[Watched Through],MATCH(N86,tblChannels[Channel ID],0)),0),"Watched","Unwatched"))</f>
        <v/>
      </c>
      <c r="C86" s="40" t="n"/>
      <c r="D86" s="41" t="n"/>
      <c r="E86" s="42" t="n">
        <v>46168.72916666666</v>
      </c>
      <c r="F86" s="51" t="inlineStr">
        <is>
          <t>Through The Griffin Door</t>
        </is>
      </c>
      <c r="G86" t="inlineStr">
        <is>
          <t>LIVE in Dallas - Chapter 38: The Second War Begins | Order of the Phoenix</t>
        </is>
      </c>
      <c r="H86" s="44" t="n">
        <v>0.0828125</v>
      </c>
      <c r="I86" s="45" t="n">
        <v>7105</v>
      </c>
      <c r="J86" s="45" t="n">
        <v>240</v>
      </c>
      <c r="K86" s="45" t="n">
        <v>48</v>
      </c>
      <c r="L86" s="46" t="n"/>
      <c r="M86" s="47" t="n"/>
      <c r="N86" s="47" t="inlineStr">
        <is>
          <t>UCEscP6ETYXWSSvsNrDHekMQ</t>
        </is>
      </c>
      <c r="O86" s="48" t="n">
        <v>46168.89583333334</v>
      </c>
      <c r="P86" s="49" t="n">
        <v>46168</v>
      </c>
      <c r="Q86" s="47" t="n">
        <v>3182</v>
      </c>
      <c r="R86" s="47" t="inlineStr">
        <is>
          <t>No Video ID yet</t>
        </is>
      </c>
      <c r="S86" s="49" t="n"/>
      <c r="T86" s="49" t="n"/>
      <c r="U86" s="47" t="inlineStr">
        <is>
          <t>Join J and Ben as they compete in a LIVE J vs Ben and dive BACK into Chapter 38, discussing Fudge’s “ABOUT DARN TIME” moment, hanging in the hospital wing, the wall between Harry and the rest of the world, but Hagrid, Luna and others trying to bridge the gap, and the train ride home (and finally Draco and his gang getting their comeuppance). Want to see us do this IN REAL LIFE? Get your Through the Griffin Tour Northeast Tickets Here:</t>
        </is>
      </c>
      <c r="V86" s="47">
        <f>IF(AND(P86&gt;=Calendar!$K$2,P86&lt;EDATE(Calendar!$K$2,1),OR(Calendar!$K$4="*",N86=Calendar!$K$4)),P86*100+COUNTIFS($P$6:$P$3267,P86,$Q$6:$Q$3267,"&lt;="&amp;Q86,$N$6:$N$3267,Calendar!$K$4),"")</f>
        <v/>
      </c>
      <c r="W86" s="47">
        <f>IF(AND(B86=Queue!$C$4,OR(Queue!$K$4="*",N86=Queue!$K$4)),Q86,"")</f>
        <v/>
      </c>
    </row>
    <row r="87">
      <c r="A87" s="38">
        <f>IF(M87="","",HYPERLINK("https://www.youtube.com/watch?v="&amp;M87,"▶"))</f>
        <v/>
      </c>
      <c r="B87" s="39">
        <f>IF(C87&lt;&gt;"",C87,IF(P87&lt;=IFERROR(INDEX(tblChannels[Watched Through],MATCH(N87,tblChannels[Channel ID],0)),0),"Watched","Unwatched"))</f>
        <v/>
      </c>
      <c r="C87" s="40" t="n"/>
      <c r="D87" s="41" t="n"/>
      <c r="E87" s="42" t="n">
        <v>46166.41666666666</v>
      </c>
      <c r="F87" s="51" t="inlineStr">
        <is>
          <t>Through The Griffin Door</t>
        </is>
      </c>
      <c r="G87" t="inlineStr">
        <is>
          <t>Chapter 38: The Second War Begins | Order of the Phoenix</t>
        </is>
      </c>
      <c r="H87" s="44" t="n">
        <v>0.08306712962962963</v>
      </c>
      <c r="I87" s="45" t="n">
        <v>41029</v>
      </c>
      <c r="J87" s="45" t="n">
        <v>1046</v>
      </c>
      <c r="K87" s="45" t="n">
        <v>399</v>
      </c>
      <c r="L87" s="46" t="n"/>
      <c r="M87" s="47" t="n"/>
      <c r="N87" s="47" t="inlineStr">
        <is>
          <t>UCEscP6ETYXWSSvsNrDHekMQ</t>
        </is>
      </c>
      <c r="O87" s="48" t="n">
        <v>46166.58333333334</v>
      </c>
      <c r="P87" s="49" t="n">
        <v>46166</v>
      </c>
      <c r="Q87" s="47" t="n">
        <v>3181</v>
      </c>
      <c r="R87" s="47" t="inlineStr">
        <is>
          <t>No Video ID yet</t>
        </is>
      </c>
      <c r="S87" s="49" t="n"/>
      <c r="T87" s="49" t="n"/>
      <c r="U87" s="47" t="inlineStr">
        <is>
          <t>Join J and Ben as they dive into Chapter 38 of the Order of the Phoenix and discuss the ministry finally (cowardly) telling the truth, the platinum sextants’ recovery progress, the confrontation with the “slug trio”, dumb points math, visiting Hagrid, finding the mirror (ughhh), talking to Nearly Headless Nick then Luna, the train ride home and the greeting squad at King’s Cross. Luna Lovegood is a Maladictus - youtube.com/watch?v=HQRg27GeNYw&amp;themeRefresh=1 05:30 - Chapter Breakdown 56:00 - Ad Break (Shopify) 57:15 - More Chapter Breakdown 1:48:54 - Closing Thoughts and Review</t>
        </is>
      </c>
      <c r="V87" s="47">
        <f>IF(AND(P87&gt;=Calendar!$K$2,P87&lt;EDATE(Calendar!$K$2,1),OR(Calendar!$K$4="*",N87=Calendar!$K$4)),P87*100+COUNTIFS($P$6:$P$3267,P87,$Q$6:$Q$3267,"&lt;="&amp;Q87,$N$6:$N$3267,Calendar!$K$4),"")</f>
        <v/>
      </c>
      <c r="W87" s="47">
        <f>IF(AND(B87=Queue!$C$4,OR(Queue!$K$4="*",N87=Queue!$K$4)),Q87,"")</f>
        <v/>
      </c>
    </row>
    <row r="88">
      <c r="A88" s="38">
        <f>IF(M88="","",HYPERLINK("https://www.youtube.com/watch?v="&amp;M88,"▶"))</f>
        <v/>
      </c>
      <c r="B88" s="39">
        <f>IF(C88&lt;&gt;"",C88,IF(P88&lt;=IFERROR(INDEX(tblChannels[Watched Through],MATCH(N88,tblChannels[Channel ID],0)),0),"Watched","Unwatched"))</f>
        <v/>
      </c>
      <c r="C88" s="40" t="n"/>
      <c r="D88" s="41" t="n"/>
      <c r="E88" s="42" t="n">
        <v>46164.625</v>
      </c>
      <c r="F88" s="50" t="inlineStr">
        <is>
          <t>Super Carlin Brothers</t>
        </is>
      </c>
      <c r="G88" t="inlineStr">
        <is>
          <t>Did Fiendfyre DESTROY the Room of Requirement?</t>
        </is>
      </c>
      <c r="H88" s="44" t="n">
        <v>0.009780092592592592</v>
      </c>
      <c r="I88" s="45" t="n">
        <v>78545</v>
      </c>
      <c r="J88" s="45" t="n">
        <v>3563</v>
      </c>
      <c r="K88" s="45" t="n">
        <v>477</v>
      </c>
      <c r="L88" s="46" t="n"/>
      <c r="M88" s="47" t="n"/>
      <c r="N88" s="47" t="inlineStr">
        <is>
          <t>UCKZo4N0lVPccBkSiuyVh4yg</t>
        </is>
      </c>
      <c r="O88" s="48" t="n">
        <v>46164.79166666666</v>
      </c>
      <c r="P88" s="49" t="n">
        <v>46164</v>
      </c>
      <c r="Q88" s="47" t="n">
        <v>3180</v>
      </c>
      <c r="R88" s="47" t="inlineStr">
        <is>
          <t>No Video ID yet</t>
        </is>
      </c>
      <c r="S88" s="49" t="n"/>
      <c r="T88" s="49" t="n"/>
      <c r="U88" s="47" t="inlineStr">
        <is>
          <t>This episode is sponsored by Raycon – Go to to get 15% off. This episode is sponsored by Better Help – Sign up and get 10% off at Today Ben dives into the wizarding world of Harry Potter and the flaming inferno of the Room of Requirement to try and find out what became of Hogwarts most magical room after Crabbe filled the room with Fiendfyre! How does the Room of Requirement Work? Does it still work? Today we find out! #harrypotter #supercarlinbrothers</t>
        </is>
      </c>
      <c r="V88" s="47">
        <f>IF(AND(P88&gt;=Calendar!$K$2,P88&lt;EDATE(Calendar!$K$2,1),OR(Calendar!$K$4="*",N88=Calendar!$K$4)),P88*100+COUNTIFS($P$6:$P$3267,P88,$Q$6:$Q$3267,"&lt;="&amp;Q88,$N$6:$N$3267,Calendar!$K$4),"")</f>
        <v/>
      </c>
      <c r="W88" s="47">
        <f>IF(AND(B88=Queue!$C$4,OR(Queue!$K$4="*",N88=Queue!$K$4)),Q88,"")</f>
        <v/>
      </c>
    </row>
    <row r="89">
      <c r="A89" s="38">
        <f>IF(M89="","",HYPERLINK("https://www.youtube.com/watch?v="&amp;M89,"▶"))</f>
        <v/>
      </c>
      <c r="B89" s="39">
        <f>IF(C89&lt;&gt;"",C89,IF(P89&lt;=IFERROR(INDEX(tblChannels[Watched Through],MATCH(N89,tblChannels[Channel ID],0)),0),"Watched","Unwatched"))</f>
        <v/>
      </c>
      <c r="C89" s="40" t="n"/>
      <c r="D89" s="41" t="n"/>
      <c r="E89" s="42" t="n">
        <v>46164.41666666666</v>
      </c>
      <c r="F89" s="43" t="inlineStr">
        <is>
          <t>Popcorn Culture</t>
        </is>
      </c>
      <c r="G89" t="inlineStr">
        <is>
          <t>The Beginning of the End | Popcorn Culture</t>
        </is>
      </c>
      <c r="H89" s="44" t="n">
        <v>0.04288194444444444</v>
      </c>
      <c r="I89" s="45" t="n">
        <v>2183</v>
      </c>
      <c r="J89" s="45" t="n">
        <v>123</v>
      </c>
      <c r="K89" s="45" t="n">
        <v>11</v>
      </c>
      <c r="L89" s="46" t="n"/>
      <c r="M89" s="47" t="n"/>
      <c r="N89" s="47" t="inlineStr">
        <is>
          <t>UCHfIbq9thHPC8yrKjAdJgDA</t>
        </is>
      </c>
      <c r="O89" s="48" t="n">
        <v>46164.58333333334</v>
      </c>
      <c r="P89" s="49" t="n">
        <v>46164</v>
      </c>
      <c r="Q89" s="47" t="n">
        <v>3179</v>
      </c>
      <c r="R89" s="47" t="inlineStr">
        <is>
          <t>No Video ID yet</t>
        </is>
      </c>
      <c r="S89" s="49" t="n"/>
      <c r="T89" s="49" t="n"/>
      <c r="U89" s="47" t="inlineStr">
        <is>
          <t>In the 337th episode of the Pop, Ben and J discuss a new psychology book, Mother’s Day, Famous Anthoy’s, routines, dirt logistics, and dead grass patches by the basketball hoop (but in a wholesome way). 00:00 - Intro, Reverse Psychology 02:13 - Mother’s Day 09:09 - Habit Training</t>
        </is>
      </c>
      <c r="V89" s="47">
        <f>IF(AND(P89&gt;=Calendar!$K$2,P89&lt;EDATE(Calendar!$K$2,1),OR(Calendar!$K$4="*",N89=Calendar!$K$4)),P89*100+COUNTIFS($P$6:$P$3267,P89,$Q$6:$Q$3267,"&lt;="&amp;Q89,$N$6:$N$3267,Calendar!$K$4),"")</f>
        <v/>
      </c>
      <c r="W89" s="47">
        <f>IF(AND(B89=Queue!$C$4,OR(Queue!$K$4="*",N89=Queue!$K$4)),Q89,"")</f>
        <v/>
      </c>
    </row>
    <row r="90">
      <c r="A90" s="38">
        <f>IF(M90="","",HYPERLINK("https://www.youtube.com/watch?v="&amp;M90,"▶"))</f>
        <v/>
      </c>
      <c r="B90" s="39">
        <f>IF(C90&lt;&gt;"",C90,IF(P90&lt;=IFERROR(INDEX(tblChannels[Watched Through],MATCH(N90,tblChannels[Channel ID],0)),0),"Watched","Unwatched"))</f>
        <v/>
      </c>
      <c r="C90" s="40" t="n"/>
      <c r="D90" s="41" t="n"/>
      <c r="E90" s="42" t="n">
        <v>46162.68194444444</v>
      </c>
      <c r="F90" s="50" t="inlineStr">
        <is>
          <t>Super Carlin Brothers</t>
        </is>
      </c>
      <c r="G90" t="inlineStr">
        <is>
          <t>How Well Do You REALLY Know Molly &amp; Arthur?</t>
        </is>
      </c>
      <c r="H90" s="44" t="n">
        <v>0.02572916666666667</v>
      </c>
      <c r="I90" s="45" t="n">
        <v>63662</v>
      </c>
      <c r="J90" s="45" t="n">
        <v>2590</v>
      </c>
      <c r="K90" s="45" t="n">
        <v>318</v>
      </c>
      <c r="L90" s="46" t="n"/>
      <c r="M90" s="47" t="n"/>
      <c r="N90" s="47" t="inlineStr">
        <is>
          <t>UCKZo4N0lVPccBkSiuyVh4yg</t>
        </is>
      </c>
      <c r="O90" s="48" t="n">
        <v>46162.84861111111</v>
      </c>
      <c r="P90" s="49" t="n">
        <v>46162</v>
      </c>
      <c r="Q90" s="47" t="n">
        <v>3178</v>
      </c>
      <c r="R90" s="47" t="inlineStr">
        <is>
          <t>No Video ID yet</t>
        </is>
      </c>
      <c r="S90" s="49" t="n"/>
      <c r="T90" s="49" t="n"/>
      <c r="U90" s="47" t="inlineStr">
        <is>
          <t>The Everyday Earbuds Classic are here to help you go for gold. Go to to get 15% off. Thanks Raycon for sponsoring! Today J and Ben face off once more to find out who knows more about the best parents in the Wizarding World Molly and Arthur Weasley! Who was the caretaker when they were at school? What is Arthur’s secret name for Molly? And what oh WHAT is Arthur’s dearest ambition!? ️ Through the Griffin Door LIVE Tour:: #harrypotter #jvsben Hosted by: Kat Stine</t>
        </is>
      </c>
      <c r="V90" s="47">
        <f>IF(AND(P90&gt;=Calendar!$K$2,P90&lt;EDATE(Calendar!$K$2,1),OR(Calendar!$K$4="*",N90=Calendar!$K$4)),P90*100+COUNTIFS($P$6:$P$3267,P90,$Q$6:$Q$3267,"&lt;="&amp;Q90,$N$6:$N$3267,Calendar!$K$4),"")</f>
        <v/>
      </c>
      <c r="W90" s="47">
        <f>IF(AND(B90=Queue!$C$4,OR(Queue!$K$4="*",N90=Queue!$K$4)),Q90,"")</f>
        <v/>
      </c>
    </row>
    <row r="91">
      <c r="A91" s="38">
        <f>IF(M91="","",HYPERLINK("https://www.youtube.com/watch?v="&amp;M91,"▶"))</f>
        <v/>
      </c>
      <c r="B91" s="39">
        <f>IF(C91&lt;&gt;"",C91,IF(P91&lt;=IFERROR(INDEX(tblChannels[Watched Through],MATCH(N91,tblChannels[Channel ID],0)),0),"Watched","Unwatched"))</f>
        <v/>
      </c>
      <c r="C91" s="40" t="n"/>
      <c r="D91" s="41" t="n"/>
      <c r="E91" s="42" t="n">
        <v>46160.70833333334</v>
      </c>
      <c r="F91" s="51" t="inlineStr">
        <is>
          <t>Through The Griffin Door</t>
        </is>
      </c>
      <c r="G91" t="inlineStr">
        <is>
          <t>LIVE in Houston - Chapter 37: The Lost Prophecy | Order of the Phoenix</t>
        </is>
      </c>
      <c r="H91" s="44" t="n">
        <v>0.08097222222222222</v>
      </c>
      <c r="I91" s="45" t="n">
        <v>7040</v>
      </c>
      <c r="J91" s="45" t="n">
        <v>233</v>
      </c>
      <c r="K91" s="45" t="n">
        <v>51</v>
      </c>
      <c r="L91" s="46" t="n"/>
      <c r="M91" s="47" t="n"/>
      <c r="N91" s="47" t="inlineStr">
        <is>
          <t>UCEscP6ETYXWSSvsNrDHekMQ</t>
        </is>
      </c>
      <c r="O91" s="48" t="n">
        <v>46160.875</v>
      </c>
      <c r="P91" s="49" t="n">
        <v>46160</v>
      </c>
      <c r="Q91" s="47" t="n">
        <v>3177</v>
      </c>
      <c r="R91" s="47" t="inlineStr">
        <is>
          <t>No Video ID yet</t>
        </is>
      </c>
      <c r="S91" s="49" t="n"/>
      <c r="T91" s="49" t="n"/>
      <c r="U91" s="47" t="inlineStr">
        <is>
          <t>Join J and Ben as they compete in a LIVE J vs Ben and dive BACK into Chapter 37, discussing the position of the sun, Harry not being angry enough and Dumbledore explaining why (aka his actual BIG PLAN). Want to see us do this IN REAL LIFE? Get your Through the Griffin Tour Northeast Tickets Here:</t>
        </is>
      </c>
      <c r="V91" s="47">
        <f>IF(AND(P91&gt;=Calendar!$K$2,P91&lt;EDATE(Calendar!$K$2,1),OR(Calendar!$K$4="*",N91=Calendar!$K$4)),P91*100+COUNTIFS($P$6:$P$3267,P91,$Q$6:$Q$3267,"&lt;="&amp;Q91,$N$6:$N$3267,Calendar!$K$4),"")</f>
        <v/>
      </c>
      <c r="W91" s="47">
        <f>IF(AND(B91=Queue!$C$4,OR(Queue!$K$4="*",N91=Queue!$K$4)),Q91,"")</f>
        <v/>
      </c>
    </row>
    <row r="92">
      <c r="A92" s="38">
        <f>IF(M92="","",HYPERLINK("https://www.youtube.com/watch?v="&amp;M92,"▶"))</f>
        <v/>
      </c>
      <c r="B92" s="39">
        <f>IF(C92&lt;&gt;"",C92,IF(P92&lt;=IFERROR(INDEX(tblChannels[Watched Through],MATCH(N92,tblChannels[Channel ID],0)),0),"Watched","Unwatched"))</f>
        <v/>
      </c>
      <c r="C92" s="40" t="n"/>
      <c r="D92" s="41" t="n"/>
      <c r="E92" s="42" t="n">
        <v>46160.69652777778</v>
      </c>
      <c r="F92" s="50" t="inlineStr">
        <is>
          <t>Super Carlin Brothers</t>
        </is>
      </c>
      <c r="G92" t="inlineStr">
        <is>
          <t>Can We Beat Our Old Selves?</t>
        </is>
      </c>
      <c r="H92" s="44" t="n">
        <v>0.03231481481481482</v>
      </c>
      <c r="I92" s="45" t="n">
        <v>97853</v>
      </c>
      <c r="J92" s="45" t="n">
        <v>3638</v>
      </c>
      <c r="K92" s="45" t="n">
        <v>386</v>
      </c>
      <c r="L92" s="46" t="n"/>
      <c r="M92" s="47" t="n"/>
      <c r="N92" s="47" t="inlineStr">
        <is>
          <t>UCKZo4N0lVPccBkSiuyVh4yg</t>
        </is>
      </c>
      <c r="O92" s="48" t="n">
        <v>46160.86319444444</v>
      </c>
      <c r="P92" s="49" t="n">
        <v>46160</v>
      </c>
      <c r="Q92" s="47" t="n">
        <v>3176</v>
      </c>
      <c r="R92" s="47" t="inlineStr">
        <is>
          <t>No Video ID yet</t>
        </is>
      </c>
      <c r="S92" s="49" t="n"/>
      <c r="T92" s="49" t="n"/>
      <c r="U92" s="47" t="inlineStr">
        <is>
          <t>Thank you Helix Sleep for sponsoring! Visit to take advantage of their Memorial Day Sale Exclusive Partner Offer and get 27% Off Sitewide! Today J and Ben face off against… themselves from the past! Today we are Time Turning all the way back to our first ever Harry Potter Quiz to see if we have gotten any smarter when it comes to Albus Dumbledore! Has our knowledge increase, or will our younger selves destroy us!? #harrypotter #dumbledore #jvsben Hosted by: Isybelle Christley (present) &amp; Beth Carlin (past)</t>
        </is>
      </c>
      <c r="V92" s="47">
        <f>IF(AND(P92&gt;=Calendar!$K$2,P92&lt;EDATE(Calendar!$K$2,1),OR(Calendar!$K$4="*",N92=Calendar!$K$4)),P92*100+COUNTIFS($P$6:$P$3267,P92,$Q$6:$Q$3267,"&lt;="&amp;Q92,$N$6:$N$3267,Calendar!$K$4),"")</f>
        <v/>
      </c>
      <c r="W92" s="47">
        <f>IF(AND(B92=Queue!$C$4,OR(Queue!$K$4="*",N92=Queue!$K$4)),Q92,"")</f>
        <v/>
      </c>
    </row>
    <row r="93">
      <c r="A93" s="38">
        <f>IF(M93="","",HYPERLINK("https://www.youtube.com/watch?v="&amp;M93,"▶"))</f>
        <v/>
      </c>
      <c r="B93" s="39">
        <f>IF(C93&lt;&gt;"",C93,IF(P93&lt;=IFERROR(INDEX(tblChannels[Watched Through],MATCH(N93,tblChannels[Channel ID],0)),0),"Watched","Unwatched"))</f>
        <v/>
      </c>
      <c r="C93" s="40" t="n"/>
      <c r="D93" s="41" t="n"/>
      <c r="E93" s="42" t="n">
        <v>46159.41666666666</v>
      </c>
      <c r="F93" s="51" t="inlineStr">
        <is>
          <t>Through The Griffin Door</t>
        </is>
      </c>
      <c r="G93" t="inlineStr">
        <is>
          <t>Chapter 37: The Lost Prophecy | Order of the Phoenix</t>
        </is>
      </c>
      <c r="H93" s="44" t="n">
        <v>0.09283564814814815</v>
      </c>
      <c r="I93" s="45" t="n">
        <v>44658</v>
      </c>
      <c r="J93" s="45" t="n">
        <v>1108</v>
      </c>
      <c r="K93" s="45" t="n">
        <v>350</v>
      </c>
      <c r="L93" s="46" t="n"/>
      <c r="M93" s="47" t="n"/>
      <c r="N93" s="47" t="inlineStr">
        <is>
          <t>UCEscP6ETYXWSSvsNrDHekMQ</t>
        </is>
      </c>
      <c r="O93" s="48" t="n">
        <v>46159.58333333334</v>
      </c>
      <c r="P93" s="49" t="n">
        <v>46159</v>
      </c>
      <c r="Q93" s="47" t="n">
        <v>3175</v>
      </c>
      <c r="R93" s="47" t="inlineStr">
        <is>
          <t>No Video ID yet</t>
        </is>
      </c>
      <c r="S93" s="49" t="n"/>
      <c r="T93" s="49" t="n"/>
      <c r="U93" s="47" t="inlineStr">
        <is>
          <t>This episode is sponsored by KiwiCo - Get $10 off on your Summer Adventure Series at kiwico.com/SUMMER, promo code GRIFFIN. Join J and Ben as they dive into Chapter 37 of the Order of the Phoenix and discuss Harry facing the grief alone and possibly how the Horcrux in him reacts, Dumbledore’s lengthy explanation of “an old man’s mistakes”, and the actual contents of the Prophecy. A Goofy Movie - Emperor’s New Groove - What If Ron Was In Hufflepuff? - 05:30 - Chapter Breakdown 1:19:06 - Ad Break (KiwiCo) 1:20:29 - More Chapter Breakdown</t>
        </is>
      </c>
      <c r="V93" s="47">
        <f>IF(AND(P93&gt;=Calendar!$K$2,P93&lt;EDATE(Calendar!$K$2,1),OR(Calendar!$K$4="*",N93=Calendar!$K$4)),P93*100+COUNTIFS($P$6:$P$3267,P93,$Q$6:$Q$3267,"&lt;="&amp;Q93,$N$6:$N$3267,Calendar!$K$4),"")</f>
        <v/>
      </c>
      <c r="W93" s="47">
        <f>IF(AND(B93=Queue!$C$4,OR(Queue!$K$4="*",N93=Queue!$K$4)),Q93,"")</f>
        <v/>
      </c>
    </row>
    <row r="94">
      <c r="A94" s="38">
        <f>IF(M94="","",HYPERLINK("https://www.youtube.com/watch?v="&amp;M94,"▶"))</f>
        <v/>
      </c>
      <c r="B94" s="39">
        <f>IF(C94&lt;&gt;"",C94,IF(P94&lt;=IFERROR(INDEX(tblChannels[Watched Through],MATCH(N94,tblChannels[Channel ID],0)),0),"Watched","Unwatched"))</f>
        <v/>
      </c>
      <c r="C94" s="40" t="n"/>
      <c r="D94" s="41" t="n"/>
      <c r="E94" s="42" t="n">
        <v>46157.68402777778</v>
      </c>
      <c r="F94" s="50" t="inlineStr">
        <is>
          <t>Super Carlin Brothers</t>
        </is>
      </c>
      <c r="G94" t="inlineStr">
        <is>
          <t>This Voldemort Theory Is WAY Too Dark</t>
        </is>
      </c>
      <c r="H94" s="44" t="n">
        <v>0.01153935185185185</v>
      </c>
      <c r="I94" s="45" t="n">
        <v>340843</v>
      </c>
      <c r="J94" s="45" t="n">
        <v>10526</v>
      </c>
      <c r="K94" s="45" t="n">
        <v>911</v>
      </c>
      <c r="L94" s="46" t="n"/>
      <c r="M94" s="47" t="n"/>
      <c r="N94" s="47" t="inlineStr">
        <is>
          <t>UCKZo4N0lVPccBkSiuyVh4yg</t>
        </is>
      </c>
      <c r="O94" s="48" t="n">
        <v>46157.85069444445</v>
      </c>
      <c r="P94" s="49" t="n">
        <v>46157</v>
      </c>
      <c r="Q94" s="47" t="n">
        <v>3174</v>
      </c>
      <c r="R94" s="47" t="inlineStr">
        <is>
          <t>No Video ID yet</t>
        </is>
      </c>
      <c r="S94" s="49" t="n"/>
      <c r="T94" s="49" t="n"/>
      <c r="U94" s="47" t="inlineStr">
        <is>
          <t>The Everyday Earbuds Classic are here to help get outside and LOCK IN - Go to to get 15% off. Thanks Raycon for sponsoring! What exactly WAS Voldemort’s terrifying baby-like body in Goblet of Fire… and how did he create it before his rebirth ritual? Today, J dive into one of the darkest Harry Potter theories we’ve ever covered: exploring the disturbing connection between Bertha Jorkins, Nagini, unicorn blood, and Voldemort’s horrifying temporary form. Did Voldemort create a body for himself long before the graveyard resurrection? And if so… what/who did it cost? #harrypotter #voldemort</t>
        </is>
      </c>
      <c r="V94" s="47">
        <f>IF(AND(P94&gt;=Calendar!$K$2,P94&lt;EDATE(Calendar!$K$2,1),OR(Calendar!$K$4="*",N94=Calendar!$K$4)),P94*100+COUNTIFS($P$6:$P$3267,P94,$Q$6:$Q$3267,"&lt;="&amp;Q94,$N$6:$N$3267,Calendar!$K$4),"")</f>
        <v/>
      </c>
      <c r="W94" s="47">
        <f>IF(AND(B94=Queue!$C$4,OR(Queue!$K$4="*",N94=Queue!$K$4)),Q94,"")</f>
        <v/>
      </c>
    </row>
    <row r="95">
      <c r="A95" s="38">
        <f>IF(M95="","",HYPERLINK("https://www.youtube.com/watch?v="&amp;M95,"▶"))</f>
        <v/>
      </c>
      <c r="B95" s="39">
        <f>IF(C95&lt;&gt;"",C95,IF(P95&lt;=IFERROR(INDEX(tblChannels[Watched Through],MATCH(N95,tblChannels[Channel ID],0)),0),"Watched","Unwatched"))</f>
        <v/>
      </c>
      <c r="C95" s="40" t="n"/>
      <c r="D95" s="41" t="n"/>
      <c r="E95" s="42" t="n">
        <v>46157.41666666666</v>
      </c>
      <c r="F95" s="43" t="inlineStr">
        <is>
          <t>Popcorn Culture</t>
        </is>
      </c>
      <c r="G95" t="inlineStr">
        <is>
          <t>The Button Experiment | Popcorn Culture</t>
        </is>
      </c>
      <c r="H95" s="44" t="n">
        <v>0.04542824074074074</v>
      </c>
      <c r="I95" s="45" t="n">
        <v>2116</v>
      </c>
      <c r="J95" s="45" t="n">
        <v>110</v>
      </c>
      <c r="K95" s="45" t="n">
        <v>16</v>
      </c>
      <c r="L95" s="46" t="n"/>
      <c r="M95" s="47" t="n"/>
      <c r="N95" s="47" t="inlineStr">
        <is>
          <t>UCHfIbq9thHPC8yrKjAdJgDA</t>
        </is>
      </c>
      <c r="O95" s="48" t="n">
        <v>46157.58333333334</v>
      </c>
      <c r="P95" s="49" t="n">
        <v>46157</v>
      </c>
      <c r="Q95" s="47" t="n">
        <v>3173</v>
      </c>
      <c r="R95" s="47" t="inlineStr">
        <is>
          <t>No Video ID yet</t>
        </is>
      </c>
      <c r="S95" s="49" t="n"/>
      <c r="T95" s="49" t="n"/>
      <c r="U95" s="47" t="inlineStr">
        <is>
          <t>Ben and J discuss being ahead, J’s triathlon, an interesting thought experiment, The Onion, Hügelkultur and an F1 update. Relevant Links The Onion - Alternate Title: Hügelkultur 00:00 - Intro, Getting Ahead 02:54 - J’s Triathlon 26:17 - The Button Experiment 41:25 - The Onion 52:22 - Hügelkultur</t>
        </is>
      </c>
      <c r="V95" s="47">
        <f>IF(AND(P95&gt;=Calendar!$K$2,P95&lt;EDATE(Calendar!$K$2,1),OR(Calendar!$K$4="*",N95=Calendar!$K$4)),P95*100+COUNTIFS($P$6:$P$3267,P95,$Q$6:$Q$3267,"&lt;="&amp;Q95,$N$6:$N$3267,Calendar!$K$4),"")</f>
        <v/>
      </c>
      <c r="W95" s="47">
        <f>IF(AND(B95=Queue!$C$4,OR(Queue!$K$4="*",N95=Queue!$K$4)),Q95,"")</f>
        <v/>
      </c>
    </row>
    <row r="96">
      <c r="A96" s="38">
        <f>IF(M96="","",HYPERLINK("https://www.youtube.com/watch?v="&amp;M96,"▶"))</f>
        <v/>
      </c>
      <c r="B96" s="39">
        <f>IF(C96&lt;&gt;"",C96,IF(P96&lt;=IFERROR(INDEX(tblChannels[Watched Through],MATCH(N96,tblChannels[Channel ID],0)),0),"Watched","Unwatched"))</f>
        <v/>
      </c>
      <c r="C96" s="40" t="n"/>
      <c r="D96" s="41" t="n"/>
      <c r="E96" s="42" t="n">
        <v>46155.68402777778</v>
      </c>
      <c r="F96" s="50" t="inlineStr">
        <is>
          <t>Super Carlin Brothers</t>
        </is>
      </c>
      <c r="G96" t="inlineStr">
        <is>
          <t>Who REALLY Would’ve Won the Triwizard Tournament?</t>
        </is>
      </c>
      <c r="H96" s="44" t="n">
        <v>0.01282407407407407</v>
      </c>
      <c r="I96" s="45" t="n">
        <v>171352</v>
      </c>
      <c r="J96" s="45" t="n">
        <v>5096</v>
      </c>
      <c r="K96" s="45" t="n">
        <v>674</v>
      </c>
      <c r="L96" s="46" t="n"/>
      <c r="M96" s="47" t="n"/>
      <c r="N96" s="47" t="inlineStr">
        <is>
          <t>UCKZo4N0lVPccBkSiuyVh4yg</t>
        </is>
      </c>
      <c r="O96" s="48" t="n">
        <v>46155.85069444445</v>
      </c>
      <c r="P96" s="49" t="n">
        <v>46155</v>
      </c>
      <c r="Q96" s="47" t="n">
        <v>3172</v>
      </c>
      <c r="R96" s="47" t="inlineStr">
        <is>
          <t>No Video ID yet</t>
        </is>
      </c>
      <c r="S96" s="49" t="n"/>
      <c r="T96" s="49" t="n"/>
      <c r="U96" s="47" t="inlineStr">
        <is>
          <t>This show is sponsored by BetterHelp. Go to for 10% off your first month. What if Harry Potter was NEVER entered into the Triwizard Tournament? Without Barty Crouch Jr rigging the competition from behind the scenes… who ACTUALLY wins? Cedric Diggory? Viktor Krum? Or Fleur Delacour? Today we break down every task of the Triwizard Tournament to determine who the TRUE Triwizard Champion would have been in a “fair” competition.</t>
        </is>
      </c>
      <c r="V96" s="47">
        <f>IF(AND(P96&gt;=Calendar!$K$2,P96&lt;EDATE(Calendar!$K$2,1),OR(Calendar!$K$4="*",N96=Calendar!$K$4)),P96*100+COUNTIFS($P$6:$P$3267,P96,$Q$6:$Q$3267,"&lt;="&amp;Q96,$N$6:$N$3267,Calendar!$K$4),"")</f>
        <v/>
      </c>
      <c r="W96" s="47">
        <f>IF(AND(B96=Queue!$C$4,OR(Queue!$K$4="*",N96=Queue!$K$4)),Q96,"")</f>
        <v/>
      </c>
    </row>
    <row r="97">
      <c r="A97" s="38">
        <f>IF(M97="","",HYPERLINK("https://www.youtube.com/watch?v="&amp;M97,"▶"))</f>
        <v/>
      </c>
      <c r="B97" s="39">
        <f>IF(C97&lt;&gt;"",C97,IF(P97&lt;=IFERROR(INDEX(tblChannels[Watched Through],MATCH(N97,tblChannels[Channel ID],0)),0),"Watched","Unwatched"))</f>
        <v/>
      </c>
      <c r="C97" s="40" t="n"/>
      <c r="D97" s="41" t="n"/>
      <c r="E97" s="42" t="n">
        <v>46153.70833333334</v>
      </c>
      <c r="F97" s="51" t="inlineStr">
        <is>
          <t>Through The Griffin Door</t>
        </is>
      </c>
      <c r="G97" t="inlineStr">
        <is>
          <t>LIVE in Phoenix - Chapter 36: The Only One He Ever Feared | Order of the Phoenix</t>
        </is>
      </c>
      <c r="H97" s="44" t="n">
        <v>0.07519675925925925</v>
      </c>
      <c r="I97" s="45" t="n">
        <v>7736</v>
      </c>
      <c r="J97" s="45" t="n">
        <v>285</v>
      </c>
      <c r="K97" s="45" t="n">
        <v>55</v>
      </c>
      <c r="L97" s="46" t="n"/>
      <c r="M97" s="47" t="n"/>
      <c r="N97" s="47" t="inlineStr">
        <is>
          <t>UCEscP6ETYXWSSvsNrDHekMQ</t>
        </is>
      </c>
      <c r="O97" s="48" t="n">
        <v>46153.875</v>
      </c>
      <c r="P97" s="49" t="n">
        <v>46153</v>
      </c>
      <c r="Q97" s="47" t="n">
        <v>3171</v>
      </c>
      <c r="R97" s="47" t="inlineStr">
        <is>
          <t>No Video ID yet</t>
        </is>
      </c>
      <c r="S97" s="49" t="n"/>
      <c r="T97" s="49" t="n"/>
      <c r="U97" s="47" t="inlineStr">
        <is>
          <t>Join J and Ben as they compete in a LIVE J vs Ben and dive BACK into Chapter 36, discussing Harry’s obvious stages of grief, power math, the idiocy of Voldemort’s plan, the epic battle between Dumbledore and Voldemort, Harry being possessed and the ministry FINALLY seeing sense. Want to see us do this IN REAL LIFE? Get your Trash Pandas Tickets Here: OR get your Through the Griffin Tour Northeast Tickets Here:</t>
        </is>
      </c>
      <c r="V97" s="47">
        <f>IF(AND(P97&gt;=Calendar!$K$2,P97&lt;EDATE(Calendar!$K$2,1),OR(Calendar!$K$4="*",N97=Calendar!$K$4)),P97*100+COUNTIFS($P$6:$P$3267,P97,$Q$6:$Q$3267,"&lt;="&amp;Q97,$N$6:$N$3267,Calendar!$K$4),"")</f>
        <v/>
      </c>
      <c r="W97" s="47">
        <f>IF(AND(B97=Queue!$C$4,OR(Queue!$K$4="*",N97=Queue!$K$4)),Q97,"")</f>
        <v/>
      </c>
    </row>
    <row r="98">
      <c r="A98" s="38">
        <f>IF(M98="","",HYPERLINK("https://www.youtube.com/watch?v="&amp;M98,"▶"))</f>
        <v/>
      </c>
      <c r="B98" s="39">
        <f>IF(C98&lt;&gt;"",C98,IF(P98&lt;=IFERROR(INDEX(tblChannels[Watched Through],MATCH(N98,tblChannels[Channel ID],0)),0),"Watched","Unwatched"))</f>
        <v/>
      </c>
      <c r="C98" s="40" t="n"/>
      <c r="D98" s="41" t="n"/>
      <c r="E98" s="42" t="n">
        <v>46152.41736111111</v>
      </c>
      <c r="F98" s="51" t="inlineStr">
        <is>
          <t>Through The Griffin Door</t>
        </is>
      </c>
      <c r="G98" t="inlineStr">
        <is>
          <t>Chapter 36: The Only One He Ever Feared | Order of the Phoenix</t>
        </is>
      </c>
      <c r="H98" s="44" t="n">
        <v>0.06488425925925925</v>
      </c>
      <c r="I98" s="45" t="n">
        <v>35633</v>
      </c>
      <c r="J98" s="45" t="n">
        <v>1019</v>
      </c>
      <c r="K98" s="45" t="n">
        <v>352</v>
      </c>
      <c r="L98" s="46" t="n"/>
      <c r="M98" s="47" t="n"/>
      <c r="N98" s="47" t="inlineStr">
        <is>
          <t>UCEscP6ETYXWSSvsNrDHekMQ</t>
        </is>
      </c>
      <c r="O98" s="48" t="n">
        <v>46152.58402777778</v>
      </c>
      <c r="P98" s="49" t="n">
        <v>46152</v>
      </c>
      <c r="Q98" s="47" t="n">
        <v>3170</v>
      </c>
      <c r="R98" s="47" t="inlineStr">
        <is>
          <t>No Video ID yet</t>
        </is>
      </c>
      <c r="S98" s="49" t="n"/>
      <c r="T98" s="49" t="n"/>
      <c r="U98" s="47" t="inlineStr">
        <is>
          <t>This episode is sponsored by AuraFrames - Exclusive $25 off Carver Mat at Promo Code GRIFFIN Join J and Ben as they dive into Chapter 36 of the Order of the Phoenix and discuss Lupin’s loss, the five stages of grief, Dumbledore’s control of the Elder Wand, Bellatrix’s raw power, Voldemort arriving, the most creative, inventive battle in the whole series, Harry being possessed and Dumbledore taking charge. Was Ginny the TRUE Master of Harry’s Wand? - The DARK TRUTH Behind the Fountain of Magical Brethren - Harry IS The Philosopher’s Stone - 08:21 - Chapter Breakdown 31:29 - Ad Break (Shopify and Aura Frames) 34:08- More Chapter Breakdown 1:25:22- Closing Thoughts and Review</t>
        </is>
      </c>
      <c r="V98" s="47">
        <f>IF(AND(P98&gt;=Calendar!$K$2,P98&lt;EDATE(Calendar!$K$2,1),OR(Calendar!$K$4="*",N98=Calendar!$K$4)),P98*100+COUNTIFS($P$6:$P$3267,P98,$Q$6:$Q$3267,"&lt;="&amp;Q98,$N$6:$N$3267,Calendar!$K$4),"")</f>
        <v/>
      </c>
      <c r="W98" s="47">
        <f>IF(AND(B98=Queue!$C$4,OR(Queue!$K$4="*",N98=Queue!$K$4)),Q98,"")</f>
        <v/>
      </c>
    </row>
    <row r="99">
      <c r="A99" s="38">
        <f>IF(M99="","",HYPERLINK("https://www.youtube.com/watch?v="&amp;M99,"▶"))</f>
        <v/>
      </c>
      <c r="B99" s="39">
        <f>IF(C99&lt;&gt;"",C99,IF(P99&lt;=IFERROR(INDEX(tblChannels[Watched Through],MATCH(N99,tblChannels[Channel ID],0)),0),"Watched","Unwatched"))</f>
        <v/>
      </c>
      <c r="C99" s="40" t="n"/>
      <c r="D99" s="41" t="n"/>
      <c r="E99" s="42" t="n">
        <v>46150.63333333333</v>
      </c>
      <c r="F99" s="50" t="inlineStr">
        <is>
          <t>Super Carlin Brothers</t>
        </is>
      </c>
      <c r="G99" t="inlineStr">
        <is>
          <t>Why Harry Chose Sirius Over Lupin</t>
        </is>
      </c>
      <c r="H99" s="44" t="n">
        <v>0.01011574074074074</v>
      </c>
      <c r="I99" s="45" t="n">
        <v>69864</v>
      </c>
      <c r="J99" s="45" t="n">
        <v>3184</v>
      </c>
      <c r="K99" s="45" t="n">
        <v>296</v>
      </c>
      <c r="L99" s="46" t="n"/>
      <c r="M99" s="47" t="n"/>
      <c r="N99" s="47" t="inlineStr">
        <is>
          <t>UCKZo4N0lVPccBkSiuyVh4yg</t>
        </is>
      </c>
      <c r="O99" s="48" t="n">
        <v>46150.8</v>
      </c>
      <c r="P99" s="49" t="n">
        <v>46150</v>
      </c>
      <c r="Q99" s="47" t="n">
        <v>3169</v>
      </c>
      <c r="R99" s="47" t="inlineStr">
        <is>
          <t>No Video ID yet</t>
        </is>
      </c>
      <c r="S99" s="49" t="n"/>
      <c r="T99" s="49" t="n"/>
      <c r="U99" s="47" t="inlineStr">
        <is>
          <t>This show is sponsored by Better Help - Sign up and get 10% off at Harry Potter had TWO surviving connections to his parents after Prisoner of Azkaban: Sirius Black and Remus Lupin. So why does Harry almost immediately turn to Sirius for help… while Lupin fades into the background? Today we explore one of the saddest relationship dynamics in the entire Harry Potter series — and why Lupin may have unintentionally taught Harry not to rely on him. From Goblet of Fire to Order of the Phoenix, the difference between Sirius and Lupin comes down to one thing: Availability vs vulnerability. #HarryPotter #SuperCarlinBrothers #RemusLupin #SiriusBlack</t>
        </is>
      </c>
      <c r="V99" s="47">
        <f>IF(AND(P99&gt;=Calendar!$K$2,P99&lt;EDATE(Calendar!$K$2,1),OR(Calendar!$K$4="*",N99=Calendar!$K$4)),P99*100+COUNTIFS($P$6:$P$3267,P99,$Q$6:$Q$3267,"&lt;="&amp;Q99,$N$6:$N$3267,Calendar!$K$4),"")</f>
        <v/>
      </c>
      <c r="W99" s="47">
        <f>IF(AND(B99=Queue!$C$4,OR(Queue!$K$4="*",N99=Queue!$K$4)),Q99,"")</f>
        <v/>
      </c>
    </row>
    <row r="100">
      <c r="A100" s="38">
        <f>IF(M100="","",HYPERLINK("https://www.youtube.com/watch?v="&amp;M100,"▶"))</f>
        <v/>
      </c>
      <c r="B100" s="39">
        <f>IF(C100&lt;&gt;"",C100,IF(P100&lt;=IFERROR(INDEX(tblChannels[Watched Through],MATCH(N100,tblChannels[Channel ID],0)),0),"Watched","Unwatched"))</f>
        <v/>
      </c>
      <c r="C100" s="40" t="n"/>
      <c r="D100" s="41" t="n"/>
      <c r="E100" s="42" t="n">
        <v>46150.41666666666</v>
      </c>
      <c r="F100" s="43" t="inlineStr">
        <is>
          <t>Popcorn Culture</t>
        </is>
      </c>
      <c r="G100" t="inlineStr">
        <is>
          <t>How To Fix The World | Popcorn Culture</t>
        </is>
      </c>
      <c r="H100" s="44" t="n">
        <v>0.04258101851851852</v>
      </c>
      <c r="I100" s="45" t="n">
        <v>2143</v>
      </c>
      <c r="J100" s="45" t="n">
        <v>112</v>
      </c>
      <c r="K100" s="45" t="n">
        <v>26</v>
      </c>
      <c r="L100" s="46" t="n"/>
      <c r="M100" s="47" t="n"/>
      <c r="N100" s="47" t="inlineStr">
        <is>
          <t>UCHfIbq9thHPC8yrKjAdJgDA</t>
        </is>
      </c>
      <c r="O100" s="48" t="n">
        <v>46150.58333333334</v>
      </c>
      <c r="P100" s="49" t="n">
        <v>46150</v>
      </c>
      <c r="Q100" s="47" t="n">
        <v>3168</v>
      </c>
      <c r="R100" s="47" t="inlineStr">
        <is>
          <t>No Video ID yet</t>
        </is>
      </c>
      <c r="S100" s="49" t="n"/>
      <c r="T100" s="49" t="n"/>
      <c r="U100" s="47" t="inlineStr">
        <is>
          <t>In episode 335 of the Pop, Ben and J discuss J’s new glow, independence vs dependence and collectivism vs individualism.</t>
        </is>
      </c>
      <c r="V100" s="47">
        <f>IF(AND(P100&gt;=Calendar!$K$2,P100&lt;EDATE(Calendar!$K$2,1),OR(Calendar!$K$4="*",N100=Calendar!$K$4)),P100*100+COUNTIFS($P$6:$P$3267,P100,$Q$6:$Q$3267,"&lt;="&amp;Q100,$N$6:$N$3267,Calendar!$K$4),"")</f>
        <v/>
      </c>
      <c r="W100" s="47">
        <f>IF(AND(B100=Queue!$C$4,OR(Queue!$K$4="*",N100=Queue!$K$4)),Q100,"")</f>
        <v/>
      </c>
    </row>
    <row r="101">
      <c r="A101" s="38">
        <f>IF(M101="","",HYPERLINK("https://www.youtube.com/watch?v="&amp;M101,"▶"))</f>
        <v/>
      </c>
      <c r="B101" s="39">
        <f>IF(C101&lt;&gt;"",C101,IF(P101&lt;=IFERROR(INDEX(tblChannels[Watched Through],MATCH(N101,tblChannels[Channel ID],0)),0),"Watched","Unwatched"))</f>
        <v/>
      </c>
      <c r="C101" s="40" t="n"/>
      <c r="D101" s="41" t="n"/>
      <c r="E101" s="42" t="n">
        <v>46148.72430555556</v>
      </c>
      <c r="F101" s="50" t="inlineStr">
        <is>
          <t>Super Carlin Brothers</t>
        </is>
      </c>
      <c r="G101" t="inlineStr">
        <is>
          <t>Can We Pass This BRUTAL Mauraders Quiz?! | J vs Ben</t>
        </is>
      </c>
      <c r="H101" s="44" t="n">
        <v>0.02806712962962963</v>
      </c>
      <c r="I101" s="45" t="n">
        <v>73045</v>
      </c>
      <c r="J101" s="45" t="n">
        <v>2654</v>
      </c>
      <c r="K101" s="45" t="n">
        <v>263</v>
      </c>
      <c r="L101" s="46" t="n"/>
      <c r="M101" s="47" t="n"/>
      <c r="N101" s="47" t="inlineStr">
        <is>
          <t>UCKZo4N0lVPccBkSiuyVh4yg</t>
        </is>
      </c>
      <c r="O101" s="48" t="n">
        <v>46148.89097222222</v>
      </c>
      <c r="P101" s="49" t="n">
        <v>46148</v>
      </c>
      <c r="Q101" s="47" t="n">
        <v>3167</v>
      </c>
      <c r="R101" s="47" t="inlineStr">
        <is>
          <t>No Video ID yet</t>
        </is>
      </c>
      <c r="S101" s="49" t="n"/>
      <c r="T101" s="49" t="n"/>
      <c r="U101" s="47" t="inlineStr">
        <is>
          <t>This show is sponsored by Aura Frames - Exclusive $25-off Carver Mat at with promo Code SCB. This show is sponsored by Raycon - Go to buyracon.com/jvsb to get 15% off your order. This show is sponsored by Factor - Head to factormeals.com/jvsb50off and use code jvsb50off to get 50 percent off and free daily greens per box. And check out J’s favorite meal! - Today J and Ben face off in a BRUTALLY difficult Marauders Harry Potter Trivia Quiz to find out who knows James Potter, Sirius Black, Remus Lupin and Peter Pettigrew (ew) the best! Special thanks to these Quiz Masters: LawNinja, Bunny, Drawing Xaos, Tara Walker, TrexDog, Kat Holmes, Michelle G., Kaz Hogg, Big D., Oryan’s Wizard Parts, GooeyChewie, Katrina(aaah!), Tegan Steffen, Storm, Bradferd, Bem’s Half Brother, CraftyLiz, Matthew Loveday, Rachel Fountain, Boullion Cube, Nick Dyal, Hermione Baggins, and magicalmisfires 🎟️ Through the Griffin Door LIVE Tour</t>
        </is>
      </c>
      <c r="V101" s="47">
        <f>IF(AND(P101&gt;=Calendar!$K$2,P101&lt;EDATE(Calendar!$K$2,1),OR(Calendar!$K$4="*",N101=Calendar!$K$4)),P101*100+COUNTIFS($P$6:$P$3267,P101,$Q$6:$Q$3267,"&lt;="&amp;Q101,$N$6:$N$3267,Calendar!$K$4),"")</f>
        <v/>
      </c>
      <c r="W101" s="47">
        <f>IF(AND(B101=Queue!$C$4,OR(Queue!$K$4="*",N101=Queue!$K$4)),Q101,"")</f>
        <v/>
      </c>
    </row>
    <row r="102">
      <c r="A102" s="38">
        <f>IF(M102="","",HYPERLINK("https://www.youtube.com/watch?v="&amp;M102,"▶"))</f>
        <v/>
      </c>
      <c r="B102" s="39">
        <f>IF(C102&lt;&gt;"",C102,IF(P102&lt;=IFERROR(INDEX(tblChannels[Watched Through],MATCH(N102,tblChannels[Channel ID],0)),0),"Watched","Unwatched"))</f>
        <v/>
      </c>
      <c r="C102" s="40" t="n"/>
      <c r="D102" s="41" t="n"/>
      <c r="E102" s="42" t="n">
        <v>46146.70833333334</v>
      </c>
      <c r="F102" s="51" t="inlineStr">
        <is>
          <t>Through The Griffin Door</t>
        </is>
      </c>
      <c r="G102" t="inlineStr">
        <is>
          <t>LIVE in Las Vegas - Chapter 35: Beyond the Veil | Order of the Phoenix</t>
        </is>
      </c>
      <c r="H102" s="44" t="n">
        <v>0.0862037037037037</v>
      </c>
      <c r="I102" s="45" t="n">
        <v>7030</v>
      </c>
      <c r="J102" s="45" t="n">
        <v>259</v>
      </c>
      <c r="K102" s="45" t="n">
        <v>75</v>
      </c>
      <c r="L102" s="46" t="n"/>
      <c r="M102" s="47" t="n"/>
      <c r="N102" s="47" t="inlineStr">
        <is>
          <t>UCEscP6ETYXWSSvsNrDHekMQ</t>
        </is>
      </c>
      <c r="O102" s="48" t="n">
        <v>46146.875</v>
      </c>
      <c r="P102" s="49" t="n">
        <v>46146</v>
      </c>
      <c r="Q102" s="47" t="n">
        <v>3166</v>
      </c>
      <c r="R102" s="47" t="inlineStr">
        <is>
          <t>No Video ID yet</t>
        </is>
      </c>
      <c r="S102" s="49" t="n"/>
      <c r="T102" s="49" t="n"/>
      <c r="U102" s="47" t="inlineStr">
        <is>
          <t>Join J and Ben as they compete in a LIVE J vs Ben and dive BACK into Chapter 35, giving a SPOT ON Bellatrix impression, discussing cool Avengers moments, Lucius MONOLOGUING, the various DA adventures when they’re separated, and finally the death of Sirius… IN COUNTRY ACCENTS! Want to see us do this IN REAL LIFE? Get your Trash Pandas Tickets Here: OR get your Through the Griffin Tour Northeast Tickets Here:</t>
        </is>
      </c>
      <c r="V102" s="47">
        <f>IF(AND(P102&gt;=Calendar!$K$2,P102&lt;EDATE(Calendar!$K$2,1),OR(Calendar!$K$4="*",N102=Calendar!$K$4)),P102*100+COUNTIFS($P$6:$P$3267,P102,$Q$6:$Q$3267,"&lt;="&amp;Q102,$N$6:$N$3267,Calendar!$K$4),"")</f>
        <v/>
      </c>
      <c r="W102" s="47">
        <f>IF(AND(B102=Queue!$C$4,OR(Queue!$K$4="*",N102=Queue!$K$4)),Q102,"")</f>
        <v/>
      </c>
    </row>
    <row r="103">
      <c r="A103" s="38">
        <f>IF(M103="","",HYPERLINK("https://www.youtube.com/watch?v="&amp;M103,"▶"))</f>
        <v/>
      </c>
      <c r="B103" s="39">
        <f>IF(C103&lt;&gt;"",C103,IF(P103&lt;=IFERROR(INDEX(tblChannels[Watched Through],MATCH(N103,tblChannels[Channel ID],0)),0),"Watched","Unwatched"))</f>
        <v/>
      </c>
      <c r="C103" s="40" t="n"/>
      <c r="D103" s="41" t="n"/>
      <c r="E103" s="42" t="n">
        <v>46145.41666666666</v>
      </c>
      <c r="F103" s="51" t="inlineStr">
        <is>
          <t>Through The Griffin Door</t>
        </is>
      </c>
      <c r="G103" t="inlineStr">
        <is>
          <t>Chapter 35: Beyond the Veil | Order of the Phoenix</t>
        </is>
      </c>
      <c r="H103" s="44" t="n">
        <v>0.07930555555555556</v>
      </c>
      <c r="I103" s="45" t="n">
        <v>37621</v>
      </c>
      <c r="J103" s="45" t="n">
        <v>1044</v>
      </c>
      <c r="K103" s="45" t="n">
        <v>349</v>
      </c>
      <c r="L103" s="46" t="n"/>
      <c r="M103" s="47" t="n"/>
      <c r="N103" s="47" t="inlineStr">
        <is>
          <t>UCEscP6ETYXWSSvsNrDHekMQ</t>
        </is>
      </c>
      <c r="O103" s="48" t="n">
        <v>46145.58333333334</v>
      </c>
      <c r="P103" s="49" t="n">
        <v>46145</v>
      </c>
      <c r="Q103" s="47" t="n">
        <v>3165</v>
      </c>
      <c r="R103" s="47" t="inlineStr">
        <is>
          <t>No Video ID yet</t>
        </is>
      </c>
      <c r="S103" s="49" t="n"/>
      <c r="T103" s="49" t="n"/>
      <c r="U103" s="47" t="inlineStr">
        <is>
          <t>This episode is sponsored by AuraFrames - Exclusive $25 off Carver Mat at Promo Code GRIFFIN Join J and Ben as they dive into Chapter 35 of the Order of the Phoenix and discuss Avengers moments, Lucius being a terrible Death Eater, smashing the prophecy shelves and the ensuing battle, a plot significant dancing spell, the OotP arriving and the tragic end. Was Ginny the TRUE Master of Harry’s Wand? - 06:55 - Chapter Breakdown 56:57 - Ad Break (Aura Frames) 58:16 - More Chapter Breakdown 1:51:33 - Closing Thoughts and Review</t>
        </is>
      </c>
      <c r="V103" s="47">
        <f>IF(AND(P103&gt;=Calendar!$K$2,P103&lt;EDATE(Calendar!$K$2,1),OR(Calendar!$K$4="*",N103=Calendar!$K$4)),P103*100+COUNTIFS($P$6:$P$3267,P103,$Q$6:$Q$3267,"&lt;="&amp;Q103,$N$6:$N$3267,Calendar!$K$4),"")</f>
        <v/>
      </c>
      <c r="W103" s="47">
        <f>IF(AND(B103=Queue!$C$4,OR(Queue!$K$4="*",N103=Queue!$K$4)),Q103,"")</f>
        <v/>
      </c>
    </row>
    <row r="104">
      <c r="A104" s="38">
        <f>IF(M104="","",HYPERLINK("https://www.youtube.com/watch?v="&amp;M104,"▶"))</f>
        <v/>
      </c>
      <c r="B104" s="39">
        <f>IF(C104&lt;&gt;"",C104,IF(P104&lt;=IFERROR(INDEX(tblChannels[Watched Through],MATCH(N104,tblChannels[Channel ID],0)),0),"Watched","Unwatched"))</f>
        <v/>
      </c>
      <c r="C104" s="40" t="n"/>
      <c r="D104" s="41" t="n"/>
      <c r="E104" s="42" t="n">
        <v>46143.71041666667</v>
      </c>
      <c r="F104" s="50" t="inlineStr">
        <is>
          <t>Super Carlin Brothers</t>
        </is>
      </c>
      <c r="G104" t="inlineStr">
        <is>
          <t>The Horcrux Kill That NEVER Made Sense… Until Now</t>
        </is>
      </c>
      <c r="H104" s="44" t="n">
        <v>0.01324074074074074</v>
      </c>
      <c r="I104" s="45" t="n">
        <v>343092</v>
      </c>
      <c r="J104" s="45" t="n">
        <v>9038</v>
      </c>
      <c r="K104" s="45" t="n">
        <v>937</v>
      </c>
      <c r="L104" s="46" t="n"/>
      <c r="M104" s="47" t="n"/>
      <c r="N104" s="47" t="inlineStr">
        <is>
          <t>UCKZo4N0lVPccBkSiuyVh4yg</t>
        </is>
      </c>
      <c r="O104" s="48" t="n">
        <v>46143.87708333333</v>
      </c>
      <c r="P104" s="49" t="n">
        <v>46143</v>
      </c>
      <c r="Q104" s="47" t="n">
        <v>3164</v>
      </c>
      <c r="R104" s="47" t="inlineStr">
        <is>
          <t>No Video ID yet</t>
        </is>
      </c>
      <c r="S104" s="49" t="n"/>
      <c r="T104" s="49" t="n"/>
      <c r="U104" s="47" t="inlineStr">
        <is>
          <t>Go to to Get 10 Free meals and a free Nutribullet® Ultra Plus on your 3rd box. We know Voldemort created 7 Horcruxes using 7 murders—but not all of those victims make sense. Sure, killing his father, Myrtle, or Bertha Jorkins tracks… but an Albanian peasant? A muggle tramp? For years, these deaths have seemed completely random… Until NOW! Today, we’re breaking down every Horcrux Voldemort ever made— including the Albanian Peasant and Muggle Tramp (who isn’t as random as you think!) #HarryPotter #Voldemort #Horcrux 🎟️ Through the Griffin Door LIVE Tour</t>
        </is>
      </c>
      <c r="V104" s="47">
        <f>IF(AND(P104&gt;=Calendar!$K$2,P104&lt;EDATE(Calendar!$K$2,1),OR(Calendar!$K$4="*",N104=Calendar!$K$4)),P104*100+COUNTIFS($P$6:$P$3267,P104,$Q$6:$Q$3267,"&lt;="&amp;Q104,$N$6:$N$3267,Calendar!$K$4),"")</f>
        <v/>
      </c>
      <c r="W104" s="47">
        <f>IF(AND(B104=Queue!$C$4,OR(Queue!$K$4="*",N104=Queue!$K$4)),Q104,"")</f>
        <v/>
      </c>
    </row>
    <row r="105">
      <c r="A105" s="38">
        <f>IF(M105="","",HYPERLINK("https://www.youtube.com/watch?v="&amp;M105,"▶"))</f>
        <v/>
      </c>
      <c r="B105" s="39">
        <f>IF(C105&lt;&gt;"",C105,IF(P105&lt;=IFERROR(INDEX(tblChannels[Watched Through],MATCH(N105,tblChannels[Channel ID],0)),0),"Watched","Unwatched"))</f>
        <v/>
      </c>
      <c r="C105" s="40" t="n"/>
      <c r="D105" s="41" t="n"/>
      <c r="E105" s="42" t="n">
        <v>46143.41666666666</v>
      </c>
      <c r="F105" s="43" t="inlineStr">
        <is>
          <t>Popcorn Culture</t>
        </is>
      </c>
      <c r="G105" t="inlineStr">
        <is>
          <t>The Reverse Onus | Popcorn Culture</t>
        </is>
      </c>
      <c r="H105" s="44" t="n">
        <v>0.04328703703703703</v>
      </c>
      <c r="I105" s="45" t="n">
        <v>2153</v>
      </c>
      <c r="J105" s="45" t="n">
        <v>115</v>
      </c>
      <c r="K105" s="45" t="n">
        <v>25</v>
      </c>
      <c r="L105" s="46" t="n"/>
      <c r="M105" s="47" t="n"/>
      <c r="N105" s="47" t="inlineStr">
        <is>
          <t>UCHfIbq9thHPC8yrKjAdJgDA</t>
        </is>
      </c>
      <c r="O105" s="48" t="n">
        <v>46143.58333333334</v>
      </c>
      <c r="P105" s="49" t="n">
        <v>46143</v>
      </c>
      <c r="Q105" s="47" t="n">
        <v>3163</v>
      </c>
      <c r="R105" s="47" t="inlineStr">
        <is>
          <t>No Video ID yet</t>
        </is>
      </c>
      <c r="S105" s="49" t="n"/>
      <c r="T105" s="49" t="n"/>
      <c r="U105" s="47" t="inlineStr">
        <is>
          <t>In the 334th episode of the Pop, Ben and J discuss showing Luke the childhood home, the first KPOP Vegas residency, teeth brushing technique, basketball hoops, flexseal and icebreakers. J’s KPOP Playlist - Alternate Title: YNOT Now You Know The Game The Whole Mouth Situation Don’t Read The Comments 00:00 - Intro, Childhood Home 33:39 - Teeth Brushing 47:22 - The Reverse Onus 59:25 - Alien Advice</t>
        </is>
      </c>
      <c r="V105" s="47">
        <f>IF(AND(P105&gt;=Calendar!$K$2,P105&lt;EDATE(Calendar!$K$2,1),OR(Calendar!$K$4="*",N105=Calendar!$K$4)),P105*100+COUNTIFS($P$6:$P$3267,P105,$Q$6:$Q$3267,"&lt;="&amp;Q105,$N$6:$N$3267,Calendar!$K$4),"")</f>
        <v/>
      </c>
      <c r="W105" s="47">
        <f>IF(AND(B105=Queue!$C$4,OR(Queue!$K$4="*",N105=Queue!$K$4)),Q105,"")</f>
        <v/>
      </c>
    </row>
    <row r="106">
      <c r="A106" s="38">
        <f>IF(M106="","",HYPERLINK("https://www.youtube.com/watch?v="&amp;M106,"▶"))</f>
        <v/>
      </c>
      <c r="B106" s="39">
        <f>IF(C106&lt;&gt;"",C106,IF(P106&lt;=IFERROR(INDEX(tblChannels[Watched Through],MATCH(N106,tblChannels[Channel ID],0)),0),"Watched","Unwatched"))</f>
        <v/>
      </c>
      <c r="C106" s="40" t="n"/>
      <c r="D106" s="41" t="n"/>
      <c r="E106" s="42" t="n">
        <v>46141.67222222222</v>
      </c>
      <c r="F106" s="50" t="inlineStr">
        <is>
          <t>Super Carlin Brothers</t>
        </is>
      </c>
      <c r="G106" t="inlineStr">
        <is>
          <t>Harry Potter Killed Dobby (And I Can Prove It)</t>
        </is>
      </c>
      <c r="H106" s="44" t="n">
        <v>0.009988425925925927</v>
      </c>
      <c r="I106" s="45" t="n">
        <v>56116</v>
      </c>
      <c r="J106" s="45" t="n">
        <v>2715</v>
      </c>
      <c r="K106" s="45" t="n">
        <v>354</v>
      </c>
      <c r="L106" s="46" t="n"/>
      <c r="M106" s="47" t="n"/>
      <c r="N106" s="47" t="inlineStr">
        <is>
          <t>UCKZo4N0lVPccBkSiuyVh4yg</t>
        </is>
      </c>
      <c r="O106" s="48" t="n">
        <v>46141.83888888889</v>
      </c>
      <c r="P106" s="49" t="n">
        <v>46141</v>
      </c>
      <c r="Q106" s="47" t="n">
        <v>3162</v>
      </c>
      <c r="R106" s="47" t="inlineStr">
        <is>
          <t>No Video ID yet</t>
        </is>
      </c>
      <c r="S106" s="49" t="n"/>
      <c r="T106" s="49" t="n"/>
      <c r="U106" s="47" t="inlineStr">
        <is>
          <t>This show is sponsored by BetterHelp. Go to for 10% off your first month. Everyone blames Bellatrix for Dobby’s death… but what if that’s not the full story? Today, we’re breaking down the hidden moment in Harry Potter and the Chamber of Secrets that may have sealed Dobby’s fate long before Harry Potter and the Deathly Hallows ever began. Did Harry accidentally cause Dobby’s death? And could a simple promise have acted like a magical contract? Let’s dive in. #SuperCarlinBrothers #HarryPotter #Dobby 🎟️ Through the Griffin Door LIVE Tour</t>
        </is>
      </c>
      <c r="V106" s="47">
        <f>IF(AND(P106&gt;=Calendar!$K$2,P106&lt;EDATE(Calendar!$K$2,1),OR(Calendar!$K$4="*",N106=Calendar!$K$4)),P106*100+COUNTIFS($P$6:$P$3267,P106,$Q$6:$Q$3267,"&lt;="&amp;Q106,$N$6:$N$3267,Calendar!$K$4),"")</f>
        <v/>
      </c>
      <c r="W106" s="47">
        <f>IF(AND(B106=Queue!$C$4,OR(Queue!$K$4="*",N106=Queue!$K$4)),Q106,"")</f>
        <v/>
      </c>
    </row>
    <row r="107">
      <c r="A107" s="38">
        <f>IF(M107="","",HYPERLINK("https://www.youtube.com/watch?v="&amp;M107,"▶"))</f>
        <v/>
      </c>
      <c r="B107" s="39">
        <f>IF(C107&lt;&gt;"",C107,IF(P107&lt;=IFERROR(INDEX(tblChannels[Watched Through],MATCH(N107,tblChannels[Channel ID],0)),0),"Watched","Unwatched"))</f>
        <v/>
      </c>
      <c r="C107" s="40" t="n"/>
      <c r="D107" s="41" t="n"/>
      <c r="E107" s="42" t="n">
        <v>46140.70833333334</v>
      </c>
      <c r="F107" s="51" t="inlineStr">
        <is>
          <t>Through The Griffin Door</t>
        </is>
      </c>
      <c r="G107" t="inlineStr">
        <is>
          <t>LIVE in Salt Lake City - Chapter 34: The Department of Mysteries | Order of the Phoenix</t>
        </is>
      </c>
      <c r="H107" s="44" t="n">
        <v>0.06944444444444445</v>
      </c>
      <c r="I107" s="45" t="n">
        <v>8074</v>
      </c>
      <c r="J107" s="45" t="n">
        <v>310</v>
      </c>
      <c r="K107" s="45" t="n">
        <v>97</v>
      </c>
      <c r="L107" s="46" t="n"/>
      <c r="M107" s="47" t="n"/>
      <c r="N107" s="47" t="inlineStr">
        <is>
          <t>UCEscP6ETYXWSSvsNrDHekMQ</t>
        </is>
      </c>
      <c r="O107" s="48" t="n">
        <v>46140.875</v>
      </c>
      <c r="P107" s="49" t="n">
        <v>46140</v>
      </c>
      <c r="Q107" s="47" t="n">
        <v>3161</v>
      </c>
      <c r="R107" s="47" t="inlineStr">
        <is>
          <t>No Video ID yet</t>
        </is>
      </c>
      <c r="S107" s="49" t="n"/>
      <c r="T107" s="49" t="n"/>
      <c r="U107" s="47" t="inlineStr">
        <is>
          <t>Join J and Ben as they compete in a LIVE J vs Ben and dive BACK into Chapter 34, discussing the SEVEN LAYERS OF HELL aka, the various rooms and obstacles in the Department of Mysteries and what they symbolize. Want to see us do this IN REAL LIFE? Get your Trash Pandas Tickets Here: OR get your Through the Griffin Tour Northeast Tickets Here:</t>
        </is>
      </c>
      <c r="V107" s="47">
        <f>IF(AND(P107&gt;=Calendar!$K$2,P107&lt;EDATE(Calendar!$K$2,1),OR(Calendar!$K$4="*",N107=Calendar!$K$4)),P107*100+COUNTIFS($P$6:$P$3267,P107,$Q$6:$Q$3267,"&lt;="&amp;Q107,$N$6:$N$3267,Calendar!$K$4),"")</f>
        <v/>
      </c>
      <c r="W107" s="47">
        <f>IF(AND(B107=Queue!$C$4,OR(Queue!$K$4="*",N107=Queue!$K$4)),Q107,"")</f>
        <v/>
      </c>
    </row>
    <row r="108">
      <c r="A108" s="38">
        <f>IF(M108="","",HYPERLINK("https://www.youtube.com/watch?v="&amp;M108,"▶"))</f>
        <v/>
      </c>
      <c r="B108" s="39">
        <f>IF(C108&lt;&gt;"",C108,IF(P108&lt;=IFERROR(INDEX(tblChannels[Watched Through],MATCH(N108,tblChannels[Channel ID],0)),0),"Watched","Unwatched"))</f>
        <v/>
      </c>
      <c r="C108" s="40" t="n"/>
      <c r="D108" s="41" t="n"/>
      <c r="E108" s="42" t="n">
        <v>46138.41736111111</v>
      </c>
      <c r="F108" s="51" t="inlineStr">
        <is>
          <t>Through The Griffin Door</t>
        </is>
      </c>
      <c r="G108" t="inlineStr">
        <is>
          <t>Chapter 34: The Department of Mysteries | Order of the Phoenix</t>
        </is>
      </c>
      <c r="H108" s="44" t="n">
        <v>0.06938657407407407</v>
      </c>
      <c r="I108" s="45" t="n">
        <v>36004</v>
      </c>
      <c r="J108" s="45" t="n">
        <v>981</v>
      </c>
      <c r="K108" s="45" t="n">
        <v>378</v>
      </c>
      <c r="L108" s="46" t="n"/>
      <c r="M108" s="47" t="n"/>
      <c r="N108" s="47" t="inlineStr">
        <is>
          <t>UCEscP6ETYXWSSvsNrDHekMQ</t>
        </is>
      </c>
      <c r="O108" s="48" t="n">
        <v>46138.58402777778</v>
      </c>
      <c r="P108" s="49" t="n">
        <v>46138</v>
      </c>
      <c r="Q108" s="47" t="n">
        <v>3160</v>
      </c>
      <c r="R108" s="47" t="inlineStr">
        <is>
          <t>No Video ID yet</t>
        </is>
      </c>
      <c r="S108" s="49" t="n"/>
      <c r="T108" s="49" t="n"/>
      <c r="U108" s="47" t="inlineStr">
        <is>
          <t>Join J and Ben as they dive into Chapter 34 of the Order of the Phoenix and discuss riding the thestrals, Luna’s relaxed attitude, a mysterious dumpster, the Dante’s Inferno’s metaphor, Harry accepting his role as leader, the rotating doors, the pull of the Veil and other rooms, and finding the Prophecy. 05:59 - Chapter Breakdown 1:30:52 - Closing Thoughts and Review</t>
        </is>
      </c>
      <c r="V108" s="47">
        <f>IF(AND(P108&gt;=Calendar!$K$2,P108&lt;EDATE(Calendar!$K$2,1),OR(Calendar!$K$4="*",N108=Calendar!$K$4)),P108*100+COUNTIFS($P$6:$P$3267,P108,$Q$6:$Q$3267,"&lt;="&amp;Q108,$N$6:$N$3267,Calendar!$K$4),"")</f>
        <v/>
      </c>
      <c r="W108" s="47">
        <f>IF(AND(B108=Queue!$C$4,OR(Queue!$K$4="*",N108=Queue!$K$4)),Q108,"")</f>
        <v/>
      </c>
    </row>
    <row r="109">
      <c r="A109" s="38">
        <f>IF(M109="","",HYPERLINK("https://www.youtube.com/watch?v="&amp;M109,"▶"))</f>
        <v/>
      </c>
      <c r="B109" s="39">
        <f>IF(C109&lt;&gt;"",C109,IF(P109&lt;=IFERROR(INDEX(tblChannels[Watched Through],MATCH(N109,tblChannels[Channel ID],0)),0),"Watched","Unwatched"))</f>
        <v/>
      </c>
      <c r="C109" s="40" t="n"/>
      <c r="D109" s="41" t="n"/>
      <c r="E109" s="42" t="n">
        <v>46136.7625</v>
      </c>
      <c r="F109" s="50" t="inlineStr">
        <is>
          <t>Super Carlin Brothers</t>
        </is>
      </c>
      <c r="G109" t="inlineStr">
        <is>
          <t>Theories from a Hat: We Defend UNHINGED Harry Potter Theories</t>
        </is>
      </c>
      <c r="H109" s="44" t="n">
        <v>0.03434027777777778</v>
      </c>
      <c r="I109" s="45" t="n">
        <v>88090</v>
      </c>
      <c r="J109" s="45" t="n">
        <v>2956</v>
      </c>
      <c r="K109" s="45" t="n">
        <v>483</v>
      </c>
      <c r="L109" s="46" t="n"/>
      <c r="M109" s="47" t="n"/>
      <c r="N109" s="47" t="inlineStr">
        <is>
          <t>UCKZo4N0lVPccBkSiuyVh4yg</t>
        </is>
      </c>
      <c r="O109" s="48" t="n">
        <v>46136.92916666667</v>
      </c>
      <c r="P109" s="49" t="n">
        <v>46136</v>
      </c>
      <c r="Q109" s="47" t="n">
        <v>3159</v>
      </c>
      <c r="R109" s="47" t="inlineStr">
        <is>
          <t>No Video ID yet</t>
        </is>
      </c>
      <c r="S109" s="49" t="n"/>
      <c r="T109" s="49" t="n"/>
      <c r="U109" s="47" t="inlineStr">
        <is>
          <t>This show is sponsored by BetterHelp. Go to for 10% off your first month. Go to to get 15% off the Everyday Earbuds Classic. Today J and Ben are drawing more unhinged theories from a hat and defending them to the death! Does Sirius Black have a secret twin? Is Hagrid Immortal? Was Harry’s Scar NOT from Voldemort? Was the Sorcerer’s Stone a Fake?? Special thanks to these Patrons: M. Casarico, Sarah Makiyama, Kat Holmes, Pancake Badger, Teghan Denlinger, Captain Kansas, O’Ryan’s Wizard Parts, Gooey Chewie, Bouillon Cube, Lordpooz09, Tara Walker, and Clone Trooper Fives. 🎟️ Through the Griffin Door LIVE Tour</t>
        </is>
      </c>
      <c r="V109" s="47">
        <f>IF(AND(P109&gt;=Calendar!$K$2,P109&lt;EDATE(Calendar!$K$2,1),OR(Calendar!$K$4="*",N109=Calendar!$K$4)),P109*100+COUNTIFS($P$6:$P$3267,P109,$Q$6:$Q$3267,"&lt;="&amp;Q109,$N$6:$N$3267,Calendar!$K$4),"")</f>
        <v/>
      </c>
      <c r="W109" s="47">
        <f>IF(AND(B109=Queue!$C$4,OR(Queue!$K$4="*",N109=Queue!$K$4)),Q109,"")</f>
        <v/>
      </c>
    </row>
    <row r="110">
      <c r="A110" s="38">
        <f>IF(M110="","",HYPERLINK("https://www.youtube.com/watch?v="&amp;M110,"▶"))</f>
        <v/>
      </c>
      <c r="B110" s="39">
        <f>IF(C110&lt;&gt;"",C110,IF(P110&lt;=IFERROR(INDEX(tblChannels[Watched Through],MATCH(N110,tblChannels[Channel ID],0)),0),"Watched","Unwatched"))</f>
        <v/>
      </c>
      <c r="C110" s="40" t="n"/>
      <c r="D110" s="41" t="n"/>
      <c r="E110" s="42" t="n">
        <v>46136.64444444444</v>
      </c>
      <c r="F110" s="50" t="inlineStr">
        <is>
          <t>Super Carlin Brothers</t>
        </is>
      </c>
      <c r="G110" t="inlineStr">
        <is>
          <t>Voldemort’s Chipotle Order.. 🫘 #harrypotter</t>
        </is>
      </c>
      <c r="H110" s="44" t="n">
        <v>0.0007291666666666667</v>
      </c>
      <c r="I110" s="45" t="n">
        <v>34302</v>
      </c>
      <c r="J110" s="45" t="n">
        <v>1111</v>
      </c>
      <c r="K110" s="45" t="n">
        <v>33</v>
      </c>
      <c r="L110" s="46" t="n"/>
      <c r="M110" s="47" t="n"/>
      <c r="N110" s="47" t="inlineStr">
        <is>
          <t>UCKZo4N0lVPccBkSiuyVh4yg</t>
        </is>
      </c>
      <c r="O110" s="48" t="n">
        <v>46136.81111111111</v>
      </c>
      <c r="P110" s="49" t="n">
        <v>46136</v>
      </c>
      <c r="Q110" s="47" t="n">
        <v>3158</v>
      </c>
      <c r="R110" s="47" t="inlineStr">
        <is>
          <t>No Video ID yet</t>
        </is>
      </c>
      <c r="S110" s="49" t="n"/>
      <c r="T110" s="49" t="n"/>
      <c r="U110" s="47" t="inlineStr">
        <is>
          <t>Dark beans for his dark toots.. 💨</t>
        </is>
      </c>
      <c r="V110" s="47">
        <f>IF(AND(P110&gt;=Calendar!$K$2,P110&lt;EDATE(Calendar!$K$2,1),OR(Calendar!$K$4="*",N110=Calendar!$K$4)),P110*100+COUNTIFS($P$6:$P$3267,P110,$Q$6:$Q$3267,"&lt;="&amp;Q110,$N$6:$N$3267,Calendar!$K$4),"")</f>
        <v/>
      </c>
      <c r="W110" s="47">
        <f>IF(AND(B110=Queue!$C$4,OR(Queue!$K$4="*",N110=Queue!$K$4)),Q110,"")</f>
        <v/>
      </c>
    </row>
    <row r="111">
      <c r="A111" s="38">
        <f>IF(M111="","",HYPERLINK("https://www.youtube.com/watch?v="&amp;M111,"▶"))</f>
        <v/>
      </c>
      <c r="B111" s="39">
        <f>IF(C111&lt;&gt;"",C111,IF(P111&lt;=IFERROR(INDEX(tblChannels[Watched Through],MATCH(N111,tblChannels[Channel ID],0)),0),"Watched","Unwatched"))</f>
        <v/>
      </c>
      <c r="C111" s="40" t="n"/>
      <c r="D111" s="41" t="n"/>
      <c r="E111" s="42" t="n">
        <v>46136.41666666666</v>
      </c>
      <c r="F111" s="43" t="inlineStr">
        <is>
          <t>Popcorn Culture</t>
        </is>
      </c>
      <c r="G111" t="inlineStr">
        <is>
          <t>Youth’s Handholds | Popcorn Culture</t>
        </is>
      </c>
      <c r="H111" s="44" t="n">
        <v>0.04502314814814815</v>
      </c>
      <c r="I111" s="45" t="n">
        <v>2085</v>
      </c>
      <c r="J111" s="45" t="n">
        <v>94</v>
      </c>
      <c r="K111" s="45" t="n">
        <v>6</v>
      </c>
      <c r="L111" s="46" t="n"/>
      <c r="M111" s="47" t="n"/>
      <c r="N111" s="47" t="inlineStr">
        <is>
          <t>UCHfIbq9thHPC8yrKjAdJgDA</t>
        </is>
      </c>
      <c r="O111" s="48" t="n">
        <v>46136.58333333334</v>
      </c>
      <c r="P111" s="49" t="n">
        <v>46136</v>
      </c>
      <c r="Q111" s="47" t="n">
        <v>3157</v>
      </c>
      <c r="R111" s="47" t="inlineStr">
        <is>
          <t>No Video ID yet</t>
        </is>
      </c>
      <c r="S111" s="49" t="n"/>
      <c r="T111" s="49" t="n"/>
      <c r="U111" s="47" t="inlineStr">
        <is>
          <t>In the 333rd episode of the Pop, Ben and J discuss upcoming tour, doomscrolling, youth’s handholds and worldviews, the kids first hockey game, and event marketing schemes. Half Cut Challenge - 00:00 - Intro, TTGT!! 05:20 - Circing Back to Change 14:38 - Youth Handholds 33:24 - Hockey Game!</t>
        </is>
      </c>
      <c r="V111" s="47">
        <f>IF(AND(P111&gt;=Calendar!$K$2,P111&lt;EDATE(Calendar!$K$2,1),OR(Calendar!$K$4="*",N111=Calendar!$K$4)),P111*100+COUNTIFS($P$6:$P$3267,P111,$Q$6:$Q$3267,"&lt;="&amp;Q111,$N$6:$N$3267,Calendar!$K$4),"")</f>
        <v/>
      </c>
      <c r="W111" s="47">
        <f>IF(AND(B111=Queue!$C$4,OR(Queue!$K$4="*",N111=Queue!$K$4)),Q111,"")</f>
        <v/>
      </c>
    </row>
    <row r="112">
      <c r="A112" s="38">
        <f>IF(M112="","",HYPERLINK("https://www.youtube.com/watch?v="&amp;M112,"▶"))</f>
        <v/>
      </c>
      <c r="B112" s="39">
        <f>IF(C112&lt;&gt;"",C112,IF(P112&lt;=IFERROR(INDEX(tblChannels[Watched Through],MATCH(N112,tblChannels[Channel ID],0)),0),"Watched","Unwatched"))</f>
        <v/>
      </c>
      <c r="C112" s="40" t="n"/>
      <c r="D112" s="41" t="n"/>
      <c r="E112" s="42" t="n">
        <v>46135.48472222222</v>
      </c>
      <c r="F112" s="50" t="inlineStr">
        <is>
          <t>Super Carlin Brothers</t>
        </is>
      </c>
      <c r="G112" t="inlineStr">
        <is>
          <t>Council of Dumbledores: ASSEMBLE!</t>
        </is>
      </c>
      <c r="H112" s="44" t="n">
        <v>0.0002314814814814815</v>
      </c>
      <c r="I112" s="45" t="n">
        <v>30359</v>
      </c>
      <c r="J112" s="45" t="n">
        <v>635</v>
      </c>
      <c r="K112" s="45" t="n">
        <v>25</v>
      </c>
      <c r="L112" s="46" t="n"/>
      <c r="M112" s="47" t="n"/>
      <c r="N112" s="47" t="inlineStr">
        <is>
          <t>UCKZo4N0lVPccBkSiuyVh4yg</t>
        </is>
      </c>
      <c r="O112" s="48" t="n">
        <v>46135.65138888889</v>
      </c>
      <c r="P112" s="49" t="n">
        <v>46135</v>
      </c>
      <c r="Q112" s="47" t="n">
        <v>3156</v>
      </c>
      <c r="R112" s="47" t="inlineStr">
        <is>
          <t>No Video ID yet</t>
        </is>
      </c>
      <c r="S112" s="49" t="n"/>
      <c r="T112" s="49" t="n"/>
      <c r="U112" s="47" t="inlineStr">
        <is>
          <t>Which Dumbledore is your favorite Dumbledore? (And why is it Dumbledore-Door?🚪)</t>
        </is>
      </c>
      <c r="V112" s="47">
        <f>IF(AND(P112&gt;=Calendar!$K$2,P112&lt;EDATE(Calendar!$K$2,1),OR(Calendar!$K$4="*",N112=Calendar!$K$4)),P112*100+COUNTIFS($P$6:$P$3267,P112,$Q$6:$Q$3267,"&lt;="&amp;Q112,$N$6:$N$3267,Calendar!$K$4),"")</f>
        <v/>
      </c>
      <c r="W112" s="47">
        <f>IF(AND(B112=Queue!$C$4,OR(Queue!$K$4="*",N112=Queue!$K$4)),Q112,"")</f>
        <v/>
      </c>
    </row>
    <row r="113">
      <c r="A113" s="38">
        <f>IF(M113="","",HYPERLINK("https://www.youtube.com/watch?v="&amp;M113,"▶"))</f>
        <v/>
      </c>
      <c r="B113" s="39">
        <f>IF(C113&lt;&gt;"",C113,IF(P113&lt;=IFERROR(INDEX(tblChannels[Watched Through],MATCH(N113,tblChannels[Channel ID],0)),0),"Watched","Unwatched"))</f>
        <v/>
      </c>
      <c r="C113" s="40" t="n"/>
      <c r="D113" s="41" t="n"/>
      <c r="E113" s="42" t="n">
        <v>46134.68680555555</v>
      </c>
      <c r="F113" s="50" t="inlineStr">
        <is>
          <t>Super Carlin Brothers</t>
        </is>
      </c>
      <c r="G113" t="inlineStr">
        <is>
          <t>Can We Pass the Hardest Hogwarts Professors Quiz? | J vs Ben</t>
        </is>
      </c>
      <c r="H113" s="44" t="n">
        <v>0.03131944444444444</v>
      </c>
      <c r="I113" s="45" t="n">
        <v>99657</v>
      </c>
      <c r="J113" s="45" t="n">
        <v>3163</v>
      </c>
      <c r="K113" s="45" t="n">
        <v>359</v>
      </c>
      <c r="L113" s="46" t="n"/>
      <c r="M113" s="47" t="n"/>
      <c r="N113" s="47" t="inlineStr">
        <is>
          <t>UCKZo4N0lVPccBkSiuyVh4yg</t>
        </is>
      </c>
      <c r="O113" s="48" t="n">
        <v>46134.85347222222</v>
      </c>
      <c r="P113" s="49" t="n">
        <v>46134</v>
      </c>
      <c r="Q113" s="47" t="n">
        <v>3155</v>
      </c>
      <c r="R113" s="47" t="inlineStr">
        <is>
          <t>No Video ID yet</t>
        </is>
      </c>
      <c r="S113" s="49" t="n"/>
      <c r="T113" s="49" t="n"/>
      <c r="U113" s="47" t="inlineStr">
        <is>
          <t>This episode is sponsored by AuraFrames – Get an exclusive $25-off Carver Mat at with promo Code SCB. This episode is sponsored by Raycon – Go to buyraycon.com/jvsb to get 15% off the Everyday Earbuds Classic. Today J and Ben face off once again in Harry Potter Trivia to find out who knows more about the Professors of Hogwarts School of Witchcraft and Wizardry! From McGonnagal to Snape, Flitwik and even Sinestra.. We cover them all.. But can we remember them! 🎟️ Through the Griffin Door LIVE Tour</t>
        </is>
      </c>
      <c r="V113" s="47">
        <f>IF(AND(P113&gt;=Calendar!$K$2,P113&lt;EDATE(Calendar!$K$2,1),OR(Calendar!$K$4="*",N113=Calendar!$K$4)),P113*100+COUNTIFS($P$6:$P$3267,P113,$Q$6:$Q$3267,"&lt;="&amp;Q113,$N$6:$N$3267,Calendar!$K$4),"")</f>
        <v/>
      </c>
      <c r="W113" s="47">
        <f>IF(AND(B113=Queue!$C$4,OR(Queue!$K$4="*",N113=Queue!$K$4)),Q113,"")</f>
        <v/>
      </c>
    </row>
    <row r="114">
      <c r="A114" s="38">
        <f>IF(M114="","",HYPERLINK("https://www.youtube.com/watch?v="&amp;M114,"▶"))</f>
        <v/>
      </c>
      <c r="B114" s="39">
        <f>IF(C114&lt;&gt;"",C114,IF(P114&lt;=IFERROR(INDEX(tblChannels[Watched Through],MATCH(N114,tblChannels[Channel ID],0)),0),"Watched","Unwatched"))</f>
        <v/>
      </c>
      <c r="C114" s="40" t="n"/>
      <c r="D114" s="41" t="n"/>
      <c r="E114" s="42" t="n">
        <v>46131.41736111111</v>
      </c>
      <c r="F114" s="51" t="inlineStr">
        <is>
          <t>Through The Griffin Door</t>
        </is>
      </c>
      <c r="G114" t="inlineStr">
        <is>
          <t>Chapter 33: Fight and Flight | Order of the Phoenix</t>
        </is>
      </c>
      <c r="H114" s="44" t="n">
        <v>0.05015046296296297</v>
      </c>
      <c r="I114" s="45" t="n">
        <v>29283</v>
      </c>
      <c r="J114" s="45" t="n">
        <v>967</v>
      </c>
      <c r="K114" s="45" t="n">
        <v>234</v>
      </c>
      <c r="L114" s="46" t="n"/>
      <c r="M114" s="47" t="n"/>
      <c r="N114" s="47" t="inlineStr">
        <is>
          <t>UCEscP6ETYXWSSvsNrDHekMQ</t>
        </is>
      </c>
      <c r="O114" s="48" t="n">
        <v>46131.58402777778</v>
      </c>
      <c r="P114" s="49" t="n">
        <v>46131</v>
      </c>
      <c r="Q114" s="47" t="n">
        <v>3154</v>
      </c>
      <c r="R114" s="47" t="inlineStr">
        <is>
          <t>No Video ID yet</t>
        </is>
      </c>
      <c r="S114" s="49" t="n"/>
      <c r="T114" s="49" t="n"/>
      <c r="U114" s="47" t="inlineStr">
        <is>
          <t>This episode is sponsored by AuraFrames - Exclusive $25 off Carver Mat at Promo Code GRIFFIN Join J and Ben as they dive into Chapter 33 of the Order of the Phoenix and discuss Umbridge’s prejudice, Hermione’s planning abilities, and the dedication of the silver trio. 05:13 - Chapter Breakdown 38:43 - Ad Break (Aura Frames and Shopify) 41:36 - More Chapter Breakdown 1:03:07 - Closing Thoughts and Review</t>
        </is>
      </c>
      <c r="V114" s="47">
        <f>IF(AND(P114&gt;=Calendar!$K$2,P114&lt;EDATE(Calendar!$K$2,1),OR(Calendar!$K$4="*",N114=Calendar!$K$4)),P114*100+COUNTIFS($P$6:$P$3267,P114,$Q$6:$Q$3267,"&lt;="&amp;Q114,$N$6:$N$3267,Calendar!$K$4),"")</f>
        <v/>
      </c>
      <c r="W114" s="47">
        <f>IF(AND(B114=Queue!$C$4,OR(Queue!$K$4="*",N114=Queue!$K$4)),Q114,"")</f>
        <v/>
      </c>
    </row>
    <row r="115">
      <c r="A115" s="38">
        <f>IF(M115="","",HYPERLINK("https://www.youtube.com/watch?v="&amp;M115,"▶"))</f>
        <v/>
      </c>
      <c r="B115" s="39">
        <f>IF(C115&lt;&gt;"",C115,IF(P115&lt;=IFERROR(INDEX(tblChannels[Watched Through],MATCH(N115,tblChannels[Channel ID],0)),0),"Watched","Unwatched"))</f>
        <v/>
      </c>
      <c r="C115" s="40" t="n"/>
      <c r="D115" s="41" t="n"/>
      <c r="E115" s="42" t="n">
        <v>46129.68055555555</v>
      </c>
      <c r="F115" s="50" t="inlineStr">
        <is>
          <t>Super Carlin Brothers</t>
        </is>
      </c>
      <c r="G115" t="inlineStr">
        <is>
          <t>Was Ginny the TRUE Master of Harry’s Wand?</t>
        </is>
      </c>
      <c r="H115" s="44" t="n">
        <v>0.01385416666666667</v>
      </c>
      <c r="I115" s="45" t="n">
        <v>70564</v>
      </c>
      <c r="J115" s="45" t="n">
        <v>3121</v>
      </c>
      <c r="K115" s="45" t="n">
        <v>627</v>
      </c>
      <c r="L115" s="46" t="n"/>
      <c r="M115" s="47" t="n"/>
      <c r="N115" s="47" t="inlineStr">
        <is>
          <t>UCKZo4N0lVPccBkSiuyVh4yg</t>
        </is>
      </c>
      <c r="O115" s="48" t="n">
        <v>46129.84722222222</v>
      </c>
      <c r="P115" s="49" t="n">
        <v>46129</v>
      </c>
      <c r="Q115" s="47" t="n">
        <v>3153</v>
      </c>
      <c r="R115" s="47" t="inlineStr">
        <is>
          <t>No Video ID yet</t>
        </is>
      </c>
      <c r="S115" s="49" t="n"/>
      <c r="T115" s="49" t="n"/>
      <c r="U115" s="47" t="inlineStr">
        <is>
          <t>Was Ginny the TRUE Master of Harry’s Wand? This episode is sponsored by Better Help – Go to BetterHelp.com/SUPER to get 10% off your first month. Head to and use code 'super50off' to get 50% off and FREE daily greens per box (See website for more details). Did Ginny Weasley secretly become the true master of Harry Potter’s wand? It sounds impossible… but when you take a closer look at how wand allegiance actually works in the wizarding world, there’s a shocking stretch of the series where Harry may not have been the master of his own wand at all. From Draco Malfoy disarming Dumbledore, to the chaos at Malfoy Manor, to a very overlooked moment in Order of the Phoenix… this theory connects the dots in a way that completely changes how you view Harry’s magic. And if it’s true… Ginny may have been the true master of Harry’s wand for nearly an entire book. Let’s dive in. 🎟️ Through the Griffin Door LIVE Tour</t>
        </is>
      </c>
      <c r="V115" s="47">
        <f>IF(AND(P115&gt;=Calendar!$K$2,P115&lt;EDATE(Calendar!$K$2,1),OR(Calendar!$K$4="*",N115=Calendar!$K$4)),P115*100+COUNTIFS($P$6:$P$3267,P115,$Q$6:$Q$3267,"&lt;="&amp;Q115,$N$6:$N$3267,Calendar!$K$4),"")</f>
        <v/>
      </c>
      <c r="W115" s="47">
        <f>IF(AND(B115=Queue!$C$4,OR(Queue!$K$4="*",N115=Queue!$K$4)),Q115,"")</f>
        <v/>
      </c>
    </row>
    <row r="116">
      <c r="A116" s="38">
        <f>IF(M116="","",HYPERLINK("https://www.youtube.com/watch?v="&amp;M116,"▶"))</f>
        <v/>
      </c>
      <c r="B116" s="39">
        <f>IF(C116&lt;&gt;"",C116,IF(P116&lt;=IFERROR(INDEX(tblChannels[Watched Through],MATCH(N116,tblChannels[Channel ID],0)),0),"Watched","Unwatched"))</f>
        <v/>
      </c>
      <c r="C116" s="40" t="n"/>
      <c r="D116" s="41" t="n"/>
      <c r="E116" s="42" t="n">
        <v>46129.41666666666</v>
      </c>
      <c r="F116" s="43" t="inlineStr">
        <is>
          <t>Popcorn Culture</t>
        </is>
      </c>
      <c r="G116" t="inlineStr">
        <is>
          <t>Chaotic Neutral Tunnel Girl | Popcorn Culture</t>
        </is>
      </c>
      <c r="H116" s="44" t="n">
        <v>0.04824074074074074</v>
      </c>
      <c r="I116" s="45" t="n">
        <v>2436</v>
      </c>
      <c r="J116" s="45" t="n">
        <v>113</v>
      </c>
      <c r="K116" s="45" t="n">
        <v>24</v>
      </c>
      <c r="L116" s="46" t="n"/>
      <c r="M116" s="47" t="n"/>
      <c r="N116" s="47" t="inlineStr">
        <is>
          <t>UCHfIbq9thHPC8yrKjAdJgDA</t>
        </is>
      </c>
      <c r="O116" s="48" t="n">
        <v>46129.58333333334</v>
      </c>
      <c r="P116" s="49" t="n">
        <v>46129</v>
      </c>
      <c r="Q116" s="47" t="n">
        <v>3152</v>
      </c>
      <c r="R116" s="47" t="inlineStr">
        <is>
          <t>No Video ID yet</t>
        </is>
      </c>
      <c r="S116" s="49" t="n"/>
      <c r="T116" s="49" t="n"/>
      <c r="U116" s="47" t="inlineStr">
        <is>
          <t>In the 332nd episode of the Pop, Ben and J discuss compost, Tunnel Girl, a weird social media encounter, the Social Sieve, being corrected, changing your mind and real estate billboards. Tunnel Girl - Alternate Title: Bad at Composting A Saying as Old as Dirt The Social Sieve Billboard Echochamber 00:00 - Intro, DeComposting 07:03 - The Suburban Mining Lady 29:58 - Ben’s Untriumphal Return to Insta 37:50 - The Social Sieve 1:02:45 - Billboards</t>
        </is>
      </c>
      <c r="V116" s="47">
        <f>IF(AND(P116&gt;=Calendar!$K$2,P116&lt;EDATE(Calendar!$K$2,1),OR(Calendar!$K$4="*",N116=Calendar!$K$4)),P116*100+COUNTIFS($P$6:$P$3267,P116,$Q$6:$Q$3267,"&lt;="&amp;Q116,$N$6:$N$3267,Calendar!$K$4),"")</f>
        <v/>
      </c>
      <c r="W116" s="47">
        <f>IF(AND(B116=Queue!$C$4,OR(Queue!$K$4="*",N116=Queue!$K$4)),Q116,"")</f>
        <v/>
      </c>
    </row>
    <row r="117">
      <c r="A117" s="38">
        <f>IF(M117="","",HYPERLINK("https://www.youtube.com/watch?v="&amp;M117,"▶"))</f>
        <v/>
      </c>
      <c r="B117" s="39">
        <f>IF(C117&lt;&gt;"",C117,IF(P117&lt;=IFERROR(INDEX(tblChannels[Watched Through],MATCH(N117,tblChannels[Channel ID],0)),0),"Watched","Unwatched"))</f>
        <v/>
      </c>
      <c r="C117" s="40" t="n"/>
      <c r="D117" s="41" t="n"/>
      <c r="E117" s="42" t="n">
        <v>46127.70277777778</v>
      </c>
      <c r="F117" s="50" t="inlineStr">
        <is>
          <t>Super Carlin Brothers</t>
        </is>
      </c>
      <c r="G117" t="inlineStr">
        <is>
          <t>Can You LOSE the Ability to See Thestrals?</t>
        </is>
      </c>
      <c r="H117" s="44" t="n">
        <v>0.00974537037037037</v>
      </c>
      <c r="I117" s="45" t="n">
        <v>54264</v>
      </c>
      <c r="J117" s="45" t="n">
        <v>2734</v>
      </c>
      <c r="K117" s="45" t="n">
        <v>320</v>
      </c>
      <c r="L117" s="46" t="n"/>
      <c r="M117" s="47" t="n"/>
      <c r="N117" s="47" t="inlineStr">
        <is>
          <t>UCKZo4N0lVPccBkSiuyVh4yg</t>
        </is>
      </c>
      <c r="O117" s="48" t="n">
        <v>46127.86944444444</v>
      </c>
      <c r="P117" s="49" t="n">
        <v>46127</v>
      </c>
      <c r="Q117" s="47" t="n">
        <v>3151</v>
      </c>
      <c r="R117" s="47" t="inlineStr">
        <is>
          <t>No Video ID yet</t>
        </is>
      </c>
      <c r="S117" s="49" t="n"/>
      <c r="T117" s="49" t="n"/>
      <c r="U117" s="47" t="inlineStr">
        <is>
          <t>This episode is sponsored by Better Help – Go to BetterHelp.com/SUPER to get 10% off your first month. Today we’re diving into one of the strangest and most overlooked mysteries in the wizarding world: Thestrals. We all know the rule—only those who have witnessed and comprehended death can see them. But when you start digging into the details… things get weird fast. Why couldn’t Harry see Thestrals at the end of Goblet of Fire? Does “understanding death” matter more than just seeing it? And most importantly… could you actually LOSE the ability to see them? From memory charms to ghosts to the mysterious Veil in the Department of Mysteries, today we’re exploring whether Thestral visibility is physical, mental… or something deeper.</t>
        </is>
      </c>
      <c r="V117" s="47">
        <f>IF(AND(P117&gt;=Calendar!$K$2,P117&lt;EDATE(Calendar!$K$2,1),OR(Calendar!$K$4="*",N117=Calendar!$K$4)),P117*100+COUNTIFS($P$6:$P$3267,P117,$Q$6:$Q$3267,"&lt;="&amp;Q117,$N$6:$N$3267,Calendar!$K$4),"")</f>
        <v/>
      </c>
      <c r="W117" s="47">
        <f>IF(AND(B117=Queue!$C$4,OR(Queue!$K$4="*",N117=Queue!$K$4)),Q117,"")</f>
        <v/>
      </c>
    </row>
    <row r="118">
      <c r="A118" s="38">
        <f>IF(M118="","",HYPERLINK("https://www.youtube.com/watch?v="&amp;M118,"▶"))</f>
        <v/>
      </c>
      <c r="B118" s="39">
        <f>IF(C118&lt;&gt;"",C118,IF(P118&lt;=IFERROR(INDEX(tblChannels[Watched Through],MATCH(N118,tblChannels[Channel ID],0)),0),"Watched","Unwatched"))</f>
        <v/>
      </c>
      <c r="C118" s="40" t="n"/>
      <c r="D118" s="41" t="n"/>
      <c r="E118" s="42" t="n">
        <v>46124.41736111111</v>
      </c>
      <c r="F118" s="51" t="inlineStr">
        <is>
          <t>Through The Griffin Door</t>
        </is>
      </c>
      <c r="G118" t="inlineStr">
        <is>
          <t>Chapter 32: Out of the Fire | Order of the Phoenix</t>
        </is>
      </c>
      <c r="H118" s="44" t="n">
        <v>0.05833333333333333</v>
      </c>
      <c r="I118" s="45" t="n">
        <v>33932</v>
      </c>
      <c r="J118" s="45" t="n">
        <v>1005</v>
      </c>
      <c r="K118" s="45" t="n">
        <v>294</v>
      </c>
      <c r="L118" s="46" t="n"/>
      <c r="M118" s="47" t="n"/>
      <c r="N118" s="47" t="inlineStr">
        <is>
          <t>UCEscP6ETYXWSSvsNrDHekMQ</t>
        </is>
      </c>
      <c r="O118" s="48" t="n">
        <v>46124.58402777778</v>
      </c>
      <c r="P118" s="49" t="n">
        <v>46124</v>
      </c>
      <c r="Q118" s="47" t="n">
        <v>3150</v>
      </c>
      <c r="R118" s="47" t="inlineStr">
        <is>
          <t>No Video ID yet</t>
        </is>
      </c>
      <c r="S118" s="49" t="n"/>
      <c r="T118" s="49" t="n"/>
      <c r="U118" s="47" t="inlineStr">
        <is>
          <t>Join J and Ben as they dive into Chapter 32 of the Order of the Phoenix and discuss professor Tofty’s dulcet tones, Crabbe and Goyle Boil, Voldemort’s Chipotle order, the group’s convoluted plan that immediately gets them caught, and Umbridge becoming completely unhinged. 04:02 - Chapter Breakdown 1:12:27 - Closing Thoughts and Review</t>
        </is>
      </c>
      <c r="V118" s="47">
        <f>IF(AND(P118&gt;=Calendar!$K$2,P118&lt;EDATE(Calendar!$K$2,1),OR(Calendar!$K$4="*",N118=Calendar!$K$4)),P118*100+COUNTIFS($P$6:$P$3267,P118,$Q$6:$Q$3267,"&lt;="&amp;Q118,$N$6:$N$3267,Calendar!$K$4),"")</f>
        <v/>
      </c>
      <c r="W118" s="47">
        <f>IF(AND(B118=Queue!$C$4,OR(Queue!$K$4="*",N118=Queue!$K$4)),Q118,"")</f>
        <v/>
      </c>
    </row>
    <row r="119">
      <c r="A119" s="38">
        <f>IF(M119="","",HYPERLINK("https://www.youtube.com/watch?v="&amp;M119,"▶"))</f>
        <v/>
      </c>
      <c r="B119" s="39">
        <f>IF(C119&lt;&gt;"",C119,IF(P119&lt;=IFERROR(INDEX(tblChannels[Watched Through],MATCH(N119,tblChannels[Channel ID],0)),0),"Watched","Unwatched"))</f>
        <v/>
      </c>
      <c r="C119" s="40" t="n"/>
      <c r="D119" s="41" t="n"/>
      <c r="E119" s="42" t="n">
        <v>46122.68472222222</v>
      </c>
      <c r="F119" s="50" t="inlineStr">
        <is>
          <t>Super Carlin Brothers</t>
        </is>
      </c>
      <c r="G119" t="inlineStr">
        <is>
          <t>Why the Harry Potter Reboot Changes Everything (Marauders Series Explained)</t>
        </is>
      </c>
      <c r="H119" s="44" t="n">
        <v>0.01052083333333333</v>
      </c>
      <c r="I119" s="45" t="n">
        <v>111801</v>
      </c>
      <c r="J119" s="45" t="n">
        <v>4133</v>
      </c>
      <c r="K119" s="45" t="n">
        <v>716</v>
      </c>
      <c r="L119" s="46" t="n"/>
      <c r="M119" s="47" t="n"/>
      <c r="N119" s="47" t="inlineStr">
        <is>
          <t>UCKZo4N0lVPccBkSiuyVh4yg</t>
        </is>
      </c>
      <c r="O119" s="48" t="n">
        <v>46122.85138888889</v>
      </c>
      <c r="P119" s="49" t="n">
        <v>46122</v>
      </c>
      <c r="Q119" s="47" t="n">
        <v>3149</v>
      </c>
      <c r="R119" s="47" t="inlineStr">
        <is>
          <t>No Video ID yet</t>
        </is>
      </c>
      <c r="S119" s="49" t="n"/>
      <c r="T119" s="49" t="n"/>
      <c r="U119" s="47" t="inlineStr">
        <is>
          <t>This episode is sponsored by Better Help – Go to BetterHelp.com/SUPER to get 10% off your first month. With the Harry Potter reboot officially on the way, the Wizarding World might finally have what it’s been missing all along… a consistent foundation. For years, fans have been asking for a Marauders series—James, Sirius, Lupin, Peter, Lily, Snape… the story feels like a no-brainer. So why hasn’t it happened yet? Today, we’re breaking down the real reason a Marauders show has never quite worked before… and why the upcoming HBO reboot might finally change everything. From inconsistent film canon, to missing lore, to the deeper story between James and Snape, this is the key piece the Wizarding World has been missing—and why a Marauders series might actually make sense now. Could this be the beginning of a true Harry Potter expanded universe? 🎟️ Through the Griffin Door LIVE Tour</t>
        </is>
      </c>
      <c r="V119" s="47">
        <f>IF(AND(P119&gt;=Calendar!$K$2,P119&lt;EDATE(Calendar!$K$2,1),OR(Calendar!$K$4="*",N119=Calendar!$K$4)),P119*100+COUNTIFS($P$6:$P$3267,P119,$Q$6:$Q$3267,"&lt;="&amp;Q119,$N$6:$N$3267,Calendar!$K$4),"")</f>
        <v/>
      </c>
      <c r="W119" s="47">
        <f>IF(AND(B119=Queue!$C$4,OR(Queue!$K$4="*",N119=Queue!$K$4)),Q119,"")</f>
        <v/>
      </c>
    </row>
    <row r="120">
      <c r="A120" s="38">
        <f>IF(M120="","",HYPERLINK("https://www.youtube.com/watch?v="&amp;M120,"▶"))</f>
        <v/>
      </c>
      <c r="B120" s="39">
        <f>IF(C120&lt;&gt;"",C120,IF(P120&lt;=IFERROR(INDEX(tblChannels[Watched Through],MATCH(N120,tblChannels[Channel ID],0)),0),"Watched","Unwatched"))</f>
        <v/>
      </c>
      <c r="C120" s="40" t="n"/>
      <c r="D120" s="41" t="n"/>
      <c r="E120" s="42" t="n">
        <v>46122.41666666666</v>
      </c>
      <c r="F120" s="43" t="inlineStr">
        <is>
          <t>Popcorn Culture</t>
        </is>
      </c>
      <c r="G120" t="inlineStr">
        <is>
          <t>What Do You Like About Yourself? | Popcorn Culture</t>
        </is>
      </c>
      <c r="H120" s="44" t="n">
        <v>0.05575231481481482</v>
      </c>
      <c r="I120" s="45" t="n">
        <v>2509</v>
      </c>
      <c r="J120" s="45" t="n">
        <v>107</v>
      </c>
      <c r="K120" s="45" t="n">
        <v>22</v>
      </c>
      <c r="L120" s="46" t="n"/>
      <c r="M120" s="47" t="n"/>
      <c r="N120" s="47" t="inlineStr">
        <is>
          <t>UCHfIbq9thHPC8yrKjAdJgDA</t>
        </is>
      </c>
      <c r="O120" s="48" t="n">
        <v>46122.58333333334</v>
      </c>
      <c r="P120" s="49" t="n">
        <v>46122</v>
      </c>
      <c r="Q120" s="47" t="n">
        <v>3148</v>
      </c>
      <c r="R120" s="47" t="inlineStr">
        <is>
          <t>No Video ID yet</t>
        </is>
      </c>
      <c r="S120" s="49" t="n"/>
      <c r="T120" s="49" t="n"/>
      <c r="U120" s="47" t="inlineStr">
        <is>
          <t>In the 331st episode of the Pop, Ben and J discuss what they like about themselves, emotional Easter traditions, solar panels salesman, electronic bike riding to work, and life-hacking health. 00:00 - Intro, Being a Person of Action 20:57 - Change These Things 26:26 - Annoying Salesman 54:20 - E-Bikes</t>
        </is>
      </c>
      <c r="V120" s="47">
        <f>IF(AND(P120&gt;=Calendar!$K$2,P120&lt;EDATE(Calendar!$K$2,1),OR(Calendar!$K$4="*",N120=Calendar!$K$4)),P120*100+COUNTIFS($P$6:$P$3267,P120,$Q$6:$Q$3267,"&lt;="&amp;Q120,$N$6:$N$3267,Calendar!$K$4),"")</f>
        <v/>
      </c>
      <c r="W120" s="47">
        <f>IF(AND(B120=Queue!$C$4,OR(Queue!$K$4="*",N120=Queue!$K$4)),Q120,"")</f>
        <v/>
      </c>
    </row>
    <row r="121">
      <c r="A121" s="38">
        <f>IF(M121="","",HYPERLINK("https://www.youtube.com/watch?v="&amp;M121,"▶"))</f>
        <v/>
      </c>
      <c r="B121" s="39">
        <f>IF(C121&lt;&gt;"",C121,IF(P121&lt;=IFERROR(INDEX(tblChannels[Watched Through],MATCH(N121,tblChannels[Channel ID],0)),0),"Watched","Unwatched"))</f>
        <v/>
      </c>
      <c r="C121" s="40" t="n"/>
      <c r="D121" s="41" t="n"/>
      <c r="E121" s="42" t="n">
        <v>46120.68611111111</v>
      </c>
      <c r="F121" s="50" t="inlineStr">
        <is>
          <t>Super Carlin Brothers</t>
        </is>
      </c>
      <c r="G121" t="inlineStr">
        <is>
          <t>J vs Ben: Harry Potter Jeopardy Challenge (AGAIN)</t>
        </is>
      </c>
      <c r="H121" s="44" t="n">
        <v>0.03236111111111111</v>
      </c>
      <c r="I121" s="45" t="n">
        <v>118433</v>
      </c>
      <c r="J121" s="45" t="n">
        <v>4171</v>
      </c>
      <c r="K121" s="45" t="n">
        <v>947</v>
      </c>
      <c r="L121" s="46" t="n"/>
      <c r="M121" s="47" t="n"/>
      <c r="N121" s="47" t="inlineStr">
        <is>
          <t>UCKZo4N0lVPccBkSiuyVh4yg</t>
        </is>
      </c>
      <c r="O121" s="48" t="n">
        <v>46120.85277777778</v>
      </c>
      <c r="P121" s="49" t="n">
        <v>46120</v>
      </c>
      <c r="Q121" s="47" t="n">
        <v>3147</v>
      </c>
      <c r="R121" s="47" t="inlineStr">
        <is>
          <t>No Video ID yet</t>
        </is>
      </c>
      <c r="S121" s="49" t="n"/>
      <c r="T121" s="49" t="n"/>
      <c r="U121" s="47" t="inlineStr">
        <is>
          <t>Go to buy to get 15% off the Everyday Earbuds Classic. Head to and use code jvsb50off to get 50% off and free daily greens per box - with new subscription! Today J and Ben face off once more to find out who knows more about the Wizarding World of Harry Potter, with the return of Jeopardy! How well do the boys trust themselves with each buzz of the buzzer? Can J snatch a victory from Ben? Special Thanks to these Quiz Masters: Poison Dart Fraud, Jenna Marbles, SamiRae, Julie Sherwood, Tara Walker, LawNinja, Katrina(aaah!), Bunny, Cam of the Math Budget, GooeyChewie, Teghan - Denlinger, Bradferd, Hermione Baggins, Big D, Irish Royalty, MrTeacher, M. Casarico, Boullion Cube, Meagan Benton, Tina's Hotdog Sophie, Elijah, Jessica Theriault, Michelle G., Oryan's Wizard Parts, , Mikedroid, the small huffle, Dumbledad, and Crafty Liz</t>
        </is>
      </c>
      <c r="V121" s="47">
        <f>IF(AND(P121&gt;=Calendar!$K$2,P121&lt;EDATE(Calendar!$K$2,1),OR(Calendar!$K$4="*",N121=Calendar!$K$4)),P121*100+COUNTIFS($P$6:$P$3267,P121,$Q$6:$Q$3267,"&lt;="&amp;Q121,$N$6:$N$3267,Calendar!$K$4),"")</f>
        <v/>
      </c>
      <c r="W121" s="47">
        <f>IF(AND(B121=Queue!$C$4,OR(Queue!$K$4="*",N121=Queue!$K$4)),Q121,"")</f>
        <v/>
      </c>
    </row>
    <row r="122">
      <c r="A122" s="38">
        <f>IF(M122="","",HYPERLINK("https://www.youtube.com/watch?v="&amp;M122,"▶"))</f>
        <v/>
      </c>
      <c r="B122" s="39">
        <f>IF(C122&lt;&gt;"",C122,IF(P122&lt;=IFERROR(INDEX(tblChannels[Watched Through],MATCH(N122,tblChannels[Channel ID],0)),0),"Watched","Unwatched"))</f>
        <v/>
      </c>
      <c r="C122" s="40" t="n"/>
      <c r="D122" s="41" t="n"/>
      <c r="E122" s="42" t="n">
        <v>46120.41736111111</v>
      </c>
      <c r="F122" s="50" t="inlineStr">
        <is>
          <t>Super Carlin Brothers</t>
        </is>
      </c>
      <c r="G122" t="inlineStr">
        <is>
          <t>THROUGH THE GRIFFIN TOUR NORTHEAST 2026!!!</t>
        </is>
      </c>
      <c r="H122" s="44" t="n">
        <v>0.0009606481481481482</v>
      </c>
      <c r="I122" s="45" t="n">
        <v>4436</v>
      </c>
      <c r="J122" s="45" t="n">
        <v>234</v>
      </c>
      <c r="K122" s="45" t="n">
        <v>60</v>
      </c>
      <c r="L122" s="46" t="n"/>
      <c r="M122" s="47" t="n"/>
      <c r="N122" s="47" t="inlineStr">
        <is>
          <t>UCKZo4N0lVPccBkSiuyVh4yg</t>
        </is>
      </c>
      <c r="O122" s="48" t="n">
        <v>46120.58402777778</v>
      </c>
      <c r="P122" s="49" t="n">
        <v>46120</v>
      </c>
      <c r="Q122" s="47" t="n">
        <v>3146</v>
      </c>
      <c r="R122" s="47" t="inlineStr">
        <is>
          <t>No Video ID yet</t>
        </is>
      </c>
      <c r="S122" s="49" t="n"/>
      <c r="T122" s="49" t="n"/>
      <c r="U122" s="47" t="inlineStr">
        <is>
          <t>Through the Griffin TOUR is coming back to the Northeast this SEPTEMBER! Tickets go on sale THIS FRIDAY, APRIL 10th at 10:00am Eastern Time. Visit to sign up for the email list and be the first to snag your tickets! Purchase tickets and get more info for each location here: Northeast Tour Dates: Boston, MA - 09/10 Hartford, CT, - 09/11 New York, NY - 9/13 Philadelphia, PA - 09/15 Washington, DC - 09/16 Richmond, VA - 09/17</t>
        </is>
      </c>
      <c r="V122" s="47">
        <f>IF(AND(P122&gt;=Calendar!$K$2,P122&lt;EDATE(Calendar!$K$2,1),OR(Calendar!$K$4="*",N122=Calendar!$K$4)),P122*100+COUNTIFS($P$6:$P$3267,P122,$Q$6:$Q$3267,"&lt;="&amp;Q122,$N$6:$N$3267,Calendar!$K$4),"")</f>
        <v/>
      </c>
      <c r="W122" s="47">
        <f>IF(AND(B122=Queue!$C$4,OR(Queue!$K$4="*",N122=Queue!$K$4)),Q122,"")</f>
        <v/>
      </c>
    </row>
    <row r="123">
      <c r="A123" s="38">
        <f>IF(M123="","",HYPERLINK("https://www.youtube.com/watch?v="&amp;M123,"▶"))</f>
        <v/>
      </c>
      <c r="B123" s="39">
        <f>IF(C123&lt;&gt;"",C123,IF(P123&lt;=IFERROR(INDEX(tblChannels[Watched Through],MATCH(N123,tblChannels[Channel ID],0)),0),"Watched","Unwatched"))</f>
        <v/>
      </c>
      <c r="C123" s="40" t="n"/>
      <c r="D123" s="41" t="n"/>
      <c r="E123" s="42" t="n">
        <v>46120.41666666666</v>
      </c>
      <c r="F123" s="51" t="inlineStr">
        <is>
          <t>Through The Griffin Door</t>
        </is>
      </c>
      <c r="G123" t="inlineStr">
        <is>
          <t>THROUGH THE GRIFFIN TOUR NORTHEAST 2026!!!</t>
        </is>
      </c>
      <c r="H123" s="44" t="n">
        <v>0.001122685185185185</v>
      </c>
      <c r="I123" s="45" t="n">
        <v>1728</v>
      </c>
      <c r="J123" s="45" t="n">
        <v>107</v>
      </c>
      <c r="K123" s="45" t="n">
        <v>28</v>
      </c>
      <c r="L123" s="46" t="n"/>
      <c r="M123" s="47" t="n"/>
      <c r="N123" s="47" t="inlineStr">
        <is>
          <t>UCEscP6ETYXWSSvsNrDHekMQ</t>
        </is>
      </c>
      <c r="O123" s="48" t="n">
        <v>46120.58333333334</v>
      </c>
      <c r="P123" s="49" t="n">
        <v>46120</v>
      </c>
      <c r="Q123" s="47" t="n">
        <v>3145</v>
      </c>
      <c r="R123" s="47" t="inlineStr">
        <is>
          <t>No Video ID yet</t>
        </is>
      </c>
      <c r="S123" s="49" t="n"/>
      <c r="T123" s="49" t="n"/>
      <c r="U123" s="47" t="inlineStr">
        <is>
          <t>Through the Griffin TOUR is coming back to the Northeast this SEPTEMBER! Tickets go on sale THIS FRIDAY, APRIL 10th at 10:00am Eastern Time. Visit to sign up for the email list and be the first to snag your tickets! Purchase tickets and get more info for each location here: Northeast Tour Dates: Boston, MA - 09/10 Hartford, CT, - 09/11 New York, NY - 9/13 Philadelphia, PA - 09/15 Washington, DC - 09/16 Richmond, VA - 09/17</t>
        </is>
      </c>
      <c r="V123" s="47">
        <f>IF(AND(P123&gt;=Calendar!$K$2,P123&lt;EDATE(Calendar!$K$2,1),OR(Calendar!$K$4="*",N123=Calendar!$K$4)),P123*100+COUNTIFS($P$6:$P$3267,P123,$Q$6:$Q$3267,"&lt;="&amp;Q123,$N$6:$N$3267,Calendar!$K$4),"")</f>
        <v/>
      </c>
      <c r="W123" s="47">
        <f>IF(AND(B123=Queue!$C$4,OR(Queue!$K$4="*",N123=Queue!$K$4)),Q123,"")</f>
        <v/>
      </c>
    </row>
    <row r="124">
      <c r="A124" s="38">
        <f>IF(M124="","",HYPERLINK("https://www.youtube.com/watch?v="&amp;M124,"▶"))</f>
        <v/>
      </c>
      <c r="B124" s="39">
        <f>IF(C124&lt;&gt;"",C124,IF(P124&lt;=IFERROR(INDEX(tblChannels[Watched Through],MATCH(N124,tblChannels[Channel ID],0)),0),"Watched","Unwatched"))</f>
        <v/>
      </c>
      <c r="C124" s="40" t="n"/>
      <c r="D124" s="41" t="n"/>
      <c r="E124" s="42" t="n">
        <v>46117.41666666666</v>
      </c>
      <c r="F124" s="51" t="inlineStr">
        <is>
          <t>Through The Griffin Door</t>
        </is>
      </c>
      <c r="G124" t="inlineStr">
        <is>
          <t>Chapter 31: O.W.L.s | Order of the Phoenix</t>
        </is>
      </c>
      <c r="H124" s="44" t="n">
        <v>0.07328703703703704</v>
      </c>
      <c r="I124" s="45" t="n">
        <v>40136</v>
      </c>
      <c r="J124" s="45" t="n">
        <v>1049</v>
      </c>
      <c r="K124" s="45" t="n">
        <v>291</v>
      </c>
      <c r="L124" s="46" t="n"/>
      <c r="M124" s="47" t="n"/>
      <c r="N124" s="47" t="inlineStr">
        <is>
          <t>UCEscP6ETYXWSSvsNrDHekMQ</t>
        </is>
      </c>
      <c r="O124" s="48" t="n">
        <v>46117.58333333334</v>
      </c>
      <c r="P124" s="49" t="n">
        <v>46117</v>
      </c>
      <c r="Q124" s="47" t="n">
        <v>3144</v>
      </c>
      <c r="R124" s="47" t="inlineStr">
        <is>
          <t>No Video ID yet</t>
        </is>
      </c>
      <c r="S124" s="49" t="n"/>
      <c r="T124" s="49" t="n"/>
      <c r="U124" s="47" t="inlineStr">
        <is>
          <t>Join J and Ben as they dive into Chapter 31 of the Order of the Phoenix and discuss Ron riding the high of the Quidditch win, Ernie comparing studying times, the crazy exam schedule, the ancient examiners, the callbacks to other books, the attack on Hagrid and McGonagall and the “vision” of Sirius. 05:09 - Chapter Breakdown 1:40:19 - Closing Thoughts and Review Edited by :: Iybelle Christley</t>
        </is>
      </c>
      <c r="V124" s="47">
        <f>IF(AND(P124&gt;=Calendar!$K$2,P124&lt;EDATE(Calendar!$K$2,1),OR(Calendar!$K$4="*",N124=Calendar!$K$4)),P124*100+COUNTIFS($P$6:$P$3267,P124,$Q$6:$Q$3267,"&lt;="&amp;Q124,$N$6:$N$3267,Calendar!$K$4),"")</f>
        <v/>
      </c>
      <c r="W124" s="47">
        <f>IF(AND(B124=Queue!$C$4,OR(Queue!$K$4="*",N124=Queue!$K$4)),Q124,"")</f>
        <v/>
      </c>
    </row>
    <row r="125">
      <c r="A125" s="38">
        <f>IF(M125="","",HYPERLINK("https://www.youtube.com/watch?v="&amp;M125,"▶"))</f>
        <v/>
      </c>
      <c r="B125" s="39">
        <f>IF(C125&lt;&gt;"",C125,IF(P125&lt;=IFERROR(INDEX(tblChannels[Watched Through],MATCH(N125,tblChannels[Channel ID],0)),0),"Watched","Unwatched"))</f>
        <v/>
      </c>
      <c r="C125" s="40" t="n"/>
      <c r="D125" s="41" t="n"/>
      <c r="E125" s="42" t="n">
        <v>46115.66666666666</v>
      </c>
      <c r="F125" s="50" t="inlineStr">
        <is>
          <t>Super Carlin Brothers</t>
        </is>
      </c>
      <c r="G125" t="inlineStr">
        <is>
          <t>Why Did Harry Drop the Resurrection Stone?</t>
        </is>
      </c>
      <c r="H125" s="44" t="n">
        <v>0.009502314814814814</v>
      </c>
      <c r="I125" s="45" t="n">
        <v>91478</v>
      </c>
      <c r="J125" s="45" t="n">
        <v>3747</v>
      </c>
      <c r="K125" s="45" t="n">
        <v>403</v>
      </c>
      <c r="L125" s="46" t="n"/>
      <c r="M125" s="47" t="n"/>
      <c r="N125" s="47" t="inlineStr">
        <is>
          <t>UCKZo4N0lVPccBkSiuyVh4yg</t>
        </is>
      </c>
      <c r="O125" s="48" t="n">
        <v>46115.83333333334</v>
      </c>
      <c r="P125" s="49" t="n">
        <v>46115</v>
      </c>
      <c r="Q125" s="47" t="n">
        <v>3143</v>
      </c>
      <c r="R125" s="47" t="inlineStr">
        <is>
          <t>No Video ID yet</t>
        </is>
      </c>
      <c r="S125" s="49" t="n"/>
      <c r="T125" s="49" t="n"/>
      <c r="U125" s="47" t="inlineStr">
        <is>
          <t>Go to to sign up for your $1-per-month trial period. Today Ben dives into the Wizarding World of Harry Potter to ask: Why did Harry drop the Resurrection Stone? He could have seen his parents anytime he wante to but leaves it to the infinite depths of the Forbidden Forest instead? And what of the Elder Wand and the Invisibility Cloak? Should he have kept the wand? Destroyed the Cloak? 🎟️ Through the Griffin Door LIVE Tour</t>
        </is>
      </c>
      <c r="V125" s="47">
        <f>IF(AND(P125&gt;=Calendar!$K$2,P125&lt;EDATE(Calendar!$K$2,1),OR(Calendar!$K$4="*",N125=Calendar!$K$4)),P125*100+COUNTIFS($P$6:$P$3267,P125,$Q$6:$Q$3267,"&lt;="&amp;Q125,$N$6:$N$3267,Calendar!$K$4),"")</f>
        <v/>
      </c>
      <c r="W125" s="47">
        <f>IF(AND(B125=Queue!$C$4,OR(Queue!$K$4="*",N125=Queue!$K$4)),Q125,"")</f>
        <v/>
      </c>
    </row>
    <row r="126">
      <c r="A126" s="38">
        <f>IF(M126="","",HYPERLINK("https://www.youtube.com/watch?v="&amp;M126,"▶"))</f>
        <v/>
      </c>
      <c r="B126" s="39">
        <f>IF(C126&lt;&gt;"",C126,IF(P126&lt;=IFERROR(INDEX(tblChannels[Watched Through],MATCH(N126,tblChannels[Channel ID],0)),0),"Watched","Unwatched"))</f>
        <v/>
      </c>
      <c r="C126" s="40" t="n"/>
      <c r="D126" s="41" t="n"/>
      <c r="E126" s="42" t="n">
        <v>46115.41666666666</v>
      </c>
      <c r="F126" s="43" t="inlineStr">
        <is>
          <t>Popcorn Culture</t>
        </is>
      </c>
      <c r="G126" t="inlineStr">
        <is>
          <t>Whimsical Pumpkins | Popcorn Culture</t>
        </is>
      </c>
      <c r="H126" s="44" t="n">
        <v>0.04594907407407407</v>
      </c>
      <c r="I126" s="45" t="n">
        <v>2644</v>
      </c>
      <c r="J126" s="45" t="n">
        <v>117</v>
      </c>
      <c r="K126" s="45" t="n">
        <v>17</v>
      </c>
      <c r="L126" s="46" t="n"/>
      <c r="M126" s="47" t="n"/>
      <c r="N126" s="47" t="inlineStr">
        <is>
          <t>UCHfIbq9thHPC8yrKjAdJgDA</t>
        </is>
      </c>
      <c r="O126" s="48" t="n">
        <v>46115.58333333334</v>
      </c>
      <c r="P126" s="49" t="n">
        <v>46115</v>
      </c>
      <c r="Q126" s="47" t="n">
        <v>3142</v>
      </c>
      <c r="R126" s="47" t="inlineStr">
        <is>
          <t>No Video ID yet</t>
        </is>
      </c>
      <c r="S126" s="49" t="n"/>
      <c r="T126" s="49" t="n"/>
      <c r="U126" s="47" t="inlineStr">
        <is>
          <t>In the 330th episode of the Pop, Ben and J discuss a return to GARDEN SEASON!! Home renovations, J’s new bike, Addy ATVing, and planting apple trees. Alternate Title: Whimsical Pumpkins Benny Appleseed 00:00 - Intro, Gardening 26:17 - J’s New Bike 42:07 - Addy’s ATV</t>
        </is>
      </c>
      <c r="V126" s="47">
        <f>IF(AND(P126&gt;=Calendar!$K$2,P126&lt;EDATE(Calendar!$K$2,1),OR(Calendar!$K$4="*",N126=Calendar!$K$4)),P126*100+COUNTIFS($P$6:$P$3267,P126,$Q$6:$Q$3267,"&lt;="&amp;Q126,$N$6:$N$3267,Calendar!$K$4),"")</f>
        <v/>
      </c>
      <c r="W126" s="47">
        <f>IF(AND(B126=Queue!$C$4,OR(Queue!$K$4="*",N126=Queue!$K$4)),Q126,"")</f>
        <v/>
      </c>
    </row>
    <row r="127">
      <c r="A127" s="38">
        <f>IF(M127="","",HYPERLINK("https://www.youtube.com/watch?v="&amp;M127,"▶"))</f>
        <v/>
      </c>
      <c r="B127" s="39">
        <f>IF(C127&lt;&gt;"",C127,IF(P127&lt;=IFERROR(INDEX(tblChannels[Watched Through],MATCH(N127,tblChannels[Channel ID],0)),0),"Watched","Unwatched"))</f>
        <v/>
      </c>
      <c r="C127" s="40" t="n"/>
      <c r="D127" s="41" t="n"/>
      <c r="E127" s="42" t="n">
        <v>46113.67013888889</v>
      </c>
      <c r="F127" s="50" t="inlineStr">
        <is>
          <t>Super Carlin Brothers</t>
        </is>
      </c>
      <c r="G127" t="inlineStr">
        <is>
          <t>Why Didn’t Voldemort Make His Own Sorcerer’s Stone?</t>
        </is>
      </c>
      <c r="H127" s="44" t="n">
        <v>0.01100694444444444</v>
      </c>
      <c r="I127" s="45" t="n">
        <v>162522</v>
      </c>
      <c r="J127" s="45" t="n">
        <v>6257</v>
      </c>
      <c r="K127" s="45" t="n">
        <v>713</v>
      </c>
      <c r="L127" s="46" t="n"/>
      <c r="M127" s="47" t="n"/>
      <c r="N127" s="47" t="inlineStr">
        <is>
          <t>UCKZo4N0lVPccBkSiuyVh4yg</t>
        </is>
      </c>
      <c r="O127" s="48" t="n">
        <v>46113.83680555555</v>
      </c>
      <c r="P127" s="49" t="n">
        <v>46113</v>
      </c>
      <c r="Q127" s="47" t="n">
        <v>3141</v>
      </c>
      <c r="R127" s="47" t="inlineStr">
        <is>
          <t>No Video ID yet</t>
        </is>
      </c>
      <c r="S127" s="49" t="n"/>
      <c r="T127" s="49" t="n"/>
      <c r="U127" s="47" t="inlineStr">
        <is>
          <t>Go to for 10% off your first month. Join the Wizarding Candle Club :: Today J dives into the Wizarding World of Harry Potter to answer the age old question: Why Didn’t Voldemort Make His Own Sorcerer’s Stone? 🎟️ Through the Griffin Door LIVE Tour</t>
        </is>
      </c>
      <c r="V127" s="47">
        <f>IF(AND(P127&gt;=Calendar!$K$2,P127&lt;EDATE(Calendar!$K$2,1),OR(Calendar!$K$4="*",N127=Calendar!$K$4)),P127*100+COUNTIFS($P$6:$P$3267,P127,$Q$6:$Q$3267,"&lt;="&amp;Q127,$N$6:$N$3267,Calendar!$K$4),"")</f>
        <v/>
      </c>
      <c r="W127" s="47">
        <f>IF(AND(B127=Queue!$C$4,OR(Queue!$K$4="*",N127=Queue!$K$4)),Q127,"")</f>
        <v/>
      </c>
    </row>
    <row r="128">
      <c r="A128" s="38">
        <f>IF(M128="","",HYPERLINK("https://www.youtube.com/watch?v="&amp;M128,"▶"))</f>
        <v/>
      </c>
      <c r="B128" s="39">
        <f>IF(C128&lt;&gt;"",C128,IF(P128&lt;=IFERROR(INDEX(tblChannels[Watched Through],MATCH(N128,tblChannels[Channel ID],0)),0),"Watched","Unwatched"))</f>
        <v/>
      </c>
      <c r="C128" s="40" t="n"/>
      <c r="D128" s="41" t="n"/>
      <c r="E128" s="42" t="n">
        <v>46110.41666666666</v>
      </c>
      <c r="F128" s="51" t="inlineStr">
        <is>
          <t>Through The Griffin Door</t>
        </is>
      </c>
      <c r="G128" t="inlineStr">
        <is>
          <t>Chapter 30: Grawp | Order of the Phoenix</t>
        </is>
      </c>
      <c r="H128" s="44" t="n">
        <v>0.07718750000000001</v>
      </c>
      <c r="I128" s="45" t="n">
        <v>39907</v>
      </c>
      <c r="J128" s="45" t="n">
        <v>1076</v>
      </c>
      <c r="K128" s="45" t="n">
        <v>366</v>
      </c>
      <c r="L128" s="46" t="n"/>
      <c r="M128" s="47" t="n"/>
      <c r="N128" s="47" t="inlineStr">
        <is>
          <t>UCEscP6ETYXWSSvsNrDHekMQ</t>
        </is>
      </c>
      <c r="O128" s="48" t="n">
        <v>46110.58333333334</v>
      </c>
      <c r="P128" s="49" t="n">
        <v>46110</v>
      </c>
      <c r="Q128" s="47" t="n">
        <v>3140</v>
      </c>
      <c r="R128" s="47" t="inlineStr">
        <is>
          <t>No Video ID yet</t>
        </is>
      </c>
      <c r="S128" s="49" t="n"/>
      <c r="T128" s="49" t="n"/>
      <c r="U128" s="47" t="inlineStr">
        <is>
          <t>Join J and Ben as they dive into Chapter 30 of the Order of the Phoenix and discuss the swamp, Filch “punting” students, anti-Umbridge mayhem, Ron’s relationship with his family, Hagrid taking Harry and Hermione to the forest, interacting with Grawp and them blindly agreeing to help. 09:23 - Chapter Breakdown 1:02:19 - Ad Break (Shopify) 1:03:46 - More Chapter Breakdown 1:47:44 - Closing Thoughts and Review</t>
        </is>
      </c>
      <c r="V128" s="47">
        <f>IF(AND(P128&gt;=Calendar!$K$2,P128&lt;EDATE(Calendar!$K$2,1),OR(Calendar!$K$4="*",N128=Calendar!$K$4)),P128*100+COUNTIFS($P$6:$P$3267,P128,$Q$6:$Q$3267,"&lt;="&amp;Q128,$N$6:$N$3267,Calendar!$K$4),"")</f>
        <v/>
      </c>
      <c r="W128" s="47">
        <f>IF(AND(B128=Queue!$C$4,OR(Queue!$K$4="*",N128=Queue!$K$4)),Q128,"")</f>
        <v/>
      </c>
    </row>
    <row r="129">
      <c r="A129" s="38">
        <f>IF(M129="","",HYPERLINK("https://www.youtube.com/watch?v="&amp;M129,"▶"))</f>
        <v/>
      </c>
      <c r="B129" s="39">
        <f>IF(C129&lt;&gt;"",C129,IF(P129&lt;=IFERROR(INDEX(tblChannels[Watched Through],MATCH(N129,tblChannels[Channel ID],0)),0),"Watched","Unwatched"))</f>
        <v/>
      </c>
      <c r="C129" s="40" t="n"/>
      <c r="D129" s="41" t="n"/>
      <c r="E129" s="42" t="n">
        <v>46108.625</v>
      </c>
      <c r="F129" s="50" t="inlineStr">
        <is>
          <t>Super Carlin Brothers</t>
        </is>
      </c>
      <c r="G129" t="inlineStr">
        <is>
          <t>Hermione Would Ace This Quiz… Can We? | J vs Ben</t>
        </is>
      </c>
      <c r="H129" s="44" t="n">
        <v>0.03050925925925926</v>
      </c>
      <c r="I129" s="45" t="n">
        <v>101608</v>
      </c>
      <c r="J129" s="45" t="n">
        <v>3382</v>
      </c>
      <c r="K129" s="45" t="n">
        <v>438</v>
      </c>
      <c r="L129" s="46" t="n"/>
      <c r="M129" s="47" t="n"/>
      <c r="N129" s="47" t="inlineStr">
        <is>
          <t>UCKZo4N0lVPccBkSiuyVh4yg</t>
        </is>
      </c>
      <c r="O129" s="48" t="n">
        <v>46108.79166666666</v>
      </c>
      <c r="P129" s="49" t="n">
        <v>46108</v>
      </c>
      <c r="Q129" s="47" t="n">
        <v>3139</v>
      </c>
      <c r="R129" s="47" t="inlineStr">
        <is>
          <t>No Video ID yet</t>
        </is>
      </c>
      <c r="S129" s="49" t="n"/>
      <c r="T129" s="49" t="n"/>
      <c r="U129" s="47" t="inlineStr">
        <is>
          <t>Go to for 10% off your first month. Get 20% off PLUS free shipping when you got to and use code: 'Brother' The Everyday Earbuds Classic are perfect for refreshing your routine this spring. Go to to get 20% off. Today J and Ben face off once again in Harry Potter Trivia to find out who knows more about the cleverest witch of her year - Hermione Granger! Listen to J's BLACKPINK favorites: Hosted by: Ethan Edghill</t>
        </is>
      </c>
      <c r="V129" s="47">
        <f>IF(AND(P129&gt;=Calendar!$K$2,P129&lt;EDATE(Calendar!$K$2,1),OR(Calendar!$K$4="*",N129=Calendar!$K$4)),P129*100+COUNTIFS($P$6:$P$3267,P129,$Q$6:$Q$3267,"&lt;="&amp;Q129,$N$6:$N$3267,Calendar!$K$4),"")</f>
        <v/>
      </c>
      <c r="W129" s="47">
        <f>IF(AND(B129=Queue!$C$4,OR(Queue!$K$4="*",N129=Queue!$K$4)),Q129,"")</f>
        <v/>
      </c>
    </row>
    <row r="130">
      <c r="A130" s="38">
        <f>IF(M130="","",HYPERLINK("https://www.youtube.com/watch?v="&amp;M130,"▶"))</f>
        <v/>
      </c>
      <c r="B130" s="39">
        <f>IF(C130&lt;&gt;"",C130,IF(P130&lt;=IFERROR(INDEX(tblChannels[Watched Through],MATCH(N130,tblChannels[Channel ID],0)),0),"Watched","Unwatched"))</f>
        <v/>
      </c>
      <c r="C130" s="40" t="n"/>
      <c r="D130" s="41" t="n"/>
      <c r="E130" s="42" t="n">
        <v>46108.41666666666</v>
      </c>
      <c r="F130" s="43" t="inlineStr">
        <is>
          <t>Popcorn Culture</t>
        </is>
      </c>
      <c r="G130" t="inlineStr">
        <is>
          <t>Sports Build Culture | Popcorn Culture</t>
        </is>
      </c>
      <c r="H130" s="44" t="n">
        <v>0.04847222222222222</v>
      </c>
      <c r="I130" s="45" t="n">
        <v>2305</v>
      </c>
      <c r="J130" s="45" t="n">
        <v>119</v>
      </c>
      <c r="K130" s="45" t="n">
        <v>15</v>
      </c>
      <c r="L130" s="46" t="n"/>
      <c r="M130" s="47" t="n"/>
      <c r="N130" s="47" t="inlineStr">
        <is>
          <t>UCHfIbq9thHPC8yrKjAdJgDA</t>
        </is>
      </c>
      <c r="O130" s="48" t="n">
        <v>46108.58333333334</v>
      </c>
      <c r="P130" s="49" t="n">
        <v>46108</v>
      </c>
      <c r="Q130" s="47" t="n">
        <v>3138</v>
      </c>
      <c r="R130" s="47" t="inlineStr">
        <is>
          <t>No Video ID yet</t>
        </is>
      </c>
      <c r="S130" s="49" t="n"/>
      <c r="T130" s="49" t="n"/>
      <c r="U130" s="47" t="inlineStr">
        <is>
          <t>In the 329th episode of the Pop, Ben and J discuss a Popcorn Culture weekend, the Pixar theory, discovering diamonds, Spring awakening, Lacrosse practice, internships, and garden beds. Most Recent Pixar Theory - Sharon Says So - Alternate Title: Arduous Spelling 00:00 - Intro, A Movie Weekend 35:48 - Spring is Here! 58:07 - Gardening</t>
        </is>
      </c>
      <c r="V130" s="47">
        <f>IF(AND(P130&gt;=Calendar!$K$2,P130&lt;EDATE(Calendar!$K$2,1),OR(Calendar!$K$4="*",N130=Calendar!$K$4)),P130*100+COUNTIFS($P$6:$P$3267,P130,$Q$6:$Q$3267,"&lt;="&amp;Q130,$N$6:$N$3267,Calendar!$K$4),"")</f>
        <v/>
      </c>
      <c r="W130" s="47">
        <f>IF(AND(B130=Queue!$C$4,OR(Queue!$K$4="*",N130=Queue!$K$4)),Q130,"")</f>
        <v/>
      </c>
    </row>
    <row r="131">
      <c r="A131" s="38">
        <f>IF(M131="","",HYPERLINK("https://www.youtube.com/watch?v="&amp;M131,"▶"))</f>
        <v/>
      </c>
      <c r="B131" s="39">
        <f>IF(C131&lt;&gt;"",C131,IF(P131&lt;=IFERROR(INDEX(tblChannels[Watched Through],MATCH(N131,tblChannels[Channel ID],0)),0),"Watched","Unwatched"))</f>
        <v/>
      </c>
      <c r="C131" s="40" t="n"/>
      <c r="D131" s="41" t="n"/>
      <c r="E131" s="42" t="n">
        <v>46106.94722222222</v>
      </c>
      <c r="F131" s="50" t="inlineStr">
        <is>
          <t>Super Carlin Brothers</t>
        </is>
      </c>
      <c r="G131" t="inlineStr">
        <is>
          <t>Harry Potter HBO Trailer Breakdown (Big Changes!)</t>
        </is>
      </c>
      <c r="H131" s="44" t="n">
        <v>0.01983796296296296</v>
      </c>
      <c r="I131" s="45" t="n">
        <v>360441</v>
      </c>
      <c r="J131" s="45" t="n">
        <v>14077</v>
      </c>
      <c r="K131" s="45" t="n">
        <v>2549</v>
      </c>
      <c r="L131" s="46" t="n"/>
      <c r="M131" s="47" t="n"/>
      <c r="N131" s="47" t="inlineStr">
        <is>
          <t>UCKZo4N0lVPccBkSiuyVh4yg</t>
        </is>
      </c>
      <c r="O131" s="48" t="n">
        <v>46107.11388888889</v>
      </c>
      <c r="P131" s="49" t="n">
        <v>46106</v>
      </c>
      <c r="Q131" s="47" t="n">
        <v>3137</v>
      </c>
      <c r="R131" s="47" t="inlineStr">
        <is>
          <t>No Video ID yet</t>
        </is>
      </c>
      <c r="S131" s="49" t="n"/>
      <c r="T131" s="49" t="n"/>
      <c r="U131" s="47" t="inlineStr">
        <is>
          <t>This show is sponsored by BetterHelp. Go to for 10% off your first month. Head to and use code 'super50off' to get 50% off and FREE breakfast for a year! Today J dives into the Wizarding World of Harry Potter to give a Harry Potter HBO Series Trailer Breakdown - We cover all the easter eggs, things you missed, changes from the movies and new inclusions from the books! 🎟️ Through the Griffin Door LIVE Tour</t>
        </is>
      </c>
      <c r="V131" s="47">
        <f>IF(AND(P131&gt;=Calendar!$K$2,P131&lt;EDATE(Calendar!$K$2,1),OR(Calendar!$K$4="*",N131=Calendar!$K$4)),P131*100+COUNTIFS($P$6:$P$3267,P131,$Q$6:$Q$3267,"&lt;="&amp;Q131,$N$6:$N$3267,Calendar!$K$4),"")</f>
        <v/>
      </c>
      <c r="W131" s="47">
        <f>IF(AND(B131=Queue!$C$4,OR(Queue!$K$4="*",N131=Queue!$K$4)),Q131,"")</f>
        <v/>
      </c>
    </row>
    <row r="132">
      <c r="A132" s="38">
        <f>IF(M132="","",HYPERLINK("https://www.youtube.com/watch?v="&amp;M132,"▶"))</f>
        <v/>
      </c>
      <c r="B132" s="39">
        <f>IF(C132&lt;&gt;"",C132,IF(P132&lt;=IFERROR(INDEX(tblChannels[Watched Through],MATCH(N132,tblChannels[Channel ID],0)),0),"Watched","Unwatched"))</f>
        <v/>
      </c>
      <c r="C132" s="40" t="n"/>
      <c r="D132" s="41" t="n"/>
      <c r="E132" s="42" t="n">
        <v>46103.41666666666</v>
      </c>
      <c r="F132" s="51" t="inlineStr">
        <is>
          <t>Through The Griffin Door</t>
        </is>
      </c>
      <c r="G132" t="inlineStr">
        <is>
          <t>Chapter 29: Career Advice | Order of the Phoenix</t>
        </is>
      </c>
      <c r="H132" s="44" t="n">
        <v>0.08479166666666667</v>
      </c>
      <c r="I132" s="45" t="n">
        <v>44866</v>
      </c>
      <c r="J132" s="45" t="n">
        <v>1154</v>
      </c>
      <c r="K132" s="45" t="n">
        <v>356</v>
      </c>
      <c r="L132" s="46" t="n"/>
      <c r="M132" s="47" t="n"/>
      <c r="N132" s="47" t="inlineStr">
        <is>
          <t>UCEscP6ETYXWSSvsNrDHekMQ</t>
        </is>
      </c>
      <c r="O132" s="48" t="n">
        <v>46103.58333333334</v>
      </c>
      <c r="P132" s="49" t="n">
        <v>46103</v>
      </c>
      <c r="Q132" s="47" t="n">
        <v>3136</v>
      </c>
      <c r="R132" s="47" t="inlineStr">
        <is>
          <t>No Video ID yet</t>
        </is>
      </c>
      <c r="S132" s="49" t="n"/>
      <c r="T132" s="49" t="n"/>
      <c r="U132" s="47" t="inlineStr">
        <is>
          <t>Join J and Ben as they dive into Chapter 29 of the Order of the Phoenix and discuss Harry questioning his dad, Fred and George’s ambition, confiding in Ginny, wishing Ron had become a Healer, their convoluted plan to talk to Sirius, meeting with McGonagall (and her destroying Umbridge), talking with Lupin and Sirius, the twins’ escape in style We’re on Cameo!! - 07:18 - Chapter Breakdown 1:47:50 - Closing Thoughts and Review</t>
        </is>
      </c>
      <c r="V132" s="47">
        <f>IF(AND(P132&gt;=Calendar!$K$2,P132&lt;EDATE(Calendar!$K$2,1),OR(Calendar!$K$4="*",N132=Calendar!$K$4)),P132*100+COUNTIFS($P$6:$P$3267,P132,$Q$6:$Q$3267,"&lt;="&amp;Q132,$N$6:$N$3267,Calendar!$K$4),"")</f>
        <v/>
      </c>
      <c r="W132" s="47">
        <f>IF(AND(B132=Queue!$C$4,OR(Queue!$K$4="*",N132=Queue!$K$4)),Q132,"")</f>
        <v/>
      </c>
    </row>
    <row r="133">
      <c r="A133" s="38">
        <f>IF(M133="","",HYPERLINK("https://www.youtube.com/watch?v="&amp;M133,"▶"))</f>
        <v/>
      </c>
      <c r="B133" s="39">
        <f>IF(C133&lt;&gt;"",C133,IF(P133&lt;=IFERROR(INDEX(tblChannels[Watched Through],MATCH(N133,tblChannels[Channel ID],0)),0),"Watched","Unwatched"))</f>
        <v/>
      </c>
      <c r="C133" s="40" t="n"/>
      <c r="D133" s="41" t="n"/>
      <c r="E133" s="42" t="n">
        <v>46101.66944444444</v>
      </c>
      <c r="F133" s="50" t="inlineStr">
        <is>
          <t>Super Carlin Brothers</t>
        </is>
      </c>
      <c r="G133" t="inlineStr">
        <is>
          <t>This may be our darkest Harry Potter Theory Ever..</t>
        </is>
      </c>
      <c r="H133" s="44" t="n">
        <v>0.0103125</v>
      </c>
      <c r="I133" s="45" t="n">
        <v>160107</v>
      </c>
      <c r="J133" s="45" t="n">
        <v>6094</v>
      </c>
      <c r="K133" s="45" t="n">
        <v>634</v>
      </c>
      <c r="L133" s="46" t="n"/>
      <c r="M133" s="47" t="n"/>
      <c r="N133" s="47" t="inlineStr">
        <is>
          <t>UCKZo4N0lVPccBkSiuyVh4yg</t>
        </is>
      </c>
      <c r="O133" s="48" t="n">
        <v>46101.83611111111</v>
      </c>
      <c r="P133" s="49" t="n">
        <v>46101</v>
      </c>
      <c r="Q133" s="47" t="n">
        <v>3135</v>
      </c>
      <c r="R133" s="47" t="inlineStr">
        <is>
          <t>No Video ID yet</t>
        </is>
      </c>
      <c r="S133" s="49" t="n"/>
      <c r="T133" s="49" t="n"/>
      <c r="U133" s="47" t="inlineStr">
        <is>
          <t>This show is sponsored by BetterHelp. Go to for 10% off your first month. Sign up for your one-dollar-per-month trial today at Today J dives into the Wizarding World of Harry Potter to reveal one of their Darkets theories about when Harry broke into the ministry to retrieve the prophecy and what happened to all of the security that SHOULD have been there. 🎟️ Through the Griffin Door LIVE Tour</t>
        </is>
      </c>
      <c r="V133" s="47">
        <f>IF(AND(P133&gt;=Calendar!$K$2,P133&lt;EDATE(Calendar!$K$2,1),OR(Calendar!$K$4="*",N133=Calendar!$K$4)),P133*100+COUNTIFS($P$6:$P$3267,P133,$Q$6:$Q$3267,"&lt;="&amp;Q133,$N$6:$N$3267,Calendar!$K$4),"")</f>
        <v/>
      </c>
      <c r="W133" s="47">
        <f>IF(AND(B133=Queue!$C$4,OR(Queue!$K$4="*",N133=Queue!$K$4)),Q133,"")</f>
        <v/>
      </c>
    </row>
    <row r="134">
      <c r="A134" s="38">
        <f>IF(M134="","",HYPERLINK("https://www.youtube.com/watch?v="&amp;M134,"▶"))</f>
        <v/>
      </c>
      <c r="B134" s="39">
        <f>IF(C134&lt;&gt;"",C134,IF(P134&lt;=IFERROR(INDEX(tblChannels[Watched Through],MATCH(N134,tblChannels[Channel ID],0)),0),"Watched","Unwatched"))</f>
        <v/>
      </c>
      <c r="C134" s="40" t="n"/>
      <c r="D134" s="41" t="n"/>
      <c r="E134" s="42" t="n">
        <v>46101.42708333334</v>
      </c>
      <c r="F134" s="43" t="inlineStr">
        <is>
          <t>Popcorn Culture</t>
        </is>
      </c>
      <c r="G134" t="inlineStr">
        <is>
          <t>The Tour Odyssey | Popcorn Culture</t>
        </is>
      </c>
      <c r="H134" s="44" t="n">
        <v>0.05023148148148148</v>
      </c>
      <c r="I134" s="45" t="n">
        <v>2304</v>
      </c>
      <c r="J134" s="45" t="n">
        <v>132</v>
      </c>
      <c r="K134" s="45" t="n">
        <v>28</v>
      </c>
      <c r="L134" s="46" t="n"/>
      <c r="M134" s="47" t="n"/>
      <c r="N134" s="47" t="inlineStr">
        <is>
          <t>UCHfIbq9thHPC8yrKjAdJgDA</t>
        </is>
      </c>
      <c r="O134" s="48" t="n">
        <v>46101.59375</v>
      </c>
      <c r="P134" s="49" t="n">
        <v>46101</v>
      </c>
      <c r="Q134" s="47" t="n">
        <v>3134</v>
      </c>
      <c r="R134" s="47" t="inlineStr">
        <is>
          <t>No Video ID yet</t>
        </is>
      </c>
      <c r="S134" s="49" t="n"/>
      <c r="T134" s="49" t="n"/>
      <c r="U134" s="47" t="inlineStr">
        <is>
          <t>In the 328th episode of the Pop, Ben and J discuss the long journey home, tour magic, push up competitions, and F1 go cart racing.</t>
        </is>
      </c>
      <c r="V134" s="47">
        <f>IF(AND(P134&gt;=Calendar!$K$2,P134&lt;EDATE(Calendar!$K$2,1),OR(Calendar!$K$4="*",N134=Calendar!$K$4)),P134*100+COUNTIFS($P$6:$P$3267,P134,$Q$6:$Q$3267,"&lt;="&amp;Q134,$N$6:$N$3267,Calendar!$K$4),"")</f>
        <v/>
      </c>
      <c r="W134" s="47">
        <f>IF(AND(B134=Queue!$C$4,OR(Queue!$K$4="*",N134=Queue!$K$4)),Q134,"")</f>
        <v/>
      </c>
    </row>
    <row r="135">
      <c r="A135" s="38">
        <f>IF(M135="","",HYPERLINK("https://www.youtube.com/watch?v="&amp;M135,"▶"))</f>
        <v/>
      </c>
      <c r="B135" s="39">
        <f>IF(C135&lt;&gt;"",C135,IF(P135&lt;=IFERROR(INDEX(tblChannels[Watched Through],MATCH(N135,tblChannels[Channel ID],0)),0),"Watched","Unwatched"))</f>
        <v/>
      </c>
      <c r="C135" s="40" t="n"/>
      <c r="D135" s="41" t="n"/>
      <c r="E135" s="42" t="n">
        <v>46099.71041666667</v>
      </c>
      <c r="F135" s="50" t="inlineStr">
        <is>
          <t>Super Carlin Brothers</t>
        </is>
      </c>
      <c r="G135" t="inlineStr">
        <is>
          <t>2 EVEN MORE Hours of Harry Potter Theories to Binge</t>
        </is>
      </c>
      <c r="H135" s="44" t="n">
        <v>0.08836805555555556</v>
      </c>
      <c r="I135" s="45" t="n">
        <v>141726</v>
      </c>
      <c r="J135" s="45" t="n">
        <v>1603</v>
      </c>
      <c r="K135" s="45" t="n">
        <v>244</v>
      </c>
      <c r="L135" s="46" t="n"/>
      <c r="M135" s="47" t="n"/>
      <c r="N135" s="47" t="inlineStr">
        <is>
          <t>UCKZo4N0lVPccBkSiuyVh4yg</t>
        </is>
      </c>
      <c r="O135" s="48" t="n">
        <v>46099.87708333333</v>
      </c>
      <c r="P135" s="49" t="n">
        <v>46099</v>
      </c>
      <c r="Q135" s="47" t="n">
        <v>3133</v>
      </c>
      <c r="R135" s="47" t="inlineStr">
        <is>
          <t>No Video ID yet</t>
        </is>
      </c>
      <c r="S135" s="49" t="n"/>
      <c r="T135" s="49" t="n"/>
      <c r="U135" s="47" t="inlineStr">
        <is>
          <t>This show is sponsored by BetterHelp: Sign up and get 10% off at BetterHelp.com/SUPER The Everyday Earbuds Classic are here to help you go for gold. Go to buy raycon.com/supercarlin to get 15% off. Thanks Raycon for sponsoring! Grab your Butterbeers and Pumpkin Pasties and settle in — we’ve stitched together ANOTHER 2 hours Harry Potter Theories to Binge! What was Voldemorts Failed Horcrux? Is Trelawny actually always right? How do you become and animagus? Why does the Elder Wand Keep losing AND MORE!</t>
        </is>
      </c>
      <c r="V135" s="47">
        <f>IF(AND(P135&gt;=Calendar!$K$2,P135&lt;EDATE(Calendar!$K$2,1),OR(Calendar!$K$4="*",N135=Calendar!$K$4)),P135*100+COUNTIFS($P$6:$P$3267,P135,$Q$6:$Q$3267,"&lt;="&amp;Q135,$N$6:$N$3267,Calendar!$K$4),"")</f>
        <v/>
      </c>
      <c r="W135" s="47">
        <f>IF(AND(B135=Queue!$C$4,OR(Queue!$K$4="*",N135=Queue!$K$4)),Q135,"")</f>
        <v/>
      </c>
    </row>
    <row r="136">
      <c r="A136" s="38">
        <f>IF(M136="","",HYPERLINK("https://www.youtube.com/watch?v="&amp;M136,"▶"))</f>
        <v/>
      </c>
      <c r="B136" s="39">
        <f>IF(C136&lt;&gt;"",C136,IF(P136&lt;=IFERROR(INDEX(tblChannels[Watched Through],MATCH(N136,tblChannels[Channel ID],0)),0),"Watched","Unwatched"))</f>
        <v/>
      </c>
      <c r="C136" s="40" t="n"/>
      <c r="D136" s="41" t="n"/>
      <c r="E136" s="42" t="n">
        <v>46096.54236111111</v>
      </c>
      <c r="F136" s="51" t="inlineStr">
        <is>
          <t>Through The Griffin Door</t>
        </is>
      </c>
      <c r="G136" t="inlineStr">
        <is>
          <t>Chapter 28: Snape’s Worst Memory | Order of the Phoenix</t>
        </is>
      </c>
      <c r="H136" s="44" t="n">
        <v>0.07962962962962963</v>
      </c>
      <c r="I136" s="45" t="n">
        <v>41889</v>
      </c>
      <c r="J136" s="45" t="n">
        <v>1093</v>
      </c>
      <c r="K136" s="45" t="n">
        <v>408</v>
      </c>
      <c r="L136" s="46" t="n"/>
      <c r="M136" s="47" t="n"/>
      <c r="N136" s="47" t="inlineStr">
        <is>
          <t>UCEscP6ETYXWSSvsNrDHekMQ</t>
        </is>
      </c>
      <c r="O136" s="48" t="n">
        <v>46096.70902777778</v>
      </c>
      <c r="P136" s="49" t="n">
        <v>46096</v>
      </c>
      <c r="Q136" s="47" t="n">
        <v>3132</v>
      </c>
      <c r="R136" s="47" t="inlineStr">
        <is>
          <t>No Video ID yet</t>
        </is>
      </c>
      <c r="S136" s="49" t="n"/>
      <c r="T136" s="49" t="n"/>
      <c r="U136" s="47" t="inlineStr">
        <is>
          <t>Join J and Ben as they dive into Chapter 28 of the Order of the Phoenix and discuss the aftermath of Dumbledore’s flight, the Inquisitorial Squad, Umbridge DRUGGING students, the twins’ pandemonium, dreaming about the Hall of Prophecies, a horrible encounter with Cho, the Pensieve calling (?) to Harry, the Marauders as teens, and Snape getting bullied. Hogwarts is a Dragon - 05:05 - Chapter Breakdown 1:47:24 - Closing Thoughts and Review</t>
        </is>
      </c>
      <c r="V136" s="47">
        <f>IF(AND(P136&gt;=Calendar!$K$2,P136&lt;EDATE(Calendar!$K$2,1),OR(Calendar!$K$4="*",N136=Calendar!$K$4)),P136*100+COUNTIFS($P$6:$P$3267,P136,$Q$6:$Q$3267,"&lt;="&amp;Q136,$N$6:$N$3267,Calendar!$K$4),"")</f>
        <v/>
      </c>
      <c r="W136" s="47">
        <f>IF(AND(B136=Queue!$C$4,OR(Queue!$K$4="*",N136=Queue!$K$4)),Q136,"")</f>
        <v/>
      </c>
    </row>
    <row r="137">
      <c r="A137" s="38">
        <f>IF(M137="","",HYPERLINK("https://www.youtube.com/watch?v="&amp;M137,"▶"))</f>
        <v/>
      </c>
      <c r="B137" s="39">
        <f>IF(C137&lt;&gt;"",C137,IF(P137&lt;=IFERROR(INDEX(tblChannels[Watched Through],MATCH(N137,tblChannels[Channel ID],0)),0),"Watched","Unwatched"))</f>
        <v/>
      </c>
      <c r="C137" s="40" t="n"/>
      <c r="D137" s="41" t="n"/>
      <c r="E137" s="42" t="n">
        <v>46094.625</v>
      </c>
      <c r="F137" s="50" t="inlineStr">
        <is>
          <t>Super Carlin Brothers</t>
        </is>
      </c>
      <c r="G137" t="inlineStr">
        <is>
          <t>Umbridge Is ACTUALLY A Poltergeist | Harry Potter Theory</t>
        </is>
      </c>
      <c r="H137" s="44" t="n">
        <v>0.009050925925925926</v>
      </c>
      <c r="I137" s="45" t="n">
        <v>58286</v>
      </c>
      <c r="J137" s="45" t="n">
        <v>2977</v>
      </c>
      <c r="K137" s="45" t="n">
        <v>341</v>
      </c>
      <c r="L137" s="46" t="n"/>
      <c r="M137" s="47" t="n"/>
      <c r="N137" s="47" t="inlineStr">
        <is>
          <t>UCKZo4N0lVPccBkSiuyVh4yg</t>
        </is>
      </c>
      <c r="O137" s="48" t="n">
        <v>46094.79166666666</v>
      </c>
      <c r="P137" s="49" t="n">
        <v>46094</v>
      </c>
      <c r="Q137" s="47" t="n">
        <v>3131</v>
      </c>
      <c r="R137" s="47" t="inlineStr">
        <is>
          <t>No Video ID yet</t>
        </is>
      </c>
      <c r="S137" s="49" t="n"/>
      <c r="T137" s="49" t="n"/>
      <c r="U137" s="47" t="inlineStr">
        <is>
          <t>Sign up and get 10% off at BetterHelp.com/SUPER Today Ben dives into the Wizarding World of Harry Potter to determine if Dolores Jane Umbridge was actually a poltergeist. The literal manifestation of the Ministry’s fear and desire for control. Is it any coincidence that FILCH is her greatest ally and Peeves her greatest foe at Hogwarts?</t>
        </is>
      </c>
      <c r="V137" s="47">
        <f>IF(AND(P137&gt;=Calendar!$K$2,P137&lt;EDATE(Calendar!$K$2,1),OR(Calendar!$K$4="*",N137=Calendar!$K$4)),P137*100+COUNTIFS($P$6:$P$3267,P137,$Q$6:$Q$3267,"&lt;="&amp;Q137,$N$6:$N$3267,Calendar!$K$4),"")</f>
        <v/>
      </c>
      <c r="W137" s="47">
        <f>IF(AND(B137=Queue!$C$4,OR(Queue!$K$4="*",N137=Queue!$K$4)),Q137,"")</f>
        <v/>
      </c>
    </row>
    <row r="138">
      <c r="A138" s="38">
        <f>IF(M138="","",HYPERLINK("https://www.youtube.com/watch?v="&amp;M138,"▶"))</f>
        <v/>
      </c>
      <c r="B138" s="39">
        <f>IF(C138&lt;&gt;"",C138,IF(P138&lt;=IFERROR(INDEX(tblChannels[Watched Through],MATCH(N138,tblChannels[Channel ID],0)),0),"Watched","Unwatched"))</f>
        <v/>
      </c>
      <c r="C138" s="40" t="n"/>
      <c r="D138" s="41" t="n"/>
      <c r="E138" s="42" t="n">
        <v>46094.41666666666</v>
      </c>
      <c r="F138" s="43" t="inlineStr">
        <is>
          <t>Popcorn Culture</t>
        </is>
      </c>
      <c r="G138" t="inlineStr">
        <is>
          <t>How UNLIKELY Is J? | Popcorn Culture</t>
        </is>
      </c>
      <c r="H138" s="44" t="n">
        <v>0.04333333333333333</v>
      </c>
      <c r="I138" s="45" t="n">
        <v>2207</v>
      </c>
      <c r="J138" s="45" t="n">
        <v>132</v>
      </c>
      <c r="K138" s="45" t="n">
        <v>31</v>
      </c>
      <c r="L138" s="46" t="n"/>
      <c r="M138" s="47" t="n"/>
      <c r="N138" s="47" t="inlineStr">
        <is>
          <t>UCHfIbq9thHPC8yrKjAdJgDA</t>
        </is>
      </c>
      <c r="O138" s="48" t="n">
        <v>46094.58333333334</v>
      </c>
      <c r="P138" s="49" t="n">
        <v>46094</v>
      </c>
      <c r="Q138" s="47" t="n">
        <v>3130</v>
      </c>
      <c r="R138" s="47" t="inlineStr">
        <is>
          <t>No Video ID yet</t>
        </is>
      </c>
      <c r="S138" s="49" t="n"/>
      <c r="T138" s="49" t="n"/>
      <c r="U138" s="47" t="inlineStr">
        <is>
          <t>In the 327th episoe of the Pop, Ben and J discuss unlikely traits, name dropping, Cameo Competitions, Mustache anniversary, no-life-ing it, and running zones. Peanuts - Hey Arnold - WE’RE ON CAMEO - Eternity - Diablo 2 - Denver, CO - 03/07/2026 (sold out) Salt Lake City, UT - 03/09/2026 (sold out) Alternate Title: Stink the 10th 00:00 - Intro, Unlikeliness of Humans 27:12 - Cameo Competition 36:16 - 2 Years Mustachioed</t>
        </is>
      </c>
      <c r="V138" s="47">
        <f>IF(AND(P138&gt;=Calendar!$K$2,P138&lt;EDATE(Calendar!$K$2,1),OR(Calendar!$K$4="*",N138=Calendar!$K$4)),P138*100+COUNTIFS($P$6:$P$3267,P138,$Q$6:$Q$3267,"&lt;="&amp;Q138,$N$6:$N$3267,Calendar!$K$4),"")</f>
        <v/>
      </c>
      <c r="W138" s="47">
        <f>IF(AND(B138=Queue!$C$4,OR(Queue!$K$4="*",N138=Queue!$K$4)),Q138,"")</f>
        <v/>
      </c>
    </row>
    <row r="139">
      <c r="A139" s="38">
        <f>IF(M139="","",HYPERLINK("https://www.youtube.com/watch?v="&amp;M139,"▶"))</f>
        <v/>
      </c>
      <c r="B139" s="39">
        <f>IF(C139&lt;&gt;"",C139,IF(P139&lt;=IFERROR(INDEX(tblChannels[Watched Through],MATCH(N139,tblChannels[Channel ID],0)),0),"Watched","Unwatched"))</f>
        <v/>
      </c>
      <c r="C139" s="40" t="n"/>
      <c r="D139" s="41" t="n"/>
      <c r="E139" s="42" t="n">
        <v>46092.625</v>
      </c>
      <c r="F139" s="50" t="inlineStr">
        <is>
          <t>Super Carlin Brothers</t>
        </is>
      </c>
      <c r="G139" t="inlineStr">
        <is>
          <t>J vs Ben: ULTIMATE Umbridge Quiz | Harry Potter Trivia</t>
        </is>
      </c>
      <c r="H139" s="44" t="n">
        <v>0.03160879629629629</v>
      </c>
      <c r="I139" s="45" t="n">
        <v>87521</v>
      </c>
      <c r="J139" s="45" t="n">
        <v>3280</v>
      </c>
      <c r="K139" s="45" t="n">
        <v>576</v>
      </c>
      <c r="L139" s="46" t="n"/>
      <c r="M139" s="47" t="n"/>
      <c r="N139" s="47" t="inlineStr">
        <is>
          <t>UCKZo4N0lVPccBkSiuyVh4yg</t>
        </is>
      </c>
      <c r="O139" s="48" t="n">
        <v>46092.79166666666</v>
      </c>
      <c r="P139" s="49" t="n">
        <v>46092</v>
      </c>
      <c r="Q139" s="47" t="n">
        <v>3129</v>
      </c>
      <c r="R139" s="47" t="inlineStr">
        <is>
          <t>No Video ID yet</t>
        </is>
      </c>
      <c r="S139" s="49" t="n"/>
      <c r="T139" s="49" t="n"/>
      <c r="U139" s="47" t="inlineStr">
        <is>
          <t>This episode is sponsored by Factor – Head to factormeals.com/jvsb50off and use code jvsb50off to get 50 percent off and free breakfast for a year! HEM-HEM! Today J and Ben face off once more to find out who knows more about everyone's least favorite character: Dolores Jane Umbridge. Play Along with us :: Edited by: Riley Murtagh Hosted by: Isybelle Christley</t>
        </is>
      </c>
      <c r="V139" s="47">
        <f>IF(AND(P139&gt;=Calendar!$K$2,P139&lt;EDATE(Calendar!$K$2,1),OR(Calendar!$K$4="*",N139=Calendar!$K$4)),P139*100+COUNTIFS($P$6:$P$3267,P139,$Q$6:$Q$3267,"&lt;="&amp;Q139,$N$6:$N$3267,Calendar!$K$4),"")</f>
        <v/>
      </c>
      <c r="W139" s="47">
        <f>IF(AND(B139=Queue!$C$4,OR(Queue!$K$4="*",N139=Queue!$K$4)),Q139,"")</f>
        <v/>
      </c>
    </row>
    <row r="140">
      <c r="A140" s="38">
        <f>IF(M140="","",HYPERLINK("https://www.youtube.com/watch?v="&amp;M140,"▶"))</f>
        <v/>
      </c>
      <c r="B140" s="39">
        <f>IF(C140&lt;&gt;"",C140,IF(P140&lt;=IFERROR(INDEX(tblChannels[Watched Through],MATCH(N140,tblChannels[Channel ID],0)),0),"Watched","Unwatched"))</f>
        <v/>
      </c>
      <c r="C140" s="40" t="n"/>
      <c r="D140" s="41" t="n"/>
      <c r="E140" s="42" t="n">
        <v>46089.41666666666</v>
      </c>
      <c r="F140" s="51" t="inlineStr">
        <is>
          <t>Through The Griffin Door</t>
        </is>
      </c>
      <c r="G140" t="inlineStr">
        <is>
          <t>Chapter 27: The Centaur and the Sneak | Order of the Phoenix</t>
        </is>
      </c>
      <c r="H140" s="44" t="n">
        <v>0.06888888888888889</v>
      </c>
      <c r="I140" s="45" t="n">
        <v>37299</v>
      </c>
      <c r="J140" s="45" t="n">
        <v>1102</v>
      </c>
      <c r="K140" s="45" t="n">
        <v>317</v>
      </c>
      <c r="L140" s="46" t="n"/>
      <c r="M140" s="47" t="n"/>
      <c r="N140" s="47" t="inlineStr">
        <is>
          <t>UCEscP6ETYXWSSvsNrDHekMQ</t>
        </is>
      </c>
      <c r="O140" s="48" t="n">
        <v>46089.58333333334</v>
      </c>
      <c r="P140" s="49" t="n">
        <v>46089</v>
      </c>
      <c r="Q140" s="47" t="n">
        <v>3128</v>
      </c>
      <c r="R140" s="47" t="inlineStr">
        <is>
          <t>No Video ID yet</t>
        </is>
      </c>
      <c r="S140" s="49" t="n"/>
      <c r="T140" s="49" t="n"/>
      <c r="U140" s="47" t="inlineStr">
        <is>
          <t>Join J and Ben as they dive into Chapter 27 of the Order of the Phoenix and discuss Hermione being a little racist(???), Firenze’s classroom, Mars and hot things, DA getting caught, and Dumbledore’s stylish exit.</t>
        </is>
      </c>
      <c r="V140" s="47">
        <f>IF(AND(P140&gt;=Calendar!$K$2,P140&lt;EDATE(Calendar!$K$2,1),OR(Calendar!$K$4="*",N140=Calendar!$K$4)),P140*100+COUNTIFS($P$6:$P$3267,P140,$Q$6:$Q$3267,"&lt;="&amp;Q140,$N$6:$N$3267,Calendar!$K$4),"")</f>
        <v/>
      </c>
      <c r="W140" s="47">
        <f>IF(AND(B140=Queue!$C$4,OR(Queue!$K$4="*",N140=Queue!$K$4)),Q140,"")</f>
        <v/>
      </c>
    </row>
    <row r="141">
      <c r="A141" s="38">
        <f>IF(M141="","",HYPERLINK("https://www.youtube.com/watch?v="&amp;M141,"▶"))</f>
        <v/>
      </c>
      <c r="B141" s="39">
        <f>IF(C141&lt;&gt;"",C141,IF(P141&lt;=IFERROR(INDEX(tblChannels[Watched Through],MATCH(N141,tblChannels[Channel ID],0)),0),"Watched","Unwatched"))</f>
        <v/>
      </c>
      <c r="C141" s="40" t="n"/>
      <c r="D141" s="41" t="n"/>
      <c r="E141" s="42" t="n">
        <v>46087.625</v>
      </c>
      <c r="F141" s="50" t="inlineStr">
        <is>
          <t>Super Carlin Brothers</t>
        </is>
      </c>
      <c r="G141" t="inlineStr">
        <is>
          <t>The 10 Moments That Made Avatar: The Last Airbender Legendary</t>
        </is>
      </c>
      <c r="H141" s="44" t="n">
        <v>0.02039351851851852</v>
      </c>
      <c r="I141" s="45" t="n">
        <v>39983</v>
      </c>
      <c r="J141" s="45" t="n">
        <v>2178</v>
      </c>
      <c r="K141" s="45" t="n">
        <v>178</v>
      </c>
      <c r="L141" s="46" t="n"/>
      <c r="M141" s="47" t="n"/>
      <c r="N141" s="47" t="inlineStr">
        <is>
          <t>UCKZo4N0lVPccBkSiuyVh4yg</t>
        </is>
      </c>
      <c r="O141" s="48" t="n">
        <v>46087.83333333334</v>
      </c>
      <c r="P141" s="49" t="n">
        <v>46087</v>
      </c>
      <c r="Q141" s="47" t="n">
        <v>3127</v>
      </c>
      <c r="R141" s="47" t="inlineStr">
        <is>
          <t>No Video ID yet</t>
        </is>
      </c>
      <c r="S141" s="49" t="n"/>
      <c r="T141" s="49" t="n"/>
      <c r="U141" s="47" t="inlineStr">
        <is>
          <t>Today J dives off a sky bison into the world of Avatar The Last Air Bender to review the Top 10 moments that defined the show and truly made it LEGENDARY. From Zuko vs Azula, Tears from the Vine, Katara vs Pakku and Aang vs The Fire Lord, we break them ALL down! #SuperCarlinBrothers #avatarthelastairbender</t>
        </is>
      </c>
      <c r="V141" s="47">
        <f>IF(AND(P141&gt;=Calendar!$K$2,P141&lt;EDATE(Calendar!$K$2,1),OR(Calendar!$K$4="*",N141=Calendar!$K$4)),P141*100+COUNTIFS($P$6:$P$3267,P141,$Q$6:$Q$3267,"&lt;="&amp;Q141,$N$6:$N$3267,Calendar!$K$4),"")</f>
        <v/>
      </c>
      <c r="W141" s="47">
        <f>IF(AND(B141=Queue!$C$4,OR(Queue!$K$4="*",N141=Queue!$K$4)),Q141,"")</f>
        <v/>
      </c>
    </row>
    <row r="142">
      <c r="A142" s="38">
        <f>IF(M142="","",HYPERLINK("https://www.youtube.com/watch?v="&amp;M142,"▶"))</f>
        <v/>
      </c>
      <c r="B142" s="39">
        <f>IF(C142&lt;&gt;"",C142,IF(P142&lt;=IFERROR(INDEX(tblChannels[Watched Through],MATCH(N142,tblChannels[Channel ID],0)),0),"Watched","Unwatched"))</f>
        <v/>
      </c>
      <c r="C142" s="40" t="n"/>
      <c r="D142" s="41" t="n"/>
      <c r="E142" s="42" t="n">
        <v>46087.41666666666</v>
      </c>
      <c r="F142" s="43" t="inlineStr">
        <is>
          <t>Popcorn Culture</t>
        </is>
      </c>
      <c r="G142" t="inlineStr">
        <is>
          <t>Small Town Service | Popcorn Culture</t>
        </is>
      </c>
      <c r="H142" s="44" t="n">
        <v>0.05445601851851852</v>
      </c>
      <c r="I142" s="45" t="n">
        <v>2692</v>
      </c>
      <c r="J142" s="45" t="n">
        <v>140</v>
      </c>
      <c r="K142" s="45" t="n">
        <v>12</v>
      </c>
      <c r="L142" s="46" t="n"/>
      <c r="M142" s="47" t="n"/>
      <c r="N142" s="47" t="inlineStr">
        <is>
          <t>UCHfIbq9thHPC8yrKjAdJgDA</t>
        </is>
      </c>
      <c r="O142" s="48" t="n">
        <v>46087.625</v>
      </c>
      <c r="P142" s="49" t="n">
        <v>46087</v>
      </c>
      <c r="Q142" s="47" t="n">
        <v>3126</v>
      </c>
      <c r="R142" s="47" t="inlineStr">
        <is>
          <t>No Video ID yet</t>
        </is>
      </c>
      <c r="S142" s="49" t="n"/>
      <c r="T142" s="49" t="n"/>
      <c r="U142" s="47" t="inlineStr">
        <is>
          <t>In the 326th episode of the Pop, Ben and J discuss hard conversations, invisalign and weight loss, teaching Addy how to ride a bike, small town service, screen time, and PRINGLES. WE’RE ON CAMEO - Denver, CO - 03/07/2026 (sold out) Salt Lake City, UT - 03/09/2026 (sold out) Alternate Title: Perfectly Imperfect Snack Proud Dad Moment 00:00 - Intro, We Did a Too Long ATFP 01:37 - More Hard Conversations 25:30 - Body Progress 42:31 - Bike Riding</t>
        </is>
      </c>
      <c r="V142" s="47">
        <f>IF(AND(P142&gt;=Calendar!$K$2,P142&lt;EDATE(Calendar!$K$2,1),OR(Calendar!$K$4="*",N142=Calendar!$K$4)),P142*100+COUNTIFS($P$6:$P$3267,P142,$Q$6:$Q$3267,"&lt;="&amp;Q142,$N$6:$N$3267,Calendar!$K$4),"")</f>
        <v/>
      </c>
      <c r="W142" s="47">
        <f>IF(AND(B142=Queue!$C$4,OR(Queue!$K$4="*",N142=Queue!$K$4)),Q142,"")</f>
        <v/>
      </c>
    </row>
    <row r="143">
      <c r="A143" s="38">
        <f>IF(M143="","",HYPERLINK("https://www.youtube.com/watch?v="&amp;M143,"▶"))</f>
        <v/>
      </c>
      <c r="B143" s="39">
        <f>IF(C143&lt;&gt;"",C143,IF(P143&lt;=IFERROR(INDEX(tblChannels[Watched Through],MATCH(N143,tblChannels[Channel ID],0)),0),"Watched","Unwatched"))</f>
        <v/>
      </c>
      <c r="C143" s="40" t="n"/>
      <c r="D143" s="41" t="n"/>
      <c r="E143" s="42" t="n">
        <v>46085.67986111111</v>
      </c>
      <c r="F143" s="50" t="inlineStr">
        <is>
          <t>Super Carlin Brothers</t>
        </is>
      </c>
      <c r="G143" t="inlineStr">
        <is>
          <t>Theories From A Hat: More UNHINGED Harry Potter Theories</t>
        </is>
      </c>
      <c r="H143" s="44" t="n">
        <v>0.02287037037037037</v>
      </c>
      <c r="I143" s="45" t="n">
        <v>115293</v>
      </c>
      <c r="J143" s="45" t="n">
        <v>4093</v>
      </c>
      <c r="K143" s="45" t="n">
        <v>503</v>
      </c>
      <c r="L143" s="46" t="n"/>
      <c r="M143" s="47" t="n"/>
      <c r="N143" s="47" t="inlineStr">
        <is>
          <t>UCKZo4N0lVPccBkSiuyVh4yg</t>
        </is>
      </c>
      <c r="O143" s="48" t="n">
        <v>46085.88819444444</v>
      </c>
      <c r="P143" s="49" t="n">
        <v>46085</v>
      </c>
      <c r="Q143" s="47" t="n">
        <v>3125</v>
      </c>
      <c r="R143" s="47" t="inlineStr">
        <is>
          <t>No Video ID yet</t>
        </is>
      </c>
      <c r="S143" s="49" t="n"/>
      <c r="T143" s="49" t="n"/>
      <c r="U143" s="47" t="inlineStr">
        <is>
          <t>Sign up and get 10% off at BetterHelp.com/SUPER Today J and Ben are drawing more randomly viewer submitted theories from a hat and must defend them on the fly with no preparation and no book to guide them! Can they improvise a compelling case for an idea they’ve never heard before? Did Umbridge Love Dumbledore? Is Hermione the Narrator? Did Voldemort kill Caractacus Burke?</t>
        </is>
      </c>
      <c r="V143" s="47">
        <f>IF(AND(P143&gt;=Calendar!$K$2,P143&lt;EDATE(Calendar!$K$2,1),OR(Calendar!$K$4="*",N143=Calendar!$K$4)),P143*100+COUNTIFS($P$6:$P$3267,P143,$Q$6:$Q$3267,"&lt;="&amp;Q143,$N$6:$N$3267,Calendar!$K$4),"")</f>
        <v/>
      </c>
      <c r="W143" s="47">
        <f>IF(AND(B143=Queue!$C$4,OR(Queue!$K$4="*",N143=Queue!$K$4)),Q143,"")</f>
        <v/>
      </c>
    </row>
    <row r="144">
      <c r="A144" s="38">
        <f>IF(M144="","",HYPERLINK("https://www.youtube.com/watch?v="&amp;M144,"▶"))</f>
        <v/>
      </c>
      <c r="B144" s="39">
        <f>IF(C144&lt;&gt;"",C144,IF(P144&lt;=IFERROR(INDEX(tblChannels[Watched Through],MATCH(N144,tblChannels[Channel ID],0)),0),"Watched","Unwatched"))</f>
        <v/>
      </c>
      <c r="C144" s="40" t="n"/>
      <c r="D144" s="41" t="n"/>
      <c r="E144" s="42" t="n">
        <v>46082.41736111111</v>
      </c>
      <c r="F144" s="51" t="inlineStr">
        <is>
          <t>Through The Griffin Door</t>
        </is>
      </c>
      <c r="G144" t="inlineStr">
        <is>
          <t>Chapter 26: Seen and Unforeseen | Order of the Phoenix</t>
        </is>
      </c>
      <c r="H144" s="44" t="n">
        <v>0.07197916666666666</v>
      </c>
      <c r="I144" s="45" t="n">
        <v>40585</v>
      </c>
      <c r="J144" s="45" t="n">
        <v>1079</v>
      </c>
      <c r="K144" s="45" t="n">
        <v>303</v>
      </c>
      <c r="L144" s="46" t="n"/>
      <c r="M144" s="47" t="n"/>
      <c r="N144" s="47" t="inlineStr">
        <is>
          <t>UCEscP6ETYXWSSvsNrDHekMQ</t>
        </is>
      </c>
      <c r="O144" s="48" t="n">
        <v>46082.62569444445</v>
      </c>
      <c r="P144" s="49" t="n">
        <v>46082</v>
      </c>
      <c r="Q144" s="47" t="n">
        <v>3124</v>
      </c>
      <c r="R144" s="47" t="inlineStr">
        <is>
          <t>No Video ID yet</t>
        </is>
      </c>
      <c r="S144" s="49" t="n"/>
      <c r="T144" s="49" t="n"/>
      <c r="U144" s="47" t="inlineStr">
        <is>
          <t>Join J and Ben as they dive into Chapter 26 of the Order of the Phoenix and discuss Harry’s date debrief with Hermione, the spirit of sports, the reaction to the Quibbler article, the Death Eaters dream, Hermione connecting the dots, tense Occlumency lessons, and Trelawney getting kicked out. 03:16 - Chapter Breakdown 1:32:34 - Closing Thoughts and Review</t>
        </is>
      </c>
      <c r="V144" s="47">
        <f>IF(AND(P144&gt;=Calendar!$K$2,P144&lt;EDATE(Calendar!$K$2,1),OR(Calendar!$K$4="*",N144=Calendar!$K$4)),P144*100+COUNTIFS($P$6:$P$3267,P144,$Q$6:$Q$3267,"&lt;="&amp;Q144,$N$6:$N$3267,Calendar!$K$4),"")</f>
        <v/>
      </c>
      <c r="W144" s="47">
        <f>IF(AND(B144=Queue!$C$4,OR(Queue!$K$4="*",N144=Queue!$K$4)),Q144,"")</f>
        <v/>
      </c>
    </row>
    <row r="145">
      <c r="A145" s="38">
        <f>IF(M145="","",HYPERLINK("https://www.youtube.com/watch?v="&amp;M145,"▶"))</f>
        <v/>
      </c>
      <c r="B145" s="39">
        <f>IF(C145&lt;&gt;"",C145,IF(P145&lt;=IFERROR(INDEX(tblChannels[Watched Through],MATCH(N145,tblChannels[Channel ID],0)),0),"Watched","Unwatched"))</f>
        <v/>
      </c>
      <c r="C145" s="40" t="n"/>
      <c r="D145" s="41" t="n"/>
      <c r="E145" s="42" t="n">
        <v>46080.7375</v>
      </c>
      <c r="F145" s="50" t="inlineStr">
        <is>
          <t>Super Carlin Brothers</t>
        </is>
      </c>
      <c r="G145" t="inlineStr">
        <is>
          <t>What Happened To Fantastic Beasts? | Harry Potter</t>
        </is>
      </c>
      <c r="H145" s="44" t="n">
        <v>0.01809027777777778</v>
      </c>
      <c r="I145" s="45" t="n">
        <v>255211</v>
      </c>
      <c r="J145" s="45" t="n">
        <v>9056</v>
      </c>
      <c r="K145" s="45" t="n">
        <v>1773</v>
      </c>
      <c r="L145" s="46" t="n"/>
      <c r="M145" s="47" t="n"/>
      <c r="N145" s="47" t="inlineStr">
        <is>
          <t>UCKZo4N0lVPccBkSiuyVh4yg</t>
        </is>
      </c>
      <c r="O145" s="48" t="n">
        <v>46080.94583333333</v>
      </c>
      <c r="P145" s="49" t="n">
        <v>46080</v>
      </c>
      <c r="Q145" s="47" t="n">
        <v>3123</v>
      </c>
      <c r="R145" s="47" t="inlineStr">
        <is>
          <t>No Video ID yet</t>
        </is>
      </c>
      <c r="S145" s="49" t="n"/>
      <c r="T145" s="49" t="n"/>
      <c r="U145" s="47" t="inlineStr">
        <is>
          <t>The Everyday Earbuds Classic are here to help you go for gold. Go to buy raycon.com/supercarlin to get 15% off. Thanks Raycon for sponsoring! Head to factormeals.com/super50off and use code 'super50off' to get 50 percent off and FREE breakfast for a year. What Happened to the Fantastic Beasts Movies? Today J dives into the Wizarding World to explore why these movies stalled out. From convoluted plot lines to out-of-universe controversies with JK Rowling, we get to the bottom of it</t>
        </is>
      </c>
      <c r="V145" s="47">
        <f>IF(AND(P145&gt;=Calendar!$K$2,P145&lt;EDATE(Calendar!$K$2,1),OR(Calendar!$K$4="*",N145=Calendar!$K$4)),P145*100+COUNTIFS($P$6:$P$3267,P145,$Q$6:$Q$3267,"&lt;="&amp;Q145,$N$6:$N$3267,Calendar!$K$4),"")</f>
        <v/>
      </c>
      <c r="W145" s="47">
        <f>IF(AND(B145=Queue!$C$4,OR(Queue!$K$4="*",N145=Queue!$K$4)),Q145,"")</f>
        <v/>
      </c>
    </row>
    <row r="146">
      <c r="A146" s="38">
        <f>IF(M146="","",HYPERLINK("https://www.youtube.com/watch?v="&amp;M146,"▶"))</f>
        <v/>
      </c>
      <c r="B146" s="39">
        <f>IF(C146&lt;&gt;"",C146,IF(P146&lt;=IFERROR(INDEX(tblChannels[Watched Through],MATCH(N146,tblChannels[Channel ID],0)),0),"Watched","Unwatched"))</f>
        <v/>
      </c>
      <c r="C146" s="40" t="n"/>
      <c r="D146" s="41" t="n"/>
      <c r="E146" s="42" t="n">
        <v>46080.41736111111</v>
      </c>
      <c r="F146" s="43" t="inlineStr">
        <is>
          <t>Popcorn Culture</t>
        </is>
      </c>
      <c r="G146" t="inlineStr">
        <is>
          <t>Ben Picked a Pin! | Popcorn Culture</t>
        </is>
      </c>
      <c r="H146" s="44" t="n">
        <v>0.05498842592592593</v>
      </c>
      <c r="I146" s="45" t="n">
        <v>2514</v>
      </c>
      <c r="J146" s="45" t="n">
        <v>133</v>
      </c>
      <c r="K146" s="45" t="n">
        <v>27</v>
      </c>
      <c r="L146" s="46" t="n"/>
      <c r="M146" s="47" t="n"/>
      <c r="N146" s="47" t="inlineStr">
        <is>
          <t>UCHfIbq9thHPC8yrKjAdJgDA</t>
        </is>
      </c>
      <c r="O146" s="48" t="n">
        <v>46080.62569444445</v>
      </c>
      <c r="P146" s="49" t="n">
        <v>46080</v>
      </c>
      <c r="Q146" s="47" t="n">
        <v>3122</v>
      </c>
      <c r="R146" s="47" t="inlineStr">
        <is>
          <t>No Video ID yet</t>
        </is>
      </c>
      <c r="S146" s="49" t="n"/>
      <c r="T146" s="49" t="n"/>
      <c r="U146" s="47" t="inlineStr">
        <is>
          <t>In episode 325 of the Pop, Ben and J discuss getting over sickness, FOMO, self driving vehicles, the twin’s birthday, the Olympics, grass basketball, Cameo beef, Ben’s new character, Ben’s least favorite actor, and the MCU phenomenon. WE’RE ON CAMEO - Tron: Ares - The MCU - Denver, CO - 03/07/2026 (sold out) Salt Lake City, UT - 03/09/2026 (sold out) Alternate Title: The Ritual of Sports BEEF with George 00:00 - Intro, Sleep and FOMO 12:56 - Nick and Nate’s Birthday! 38:14 - BEEF With George 41:21 - Ben’s Life Development 57:16 - Tron: Ares</t>
        </is>
      </c>
      <c r="V146" s="47">
        <f>IF(AND(P146&gt;=Calendar!$K$2,P146&lt;EDATE(Calendar!$K$2,1),OR(Calendar!$K$4="*",N146=Calendar!$K$4)),P146*100+COUNTIFS($P$6:$P$3267,P146,$Q$6:$Q$3267,"&lt;="&amp;Q146,$N$6:$N$3267,Calendar!$K$4),"")</f>
        <v/>
      </c>
      <c r="W146" s="47">
        <f>IF(AND(B146=Queue!$C$4,OR(Queue!$K$4="*",N146=Queue!$K$4)),Q146,"")</f>
        <v/>
      </c>
    </row>
    <row r="147">
      <c r="A147" s="38">
        <f>IF(M147="","",HYPERLINK("https://www.youtube.com/watch?v="&amp;M147,"▶"))</f>
        <v/>
      </c>
      <c r="B147" s="39">
        <f>IF(C147&lt;&gt;"",C147,IF(P147&lt;=IFERROR(INDEX(tblChannels[Watched Through],MATCH(N147,tblChannels[Channel ID],0)),0),"Watched","Unwatched"))</f>
        <v/>
      </c>
      <c r="C147" s="40" t="n"/>
      <c r="D147" s="41" t="n"/>
      <c r="E147" s="42" t="n">
        <v>46078.73402777778</v>
      </c>
      <c r="F147" s="50" t="inlineStr">
        <is>
          <t>Super Carlin Brothers</t>
        </is>
      </c>
      <c r="G147" t="inlineStr">
        <is>
          <t>J vs Ben: The HARDEST Harry Potter Hospital Quiz</t>
        </is>
      </c>
      <c r="H147" s="44" t="n">
        <v>0.03328703703703704</v>
      </c>
      <c r="I147" s="45" t="n">
        <v>84318</v>
      </c>
      <c r="J147" s="45" t="n">
        <v>3139</v>
      </c>
      <c r="K147" s="45" t="n">
        <v>405</v>
      </c>
      <c r="L147" s="46" t="n"/>
      <c r="M147" s="47" t="n"/>
      <c r="N147" s="47" t="inlineStr">
        <is>
          <t>UCKZo4N0lVPccBkSiuyVh4yg</t>
        </is>
      </c>
      <c r="O147" s="48" t="n">
        <v>46078.94236111111</v>
      </c>
      <c r="P147" s="49" t="n">
        <v>46078</v>
      </c>
      <c r="Q147" s="47" t="n">
        <v>3121</v>
      </c>
      <c r="R147" s="47" t="inlineStr">
        <is>
          <t>No Video ID yet</t>
        </is>
      </c>
      <c r="S147" s="49" t="n"/>
      <c r="T147" s="49" t="n"/>
      <c r="U147" s="47" t="inlineStr">
        <is>
          <t>Get ready for another J vs Ben: The HARDEST Harry Potter Hospital Quiz! Today J and Ben face off once more to find out who knows more about St. Mungos Hospital for Magical Maladies and Injuries. This has been a long awaited quiz about one of the most trivia dense parts of the book. Questions about this place have haunted the Carlins for years and now the FULL WEIGHT of its might is about to rain down upon them! Hope they studied.. Cameo: (Oliver Phelps is SO going down!) Play Along with us: Huge thank you to all of our Quiz Masters whose questions were selected: Tara Walker, Skylark, Teghan Denlinger, Oryan’s Wizard Parts, FireFlower, Ben Henderson, Dorian R. Elli Collins, Maddy DeVeuve, M. Casarico, Bouillion Cube, Crafty Liz, Storm, LawNinja, Nathan Morgan, Tina’s Hotdog Sophie, TrexDog, IrishRoyalty, Bunny, Dread, Jessica Theirault, Teagan Steffen, Francis’s Trousers, MikeDroid, GooeyChewie, DumbleDad, Katrina A, Dola and Cam of the Math Budget Hosted by: Kat Stine</t>
        </is>
      </c>
      <c r="V147" s="47">
        <f>IF(AND(P147&gt;=Calendar!$K$2,P147&lt;EDATE(Calendar!$K$2,1),OR(Calendar!$K$4="*",N147=Calendar!$K$4)),P147*100+COUNTIFS($P$6:$P$3267,P147,$Q$6:$Q$3267,"&lt;="&amp;Q147,$N$6:$N$3267,Calendar!$K$4),"")</f>
        <v/>
      </c>
      <c r="W147" s="47">
        <f>IF(AND(B147=Queue!$C$4,OR(Queue!$K$4="*",N147=Queue!$K$4)),Q147,"")</f>
        <v/>
      </c>
    </row>
    <row r="148">
      <c r="A148" s="38">
        <f>IF(M148="","",HYPERLINK("https://www.youtube.com/watch?v="&amp;M148,"▶"))</f>
        <v/>
      </c>
      <c r="B148" s="39">
        <f>IF(C148&lt;&gt;"",C148,IF(P148&lt;=IFERROR(INDEX(tblChannels[Watched Through],MATCH(N148,tblChannels[Channel ID],0)),0),"Watched","Unwatched"))</f>
        <v/>
      </c>
      <c r="C148" s="40" t="n"/>
      <c r="D148" s="41" t="n"/>
      <c r="E148" s="42" t="n">
        <v>46075.41666666666</v>
      </c>
      <c r="F148" s="51" t="inlineStr">
        <is>
          <t>Through The Griffin Door</t>
        </is>
      </c>
      <c r="G148" t="inlineStr">
        <is>
          <t>Chapter 25: The Beetle at Bay | Order of the Phoenix</t>
        </is>
      </c>
      <c r="H148" s="44" t="n">
        <v>0.07890046296296296</v>
      </c>
      <c r="I148" s="45" t="n">
        <v>44921</v>
      </c>
      <c r="J148" s="45" t="n">
        <v>1147</v>
      </c>
      <c r="K148" s="45" t="n">
        <v>308</v>
      </c>
      <c r="L148" s="46" t="n"/>
      <c r="M148" s="47" t="n"/>
      <c r="N148" s="47" t="inlineStr">
        <is>
          <t>UCEscP6ETYXWSSvsNrDHekMQ</t>
        </is>
      </c>
      <c r="O148" s="48" t="n">
        <v>46075.625</v>
      </c>
      <c r="P148" s="49" t="n">
        <v>46075</v>
      </c>
      <c r="Q148" s="47" t="n">
        <v>3120</v>
      </c>
      <c r="R148" s="47" t="inlineStr">
        <is>
          <t>No Video ID yet</t>
        </is>
      </c>
      <c r="S148" s="49" t="n"/>
      <c r="T148" s="49" t="n"/>
      <c r="U148" s="47" t="inlineStr">
        <is>
          <t>Join J and Ben as they dive into Chapter 25 of the Order of the Phoenix and discuss the Azkaban breakout, Bode’s death, regular Hogwarts students, Harry’s horrible date with Cho, and the interview with Rita Skeeter. 09:21 - Chapter Breakdown 55:06 - Ad Break (Shopify) 56:20 - More Chapter Breakdown 1:44:42 - Closing Thoughts and Review</t>
        </is>
      </c>
      <c r="V148" s="47">
        <f>IF(AND(P148&gt;=Calendar!$K$2,P148&lt;EDATE(Calendar!$K$2,1),OR(Calendar!$K$4="*",N148=Calendar!$K$4)),P148*100+COUNTIFS($P$6:$P$3267,P148,$Q$6:$Q$3267,"&lt;="&amp;Q148,$N$6:$N$3267,Calendar!$K$4),"")</f>
        <v/>
      </c>
      <c r="W148" s="47">
        <f>IF(AND(B148=Queue!$C$4,OR(Queue!$K$4="*",N148=Queue!$K$4)),Q148,"")</f>
        <v/>
      </c>
    </row>
    <row r="149">
      <c r="A149" s="38">
        <f>IF(M149="","",HYPERLINK("https://www.youtube.com/watch?v="&amp;M149,"▶"))</f>
        <v/>
      </c>
      <c r="B149" s="39">
        <f>IF(C149&lt;&gt;"",C149,IF(P149&lt;=IFERROR(INDEX(tblChannels[Watched Through],MATCH(N149,tblChannels[Channel ID],0)),0),"Watched","Unwatched"))</f>
        <v/>
      </c>
      <c r="C149" s="40" t="n"/>
      <c r="D149" s="41" t="n"/>
      <c r="E149" s="42" t="n">
        <v>46073.68888888889</v>
      </c>
      <c r="F149" s="50" t="inlineStr">
        <is>
          <t>Super Carlin Brothers</t>
        </is>
      </c>
      <c r="G149" t="inlineStr">
        <is>
          <t>What If Snape Was in Gryffindor? | Harry Potter Theory</t>
        </is>
      </c>
      <c r="H149" s="44" t="n">
        <v>0.01387731481481481</v>
      </c>
      <c r="I149" s="45" t="n">
        <v>84554</v>
      </c>
      <c r="J149" s="45" t="n">
        <v>4058</v>
      </c>
      <c r="K149" s="45" t="n">
        <v>888</v>
      </c>
      <c r="L149" s="46" t="n"/>
      <c r="M149" s="47" t="n"/>
      <c r="N149" s="47" t="inlineStr">
        <is>
          <t>UCKZo4N0lVPccBkSiuyVh4yg</t>
        </is>
      </c>
      <c r="O149" s="48" t="n">
        <v>46073.89722222222</v>
      </c>
      <c r="P149" s="49" t="n">
        <v>46073</v>
      </c>
      <c r="Q149" s="47" t="n">
        <v>3119</v>
      </c>
      <c r="R149" s="47" t="inlineStr">
        <is>
          <t>No Video ID yet</t>
        </is>
      </c>
      <c r="S149" s="49" t="n"/>
      <c r="T149" s="49" t="n"/>
      <c r="U149" s="47" t="inlineStr">
        <is>
          <t>What if Snape was sorted into Gryffindor? This show is sponsored by BetterHelp – Sign up and get 10% off your first month at BetterHelp.com/SUPER This show is sponsored by Shopify – Go to shopify.com/scb to sign up for your one dollar per month trial! Today Ben dives into the Wizarding World of Harry Potter to ask: What if Snape was in Gryffindor? Dumbledore says he thinks they may have sorted him too early, and Harry calls him one of the bravest men he ever met. Would being sorted into Gryffindor make him one of the Marauders? Would he ever become a Death Eater? Would the prophecy ever be overheard? Question submitted by: Adam Pennington</t>
        </is>
      </c>
      <c r="V149" s="47">
        <f>IF(AND(P149&gt;=Calendar!$K$2,P149&lt;EDATE(Calendar!$K$2,1),OR(Calendar!$K$4="*",N149=Calendar!$K$4)),P149*100+COUNTIFS($P$6:$P$3267,P149,$Q$6:$Q$3267,"&lt;="&amp;Q149,$N$6:$N$3267,Calendar!$K$4),"")</f>
        <v/>
      </c>
      <c r="W149" s="47">
        <f>IF(AND(B149=Queue!$C$4,OR(Queue!$K$4="*",N149=Queue!$K$4)),Q149,"")</f>
        <v/>
      </c>
    </row>
    <row r="150">
      <c r="A150" s="38">
        <f>IF(M150="","",HYPERLINK("https://www.youtube.com/watch?v="&amp;M150,"▶"))</f>
        <v/>
      </c>
      <c r="B150" s="39">
        <f>IF(C150&lt;&gt;"",C150,IF(P150&lt;=IFERROR(INDEX(tblChannels[Watched Through],MATCH(N150,tblChannels[Channel ID],0)),0),"Watched","Unwatched"))</f>
        <v/>
      </c>
      <c r="C150" s="40" t="n"/>
      <c r="D150" s="41" t="n"/>
      <c r="E150" s="42" t="n">
        <v>46073.41666666666</v>
      </c>
      <c r="F150" s="43" t="inlineStr">
        <is>
          <t>Popcorn Culture</t>
        </is>
      </c>
      <c r="G150" t="inlineStr">
        <is>
          <t>Traumatizing Disney Rides | Popcorn Culture</t>
        </is>
      </c>
      <c r="H150" s="44" t="n">
        <v>0.04677083333333333</v>
      </c>
      <c r="I150" s="45" t="n">
        <v>2582</v>
      </c>
      <c r="J150" s="45" t="n">
        <v>143</v>
      </c>
      <c r="K150" s="45" t="n">
        <v>24</v>
      </c>
      <c r="L150" s="46" t="n"/>
      <c r="M150" s="47" t="n"/>
      <c r="N150" s="47" t="inlineStr">
        <is>
          <t>UCHfIbq9thHPC8yrKjAdJgDA</t>
        </is>
      </c>
      <c r="O150" s="48" t="n">
        <v>46073.625</v>
      </c>
      <c r="P150" s="49" t="n">
        <v>46073</v>
      </c>
      <c r="Q150" s="47" t="n">
        <v>3118</v>
      </c>
      <c r="R150" s="47" t="inlineStr">
        <is>
          <t>No Video ID yet</t>
        </is>
      </c>
      <c r="S150" s="49" t="n"/>
      <c r="T150" s="49" t="n"/>
      <c r="U150" s="47" t="inlineStr">
        <is>
          <t>In the 324th episode of the Pop, Ben and J discuss their most recent Disney trip: great food, epic pin trading, traumatizing rides for children and chicken and waffles. Denver, CO - 03/07/2026 (sold out) Salt Lake City, UT - 03/09/2026 (sold out)</t>
        </is>
      </c>
      <c r="V150" s="47">
        <f>IF(AND(P150&gt;=Calendar!$K$2,P150&lt;EDATE(Calendar!$K$2,1),OR(Calendar!$K$4="*",N150=Calendar!$K$4)),P150*100+COUNTIFS($P$6:$P$3267,P150,$Q$6:$Q$3267,"&lt;="&amp;Q150,$N$6:$N$3267,Calendar!$K$4),"")</f>
        <v/>
      </c>
      <c r="W150" s="47">
        <f>IF(AND(B150=Queue!$C$4,OR(Queue!$K$4="*",N150=Queue!$K$4)),Q150,"")</f>
        <v/>
      </c>
    </row>
    <row r="151">
      <c r="A151" s="38">
        <f>IF(M151="","",HYPERLINK("https://www.youtube.com/watch?v="&amp;M151,"▶"))</f>
        <v/>
      </c>
      <c r="B151" s="39">
        <f>IF(C151&lt;&gt;"",C151,IF(P151&lt;=IFERROR(INDEX(tblChannels[Watched Through],MATCH(N151,tblChannels[Channel ID],0)),0),"Watched","Unwatched"))</f>
        <v/>
      </c>
      <c r="C151" s="40" t="n"/>
      <c r="D151" s="41" t="n"/>
      <c r="E151" s="42" t="n">
        <v>46071.68472222222</v>
      </c>
      <c r="F151" s="50" t="inlineStr">
        <is>
          <t>Super Carlin Brothers</t>
        </is>
      </c>
      <c r="G151" t="inlineStr">
        <is>
          <t>Umbridge VS Voldemort - Who’s Worse | Harry Potter Theory</t>
        </is>
      </c>
      <c r="H151" s="44" t="n">
        <v>0.01177083333333333</v>
      </c>
      <c r="I151" s="45" t="n">
        <v>57618</v>
      </c>
      <c r="J151" s="45" t="n">
        <v>3346</v>
      </c>
      <c r="K151" s="45" t="n">
        <v>897</v>
      </c>
      <c r="L151" s="46" t="n"/>
      <c r="M151" s="47" t="n"/>
      <c r="N151" s="47" t="inlineStr">
        <is>
          <t>UCKZo4N0lVPccBkSiuyVh4yg</t>
        </is>
      </c>
      <c r="O151" s="48" t="n">
        <v>46071.89305555556</v>
      </c>
      <c r="P151" s="49" t="n">
        <v>46071</v>
      </c>
      <c r="Q151" s="47" t="n">
        <v>3117</v>
      </c>
      <c r="R151" s="47" t="inlineStr">
        <is>
          <t>No Video ID yet</t>
        </is>
      </c>
      <c r="S151" s="49" t="n"/>
      <c r="T151" s="49" t="n"/>
      <c r="U151" s="47" t="inlineStr">
        <is>
          <t>This show is sponsored by BetterHelp – Sign up and get 10% off your first month at BetterHelp.com/SUPER Today J dives into the Wizarding World of Harry Potter to discuss one of the most fun questions in the fandom: Who’s worse: Voldemort or Umbridge? It feels like there should be an obvious answer and yet Umbridge certainly makes a case for herself. From stripping all happiness and joy from Hogwarts and Harry, stripping freedom after freedom, and rationalizing torture - is Umbridges brand of evil more relatable and scary than the Dark Lord himself?</t>
        </is>
      </c>
      <c r="V151" s="47">
        <f>IF(AND(P151&gt;=Calendar!$K$2,P151&lt;EDATE(Calendar!$K$2,1),OR(Calendar!$K$4="*",N151=Calendar!$K$4)),P151*100+COUNTIFS($P$6:$P$3267,P151,$Q$6:$Q$3267,"&lt;="&amp;Q151,$N$6:$N$3267,Calendar!$K$4),"")</f>
        <v/>
      </c>
      <c r="W151" s="47">
        <f>IF(AND(B151=Queue!$C$4,OR(Queue!$K$4="*",N151=Queue!$K$4)),Q151,"")</f>
        <v/>
      </c>
    </row>
    <row r="152">
      <c r="A152" s="38">
        <f>IF(M152="","",HYPERLINK("https://www.youtube.com/watch?v="&amp;M152,"▶"))</f>
        <v/>
      </c>
      <c r="B152" s="39">
        <f>IF(C152&lt;&gt;"",C152,IF(P152&lt;=IFERROR(INDEX(tblChannels[Watched Through],MATCH(N152,tblChannels[Channel ID],0)),0),"Watched","Unwatched"))</f>
        <v/>
      </c>
      <c r="C152" s="40" t="n"/>
      <c r="D152" s="41" t="n"/>
      <c r="E152" s="42" t="n">
        <v>46071.56388888889</v>
      </c>
      <c r="F152" s="50" t="inlineStr">
        <is>
          <t>Super Carlin Brothers</t>
        </is>
      </c>
      <c r="G152" t="inlineStr">
        <is>
          <t>WHEN DOES FINDING NEMO HAPPEN?!</t>
        </is>
      </c>
      <c r="H152" s="44" t="n">
        <v>0.00119212962962963</v>
      </c>
      <c r="I152" s="45" t="n">
        <v>82758</v>
      </c>
      <c r="J152" s="45" t="n">
        <v>2319</v>
      </c>
      <c r="K152" s="45" t="n">
        <v>63</v>
      </c>
      <c r="L152" s="46" t="n"/>
      <c r="M152" s="47" t="n"/>
      <c r="N152" s="47" t="inlineStr">
        <is>
          <t>UCKZo4N0lVPccBkSiuyVh4yg</t>
        </is>
      </c>
      <c r="O152" s="48" t="n">
        <v>46071.77222222222</v>
      </c>
      <c r="P152" s="49" t="n">
        <v>46071</v>
      </c>
      <c r="Q152" s="47" t="n">
        <v>3116</v>
      </c>
      <c r="R152" s="47" t="inlineStr">
        <is>
          <t>No Video ID yet</t>
        </is>
      </c>
      <c r="S152" s="49" t="n"/>
      <c r="T152" s="49" t="n"/>
      <c r="U152" s="47" t="inlineStr">
        <is>
          <t>We solved the Finding Nemo Timeline... What's your favorite Pixar Easter Egg? #pixar #pixarmovie #pixartheory #findingnemo #insideout</t>
        </is>
      </c>
      <c r="V152" s="47">
        <f>IF(AND(P152&gt;=Calendar!$K$2,P152&lt;EDATE(Calendar!$K$2,1),OR(Calendar!$K$4="*",N152=Calendar!$K$4)),P152*100+COUNTIFS($P$6:$P$3267,P152,$Q$6:$Q$3267,"&lt;="&amp;Q152,$N$6:$N$3267,Calendar!$K$4),"")</f>
        <v/>
      </c>
      <c r="W152" s="47">
        <f>IF(AND(B152=Queue!$C$4,OR(Queue!$K$4="*",N152=Queue!$K$4)),Q152,"")</f>
        <v/>
      </c>
    </row>
    <row r="153">
      <c r="A153" s="38">
        <f>IF(M153="","",HYPERLINK("https://www.youtube.com/watch?v="&amp;M153,"▶"))</f>
        <v/>
      </c>
      <c r="B153" s="39">
        <f>IF(C153&lt;&gt;"",C153,IF(P153&lt;=IFERROR(INDEX(tblChannels[Watched Through],MATCH(N153,tblChannels[Channel ID],0)),0),"Watched","Unwatched"))</f>
        <v/>
      </c>
      <c r="C153" s="40" t="n"/>
      <c r="D153" s="41" t="n"/>
      <c r="E153" s="42" t="n">
        <v>46070.45277777778</v>
      </c>
      <c r="F153" s="50" t="inlineStr">
        <is>
          <t>Super Carlin Brothers</t>
        </is>
      </c>
      <c r="G153" t="inlineStr">
        <is>
          <t>J’s Animagus REVEALED!</t>
        </is>
      </c>
      <c r="H153" s="44" t="n">
        <v>0.0006828703703703704</v>
      </c>
      <c r="I153" s="45" t="n">
        <v>35727</v>
      </c>
      <c r="J153" s="45" t="n">
        <v>1336</v>
      </c>
      <c r="K153" s="45" t="n">
        <v>132</v>
      </c>
      <c r="L153" s="46" t="n"/>
      <c r="M153" s="47" t="n"/>
      <c r="N153" s="47" t="inlineStr">
        <is>
          <t>UCKZo4N0lVPccBkSiuyVh4yg</t>
        </is>
      </c>
      <c r="O153" s="48" t="n">
        <v>46070.66111111111</v>
      </c>
      <c r="P153" s="49" t="n">
        <v>46070</v>
      </c>
      <c r="Q153" s="47" t="n">
        <v>3115</v>
      </c>
      <c r="R153" s="47" t="inlineStr">
        <is>
          <t>No Video ID yet</t>
        </is>
      </c>
      <c r="S153" s="49" t="n"/>
      <c r="T153" s="49" t="n"/>
      <c r="U153" s="47" t="inlineStr">
        <is>
          <t>Did Somebody say Year of the HORSE?! Happy Lunar New Year! 🧧🐴 #harrypotter #lunarnewyear #supercarlinbrothers</t>
        </is>
      </c>
      <c r="V153" s="47">
        <f>IF(AND(P153&gt;=Calendar!$K$2,P153&lt;EDATE(Calendar!$K$2,1),OR(Calendar!$K$4="*",N153=Calendar!$K$4)),P153*100+COUNTIFS($P$6:$P$3267,P153,$Q$6:$Q$3267,"&lt;="&amp;Q153,$N$6:$N$3267,Calendar!$K$4),"")</f>
        <v/>
      </c>
      <c r="W153" s="47">
        <f>IF(AND(B153=Queue!$C$4,OR(Queue!$K$4="*",N153=Queue!$K$4)),Q153,"")</f>
        <v/>
      </c>
    </row>
    <row r="154">
      <c r="A154" s="38">
        <f>IF(M154="","",HYPERLINK("https://www.youtube.com/watch?v="&amp;M154,"▶"))</f>
        <v/>
      </c>
      <c r="B154" s="39">
        <f>IF(C154&lt;&gt;"",C154,IF(P154&lt;=IFERROR(INDEX(tblChannels[Watched Through],MATCH(N154,tblChannels[Channel ID],0)),0),"Watched","Unwatched"))</f>
        <v/>
      </c>
      <c r="C154" s="40" t="n"/>
      <c r="D154" s="41" t="n"/>
      <c r="E154" s="42" t="n">
        <v>46068.41666666666</v>
      </c>
      <c r="F154" s="51" t="inlineStr">
        <is>
          <t>Through The Griffin Door</t>
        </is>
      </c>
      <c r="G154" t="inlineStr">
        <is>
          <t>Chapter 24: Occlumency | Order of the Phoenix</t>
        </is>
      </c>
      <c r="H154" s="44" t="n">
        <v>0.06912037037037037</v>
      </c>
      <c r="I154" s="45" t="n">
        <v>40008</v>
      </c>
      <c r="J154" s="45" t="n">
        <v>1107</v>
      </c>
      <c r="K154" s="45" t="n">
        <v>341</v>
      </c>
      <c r="L154" s="46" t="n"/>
      <c r="M154" s="47" t="n"/>
      <c r="N154" s="47" t="inlineStr">
        <is>
          <t>UCEscP6ETYXWSSvsNrDHekMQ</t>
        </is>
      </c>
      <c r="O154" s="48" t="n">
        <v>46068.625</v>
      </c>
      <c r="P154" s="49" t="n">
        <v>46068</v>
      </c>
      <c r="Q154" s="47" t="n">
        <v>3114</v>
      </c>
      <c r="R154" s="47" t="inlineStr">
        <is>
          <t>No Video ID yet</t>
        </is>
      </c>
      <c r="S154" s="49" t="n"/>
      <c r="T154" s="49" t="n"/>
      <c r="U154" s="47" t="inlineStr">
        <is>
          <t>Join J and Ben as they dive into Chapter 24 of the Order of the Phoenix and discuss Kreacher’s subterfuge, not wanting to return to Hogwarts, Snape vs. Sirius, cat-bus, the awkward convo with Cho, the lesson with Snape and the door realization. Relevant Links The Knight Bus's BIG SECRET - 06:41- Chapter Breakdown 1:22:12 - Closing Thoughts and Review</t>
        </is>
      </c>
      <c r="V154" s="47">
        <f>IF(AND(P154&gt;=Calendar!$K$2,P154&lt;EDATE(Calendar!$K$2,1),OR(Calendar!$K$4="*",N154=Calendar!$K$4)),P154*100+COUNTIFS($P$6:$P$3267,P154,$Q$6:$Q$3267,"&lt;="&amp;Q154,$N$6:$N$3267,Calendar!$K$4),"")</f>
        <v/>
      </c>
      <c r="W154" s="47">
        <f>IF(AND(B154=Queue!$C$4,OR(Queue!$K$4="*",N154=Queue!$K$4)),Q154,"")</f>
        <v/>
      </c>
    </row>
    <row r="155">
      <c r="A155" s="38">
        <f>IF(M155="","",HYPERLINK("https://www.youtube.com/watch?v="&amp;M155,"▶"))</f>
        <v/>
      </c>
      <c r="B155" s="39">
        <f>IF(C155&lt;&gt;"",C155,IF(P155&lt;=IFERROR(INDEX(tblChannels[Watched Through],MATCH(N155,tblChannels[Channel ID],0)),0),"Watched","Unwatched"))</f>
        <v/>
      </c>
      <c r="C155" s="40" t="n"/>
      <c r="D155" s="41" t="n"/>
      <c r="E155" s="42" t="n">
        <v>46066.73541666667</v>
      </c>
      <c r="F155" s="50" t="inlineStr">
        <is>
          <t>Super Carlin Brothers</t>
        </is>
      </c>
      <c r="G155" t="inlineStr">
        <is>
          <t>J vs Ben vs The CAST of Harry Potter!</t>
        </is>
      </c>
      <c r="H155" s="44" t="n">
        <v>0.03824074074074074</v>
      </c>
      <c r="I155" s="45" t="n">
        <v>161131</v>
      </c>
      <c r="J155" s="45" t="n">
        <v>6782</v>
      </c>
      <c r="K155" s="45" t="n">
        <v>702</v>
      </c>
      <c r="L155" s="46" t="n"/>
      <c r="M155" s="47" t="n"/>
      <c r="N155" s="47" t="inlineStr">
        <is>
          <t>UCKZo4N0lVPccBkSiuyVh4yg</t>
        </is>
      </c>
      <c r="O155" s="48" t="n">
        <v>46066.94375</v>
      </c>
      <c r="P155" s="49" t="n">
        <v>46066</v>
      </c>
      <c r="Q155" s="47" t="n">
        <v>3113</v>
      </c>
      <c r="R155" s="47" t="inlineStr">
        <is>
          <t>No Video ID yet</t>
        </is>
      </c>
      <c r="S155" s="49" t="n"/>
      <c r="T155" s="49" t="n"/>
      <c r="U155" s="47" t="inlineStr">
        <is>
          <t>This show is sponsored by Factor -- Go to factormeals.com/jvsb50off and use code jvsb50off to get 50% off and free breakfast for a year. Want us to film you a Cameo? Today J and Ben face off once again to find out who knows the most about the Wizarding World of Harry Potter, but we have an amazing round of special guests all FROM THE CAST OF HARRY POTTER!</t>
        </is>
      </c>
      <c r="V155" s="47">
        <f>IF(AND(P155&gt;=Calendar!$K$2,P155&lt;EDATE(Calendar!$K$2,1),OR(Calendar!$K$4="*",N155=Calendar!$K$4)),P155*100+COUNTIFS($P$6:$P$3267,P155,$Q$6:$Q$3267,"&lt;="&amp;Q155,$N$6:$N$3267,Calendar!$K$4),"")</f>
        <v/>
      </c>
      <c r="W155" s="47">
        <f>IF(AND(B155=Queue!$C$4,OR(Queue!$K$4="*",N155=Queue!$K$4)),Q155,"")</f>
        <v/>
      </c>
    </row>
    <row r="156">
      <c r="A156" s="38">
        <f>IF(M156="","",HYPERLINK("https://www.youtube.com/watch?v="&amp;M156,"▶"))</f>
        <v/>
      </c>
      <c r="B156" s="39">
        <f>IF(C156&lt;&gt;"",C156,IF(P156&lt;=IFERROR(INDEX(tblChannels[Watched Through],MATCH(N156,tblChannels[Channel ID],0)),0),"Watched","Unwatched"))</f>
        <v/>
      </c>
      <c r="C156" s="40" t="n"/>
      <c r="D156" s="41" t="n"/>
      <c r="E156" s="42" t="n">
        <v>46066.41666666666</v>
      </c>
      <c r="F156" s="43" t="inlineStr">
        <is>
          <t>Popcorn Culture</t>
        </is>
      </c>
      <c r="G156" t="inlineStr">
        <is>
          <t>Ben Changed J’s Mind | Popcorn Culture</t>
        </is>
      </c>
      <c r="H156" s="44" t="n">
        <v>0.05289351851851852</v>
      </c>
      <c r="I156" s="45" t="n">
        <v>2611</v>
      </c>
      <c r="J156" s="45" t="n">
        <v>119</v>
      </c>
      <c r="K156" s="45" t="n">
        <v>22</v>
      </c>
      <c r="L156" s="46" t="n"/>
      <c r="M156" s="47" t="n"/>
      <c r="N156" s="47" t="inlineStr">
        <is>
          <t>UCHfIbq9thHPC8yrKjAdJgDA</t>
        </is>
      </c>
      <c r="O156" s="48" t="n">
        <v>46066.625</v>
      </c>
      <c r="P156" s="49" t="n">
        <v>46066</v>
      </c>
      <c r="Q156" s="47" t="n">
        <v>3112</v>
      </c>
      <c r="R156" s="47" t="inlineStr">
        <is>
          <t>No Video ID yet</t>
        </is>
      </c>
      <c r="S156" s="49" t="n"/>
      <c r="T156" s="49" t="n"/>
      <c r="U156" s="47" t="inlineStr">
        <is>
          <t>In the 323rd episoe of the Pop, Ben and J discuss Lightning Lane Day, belts, Parkinson’s Law, deadlines, and the Garden of Eden symbology. Umbridge’s Spy REVEALED - Pluribus - Denver, CO - 03/07/2026 (sold out) Salt Lake City, UT - 03/09/2026 (sold out)</t>
        </is>
      </c>
      <c r="V156" s="47">
        <f>IF(AND(P156&gt;=Calendar!$K$2,P156&lt;EDATE(Calendar!$K$2,1),OR(Calendar!$K$4="*",N156=Calendar!$K$4)),P156*100+COUNTIFS($P$6:$P$3267,P156,$Q$6:$Q$3267,"&lt;="&amp;Q156,$N$6:$N$3267,Calendar!$K$4),"")</f>
        <v/>
      </c>
      <c r="W156" s="47">
        <f>IF(AND(B156=Queue!$C$4,OR(Queue!$K$4="*",N156=Queue!$K$4)),Q156,"")</f>
        <v/>
      </c>
    </row>
    <row r="157">
      <c r="A157" s="38">
        <f>IF(M157="","",HYPERLINK("https://www.youtube.com/watch?v="&amp;M157,"▶"))</f>
        <v/>
      </c>
      <c r="B157" s="39">
        <f>IF(C157&lt;&gt;"",C157,IF(P157&lt;=IFERROR(INDEX(tblChannels[Watched Through],MATCH(N157,tblChannels[Channel ID],0)),0),"Watched","Unwatched"))</f>
        <v/>
      </c>
      <c r="C157" s="40" t="n"/>
      <c r="D157" s="41" t="n"/>
      <c r="E157" s="42" t="n">
        <v>46064.71458333333</v>
      </c>
      <c r="F157" s="50" t="inlineStr">
        <is>
          <t>Super Carlin Brothers</t>
        </is>
      </c>
      <c r="G157" t="inlineStr">
        <is>
          <t>Theories Out of a Hat: Defending MORE Crazy Harry Potter Theories</t>
        </is>
      </c>
      <c r="H157" s="44" t="n">
        <v>0.02491898148148148</v>
      </c>
      <c r="I157" s="45" t="n">
        <v>101724</v>
      </c>
      <c r="J157" s="45" t="n">
        <v>3865</v>
      </c>
      <c r="K157" s="45" t="n">
        <v>657</v>
      </c>
      <c r="L157" s="46" t="n"/>
      <c r="M157" s="47" t="n"/>
      <c r="N157" s="47" t="inlineStr">
        <is>
          <t>UCKZo4N0lVPccBkSiuyVh4yg</t>
        </is>
      </c>
      <c r="O157" s="48" t="n">
        <v>46064.92291666667</v>
      </c>
      <c r="P157" s="49" t="n">
        <v>46064</v>
      </c>
      <c r="Q157" s="47" t="n">
        <v>3111</v>
      </c>
      <c r="R157" s="47" t="inlineStr">
        <is>
          <t>No Video ID yet</t>
        </is>
      </c>
      <c r="S157" s="49" t="n"/>
      <c r="T157" s="49" t="n"/>
      <c r="U157" s="47" t="inlineStr">
        <is>
          <t>The game: Draw a crazy Harry Potter theory from the Hat and defend! This show is sponsored by BetterHelp -- Go to for 10% off your first month. This show is sponsored by Raycon -- Go to buyraycon.com/supercarlin to get 15% off your order. Today J and Ben put their Harry Potter Lore to the test by defending whatever wild and crazy Harry Potter theory comes out of the hat. Is Dumbledore Filch’s long lost father? Is Milicent Bullstrode a Maledictus? Is Hagrid Fawkes? Grawp is Hagrid’s son? Krum is the ultimate wingman?! Does Mr. Weasley have a horcrux?!!</t>
        </is>
      </c>
      <c r="V157" s="47">
        <f>IF(AND(P157&gt;=Calendar!$K$2,P157&lt;EDATE(Calendar!$K$2,1),OR(Calendar!$K$4="*",N157=Calendar!$K$4)),P157*100+COUNTIFS($P$6:$P$3267,P157,$Q$6:$Q$3267,"&lt;="&amp;Q157,$N$6:$N$3267,Calendar!$K$4),"")</f>
        <v/>
      </c>
      <c r="W157" s="47">
        <f>IF(AND(B157=Queue!$C$4,OR(Queue!$K$4="*",N157=Queue!$K$4)),Q157,"")</f>
        <v/>
      </c>
    </row>
    <row r="158">
      <c r="A158" s="38">
        <f>IF(M158="","",HYPERLINK("https://www.youtube.com/watch?v="&amp;M158,"▶"))</f>
        <v/>
      </c>
      <c r="B158" s="39">
        <f>IF(C158&lt;&gt;"",C158,IF(P158&lt;=IFERROR(INDEX(tblChannels[Watched Through],MATCH(N158,tblChannels[Channel ID],0)),0),"Watched","Unwatched"))</f>
        <v/>
      </c>
      <c r="C158" s="40" t="n"/>
      <c r="D158" s="41" t="n"/>
      <c r="E158" s="42" t="n">
        <v>46061.41736111111</v>
      </c>
      <c r="F158" s="51" t="inlineStr">
        <is>
          <t>Through The Griffin Door</t>
        </is>
      </c>
      <c r="G158" t="inlineStr">
        <is>
          <t>Chapter 23: Christmas on the Closed Ward | Order of the Phoenix</t>
        </is>
      </c>
      <c r="H158" s="44" t="n">
        <v>0.0666550925925926</v>
      </c>
      <c r="I158" s="45" t="n">
        <v>41825</v>
      </c>
      <c r="J158" s="45" t="n">
        <v>1122</v>
      </c>
      <c r="K158" s="45" t="n">
        <v>263</v>
      </c>
      <c r="L158" s="46" t="n"/>
      <c r="M158" s="47" t="n"/>
      <c r="N158" s="47" t="inlineStr">
        <is>
          <t>UCEscP6ETYXWSSvsNrDHekMQ</t>
        </is>
      </c>
      <c r="O158" s="48" t="n">
        <v>46061.62569444445</v>
      </c>
      <c r="P158" s="49" t="n">
        <v>46061</v>
      </c>
      <c r="Q158" s="47" t="n">
        <v>3110</v>
      </c>
      <c r="R158" s="47" t="inlineStr">
        <is>
          <t>No Video ID yet</t>
        </is>
      </c>
      <c r="S158" s="49" t="n"/>
      <c r="T158" s="49" t="n"/>
      <c r="U158" s="47" t="inlineStr">
        <is>
          <t>Join J and Ben as they dive into Chapter 23 of the Order of the Phoenix and discuss Harry’s anxiety spiral, Phineas Nigellus being a buttmunch, the most underrated moment of friendship, Christmas presents, the unexpectedly important visit to Kreacher’s room, running into Lockhart, and one of the saddest moments in the series. Relevant Links Is Hagrid Secretly A Millionaire!? - 04:54 - Chapter Breakdown 1:30:35 - Closing Thoughts and Review</t>
        </is>
      </c>
      <c r="V158" s="47">
        <f>IF(AND(P158&gt;=Calendar!$K$2,P158&lt;EDATE(Calendar!$K$2,1),OR(Calendar!$K$4="*",N158=Calendar!$K$4)),P158*100+COUNTIFS($P$6:$P$3267,P158,$Q$6:$Q$3267,"&lt;="&amp;Q158,$N$6:$N$3267,Calendar!$K$4),"")</f>
        <v/>
      </c>
      <c r="W158" s="47">
        <f>IF(AND(B158=Queue!$C$4,OR(Queue!$K$4="*",N158=Queue!$K$4)),Q158,"")</f>
        <v/>
      </c>
    </row>
    <row r="159">
      <c r="A159" s="38">
        <f>IF(M159="","",HYPERLINK("https://www.youtube.com/watch?v="&amp;M159,"▶"))</f>
        <v/>
      </c>
      <c r="B159" s="39">
        <f>IF(C159&lt;&gt;"",C159,IF(P159&lt;=IFERROR(INDEX(tblChannels[Watched Through],MATCH(N159,tblChannels[Channel ID],0)),0),"Watched","Unwatched"))</f>
        <v/>
      </c>
      <c r="C159" s="40" t="n"/>
      <c r="D159" s="41" t="n"/>
      <c r="E159" s="42" t="n">
        <v>46059.59930555556</v>
      </c>
      <c r="F159" s="50" t="inlineStr">
        <is>
          <t>Super Carlin Brothers</t>
        </is>
      </c>
      <c r="G159" t="inlineStr">
        <is>
          <t>What Is Luna Lovegood's Boggart? | Harry Potter Theory</t>
        </is>
      </c>
      <c r="H159" s="44" t="n">
        <v>0.01038194444444444</v>
      </c>
      <c r="I159" s="45" t="n">
        <v>67135</v>
      </c>
      <c r="J159" s="45" t="n">
        <v>3722</v>
      </c>
      <c r="K159" s="45" t="n">
        <v>480</v>
      </c>
      <c r="L159" s="46" t="n"/>
      <c r="M159" s="47" t="n"/>
      <c r="N159" s="47" t="inlineStr">
        <is>
          <t>UCKZo4N0lVPccBkSiuyVh4yg</t>
        </is>
      </c>
      <c r="O159" s="48" t="n">
        <v>46059.80763888889</v>
      </c>
      <c r="P159" s="49" t="n">
        <v>46059</v>
      </c>
      <c r="Q159" s="47" t="n">
        <v>3109</v>
      </c>
      <c r="R159" s="47" t="inlineStr">
        <is>
          <t>No Video ID yet</t>
        </is>
      </c>
      <c r="S159" s="49" t="n"/>
      <c r="T159" s="49" t="n"/>
      <c r="U159" s="47" t="inlineStr">
        <is>
          <t>This episode is sponsored by Shopify – Go to shopify.com/SCB to start your $1 per month trial period. These Socks Are AMAZING: Today Ben dives into the Wizarding World of Harry Potter to try and uncover Luna Lovegood's greatest fear and what form her boggart would take! For someone who calmly rides Thestrals, survives kidnapping, and literally encourages Harry through a dementor swarm, Luna seems almost impossible to scare. …But we think we’ve uncovered the one thing she truly can't stand.</t>
        </is>
      </c>
      <c r="V159" s="47">
        <f>IF(AND(P159&gt;=Calendar!$K$2,P159&lt;EDATE(Calendar!$K$2,1),OR(Calendar!$K$4="*",N159=Calendar!$K$4)),P159*100+COUNTIFS($P$6:$P$3267,P159,$Q$6:$Q$3267,"&lt;="&amp;Q159,$N$6:$N$3267,Calendar!$K$4),"")</f>
        <v/>
      </c>
      <c r="W159" s="47">
        <f>IF(AND(B159=Queue!$C$4,OR(Queue!$K$4="*",N159=Queue!$K$4)),Q159,"")</f>
        <v/>
      </c>
    </row>
    <row r="160">
      <c r="A160" s="38">
        <f>IF(M160="","",HYPERLINK("https://www.youtube.com/watch?v="&amp;M160,"▶"))</f>
        <v/>
      </c>
      <c r="B160" s="39">
        <f>IF(C160&lt;&gt;"",C160,IF(P160&lt;=IFERROR(INDEX(tblChannels[Watched Through],MATCH(N160,tblChannels[Channel ID],0)),0),"Watched","Unwatched"))</f>
        <v/>
      </c>
      <c r="C160" s="40" t="n"/>
      <c r="D160" s="41" t="n"/>
      <c r="E160" s="42" t="n">
        <v>46059.41666666666</v>
      </c>
      <c r="F160" s="43" t="inlineStr">
        <is>
          <t>Popcorn Culture</t>
        </is>
      </c>
      <c r="G160" t="inlineStr">
        <is>
          <t>It’s Hot on the Moon?? | Popcorn Culture</t>
        </is>
      </c>
      <c r="H160" s="44" t="n">
        <v>0.04640046296296296</v>
      </c>
      <c r="I160" s="45" t="n">
        <v>2285</v>
      </c>
      <c r="J160" s="45" t="n">
        <v>135</v>
      </c>
      <c r="K160" s="45" t="n">
        <v>15</v>
      </c>
      <c r="L160" s="46" t="n"/>
      <c r="M160" s="47" t="n"/>
      <c r="N160" s="47" t="inlineStr">
        <is>
          <t>UCHfIbq9thHPC8yrKjAdJgDA</t>
        </is>
      </c>
      <c r="O160" s="48" t="n">
        <v>46059.625</v>
      </c>
      <c r="P160" s="49" t="n">
        <v>46059</v>
      </c>
      <c r="Q160" s="47" t="n">
        <v>3108</v>
      </c>
      <c r="R160" s="47" t="inlineStr">
        <is>
          <t>No Video ID yet</t>
        </is>
      </c>
      <c r="S160" s="49" t="n"/>
      <c r="T160" s="49" t="n"/>
      <c r="U160" s="47" t="inlineStr">
        <is>
          <t>In the 322nd episode of the Pop, Ben and J discuss snow days from school, research papers, high school relationships, identity, and Super Mario Party. Super Mario Party - Denver, CO - 03/07/2026 (sold out) Salt Lake City, UT - 03/09/2026 (sold out) 00:00 - Intro, The Moon 04:56 - Cabin Fever 09:59 - Research Papers and Relationships 25:31 - Identity</t>
        </is>
      </c>
      <c r="V160" s="47">
        <f>IF(AND(P160&gt;=Calendar!$K$2,P160&lt;EDATE(Calendar!$K$2,1),OR(Calendar!$K$4="*",N160=Calendar!$K$4)),P160*100+COUNTIFS($P$6:$P$3267,P160,$Q$6:$Q$3267,"&lt;="&amp;Q160,$N$6:$N$3267,Calendar!$K$4),"")</f>
        <v/>
      </c>
      <c r="W160" s="47">
        <f>IF(AND(B160=Queue!$C$4,OR(Queue!$K$4="*",N160=Queue!$K$4)),Q160,"")</f>
        <v/>
      </c>
    </row>
    <row r="161">
      <c r="A161" s="38">
        <f>IF(M161="","",HYPERLINK("https://www.youtube.com/watch?v="&amp;M161,"▶"))</f>
        <v/>
      </c>
      <c r="B161" s="39">
        <f>IF(C161&lt;&gt;"",C161,IF(P161&lt;=IFERROR(INDEX(tblChannels[Watched Through],MATCH(N161,tblChannels[Channel ID],0)),0),"Watched","Unwatched"))</f>
        <v/>
      </c>
      <c r="C161" s="40" t="n"/>
      <c r="D161" s="41" t="n"/>
      <c r="E161" s="42" t="n">
        <v>46057.69583333333</v>
      </c>
      <c r="F161" s="50" t="inlineStr">
        <is>
          <t>Super Carlin Brothers</t>
        </is>
      </c>
      <c r="G161" t="inlineStr">
        <is>
          <t>Why Does Cedric Diggory Google Autofill</t>
        </is>
      </c>
      <c r="H161" s="44" t="n">
        <v>0.009872685185185186</v>
      </c>
      <c r="I161" s="45" t="n">
        <v>38285</v>
      </c>
      <c r="J161" s="45" t="n">
        <v>2459</v>
      </c>
      <c r="K161" s="45" t="n">
        <v>386</v>
      </c>
      <c r="L161" s="46" t="n"/>
      <c r="M161" s="47" t="n"/>
      <c r="N161" s="47" t="inlineStr">
        <is>
          <t>UCKZo4N0lVPccBkSiuyVh4yg</t>
        </is>
      </c>
      <c r="O161" s="48" t="n">
        <v>46057.90416666667</v>
      </c>
      <c r="P161" s="49" t="n">
        <v>46057</v>
      </c>
      <c r="Q161" s="47" t="n">
        <v>3107</v>
      </c>
      <c r="R161" s="47" t="inlineStr">
        <is>
          <t>No Video ID yet</t>
        </is>
      </c>
      <c r="S161" s="49" t="n"/>
      <c r="T161" s="49" t="n"/>
      <c r="U161" s="47" t="inlineStr">
        <is>
          <t>The Cedric Diggory video you’ve all been waiting for.. Today’s episode is sponsored by BetterHelp – Go to betterhelp.com/SUPER to get 10% off your first month. These Socks Are AMAZING: Today J dives into the Wizarding World of Harry Potter to answer all of Google’s most asked questions about Cedric Diggory! Why did Cedric Diggory die? Why is Cedric Diggory so hot? Why did Cedric Diggory matter? And why oh why did he jump out of that tree?</t>
        </is>
      </c>
      <c r="V161" s="47">
        <f>IF(AND(P161&gt;=Calendar!$K$2,P161&lt;EDATE(Calendar!$K$2,1),OR(Calendar!$K$4="*",N161=Calendar!$K$4)),P161*100+COUNTIFS($P$6:$P$3267,P161,$Q$6:$Q$3267,"&lt;="&amp;Q161,$N$6:$N$3267,Calendar!$K$4),"")</f>
        <v/>
      </c>
      <c r="W161" s="47">
        <f>IF(AND(B161=Queue!$C$4,OR(Queue!$K$4="*",N161=Queue!$K$4)),Q161,"")</f>
        <v/>
      </c>
    </row>
    <row r="162">
      <c r="A162" s="38">
        <f>IF(M162="","",HYPERLINK("https://www.youtube.com/watch?v="&amp;M162,"▶"))</f>
        <v/>
      </c>
      <c r="B162" s="39">
        <f>IF(C162&lt;&gt;"",C162,IF(P162&lt;=IFERROR(INDEX(tblChannels[Watched Through],MATCH(N162,tblChannels[Channel ID],0)),0),"Watched","Unwatched"))</f>
        <v/>
      </c>
      <c r="C162" s="40" t="n"/>
      <c r="D162" s="41" t="n"/>
      <c r="E162" s="42" t="n">
        <v>46054.41736111111</v>
      </c>
      <c r="F162" s="51" t="inlineStr">
        <is>
          <t>Through The Griffin Door</t>
        </is>
      </c>
      <c r="G162" t="inlineStr">
        <is>
          <t>Chapter 22: St. Mungos Hospital for Magical Maladies and Injuries | Order of the Phoenix</t>
        </is>
      </c>
      <c r="H162" s="44" t="n">
        <v>0.08677083333333334</v>
      </c>
      <c r="I162" s="45" t="n">
        <v>50900</v>
      </c>
      <c r="J162" s="45" t="n">
        <v>1205</v>
      </c>
      <c r="K162" s="45" t="n">
        <v>418</v>
      </c>
      <c r="L162" s="46" t="n"/>
      <c r="M162" s="47" t="n"/>
      <c r="N162" s="47" t="inlineStr">
        <is>
          <t>UCEscP6ETYXWSSvsNrDHekMQ</t>
        </is>
      </c>
      <c r="O162" s="48" t="n">
        <v>46054.62569444445</v>
      </c>
      <c r="P162" s="49" t="n">
        <v>46054</v>
      </c>
      <c r="Q162" s="47" t="n">
        <v>3106</v>
      </c>
      <c r="R162" s="47" t="inlineStr">
        <is>
          <t>No Video ID yet</t>
        </is>
      </c>
      <c r="S162" s="49" t="n"/>
      <c r="T162" s="49" t="n"/>
      <c r="U162" s="47" t="inlineStr">
        <is>
          <t>Join J and Ben as they dive into Chapter 22 of the Order of the Phoenix and discuss rushing (but not fast enough) to the Headmaster’s office, the mysterious objects in said office, the portraits, the long wait at Grimmauld Place, and the crazy amount of details at St. Mungos. Relevant Links The TRUTH About Chocolate Frog Cards: Floo Powder’s SECRET Ingredient: 07:49 - Chapter Breakdown 1:56:12 - Closing Thoughts and Review</t>
        </is>
      </c>
      <c r="V162" s="47">
        <f>IF(AND(P162&gt;=Calendar!$K$2,P162&lt;EDATE(Calendar!$K$2,1),OR(Calendar!$K$4="*",N162=Calendar!$K$4)),P162*100+COUNTIFS($P$6:$P$3267,P162,$Q$6:$Q$3267,"&lt;="&amp;Q162,$N$6:$N$3267,Calendar!$K$4),"")</f>
        <v/>
      </c>
      <c r="W162" s="47">
        <f>IF(AND(B162=Queue!$C$4,OR(Queue!$K$4="*",N162=Queue!$K$4)),Q162,"")</f>
        <v/>
      </c>
    </row>
    <row r="163">
      <c r="A163" s="38">
        <f>IF(M163="","",HYPERLINK("https://www.youtube.com/watch?v="&amp;M163,"▶"))</f>
        <v/>
      </c>
      <c r="B163" s="39">
        <f>IF(C163&lt;&gt;"",C163,IF(P163&lt;=IFERROR(INDEX(tblChannels[Watched Through],MATCH(N163,tblChannels[Channel ID],0)),0),"Watched","Unwatched"))</f>
        <v/>
      </c>
      <c r="C163" s="40" t="n"/>
      <c r="D163" s="41" t="n"/>
      <c r="E163" s="42" t="n">
        <v>46052.68125</v>
      </c>
      <c r="F163" s="50" t="inlineStr">
        <is>
          <t>Super Carlin Brothers</t>
        </is>
      </c>
      <c r="G163" t="inlineStr">
        <is>
          <t>Umbridge’s Spy REVEALED | Harry Potter Theory</t>
        </is>
      </c>
      <c r="H163" s="44" t="n">
        <v>0.01224537037037037</v>
      </c>
      <c r="I163" s="45" t="n">
        <v>93317</v>
      </c>
      <c r="J163" s="45" t="n">
        <v>3899</v>
      </c>
      <c r="K163" s="45" t="n">
        <v>286</v>
      </c>
      <c r="L163" s="46" t="n"/>
      <c r="M163" s="47" t="n"/>
      <c r="N163" s="47" t="inlineStr">
        <is>
          <t>UCKZo4N0lVPccBkSiuyVh4yg</t>
        </is>
      </c>
      <c r="O163" s="48" t="n">
        <v>46052.88958333333</v>
      </c>
      <c r="P163" s="49" t="n">
        <v>46052</v>
      </c>
      <c r="Q163" s="47" t="n">
        <v>3105</v>
      </c>
      <c r="R163" s="47" t="inlineStr">
        <is>
          <t>No Video ID yet</t>
        </is>
      </c>
      <c r="S163" s="49" t="n"/>
      <c r="T163" s="49" t="n"/>
      <c r="U163" s="47" t="inlineStr">
        <is>
          <t>Did Umbridge have a Spy? This episode is sponsored by Stamps.com – Go to stamps.com and use code supercarlin to get sixty days risk-free! This episode is sponsored by Raycon – Go to buyracon.com/supercarlin to get 20% off sitewide! Today Ben dives into the Wizarding World of Harry Potter to reveal Dolores Umbridge’s Secret Spy within the order of the phoenix! And it smells like dung….</t>
        </is>
      </c>
      <c r="V163" s="47">
        <f>IF(AND(P163&gt;=Calendar!$K$2,P163&lt;EDATE(Calendar!$K$2,1),OR(Calendar!$K$4="*",N163=Calendar!$K$4)),P163*100+COUNTIFS($P$6:$P$3267,P163,$Q$6:$Q$3267,"&lt;="&amp;Q163,$N$6:$N$3267,Calendar!$K$4),"")</f>
        <v/>
      </c>
      <c r="W163" s="47">
        <f>IF(AND(B163=Queue!$C$4,OR(Queue!$K$4="*",N163=Queue!$K$4)),Q163,"")</f>
        <v/>
      </c>
    </row>
    <row r="164">
      <c r="A164" s="38">
        <f>IF(M164="","",HYPERLINK("https://www.youtube.com/watch?v="&amp;M164,"▶"))</f>
        <v/>
      </c>
      <c r="B164" s="39">
        <f>IF(C164&lt;&gt;"",C164,IF(P164&lt;=IFERROR(INDEX(tblChannels[Watched Through],MATCH(N164,tblChannels[Channel ID],0)),0),"Watched","Unwatched"))</f>
        <v/>
      </c>
      <c r="C164" s="40" t="n"/>
      <c r="D164" s="41" t="n"/>
      <c r="E164" s="42" t="n">
        <v>46052.41666666666</v>
      </c>
      <c r="F164" s="43" t="inlineStr">
        <is>
          <t>Popcorn Culture</t>
        </is>
      </c>
      <c r="G164" t="inlineStr">
        <is>
          <t>Schrodinger’s Skyscraper | Popcorn Culture</t>
        </is>
      </c>
      <c r="H164" s="44" t="n">
        <v>0.06090277777777778</v>
      </c>
      <c r="I164" s="45" t="n">
        <v>2816</v>
      </c>
      <c r="J164" s="45" t="n">
        <v>119</v>
      </c>
      <c r="K164" s="45" t="n">
        <v>19</v>
      </c>
      <c r="L164" s="46" t="n"/>
      <c r="M164" s="47" t="n"/>
      <c r="N164" s="47" t="inlineStr">
        <is>
          <t>UCHfIbq9thHPC8yrKjAdJgDA</t>
        </is>
      </c>
      <c r="O164" s="48" t="n">
        <v>46052.625</v>
      </c>
      <c r="P164" s="49" t="n">
        <v>46052</v>
      </c>
      <c r="Q164" s="47" t="n">
        <v>3104</v>
      </c>
      <c r="R164" s="47" t="inlineStr">
        <is>
          <t>No Video ID yet</t>
        </is>
      </c>
      <c r="S164" s="49" t="n"/>
      <c r="T164" s="49" t="n"/>
      <c r="U164" s="47" t="inlineStr">
        <is>
          <t>In the 321st episode of the Pop, Ben and J discuss MeUndies, snowmageddon, free climbing, the moon landing, and Pluribus. Vlogbrothers - Devinsupertramp - Philip DeFranco - Skyscraper Live - Free Solo - Take Me to the Moon - Pluribus - Denver, CO - 03/07/2026 (sold out) Salt Lake City, UT - 03/09/2026 (sold out) Alternative Titles Jim Sandbags 00:00 - Intro, Underwear 22:34 - Taipei 101 Climb 45:18 - Take Me to the Moon 52:56 - Plur1bus</t>
        </is>
      </c>
      <c r="V164" s="47">
        <f>IF(AND(P164&gt;=Calendar!$K$2,P164&lt;EDATE(Calendar!$K$2,1),OR(Calendar!$K$4="*",N164=Calendar!$K$4)),P164*100+COUNTIFS($P$6:$P$3267,P164,$Q$6:$Q$3267,"&lt;="&amp;Q164,$N$6:$N$3267,Calendar!$K$4),"")</f>
        <v/>
      </c>
      <c r="W164" s="47">
        <f>IF(AND(B164=Queue!$C$4,OR(Queue!$K$4="*",N164=Queue!$K$4)),Q164,"")</f>
        <v/>
      </c>
    </row>
    <row r="165">
      <c r="A165" s="38">
        <f>IF(M165="","",HYPERLINK("https://www.youtube.com/watch?v="&amp;M165,"▶"))</f>
        <v/>
      </c>
      <c r="B165" s="39">
        <f>IF(C165&lt;&gt;"",C165,IF(P165&lt;=IFERROR(INDEX(tblChannels[Watched Through],MATCH(N165,tblChannels[Channel ID],0)),0),"Watched","Unwatched"))</f>
        <v/>
      </c>
      <c r="C165" s="40" t="n"/>
      <c r="D165" s="41" t="n"/>
      <c r="E165" s="42" t="n">
        <v>46050.725</v>
      </c>
      <c r="F165" s="50" t="inlineStr">
        <is>
          <t>Super Carlin Brothers</t>
        </is>
      </c>
      <c r="G165" t="inlineStr">
        <is>
          <t>This Weasley Quiz Was WAY Harder Than We Expected | J vs Ben</t>
        </is>
      </c>
      <c r="H165" s="44" t="n">
        <v>0.02712962962962963</v>
      </c>
      <c r="I165" s="45" t="n">
        <v>69257</v>
      </c>
      <c r="J165" s="45" t="n">
        <v>2785</v>
      </c>
      <c r="K165" s="45" t="n">
        <v>454</v>
      </c>
      <c r="L165" s="46" t="n"/>
      <c r="M165" s="47" t="n"/>
      <c r="N165" s="47" t="inlineStr">
        <is>
          <t>UCKZo4N0lVPccBkSiuyVh4yg</t>
        </is>
      </c>
      <c r="O165" s="48" t="n">
        <v>46050.93333333333</v>
      </c>
      <c r="P165" s="49" t="n">
        <v>46050</v>
      </c>
      <c r="Q165" s="47" t="n">
        <v>3103</v>
      </c>
      <c r="R165" s="47" t="inlineStr">
        <is>
          <t>No Video ID yet</t>
        </is>
      </c>
      <c r="S165" s="49" t="n"/>
      <c r="T165" s="49" t="n"/>
      <c r="U165" s="47" t="inlineStr">
        <is>
          <t>This episode is sponsored by MeUndies – To get exclusive deals up to 50% off, go to MeUndies.com/brother and enter promo code BROTHER. Today J and Ben face off once again to find out who knows more about the Wizarding World of Harry Potter and in particular everyone’s favorite family the Weasley’s! Play Along with us :: #SuperCarlinBrothers #harrypottermagicawakened Huge thanks to the Patrons who submitted today’s questions: M. Casarico, Fizzz, Elfish Princess, Nathan Morgan, Eniko August, Christina Jarbou, Danielle Carlson, DumbleDad, IrishRoyalty, magicalmisfires, LawNinja, Oryan’s Wizard Parts, PrepoSTORMte, Dola, Bradferd, Tara Walker, Wangoballwime, Drawing Xaos, Teghan Denlinger, Elizabeth Potter Written by: The Quiz Masters Hosted by: Ethan Edghill</t>
        </is>
      </c>
      <c r="V165" s="47">
        <f>IF(AND(P165&gt;=Calendar!$K$2,P165&lt;EDATE(Calendar!$K$2,1),OR(Calendar!$K$4="*",N165=Calendar!$K$4)),P165*100+COUNTIFS($P$6:$P$3267,P165,$Q$6:$Q$3267,"&lt;="&amp;Q165,$N$6:$N$3267,Calendar!$K$4),"")</f>
        <v/>
      </c>
      <c r="W165" s="47">
        <f>IF(AND(B165=Queue!$C$4,OR(Queue!$K$4="*",N165=Queue!$K$4)),Q165,"")</f>
        <v/>
      </c>
    </row>
    <row r="166">
      <c r="A166" s="38">
        <f>IF(M166="","",HYPERLINK("https://www.youtube.com/watch?v="&amp;M166,"▶"))</f>
        <v/>
      </c>
      <c r="B166" s="39">
        <f>IF(C166&lt;&gt;"",C166,IF(P166&lt;=IFERROR(INDEX(tblChannels[Watched Through],MATCH(N166,tblChannels[Channel ID],0)),0),"Watched","Unwatched"))</f>
        <v/>
      </c>
      <c r="C166" s="40" t="n"/>
      <c r="D166" s="41" t="n"/>
      <c r="E166" s="42" t="n">
        <v>46047.41666666666</v>
      </c>
      <c r="F166" s="51" t="inlineStr">
        <is>
          <t>Through The Griffin Door</t>
        </is>
      </c>
      <c r="G166" t="inlineStr">
        <is>
          <t>Chapter 21: The Eye of the Snake | Order of the Phoenix</t>
        </is>
      </c>
      <c r="H166" s="44" t="n">
        <v>0.06494212962962963</v>
      </c>
      <c r="I166" s="45" t="n">
        <v>40410</v>
      </c>
      <c r="J166" s="45" t="n">
        <v>1081</v>
      </c>
      <c r="K166" s="45" t="n">
        <v>329</v>
      </c>
      <c r="L166" s="46" t="n"/>
      <c r="M166" s="47" t="n"/>
      <c r="N166" s="47" t="inlineStr">
        <is>
          <t>UCEscP6ETYXWSSvsNrDHekMQ</t>
        </is>
      </c>
      <c r="O166" s="48" t="n">
        <v>46047.625</v>
      </c>
      <c r="P166" s="49" t="n">
        <v>46047</v>
      </c>
      <c r="Q166" s="47" t="n">
        <v>3102</v>
      </c>
      <c r="R166" s="47" t="inlineStr">
        <is>
          <t>No Video ID yet</t>
        </is>
      </c>
      <c r="S166" s="49" t="n"/>
      <c r="T166" s="49" t="n"/>
      <c r="U166" s="47" t="inlineStr">
        <is>
          <t>Join J and Ben as they dive into Chapter 21 of the Order of the Phoenix and discuss Lee Jordan owning an Acromantula, Theodore Knott lore, Umbridge being the worst per yooj, the last DA meeting before break, Harry and Cho’s awkward kiss, Hermione’s emotional intelligence, and Harry’s dream. 02:53 - Chapter Breakdown 43:39 - Ad Break (Shopify) 44:53 - More Chapter Breakdown 1:27:04 - Closing Thoughts and Review</t>
        </is>
      </c>
      <c r="V166" s="47">
        <f>IF(AND(P166&gt;=Calendar!$K$2,P166&lt;EDATE(Calendar!$K$2,1),OR(Calendar!$K$4="*",N166=Calendar!$K$4)),P166*100+COUNTIFS($P$6:$P$3267,P166,$Q$6:$Q$3267,"&lt;="&amp;Q166,$N$6:$N$3267,Calendar!$K$4),"")</f>
        <v/>
      </c>
      <c r="W166" s="47">
        <f>IF(AND(B166=Queue!$C$4,OR(Queue!$K$4="*",N166=Queue!$K$4)),Q166,"")</f>
        <v/>
      </c>
    </row>
    <row r="167">
      <c r="A167" s="38">
        <f>IF(M167="","",HYPERLINK("https://www.youtube.com/watch?v="&amp;M167,"▶"))</f>
        <v/>
      </c>
      <c r="B167" s="39">
        <f>IF(C167&lt;&gt;"",C167,IF(P167&lt;=IFERROR(INDEX(tblChannels[Watched Through],MATCH(N167,tblChannels[Channel ID],0)),0),"Watched","Unwatched"))</f>
        <v/>
      </c>
      <c r="C167" s="40" t="n"/>
      <c r="D167" s="41" t="n"/>
      <c r="E167" s="42" t="n">
        <v>46045.71805555555</v>
      </c>
      <c r="F167" s="50" t="inlineStr">
        <is>
          <t>Super Carlin Brothers</t>
        </is>
      </c>
      <c r="G167" t="inlineStr">
        <is>
          <t>Thy Mysterious Case of Lupin's Case | Harry Potter Theory</t>
        </is>
      </c>
      <c r="H167" s="44" t="n">
        <v>0.01362268518518519</v>
      </c>
      <c r="I167" s="45" t="n">
        <v>129562</v>
      </c>
      <c r="J167" s="45" t="n">
        <v>5116</v>
      </c>
      <c r="K167" s="45" t="n">
        <v>445</v>
      </c>
      <c r="L167" s="46" t="n"/>
      <c r="M167" s="47" t="n"/>
      <c r="N167" s="47" t="inlineStr">
        <is>
          <t>UCKZo4N0lVPccBkSiuyVh4yg</t>
        </is>
      </c>
      <c r="O167" s="48" t="n">
        <v>46045.92638888889</v>
      </c>
      <c r="P167" s="49" t="n">
        <v>46045</v>
      </c>
      <c r="Q167" s="47" t="n">
        <v>3101</v>
      </c>
      <c r="R167" s="47" t="inlineStr">
        <is>
          <t>No Video ID yet</t>
        </is>
      </c>
      <c r="S167" s="49" t="n"/>
      <c r="T167" s="49" t="n"/>
      <c r="U167" s="47" t="inlineStr">
        <is>
          <t>Remus Lupin is one of the most beloved — and most underrated — characters in Harry Potter. But there’s one small detail about him that raises a huge question: why does his battered suitcase already say “Professor R. J. Lupin” when he’s only just been hired? Today, Ben dives into the Wizarding World of Harry Potter to investigate the mysterious case of Lupin’s case — and uncover a theory that connects werewolves, prejudice, Newt Scamander, Dumbledore, and one very magical suitcase.</t>
        </is>
      </c>
      <c r="V167" s="47">
        <f>IF(AND(P167&gt;=Calendar!$K$2,P167&lt;EDATE(Calendar!$K$2,1),OR(Calendar!$K$4="*",N167=Calendar!$K$4)),P167*100+COUNTIFS($P$6:$P$3267,P167,$Q$6:$Q$3267,"&lt;="&amp;Q167,$N$6:$N$3267,Calendar!$K$4),"")</f>
        <v/>
      </c>
      <c r="W167" s="47">
        <f>IF(AND(B167=Queue!$C$4,OR(Queue!$K$4="*",N167=Queue!$K$4)),Q167,"")</f>
        <v/>
      </c>
    </row>
    <row r="168">
      <c r="A168" s="38">
        <f>IF(M168="","",HYPERLINK("https://www.youtube.com/watch?v="&amp;M168,"▶"))</f>
        <v/>
      </c>
      <c r="B168" s="39">
        <f>IF(C168&lt;&gt;"",C168,IF(P168&lt;=IFERROR(INDEX(tblChannels[Watched Through],MATCH(N168,tblChannels[Channel ID],0)),0),"Watched","Unwatched"))</f>
        <v/>
      </c>
      <c r="C168" s="40" t="n"/>
      <c r="D168" s="41" t="n"/>
      <c r="E168" s="42" t="n">
        <v>46045.41666666666</v>
      </c>
      <c r="F168" s="43" t="inlineStr">
        <is>
          <t>Popcorn Culture</t>
        </is>
      </c>
      <c r="G168" t="inlineStr">
        <is>
          <t>Mezmerized at MoMA | Popcorn Culture</t>
        </is>
      </c>
      <c r="H168" s="44" t="n">
        <v>0.04775462962962963</v>
      </c>
      <c r="I168" s="45" t="n">
        <v>2526</v>
      </c>
      <c r="J168" s="45" t="n">
        <v>131</v>
      </c>
      <c r="K168" s="45" t="n">
        <v>21</v>
      </c>
      <c r="L168" s="46" t="n"/>
      <c r="M168" s="47" t="n"/>
      <c r="N168" s="47" t="inlineStr">
        <is>
          <t>UCHfIbq9thHPC8yrKjAdJgDA</t>
        </is>
      </c>
      <c r="O168" s="48" t="n">
        <v>46045.625</v>
      </c>
      <c r="P168" s="49" t="n">
        <v>46045</v>
      </c>
      <c r="Q168" s="47" t="n">
        <v>3100</v>
      </c>
      <c r="R168" s="47" t="inlineStr">
        <is>
          <t>No Video ID yet</t>
        </is>
      </c>
      <c r="S168" s="49" t="n"/>
      <c r="T168" s="49" t="n"/>
      <c r="U168" s="47" t="inlineStr">
        <is>
          <t>In the 320th episode of the Pop, Ben and J discuss neck tendons, being regulars, angry New Yorkers, throwing the first pitch, NYC museums, Winnie the Pooh and Tom Felton as Malfoy. The MoMA - New York Public Library - Pluribus - Why Is He Called Winnie the Pooh? - Denver, CO - 03/07/2026 (sold out) Salt Lake City, UT - 03/09/2026 (sold out) 00:00 - Intro, Neck Muscles 05:23 - Bagel Places 21:27 - First Pitch 29:26 - NYC Trip!</t>
        </is>
      </c>
      <c r="V168" s="47">
        <f>IF(AND(P168&gt;=Calendar!$K$2,P168&lt;EDATE(Calendar!$K$2,1),OR(Calendar!$K$4="*",N168=Calendar!$K$4)),P168*100+COUNTIFS($P$6:$P$3267,P168,$Q$6:$Q$3267,"&lt;="&amp;Q168,$N$6:$N$3267,Calendar!$K$4),"")</f>
        <v/>
      </c>
      <c r="W168" s="47">
        <f>IF(AND(B168=Queue!$C$4,OR(Queue!$K$4="*",N168=Queue!$K$4)),Q168,"")</f>
        <v/>
      </c>
    </row>
    <row r="169">
      <c r="A169" s="38">
        <f>IF(M169="","",HYPERLINK("https://www.youtube.com/watch?v="&amp;M169,"▶"))</f>
        <v/>
      </c>
      <c r="B169" s="39">
        <f>IF(C169&lt;&gt;"",C169,IF(P169&lt;=IFERROR(INDEX(tblChannels[Watched Through],MATCH(N169,tblChannels[Channel ID],0)),0),"Watched","Unwatched"))</f>
        <v/>
      </c>
      <c r="C169" s="40" t="n"/>
      <c r="D169" s="41" t="n"/>
      <c r="E169" s="42" t="n">
        <v>46043.71388888889</v>
      </c>
      <c r="F169" s="50" t="inlineStr">
        <is>
          <t>Super Carlin Brothers</t>
        </is>
      </c>
      <c r="G169" t="inlineStr">
        <is>
          <t>How to Watch Every Pixar Movie in Chronological Order</t>
        </is>
      </c>
      <c r="H169" s="44" t="n">
        <v>0.02267361111111111</v>
      </c>
      <c r="I169" s="45" t="n">
        <v>82910</v>
      </c>
      <c r="J169" s="45" t="n">
        <v>3157</v>
      </c>
      <c r="K169" s="45" t="n">
        <v>344</v>
      </c>
      <c r="L169" s="46" t="n"/>
      <c r="M169" s="47" t="n"/>
      <c r="N169" s="47" t="inlineStr">
        <is>
          <t>UCKZo4N0lVPccBkSiuyVh4yg</t>
        </is>
      </c>
      <c r="O169" s="48" t="n">
        <v>46043.92222222222</v>
      </c>
      <c r="P169" s="49" t="n">
        <v>46043</v>
      </c>
      <c r="Q169" s="47" t="n">
        <v>3099</v>
      </c>
      <c r="R169" s="47" t="inlineStr">
        <is>
          <t>No Video ID yet</t>
        </is>
      </c>
      <c r="S169" s="49" t="n"/>
      <c r="T169" s="49" t="n"/>
      <c r="U169" s="47" t="inlineStr">
        <is>
          <t>This episode is sponsored by BetterHelp. Go to for 10% off your first month. Download your Carlin Order Checklist here: Pixar movies aren’t just connected — they exist on one giant timeline. In this video, we break down the exact order you should watch every Pixar movie if you want to experience the full Pixar Theory the way it was meant to be seen. Welcome to The Carlin Order. From The Good Dinosaur to Monsters Inc., from Toy Story to Wall-E, this chronological Pixar timeline connects magic, memory, AI, souls, and evolution into one cohesive story — including where movies like Elemental, Soul, and Cars ACTUALLY belong. If you try watching Pixar this way please let us know — does the Carlin Order change how you see these movies forever? 0:10 – The Pixar Timeline Problem 1:22 – What Is The Carlin Order? 2:26 – The Good Dinosaur (65 Million Years Ago) 3:13 – Brave &amp; Ancient Magic 4:48 – The Incredibles Era 6:58 – Luca &amp; Sea Monsters 8:08 – Lightyear &amp; Toy Story 9:55 – A Bug’s Life Placement 10:54 – Turning Red &amp; Bear Magic 12:36 – Up &amp; Ratatouille 16:50 – Finding Nemo &amp; Dory 20:02 – Elemental Explained 21:31 – Inside Out &amp; Memory 22:29 – Coco &amp; The Second Death 23:30 – Elio Changes E</t>
        </is>
      </c>
      <c r="V169" s="47">
        <f>IF(AND(P169&gt;=Calendar!$K$2,P169&lt;EDATE(Calendar!$K$2,1),OR(Calendar!$K$4="*",N169=Calendar!$K$4)),P169*100+COUNTIFS($P$6:$P$3267,P169,$Q$6:$Q$3267,"&lt;="&amp;Q169,$N$6:$N$3267,Calendar!$K$4),"")</f>
        <v/>
      </c>
      <c r="W169" s="47">
        <f>IF(AND(B169=Queue!$C$4,OR(Queue!$K$4="*",N169=Queue!$K$4)),Q169,"")</f>
        <v/>
      </c>
    </row>
    <row r="170">
      <c r="A170" s="38">
        <f>IF(M170="","",HYPERLINK("https://www.youtube.com/watch?v="&amp;M170,"▶"))</f>
        <v/>
      </c>
      <c r="B170" s="39">
        <f>IF(C170&lt;&gt;"",C170,IF(P170&lt;=IFERROR(INDEX(tblChannels[Watched Through],MATCH(N170,tblChannels[Channel ID],0)),0),"Watched","Unwatched"))</f>
        <v/>
      </c>
      <c r="C170" s="40" t="n"/>
      <c r="D170" s="41" t="n"/>
      <c r="E170" s="42" t="n">
        <v>46040.41666666666</v>
      </c>
      <c r="F170" s="51" t="inlineStr">
        <is>
          <t>Through The Griffin Door</t>
        </is>
      </c>
      <c r="G170" t="inlineStr">
        <is>
          <t>Chapter 20: Hagrid's Tale | Order of the Phoenix</t>
        </is>
      </c>
      <c r="H170" s="44" t="n">
        <v>0.06888888888888889</v>
      </c>
      <c r="I170" s="45" t="n">
        <v>41037</v>
      </c>
      <c r="J170" s="45" t="n">
        <v>1087</v>
      </c>
      <c r="K170" s="45" t="n">
        <v>292</v>
      </c>
      <c r="L170" s="46" t="n"/>
      <c r="M170" s="47" t="n"/>
      <c r="N170" s="47" t="inlineStr">
        <is>
          <t>UCEscP6ETYXWSSvsNrDHekMQ</t>
        </is>
      </c>
      <c r="O170" s="48" t="n">
        <v>46040.625</v>
      </c>
      <c r="P170" s="49" t="n">
        <v>46040</v>
      </c>
      <c r="Q170" s="47" t="n">
        <v>3098</v>
      </c>
      <c r="R170" s="47" t="inlineStr">
        <is>
          <t>No Video ID yet</t>
        </is>
      </c>
      <c r="S170" s="49" t="n"/>
      <c r="T170" s="49" t="n"/>
      <c r="U170" s="47" t="inlineStr">
        <is>
          <t>Join J and Ben as they dive into Chapter 20 of the Order of the Phoenix and discuss the THE SIZE OF THIS DRAGON STEAK OH EM GOODNESS, why the meat from said dragon is green, where Hagrid GOT said dragon, whether or not Grawp killed said dragon, whether or not Hagrid got the steak from the dragon that turned itself into Hogwarts, some math on how long the journey takes, I mean. It’s Hagrid’s tale. Let him tell it. Hogwarts is a DRAGON?! - Watch on Youtube: Want more Harry Potter Content? Harry Potter Theories: Dumbledore’s Big Plan: What If Harry Was in Slytherin: Chapters 11:19 - Dragons Arrive 1:29:03 - Closing Thoughts and Review</t>
        </is>
      </c>
      <c r="V170" s="47">
        <f>IF(AND(P170&gt;=Calendar!$K$2,P170&lt;EDATE(Calendar!$K$2,1),OR(Calendar!$K$4="*",N170=Calendar!$K$4)),P170*100+COUNTIFS($P$6:$P$3267,P170,$Q$6:$Q$3267,"&lt;="&amp;Q170,$N$6:$N$3267,Calendar!$K$4),"")</f>
        <v/>
      </c>
      <c r="W170" s="47">
        <f>IF(AND(B170=Queue!$C$4,OR(Queue!$K$4="*",N170=Queue!$K$4)),Q170,"")</f>
        <v/>
      </c>
    </row>
    <row r="171">
      <c r="A171" s="38">
        <f>IF(M171="","",HYPERLINK("https://www.youtube.com/watch?v="&amp;M171,"▶"))</f>
        <v/>
      </c>
      <c r="B171" s="39">
        <f>IF(C171&lt;&gt;"",C171,IF(P171&lt;=IFERROR(INDEX(tblChannels[Watched Through],MATCH(N171,tblChannels[Channel ID],0)),0),"Watched","Unwatched"))</f>
        <v/>
      </c>
      <c r="C171" s="40" t="n"/>
      <c r="D171" s="41" t="n"/>
      <c r="E171" s="42" t="n">
        <v>46038.625</v>
      </c>
      <c r="F171" s="50" t="inlineStr">
        <is>
          <t>Super Carlin Brothers</t>
        </is>
      </c>
      <c r="G171" t="inlineStr">
        <is>
          <t>J vs Ben: Harry Potter Jeopardy Challenge</t>
        </is>
      </c>
      <c r="H171" s="44" t="n">
        <v>0.03423611111111111</v>
      </c>
      <c r="I171" s="45" t="n">
        <v>153433</v>
      </c>
      <c r="J171" s="45" t="n">
        <v>6017</v>
      </c>
      <c r="K171" s="45" t="n">
        <v>813</v>
      </c>
      <c r="L171" s="46" t="n"/>
      <c r="M171" s="47" t="n"/>
      <c r="N171" s="47" t="inlineStr">
        <is>
          <t>UCKZo4N0lVPccBkSiuyVh4yg</t>
        </is>
      </c>
      <c r="O171" s="48" t="n">
        <v>46038.83333333334</v>
      </c>
      <c r="P171" s="49" t="n">
        <v>46038</v>
      </c>
      <c r="Q171" s="47" t="n">
        <v>3097</v>
      </c>
      <c r="R171" s="47" t="inlineStr">
        <is>
          <t>No Video ID yet</t>
        </is>
      </c>
      <c r="S171" s="49" t="n"/>
      <c r="T171" s="49" t="n"/>
      <c r="U171" s="47" t="inlineStr">
        <is>
          <t>Head to factormeals dot com slash jvsb50off and use code jvsb50off to get 50% off your first Factor box PLUS free breakfast for 1 year. Join us for our Rocket City Trash Pandas x Through the Griffin Door Collab! Tickets available here: Today J and Ben face off once more to find out who knows more about the Wizarding World of Harry Potter, but with a new Jeopardy style twist that will have the boys questioning each press of the buzzer! Special Thanks to these Quiz Masters: Oryan, Morgan Warner, Teghan Denlinger, Fis, Tara Walker, LawNinja, Michaela Henry, Rowena R., Elfish Princess, Amanda B., GenKenobi, CJ, Peyton Connor, Crafty Liz, Bradferd, Dola, IrishRoyalty, Katarina A., Julie Sherwood, Magoo, Pfunkpoet, Sarah Makiyama, HallbjornTFB, Bunny, Ryan Silveira and JennaMarbles Written by: The Quiz Masters! Hosted by: Isybelle Christley &amp; Kat Stine &amp; Ethan Edghill</t>
        </is>
      </c>
      <c r="V171" s="47">
        <f>IF(AND(P171&gt;=Calendar!$K$2,P171&lt;EDATE(Calendar!$K$2,1),OR(Calendar!$K$4="*",N171=Calendar!$K$4)),P171*100+COUNTIFS($P$6:$P$3267,P171,$Q$6:$Q$3267,"&lt;="&amp;Q171,$N$6:$N$3267,Calendar!$K$4),"")</f>
        <v/>
      </c>
      <c r="W171" s="47">
        <f>IF(AND(B171=Queue!$C$4,OR(Queue!$K$4="*",N171=Queue!$K$4)),Q171,"")</f>
        <v/>
      </c>
    </row>
    <row r="172">
      <c r="A172" s="38">
        <f>IF(M172="","",HYPERLINK("https://www.youtube.com/watch?v="&amp;M172,"▶"))</f>
        <v/>
      </c>
      <c r="B172" s="39">
        <f>IF(C172&lt;&gt;"",C172,IF(P172&lt;=IFERROR(INDEX(tblChannels[Watched Through],MATCH(N172,tblChannels[Channel ID],0)),0),"Watched","Unwatched"))</f>
        <v/>
      </c>
      <c r="C172" s="40" t="n"/>
      <c r="D172" s="41" t="n"/>
      <c r="E172" s="42" t="n">
        <v>46038.41666666666</v>
      </c>
      <c r="F172" s="43" t="inlineStr">
        <is>
          <t>Popcorn Culture</t>
        </is>
      </c>
      <c r="G172" t="inlineStr">
        <is>
          <t>The Thin Line Between Love and Hate | Popcorn Culture</t>
        </is>
      </c>
      <c r="H172" s="44" t="n">
        <v>0.04991898148148148</v>
      </c>
      <c r="I172" s="45" t="n">
        <v>2846</v>
      </c>
      <c r="J172" s="45" t="n">
        <v>142</v>
      </c>
      <c r="K172" s="45" t="n">
        <v>20</v>
      </c>
      <c r="L172" s="46" t="n"/>
      <c r="M172" s="47" t="n"/>
      <c r="N172" s="47" t="inlineStr">
        <is>
          <t>UCHfIbq9thHPC8yrKjAdJgDA</t>
        </is>
      </c>
      <c r="O172" s="48" t="n">
        <v>46038.625</v>
      </c>
      <c r="P172" s="49" t="n">
        <v>46038</v>
      </c>
      <c r="Q172" s="47" t="n">
        <v>3096</v>
      </c>
      <c r="R172" s="47" t="inlineStr">
        <is>
          <t>No Video ID yet</t>
        </is>
      </c>
      <c r="S172" s="49" t="n"/>
      <c r="T172" s="49" t="n"/>
      <c r="U172" s="47" t="inlineStr">
        <is>
          <t>In the 319th episode of the Pop, Ben and J discuss Luke's basketball skills, an exciting new announcement and the relationship we have to learning new ways of thinking.</t>
        </is>
      </c>
      <c r="V172" s="47">
        <f>IF(AND(P172&gt;=Calendar!$K$2,P172&lt;EDATE(Calendar!$K$2,1),OR(Calendar!$K$4="*",N172=Calendar!$K$4)),P172*100+COUNTIFS($P$6:$P$3267,P172,$Q$6:$Q$3267,"&lt;="&amp;Q172,$N$6:$N$3267,Calendar!$K$4),"")</f>
        <v/>
      </c>
      <c r="W172" s="47">
        <f>IF(AND(B172=Queue!$C$4,OR(Queue!$K$4="*",N172=Queue!$K$4)),Q172,"")</f>
        <v/>
      </c>
    </row>
    <row r="173">
      <c r="A173" s="38">
        <f>IF(M173="","",HYPERLINK("https://www.youtube.com/watch?v="&amp;M173,"▶"))</f>
        <v/>
      </c>
      <c r="B173" s="39">
        <f>IF(C173&lt;&gt;"",C173,IF(P173&lt;=IFERROR(INDEX(tblChannels[Watched Through],MATCH(N173,tblChannels[Channel ID],0)),0),"Watched","Unwatched"))</f>
        <v/>
      </c>
      <c r="C173" s="40" t="n"/>
      <c r="D173" s="41" t="n"/>
      <c r="E173" s="42" t="n">
        <v>46036.67569444444</v>
      </c>
      <c r="F173" s="50" t="inlineStr">
        <is>
          <t>Super Carlin Brothers</t>
        </is>
      </c>
      <c r="G173" t="inlineStr">
        <is>
          <t>How Voldemort Learned To Fly (It's Darker Than You Think) | Harry Potter Theory</t>
        </is>
      </c>
      <c r="H173" s="44" t="n">
        <v>0.01168981481481481</v>
      </c>
      <c r="I173" s="45" t="n">
        <v>170896</v>
      </c>
      <c r="J173" s="45" t="n">
        <v>6223</v>
      </c>
      <c r="K173" s="45" t="n">
        <v>924</v>
      </c>
      <c r="L173" s="46" t="n"/>
      <c r="M173" s="47" t="n"/>
      <c r="N173" s="47" t="inlineStr">
        <is>
          <t>UCKZo4N0lVPccBkSiuyVh4yg</t>
        </is>
      </c>
      <c r="O173" s="48" t="n">
        <v>46036.88402777778</v>
      </c>
      <c r="P173" s="49" t="n">
        <v>46036</v>
      </c>
      <c r="Q173" s="47" t="n">
        <v>3095</v>
      </c>
      <c r="R173" s="47" t="inlineStr">
        <is>
          <t>No Video ID yet</t>
        </is>
      </c>
      <c r="S173" s="49" t="n"/>
      <c r="T173" s="49" t="n"/>
      <c r="U173" s="47" t="inlineStr">
        <is>
          <t>This episode is sponsored by BetterHelp. Go to for 10% off your first month. Go to and use code super50off to get 50% off your first box, plus Free Breakfast for 1 Year. How does Voldemort fly without a broom? It’s one of the most shocking moments in Harry Potter and the Deathly Hallows—and it’s never explained. In this video, we uncover how unsupported flight works, why it horrified the Order of the Phoenix, and how it connects directly to Occlumency, emotional detachment, and Voldemort’s inability to love. By comparing Voldemort, Snape, and Harry, we reveal why only two wizards ever achieve this ability—and why it’s not a power Harry should want.</t>
        </is>
      </c>
      <c r="V173" s="47">
        <f>IF(AND(P173&gt;=Calendar!$K$2,P173&lt;EDATE(Calendar!$K$2,1),OR(Calendar!$K$4="*",N173=Calendar!$K$4)),P173*100+COUNTIFS($P$6:$P$3267,P173,$Q$6:$Q$3267,"&lt;="&amp;Q173,$N$6:$N$3267,Calendar!$K$4),"")</f>
        <v/>
      </c>
      <c r="W173" s="47">
        <f>IF(AND(B173=Queue!$C$4,OR(Queue!$K$4="*",N173=Queue!$K$4)),Q173,"")</f>
        <v/>
      </c>
    </row>
    <row r="174">
      <c r="A174" s="38">
        <f>IF(M174="","",HYPERLINK("https://www.youtube.com/watch?v="&amp;M174,"▶"))</f>
        <v/>
      </c>
      <c r="B174" s="39">
        <f>IF(C174&lt;&gt;"",C174,IF(P174&lt;=IFERROR(INDEX(tblChannels[Watched Through],MATCH(N174,tblChannels[Channel ID],0)),0),"Watched","Unwatched"))</f>
        <v/>
      </c>
      <c r="C174" s="40" t="n"/>
      <c r="D174" s="41" t="n"/>
      <c r="E174" s="42" t="n">
        <v>46033.41736111111</v>
      </c>
      <c r="F174" s="51" t="inlineStr">
        <is>
          <t>Through The Griffin Door</t>
        </is>
      </c>
      <c r="G174" t="inlineStr">
        <is>
          <t>Chapter 19: The Lion and the Serpent | Order of the Phoenix</t>
        </is>
      </c>
      <c r="H174" s="44" t="n">
        <v>0.07553240740740741</v>
      </c>
      <c r="I174" s="45" t="n">
        <v>43788</v>
      </c>
      <c r="J174" s="45" t="n">
        <v>1103</v>
      </c>
      <c r="K174" s="45" t="n">
        <v>343</v>
      </c>
      <c r="L174" s="46" t="n"/>
      <c r="M174" s="47" t="n"/>
      <c r="N174" s="47" t="inlineStr">
        <is>
          <t>UCEscP6ETYXWSSvsNrDHekMQ</t>
        </is>
      </c>
      <c r="O174" s="48" t="n">
        <v>46033.62569444445</v>
      </c>
      <c r="P174" s="49" t="n">
        <v>46033</v>
      </c>
      <c r="Q174" s="47" t="n">
        <v>3094</v>
      </c>
      <c r="R174" s="47" t="inlineStr">
        <is>
          <t>No Video ID yet</t>
        </is>
      </c>
      <c r="S174" s="49" t="n"/>
      <c r="T174" s="49" t="n"/>
      <c r="U174" s="47" t="inlineStr">
        <is>
          <t>Join J and Ben as they dive into Chapter 19 of the Order of the Phoenix and discuss the protean charm, the pacing, Fred and George being adopted, Ron’s anticipation, a great RedMoon moment, Lee Jordan’s commentary, Draco goading the Griffindoors, decree number 25 and Hagrid being back! Fred &amp; George Are Actually Adopted?! - 10:23 - Chapter Breakdown 58:17 - Ad Break (Shopify) 59:20 - More Chapter Breakdown 1:34:05 - Closing Thoughts and Review</t>
        </is>
      </c>
      <c r="V174" s="47">
        <f>IF(AND(P174&gt;=Calendar!$K$2,P174&lt;EDATE(Calendar!$K$2,1),OR(Calendar!$K$4="*",N174=Calendar!$K$4)),P174*100+COUNTIFS($P$6:$P$3267,P174,$Q$6:$Q$3267,"&lt;="&amp;Q174,$N$6:$N$3267,Calendar!$K$4),"")</f>
        <v/>
      </c>
      <c r="W174" s="47">
        <f>IF(AND(B174=Queue!$C$4,OR(Queue!$K$4="*",N174=Queue!$K$4)),Q174,"")</f>
        <v/>
      </c>
    </row>
    <row r="175">
      <c r="A175" s="38">
        <f>IF(M175="","",HYPERLINK("https://www.youtube.com/watch?v="&amp;M175,"▶"))</f>
        <v/>
      </c>
      <c r="B175" s="39">
        <f>IF(C175&lt;&gt;"",C175,IF(P175&lt;=IFERROR(INDEX(tblChannels[Watched Through],MATCH(N175,tblChannels[Channel ID],0)),0),"Watched","Unwatched"))</f>
        <v/>
      </c>
      <c r="C175" s="40" t="n"/>
      <c r="D175" s="41" t="n"/>
      <c r="E175" s="42" t="n">
        <v>46031.66388888889</v>
      </c>
      <c r="F175" s="50" t="inlineStr">
        <is>
          <t>Super Carlin Brothers</t>
        </is>
      </c>
      <c r="G175" t="inlineStr">
        <is>
          <t>Fred &amp; George Are Actually Adopted?! | Harry Potter Theory</t>
        </is>
      </c>
      <c r="H175" s="44" t="n">
        <v>0.009780092592592592</v>
      </c>
      <c r="I175" s="45" t="n">
        <v>52790</v>
      </c>
      <c r="J175" s="45" t="n">
        <v>2853</v>
      </c>
      <c r="K175" s="45" t="n">
        <v>293</v>
      </c>
      <c r="L175" s="46" t="n"/>
      <c r="M175" s="47" t="n"/>
      <c r="N175" s="47" t="inlineStr">
        <is>
          <t>UCKZo4N0lVPccBkSiuyVh4yg</t>
        </is>
      </c>
      <c r="O175" s="48" t="n">
        <v>46031.87222222222</v>
      </c>
      <c r="P175" s="49" t="n">
        <v>46031</v>
      </c>
      <c r="Q175" s="47" t="n">
        <v>3093</v>
      </c>
      <c r="R175" s="47" t="inlineStr">
        <is>
          <t>No Video ID yet</t>
        </is>
      </c>
      <c r="S175" s="49" t="n"/>
      <c r="T175" s="49" t="n"/>
      <c r="U175" s="47" t="inlineStr">
        <is>
          <t>This episode is sponsored by This episode is sponsored by Shopify - Go to to sign up for your $1-per-month trial period. Are Fred and George Weasley actually adopted?! 🤯 This started as a joke in our new “Theories Out of a Hat” concept—where we pull bad theories out of a hat and try to defend them—but the deeper we looked… the more unsettling it became. From strange lines in Order of the Phoenix, to Molly Weasley’s emotional blind spots, to shocking connections involving Fabian &amp; Gideon Prewett, Marlene McKinnon, and even Harry Potter himself, this theory uncovers a hidden pattern of found family, war-time loss, and chosen love at the heart of the Wizarding World. This theory may have started as a joke… …but it ends somewhere devastating.</t>
        </is>
      </c>
      <c r="V175" s="47">
        <f>IF(AND(P175&gt;=Calendar!$K$2,P175&lt;EDATE(Calendar!$K$2,1),OR(Calendar!$K$4="*",N175=Calendar!$K$4)),P175*100+COUNTIFS($P$6:$P$3267,P175,$Q$6:$Q$3267,"&lt;="&amp;Q175,$N$6:$N$3267,Calendar!$K$4),"")</f>
        <v/>
      </c>
      <c r="W175" s="47">
        <f>IF(AND(B175=Queue!$C$4,OR(Queue!$K$4="*",N175=Queue!$K$4)),Q175,"")</f>
        <v/>
      </c>
    </row>
    <row r="176">
      <c r="A176" s="38">
        <f>IF(M176="","",HYPERLINK("https://www.youtube.com/watch?v="&amp;M176,"▶"))</f>
        <v/>
      </c>
      <c r="B176" s="39">
        <f>IF(C176&lt;&gt;"",C176,IF(P176&lt;=IFERROR(INDEX(tblChannels[Watched Through],MATCH(N176,tblChannels[Channel ID],0)),0),"Watched","Unwatched"))</f>
        <v/>
      </c>
      <c r="C176" s="40" t="n"/>
      <c r="D176" s="41" t="n"/>
      <c r="E176" s="42" t="n">
        <v>46031.41666666666</v>
      </c>
      <c r="F176" s="43" t="inlineStr">
        <is>
          <t>Popcorn Culture</t>
        </is>
      </c>
      <c r="G176" t="inlineStr">
        <is>
          <t>The Walmart Chicken Debacle  | Popcorn Culture</t>
        </is>
      </c>
      <c r="H176" s="44" t="n">
        <v>0.05715277777777777</v>
      </c>
      <c r="I176" s="45" t="n">
        <v>2919</v>
      </c>
      <c r="J176" s="45" t="n">
        <v>148</v>
      </c>
      <c r="K176" s="45" t="n">
        <v>23</v>
      </c>
      <c r="L176" s="46" t="n"/>
      <c r="M176" s="47" t="n"/>
      <c r="N176" s="47" t="inlineStr">
        <is>
          <t>UCHfIbq9thHPC8yrKjAdJgDA</t>
        </is>
      </c>
      <c r="O176" s="48" t="n">
        <v>46031.625</v>
      </c>
      <c r="P176" s="49" t="n">
        <v>46031</v>
      </c>
      <c r="Q176" s="47" t="n">
        <v>3092</v>
      </c>
      <c r="R176" s="47" t="inlineStr">
        <is>
          <t>No Video ID yet</t>
        </is>
      </c>
      <c r="S176" s="49" t="n"/>
      <c r="T176" s="49" t="n"/>
      <c r="U176" s="47" t="inlineStr">
        <is>
          <t>In the 318th episode of the Pop, Ben and J discuss new year cleaning, a 12 piece chicken tender, the Dude Perfect board game, more Christmas gifts, and flat tires. How It’s Made - Ben’s Anchors - Dude Perfect Board Game - Garmin Watch - Denver, CO - 03/07/2026 (sold out) Salt Lake City, UT - 03/09/2026 (sold out) 00:00 - Intro, Cleaning House 18:31 - The Walmart Hot-To-Go Counter 36:18 - Board Games 56:56 - More Christmas Gifts</t>
        </is>
      </c>
      <c r="V176" s="47">
        <f>IF(AND(P176&gt;=Calendar!$K$2,P176&lt;EDATE(Calendar!$K$2,1),OR(Calendar!$K$4="*",N176=Calendar!$K$4)),P176*100+COUNTIFS($P$6:$P$3267,P176,$Q$6:$Q$3267,"&lt;="&amp;Q176,$N$6:$N$3267,Calendar!$K$4),"")</f>
        <v/>
      </c>
      <c r="W176" s="47">
        <f>IF(AND(B176=Queue!$C$4,OR(Queue!$K$4="*",N176=Queue!$K$4)),Q176,"")</f>
        <v/>
      </c>
    </row>
    <row r="177">
      <c r="A177" s="38">
        <f>IF(M177="","",HYPERLINK("https://www.youtube.com/watch?v="&amp;M177,"▶"))</f>
        <v/>
      </c>
      <c r="B177" s="39">
        <f>IF(C177&lt;&gt;"",C177,IF(P177&lt;=IFERROR(INDEX(tblChannels[Watched Through],MATCH(N177,tblChannels[Channel ID],0)),0),"Watched","Unwatched"))</f>
        <v/>
      </c>
      <c r="C177" s="40" t="n"/>
      <c r="D177" s="41" t="n"/>
      <c r="E177" s="42" t="n">
        <v>46029.71527777778</v>
      </c>
      <c r="F177" s="50" t="inlineStr">
        <is>
          <t>Super Carlin Brothers</t>
        </is>
      </c>
      <c r="G177" t="inlineStr">
        <is>
          <t>The One Hagrid Question That Never Gets Answered | Harry Potter Theory</t>
        </is>
      </c>
      <c r="H177" s="44" t="n">
        <v>0.01265046296296296</v>
      </c>
      <c r="I177" s="45" t="n">
        <v>106922</v>
      </c>
      <c r="J177" s="45" t="n">
        <v>4815</v>
      </c>
      <c r="K177" s="45" t="n">
        <v>884</v>
      </c>
      <c r="L177" s="46" t="n"/>
      <c r="M177" s="47" t="n"/>
      <c r="N177" s="47" t="inlineStr">
        <is>
          <t>UCKZo4N0lVPccBkSiuyVh4yg</t>
        </is>
      </c>
      <c r="O177" s="48" t="n">
        <v>46029.92361111111</v>
      </c>
      <c r="P177" s="49" t="n">
        <v>46029</v>
      </c>
      <c r="Q177" s="47" t="n">
        <v>3091</v>
      </c>
      <c r="R177" s="47" t="inlineStr">
        <is>
          <t>No Video ID yet</t>
        </is>
      </c>
      <c r="S177" s="49" t="n"/>
      <c r="T177" s="49" t="n"/>
      <c r="U177" s="47" t="inlineStr">
        <is>
          <t>This episode is sponsored by BetterHelp. Go to for 10% off your first month. From the very first pages of Harry Potter, Hagrid is full of mysteries — his size, his umbrella, his expulsion… but there’s one moment that has quietly confused readers for decades. When Hagrid retrieves Harry from the Hut on the Rock, he claims he “flew” there. But… how? In this video, we break down every possible way Hagrid could have reached the island, using only canon evidence from across all seven books. We examine flying motorbikes, broomsticks, Thestrals, magic carpets, Floo Powder, dragons, and even some of the wizarding world’s rarest magical creatures.. This is the one Hagrid question that never gets answered on the page… until now! Special Thanks to @jakob_henkel for this video suggestion!</t>
        </is>
      </c>
      <c r="V177" s="47">
        <f>IF(AND(P177&gt;=Calendar!$K$2,P177&lt;EDATE(Calendar!$K$2,1),OR(Calendar!$K$4="*",N177=Calendar!$K$4)),P177*100+COUNTIFS($P$6:$P$3267,P177,$Q$6:$Q$3267,"&lt;="&amp;Q177,$N$6:$N$3267,Calendar!$K$4),"")</f>
        <v/>
      </c>
      <c r="W177" s="47">
        <f>IF(AND(B177=Queue!$C$4,OR(Queue!$K$4="*",N177=Queue!$K$4)),Q177,"")</f>
        <v/>
      </c>
    </row>
    <row r="178">
      <c r="A178" s="38">
        <f>IF(M178="","",HYPERLINK("https://www.youtube.com/watch?v="&amp;M178,"▶"))</f>
        <v/>
      </c>
      <c r="B178" s="39">
        <f>IF(C178&lt;&gt;"",C178,IF(P178&lt;=IFERROR(INDEX(tblChannels[Watched Through],MATCH(N178,tblChannels[Channel ID],0)),0),"Watched","Unwatched"))</f>
        <v/>
      </c>
      <c r="C178" s="40" t="n"/>
      <c r="D178" s="41" t="n"/>
      <c r="E178" s="42" t="n">
        <v>46027.47708333333</v>
      </c>
      <c r="F178" s="50" t="inlineStr">
        <is>
          <t>Super Carlin Brothers</t>
        </is>
      </c>
      <c r="G178" t="inlineStr">
        <is>
          <t>Through the Griffin Door Supercut: Order of the Phoenix Chapters 16-18</t>
        </is>
      </c>
      <c r="H178" s="44" t="n">
        <v>0.1888078703703704</v>
      </c>
      <c r="I178" s="45" t="n">
        <v>7221</v>
      </c>
      <c r="J178" s="45" t="n">
        <v>130</v>
      </c>
      <c r="K178" s="45" t="n">
        <v>29</v>
      </c>
      <c r="L178" s="46" t="n"/>
      <c r="M178" s="47" t="n"/>
      <c r="N178" s="47" t="inlineStr">
        <is>
          <t>UCKZo4N0lVPccBkSiuyVh4yg</t>
        </is>
      </c>
      <c r="O178" s="48" t="n">
        <v>46027.68541666667</v>
      </c>
      <c r="P178" s="49" t="n">
        <v>46027</v>
      </c>
      <c r="Q178" s="47" t="n">
        <v>3090</v>
      </c>
      <c r="R178" s="47" t="inlineStr">
        <is>
          <t>No Video ID yet</t>
        </is>
      </c>
      <c r="S178" s="49" t="n"/>
      <c r="T178" s="49" t="n"/>
      <c r="U178" s="47" t="inlineStr">
        <is>
          <t>0:00:00 - Chapter 16: In the Hogs Head 1:29:23 - Chapter 17: Educational Decree Number Twenty-Four 2:55:39 - Chapter 18: Dumbledore's Army</t>
        </is>
      </c>
      <c r="V178" s="47">
        <f>IF(AND(P178&gt;=Calendar!$K$2,P178&lt;EDATE(Calendar!$K$2,1),OR(Calendar!$K$4="*",N178=Calendar!$K$4)),P178*100+COUNTIFS($P$6:$P$3267,P178,$Q$6:$Q$3267,"&lt;="&amp;Q178,$N$6:$N$3267,Calendar!$K$4),"")</f>
        <v/>
      </c>
      <c r="W178" s="47">
        <f>IF(AND(B178=Queue!$C$4,OR(Queue!$K$4="*",N178=Queue!$K$4)),Q178,"")</f>
        <v/>
      </c>
    </row>
    <row r="179">
      <c r="A179" s="38">
        <f>IF(M179="","",HYPERLINK("https://www.youtube.com/watch?v="&amp;M179,"▶"))</f>
        <v/>
      </c>
      <c r="B179" s="39">
        <f>IF(C179&lt;&gt;"",C179,IF(P179&lt;=IFERROR(INDEX(tblChannels[Watched Through],MATCH(N179,tblChannels[Channel ID],0)),0),"Watched","Unwatched"))</f>
        <v/>
      </c>
      <c r="C179" s="40" t="n"/>
      <c r="D179" s="41" t="n"/>
      <c r="E179" s="42" t="n">
        <v>46026.41736111111</v>
      </c>
      <c r="F179" s="51" t="inlineStr">
        <is>
          <t>Through The Griffin Door</t>
        </is>
      </c>
      <c r="G179" t="inlineStr">
        <is>
          <t>The Owlery Special Part 3!</t>
        </is>
      </c>
      <c r="H179" s="44" t="n">
        <v>0.08253472222222222</v>
      </c>
      <c r="I179" s="45" t="n">
        <v>21563</v>
      </c>
      <c r="J179" s="45" t="n">
        <v>673</v>
      </c>
      <c r="K179" s="45" t="n">
        <v>305</v>
      </c>
      <c r="L179" s="46" t="n"/>
      <c r="M179" s="47" t="n"/>
      <c r="N179" s="47" t="inlineStr">
        <is>
          <t>UCEscP6ETYXWSSvsNrDHekMQ</t>
        </is>
      </c>
      <c r="O179" s="48" t="n">
        <v>46026.62569444445</v>
      </c>
      <c r="P179" s="49" t="n">
        <v>46026</v>
      </c>
      <c r="Q179" s="47" t="n">
        <v>3089</v>
      </c>
      <c r="R179" s="47" t="inlineStr">
        <is>
          <t>No Video ID yet</t>
        </is>
      </c>
      <c r="S179" s="49" t="n"/>
      <c r="T179" s="49" t="n"/>
      <c r="U179" s="47" t="inlineStr">
        <is>
          <t>Join J and Ben as they dive into YOUR QUESTIONS and answer the questions: Did Grindelwald DEFINITELY kill Ariana? What if Regulus didn’t die? What if Merope kept giving Tom Riddle Sr. the love potion? And what if Draco stole the cloak of invisibility? Do you want to have your questions answered on a future episode of The Owlery? Support us on Patreon: 00:00 - Grindelwald vs. Ariana 21:13 - Regulus 55:47 - Merope (Ben’s Version) 1:09:26 - Merope (J’s Version) 1:31:01 - Draco</t>
        </is>
      </c>
      <c r="V179" s="47">
        <f>IF(AND(P179&gt;=Calendar!$K$2,P179&lt;EDATE(Calendar!$K$2,1),OR(Calendar!$K$4="*",N179=Calendar!$K$4)),P179*100+COUNTIFS($P$6:$P$3267,P179,$Q$6:$Q$3267,"&lt;="&amp;Q179,$N$6:$N$3267,Calendar!$K$4),"")</f>
        <v/>
      </c>
      <c r="W179" s="47">
        <f>IF(AND(B179=Queue!$C$4,OR(Queue!$K$4="*",N179=Queue!$K$4)),Q179,"")</f>
        <v/>
      </c>
    </row>
    <row r="180">
      <c r="A180" s="38">
        <f>IF(M180="","",HYPERLINK("https://www.youtube.com/watch?v="&amp;M180,"▶"))</f>
        <v/>
      </c>
      <c r="B180" s="39">
        <f>IF(C180&lt;&gt;"",C180,IF(P180&lt;=IFERROR(INDEX(tblChannels[Watched Through],MATCH(N180,tblChannels[Channel ID],0)),0),"Watched","Unwatched"))</f>
        <v/>
      </c>
      <c r="C180" s="40" t="n"/>
      <c r="D180" s="41" t="n"/>
      <c r="E180" s="42" t="n">
        <v>46024.58333333334</v>
      </c>
      <c r="F180" s="50" t="inlineStr">
        <is>
          <t>Super Carlin Brothers</t>
        </is>
      </c>
      <c r="G180" t="inlineStr">
        <is>
          <t>J vs Ben: 2025 FULL YEAR SHOWDOWN! (Part 2)</t>
        </is>
      </c>
      <c r="H180" s="44" t="n">
        <v>0.4293287037037037</v>
      </c>
      <c r="I180" s="45" t="n">
        <v>72449</v>
      </c>
      <c r="J180" s="45" t="n">
        <v>1115</v>
      </c>
      <c r="K180" s="45" t="n">
        <v>227</v>
      </c>
      <c r="L180" s="46" t="n"/>
      <c r="M180" s="47" t="n"/>
      <c r="N180" s="47" t="inlineStr">
        <is>
          <t>UCKZo4N0lVPccBkSiuyVh4yg</t>
        </is>
      </c>
      <c r="O180" s="48" t="n">
        <v>46024.79166666666</v>
      </c>
      <c r="P180" s="49" t="n">
        <v>46024</v>
      </c>
      <c r="Q180" s="47" t="n">
        <v>3088</v>
      </c>
      <c r="R180" s="47" t="inlineStr">
        <is>
          <t>No Video ID yet</t>
        </is>
      </c>
      <c r="S180" s="49" t="n"/>
      <c r="T180" s="49" t="n"/>
      <c r="U180" s="47" t="inlineStr">
        <is>
          <t>Welcome to PART 2 the GRAND FINALE of the 2025 J vs Ben season! We have clipped together every J vs Ben for the entire year so you can relive it all and find out who the grand champion is! From the “In the Movies,” “Quotes Quizes,” and “Open Book,” formats we had a lot of curve balls this year. Huge thanks to all the quiz masters throughout the year! We could not make the show without you and look forward to all of your questions next year!</t>
        </is>
      </c>
      <c r="V180" s="47">
        <f>IF(AND(P180&gt;=Calendar!$K$2,P180&lt;EDATE(Calendar!$K$2,1),OR(Calendar!$K$4="*",N180=Calendar!$K$4)),P180*100+COUNTIFS($P$6:$P$3267,P180,$Q$6:$Q$3267,"&lt;="&amp;Q180,$N$6:$N$3267,Calendar!$K$4),"")</f>
        <v/>
      </c>
      <c r="W180" s="47">
        <f>IF(AND(B180=Queue!$C$4,OR(Queue!$K$4="*",N180=Queue!$K$4)),Q180,"")</f>
        <v/>
      </c>
    </row>
    <row r="181">
      <c r="A181" s="38">
        <f>IF(M181="","",HYPERLINK("https://www.youtube.com/watch?v="&amp;M181,"▶"))</f>
        <v/>
      </c>
      <c r="B181" s="39">
        <f>IF(C181&lt;&gt;"",C181,IF(P181&lt;=IFERROR(INDEX(tblChannels[Watched Through],MATCH(N181,tblChannels[Channel ID],0)),0),"Watched","Unwatched"))</f>
        <v/>
      </c>
      <c r="C181" s="40" t="n"/>
      <c r="D181" s="41" t="n"/>
      <c r="E181" s="42" t="n">
        <v>46024.41666666666</v>
      </c>
      <c r="F181" s="43" t="inlineStr">
        <is>
          <t>Popcorn Culture</t>
        </is>
      </c>
      <c r="G181" t="inlineStr">
        <is>
          <t>New Year, RE-Popped! | Popcorn Culture</t>
        </is>
      </c>
      <c r="H181" s="44" t="n">
        <v>0.04833333333333333</v>
      </c>
      <c r="I181" s="45" t="n">
        <v>2481</v>
      </c>
      <c r="J181" s="45" t="n">
        <v>121</v>
      </c>
      <c r="K181" s="45" t="n">
        <v>7</v>
      </c>
      <c r="L181" s="46" t="n"/>
      <c r="M181" s="47" t="n"/>
      <c r="N181" s="47" t="inlineStr">
        <is>
          <t>UCHfIbq9thHPC8yrKjAdJgDA</t>
        </is>
      </c>
      <c r="O181" s="48" t="n">
        <v>46024.625</v>
      </c>
      <c r="P181" s="49" t="n">
        <v>46024</v>
      </c>
      <c r="Q181" s="47" t="n">
        <v>3087</v>
      </c>
      <c r="R181" s="47" t="inlineStr">
        <is>
          <t>No Video ID yet</t>
        </is>
      </c>
      <c r="S181" s="49" t="n"/>
      <c r="T181" s="49" t="n"/>
      <c r="U181" s="47" t="inlineStr">
        <is>
          <t>In previous ATFPs, Ben and J discussed the Beer Mile, Brock Brockington and powerwashing! 06:00 - ATFP 1 25:31 - ATFP 2 41:02 - ATFP 3 1:08:38 - Outro</t>
        </is>
      </c>
      <c r="V181" s="47">
        <f>IF(AND(P181&gt;=Calendar!$K$2,P181&lt;EDATE(Calendar!$K$2,1),OR(Calendar!$K$4="*",N181=Calendar!$K$4)),P181*100+COUNTIFS($P$6:$P$3267,P181,$Q$6:$Q$3267,"&lt;="&amp;Q181,$N$6:$N$3267,Calendar!$K$4),"")</f>
        <v/>
      </c>
      <c r="W181" s="47">
        <f>IF(AND(B181=Queue!$C$4,OR(Queue!$K$4="*",N181=Queue!$K$4)),Q181,"")</f>
        <v/>
      </c>
    </row>
    <row r="182">
      <c r="A182" s="38">
        <f>IF(M182="","",HYPERLINK("https://www.youtube.com/watch?v="&amp;M182,"▶"))</f>
        <v/>
      </c>
      <c r="B182" s="39">
        <f>IF(C182&lt;&gt;"",C182,IF(P182&lt;=IFERROR(INDEX(tblChannels[Watched Through],MATCH(N182,tblChannels[Channel ID],0)),0),"Watched","Unwatched"))</f>
        <v/>
      </c>
      <c r="C182" s="40" t="n"/>
      <c r="D182" s="41" t="n"/>
      <c r="E182" s="42" t="n">
        <v>46022.58333333334</v>
      </c>
      <c r="F182" s="50" t="inlineStr">
        <is>
          <t>Super Carlin Brothers</t>
        </is>
      </c>
      <c r="G182" t="inlineStr">
        <is>
          <t>J vs Ben: 2025 FULL YEAR SHOWDOWN! (Part 1)</t>
        </is>
      </c>
      <c r="H182" s="44" t="n">
        <v>0.3844444444444444</v>
      </c>
      <c r="I182" s="45" t="n">
        <v>89287</v>
      </c>
      <c r="J182" s="45" t="n">
        <v>1400</v>
      </c>
      <c r="K182" s="45" t="n">
        <v>290</v>
      </c>
      <c r="L182" s="46" t="n"/>
      <c r="M182" s="47" t="n"/>
      <c r="N182" s="47" t="inlineStr">
        <is>
          <t>UCKZo4N0lVPccBkSiuyVh4yg</t>
        </is>
      </c>
      <c r="O182" s="48" t="n">
        <v>46022.79166666666</v>
      </c>
      <c r="P182" s="49" t="n">
        <v>46022</v>
      </c>
      <c r="Q182" s="47" t="n">
        <v>3086</v>
      </c>
      <c r="R182" s="47" t="inlineStr">
        <is>
          <t>No Video ID yet</t>
        </is>
      </c>
      <c r="S182" s="49" t="n"/>
      <c r="T182" s="49" t="n"/>
      <c r="U182" s="47" t="inlineStr">
        <is>
          <t>Welcome to the GRAND FINALE of the 2025 J vs Ben season! We have clipped together every J vs Ben for the entire year so you can relive it all and find out who the grand champion is! From the “In the Movies,” “Quotes Quizes,” and “Open Book,” formats we had a lot of curve balls this year. We actually had so much footage this year we had to break it into 2 parts, so be on the look out for part 2 in a couple of days! (if you have finished this one by then!) Huge thanks to all the quiz masters throughout the year! We could not make the show without you and look forward to all of your questions next year!</t>
        </is>
      </c>
      <c r="V182" s="47">
        <f>IF(AND(P182&gt;=Calendar!$K$2,P182&lt;EDATE(Calendar!$K$2,1),OR(Calendar!$K$4="*",N182=Calendar!$K$4)),P182*100+COUNTIFS($P$6:$P$3267,P182,$Q$6:$Q$3267,"&lt;="&amp;Q182,$N$6:$N$3267,Calendar!$K$4),"")</f>
        <v/>
      </c>
      <c r="W182" s="47">
        <f>IF(AND(B182=Queue!$C$4,OR(Queue!$K$4="*",N182=Queue!$K$4)),Q182,"")</f>
        <v/>
      </c>
    </row>
    <row r="183">
      <c r="A183" s="38">
        <f>IF(M183="","",HYPERLINK("https://www.youtube.com/watch?v="&amp;M183,"▶"))</f>
        <v/>
      </c>
      <c r="B183" s="39">
        <f>IF(C183&lt;&gt;"",C183,IF(P183&lt;=IFERROR(INDEX(tblChannels[Watched Through],MATCH(N183,tblChannels[Channel ID],0)),0),"Watched","Unwatched"))</f>
        <v/>
      </c>
      <c r="C183" s="40" t="n"/>
      <c r="D183" s="41" t="n"/>
      <c r="E183" s="42" t="n">
        <v>46019.41736111111</v>
      </c>
      <c r="F183" s="51" t="inlineStr">
        <is>
          <t>Through The Griffin Door</t>
        </is>
      </c>
      <c r="G183" t="inlineStr">
        <is>
          <t>Chapter 18: Dumbledore’s Army | Order of the Phoenix</t>
        </is>
      </c>
      <c r="H183" s="44" t="n">
        <v>0.06682870370370371</v>
      </c>
      <c r="I183" s="45" t="n">
        <v>44359</v>
      </c>
      <c r="J183" s="45" t="n">
        <v>1159</v>
      </c>
      <c r="K183" s="45" t="n">
        <v>299</v>
      </c>
      <c r="L183" s="46" t="n"/>
      <c r="M183" s="47" t="n"/>
      <c r="N183" s="47" t="inlineStr">
        <is>
          <t>UCEscP6ETYXWSSvsNrDHekMQ</t>
        </is>
      </c>
      <c r="O183" s="48" t="n">
        <v>46019.62569444445</v>
      </c>
      <c r="P183" s="49" t="n">
        <v>46019</v>
      </c>
      <c r="Q183" s="47" t="n">
        <v>3085</v>
      </c>
      <c r="R183" s="47" t="inlineStr">
        <is>
          <t>No Video ID yet</t>
        </is>
      </c>
      <c r="S183" s="49" t="n"/>
      <c r="T183" s="49" t="n"/>
      <c r="U183" s="47" t="inlineStr">
        <is>
          <t>Join J and Ben as they dive into Chapter 18 of the Order of the Phoenix and discuss silencing spells, Hermione’s doubt, Harry’s bridge to Voldemort’s emotions, Dobby’s midnight appearance, selecting the DA name and Harry’s first time teaching. The TRUTH About Hogwarts Origins - 04:18 - Chapter Breakdown 1:27:44 - Closing Thoughts and Review</t>
        </is>
      </c>
      <c r="V183" s="47">
        <f>IF(AND(P183&gt;=Calendar!$K$2,P183&lt;EDATE(Calendar!$K$2,1),OR(Calendar!$K$4="*",N183=Calendar!$K$4)),P183*100+COUNTIFS($P$6:$P$3267,P183,$Q$6:$Q$3267,"&lt;="&amp;Q183,$N$6:$N$3267,Calendar!$K$4),"")</f>
        <v/>
      </c>
      <c r="W183" s="47">
        <f>IF(AND(B183=Queue!$C$4,OR(Queue!$K$4="*",N183=Queue!$K$4)),Q183,"")</f>
        <v/>
      </c>
    </row>
    <row r="184">
      <c r="A184" s="38">
        <f>IF(M184="","",HYPERLINK("https://www.youtube.com/watch?v="&amp;M184,"▶"))</f>
        <v/>
      </c>
      <c r="B184" s="39">
        <f>IF(C184&lt;&gt;"",C184,IF(P184&lt;=IFERROR(INDEX(tblChannels[Watched Through],MATCH(N184,tblChannels[Channel ID],0)),0),"Watched","Unwatched"))</f>
        <v/>
      </c>
      <c r="C184" s="40" t="n"/>
      <c r="D184" s="41" t="n"/>
      <c r="E184" s="42" t="n">
        <v>46017.58333333334</v>
      </c>
      <c r="F184" s="50" t="inlineStr">
        <is>
          <t>Super Carlin Brothers</t>
        </is>
      </c>
      <c r="G184" t="inlineStr">
        <is>
          <t>2 MORE Hours of Harry Potter Theories to Binge</t>
        </is>
      </c>
      <c r="H184" s="44" t="n">
        <v>0.06545138888888889</v>
      </c>
      <c r="I184" s="45" t="n">
        <v>136170</v>
      </c>
      <c r="J184" s="45" t="n">
        <v>1883</v>
      </c>
      <c r="K184" s="45" t="n">
        <v>220</v>
      </c>
      <c r="L184" s="46" t="n"/>
      <c r="M184" s="47" t="n"/>
      <c r="N184" s="47" t="inlineStr">
        <is>
          <t>UCKZo4N0lVPccBkSiuyVh4yg</t>
        </is>
      </c>
      <c r="O184" s="48" t="n">
        <v>46017.79166666666</v>
      </c>
      <c r="P184" s="49" t="n">
        <v>46017</v>
      </c>
      <c r="Q184" s="47" t="n">
        <v>3084</v>
      </c>
      <c r="R184" s="47" t="inlineStr">
        <is>
          <t>No Video ID yet</t>
        </is>
      </c>
      <c r="S184" s="49" t="n"/>
      <c r="T184" s="49" t="n"/>
      <c r="U184" s="47" t="inlineStr">
        <is>
          <t>Grab your butterbeers and Chocolate Frogs and settle in — we’ve stitched together ANOTHER 2 hours Harry Potter Theories to Binge! What’s the Sorting hat’s big secret? Why does Hermione never visit her parents? Is Death a Dementor? What’s the deal with Thestrals? Is Hagrid secretly a millionaire?! We tackle them all and MORE!</t>
        </is>
      </c>
      <c r="V184" s="47">
        <f>IF(AND(P184&gt;=Calendar!$K$2,P184&lt;EDATE(Calendar!$K$2,1),OR(Calendar!$K$4="*",N184=Calendar!$K$4)),P184*100+COUNTIFS($P$6:$P$3267,P184,$Q$6:$Q$3267,"&lt;="&amp;Q184,$N$6:$N$3267,Calendar!$K$4),"")</f>
        <v/>
      </c>
      <c r="W184" s="47">
        <f>IF(AND(B184=Queue!$C$4,OR(Queue!$K$4="*",N184=Queue!$K$4)),Q184,"")</f>
        <v/>
      </c>
    </row>
    <row r="185">
      <c r="A185" s="38">
        <f>IF(M185="","",HYPERLINK("https://www.youtube.com/watch?v="&amp;M185,"▶"))</f>
        <v/>
      </c>
      <c r="B185" s="39">
        <f>IF(C185&lt;&gt;"",C185,IF(P185&lt;=IFERROR(INDEX(tblChannels[Watched Through],MATCH(N185,tblChannels[Channel ID],0)),0),"Watched","Unwatched"))</f>
        <v/>
      </c>
      <c r="C185" s="40" t="n"/>
      <c r="D185" s="41" t="n"/>
      <c r="E185" s="42" t="n">
        <v>46017.41666666666</v>
      </c>
      <c r="F185" s="43" t="inlineStr">
        <is>
          <t>Popcorn Culture</t>
        </is>
      </c>
      <c r="G185" t="inlineStr">
        <is>
          <t>2025 WRAPPED | Popcorn Culture</t>
        </is>
      </c>
      <c r="H185" s="44" t="n">
        <v>0.04592592592592593</v>
      </c>
      <c r="I185" s="45" t="n">
        <v>2321</v>
      </c>
      <c r="J185" s="45" t="n">
        <v>134</v>
      </c>
      <c r="K185" s="45" t="n">
        <v>21</v>
      </c>
      <c r="L185" s="46" t="n"/>
      <c r="M185" s="47" t="n"/>
      <c r="N185" s="47" t="inlineStr">
        <is>
          <t>UCHfIbq9thHPC8yrKjAdJgDA</t>
        </is>
      </c>
      <c r="O185" s="48" t="n">
        <v>46017.625</v>
      </c>
      <c r="P185" s="49" t="n">
        <v>46017</v>
      </c>
      <c r="Q185" s="47" t="n">
        <v>3083</v>
      </c>
      <c r="R185" s="47" t="inlineStr">
        <is>
          <t>No Video ID yet</t>
        </is>
      </c>
      <c r="S185" s="49" t="n"/>
      <c r="T185" s="49" t="n"/>
      <c r="U185" s="47" t="inlineStr">
        <is>
          <t>In the 316th episode of the Pop, Ben and J discuss artificial intelligence, the various trips of this year, drink competitions, microplastics, childhood whimsy, and social media strategy The Matrix - Go Pin Pro - 00:00 - Intro, What 2050 Might Look Like 25:45 - 2025 Quick Review</t>
        </is>
      </c>
      <c r="V185" s="47">
        <f>IF(AND(P185&gt;=Calendar!$K$2,P185&lt;EDATE(Calendar!$K$2,1),OR(Calendar!$K$4="*",N185=Calendar!$K$4)),P185*100+COUNTIFS($P$6:$P$3267,P185,$Q$6:$Q$3267,"&lt;="&amp;Q185,$N$6:$N$3267,Calendar!$K$4),"")</f>
        <v/>
      </c>
      <c r="W185" s="47">
        <f>IF(AND(B185=Queue!$C$4,OR(Queue!$K$4="*",N185=Queue!$K$4)),Q185,"")</f>
        <v/>
      </c>
    </row>
    <row r="186">
      <c r="A186" s="38">
        <f>IF(M186="","",HYPERLINK("https://www.youtube.com/watch?v="&amp;M186,"▶"))</f>
        <v/>
      </c>
      <c r="B186" s="39">
        <f>IF(C186&lt;&gt;"",C186,IF(P186&lt;=IFERROR(INDEX(tblChannels[Watched Through],MATCH(N186,tblChannels[Channel ID],0)),0),"Watched","Unwatched"))</f>
        <v/>
      </c>
      <c r="C186" s="40" t="n"/>
      <c r="D186" s="41" t="n"/>
      <c r="E186" s="42" t="n">
        <v>46015.58333333334</v>
      </c>
      <c r="F186" s="50" t="inlineStr">
        <is>
          <t>Super Carlin Brothers</t>
        </is>
      </c>
      <c r="G186" t="inlineStr">
        <is>
          <t>Theories Out of a Hat: Defending the WORST Harry Potter Theories</t>
        </is>
      </c>
      <c r="H186" s="44" t="n">
        <v>0.02840277777777778</v>
      </c>
      <c r="I186" s="45" t="n">
        <v>207448</v>
      </c>
      <c r="J186" s="45" t="n">
        <v>6348</v>
      </c>
      <c r="K186" s="45" t="n">
        <v>818</v>
      </c>
      <c r="L186" s="46" t="n"/>
      <c r="M186" s="47" t="n"/>
      <c r="N186" s="47" t="inlineStr">
        <is>
          <t>UCKZo4N0lVPccBkSiuyVh4yg</t>
        </is>
      </c>
      <c r="O186" s="48" t="n">
        <v>46015.79166666666</v>
      </c>
      <c r="P186" s="49" t="n">
        <v>46015</v>
      </c>
      <c r="Q186" s="47" t="n">
        <v>3082</v>
      </c>
      <c r="R186" s="47" t="inlineStr">
        <is>
          <t>No Video ID yet</t>
        </is>
      </c>
      <c r="S186" s="49" t="n"/>
      <c r="T186" s="49" t="n"/>
      <c r="U186" s="47" t="inlineStr">
        <is>
          <t>Today, J and Ben are drawing crazy Harry Potter theories out of a hat and must defend them as if they were real! This episode is sponsored by BetterHelp. Go to for 10% off your first month. Go to and use code super50off to get 50% off your first box, plus Free Breakfast for 1 Year. Can they source info to prove Hermione is a Death Eater? Kreacher is Dobby’s Father? That the Weasley twins were adopted? And What if Neville actually IS the chosen one..?</t>
        </is>
      </c>
      <c r="V186" s="47">
        <f>IF(AND(P186&gt;=Calendar!$K$2,P186&lt;EDATE(Calendar!$K$2,1),OR(Calendar!$K$4="*",N186=Calendar!$K$4)),P186*100+COUNTIFS($P$6:$P$3267,P186,$Q$6:$Q$3267,"&lt;="&amp;Q186,$N$6:$N$3267,Calendar!$K$4),"")</f>
        <v/>
      </c>
      <c r="W186" s="47">
        <f>IF(AND(B186=Queue!$C$4,OR(Queue!$K$4="*",N186=Queue!$K$4)),Q186,"")</f>
        <v/>
      </c>
    </row>
    <row r="187">
      <c r="A187" s="38">
        <f>IF(M187="","",HYPERLINK("https://www.youtube.com/watch?v="&amp;M187,"▶"))</f>
        <v/>
      </c>
      <c r="B187" s="39">
        <f>IF(C187&lt;&gt;"",C187,IF(P187&lt;=IFERROR(INDEX(tblChannels[Watched Through],MATCH(N187,tblChannels[Channel ID],0)),0),"Watched","Unwatched"))</f>
        <v/>
      </c>
      <c r="C187" s="40" t="n"/>
      <c r="D187" s="41" t="n"/>
      <c r="E187" s="42" t="n">
        <v>46012.41666666666</v>
      </c>
      <c r="F187" s="51" t="inlineStr">
        <is>
          <t>Through The Griffin Door</t>
        </is>
      </c>
      <c r="G187" t="inlineStr">
        <is>
          <t>Chapter 17: Educational Decree Number Twenty-Four | Order of the Phoenix</t>
        </is>
      </c>
      <c r="H187" s="44" t="n">
        <v>0.06214120370370371</v>
      </c>
      <c r="I187" s="45" t="n">
        <v>39915</v>
      </c>
      <c r="J187" s="45" t="n">
        <v>1128</v>
      </c>
      <c r="K187" s="45" t="n">
        <v>293</v>
      </c>
      <c r="L187" s="46" t="n"/>
      <c r="M187" s="47" t="n"/>
      <c r="N187" s="47" t="inlineStr">
        <is>
          <t>UCEscP6ETYXWSSvsNrDHekMQ</t>
        </is>
      </c>
      <c r="O187" s="48" t="n">
        <v>46012.625</v>
      </c>
      <c r="P187" s="49" t="n">
        <v>46012</v>
      </c>
      <c r="Q187" s="47" t="n">
        <v>3081</v>
      </c>
      <c r="R187" s="47" t="inlineStr">
        <is>
          <t>No Video ID yet</t>
        </is>
      </c>
      <c r="S187" s="49" t="n"/>
      <c r="T187" s="49" t="n"/>
      <c r="U187" s="47" t="inlineStr">
        <is>
          <t>This episode is sponsored by AuraFrames - Exclusive $35 off Carver Mat at Promo Code GRIFFIN Join J and Ben as they dive into Chapter 17 of the Order of the Phoenix and discuss Harry’s fleeting good mood, the decree, slide stairs,Hedwig being hurt, the enigma that is Professor Grubbly-Plank, Potions class with Umbridge, talking to Sirius an almost getting caught 04:07 - Chapter Breakdown 41:51 - Ad Break (Shopify and Aura Frames) 44:55 - More Chapter Breakdown 1:15:56 - Closing Thoughts and Review</t>
        </is>
      </c>
      <c r="V187" s="47">
        <f>IF(AND(P187&gt;=Calendar!$K$2,P187&lt;EDATE(Calendar!$K$2,1),OR(Calendar!$K$4="*",N187=Calendar!$K$4)),P187*100+COUNTIFS($P$6:$P$3267,P187,$Q$6:$Q$3267,"&lt;="&amp;Q187,$N$6:$N$3267,Calendar!$K$4),"")</f>
        <v/>
      </c>
      <c r="W187" s="47">
        <f>IF(AND(B187=Queue!$C$4,OR(Queue!$K$4="*",N187=Queue!$K$4)),Q187,"")</f>
        <v/>
      </c>
    </row>
    <row r="188">
      <c r="A188" s="38">
        <f>IF(M188="","",HYPERLINK("https://www.youtube.com/watch?v="&amp;M188,"▶"))</f>
        <v/>
      </c>
      <c r="B188" s="39">
        <f>IF(C188&lt;&gt;"",C188,IF(P188&lt;=IFERROR(INDEX(tblChannels[Watched Through],MATCH(N188,tblChannels[Channel ID],0)),0),"Watched","Unwatched"))</f>
        <v/>
      </c>
      <c r="C188" s="40" t="n"/>
      <c r="D188" s="41" t="n"/>
      <c r="E188" s="42" t="n">
        <v>46010.78125</v>
      </c>
      <c r="F188" s="50" t="inlineStr">
        <is>
          <t>Super Carlin Brothers</t>
        </is>
      </c>
      <c r="G188" t="inlineStr">
        <is>
          <t>The COMPLETE Pixar Theory 2025</t>
        </is>
      </c>
      <c r="H188" s="44" t="n">
        <v>0.05269675925925926</v>
      </c>
      <c r="I188" s="45" t="n">
        <v>445925</v>
      </c>
      <c r="J188" s="45" t="n">
        <v>10238</v>
      </c>
      <c r="K188" s="45" t="n">
        <v>741</v>
      </c>
      <c r="L188" s="46" t="n"/>
      <c r="M188" s="47" t="n"/>
      <c r="N188" s="47" t="inlineStr">
        <is>
          <t>UCKZo4N0lVPccBkSiuyVh4yg</t>
        </is>
      </c>
      <c r="O188" s="48" t="n">
        <v>46010.98958333334</v>
      </c>
      <c r="P188" s="49" t="n">
        <v>46010</v>
      </c>
      <c r="Q188" s="47" t="n">
        <v>3080</v>
      </c>
      <c r="R188" s="47" t="inlineStr">
        <is>
          <t>No Video ID yet</t>
        </is>
      </c>
      <c r="S188" s="49" t="n"/>
      <c r="T188" s="49" t="n"/>
      <c r="U188" s="47" t="inlineStr">
        <is>
          <t>From Toy Story to Elio this is the COMPLETE Pixar Theory This episode is sponsored by BetterHelp. Go to for 10% off your first month. It’s been over 13 years since we first posted The Pixar Theory… and since then Pixar has released a LOT of movies. So today, we’re doing the impossible: one single UPDATED Pixar Theory that connects every Pixar feature film from Toy Story all the way through Elio into one massive timeline. We’ll break down the key turning points that shape the universe, how human memory is the hidden fuel powering the entire Pixar world, how magic and belief connect movies like Brave, Onward, Coco, Inside Out, and Monsters, Inc., and why Elio might finally help explain one of the biggest Pixar Theory mysteries of all time… Where do the Cars come from? The Pixar Theory Song: Huge shoutout to Jon Negroni, who originally introduced the Pixar Theory to the world. Jon’s Blog :: #SuperCarlinBrothers #Pixar Edited by: Ethan Edghill &amp; Isybelle Christley Production Assistance: Kat Stine</t>
        </is>
      </c>
      <c r="V188" s="47">
        <f>IF(AND(P188&gt;=Calendar!$K$2,P188&lt;EDATE(Calendar!$K$2,1),OR(Calendar!$K$4="*",N188=Calendar!$K$4)),P188*100+COUNTIFS($P$6:$P$3267,P188,$Q$6:$Q$3267,"&lt;="&amp;Q188,$N$6:$N$3267,Calendar!$K$4),"")</f>
        <v/>
      </c>
      <c r="W188" s="47">
        <f>IF(AND(B188=Queue!$C$4,OR(Queue!$K$4="*",N188=Queue!$K$4)),Q188,"")</f>
        <v/>
      </c>
    </row>
    <row r="189">
      <c r="A189" s="38">
        <f>IF(M189="","",HYPERLINK("https://www.youtube.com/watch?v="&amp;M189,"▶"))</f>
        <v/>
      </c>
      <c r="B189" s="39">
        <f>IF(C189&lt;&gt;"",C189,IF(P189&lt;=IFERROR(INDEX(tblChannels[Watched Through],MATCH(N189,tblChannels[Channel ID],0)),0),"Watched","Unwatched"))</f>
        <v/>
      </c>
      <c r="C189" s="40" t="n"/>
      <c r="D189" s="41" t="n"/>
      <c r="E189" s="42" t="n">
        <v>46010.41666666666</v>
      </c>
      <c r="F189" s="43" t="inlineStr">
        <is>
          <t>Popcorn Culture</t>
        </is>
      </c>
      <c r="G189" t="inlineStr">
        <is>
          <t>Piping Hot Tea | Popcorn Culture</t>
        </is>
      </c>
      <c r="H189" s="44" t="n">
        <v>0.04577546296296296</v>
      </c>
      <c r="I189" s="45" t="n">
        <v>3111</v>
      </c>
      <c r="J189" s="45" t="n">
        <v>132</v>
      </c>
      <c r="K189" s="45" t="n">
        <v>17</v>
      </c>
      <c r="L189" s="46" t="n"/>
      <c r="M189" s="47" t="n"/>
      <c r="N189" s="47" t="inlineStr">
        <is>
          <t>UCHfIbq9thHPC8yrKjAdJgDA</t>
        </is>
      </c>
      <c r="O189" s="48" t="n">
        <v>46010.625</v>
      </c>
      <c r="P189" s="49" t="n">
        <v>46010</v>
      </c>
      <c r="Q189" s="47" t="n">
        <v>3079</v>
      </c>
      <c r="R189" s="47" t="inlineStr">
        <is>
          <t>No Video ID yet</t>
        </is>
      </c>
      <c r="S189" s="49" t="n"/>
      <c r="T189" s="49" t="n"/>
      <c r="U189" s="47" t="inlineStr">
        <is>
          <t>In the 315th episode of the Pop, Ben and J discuss wearing clothes out, piping hot tea, emotional canisters and running. The Dilemma - Liar, Liar - Heavyweight - 00:00 - Intro, Cold Weather; Hot Tea 46:35 - Emotional Cannisters</t>
        </is>
      </c>
      <c r="V189" s="47">
        <f>IF(AND(P189&gt;=Calendar!$K$2,P189&lt;EDATE(Calendar!$K$2,1),OR(Calendar!$K$4="*",N189=Calendar!$K$4)),P189*100+COUNTIFS($P$6:$P$3267,P189,$Q$6:$Q$3267,"&lt;="&amp;Q189,$N$6:$N$3267,Calendar!$K$4),"")</f>
        <v/>
      </c>
      <c r="W189" s="47">
        <f>IF(AND(B189=Queue!$C$4,OR(Queue!$K$4="*",N189=Queue!$K$4)),Q189,"")</f>
        <v/>
      </c>
    </row>
    <row r="190">
      <c r="A190" s="38">
        <f>IF(M190="","",HYPERLINK("https://www.youtube.com/watch?v="&amp;M190,"▶"))</f>
        <v/>
      </c>
      <c r="B190" s="39">
        <f>IF(C190&lt;&gt;"",C190,IF(P190&lt;=IFERROR(INDEX(tblChannels[Watched Through],MATCH(N190,tblChannels[Channel ID],0)),0),"Watched","Unwatched"))</f>
        <v/>
      </c>
      <c r="C190" s="40" t="n"/>
      <c r="D190" s="41" t="n"/>
      <c r="E190" s="42" t="n">
        <v>46008.70972222222</v>
      </c>
      <c r="F190" s="50" t="inlineStr">
        <is>
          <t>Super Carlin Brothers</t>
        </is>
      </c>
      <c r="G190" t="inlineStr">
        <is>
          <t>J vs Ben: MAX DIFFICULTY Deathly Hallows Open Book Harry Potter TRIVIA</t>
        </is>
      </c>
      <c r="H190" s="44" t="n">
        <v>0.04344907407407408</v>
      </c>
      <c r="I190" s="45" t="n">
        <v>77456</v>
      </c>
      <c r="J190" s="45" t="n">
        <v>2500</v>
      </c>
      <c r="K190" s="45" t="n">
        <v>382</v>
      </c>
      <c r="L190" s="46" t="n"/>
      <c r="M190" s="47" t="n"/>
      <c r="N190" s="47" t="inlineStr">
        <is>
          <t>UCKZo4N0lVPccBkSiuyVh4yg</t>
        </is>
      </c>
      <c r="O190" s="48" t="n">
        <v>46008.91805555556</v>
      </c>
      <c r="P190" s="49" t="n">
        <v>46008</v>
      </c>
      <c r="Q190" s="47" t="n">
        <v>3078</v>
      </c>
      <c r="R190" s="47" t="inlineStr">
        <is>
          <t>No Video ID yet</t>
        </is>
      </c>
      <c r="S190" s="49" t="n"/>
      <c r="T190" s="49" t="n"/>
      <c r="U190" s="47" t="inlineStr">
        <is>
          <t>Get your books ready, it's time for some Harry Potter Deathly Hallows Trivia! This episode is sponsored by Hello Fresh – Go to now to Get 10 Free Meals + a Free breakfast for Life! This episode is brought to you by Aura Frames – Exclusive $35 off Carver Mat at Promo Code SCB In today's J vs Ben the boys face off once more to find out who knows more trivia about Harry Potter and the Deathly Hallows! The twist is they can actually look up answers in the book… if they can find it within 30 seconds.. Hope the Quiz Masters were nice… Play Along With Us :: Special thanks to these Quiz Masters: Jessica Theirault, Crafty Liz, Dorian R., Looncall, Teghan - Den-linger, Bunny, Elfish Princess, Tinas_Hotdog_Sophie, Tara Walker, Bradferd, Cam of the Math Budget, Curtis Okerman, Becca, kyuubibob, magicalmisfires, Mechaela, Dola and Jordan Shefsky #SuperCarlinBrothers #harrypotter #jvsben Written by: The Quiz Masters Hosted by: Ethan Edghill</t>
        </is>
      </c>
      <c r="V190" s="47">
        <f>IF(AND(P190&gt;=Calendar!$K$2,P190&lt;EDATE(Calendar!$K$2,1),OR(Calendar!$K$4="*",N190=Calendar!$K$4)),P190*100+COUNTIFS($P$6:$P$3267,P190,$Q$6:$Q$3267,"&lt;="&amp;Q190,$N$6:$N$3267,Calendar!$K$4),"")</f>
        <v/>
      </c>
      <c r="W190" s="47">
        <f>IF(AND(B190=Queue!$C$4,OR(Queue!$K$4="*",N190=Queue!$K$4)),Q190,"")</f>
        <v/>
      </c>
    </row>
    <row r="191">
      <c r="A191" s="38">
        <f>IF(M191="","",HYPERLINK("https://www.youtube.com/watch?v="&amp;M191,"▶"))</f>
        <v/>
      </c>
      <c r="B191" s="39">
        <f>IF(C191&lt;&gt;"",C191,IF(P191&lt;=IFERROR(INDEX(tblChannels[Watched Through],MATCH(N191,tblChannels[Channel ID],0)),0),"Watched","Unwatched"))</f>
        <v/>
      </c>
      <c r="C191" s="40" t="n"/>
      <c r="D191" s="41" t="n"/>
      <c r="E191" s="42" t="n">
        <v>46005.41666666666</v>
      </c>
      <c r="F191" s="51" t="inlineStr">
        <is>
          <t>Through The Griffin Door</t>
        </is>
      </c>
      <c r="G191" t="inlineStr">
        <is>
          <t>Chapter 16: In the Hogs Head | Order of the Phoenix</t>
        </is>
      </c>
      <c r="H191" s="44" t="n">
        <v>0.0650462962962963</v>
      </c>
      <c r="I191" s="45" t="n">
        <v>42568</v>
      </c>
      <c r="J191" s="45" t="n">
        <v>1160</v>
      </c>
      <c r="K191" s="45" t="n">
        <v>352</v>
      </c>
      <c r="L191" s="46" t="n"/>
      <c r="M191" s="47" t="n"/>
      <c r="N191" s="47" t="inlineStr">
        <is>
          <t>UCEscP6ETYXWSSvsNrDHekMQ</t>
        </is>
      </c>
      <c r="O191" s="48" t="n">
        <v>46005.625</v>
      </c>
      <c r="P191" s="49" t="n">
        <v>46005</v>
      </c>
      <c r="Q191" s="47" t="n">
        <v>3077</v>
      </c>
      <c r="R191" s="47" t="inlineStr">
        <is>
          <t>No Video ID yet</t>
        </is>
      </c>
      <c r="S191" s="49" t="n"/>
      <c r="T191" s="49" t="n"/>
      <c r="U191" s="47" t="inlineStr">
        <is>
          <t>This episode is sponsored by AuraFrames - Exclusive $35 off Carver Mat at Promo Code GRIFFIN Join J and Ben as they dive into Chapter 16 of the Order of the Phoenix and discuss the vanishing cabinet, convincing Harry to lead the DADA “club”, the dirty Hogs Head, the students that come, and signing the contract. Saw Movies - Aberforth’s Goats Explained - 6:07 - Chapter Breakdown 36:32 - Ad Break (Aura Frames and Shopify) 40:39 - More Chapter Breakdown 1:26:27 - Closing Thoughts and Review</t>
        </is>
      </c>
      <c r="V191" s="47">
        <f>IF(AND(P191&gt;=Calendar!$K$2,P191&lt;EDATE(Calendar!$K$2,1),OR(Calendar!$K$4="*",N191=Calendar!$K$4)),P191*100+COUNTIFS($P$6:$P$3267,P191,$Q$6:$Q$3267,"&lt;="&amp;Q191,$N$6:$N$3267,Calendar!$K$4),"")</f>
        <v/>
      </c>
      <c r="W191" s="47">
        <f>IF(AND(B191=Queue!$C$4,OR(Queue!$K$4="*",N191=Queue!$K$4)),Q191,"")</f>
        <v/>
      </c>
    </row>
    <row r="192">
      <c r="A192" s="38">
        <f>IF(M192="","",HYPERLINK("https://www.youtube.com/watch?v="&amp;M192,"▶"))</f>
        <v/>
      </c>
      <c r="B192" s="39">
        <f>IF(C192&lt;&gt;"",C192,IF(P192&lt;=IFERROR(INDEX(tblChannels[Watched Through],MATCH(N192,tblChannels[Channel ID],0)),0),"Watched","Unwatched"))</f>
        <v/>
      </c>
      <c r="C192" s="40" t="n"/>
      <c r="D192" s="41" t="n"/>
      <c r="E192" s="42" t="n">
        <v>46004.41736111111</v>
      </c>
      <c r="F192" s="50" t="inlineStr">
        <is>
          <t>Super Carlin Brothers</t>
        </is>
      </c>
      <c r="G192" t="inlineStr">
        <is>
          <t>Through the Griffin Door Supercut: Order of the Phoenix Chapters 13-15</t>
        </is>
      </c>
      <c r="H192" s="44" t="n">
        <v>0.2364583333333333</v>
      </c>
      <c r="I192" s="45" t="n">
        <v>9559</v>
      </c>
      <c r="J192" s="45" t="n">
        <v>163</v>
      </c>
      <c r="K192" s="45" t="n">
        <v>35</v>
      </c>
      <c r="L192" s="46" t="n"/>
      <c r="M192" s="47" t="n"/>
      <c r="N192" s="47" t="inlineStr">
        <is>
          <t>UCKZo4N0lVPccBkSiuyVh4yg</t>
        </is>
      </c>
      <c r="O192" s="48" t="n">
        <v>46004.62569444445</v>
      </c>
      <c r="P192" s="49" t="n">
        <v>46004</v>
      </c>
      <c r="Q192" s="47" t="n">
        <v>3076</v>
      </c>
      <c r="R192" s="47" t="inlineStr">
        <is>
          <t>No Video ID yet</t>
        </is>
      </c>
      <c r="S192" s="49" t="n"/>
      <c r="T192" s="49" t="n"/>
      <c r="U192" s="47" t="inlineStr">
        <is>
          <t>00:00:00 - Chapter 13: Detention with Dolores 2:10:21 - Chapter 14: Percy and Padfoot 3:59:44 - Chapter 15: The Hogwarts High Inquisitor</t>
        </is>
      </c>
      <c r="V192" s="47">
        <f>IF(AND(P192&gt;=Calendar!$K$2,P192&lt;EDATE(Calendar!$K$2,1),OR(Calendar!$K$4="*",N192=Calendar!$K$4)),P192*100+COUNTIFS($P$6:$P$3267,P192,$Q$6:$Q$3267,"&lt;="&amp;Q192,$N$6:$N$3267,Calendar!$K$4),"")</f>
        <v/>
      </c>
      <c r="W192" s="47">
        <f>IF(AND(B192=Queue!$C$4,OR(Queue!$K$4="*",N192=Queue!$K$4)),Q192,"")</f>
        <v/>
      </c>
    </row>
    <row r="193">
      <c r="A193" s="38">
        <f>IF(M193="","",HYPERLINK("https://www.youtube.com/watch?v="&amp;M193,"▶"))</f>
        <v/>
      </c>
      <c r="B193" s="39">
        <f>IF(C193&lt;&gt;"",C193,IF(P193&lt;=IFERROR(INDEX(tblChannels[Watched Through],MATCH(N193,tblChannels[Channel ID],0)),0),"Watched","Unwatched"))</f>
        <v/>
      </c>
      <c r="C193" s="40" t="n"/>
      <c r="D193" s="41" t="n"/>
      <c r="E193" s="42" t="n">
        <v>46003.69305555556</v>
      </c>
      <c r="F193" s="50" t="inlineStr">
        <is>
          <t>Super Carlin Brothers</t>
        </is>
      </c>
      <c r="G193" t="inlineStr">
        <is>
          <t>Yue Was SUPPOSED To Be The Avatar | The Last Airbender</t>
        </is>
      </c>
      <c r="H193" s="44" t="n">
        <v>0.01269675925925926</v>
      </c>
      <c r="I193" s="45" t="n">
        <v>51541</v>
      </c>
      <c r="J193" s="45" t="n">
        <v>2797</v>
      </c>
      <c r="K193" s="45" t="n">
        <v>483</v>
      </c>
      <c r="L193" s="46" t="n"/>
      <c r="M193" s="47" t="n"/>
      <c r="N193" s="47" t="inlineStr">
        <is>
          <t>UCKZo4N0lVPccBkSiuyVh4yg</t>
        </is>
      </c>
      <c r="O193" s="48" t="n">
        <v>46003.90138888889</v>
      </c>
      <c r="P193" s="49" t="n">
        <v>46003</v>
      </c>
      <c r="Q193" s="47" t="n">
        <v>3075</v>
      </c>
      <c r="R193" s="47" t="inlineStr">
        <is>
          <t>No Video ID yet</t>
        </is>
      </c>
      <c r="S193" s="49" t="n"/>
      <c r="T193" s="49" t="n"/>
      <c r="U193" s="47" t="inlineStr">
        <is>
          <t>Was Princess Yue supposed to be the next Avatar? This episode is sponsored by BetterHelp. Go to for 10% off your first month. Exclusive $35 off Carver Mat at Promo Code SCB Today J dives into the world of Avatar the Last Airbender to reveal the Avatar that wasn’t: Princess Yue of the Northern Water Tribe. Did Aang’s prolonged life force the Avatar cycle to skip over her? Did this cause the sickness she was born with? #atla #avatar #TheLastAirbender #SuperCarlinBrothers</t>
        </is>
      </c>
      <c r="V193" s="47">
        <f>IF(AND(P193&gt;=Calendar!$K$2,P193&lt;EDATE(Calendar!$K$2,1),OR(Calendar!$K$4="*",N193=Calendar!$K$4)),P193*100+COUNTIFS($P$6:$P$3267,P193,$Q$6:$Q$3267,"&lt;="&amp;Q193,$N$6:$N$3267,Calendar!$K$4),"")</f>
        <v/>
      </c>
      <c r="W193" s="47">
        <f>IF(AND(B193=Queue!$C$4,OR(Queue!$K$4="*",N193=Queue!$K$4)),Q193,"")</f>
        <v/>
      </c>
    </row>
    <row r="194">
      <c r="A194" s="38">
        <f>IF(M194="","",HYPERLINK("https://www.youtube.com/watch?v="&amp;M194,"▶"))</f>
        <v/>
      </c>
      <c r="B194" s="39">
        <f>IF(C194&lt;&gt;"",C194,IF(P194&lt;=IFERROR(INDEX(tblChannels[Watched Through],MATCH(N194,tblChannels[Channel ID],0)),0),"Watched","Unwatched"))</f>
        <v/>
      </c>
      <c r="C194" s="40" t="n"/>
      <c r="D194" s="41" t="n"/>
      <c r="E194" s="42" t="n">
        <v>46003.41666666666</v>
      </c>
      <c r="F194" s="43" t="inlineStr">
        <is>
          <t>Popcorn Culture</t>
        </is>
      </c>
      <c r="G194" t="inlineStr">
        <is>
          <t>Stains of Tears and Salt | Popcorn Culture</t>
        </is>
      </c>
      <c r="H194" s="44" t="n">
        <v>0.04491898148148148</v>
      </c>
      <c r="I194" s="45" t="n">
        <v>2845</v>
      </c>
      <c r="J194" s="45" t="n">
        <v>138</v>
      </c>
      <c r="K194" s="45" t="n">
        <v>23</v>
      </c>
      <c r="L194" s="46" t="n"/>
      <c r="M194" s="47" t="n"/>
      <c r="N194" s="47" t="inlineStr">
        <is>
          <t>UCHfIbq9thHPC8yrKjAdJgDA</t>
        </is>
      </c>
      <c r="O194" s="48" t="n">
        <v>46003.625</v>
      </c>
      <c r="P194" s="49" t="n">
        <v>46003</v>
      </c>
      <c r="Q194" s="47" t="n">
        <v>3074</v>
      </c>
      <c r="R194" s="47" t="inlineStr">
        <is>
          <t>No Video ID yet</t>
        </is>
      </c>
      <c r="S194" s="49" t="n"/>
      <c r="T194" s="49" t="n"/>
      <c r="U194" s="47" t="inlineStr">
        <is>
          <t>In the 314th episode of the Pop, Ben and J discuss December snow, relaxation, Cincinnatus leadership, and a bunch of crazy sports events this weekend. Lucius Quinctius Cincinnatus - 00:00 - Intro, Snow Day 28:49 - Crazy Sports Weekend</t>
        </is>
      </c>
      <c r="V194" s="47">
        <f>IF(AND(P194&gt;=Calendar!$K$2,P194&lt;EDATE(Calendar!$K$2,1),OR(Calendar!$K$4="*",N194=Calendar!$K$4)),P194*100+COUNTIFS($P$6:$P$3267,P194,$Q$6:$Q$3267,"&lt;="&amp;Q194,$N$6:$N$3267,Calendar!$K$4),"")</f>
        <v/>
      </c>
      <c r="W194" s="47">
        <f>IF(AND(B194=Queue!$C$4,OR(Queue!$K$4="*",N194=Queue!$K$4)),Q194,"")</f>
        <v/>
      </c>
    </row>
    <row r="195">
      <c r="A195" s="38">
        <f>IF(M195="","",HYPERLINK("https://www.youtube.com/watch?v="&amp;M195,"▶"))</f>
        <v/>
      </c>
      <c r="B195" s="39">
        <f>IF(C195&lt;&gt;"",C195,IF(P195&lt;=IFERROR(INDEX(tblChannels[Watched Through],MATCH(N195,tblChannels[Channel ID],0)),0),"Watched","Unwatched"))</f>
        <v/>
      </c>
      <c r="C195" s="40" t="n"/>
      <c r="D195" s="41" t="n"/>
      <c r="E195" s="42" t="n">
        <v>46001.70694444444</v>
      </c>
      <c r="F195" s="50" t="inlineStr">
        <is>
          <t>Super Carlin Brothers</t>
        </is>
      </c>
      <c r="G195" t="inlineStr">
        <is>
          <t>Harry Potter and the 1,000-Year War | Gryffindor vs Slytherin</t>
        </is>
      </c>
      <c r="H195" s="44" t="n">
        <v>0.01365740740740741</v>
      </c>
      <c r="I195" s="45" t="n">
        <v>86547</v>
      </c>
      <c r="J195" s="45" t="n">
        <v>3760</v>
      </c>
      <c r="K195" s="45" t="n">
        <v>349</v>
      </c>
      <c r="L195" s="46" t="n"/>
      <c r="M195" s="47" t="n"/>
      <c r="N195" s="47" t="inlineStr">
        <is>
          <t>UCKZo4N0lVPccBkSiuyVh4yg</t>
        </is>
      </c>
      <c r="O195" s="48" t="n">
        <v>46001.91527777778</v>
      </c>
      <c r="P195" s="49" t="n">
        <v>46001</v>
      </c>
      <c r="Q195" s="47" t="n">
        <v>3073</v>
      </c>
      <c r="R195" s="47" t="inlineStr">
        <is>
          <t>No Video ID yet</t>
        </is>
      </c>
      <c r="S195" s="49" t="n"/>
      <c r="T195" s="49" t="n"/>
      <c r="U195" s="47" t="inlineStr">
        <is>
          <t>Go to to sign up for your $1-per-month trial period. Harry Potter and the 1000-Year War — a secret conflict that began with Godric Gryffindor and Salazar Slytherin and ended with Harry Potter and Lord Voldemort in the Great Hall of Hogwarts. Today, we’re diving deep into a massive Wizarding World theory that connects the Founders of Hogwarts, the Deathly Hallows, the Peverell Brothers, and the final duel of the series in a way you have NEVER heard before. For years, fans have debated whether the Deathly Hallows were created by the Peverells… or given to them by Death. But what if the bigger twist is that the Peverells didn’t exist at all? What if Ignotus and Cadmus were never “brothers,” but secret identities used by Godric and Salazar themselves during a millennium-long magical feud?.</t>
        </is>
      </c>
      <c r="V195" s="47">
        <f>IF(AND(P195&gt;=Calendar!$K$2,P195&lt;EDATE(Calendar!$K$2,1),OR(Calendar!$K$4="*",N195=Calendar!$K$4)),P195*100+COUNTIFS($P$6:$P$3267,P195,$Q$6:$Q$3267,"&lt;="&amp;Q195,$N$6:$N$3267,Calendar!$K$4),"")</f>
        <v/>
      </c>
      <c r="W195" s="47">
        <f>IF(AND(B195=Queue!$C$4,OR(Queue!$K$4="*",N195=Queue!$K$4)),Q195,"")</f>
        <v/>
      </c>
    </row>
    <row r="196">
      <c r="A196" s="38">
        <f>IF(M196="","",HYPERLINK("https://www.youtube.com/watch?v="&amp;M196,"▶"))</f>
        <v/>
      </c>
      <c r="B196" s="39">
        <f>IF(C196&lt;&gt;"",C196,IF(P196&lt;=IFERROR(INDEX(tblChannels[Watched Through],MATCH(N196,tblChannels[Channel ID],0)),0),"Watched","Unwatched"))</f>
        <v/>
      </c>
      <c r="C196" s="40" t="n"/>
      <c r="D196" s="41" t="n"/>
      <c r="E196" s="42" t="n">
        <v>45998.41736111111</v>
      </c>
      <c r="F196" s="51" t="inlineStr">
        <is>
          <t>Through The Griffin Door</t>
        </is>
      </c>
      <c r="G196" t="inlineStr">
        <is>
          <t>Chapter 15: The Hogwarts High Inquisitor | Order of the Phoenix</t>
        </is>
      </c>
      <c r="H196" s="44" t="n">
        <v>0.07233796296296297</v>
      </c>
      <c r="I196" s="45" t="n">
        <v>42891</v>
      </c>
      <c r="J196" s="45" t="n">
        <v>1138</v>
      </c>
      <c r="K196" s="45" t="n">
        <v>345</v>
      </c>
      <c r="L196" s="46" t="n"/>
      <c r="M196" s="47" t="n"/>
      <c r="N196" s="47" t="inlineStr">
        <is>
          <t>UCEscP6ETYXWSSvsNrDHekMQ</t>
        </is>
      </c>
      <c r="O196" s="48" t="n">
        <v>45998.62569444445</v>
      </c>
      <c r="P196" s="49" t="n">
        <v>45998</v>
      </c>
      <c r="Q196" s="47" t="n">
        <v>3072</v>
      </c>
      <c r="R196" s="47" t="inlineStr">
        <is>
          <t>No Video ID yet</t>
        </is>
      </c>
      <c r="S196" s="49" t="n"/>
      <c r="T196" s="49" t="n"/>
      <c r="U196" s="47" t="inlineStr">
        <is>
          <t>This episode is sponsored by MasterClass – Our listeners get an additional 15% off any annual membership at This episode is sponsored by AuraFrames - Exclusive $35 off Carver Mat at Promo Code GRIFFIN Join J and Ben as they dive into Chapter 15 of the Order of the Phoenix and discuss the inquisitor announcement in the Daily Prophet, the Hogwarts grading scale, Harry getting detention AGAIN, Hermione and Ron’s support and all of Harry’s accomplishments. Trelawney's Actually ALWAYS Right? - The TRUTH About Professor McGonagall - 09:08 - Chapter Breakdown 50:01 - Ad Break (Masterclass and Aura Frames) 53:17 - More Chapter Breakdown 1:36:32 - Closing Thoughts and Review</t>
        </is>
      </c>
      <c r="V196" s="47">
        <f>IF(AND(P196&gt;=Calendar!$K$2,P196&lt;EDATE(Calendar!$K$2,1),OR(Calendar!$K$4="*",N196=Calendar!$K$4)),P196*100+COUNTIFS($P$6:$P$3267,P196,$Q$6:$Q$3267,"&lt;="&amp;Q196,$N$6:$N$3267,Calendar!$K$4),"")</f>
        <v/>
      </c>
      <c r="W196" s="47">
        <f>IF(AND(B196=Queue!$C$4,OR(Queue!$K$4="*",N196=Queue!$K$4)),Q196,"")</f>
        <v/>
      </c>
    </row>
    <row r="197">
      <c r="A197" s="38">
        <f>IF(M197="","",HYPERLINK("https://www.youtube.com/watch?v="&amp;M197,"▶"))</f>
        <v/>
      </c>
      <c r="B197" s="39">
        <f>IF(C197&lt;&gt;"",C197,IF(P197&lt;=IFERROR(INDEX(tblChannels[Watched Through],MATCH(N197,tblChannels[Channel ID],0)),0),"Watched","Unwatched"))</f>
        <v/>
      </c>
      <c r="C197" s="40" t="n"/>
      <c r="D197" s="41" t="n"/>
      <c r="E197" s="42" t="n">
        <v>45996.63263888889</v>
      </c>
      <c r="F197" s="50" t="inlineStr">
        <is>
          <t>Super Carlin Brothers</t>
        </is>
      </c>
      <c r="G197" t="inlineStr">
        <is>
          <t>Dumbledore Was Snape’s Secret Keeper?! | Harry Potter Theory</t>
        </is>
      </c>
      <c r="H197" s="44" t="n">
        <v>0.01260416666666667</v>
      </c>
      <c r="I197" s="45" t="n">
        <v>79068</v>
      </c>
      <c r="J197" s="45" t="n">
        <v>3717</v>
      </c>
      <c r="K197" s="45" t="n">
        <v>401</v>
      </c>
      <c r="L197" s="46" t="n"/>
      <c r="M197" s="47" t="n"/>
      <c r="N197" s="47" t="inlineStr">
        <is>
          <t>UCKZo4N0lVPccBkSiuyVh4yg</t>
        </is>
      </c>
      <c r="O197" s="48" t="n">
        <v>45996.84097222222</v>
      </c>
      <c r="P197" s="49" t="n">
        <v>45996</v>
      </c>
      <c r="Q197" s="47" t="n">
        <v>3071</v>
      </c>
      <c r="R197" s="47" t="inlineStr">
        <is>
          <t>No Video ID yet</t>
        </is>
      </c>
      <c r="S197" s="49" t="n"/>
      <c r="T197" s="49" t="n"/>
      <c r="U197" s="47" t="inlineStr">
        <is>
          <t>This episode is sponsored by BetterHelp - go to to get 10% off your first month. Was Snape’s love for Lily literally hidden by a Fidelius Charm? Today we dive into one of the wildest (and most convincing!) Harry Potter theories ever. In today’s episode, Ben explores a massive revelation about Severus Snape, Albus Dumbledore, and the Fidelius Charm — and how one magically concealed secret may have shaped the entire wizarding war. Why did nobody — not the Marauders, not McGonagall, not Voldemort himself — ever put together Snape’s obvious love for Lily?</t>
        </is>
      </c>
      <c r="V197" s="47">
        <f>IF(AND(P197&gt;=Calendar!$K$2,P197&lt;EDATE(Calendar!$K$2,1),OR(Calendar!$K$4="*",N197=Calendar!$K$4)),P197*100+COUNTIFS($P$6:$P$3267,P197,$Q$6:$Q$3267,"&lt;="&amp;Q197,$N$6:$N$3267,Calendar!$K$4),"")</f>
        <v/>
      </c>
      <c r="W197" s="47">
        <f>IF(AND(B197=Queue!$C$4,OR(Queue!$K$4="*",N197=Queue!$K$4)),Q197,"")</f>
        <v/>
      </c>
    </row>
    <row r="198">
      <c r="A198" s="38">
        <f>IF(M198="","",HYPERLINK("https://www.youtube.com/watch?v="&amp;M198,"▶"))</f>
        <v/>
      </c>
      <c r="B198" s="39">
        <f>IF(C198&lt;&gt;"",C198,IF(P198&lt;=IFERROR(INDEX(tblChannels[Watched Through],MATCH(N198,tblChannels[Channel ID],0)),0),"Watched","Unwatched"))</f>
        <v/>
      </c>
      <c r="C198" s="40" t="n"/>
      <c r="D198" s="41" t="n"/>
      <c r="E198" s="42" t="n">
        <v>45996.41666666666</v>
      </c>
      <c r="F198" s="43" t="inlineStr">
        <is>
          <t>Popcorn Culture</t>
        </is>
      </c>
      <c r="G198" t="inlineStr">
        <is>
          <t>J’s Worst Memory | Popcorn Culture</t>
        </is>
      </c>
      <c r="H198" s="44" t="n">
        <v>0.05589120370370371</v>
      </c>
      <c r="I198" s="45" t="n">
        <v>3283</v>
      </c>
      <c r="J198" s="45" t="n">
        <v>170</v>
      </c>
      <c r="K198" s="45" t="n">
        <v>35</v>
      </c>
      <c r="L198" s="46" t="n"/>
      <c r="M198" s="47" t="n"/>
      <c r="N198" s="47" t="inlineStr">
        <is>
          <t>UCHfIbq9thHPC8yrKjAdJgDA</t>
        </is>
      </c>
      <c r="O198" s="48" t="n">
        <v>45996.625</v>
      </c>
      <c r="P198" s="49" t="n">
        <v>45996</v>
      </c>
      <c r="Q198" s="47" t="n">
        <v>3070</v>
      </c>
      <c r="R198" s="47" t="inlineStr">
        <is>
          <t>No Video ID yet</t>
        </is>
      </c>
      <c r="S198" s="49" t="n"/>
      <c r="T198" s="49" t="n"/>
      <c r="U198" s="47" t="inlineStr">
        <is>
          <t>In the 313th episode of the Pop, Ben and J discuss adulting, popcorn, Pizza Hut Personal Pan Pizza, dumpster squishing, Luke’s Birthday, and secrets of the heart. You - 00:00 - Intro, Adulting 32:08 - Luke’s Birthday</t>
        </is>
      </c>
      <c r="V198" s="47">
        <f>IF(AND(P198&gt;=Calendar!$K$2,P198&lt;EDATE(Calendar!$K$2,1),OR(Calendar!$K$4="*",N198=Calendar!$K$4)),P198*100+COUNTIFS($P$6:$P$3267,P198,$Q$6:$Q$3267,"&lt;="&amp;Q198,$N$6:$N$3267,Calendar!$K$4),"")</f>
        <v/>
      </c>
      <c r="W198" s="47">
        <f>IF(AND(B198=Queue!$C$4,OR(Queue!$K$4="*",N198=Queue!$K$4)),Q198,"")</f>
        <v/>
      </c>
    </row>
    <row r="199">
      <c r="A199" s="38">
        <f>IF(M199="","",HYPERLINK("https://www.youtube.com/watch?v="&amp;M199,"▶"))</f>
        <v/>
      </c>
      <c r="B199" s="39">
        <f>IF(C199&lt;&gt;"",C199,IF(P199&lt;=IFERROR(INDEX(tblChannels[Watched Through],MATCH(N199,tblChannels[Channel ID],0)),0),"Watched","Unwatched"))</f>
        <v/>
      </c>
      <c r="C199" s="40" t="n"/>
      <c r="D199" s="41" t="n"/>
      <c r="E199" s="42" t="n">
        <v>45994.71180555555</v>
      </c>
      <c r="F199" s="50" t="inlineStr">
        <is>
          <t>Super Carlin Brothers</t>
        </is>
      </c>
      <c r="G199" t="inlineStr">
        <is>
          <t>J vs Ben: MAX DIFFICULTY Half-Blood Prince Open Book Harry Potter TRIVIA</t>
        </is>
      </c>
      <c r="H199" s="44" t="n">
        <v>0.03773148148148148</v>
      </c>
      <c r="I199" s="45" t="n">
        <v>82337</v>
      </c>
      <c r="J199" s="45" t="n">
        <v>2717</v>
      </c>
      <c r="K199" s="45" t="n">
        <v>302</v>
      </c>
      <c r="L199" s="46" t="n"/>
      <c r="M199" s="47" t="n"/>
      <c r="N199" s="47" t="inlineStr">
        <is>
          <t>UCKZo4N0lVPccBkSiuyVh4yg</t>
        </is>
      </c>
      <c r="O199" s="48" t="n">
        <v>45994.92013888889</v>
      </c>
      <c r="P199" s="49" t="n">
        <v>45994</v>
      </c>
      <c r="Q199" s="47" t="n">
        <v>3069</v>
      </c>
      <c r="R199" s="47" t="inlineStr">
        <is>
          <t>No Video ID yet</t>
        </is>
      </c>
      <c r="S199" s="49" t="n"/>
      <c r="T199" s="49" t="n"/>
      <c r="U199" s="47" t="inlineStr">
        <is>
          <t>Who is ready for some Harry Potter Trivia!? Exclusive $35 off Carver Mat at Promo Code SCB Go to and use code jvsb50off to get 50% off your first box, plus Free Breakfast for 1 Year. In today's J vs Ben the boys face off once more to find out who knows more trivia about Harry Potter and the Half-blood Prince! The twist is they can actually look up answers in the book… if they can find it within 30 seconds.. Hope the Quiz Masters were nice… Play Along With Us :: Thanks to our Quiz Masters: Oryan’s Wizard Parts, Crafty Liz, LawNinja, MaddstheHatter, CJ, Teagan Steffen, Jordan Shefsky, Bradferd, Elfish Princess and Sam Shunpike, Teghan-Denlinger, Annalee, Dorian R, GooeyChewie, Fis, magicalmisfires and Tara Walker</t>
        </is>
      </c>
      <c r="V199" s="47">
        <f>IF(AND(P199&gt;=Calendar!$K$2,P199&lt;EDATE(Calendar!$K$2,1),OR(Calendar!$K$4="*",N199=Calendar!$K$4)),P199*100+COUNTIFS($P$6:$P$3267,P199,$Q$6:$Q$3267,"&lt;="&amp;Q199,$N$6:$N$3267,Calendar!$K$4),"")</f>
        <v/>
      </c>
      <c r="W199" s="47">
        <f>IF(AND(B199=Queue!$C$4,OR(Queue!$K$4="*",N199=Queue!$K$4)),Q199,"")</f>
        <v/>
      </c>
    </row>
    <row r="200">
      <c r="A200" s="38">
        <f>IF(M200="","",HYPERLINK("https://www.youtube.com/watch?v="&amp;M200,"▶"))</f>
        <v/>
      </c>
      <c r="B200" s="39">
        <f>IF(C200&lt;&gt;"",C200,IF(P200&lt;=IFERROR(INDEX(tblChannels[Watched Through],MATCH(N200,tblChannels[Channel ID],0)),0),"Watched","Unwatched"))</f>
        <v/>
      </c>
      <c r="C200" s="40" t="n"/>
      <c r="D200" s="41" t="n"/>
      <c r="E200" s="42" t="n">
        <v>45991.41736111111</v>
      </c>
      <c r="F200" s="51" t="inlineStr">
        <is>
          <t>Through The Griffin Door</t>
        </is>
      </c>
      <c r="G200" t="inlineStr">
        <is>
          <t>Chapter 14: Percy and Padfoot | Order of the Phoenix</t>
        </is>
      </c>
      <c r="H200" s="44" t="n">
        <v>0.07606481481481482</v>
      </c>
      <c r="I200" s="45" t="n">
        <v>47202</v>
      </c>
      <c r="J200" s="45" t="n">
        <v>1179</v>
      </c>
      <c r="K200" s="45" t="n">
        <v>331</v>
      </c>
      <c r="L200" s="46" t="n"/>
      <c r="M200" s="47" t="n"/>
      <c r="N200" s="47" t="inlineStr">
        <is>
          <t>UCEscP6ETYXWSSvsNrDHekMQ</t>
        </is>
      </c>
      <c r="O200" s="48" t="n">
        <v>45991.62569444445</v>
      </c>
      <c r="P200" s="49" t="n">
        <v>45991</v>
      </c>
      <c r="Q200" s="47" t="n">
        <v>3068</v>
      </c>
      <c r="R200" s="47" t="inlineStr">
        <is>
          <t>No Video ID yet</t>
        </is>
      </c>
      <c r="S200" s="49" t="n"/>
      <c r="T200" s="49" t="n"/>
      <c r="U200" s="47" t="inlineStr">
        <is>
          <t>Join J and Ben as they dive into Chapter 14 of the Order of the Phoenix and discuss writer’s block, bad code, awkward interactions with Cho, Sturgis Podmore being arrested, the first quidditch practice, Percy’s horrible letter, and talking to Sirius in the fire. Was Percy Under The Imperius Curse? - 09:47 - Chapter Breakdown 1:41:48 - Closing Thoughts and Review</t>
        </is>
      </c>
      <c r="V200" s="47">
        <f>IF(AND(P200&gt;=Calendar!$K$2,P200&lt;EDATE(Calendar!$K$2,1),OR(Calendar!$K$4="*",N200=Calendar!$K$4)),P200*100+COUNTIFS($P$6:$P$3267,P200,$Q$6:$Q$3267,"&lt;="&amp;Q200,$N$6:$N$3267,Calendar!$K$4),"")</f>
        <v/>
      </c>
      <c r="W200" s="47">
        <f>IF(AND(B200=Queue!$C$4,OR(Queue!$K$4="*",N200=Queue!$K$4)),Q200,"")</f>
        <v/>
      </c>
    </row>
    <row r="201">
      <c r="A201" s="38">
        <f>IF(M201="","",HYPERLINK("https://www.youtube.com/watch?v="&amp;M201,"▶"))</f>
        <v/>
      </c>
      <c r="B201" s="39">
        <f>IF(C201&lt;&gt;"",C201,IF(P201&lt;=IFERROR(INDEX(tblChannels[Watched Through],MATCH(N201,tblChannels[Channel ID],0)),0),"Watched","Unwatched"))</f>
        <v/>
      </c>
      <c r="C201" s="40" t="n"/>
      <c r="D201" s="41" t="n"/>
      <c r="E201" s="42" t="n">
        <v>45989.41666666666</v>
      </c>
      <c r="F201" s="43" t="inlineStr">
        <is>
          <t>Popcorn Culture</t>
        </is>
      </c>
      <c r="G201" t="inlineStr">
        <is>
          <t>Find Your Tribe | Popcorn Culture</t>
        </is>
      </c>
      <c r="H201" s="44" t="n">
        <v>0.05231481481481481</v>
      </c>
      <c r="I201" s="45" t="n">
        <v>2599</v>
      </c>
      <c r="J201" s="45" t="n">
        <v>126</v>
      </c>
      <c r="K201" s="45" t="n">
        <v>16</v>
      </c>
      <c r="L201" s="46" t="n"/>
      <c r="M201" s="47" t="n"/>
      <c r="N201" s="47" t="inlineStr">
        <is>
          <t>UCHfIbq9thHPC8yrKjAdJgDA</t>
        </is>
      </c>
      <c r="O201" s="48" t="n">
        <v>45989.625</v>
      </c>
      <c r="P201" s="49" t="n">
        <v>45989</v>
      </c>
      <c r="Q201" s="47" t="n">
        <v>3067</v>
      </c>
      <c r="R201" s="47" t="inlineStr">
        <is>
          <t>No Video ID yet</t>
        </is>
      </c>
      <c r="S201" s="49" t="n"/>
      <c r="T201" s="49" t="n"/>
      <c r="U201" s="47" t="inlineStr">
        <is>
          <t>In the 312th episode of the Pop, Ben and J discuss F1, college football, the SCB community, the most recent Goblet of FIRE, swim equipment, KPop, and holding space. Drive to Survive - Hot Ones - J vs Ben: Goblet of Fire QUIZ Returns! (THERMAGEDDON 🔥 2.6 Million Scovilles!) - Holding Space Interview - 00:00 - Intro, Formula 1 15:37 - Hokie Game! 35:09 - HOT WINGS 44:42 - Triatholon 59:49 - Listening to KPop</t>
        </is>
      </c>
      <c r="V201" s="47">
        <f>IF(AND(P201&gt;=Calendar!$K$2,P201&lt;EDATE(Calendar!$K$2,1),OR(Calendar!$K$4="*",N201=Calendar!$K$4)),P201*100+COUNTIFS($P$6:$P$3267,P201,$Q$6:$Q$3267,"&lt;="&amp;Q201,$N$6:$N$3267,Calendar!$K$4),"")</f>
        <v/>
      </c>
      <c r="W201" s="47">
        <f>IF(AND(B201=Queue!$C$4,OR(Queue!$K$4="*",N201=Queue!$K$4)),Q201,"")</f>
        <v/>
      </c>
    </row>
    <row r="202">
      <c r="A202" s="38">
        <f>IF(M202="","",HYPERLINK("https://www.youtube.com/watch?v="&amp;M202,"▶"))</f>
        <v/>
      </c>
      <c r="B202" s="39">
        <f>IF(C202&lt;&gt;"",C202,IF(P202&lt;=IFERROR(INDEX(tblChannels[Watched Through],MATCH(N202,tblChannels[Channel ID],0)),0),"Watched","Unwatched"))</f>
        <v/>
      </c>
      <c r="C202" s="40" t="n"/>
      <c r="D202" s="41" t="n"/>
      <c r="E202" s="42" t="n">
        <v>45988.54166666666</v>
      </c>
      <c r="F202" s="50" t="inlineStr">
        <is>
          <t>Super Carlin Brothers</t>
        </is>
      </c>
      <c r="G202" t="inlineStr">
        <is>
          <t>J vs Ben: Goblet of Fire QUIZ Returns! (THERMAGEDDON 🔥 2.6 Million Scovilles!)</t>
        </is>
      </c>
      <c r="H202" s="44" t="n">
        <v>0.04445601851851852</v>
      </c>
      <c r="I202" s="45" t="n">
        <v>103849</v>
      </c>
      <c r="J202" s="45" t="n">
        <v>3904</v>
      </c>
      <c r="K202" s="45" t="n">
        <v>513</v>
      </c>
      <c r="L202" s="46" t="n"/>
      <c r="M202" s="47" t="n"/>
      <c r="N202" s="47" t="inlineStr">
        <is>
          <t>UCKZo4N0lVPccBkSiuyVh4yg</t>
        </is>
      </c>
      <c r="O202" s="48" t="n">
        <v>45988.75</v>
      </c>
      <c r="P202" s="49" t="n">
        <v>45988</v>
      </c>
      <c r="Q202" s="47" t="n">
        <v>3066</v>
      </c>
      <c r="R202" s="47" t="inlineStr">
        <is>
          <t>No Video ID yet</t>
        </is>
      </c>
      <c r="S202" s="49" t="n"/>
      <c r="T202" s="49" t="n"/>
      <c r="U202" s="47" t="inlineStr">
        <is>
          <t>Exclusive $45-off Carver Mat at Promo Code SCB Happy Thanksgiving, everyone! It’s time again for the annual Super Carlin Brothers Goblet of Fire Quiz — but this year we’ve turned the heat ALL the way up. Every wrong answer? Eat a wing covered in over 2.6 million Scovilles of molten thermageddon. Think you know Harry Potter and the Goblet of Fire? Play along and see if YOU can answer these questions before J &amp; Ben melt into puddles of spicy regret.. #HarryPotter #SuperCarlinBrothers #JvsBen Written by: The Quizmasters! Hosted by: Kat Stine, Isybelle Christley and Ethan Edghill 🎟️ Through the Griffin Door LIVE Tour— Southwest 2025</t>
        </is>
      </c>
      <c r="V202" s="47">
        <f>IF(AND(P202&gt;=Calendar!$K$2,P202&lt;EDATE(Calendar!$K$2,1),OR(Calendar!$K$4="*",N202=Calendar!$K$4)),P202*100+COUNTIFS($P$6:$P$3267,P202,$Q$6:$Q$3267,"&lt;="&amp;Q202,$N$6:$N$3267,Calendar!$K$4),"")</f>
        <v/>
      </c>
      <c r="W202" s="47">
        <f>IF(AND(B202=Queue!$C$4,OR(Queue!$K$4="*",N202=Queue!$K$4)),Q202,"")</f>
        <v/>
      </c>
    </row>
    <row r="203">
      <c r="A203" s="38">
        <f>IF(M203="","",HYPERLINK("https://www.youtube.com/watch?v="&amp;M203,"▶"))</f>
        <v/>
      </c>
      <c r="B203" s="39">
        <f>IF(C203&lt;&gt;"",C203,IF(P203&lt;=IFERROR(INDEX(tblChannels[Watched Through],MATCH(N203,tblChannels[Channel ID],0)),0),"Watched","Unwatched"))</f>
        <v/>
      </c>
      <c r="C203" s="40" t="n"/>
      <c r="D203" s="41" t="n"/>
      <c r="E203" s="42" t="n">
        <v>45987.63125</v>
      </c>
      <c r="F203" s="50" t="inlineStr">
        <is>
          <t>Super Carlin Brothers</t>
        </is>
      </c>
      <c r="G203" t="inlineStr">
        <is>
          <t>The VEIL Created the Deathly Hallows?! | Harry Potter Theory</t>
        </is>
      </c>
      <c r="H203" s="44" t="n">
        <v>0.01195601851851852</v>
      </c>
      <c r="I203" s="45" t="n">
        <v>91853</v>
      </c>
      <c r="J203" s="45" t="n">
        <v>4079</v>
      </c>
      <c r="K203" s="45" t="n">
        <v>438</v>
      </c>
      <c r="L203" s="46" t="n"/>
      <c r="M203" s="47" t="n"/>
      <c r="N203" s="47" t="inlineStr">
        <is>
          <t>UCKZo4N0lVPccBkSiuyVh4yg</t>
        </is>
      </c>
      <c r="O203" s="48" t="n">
        <v>45987.83958333333</v>
      </c>
      <c r="P203" s="49" t="n">
        <v>45987</v>
      </c>
      <c r="Q203" s="47" t="n">
        <v>3065</v>
      </c>
      <c r="R203" s="47" t="inlineStr">
        <is>
          <t>No Video ID yet</t>
        </is>
      </c>
      <c r="S203" s="49" t="n"/>
      <c r="T203" s="49" t="n"/>
      <c r="U203" s="47" t="n"/>
      <c r="V203" s="47">
        <f>IF(AND(P203&gt;=Calendar!$K$2,P203&lt;EDATE(Calendar!$K$2,1),OR(Calendar!$K$4="*",N203=Calendar!$K$4)),P203*100+COUNTIFS($P$6:$P$3267,P203,$Q$6:$Q$3267,"&lt;="&amp;Q203,$N$6:$N$3267,Calendar!$K$4),"")</f>
        <v/>
      </c>
      <c r="W203" s="47">
        <f>IF(AND(B203=Queue!$C$4,OR(Queue!$K$4="*",N203=Queue!$K$4)),Q203,"")</f>
        <v/>
      </c>
    </row>
    <row r="204">
      <c r="A204" s="38">
        <f>IF(M204="","",HYPERLINK("https://www.youtube.com/watch?v="&amp;M204,"▶"))</f>
        <v/>
      </c>
      <c r="B204" s="39">
        <f>IF(C204&lt;&gt;"",C204,IF(P204&lt;=IFERROR(INDEX(tblChannels[Watched Through],MATCH(N204,tblChannels[Channel ID],0)),0),"Watched","Unwatched"))</f>
        <v/>
      </c>
      <c r="C204" s="40" t="n"/>
      <c r="D204" s="41" t="n"/>
      <c r="E204" s="42" t="n">
        <v>45987.625</v>
      </c>
      <c r="F204" s="51" t="inlineStr">
        <is>
          <t>Through The Griffin Door</t>
        </is>
      </c>
      <c r="G204" t="inlineStr">
        <is>
          <t>Live in Cleveland - Chapter 13: Detention with Dolores | Order of the Phoenix</t>
        </is>
      </c>
      <c r="H204" s="44" t="n">
        <v>0.05125</v>
      </c>
      <c r="I204" s="45" t="n">
        <v>6440</v>
      </c>
      <c r="J204" s="45" t="n">
        <v>254</v>
      </c>
      <c r="K204" s="45" t="n">
        <v>79</v>
      </c>
      <c r="L204" s="46" t="n"/>
      <c r="M204" s="47" t="n"/>
      <c r="N204" s="47" t="inlineStr">
        <is>
          <t>UCEscP6ETYXWSSvsNrDHekMQ</t>
        </is>
      </c>
      <c r="O204" s="48" t="n">
        <v>45987.83333333334</v>
      </c>
      <c r="P204" s="49" t="n">
        <v>45987</v>
      </c>
      <c r="Q204" s="47" t="n">
        <v>3064</v>
      </c>
      <c r="R204" s="47" t="inlineStr">
        <is>
          <t>No Video ID yet</t>
        </is>
      </c>
      <c r="S204" s="49" t="n"/>
      <c r="T204" s="49" t="n"/>
      <c r="U204" s="47" t="inlineStr">
        <is>
          <t>Join J and Ben as they dive BACK into Chapter 13 of Order of the Phoenix LIVE IN CLEVELAND! Harry jumping down EVERYONE'S throats (again), the RIDICULOUS amount of information Draco has compared to Harry, and the literal torture session Umbridge puts him through.</t>
        </is>
      </c>
      <c r="V204" s="47">
        <f>IF(AND(P204&gt;=Calendar!$K$2,P204&lt;EDATE(Calendar!$K$2,1),OR(Calendar!$K$4="*",N204=Calendar!$K$4)),P204*100+COUNTIFS($P$6:$P$3267,P204,$Q$6:$Q$3267,"&lt;="&amp;Q204,$N$6:$N$3267,Calendar!$K$4),"")</f>
        <v/>
      </c>
      <c r="W204" s="47">
        <f>IF(AND(B204=Queue!$C$4,OR(Queue!$K$4="*",N204=Queue!$K$4)),Q204,"")</f>
        <v/>
      </c>
    </row>
    <row r="205">
      <c r="A205" s="38">
        <f>IF(M205="","",HYPERLINK("https://www.youtube.com/watch?v="&amp;M205,"▶"))</f>
        <v/>
      </c>
      <c r="B205" s="39">
        <f>IF(C205&lt;&gt;"",C205,IF(P205&lt;=IFERROR(INDEX(tblChannels[Watched Through],MATCH(N205,tblChannels[Channel ID],0)),0),"Watched","Unwatched"))</f>
        <v/>
      </c>
      <c r="C205" s="40" t="n"/>
      <c r="D205" s="41" t="n"/>
      <c r="E205" s="42" t="n">
        <v>45984.41736111111</v>
      </c>
      <c r="F205" s="51" t="inlineStr">
        <is>
          <t>Through The Griffin Door</t>
        </is>
      </c>
      <c r="G205" t="inlineStr">
        <is>
          <t>Chapter 13: Detention with Dolores | Order of the Phoenix</t>
        </is>
      </c>
      <c r="H205" s="44" t="n">
        <v>0.09174768518518518</v>
      </c>
      <c r="I205" s="45" t="n">
        <v>53370</v>
      </c>
      <c r="J205" s="45" t="n">
        <v>1250</v>
      </c>
      <c r="K205" s="45" t="n">
        <v>475</v>
      </c>
      <c r="L205" s="46" t="n"/>
      <c r="M205" s="47" t="n"/>
      <c r="N205" s="47" t="inlineStr">
        <is>
          <t>UCEscP6ETYXWSSvsNrDHekMQ</t>
        </is>
      </c>
      <c r="O205" s="48" t="n">
        <v>45984.62569444445</v>
      </c>
      <c r="P205" s="49" t="n">
        <v>45984</v>
      </c>
      <c r="Q205" s="47" t="n">
        <v>3063</v>
      </c>
      <c r="R205" s="47" t="inlineStr">
        <is>
          <t>No Video ID yet</t>
        </is>
      </c>
      <c r="S205" s="49" t="n"/>
      <c r="T205" s="49" t="n"/>
      <c r="U205" s="47" t="inlineStr">
        <is>
          <t>This episode is sponsored by MasterClass – Our listeners get an additional 15% off any annual membership at Join J and Ben as they dive into Chapter 13 of the Order of the Phoenix and discuss Hermione’s perspective, the twins testing on first years, Ronmione moments, better teachers, bowtruckles, Draco knowing about Hagrid, Angelina freaking out about tryouts, the detention from hell and Harry finally finding out about Ron wanting to play Quidditch. Why Neville is ACTUALLY a Samurai - Last Year’s Goblet of FIRE - 09:08 - Chapter Breakdown 1:04:41 - Ad Break (Masterclass) 1:06:16 - More Chapter Breakdown 2:01:01 - Closing Thoughts and Review</t>
        </is>
      </c>
      <c r="V205" s="47">
        <f>IF(AND(P205&gt;=Calendar!$K$2,P205&lt;EDATE(Calendar!$K$2,1),OR(Calendar!$K$4="*",N205=Calendar!$K$4)),P205*100+COUNTIFS($P$6:$P$3267,P205,$Q$6:$Q$3267,"&lt;="&amp;Q205,$N$6:$N$3267,Calendar!$K$4),"")</f>
        <v/>
      </c>
      <c r="W205" s="47">
        <f>IF(AND(B205=Queue!$C$4,OR(Queue!$K$4="*",N205=Queue!$K$4)),Q205,"")</f>
        <v/>
      </c>
    </row>
    <row r="206">
      <c r="A206" s="38">
        <f>IF(M206="","",HYPERLINK("https://www.youtube.com/watch?v="&amp;M206,"▶"))</f>
        <v/>
      </c>
      <c r="B206" s="39">
        <f>IF(C206&lt;&gt;"",C206,IF(P206&lt;=IFERROR(INDEX(tblChannels[Watched Through],MATCH(N206,tblChannels[Channel ID],0)),0),"Watched","Unwatched"))</f>
        <v/>
      </c>
      <c r="C206" s="40" t="n"/>
      <c r="D206" s="41" t="n"/>
      <c r="E206" s="42" t="n">
        <v>45982.68541666667</v>
      </c>
      <c r="F206" s="50" t="inlineStr">
        <is>
          <t>Super Carlin Brothers</t>
        </is>
      </c>
      <c r="G206" t="inlineStr">
        <is>
          <t>The Defense Against the Dark Arts Curse EXPLAINED | Harry Potter</t>
        </is>
      </c>
      <c r="H206" s="44" t="n">
        <v>0.01092592592592593</v>
      </c>
      <c r="I206" s="45" t="n">
        <v>85056</v>
      </c>
      <c r="J206" s="45" t="n">
        <v>3669</v>
      </c>
      <c r="K206" s="45" t="n">
        <v>448</v>
      </c>
      <c r="L206" s="46" t="n"/>
      <c r="M206" s="47" t="n"/>
      <c r="N206" s="47" t="inlineStr">
        <is>
          <t>UCKZo4N0lVPccBkSiuyVh4yg</t>
        </is>
      </c>
      <c r="O206" s="48" t="n">
        <v>45982.89375</v>
      </c>
      <c r="P206" s="49" t="n">
        <v>45982</v>
      </c>
      <c r="Q206" s="47" t="n">
        <v>3062</v>
      </c>
      <c r="R206" s="47" t="inlineStr">
        <is>
          <t>No Video ID yet</t>
        </is>
      </c>
      <c r="S206" s="49" t="n"/>
      <c r="T206" s="49" t="n"/>
      <c r="U206" s="47" t="inlineStr">
        <is>
          <t>This episode is sponsored by BetterHelp – Go to to get 10% off your first month. Today Ben dives into the Wizarding World of Harry Potter to break down one of the most quietly devastating moves Tom Riddle ever made: the infamous Defense Against the Dark Arts Curse. From the snowy night he returned to Hogwarts to hide the diadem, to the ripple effects that shaped entire generations of undertrained witches and wizards, this “petty revenge curse” may actually be Voldemort’s most effective long-term strategy in the entire series. #HarryPotter #SuperCarlinBrothers #JvsBen</t>
        </is>
      </c>
      <c r="V206" s="47">
        <f>IF(AND(P206&gt;=Calendar!$K$2,P206&lt;EDATE(Calendar!$K$2,1),OR(Calendar!$K$4="*",N206=Calendar!$K$4)),P206*100+COUNTIFS($P$6:$P$3267,P206,$Q$6:$Q$3267,"&lt;="&amp;Q206,$N$6:$N$3267,Calendar!$K$4),"")</f>
        <v/>
      </c>
      <c r="W206" s="47">
        <f>IF(AND(B206=Queue!$C$4,OR(Queue!$K$4="*",N206=Queue!$K$4)),Q206,"")</f>
        <v/>
      </c>
    </row>
    <row r="207">
      <c r="A207" s="38">
        <f>IF(M207="","",HYPERLINK("https://www.youtube.com/watch?v="&amp;M207,"▶"))</f>
        <v/>
      </c>
      <c r="B207" s="39">
        <f>IF(C207&lt;&gt;"",C207,IF(P207&lt;=IFERROR(INDEX(tblChannels[Watched Through],MATCH(N207,tblChannels[Channel ID],0)),0),"Watched","Unwatched"))</f>
        <v/>
      </c>
      <c r="C207" s="40" t="n"/>
      <c r="D207" s="41" t="n"/>
      <c r="E207" s="42" t="n">
        <v>45982.41666666666</v>
      </c>
      <c r="F207" s="43" t="inlineStr">
        <is>
          <t>Popcorn Culture</t>
        </is>
      </c>
      <c r="G207" t="inlineStr">
        <is>
          <t>Casually Castle Shopping | Popcorn Culture</t>
        </is>
      </c>
      <c r="H207" s="44" t="n">
        <v>0.05760416666666666</v>
      </c>
      <c r="I207" s="45" t="n">
        <v>3375</v>
      </c>
      <c r="J207" s="45" t="n">
        <v>145</v>
      </c>
      <c r="K207" s="45" t="n">
        <v>19</v>
      </c>
      <c r="L207" s="46" t="n"/>
      <c r="M207" s="47" t="n"/>
      <c r="N207" s="47" t="inlineStr">
        <is>
          <t>UCHfIbq9thHPC8yrKjAdJgDA</t>
        </is>
      </c>
      <c r="O207" s="48" t="n">
        <v>45982.625</v>
      </c>
      <c r="P207" s="49" t="n">
        <v>45982</v>
      </c>
      <c r="Q207" s="47" t="n">
        <v>3061</v>
      </c>
      <c r="R207" s="47" t="inlineStr">
        <is>
          <t>No Video ID yet</t>
        </is>
      </c>
      <c r="S207" s="49" t="n"/>
      <c r="T207" s="49" t="n"/>
      <c r="U207" s="47" t="inlineStr">
        <is>
          <t>In the 311th episode of the Pop, Ben and J discuss Ben’s new ink, the CRAZY economy of scale in California, iron ore hunting, techno-babble, and rental car woes. The Social Network -</t>
        </is>
      </c>
      <c r="V207" s="47">
        <f>IF(AND(P207&gt;=Calendar!$K$2,P207&lt;EDATE(Calendar!$K$2,1),OR(Calendar!$K$4="*",N207=Calendar!$K$4)),P207*100+COUNTIFS($P$6:$P$3267,P207,$Q$6:$Q$3267,"&lt;="&amp;Q207,$N$6:$N$3267,Calendar!$K$4),"")</f>
        <v/>
      </c>
      <c r="W207" s="47">
        <f>IF(AND(B207=Queue!$C$4,OR(Queue!$K$4="*",N207=Queue!$K$4)),Q207,"")</f>
        <v/>
      </c>
    </row>
    <row r="208">
      <c r="A208" s="38">
        <f>IF(M208="","",HYPERLINK("https://www.youtube.com/watch?v="&amp;M208,"▶"))</f>
        <v/>
      </c>
      <c r="B208" s="39">
        <f>IF(C208&lt;&gt;"",C208,IF(P208&lt;=IFERROR(INDEX(tblChannels[Watched Through],MATCH(N208,tblChannels[Channel ID],0)),0),"Watched","Unwatched"))</f>
        <v/>
      </c>
      <c r="C208" s="40" t="n"/>
      <c r="D208" s="41" t="n"/>
      <c r="E208" s="42" t="n">
        <v>45980.70208333333</v>
      </c>
      <c r="F208" s="50" t="inlineStr">
        <is>
          <t>Super Carlin Brothers</t>
        </is>
      </c>
      <c r="G208" t="inlineStr">
        <is>
          <t>J vs Ben: MAX DIFFICULTY Order of the Phoenix Open Book Harry Potter Trivia</t>
        </is>
      </c>
      <c r="H208" s="44" t="n">
        <v>0.03584490740740741</v>
      </c>
      <c r="I208" s="45" t="n">
        <v>82201</v>
      </c>
      <c r="J208" s="45" t="n">
        <v>2839</v>
      </c>
      <c r="K208" s="45" t="n">
        <v>345</v>
      </c>
      <c r="L208" s="46" t="n"/>
      <c r="M208" s="47" t="n"/>
      <c r="N208" s="47" t="inlineStr">
        <is>
          <t>UCKZo4N0lVPccBkSiuyVh4yg</t>
        </is>
      </c>
      <c r="O208" s="48" t="n">
        <v>45980.91041666667</v>
      </c>
      <c r="P208" s="49" t="n">
        <v>45980</v>
      </c>
      <c r="Q208" s="47" t="n">
        <v>3060</v>
      </c>
      <c r="R208" s="47" t="inlineStr">
        <is>
          <t>No Video ID yet</t>
        </is>
      </c>
      <c r="S208" s="49" t="n"/>
      <c r="T208" s="49" t="n"/>
      <c r="U208" s="47" t="inlineStr">
        <is>
          <t>Go to now to Get 10 Free Meals + a Free Item for Life! Today J and Ben go head-to-head in a MAX DIFFICULTY Order of the Phoenix Open Book Harry Potter Quiz — and this one is BRUTAL. From Tonks’ broomstick to the Black Family motto, giants, Sturgis Podmore, and MORE… this quiz goes deeper into OOTP than ever before. Think YOU can beat us? Grab your copy of Order of the Phoenix and play along — and don’t forget to submit YOUR questions for next week’s quiz! Special Thanks to our Quiz Masters: Ryan Silveira, Sam Shunpike, magicalmisfires, GooeyChewie, GenKenobi, tinas_hotdog_sophie, Big D aka the Songwriter, Bracelet Liz, Oryan’s Wizard Parts, CJ, MaddstheHatter, Teghan - Denlinger, Bunny, Mia Likes Nougat, Jessica Theirault, Bradferd, Captain Hawk, Drawing Xaos, and Tara Walker. #HarryPotter #SuperCarlinBrothers #JvsBen</t>
        </is>
      </c>
      <c r="V208" s="47">
        <f>IF(AND(P208&gt;=Calendar!$K$2,P208&lt;EDATE(Calendar!$K$2,1),OR(Calendar!$K$4="*",N208=Calendar!$K$4)),P208*100+COUNTIFS($P$6:$P$3267,P208,$Q$6:$Q$3267,"&lt;="&amp;Q208,$N$6:$N$3267,Calendar!$K$4),"")</f>
        <v/>
      </c>
      <c r="W208" s="47">
        <f>IF(AND(B208=Queue!$C$4,OR(Queue!$K$4="*",N208=Queue!$K$4)),Q208,"")</f>
        <v/>
      </c>
    </row>
    <row r="209">
      <c r="A209" s="38">
        <f>IF(M209="","",HYPERLINK("https://www.youtube.com/watch?v="&amp;M209,"▶"))</f>
        <v/>
      </c>
      <c r="B209" s="39">
        <f>IF(C209&lt;&gt;"",C209,IF(P209&lt;=IFERROR(INDEX(tblChannels[Watched Through],MATCH(N209,tblChannels[Channel ID],0)),0),"Watched","Unwatched"))</f>
        <v/>
      </c>
      <c r="C209" s="40" t="n"/>
      <c r="D209" s="41" t="n"/>
      <c r="E209" s="42" t="n">
        <v>45977.41736111111</v>
      </c>
      <c r="F209" s="51" t="inlineStr">
        <is>
          <t>Through The Griffin Door</t>
        </is>
      </c>
      <c r="G209" t="inlineStr">
        <is>
          <t>Live in Detroit - Chapter 12: Professor Umbridge | Order Of The Phoenix</t>
        </is>
      </c>
      <c r="H209" s="44" t="n">
        <v>0.05498842592592593</v>
      </c>
      <c r="I209" s="45" t="n">
        <v>10837</v>
      </c>
      <c r="J209" s="45" t="n">
        <v>442</v>
      </c>
      <c r="K209" s="45" t="n">
        <v>117</v>
      </c>
      <c r="L209" s="46" t="n"/>
      <c r="M209" s="47" t="n"/>
      <c r="N209" s="47" t="inlineStr">
        <is>
          <t>UCEscP6ETYXWSSvsNrDHekMQ</t>
        </is>
      </c>
      <c r="O209" s="48" t="n">
        <v>45977.62569444445</v>
      </c>
      <c r="P209" s="49" t="n">
        <v>45977</v>
      </c>
      <c r="Q209" s="47" t="n">
        <v>3059</v>
      </c>
      <c r="R209" s="47" t="inlineStr">
        <is>
          <t>No Video ID yet</t>
        </is>
      </c>
      <c r="S209" s="49" t="n"/>
      <c r="T209" s="49" t="n"/>
      <c r="U209" s="47" t="inlineStr">
        <is>
          <t>Join J and Ben as they dive BACK into Chapter 12 of Order of the Phoenix LIVE IN DETROIT! You’re getting the live on Sunday this week cause Ben is ILL. But in this episode J and Ben discuss why Harry is being a real pr… I mean Mimbulus Mimbletonia, Ron’s poor attempts to drop hints about wanting to play quidditch, and how Harry gets just SO much detention… that we don’t even get to read about until next week!!</t>
        </is>
      </c>
      <c r="V209" s="47">
        <f>IF(AND(P209&gt;=Calendar!$K$2,P209&lt;EDATE(Calendar!$K$2,1),OR(Calendar!$K$4="*",N209=Calendar!$K$4)),P209*100+COUNTIFS($P$6:$P$3267,P209,$Q$6:$Q$3267,"&lt;="&amp;Q209,$N$6:$N$3267,Calendar!$K$4),"")</f>
        <v/>
      </c>
      <c r="W209" s="47">
        <f>IF(AND(B209=Queue!$C$4,OR(Queue!$K$4="*",N209=Queue!$K$4)),Q209,"")</f>
        <v/>
      </c>
    </row>
    <row r="210">
      <c r="A210" s="38">
        <f>IF(M210="","",HYPERLINK("https://www.youtube.com/watch?v="&amp;M210,"▶"))</f>
        <v/>
      </c>
      <c r="B210" s="39">
        <f>IF(C210&lt;&gt;"",C210,IF(P210&lt;=IFERROR(INDEX(tblChannels[Watched Through],MATCH(N210,tblChannels[Channel ID],0)),0),"Watched","Unwatched"))</f>
        <v/>
      </c>
      <c r="C210" s="40" t="n"/>
      <c r="D210" s="41" t="n"/>
      <c r="E210" s="42" t="n">
        <v>45976.41666666666</v>
      </c>
      <c r="F210" s="50" t="inlineStr">
        <is>
          <t>Super Carlin Brothers</t>
        </is>
      </c>
      <c r="G210" t="inlineStr">
        <is>
          <t>Through the Griffin Door Supercut: Order of the Phoenix Chapters 10-12</t>
        </is>
      </c>
      <c r="H210" s="44" t="n">
        <v>0.2289467592592593</v>
      </c>
      <c r="I210" s="45" t="n">
        <v>10206</v>
      </c>
      <c r="J210" s="45" t="n">
        <v>206</v>
      </c>
      <c r="K210" s="45" t="n">
        <v>24</v>
      </c>
      <c r="L210" s="46" t="n"/>
      <c r="M210" s="47" t="n"/>
      <c r="N210" s="47" t="inlineStr">
        <is>
          <t>UCKZo4N0lVPccBkSiuyVh4yg</t>
        </is>
      </c>
      <c r="O210" s="48" t="n">
        <v>45976.625</v>
      </c>
      <c r="P210" s="49" t="n">
        <v>45976</v>
      </c>
      <c r="Q210" s="47" t="n">
        <v>3058</v>
      </c>
      <c r="R210" s="47" t="inlineStr">
        <is>
          <t>No Video ID yet</t>
        </is>
      </c>
      <c r="S210" s="49" t="n"/>
      <c r="T210" s="49" t="n"/>
      <c r="U210" s="47" t="inlineStr">
        <is>
          <t>00:00:00 - Chapter 10: Luna Lovegood 1:46:34 - Chapter 11: The Sorting Hat's New Song 3:41:18 - Chapter 12: Professor Umbridge</t>
        </is>
      </c>
      <c r="V210" s="47">
        <f>IF(AND(P210&gt;=Calendar!$K$2,P210&lt;EDATE(Calendar!$K$2,1),OR(Calendar!$K$4="*",N210=Calendar!$K$4)),P210*100+COUNTIFS($P$6:$P$3267,P210,$Q$6:$Q$3267,"&lt;="&amp;Q210,$N$6:$N$3267,Calendar!$K$4),"")</f>
        <v/>
      </c>
      <c r="W210" s="47">
        <f>IF(AND(B210=Queue!$C$4,OR(Queue!$K$4="*",N210=Queue!$K$4)),Q210,"")</f>
        <v/>
      </c>
    </row>
    <row r="211">
      <c r="A211" s="38">
        <f>IF(M211="","",HYPERLINK("https://www.youtube.com/watch?v="&amp;M211,"▶"))</f>
        <v/>
      </c>
      <c r="B211" s="39">
        <f>IF(C211&lt;&gt;"",C211,IF(P211&lt;=IFERROR(INDEX(tblChannels[Watched Through],MATCH(N211,tblChannels[Channel ID],0)),0),"Watched","Unwatched"))</f>
        <v/>
      </c>
      <c r="C211" s="40" t="n"/>
      <c r="D211" s="41" t="n"/>
      <c r="E211" s="42" t="n">
        <v>45975.69166666667</v>
      </c>
      <c r="F211" s="50" t="inlineStr">
        <is>
          <t>Super Carlin Brothers</t>
        </is>
      </c>
      <c r="G211" t="inlineStr">
        <is>
          <t>A SCATHING Review of The Order of the Phoenix | Harry Potter</t>
        </is>
      </c>
      <c r="H211" s="44" t="n">
        <v>0.0143287037037037</v>
      </c>
      <c r="I211" s="45" t="n">
        <v>186695</v>
      </c>
      <c r="J211" s="45" t="n">
        <v>6080</v>
      </c>
      <c r="K211" s="45" t="n">
        <v>766</v>
      </c>
      <c r="L211" s="46" t="n"/>
      <c r="M211" s="47" t="n"/>
      <c r="N211" s="47" t="inlineStr">
        <is>
          <t>UCKZo4N0lVPccBkSiuyVh4yg</t>
        </is>
      </c>
      <c r="O211" s="48" t="n">
        <v>45975.9</v>
      </c>
      <c r="P211" s="49" t="n">
        <v>45975</v>
      </c>
      <c r="Q211" s="47" t="n">
        <v>3057</v>
      </c>
      <c r="R211" s="47" t="inlineStr">
        <is>
          <t>No Video ID yet</t>
        </is>
      </c>
      <c r="S211" s="49" t="n"/>
      <c r="T211" s="49" t="n"/>
      <c r="U211" s="47" t="inlineStr">
        <is>
          <t>Head on over to to get 15% off! Today J dives into the Wizarding World of Harry Potter to give a SCATHING review of the Order of the Phoenix From losing both Wizarding Wars, to missing obvious clues, to wasting their greatest assets (TONKS!!), to forcing a teenage boy to run an illegal, underground Defense club—this organization fumbles the bag spectacularly at every turn. Let’s dive into the most savage performance review Hogwarts has ever seen.</t>
        </is>
      </c>
      <c r="V211" s="47">
        <f>IF(AND(P211&gt;=Calendar!$K$2,P211&lt;EDATE(Calendar!$K$2,1),OR(Calendar!$K$4="*",N211=Calendar!$K$4)),P211*100+COUNTIFS($P$6:$P$3267,P211,$Q$6:$Q$3267,"&lt;="&amp;Q211,$N$6:$N$3267,Calendar!$K$4),"")</f>
        <v/>
      </c>
      <c r="W211" s="47">
        <f>IF(AND(B211=Queue!$C$4,OR(Queue!$K$4="*",N211=Queue!$K$4)),Q211,"")</f>
        <v/>
      </c>
    </row>
    <row r="212">
      <c r="A212" s="38">
        <f>IF(M212="","",HYPERLINK("https://www.youtube.com/watch?v="&amp;M212,"▶"))</f>
        <v/>
      </c>
      <c r="B212" s="39">
        <f>IF(C212&lt;&gt;"",C212,IF(P212&lt;=IFERROR(INDEX(tblChannels[Watched Through],MATCH(N212,tblChannels[Channel ID],0)),0),"Watched","Unwatched"))</f>
        <v/>
      </c>
      <c r="C212" s="40" t="n"/>
      <c r="D212" s="41" t="n"/>
      <c r="E212" s="42" t="n">
        <v>45975.41666666666</v>
      </c>
      <c r="F212" s="43" t="inlineStr">
        <is>
          <t>Popcorn Culture</t>
        </is>
      </c>
      <c r="G212" t="inlineStr">
        <is>
          <t>"Yes, And..." | Popcorn Culture</t>
        </is>
      </c>
      <c r="H212" s="44" t="n">
        <v>0.04606481481481482</v>
      </c>
      <c r="I212" s="45" t="n">
        <v>2939</v>
      </c>
      <c r="J212" s="45" t="n">
        <v>138</v>
      </c>
      <c r="K212" s="45" t="n">
        <v>15</v>
      </c>
      <c r="L212" s="46" t="n"/>
      <c r="M212" s="47" t="n"/>
      <c r="N212" s="47" t="inlineStr">
        <is>
          <t>UCHfIbq9thHPC8yrKjAdJgDA</t>
        </is>
      </c>
      <c r="O212" s="48" t="n">
        <v>45975.625</v>
      </c>
      <c r="P212" s="49" t="n">
        <v>45975</v>
      </c>
      <c r="Q212" s="47" t="n">
        <v>3056</v>
      </c>
      <c r="R212" s="47" t="inlineStr">
        <is>
          <t>No Video ID yet</t>
        </is>
      </c>
      <c r="S212" s="49" t="n"/>
      <c r="T212" s="49" t="n"/>
      <c r="U212" s="47" t="inlineStr">
        <is>
          <t>In the 310th episode of the Pop, Ben and J discuss “yes, and” improv, a new coined phrase, “A-Pop”, 67, music trivia, wall art, and tattoo complexities. Fool Me Once… - Bluey - KPop Demon Hunters - Spider-Man: Into the Spider-Verse - Klaus - Talladega Nights: The Ballad of Ricky Bobby - Will Gay - 00:00 - Intro, Hostmanship 06:32 - Yes, And-ing 11:51 - A-Pop 44:42 - Wall Art</t>
        </is>
      </c>
      <c r="V212" s="47">
        <f>IF(AND(P212&gt;=Calendar!$K$2,P212&lt;EDATE(Calendar!$K$2,1),OR(Calendar!$K$4="*",N212=Calendar!$K$4)),P212*100+COUNTIFS($P$6:$P$3267,P212,$Q$6:$Q$3267,"&lt;="&amp;Q212,$N$6:$N$3267,Calendar!$K$4),"")</f>
        <v/>
      </c>
      <c r="W212" s="47">
        <f>IF(AND(B212=Queue!$C$4,OR(Queue!$K$4="*",N212=Queue!$K$4)),Q212,"")</f>
        <v/>
      </c>
    </row>
    <row r="213">
      <c r="A213" s="38">
        <f>IF(M213="","",HYPERLINK("https://www.youtube.com/watch?v="&amp;M213,"▶"))</f>
        <v/>
      </c>
      <c r="B213" s="39">
        <f>IF(C213&lt;&gt;"",C213,IF(P213&lt;=IFERROR(INDEX(tblChannels[Watched Through],MATCH(N213,tblChannels[Channel ID],0)),0),"Watched","Unwatched"))</f>
        <v/>
      </c>
      <c r="C213" s="40" t="n"/>
      <c r="D213" s="41" t="n"/>
      <c r="E213" s="42" t="n">
        <v>45973.71944444445</v>
      </c>
      <c r="F213" s="50" t="inlineStr">
        <is>
          <t>Super Carlin Brothers</t>
        </is>
      </c>
      <c r="G213" t="inlineStr">
        <is>
          <t>The Invisibility Cloak’s SECRET Power | Harry Potter Theory</t>
        </is>
      </c>
      <c r="H213" s="44" t="n">
        <v>0.01297453703703704</v>
      </c>
      <c r="I213" s="45" t="n">
        <v>132393</v>
      </c>
      <c r="J213" s="45" t="n">
        <v>5518</v>
      </c>
      <c r="K213" s="45" t="n">
        <v>612</v>
      </c>
      <c r="L213" s="46" t="n"/>
      <c r="M213" s="47" t="n"/>
      <c r="N213" s="47" t="inlineStr">
        <is>
          <t>UCKZo4N0lVPccBkSiuyVh4yg</t>
        </is>
      </c>
      <c r="O213" s="48" t="n">
        <v>45973.92777777778</v>
      </c>
      <c r="P213" s="49" t="n">
        <v>45973</v>
      </c>
      <c r="Q213" s="47" t="n">
        <v>3055</v>
      </c>
      <c r="R213" s="47" t="inlineStr">
        <is>
          <t>No Video ID yet</t>
        </is>
      </c>
      <c r="S213" s="49" t="n"/>
      <c r="T213" s="49" t="n"/>
      <c r="U213" s="47" t="inlineStr">
        <is>
          <t>This episode is sponsored by BetterHelp. Go to to get 10% off your first month. Go to to sign up for your $1-per-month trial period. What makes Harry Potter’s Invisibility Cloak truly special? Sure, it’s one of the legendary Deathly Hallows — indestructible, eternal, and able to render its wearer perfectly invisible. But Dumbledore tells Harry that it only ever worked fully for him, its rightful master. So what’s the secret power hidden inside the Cloak? In this video, J dives deep into the theory that the Cloak’s magic isn’t about invisibility at all — it’s about protection. From Moody’s enchanted eye to the Marauder’s Map and even Nagini at Godric’s Hollow, every moment the Cloak “fails” actually proves it’s doing something more powerful… 😉 Because sometimes, to stay hidden… you have to be seen.</t>
        </is>
      </c>
      <c r="V213" s="47">
        <f>IF(AND(P213&gt;=Calendar!$K$2,P213&lt;EDATE(Calendar!$K$2,1),OR(Calendar!$K$4="*",N213=Calendar!$K$4)),P213*100+COUNTIFS($P$6:$P$3267,P213,$Q$6:$Q$3267,"&lt;="&amp;Q213,$N$6:$N$3267,Calendar!$K$4),"")</f>
        <v/>
      </c>
      <c r="W213" s="47">
        <f>IF(AND(B213=Queue!$C$4,OR(Queue!$K$4="*",N213=Queue!$K$4)),Q213,"")</f>
        <v/>
      </c>
    </row>
    <row r="214">
      <c r="A214" s="38">
        <f>IF(M214="","",HYPERLINK("https://www.youtube.com/watch?v="&amp;M214,"▶"))</f>
        <v/>
      </c>
      <c r="B214" s="39">
        <f>IF(C214&lt;&gt;"",C214,IF(P214&lt;=IFERROR(INDEX(tblChannels[Watched Through],MATCH(N214,tblChannels[Channel ID],0)),0),"Watched","Unwatched"))</f>
        <v/>
      </c>
      <c r="C214" s="40" t="n"/>
      <c r="D214" s="41" t="n"/>
      <c r="E214" s="42" t="n">
        <v>45973.2125</v>
      </c>
      <c r="F214" s="52" t="inlineStr">
        <is>
          <t>Super Carlin Gaming</t>
        </is>
      </c>
      <c r="G214" t="inlineStr">
        <is>
          <t>BEN PLAYS DIABLO 2 FOR NO REASON ON A TUESDAY DIABLO 2SDAY ANYONE?</t>
        </is>
      </c>
      <c r="H214" s="44" t="n">
        <v>0.05857638888888889</v>
      </c>
      <c r="I214" s="45" t="n">
        <v>1344</v>
      </c>
      <c r="J214" s="45" t="n">
        <v>73</v>
      </c>
      <c r="K214" s="45" t="n">
        <v>13</v>
      </c>
      <c r="L214" s="46" t="n"/>
      <c r="M214" s="47" t="n"/>
      <c r="N214" s="47" t="inlineStr">
        <is>
          <t>UCor_9jRnNNZVzTuQ92PKsaQ</t>
        </is>
      </c>
      <c r="O214" s="48" t="n">
        <v>45973.42083333333</v>
      </c>
      <c r="P214" s="49" t="n">
        <v>45973</v>
      </c>
      <c r="Q214" s="47" t="n">
        <v>3054</v>
      </c>
      <c r="R214" s="47" t="inlineStr">
        <is>
          <t>No Video ID yet</t>
        </is>
      </c>
      <c r="S214" s="49" t="n"/>
      <c r="T214" s="49" t="n"/>
      <c r="U214" s="47" t="inlineStr">
        <is>
          <t>Hey. The gaming channel is getting a reboot. We have a new computer and stuff and we're working out the kinks. So come say hello. ask questions. be feisty. but not too feisty. look you're already overthinking it. just be yourself. wow.</t>
        </is>
      </c>
      <c r="V214" s="47">
        <f>IF(AND(P214&gt;=Calendar!$K$2,P214&lt;EDATE(Calendar!$K$2,1),OR(Calendar!$K$4="*",N214=Calendar!$K$4)),P214*100+COUNTIFS($P$6:$P$3267,P214,$Q$6:$Q$3267,"&lt;="&amp;Q214,$N$6:$N$3267,Calendar!$K$4),"")</f>
        <v/>
      </c>
      <c r="W214" s="47">
        <f>IF(AND(B214=Queue!$C$4,OR(Queue!$K$4="*",N214=Queue!$K$4)),Q214,"")</f>
        <v/>
      </c>
    </row>
    <row r="215">
      <c r="A215" s="38">
        <f>IF(M215="","",HYPERLINK("https://www.youtube.com/watch?v="&amp;M215,"▶"))</f>
        <v/>
      </c>
      <c r="B215" s="39">
        <f>IF(C215&lt;&gt;"",C215,IF(P215&lt;=IFERROR(INDEX(tblChannels[Watched Through],MATCH(N215,tblChannels[Channel ID],0)),0),"Watched","Unwatched"))</f>
        <v/>
      </c>
      <c r="C215" s="40" t="n"/>
      <c r="D215" s="41" t="n"/>
      <c r="E215" s="42" t="n">
        <v>45970.41666666666</v>
      </c>
      <c r="F215" s="51" t="inlineStr">
        <is>
          <t>Through The Griffin Door</t>
        </is>
      </c>
      <c r="G215" t="inlineStr">
        <is>
          <t>Chapter 12: Professor Umbridge | Order of the Phoenix</t>
        </is>
      </c>
      <c r="H215" s="44" t="n">
        <v>0.07526620370370371</v>
      </c>
      <c r="I215" s="45" t="n">
        <v>49505</v>
      </c>
      <c r="J215" s="45" t="n">
        <v>1243</v>
      </c>
      <c r="K215" s="45" t="n">
        <v>462</v>
      </c>
      <c r="L215" s="46" t="n"/>
      <c r="M215" s="47" t="n"/>
      <c r="N215" s="47" t="inlineStr">
        <is>
          <t>UCEscP6ETYXWSSvsNrDHekMQ</t>
        </is>
      </c>
      <c r="O215" s="48" t="n">
        <v>45970.625</v>
      </c>
      <c r="P215" s="49" t="n">
        <v>45970</v>
      </c>
      <c r="Q215" s="47" t="n">
        <v>3053</v>
      </c>
      <c r="R215" s="47" t="inlineStr">
        <is>
          <t>No Video ID yet</t>
        </is>
      </c>
      <c r="S215" s="49" t="n"/>
      <c r="T215" s="49" t="n"/>
      <c r="U215" s="47" t="inlineStr">
        <is>
          <t>Join J and Ben as they dive into Chapter 12 of the Order of the Phoenix and discuss Dean being Switzerland, Fred and George’s flyer, Ron’s subtle Quidditch hints, OWLs, Snape still being a bad Potions teacher, Divination class, and every infuriating moment of Umbridge’s class. 06:14 - Chapter Breakdown 1:39:46 - Closing Thoughts and Review</t>
        </is>
      </c>
      <c r="V215" s="47">
        <f>IF(AND(P215&gt;=Calendar!$K$2,P215&lt;EDATE(Calendar!$K$2,1),OR(Calendar!$K$4="*",N215=Calendar!$K$4)),P215*100+COUNTIFS($P$6:$P$3267,P215,$Q$6:$Q$3267,"&lt;="&amp;Q215,$N$6:$N$3267,Calendar!$K$4),"")</f>
        <v/>
      </c>
      <c r="W215" s="47">
        <f>IF(AND(B215=Queue!$C$4,OR(Queue!$K$4="*",N215=Queue!$K$4)),Q215,"")</f>
        <v/>
      </c>
    </row>
    <row r="216">
      <c r="A216" s="38">
        <f>IF(M216="","",HYPERLINK("https://www.youtube.com/watch?v="&amp;M216,"▶"))</f>
        <v/>
      </c>
      <c r="B216" s="39">
        <f>IF(C216&lt;&gt;"",C216,IF(P216&lt;=IFERROR(INDEX(tblChannels[Watched Through],MATCH(N216,tblChannels[Channel ID],0)),0),"Watched","Unwatched"))</f>
        <v/>
      </c>
      <c r="C216" s="40" t="n"/>
      <c r="D216" s="41" t="n"/>
      <c r="E216" s="42" t="n">
        <v>45968.70208333333</v>
      </c>
      <c r="F216" s="50" t="inlineStr">
        <is>
          <t>Super Carlin Brothers</t>
        </is>
      </c>
      <c r="G216" t="inlineStr">
        <is>
          <t>J vs Ben: Wheel of Punishment RETURNS - Harry Potter Trivia Quiz</t>
        </is>
      </c>
      <c r="H216" s="44" t="n">
        <v>0.03971064814814815</v>
      </c>
      <c r="I216" s="45" t="n">
        <v>106246</v>
      </c>
      <c r="J216" s="45" t="n">
        <v>3706</v>
      </c>
      <c r="K216" s="45" t="n">
        <v>464</v>
      </c>
      <c r="L216" s="46" t="n"/>
      <c r="M216" s="47" t="n"/>
      <c r="N216" s="47" t="inlineStr">
        <is>
          <t>UCKZo4N0lVPccBkSiuyVh4yg</t>
        </is>
      </c>
      <c r="O216" s="48" t="n">
        <v>45968.91041666667</v>
      </c>
      <c r="P216" s="49" t="n">
        <v>45968</v>
      </c>
      <c r="Q216" s="47" t="n">
        <v>3052</v>
      </c>
      <c r="R216" s="47" t="inlineStr">
        <is>
          <t>No Video ID yet</t>
        </is>
      </c>
      <c r="S216" s="49" t="n"/>
      <c r="T216" s="49" t="n"/>
      <c r="U216" s="47" t="inlineStr">
        <is>
          <t>Go to and use code super50off to get 50% off your first box, plus Free Breakfast for 1 Year. Tickets for Through The Griffin Tour South West are ON SALE NOW! Get Tix at The Wheel of Punishment is back with more Tricks and Treats - will the boys enjoy some Nerds clusters? Or Suffer the dreaded cinnamon challenge? Maybe even sample a Lil Nitro?! #harrypotter #SuperCarlinBrothers #JvsBen Written by :: The Quiz Masters Hosted by :: Ethan Edghill, Isybelle Christley &amp; Kat Stine THROUGH THE GRIFFIN TOUR SOUTHWEST 3/07: Denver, CO - Chapter 33 - Fight and Flight 3/09: Salt Lake City, UT - Chapter 34 - The Dept of Mysteries 3/11: Las Vegas, NV - Chapter 35 - Beyond the Veil 3/12: Phoenix, AZ- Chapter 36 - The Only One He Ever Feared 3/14: Houston, TX - Chapter 37 - The Lost Prophecy 3/15: Dallas, TX - Chapter 38 - The Second War Begins</t>
        </is>
      </c>
      <c r="V216" s="47">
        <f>IF(AND(P216&gt;=Calendar!$K$2,P216&lt;EDATE(Calendar!$K$2,1),OR(Calendar!$K$4="*",N216=Calendar!$K$4)),P216*100+COUNTIFS($P$6:$P$3267,P216,$Q$6:$Q$3267,"&lt;="&amp;Q216,$N$6:$N$3267,Calendar!$K$4),"")</f>
        <v/>
      </c>
      <c r="W216" s="47">
        <f>IF(AND(B216=Queue!$C$4,OR(Queue!$K$4="*",N216=Queue!$K$4)),Q216,"")</f>
        <v/>
      </c>
    </row>
    <row r="217">
      <c r="A217" s="38">
        <f>IF(M217="","",HYPERLINK("https://www.youtube.com/watch?v="&amp;M217,"▶"))</f>
        <v/>
      </c>
      <c r="B217" s="39">
        <f>IF(C217&lt;&gt;"",C217,IF(P217&lt;=IFERROR(INDEX(tblChannels[Watched Through],MATCH(N217,tblChannels[Channel ID],0)),0),"Watched","Unwatched"))</f>
        <v/>
      </c>
      <c r="C217" s="40" t="n"/>
      <c r="D217" s="41" t="n"/>
      <c r="E217" s="42" t="n">
        <v>45968.65972222222</v>
      </c>
      <c r="F217" s="51" t="inlineStr">
        <is>
          <t>Through The Griffin Door</t>
        </is>
      </c>
      <c r="G217" t="inlineStr">
        <is>
          <t>Live In Chicago - Chapter 11: The Sorting Hat's New Song | Order of the Phoenix</t>
        </is>
      </c>
      <c r="H217" s="44" t="n">
        <v>0.05263888888888889</v>
      </c>
      <c r="I217" s="45" t="n">
        <v>7417</v>
      </c>
      <c r="J217" s="45" t="n">
        <v>320</v>
      </c>
      <c r="K217" s="45" t="n">
        <v>58</v>
      </c>
      <c r="L217" s="46" t="n"/>
      <c r="M217" s="47" t="n"/>
      <c r="N217" s="47" t="inlineStr">
        <is>
          <t>UCEscP6ETYXWSSvsNrDHekMQ</t>
        </is>
      </c>
      <c r="O217" s="48" t="n">
        <v>45968.86805555555</v>
      </c>
      <c r="P217" s="49" t="n">
        <v>45968</v>
      </c>
      <c r="Q217" s="47" t="n">
        <v>3051</v>
      </c>
      <c r="R217" s="47" t="inlineStr">
        <is>
          <t>No Video ID yet</t>
        </is>
      </c>
      <c r="S217" s="49" t="n"/>
      <c r="T217" s="49" t="n"/>
      <c r="U217" s="47" t="inlineStr">
        <is>
          <t>Join J and Ben as they dive BACK into Chapter 11 of Order of the Phoenix LIVE IN CHICAGO! and honestly you just have to watch this one because J sings THE ENTIRE SONG and it is worth the price of admission</t>
        </is>
      </c>
      <c r="V217" s="47">
        <f>IF(AND(P217&gt;=Calendar!$K$2,P217&lt;EDATE(Calendar!$K$2,1),OR(Calendar!$K$4="*",N217=Calendar!$K$4)),P217*100+COUNTIFS($P$6:$P$3267,P217,$Q$6:$Q$3267,"&lt;="&amp;Q217,$N$6:$N$3267,Calendar!$K$4),"")</f>
        <v/>
      </c>
      <c r="W217" s="47">
        <f>IF(AND(B217=Queue!$C$4,OR(Queue!$K$4="*",N217=Queue!$K$4)),Q217,"")</f>
        <v/>
      </c>
    </row>
    <row r="218">
      <c r="A218" s="38">
        <f>IF(M218="","",HYPERLINK("https://www.youtube.com/watch?v="&amp;M218,"▶"))</f>
        <v/>
      </c>
      <c r="B218" s="39">
        <f>IF(C218&lt;&gt;"",C218,IF(P218&lt;=IFERROR(INDEX(tblChannels[Watched Through],MATCH(N218,tblChannels[Channel ID],0)),0),"Watched","Unwatched"))</f>
        <v/>
      </c>
      <c r="C218" s="40" t="n"/>
      <c r="D218" s="41" t="n"/>
      <c r="E218" s="42" t="n">
        <v>45968.54097222222</v>
      </c>
      <c r="F218" s="43" t="inlineStr">
        <is>
          <t>Popcorn Culture</t>
        </is>
      </c>
      <c r="G218" t="inlineStr">
        <is>
          <t>ARE WE LIVE?! | Popcorn Culture</t>
        </is>
      </c>
      <c r="H218" s="44" t="n">
        <v>0.04623842592592593</v>
      </c>
      <c r="I218" s="45" t="n">
        <v>2453</v>
      </c>
      <c r="J218" s="45" t="n">
        <v>120</v>
      </c>
      <c r="K218" s="45" t="n">
        <v>16</v>
      </c>
      <c r="L218" s="46" t="n"/>
      <c r="M218" s="47" t="n"/>
      <c r="N218" s="47" t="inlineStr">
        <is>
          <t>UCHfIbq9thHPC8yrKjAdJgDA</t>
        </is>
      </c>
      <c r="O218" s="48" t="n">
        <v>45968.74930555555</v>
      </c>
      <c r="P218" s="49" t="n">
        <v>45968</v>
      </c>
      <c r="Q218" s="47" t="n">
        <v>3050</v>
      </c>
      <c r="R218" s="47" t="inlineStr">
        <is>
          <t>No Video ID yet</t>
        </is>
      </c>
      <c r="S218" s="49" t="n"/>
      <c r="T218" s="49" t="n"/>
      <c r="U218" s="47" t="n"/>
      <c r="V218" s="47">
        <f>IF(AND(P218&gt;=Calendar!$K$2,P218&lt;EDATE(Calendar!$K$2,1),OR(Calendar!$K$4="*",N218=Calendar!$K$4)),P218*100+COUNTIFS($P$6:$P$3267,P218,$Q$6:$Q$3267,"&lt;="&amp;Q218,$N$6:$N$3267,Calendar!$K$4),"")</f>
        <v/>
      </c>
      <c r="W218" s="47">
        <f>IF(AND(B218=Queue!$C$4,OR(Queue!$K$4="*",N218=Queue!$K$4)),Q218,"")</f>
        <v/>
      </c>
    </row>
    <row r="219">
      <c r="A219" s="38">
        <f>IF(M219="","",HYPERLINK("https://www.youtube.com/watch?v="&amp;M219,"▶"))</f>
        <v/>
      </c>
      <c r="B219" s="39">
        <f>IF(C219&lt;&gt;"",C219,IF(P219&lt;=IFERROR(INDEX(tblChannels[Watched Through],MATCH(N219,tblChannels[Channel ID],0)),0),"Watched","Unwatched"))</f>
        <v/>
      </c>
      <c r="C219" s="40" t="n"/>
      <c r="D219" s="41" t="n"/>
      <c r="E219" s="42" t="n">
        <v>45968.48402777778</v>
      </c>
      <c r="F219" s="43" t="inlineStr">
        <is>
          <t>Popcorn Culture</t>
        </is>
      </c>
      <c r="G219" t="inlineStr">
        <is>
          <t>POP Question and A with Benjamin and J - 11/07/2025 - GETCHER TAQUITOS</t>
        </is>
      </c>
      <c r="H219" s="44" t="n">
        <v>0.00119212962962963</v>
      </c>
      <c r="I219" s="45" t="n">
        <v>452</v>
      </c>
      <c r="J219" s="45" t="n">
        <v>22</v>
      </c>
      <c r="K219" s="45" t="n">
        <v>3</v>
      </c>
      <c r="L219" s="46" t="n"/>
      <c r="M219" s="47" t="n"/>
      <c r="N219" s="47" t="inlineStr">
        <is>
          <t>UCHfIbq9thHPC8yrKjAdJgDA</t>
        </is>
      </c>
      <c r="O219" s="48" t="n">
        <v>45968.69236111111</v>
      </c>
      <c r="P219" s="49" t="n">
        <v>45968</v>
      </c>
      <c r="Q219" s="47" t="n">
        <v>3049</v>
      </c>
      <c r="R219" s="47" t="inlineStr">
        <is>
          <t>No Video ID yet</t>
        </is>
      </c>
      <c r="S219" s="49" t="n"/>
      <c r="T219" s="49" t="n"/>
      <c r="U219" s="47" t="inlineStr">
        <is>
          <t>Hello Patrons! As ever thank you for your support! Excited to chat with everyone and answer all the questions!</t>
        </is>
      </c>
      <c r="V219" s="47">
        <f>IF(AND(P219&gt;=Calendar!$K$2,P219&lt;EDATE(Calendar!$K$2,1),OR(Calendar!$K$4="*",N219=Calendar!$K$4)),P219*100+COUNTIFS($P$6:$P$3267,P219,$Q$6:$Q$3267,"&lt;="&amp;Q219,$N$6:$N$3267,Calendar!$K$4),"")</f>
        <v/>
      </c>
      <c r="W219" s="47">
        <f>IF(AND(B219=Queue!$C$4,OR(Queue!$K$4="*",N219=Queue!$K$4)),Q219,"")</f>
        <v/>
      </c>
    </row>
    <row r="220">
      <c r="A220" s="38">
        <f>IF(M220="","",HYPERLINK("https://www.youtube.com/watch?v="&amp;M220,"▶"))</f>
        <v/>
      </c>
      <c r="B220" s="39">
        <f>IF(C220&lt;&gt;"",C220,IF(P220&lt;=IFERROR(INDEX(tblChannels[Watched Through],MATCH(N220,tblChannels[Channel ID],0)),0),"Watched","Unwatched"))</f>
        <v/>
      </c>
      <c r="C220" s="40" t="n"/>
      <c r="D220" s="41" t="n"/>
      <c r="E220" s="42" t="n">
        <v>45968.41666666666</v>
      </c>
      <c r="F220" s="43" t="inlineStr">
        <is>
          <t>Popcorn Culture</t>
        </is>
      </c>
      <c r="G220" t="inlineStr">
        <is>
          <t>The BIGGEST NYC Marathon! | Popcorn Culture</t>
        </is>
      </c>
      <c r="H220" s="44" t="n">
        <v>0.04396990740740741</v>
      </c>
      <c r="I220" s="45" t="n">
        <v>2537</v>
      </c>
      <c r="J220" s="45" t="n">
        <v>125</v>
      </c>
      <c r="K220" s="45" t="n">
        <v>12</v>
      </c>
      <c r="L220" s="46" t="n"/>
      <c r="M220" s="47" t="n"/>
      <c r="N220" s="47" t="inlineStr">
        <is>
          <t>UCHfIbq9thHPC8yrKjAdJgDA</t>
        </is>
      </c>
      <c r="O220" s="48" t="n">
        <v>45968.625</v>
      </c>
      <c r="P220" s="49" t="n">
        <v>45968</v>
      </c>
      <c r="Q220" s="47" t="n">
        <v>3048</v>
      </c>
      <c r="R220" s="47" t="inlineStr">
        <is>
          <t>No Video ID yet</t>
        </is>
      </c>
      <c r="S220" s="49" t="n"/>
      <c r="T220" s="49" t="n"/>
      <c r="U220" s="47" t="inlineStr">
        <is>
          <t>In the 309th episode of the Pop, Ben and J discuss more travel woes, carboloading, The Great Gatsby, THE Marathon, cheering sprints, and future triathlons. Without Limits - Go Pin Pro HQ - The Great Gatsby -</t>
        </is>
      </c>
      <c r="V220" s="47">
        <f>IF(AND(P220&gt;=Calendar!$K$2,P220&lt;EDATE(Calendar!$K$2,1),OR(Calendar!$K$4="*",N220=Calendar!$K$4)),P220*100+COUNTIFS($P$6:$P$3267,P220,$Q$6:$Q$3267,"&lt;="&amp;Q220,$N$6:$N$3267,Calendar!$K$4),"")</f>
        <v/>
      </c>
      <c r="W220" s="47">
        <f>IF(AND(B220=Queue!$C$4,OR(Queue!$K$4="*",N220=Queue!$K$4)),Q220,"")</f>
        <v/>
      </c>
    </row>
    <row r="221">
      <c r="A221" s="38">
        <f>IF(M221="","",HYPERLINK("https://www.youtube.com/watch?v="&amp;M221,"▶"))</f>
        <v/>
      </c>
      <c r="B221" s="39">
        <f>IF(C221&lt;&gt;"",C221,IF(P221&lt;=IFERROR(INDEX(tblChannels[Watched Through],MATCH(N221,tblChannels[Channel ID],0)),0),"Watched","Unwatched"))</f>
        <v/>
      </c>
      <c r="C221" s="40" t="n"/>
      <c r="D221" s="41" t="n"/>
      <c r="E221" s="42" t="n">
        <v>45966.68263888889</v>
      </c>
      <c r="F221" s="50" t="inlineStr">
        <is>
          <t>Super Carlin Brothers</t>
        </is>
      </c>
      <c r="G221" t="inlineStr">
        <is>
          <t>Was Voldemort Planning to Eradicate ALL Wizards? | Harry Potter Theory</t>
        </is>
      </c>
      <c r="H221" s="44" t="n">
        <v>0.01060185185185185</v>
      </c>
      <c r="I221" s="45" t="n">
        <v>101211</v>
      </c>
      <c r="J221" s="45" t="n">
        <v>4529</v>
      </c>
      <c r="K221" s="45" t="n">
        <v>558</v>
      </c>
      <c r="L221" s="46" t="n"/>
      <c r="M221" s="47" t="n"/>
      <c r="N221" s="47" t="inlineStr">
        <is>
          <t>UCKZo4N0lVPccBkSiuyVh4yg</t>
        </is>
      </c>
      <c r="O221" s="48" t="n">
        <v>45966.89097222222</v>
      </c>
      <c r="P221" s="49" t="n">
        <v>45966</v>
      </c>
      <c r="Q221" s="47" t="n">
        <v>3047</v>
      </c>
      <c r="R221" s="47" t="inlineStr">
        <is>
          <t>No Video ID yet</t>
        </is>
      </c>
      <c r="S221" s="49" t="n"/>
      <c r="T221" s="49" t="n"/>
      <c r="U221" s="47" t="inlineStr">
        <is>
          <t>This episode is sponsored by BetterHelp – Go to to get 10% off your first month. Was Voldemort’s obsession with “purebloods” and immortality a front for something even darker? From the Gaunt family’s collapse to the twisted irony of his own half-blood heritage, this theory explores how Voldemort’s perfect world may have ended in the extinction of wizardkind itself. Join us as we explore what might’ve happened if the Boy Who Lived… hadn’t.</t>
        </is>
      </c>
      <c r="V221" s="47">
        <f>IF(AND(P221&gt;=Calendar!$K$2,P221&lt;EDATE(Calendar!$K$2,1),OR(Calendar!$K$4="*",N221=Calendar!$K$4)),P221*100+COUNTIFS($P$6:$P$3267,P221,$Q$6:$Q$3267,"&lt;="&amp;Q221,$N$6:$N$3267,Calendar!$K$4),"")</f>
        <v/>
      </c>
      <c r="W221" s="47">
        <f>IF(AND(B221=Queue!$C$4,OR(Queue!$K$4="*",N221=Queue!$K$4)),Q221,"")</f>
        <v/>
      </c>
    </row>
    <row r="222">
      <c r="A222" s="38">
        <f>IF(M222="","",HYPERLINK("https://www.youtube.com/watch?v="&amp;M222,"▶"))</f>
        <v/>
      </c>
      <c r="B222" s="39">
        <f>IF(C222&lt;&gt;"",C222,IF(P222&lt;=IFERROR(INDEX(tblChannels[Watched Through],MATCH(N222,tblChannels[Channel ID],0)),0),"Watched","Unwatched"))</f>
        <v/>
      </c>
      <c r="C222" s="40" t="n"/>
      <c r="D222" s="41" t="n"/>
      <c r="E222" s="42" t="n">
        <v>45966.45833333334</v>
      </c>
      <c r="F222" s="51" t="inlineStr">
        <is>
          <t>Through The Griffin Door</t>
        </is>
      </c>
      <c r="G222" t="inlineStr">
        <is>
          <t>THROUGH THE GRIFFIN TOUR - SOUTHWEST</t>
        </is>
      </c>
      <c r="H222" s="44" t="n">
        <v>0.001747685185185185</v>
      </c>
      <c r="I222" s="45" t="n">
        <v>2476</v>
      </c>
      <c r="J222" s="45" t="n">
        <v>158</v>
      </c>
      <c r="K222" s="45" t="n">
        <v>38</v>
      </c>
      <c r="L222" s="46" t="n"/>
      <c r="M222" s="47" t="n"/>
      <c r="N222" s="47" t="inlineStr">
        <is>
          <t>UCEscP6ETYXWSSvsNrDHekMQ</t>
        </is>
      </c>
      <c r="O222" s="48" t="n">
        <v>45966.66666666666</v>
      </c>
      <c r="P222" s="49" t="n">
        <v>45966</v>
      </c>
      <c r="Q222" s="47" t="n">
        <v>3046</v>
      </c>
      <c r="R222" s="47" t="inlineStr">
        <is>
          <t>No Video ID yet</t>
        </is>
      </c>
      <c r="S222" s="49" t="n"/>
      <c r="T222" s="49" t="n"/>
      <c r="U222" s="47" t="inlineStr">
        <is>
          <t>Calling All Griffin Doorks! We are so excited to announce that we will be continuing the Through the Griffin TOUR in the Southwest this March! Tickets go on sale THIS FRIDAY, November 7th at 10:00am LOCAL TIME. You can find the links to each location here on our website! Denver, CO - 03/07 Salt Lake City, UT - 03/09 Las Vegas, NV - 03/11 Phoenix, AZ - 03/12 Houston, TX - 03/14 Dallas, TX - 03/15 VIP tickets will be available yet again for this tour as well for an additional $50! These will include a VIP meet and greet with J and Ben, a signed tour poster and early/premium seating. Each of the websites does their VIP ticket add ons differently so be sure to pay attention to how to add that before you check out! Again, you can get your tickets here: on Friday, November 7th at 10:00am LOCAL TIME. We can’t wait to see you in real life, brother! Denver, CO - 03/07/2026: Salt Lake City, UT - 03/09/2026: Las Vegas, NV - 03/11/2026: Phoenix, AZ - 03/12/2026: Houston, TX - 03/14/2026: Dallas, TX - 03/15/2026:</t>
        </is>
      </c>
      <c r="V222" s="47">
        <f>IF(AND(P222&gt;=Calendar!$K$2,P222&lt;EDATE(Calendar!$K$2,1),OR(Calendar!$K$4="*",N222=Calendar!$K$4)),P222*100+COUNTIFS($P$6:$P$3267,P222,$Q$6:$Q$3267,"&lt;="&amp;Q222,$N$6:$N$3267,Calendar!$K$4),"")</f>
        <v/>
      </c>
      <c r="W222" s="47">
        <f>IF(AND(B222=Queue!$C$4,OR(Queue!$K$4="*",N222=Queue!$K$4)),Q222,"")</f>
        <v/>
      </c>
    </row>
    <row r="223">
      <c r="A223" s="38">
        <f>IF(M223="","",HYPERLINK("https://www.youtube.com/watch?v="&amp;M223,"▶"))</f>
        <v/>
      </c>
      <c r="B223" s="39">
        <f>IF(C223&lt;&gt;"",C223,IF(P223&lt;=IFERROR(INDEX(tblChannels[Watched Through],MATCH(N223,tblChannels[Channel ID],0)),0),"Watched","Unwatched"))</f>
        <v/>
      </c>
      <c r="C223" s="40" t="n"/>
      <c r="D223" s="41" t="n"/>
      <c r="E223" s="42" t="n">
        <v>45966.45833333334</v>
      </c>
      <c r="F223" s="50" t="inlineStr">
        <is>
          <t>Super Carlin Brothers</t>
        </is>
      </c>
      <c r="G223" t="inlineStr">
        <is>
          <t>THROUGH THE GRIFFIN TOUR - SOUTHWEST</t>
        </is>
      </c>
      <c r="H223" s="44" t="n">
        <v>0.0008564814814814815</v>
      </c>
      <c r="I223" s="45" t="n">
        <v>3913</v>
      </c>
      <c r="J223" s="45" t="n">
        <v>204</v>
      </c>
      <c r="K223" s="45" t="n">
        <v>70</v>
      </c>
      <c r="L223" s="46" t="n"/>
      <c r="M223" s="47" t="n"/>
      <c r="N223" s="47" t="inlineStr">
        <is>
          <t>UCKZo4N0lVPccBkSiuyVh4yg</t>
        </is>
      </c>
      <c r="O223" s="48" t="n">
        <v>45966.66666666666</v>
      </c>
      <c r="P223" s="49" t="n">
        <v>45966</v>
      </c>
      <c r="Q223" s="47" t="n">
        <v>3045</v>
      </c>
      <c r="R223" s="47" t="inlineStr">
        <is>
          <t>No Video ID yet</t>
        </is>
      </c>
      <c r="S223" s="49" t="n"/>
      <c r="T223" s="49" t="n"/>
      <c r="U223" s="47" t="inlineStr">
        <is>
          <t>Calling All Griffin Doorks! We are so excited to announce that we will be continuing the Through the Griffin TOUR in the Southwest this March! Tickets go on sale THIS FRIDAY, November 7th at 10:00am LOCAL TIME. You can find the links to each location here on our website! Denver, CO - 03/07 Salt Lake City, UT - 03/09 Las Vegas, NV - 03/11 Phoenix, AZ - 03/12 Houston, TX - 03/14 Dallas, TX - 03/15 VIP tickets will be available yet again for this tour as well for an additional $50! These will include a VIP meet and greet with J and Ben, a signed tour poster and early/premium seating. Each of the websites does their VIP ticket add ons differently so be sure to pay attention to how to add that before you check out! Again, you can get your tickets here: on Friday, November 7th at 10:00am LOCAL TIME. We can’t wait to see you in real life, brother! Denver, CO - 03/07/2026: Salt Lake City, UT - 03/09/2026: Las Vegas, NV - 03/11/2026: Phoenix, AZ - 03/12/2026: Houston, TX - 03/14/2026: Dallas, TX - 03/15/2026:</t>
        </is>
      </c>
      <c r="V223" s="47">
        <f>IF(AND(P223&gt;=Calendar!$K$2,P223&lt;EDATE(Calendar!$K$2,1),OR(Calendar!$K$4="*",N223=Calendar!$K$4)),P223*100+COUNTIFS($P$6:$P$3267,P223,$Q$6:$Q$3267,"&lt;="&amp;Q223,$N$6:$N$3267,Calendar!$K$4),"")</f>
        <v/>
      </c>
      <c r="W223" s="47">
        <f>IF(AND(B223=Queue!$C$4,OR(Queue!$K$4="*",N223=Queue!$K$4)),Q223,"")</f>
        <v/>
      </c>
    </row>
    <row r="224">
      <c r="A224" s="38">
        <f>IF(M224="","",HYPERLINK("https://www.youtube.com/watch?v="&amp;M224,"▶"))</f>
        <v/>
      </c>
      <c r="B224" s="39">
        <f>IF(C224&lt;&gt;"",C224,IF(P224&lt;=IFERROR(INDEX(tblChannels[Watched Through],MATCH(N224,tblChannels[Channel ID],0)),0),"Watched","Unwatched"))</f>
        <v/>
      </c>
      <c r="C224" s="40" t="n"/>
      <c r="D224" s="41" t="n"/>
      <c r="E224" s="42" t="n">
        <v>45963.41736111111</v>
      </c>
      <c r="F224" s="51" t="inlineStr">
        <is>
          <t>Through The Griffin Door</t>
        </is>
      </c>
      <c r="G224" t="inlineStr">
        <is>
          <t>Chapter 11: The Sorting Hat’s New Song | Order of the Phoenix</t>
        </is>
      </c>
      <c r="H224" s="44" t="n">
        <v>0.08046296296296296</v>
      </c>
      <c r="I224" s="45" t="n">
        <v>49858</v>
      </c>
      <c r="J224" s="45" t="n">
        <v>1232</v>
      </c>
      <c r="K224" s="45" t="n">
        <v>384</v>
      </c>
      <c r="L224" s="46" t="n"/>
      <c r="M224" s="47" t="n"/>
      <c r="N224" s="47" t="inlineStr">
        <is>
          <t>UCEscP6ETYXWSSvsNrDHekMQ</t>
        </is>
      </c>
      <c r="O224" s="48" t="n">
        <v>45963.62569444445</v>
      </c>
      <c r="P224" s="49" t="n">
        <v>45963</v>
      </c>
      <c r="Q224" s="47" t="n">
        <v>3044</v>
      </c>
      <c r="R224" s="47" t="inlineStr">
        <is>
          <t>No Video ID yet</t>
        </is>
      </c>
      <c r="S224" s="49" t="n"/>
      <c r="T224" s="49" t="n"/>
      <c r="U224" s="47" t="inlineStr">
        <is>
          <t>Join J and Ben as they dive into Chapter 11 of the Order of the Phoenix and discuss Luna’s thoughts on Hagrid, students whispering about Harry, Hagrid’s vegetarianism, the Hat’s song, the Founders, Umbridge’s speech and the ramifications of it. 07:25 - Chapter Breakdown 1:09:58 - Ad Break (Shopify) 1:11:23 - More Chapter Breakdown 1:41:47 - Closing Thoughts and Review</t>
        </is>
      </c>
      <c r="V224" s="47">
        <f>IF(AND(P224&gt;=Calendar!$K$2,P224&lt;EDATE(Calendar!$K$2,1),OR(Calendar!$K$4="*",N224=Calendar!$K$4)),P224*100+COUNTIFS($P$6:$P$3267,P224,$Q$6:$Q$3267,"&lt;="&amp;Q224,$N$6:$N$3267,Calendar!$K$4),"")</f>
        <v/>
      </c>
      <c r="W224" s="47">
        <f>IF(AND(B224=Queue!$C$4,OR(Queue!$K$4="*",N224=Queue!$K$4)),Q224,"")</f>
        <v/>
      </c>
    </row>
    <row r="225">
      <c r="A225" s="38">
        <f>IF(M225="","",HYPERLINK("https://www.youtube.com/watch?v="&amp;M225,"▶"))</f>
        <v/>
      </c>
      <c r="B225" s="39">
        <f>IF(C225&lt;&gt;"",C225,IF(P225&lt;=IFERROR(INDEX(tblChannels[Watched Through],MATCH(N225,tblChannels[Channel ID],0)),0),"Watched","Unwatched"))</f>
        <v/>
      </c>
      <c r="C225" s="40" t="n"/>
      <c r="D225" s="41" t="n"/>
      <c r="E225" s="42" t="n">
        <v>45961.67361111111</v>
      </c>
      <c r="F225" s="50" t="inlineStr">
        <is>
          <t>Super Carlin Brothers</t>
        </is>
      </c>
      <c r="G225" t="inlineStr">
        <is>
          <t>Why Dumbledore REALLY Says He See Socks In The Mirror | Harry Potter Theory</t>
        </is>
      </c>
      <c r="H225" s="44" t="n">
        <v>0.01108796296296296</v>
      </c>
      <c r="I225" s="45" t="n">
        <v>125461</v>
      </c>
      <c r="J225" s="45" t="n">
        <v>5312</v>
      </c>
      <c r="K225" s="45" t="n">
        <v>568</v>
      </c>
      <c r="L225" s="46" t="n"/>
      <c r="M225" s="47" t="n"/>
      <c r="N225" s="47" t="inlineStr">
        <is>
          <t>UCKZo4N0lVPccBkSiuyVh4yg</t>
        </is>
      </c>
      <c r="O225" s="48" t="n">
        <v>45961.84027777778</v>
      </c>
      <c r="P225" s="49" t="n">
        <v>45961</v>
      </c>
      <c r="Q225" s="47" t="n">
        <v>3043</v>
      </c>
      <c r="R225" s="47" t="inlineStr">
        <is>
          <t>No Video ID yet</t>
        </is>
      </c>
      <c r="S225" s="49" t="n"/>
      <c r="T225" s="49" t="n"/>
      <c r="U225" s="47" t="inlineStr">
        <is>
          <t>Today J dives into the Wizarding World of Harry Potter to reveal WHY Dumbledore claims to see himself holding socks in the Mirror of Erised. Go to and use code super50off to get 50% off your first box, plus Free Breakfast for 1 Year. It goes way deeper than you think. Today we break down the symbolism of socks across the entire Harry Potter series — from Dobby’s freedom to Hermione’s knitted S.P.E.W. gifts — and reveal how Dumbledore’s “joke” about socks actually hides his most profound regret: the family he lost and the freedom he never found. Go Check out Katy for more fun HP thoughts!</t>
        </is>
      </c>
      <c r="V225" s="47">
        <f>IF(AND(P225&gt;=Calendar!$K$2,P225&lt;EDATE(Calendar!$K$2,1),OR(Calendar!$K$4="*",N225=Calendar!$K$4)),P225*100+COUNTIFS($P$6:$P$3267,P225,$Q$6:$Q$3267,"&lt;="&amp;Q225,$N$6:$N$3267,Calendar!$K$4),"")</f>
        <v/>
      </c>
      <c r="W225" s="47">
        <f>IF(AND(B225=Queue!$C$4,OR(Queue!$K$4="*",N225=Queue!$K$4)),Q225,"")</f>
        <v/>
      </c>
    </row>
    <row r="226">
      <c r="A226" s="38">
        <f>IF(M226="","",HYPERLINK("https://www.youtube.com/watch?v="&amp;M226,"▶"))</f>
        <v/>
      </c>
      <c r="B226" s="39">
        <f>IF(C226&lt;&gt;"",C226,IF(P226&lt;=IFERROR(INDEX(tblChannels[Watched Through],MATCH(N226,tblChannels[Channel ID],0)),0),"Watched","Unwatched"))</f>
        <v/>
      </c>
      <c r="C226" s="40" t="n"/>
      <c r="D226" s="41" t="n"/>
      <c r="E226" s="42" t="n">
        <v>45961.41666666666</v>
      </c>
      <c r="F226" s="43" t="inlineStr">
        <is>
          <t>Popcorn Culture</t>
        </is>
      </c>
      <c r="G226" t="inlineStr">
        <is>
          <t>Luke’s Toy Empathy | Popcorn Culture</t>
        </is>
      </c>
      <c r="H226" s="44" t="n">
        <v>0.04458333333333334</v>
      </c>
      <c r="I226" s="45" t="n">
        <v>2770</v>
      </c>
      <c r="J226" s="45" t="n">
        <v>153</v>
      </c>
      <c r="K226" s="45" t="n">
        <v>23</v>
      </c>
      <c r="L226" s="46" t="n"/>
      <c r="M226" s="47" t="n"/>
      <c r="N226" s="47" t="inlineStr">
        <is>
          <t>UCHfIbq9thHPC8yrKjAdJgDA</t>
        </is>
      </c>
      <c r="O226" s="48" t="n">
        <v>45961.58333333334</v>
      </c>
      <c r="P226" s="49" t="n">
        <v>45961</v>
      </c>
      <c r="Q226" s="47" t="n">
        <v>3042</v>
      </c>
      <c r="R226" s="47" t="inlineStr">
        <is>
          <t>No Video ID yet</t>
        </is>
      </c>
      <c r="S226" s="49" t="n"/>
      <c r="T226" s="49" t="n"/>
      <c r="U226" s="47" t="inlineStr">
        <is>
          <t>In the 308th episode of the Pop, Ben and J discuss swimming in cold weather, BIG CHAP, KPop, Luke’s empathy, the Reverse Golden Rule, and analogies. KPop Demon Hunters - BLACKPINK - Elemental - Max Verstappen Song - Green Day - Nobody Wants This - BIG CHAP Chapless Benjamin 00:00 - Intro, Swimming 16:24 - An Embarrassing Story 28:33 - Luke’s Empathy</t>
        </is>
      </c>
      <c r="V226" s="47">
        <f>IF(AND(P226&gt;=Calendar!$K$2,P226&lt;EDATE(Calendar!$K$2,1),OR(Calendar!$K$4="*",N226=Calendar!$K$4)),P226*100+COUNTIFS($P$6:$P$3267,P226,$Q$6:$Q$3267,"&lt;="&amp;Q226,$N$6:$N$3267,Calendar!$K$4),"")</f>
        <v/>
      </c>
      <c r="W226" s="47">
        <f>IF(AND(B226=Queue!$C$4,OR(Queue!$K$4="*",N226=Queue!$K$4)),Q226,"")</f>
        <v/>
      </c>
    </row>
    <row r="227">
      <c r="A227" s="38">
        <f>IF(M227="","",HYPERLINK("https://www.youtube.com/watch?v="&amp;M227,"▶"))</f>
        <v/>
      </c>
      <c r="B227" s="39">
        <f>IF(C227&lt;&gt;"",C227,IF(P227&lt;=IFERROR(INDEX(tblChannels[Watched Through],MATCH(N227,tblChannels[Channel ID],0)),0),"Watched","Unwatched"))</f>
        <v/>
      </c>
      <c r="C227" s="40" t="n"/>
      <c r="D227" s="41" t="n"/>
      <c r="E227" s="42" t="n">
        <v>45960.70833333334</v>
      </c>
      <c r="F227" s="51" t="inlineStr">
        <is>
          <t>Through The Griffin Door</t>
        </is>
      </c>
      <c r="G227" t="inlineStr">
        <is>
          <t>Live In Milwaukee - Chapter 10: Luna Lovegood | Order of the Phoenix</t>
        </is>
      </c>
      <c r="H227" s="44" t="n">
        <v>0.0497337962962963</v>
      </c>
      <c r="I227" s="45" t="n">
        <v>7555</v>
      </c>
      <c r="J227" s="45" t="n">
        <v>319</v>
      </c>
      <c r="K227" s="45" t="n">
        <v>39</v>
      </c>
      <c r="L227" s="46" t="n"/>
      <c r="M227" s="47" t="n"/>
      <c r="N227" s="47" t="inlineStr">
        <is>
          <t>UCEscP6ETYXWSSvsNrDHekMQ</t>
        </is>
      </c>
      <c r="O227" s="48" t="n">
        <v>45960.875</v>
      </c>
      <c r="P227" s="49" t="n">
        <v>45960</v>
      </c>
      <c r="Q227" s="47" t="n">
        <v>3041</v>
      </c>
      <c r="R227" s="47" t="inlineStr">
        <is>
          <t>No Video ID yet</t>
        </is>
      </c>
      <c r="S227" s="49" t="n"/>
      <c r="T227" s="49" t="n"/>
      <c r="U227" s="47" t="inlineStr">
        <is>
          <t>Join J and Ben as they dive BACK into Chapter 10 of Order of the Phoenix LIVE IN MILWAUKEE! and discuss the merits of various highlighter colors, why Molly and Sirius are always bickering, and who the heck the extra Gryffindor girl is!</t>
        </is>
      </c>
      <c r="V227" s="47">
        <f>IF(AND(P227&gt;=Calendar!$K$2,P227&lt;EDATE(Calendar!$K$2,1),OR(Calendar!$K$4="*",N227=Calendar!$K$4)),P227*100+COUNTIFS($P$6:$P$3267,P227,$Q$6:$Q$3267,"&lt;="&amp;Q227,$N$6:$N$3267,Calendar!$K$4),"")</f>
        <v/>
      </c>
      <c r="W227" s="47">
        <f>IF(AND(B227=Queue!$C$4,OR(Queue!$K$4="*",N227=Queue!$K$4)),Q227,"")</f>
        <v/>
      </c>
    </row>
    <row r="228">
      <c r="A228" s="38">
        <f>IF(M228="","",HYPERLINK("https://www.youtube.com/watch?v="&amp;M228,"▶"))</f>
        <v/>
      </c>
      <c r="B228" s="39">
        <f>IF(C228&lt;&gt;"",C228,IF(P228&lt;=IFERROR(INDEX(tblChannels[Watched Through],MATCH(N228,tblChannels[Channel ID],0)),0),"Watched","Unwatched"))</f>
        <v/>
      </c>
      <c r="C228" s="40" t="n"/>
      <c r="D228" s="41" t="n"/>
      <c r="E228" s="42" t="n">
        <v>45959.7125</v>
      </c>
      <c r="F228" s="50" t="inlineStr">
        <is>
          <t>Super Carlin Brothers</t>
        </is>
      </c>
      <c r="G228" t="inlineStr">
        <is>
          <t>Could Draco Malfoy Have Become Master of Death?! | Harry Potter Theory</t>
        </is>
      </c>
      <c r="H228" s="44" t="n">
        <v>0.01446759259259259</v>
      </c>
      <c r="I228" s="45" t="n">
        <v>99118</v>
      </c>
      <c r="J228" s="45" t="n">
        <v>3371</v>
      </c>
      <c r="K228" s="45" t="n">
        <v>368</v>
      </c>
      <c r="L228" s="46" t="n"/>
      <c r="M228" s="47" t="n"/>
      <c r="N228" s="47" t="inlineStr">
        <is>
          <t>UCKZo4N0lVPccBkSiuyVh4yg</t>
        </is>
      </c>
      <c r="O228" s="48" t="n">
        <v>45959.87916666667</v>
      </c>
      <c r="P228" s="49" t="n">
        <v>45959</v>
      </c>
      <c r="Q228" s="47" t="n">
        <v>3040</v>
      </c>
      <c r="R228" s="47" t="inlineStr">
        <is>
          <t>No Video ID yet</t>
        </is>
      </c>
      <c r="S228" s="49" t="n"/>
      <c r="T228" s="49" t="n"/>
      <c r="U228" s="47" t="inlineStr">
        <is>
          <t>Today J dives into the Wizarding World of Harry Potter to ask What If Draco kept the invisibility cloak when he takes it from Harry on the Train? This episode is sponsored by BetterHelp – Go to to get 10% off your first month. This episode is sponsored by Uncommon Goods – Go to for 15% off your next gift. Could Draco have used it to unwittingly become master of Death? What does it take to Master the Cloak? Could Draco have defeated Voldemort if he had united the Deathly Hallows?</t>
        </is>
      </c>
      <c r="V228" s="47">
        <f>IF(AND(P228&gt;=Calendar!$K$2,P228&lt;EDATE(Calendar!$K$2,1),OR(Calendar!$K$4="*",N228=Calendar!$K$4)),P228*100+COUNTIFS($P$6:$P$3267,P228,$Q$6:$Q$3267,"&lt;="&amp;Q228,$N$6:$N$3267,Calendar!$K$4),"")</f>
        <v/>
      </c>
      <c r="W228" s="47">
        <f>IF(AND(B228=Queue!$C$4,OR(Queue!$K$4="*",N228=Queue!$K$4)),Q228,"")</f>
        <v/>
      </c>
    </row>
    <row r="229">
      <c r="A229" s="38">
        <f>IF(M229="","",HYPERLINK("https://www.youtube.com/watch?v="&amp;M229,"▶"))</f>
        <v/>
      </c>
      <c r="B229" s="39">
        <f>IF(C229&lt;&gt;"",C229,IF(P229&lt;=IFERROR(INDEX(tblChannels[Watched Through],MATCH(N229,tblChannels[Channel ID],0)),0),"Watched","Unwatched"))</f>
        <v/>
      </c>
      <c r="C229" s="40" t="n"/>
      <c r="D229" s="41" t="n"/>
      <c r="E229" s="42" t="n">
        <v>45956.41736111111</v>
      </c>
      <c r="F229" s="51" t="inlineStr">
        <is>
          <t>Through The Griffin Door</t>
        </is>
      </c>
      <c r="G229" t="inlineStr">
        <is>
          <t>Chapter 10: Luna Lovegood | Order of the Phoenix</t>
        </is>
      </c>
      <c r="H229" s="44" t="n">
        <v>0.07400462962962963</v>
      </c>
      <c r="I229" s="45" t="n">
        <v>49702</v>
      </c>
      <c r="J229" s="45" t="n">
        <v>1305</v>
      </c>
      <c r="K229" s="45" t="n">
        <v>457</v>
      </c>
      <c r="L229" s="46" t="n"/>
      <c r="M229" s="47" t="n"/>
      <c r="N229" s="47" t="inlineStr">
        <is>
          <t>UCEscP6ETYXWSSvsNrDHekMQ</t>
        </is>
      </c>
      <c r="O229" s="48" t="n">
        <v>45956.58402777778</v>
      </c>
      <c r="P229" s="49" t="n">
        <v>45956</v>
      </c>
      <c r="Q229" s="47" t="n">
        <v>3039</v>
      </c>
      <c r="R229" s="47" t="inlineStr">
        <is>
          <t>No Video ID yet</t>
        </is>
      </c>
      <c r="S229" s="49" t="n"/>
      <c r="T229" s="49" t="n"/>
      <c r="U229" s="47" t="inlineStr">
        <is>
          <t>Join J and Ben as they dive into Chapter 10 of the Order of the Phoenix and discuss Harry’s Dream, hurriedly leaving Grimmauld Place, the different Hogwarts Express ride, the Mimbulus Mimbletonia, RedMoon, and Hagrid missing and the Thestrals. The Jumper - 07:09 - Chapter Breakdown 1:35:02 - Closing Thoughts and Review</t>
        </is>
      </c>
      <c r="V229" s="47">
        <f>IF(AND(P229&gt;=Calendar!$K$2,P229&lt;EDATE(Calendar!$K$2,1),OR(Calendar!$K$4="*",N229=Calendar!$K$4)),P229*100+COUNTIFS($P$6:$P$3267,P229,$Q$6:$Q$3267,"&lt;="&amp;Q229,$N$6:$N$3267,Calendar!$K$4),"")</f>
        <v/>
      </c>
      <c r="W229" s="47">
        <f>IF(AND(B229=Queue!$C$4,OR(Queue!$K$4="*",N229=Queue!$K$4)),Q229,"")</f>
        <v/>
      </c>
    </row>
    <row r="230">
      <c r="A230" s="38">
        <f>IF(M230="","",HYPERLINK("https://www.youtube.com/watch?v="&amp;M230,"▶"))</f>
        <v/>
      </c>
      <c r="B230" s="39">
        <f>IF(C230&lt;&gt;"",C230,IF(P230&lt;=IFERROR(INDEX(tblChannels[Watched Through],MATCH(N230,tblChannels[Channel ID],0)),0),"Watched","Unwatched"))</f>
        <v/>
      </c>
      <c r="C230" s="40" t="n"/>
      <c r="D230" s="41" t="n"/>
      <c r="E230" s="42" t="n">
        <v>45955.41666666666</v>
      </c>
      <c r="F230" s="50" t="inlineStr">
        <is>
          <t>Super Carlin Brothers</t>
        </is>
      </c>
      <c r="G230" t="inlineStr">
        <is>
          <t>Through the Griffin Door Supercut: Order of the Phoenix Chapters 7-9</t>
        </is>
      </c>
      <c r="H230" s="44" t="n">
        <v>0.2155555555555556</v>
      </c>
      <c r="I230" s="45" t="n">
        <v>9813</v>
      </c>
      <c r="J230" s="45" t="n">
        <v>202</v>
      </c>
      <c r="K230" s="45" t="n">
        <v>38</v>
      </c>
      <c r="L230" s="46" t="n"/>
      <c r="M230" s="47" t="n"/>
      <c r="N230" s="47" t="inlineStr">
        <is>
          <t>UCKZo4N0lVPccBkSiuyVh4yg</t>
        </is>
      </c>
      <c r="O230" s="48" t="n">
        <v>45955.58333333334</v>
      </c>
      <c r="P230" s="49" t="n">
        <v>45955</v>
      </c>
      <c r="Q230" s="47" t="n">
        <v>3038</v>
      </c>
      <c r="R230" s="47" t="inlineStr">
        <is>
          <t>No Video ID yet</t>
        </is>
      </c>
      <c r="S230" s="49" t="n"/>
      <c r="T230" s="49" t="n"/>
      <c r="U230" s="47" t="inlineStr">
        <is>
          <t>00:00:00 - Chapter 7: The Ministry of Magic 1:32:40 - Chapter 8: The Hearing 3:15:38 - Chapter 9: The Woes of Mrs. Weasley</t>
        </is>
      </c>
      <c r="V230" s="47">
        <f>IF(AND(P230&gt;=Calendar!$K$2,P230&lt;EDATE(Calendar!$K$2,1),OR(Calendar!$K$4="*",N230=Calendar!$K$4)),P230*100+COUNTIFS($P$6:$P$3267,P230,$Q$6:$Q$3267,"&lt;="&amp;Q230,$N$6:$N$3267,Calendar!$K$4),"")</f>
        <v/>
      </c>
      <c r="W230" s="47">
        <f>IF(AND(B230=Queue!$C$4,OR(Queue!$K$4="*",N230=Queue!$K$4)),Q230,"")</f>
        <v/>
      </c>
    </row>
    <row r="231">
      <c r="A231" s="38">
        <f>IF(M231="","",HYPERLINK("https://www.youtube.com/watch?v="&amp;M231,"▶"))</f>
        <v/>
      </c>
      <c r="B231" s="39">
        <f>IF(C231&lt;&gt;"",C231,IF(P231&lt;=IFERROR(INDEX(tblChannels[Watched Through],MATCH(N231,tblChannels[Channel ID],0)),0),"Watched","Unwatched"))</f>
        <v/>
      </c>
      <c r="C231" s="40" t="n"/>
      <c r="D231" s="41" t="n"/>
      <c r="E231" s="42" t="n">
        <v>45955.23819444444</v>
      </c>
      <c r="F231" s="52" t="inlineStr">
        <is>
          <t>Super Carlin Gaming</t>
        </is>
      </c>
      <c r="G231" t="inlineStr">
        <is>
          <t>PRISMATIC EVOLUTIONS - Box Breakers SEASON 16 - THE Finale - 10/24/2025</t>
        </is>
      </c>
      <c r="H231" s="44" t="n">
        <v>0.1302199074074074</v>
      </c>
      <c r="I231" s="45" t="n">
        <v>832</v>
      </c>
      <c r="J231" s="45" t="n">
        <v>40</v>
      </c>
      <c r="K231" s="45" t="n">
        <v>4</v>
      </c>
      <c r="L231" s="46" t="n"/>
      <c r="M231" s="47" t="n"/>
      <c r="N231" s="47" t="inlineStr">
        <is>
          <t>UCor_9jRnNNZVzTuQ92PKsaQ</t>
        </is>
      </c>
      <c r="O231" s="48" t="n">
        <v>45955.40486111111</v>
      </c>
      <c r="P231" s="49" t="n">
        <v>45955</v>
      </c>
      <c r="Q231" s="47" t="n">
        <v>3037</v>
      </c>
      <c r="R231" s="47" t="inlineStr">
        <is>
          <t>No Video ID yet</t>
        </is>
      </c>
      <c r="S231" s="49" t="n"/>
      <c r="T231" s="49" t="n"/>
      <c r="U231" s="47" t="inlineStr">
        <is>
          <t>(no acoustic set included that was a joke) Also this is Ben. Let me know if you see this. I feel like I'm writing a 21st century message in a bottle. Just wondering who finds it. Apparently you. A job well done to say the least. Anyway - I know you need to hear this today. You're killing it. And 'it' is your goals and accomplishments. anyway, happy holidays. in october.</t>
        </is>
      </c>
      <c r="V231" s="47">
        <f>IF(AND(P231&gt;=Calendar!$K$2,P231&lt;EDATE(Calendar!$K$2,1),OR(Calendar!$K$4="*",N231=Calendar!$K$4)),P231*100+COUNTIFS($P$6:$P$3267,P231,$Q$6:$Q$3267,"&lt;="&amp;Q231,$N$6:$N$3267,Calendar!$K$4),"")</f>
        <v/>
      </c>
      <c r="W231" s="47">
        <f>IF(AND(B231=Queue!$C$4,OR(Queue!$K$4="*",N231=Queue!$K$4)),Q231,"")</f>
        <v/>
      </c>
    </row>
    <row r="232">
      <c r="A232" s="38">
        <f>IF(M232="","",HYPERLINK("https://www.youtube.com/watch?v="&amp;M232,"▶"))</f>
        <v/>
      </c>
      <c r="B232" s="39">
        <f>IF(C232&lt;&gt;"",C232,IF(P232&lt;=IFERROR(INDEX(tblChannels[Watched Through],MATCH(N232,tblChannels[Channel ID],0)),0),"Watched","Unwatched"))</f>
        <v/>
      </c>
      <c r="C232" s="40" t="n"/>
      <c r="D232" s="41" t="n"/>
      <c r="E232" s="42" t="n">
        <v>45954.72361111111</v>
      </c>
      <c r="F232" s="50" t="inlineStr">
        <is>
          <t>Super Carlin Brothers</t>
        </is>
      </c>
      <c r="G232" t="inlineStr">
        <is>
          <t>J vs Ben: MAX DIFFICULTY Goblet of Fire Open Book Harry Potter Quiz</t>
        </is>
      </c>
      <c r="H232" s="44" t="n">
        <v>0.03657407407407407</v>
      </c>
      <c r="I232" s="45" t="n">
        <v>92786</v>
      </c>
      <c r="J232" s="45" t="n">
        <v>3000</v>
      </c>
      <c r="K232" s="45" t="n">
        <v>342</v>
      </c>
      <c r="L232" s="46" t="n"/>
      <c r="M232" s="47" t="n"/>
      <c r="N232" s="47" t="inlineStr">
        <is>
          <t>UCKZo4N0lVPccBkSiuyVh4yg</t>
        </is>
      </c>
      <c r="O232" s="48" t="n">
        <v>45954.89027777778</v>
      </c>
      <c r="P232" s="49" t="n">
        <v>45954</v>
      </c>
      <c r="Q232" s="47" t="n">
        <v>3036</v>
      </c>
      <c r="R232" s="47" t="inlineStr">
        <is>
          <t>No Video ID yet</t>
        </is>
      </c>
      <c r="S232" s="49" t="n"/>
      <c r="T232" s="49" t="n"/>
      <c r="U232" s="47" t="inlineStr">
        <is>
          <t>Go to now to Get 10 Free Meals + a Free Item for Life! Join the Wizarding Candle Club :: Today J and Ben face off once more to find out who knows more about Harry Potter and the Goblet of Fire, but this time, IT’S OPEN BOOK! The Quiz Masters have pulled out all the stops and found the craziest details, now its up to the brothers to track them down… in under 30 sec. Think you can beat the SuperCarlinBrothers at their own game? Grab your copy and play along! Become a Quiz Master :: Huge thanks to our amazing patrons for submitting questions :: Katrina A., Sam Shunpike, Drawing Xaos, Angela Merkel, Dorian R., Patch McStuffins, Tara Walker, Jessica Theriault, Jamie :), Cam of the Math Budget, Dola (Big D), kyuubibob, Teghan Denlinger, SweaterBrothers and The Other Ben C #HarryPotter #SuperCarlinBrothers #JvsBen #GobletOfFIre Written by :: The Quiz Masters! Hosted by :: Ethan Edghil</t>
        </is>
      </c>
      <c r="V232" s="47">
        <f>IF(AND(P232&gt;=Calendar!$K$2,P232&lt;EDATE(Calendar!$K$2,1),OR(Calendar!$K$4="*",N232=Calendar!$K$4)),P232*100+COUNTIFS($P$6:$P$3267,P232,$Q$6:$Q$3267,"&lt;="&amp;Q232,$N$6:$N$3267,Calendar!$K$4),"")</f>
        <v/>
      </c>
      <c r="W232" s="47">
        <f>IF(AND(B232=Queue!$C$4,OR(Queue!$K$4="*",N232=Queue!$K$4)),Q232,"")</f>
        <v/>
      </c>
    </row>
    <row r="233">
      <c r="A233" s="38">
        <f>IF(M233="","",HYPERLINK("https://www.youtube.com/watch?v="&amp;M233,"▶"))</f>
        <v/>
      </c>
      <c r="B233" s="39">
        <f>IF(C233&lt;&gt;"",C233,IF(P233&lt;=IFERROR(INDEX(tblChannels[Watched Through],MATCH(N233,tblChannels[Channel ID],0)),0),"Watched","Unwatched"))</f>
        <v/>
      </c>
      <c r="C233" s="40" t="n"/>
      <c r="D233" s="41" t="n"/>
      <c r="E233" s="42" t="n">
        <v>45954.41666666666</v>
      </c>
      <c r="F233" s="43" t="inlineStr">
        <is>
          <t>Popcorn Culture</t>
        </is>
      </c>
      <c r="G233" t="inlineStr">
        <is>
          <t>Ben’s WORST Week EVER! | Popcorn Culture</t>
        </is>
      </c>
      <c r="H233" s="44" t="n">
        <v>0.04984953703703704</v>
      </c>
      <c r="I233" s="45" t="n">
        <v>3416</v>
      </c>
      <c r="J233" s="45" t="n">
        <v>232</v>
      </c>
      <c r="K233" s="45" t="n">
        <v>93</v>
      </c>
      <c r="L233" s="46" t="n"/>
      <c r="M233" s="47" t="n"/>
      <c r="N233" s="47" t="inlineStr">
        <is>
          <t>UCHfIbq9thHPC8yrKjAdJgDA</t>
        </is>
      </c>
      <c r="O233" s="48" t="n">
        <v>45954.58333333334</v>
      </c>
      <c r="P233" s="49" t="n">
        <v>45954</v>
      </c>
      <c r="Q233" s="47" t="n">
        <v>3035</v>
      </c>
      <c r="R233" s="47" t="inlineStr">
        <is>
          <t>No Video ID yet</t>
        </is>
      </c>
      <c r="S233" s="49" t="n"/>
      <c r="T233" s="49" t="n"/>
      <c r="U233" s="47" t="inlineStr">
        <is>
          <t>Trigger Warning: This episode contains discussion of infertility and pregnancy loss (at 53:35 through the end of the episode) In the 307th episode of the Pop, Ben and J discuss strep tests, eye floaters, crashed cars, back pain, the Beer Mile, and the catalyst of the worst week. The Secret 4th Member of HUNTR/X Revealed! - BLACKPINK - Miracle on Ice -</t>
        </is>
      </c>
      <c r="V233" s="47">
        <f>IF(AND(P233&gt;=Calendar!$K$2,P233&lt;EDATE(Calendar!$K$2,1),OR(Calendar!$K$4="*",N233=Calendar!$K$4)),P233*100+COUNTIFS($P$6:$P$3267,P233,$Q$6:$Q$3267,"&lt;="&amp;Q233,$N$6:$N$3267,Calendar!$K$4),"")</f>
        <v/>
      </c>
      <c r="W233" s="47">
        <f>IF(AND(B233=Queue!$C$4,OR(Queue!$K$4="*",N233=Queue!$K$4)),Q233,"")</f>
        <v/>
      </c>
    </row>
    <row r="234">
      <c r="A234" s="38">
        <f>IF(M234="","",HYPERLINK("https://www.youtube.com/watch?v="&amp;M234,"▶"))</f>
        <v/>
      </c>
      <c r="B234" s="39">
        <f>IF(C234&lt;&gt;"",C234,IF(P234&lt;=IFERROR(INDEX(tblChannels[Watched Through],MATCH(N234,tblChannels[Channel ID],0)),0),"Watched","Unwatched"))</f>
        <v/>
      </c>
      <c r="C234" s="40" t="n"/>
      <c r="D234" s="41" t="n"/>
      <c r="E234" s="42" t="n">
        <v>45952.70833333334</v>
      </c>
      <c r="F234" s="51" t="inlineStr">
        <is>
          <t>Through The Griffin Door</t>
        </is>
      </c>
      <c r="G234" t="inlineStr">
        <is>
          <t>Live in St. Paul - Chapter 9: The Woes of Mrs. Weasley | Order of the Phoenix</t>
        </is>
      </c>
      <c r="H234" s="44" t="n">
        <v>0.05753472222222222</v>
      </c>
      <c r="I234" s="45" t="n">
        <v>9222</v>
      </c>
      <c r="J234" s="45" t="n">
        <v>385</v>
      </c>
      <c r="K234" s="45" t="n">
        <v>67</v>
      </c>
      <c r="L234" s="46" t="n"/>
      <c r="M234" s="47" t="n"/>
      <c r="N234" s="47" t="inlineStr">
        <is>
          <t>UCEscP6ETYXWSSvsNrDHekMQ</t>
        </is>
      </c>
      <c r="O234" s="48" t="n">
        <v>45952.875</v>
      </c>
      <c r="P234" s="49" t="n">
        <v>45952</v>
      </c>
      <c r="Q234" s="47" t="n">
        <v>3034</v>
      </c>
      <c r="R234" s="47" t="inlineStr">
        <is>
          <t>No Video ID yet</t>
        </is>
      </c>
      <c r="S234" s="49" t="n"/>
      <c r="T234" s="49" t="n"/>
      <c r="U234" s="47" t="inlineStr">
        <is>
          <t>Join J and Ben as they dive BACK into Chapter 9 of Order of the Phoenix LIVE IN ST. PAUL!! and discuss Harry not really being a prefect, He Got Off, Ron actually being the prefect, HE GOT OFF, how depressing the original Order of the Phoenix picture is, and H E G O T O F F. And then the Dragons Arrived T-Shirt - Posters -</t>
        </is>
      </c>
      <c r="V234" s="47">
        <f>IF(AND(P234&gt;=Calendar!$K$2,P234&lt;EDATE(Calendar!$K$2,1),OR(Calendar!$K$4="*",N234=Calendar!$K$4)),P234*100+COUNTIFS($P$6:$P$3267,P234,$Q$6:$Q$3267,"&lt;="&amp;Q234,$N$6:$N$3267,Calendar!$K$4),"")</f>
        <v/>
      </c>
      <c r="W234" s="47">
        <f>IF(AND(B234=Queue!$C$4,OR(Queue!$K$4="*",N234=Queue!$K$4)),Q234,"")</f>
        <v/>
      </c>
    </row>
    <row r="235">
      <c r="A235" s="38">
        <f>IF(M235="","",HYPERLINK("https://www.youtube.com/watch?v="&amp;M235,"▶"))</f>
        <v/>
      </c>
      <c r="B235" s="39">
        <f>IF(C235&lt;&gt;"",C235,IF(P235&lt;=IFERROR(INDEX(tblChannels[Watched Through],MATCH(N235,tblChannels[Channel ID],0)),0),"Watched","Unwatched"))</f>
        <v/>
      </c>
      <c r="C235" s="40" t="n"/>
      <c r="D235" s="41" t="n"/>
      <c r="E235" s="42" t="n">
        <v>45952.70625</v>
      </c>
      <c r="F235" s="50" t="inlineStr">
        <is>
          <t>Super Carlin Brothers</t>
        </is>
      </c>
      <c r="G235" t="inlineStr">
        <is>
          <t>The FOURTH HUNTER Theory | KPop Demon Hunters</t>
        </is>
      </c>
      <c r="H235" s="44" t="n">
        <v>0.01166666666666667</v>
      </c>
      <c r="I235" s="45" t="n">
        <v>36633</v>
      </c>
      <c r="J235" s="45" t="n">
        <v>2511</v>
      </c>
      <c r="K235" s="45" t="n">
        <v>441</v>
      </c>
      <c r="L235" s="46" t="n"/>
      <c r="M235" s="47" t="n"/>
      <c r="N235" s="47" t="inlineStr">
        <is>
          <t>UCKZo4N0lVPccBkSiuyVh4yg</t>
        </is>
      </c>
      <c r="O235" s="48" t="n">
        <v>45952.87291666667</v>
      </c>
      <c r="P235" s="49" t="n">
        <v>45952</v>
      </c>
      <c r="Q235" s="47" t="n">
        <v>3033</v>
      </c>
      <c r="R235" s="47" t="inlineStr">
        <is>
          <t>No Video ID yet</t>
        </is>
      </c>
      <c r="S235" s="49" t="n"/>
      <c r="T235" s="49" t="n"/>
      <c r="U235" s="47" t="inlineStr">
        <is>
          <t>This episode is sponsored by BetterHelp – Go to to get 10% off your first month. Today J dives into the musical world of HUNTR/X and KPop Demon Hunters to break down the hidden mythology, real-world K-Pop inspirations, and ancient Korean lore that might reveal the identity of the missing Hunter. From Rumi’s White Tiger symbolism 🐅 to Zoe’s Dragon motifs 🐉 and Mara’s Tortoise armor 🐢 — there’s one Guardian left unaccounted for… the Vermilion Bird of the South. 🔥 Could this missing Phoenix represent a new girl yet to debut? Or maybe someone we already know.. BLACKPINK: DDU-DU DDU-DU: Thanks to the redditors: Sources: Minhwah :: The Korean Tiger :: Why the tiger is prominent in Korean Culture :: Four Symbols :: Korean Dragon :: BlackPink :: The Kim Sisters :: Insooni :: S.E.S. :: #KPOPDemonHunters #SuperCarlinBrothers</t>
        </is>
      </c>
      <c r="V235" s="47">
        <f>IF(AND(P235&gt;=Calendar!$K$2,P235&lt;EDATE(Calendar!$K$2,1),OR(Calendar!$K$4="*",N235=Calendar!$K$4)),P235*100+COUNTIFS($P$6:$P$3267,P235,$Q$6:$Q$3267,"&lt;="&amp;Q235,$N$6:$N$3267,Calendar!$K$4),"")</f>
        <v/>
      </c>
      <c r="W235" s="47">
        <f>IF(AND(B235=Queue!$C$4,OR(Queue!$K$4="*",N235=Queue!$K$4)),Q235,"")</f>
        <v/>
      </c>
    </row>
    <row r="236">
      <c r="A236" s="38">
        <f>IF(M236="","",HYPERLINK("https://www.youtube.com/watch?v="&amp;M236,"▶"))</f>
        <v/>
      </c>
      <c r="B236" s="39">
        <f>IF(C236&lt;&gt;"",C236,IF(P236&lt;=IFERROR(INDEX(tblChannels[Watched Through],MATCH(N236,tblChannels[Channel ID],0)),0),"Watched","Unwatched"))</f>
        <v/>
      </c>
      <c r="C236" s="40" t="n"/>
      <c r="D236" s="41" t="n"/>
      <c r="E236" s="42" t="n">
        <v>45951.58194444444</v>
      </c>
      <c r="F236" s="50" t="inlineStr">
        <is>
          <t>Super Carlin Brothers</t>
        </is>
      </c>
      <c r="G236" t="inlineStr">
        <is>
          <t>Fred &amp; George POISONED Cormac McClaggen! | Harry Potter</t>
        </is>
      </c>
      <c r="H236" s="44" t="n">
        <v>0.00130787037037037</v>
      </c>
      <c r="I236" s="45" t="n">
        <v>86182</v>
      </c>
      <c r="J236" s="45" t="n">
        <v>2983</v>
      </c>
      <c r="K236" s="45" t="n">
        <v>48</v>
      </c>
      <c r="L236" s="46" t="n"/>
      <c r="M236" s="47" t="n"/>
      <c r="N236" s="47" t="inlineStr">
        <is>
          <t>UCKZo4N0lVPccBkSiuyVh4yg</t>
        </is>
      </c>
      <c r="O236" s="48" t="n">
        <v>45951.74861111111</v>
      </c>
      <c r="P236" s="49" t="n">
        <v>45951</v>
      </c>
      <c r="Q236" s="47" t="n">
        <v>3032</v>
      </c>
      <c r="R236" s="47" t="inlineStr">
        <is>
          <t>No Video ID yet</t>
        </is>
      </c>
      <c r="S236" s="49" t="n"/>
      <c r="T236" s="49" t="n"/>
      <c r="U236" s="47" t="inlineStr">
        <is>
          <t>Ron’s Quidditch career might not be as lucky as it seems — and it’s not because of Felix Felicis! Turns out, Fred and George may have accidentally cleared the competition long before Ron’s tryout even began.</t>
        </is>
      </c>
      <c r="V236" s="47">
        <f>IF(AND(P236&gt;=Calendar!$K$2,P236&lt;EDATE(Calendar!$K$2,1),OR(Calendar!$K$4="*",N236=Calendar!$K$4)),P236*100+COUNTIFS($P$6:$P$3267,P236,$Q$6:$Q$3267,"&lt;="&amp;Q236,$N$6:$N$3267,Calendar!$K$4),"")</f>
        <v/>
      </c>
      <c r="W236" s="47">
        <f>IF(AND(B236=Queue!$C$4,OR(Queue!$K$4="*",N236=Queue!$K$4)),Q236,"")</f>
        <v/>
      </c>
    </row>
    <row r="237">
      <c r="A237" s="38">
        <f>IF(M237="","",HYPERLINK("https://www.youtube.com/watch?v="&amp;M237,"▶"))</f>
        <v/>
      </c>
      <c r="B237" s="39">
        <f>IF(C237&lt;&gt;"",C237,IF(P237&lt;=IFERROR(INDEX(tblChannels[Watched Through],MATCH(N237,tblChannels[Channel ID],0)),0),"Watched","Unwatched"))</f>
        <v/>
      </c>
      <c r="C237" s="40" t="n"/>
      <c r="D237" s="41" t="n"/>
      <c r="E237" s="42" t="n">
        <v>45949.41666666666</v>
      </c>
      <c r="F237" s="51" t="inlineStr">
        <is>
          <t>Through The Griffin Door</t>
        </is>
      </c>
      <c r="G237" t="inlineStr">
        <is>
          <t>Chapter 9: The Woes of Mrs. Weasley | Order of the Phoenix</t>
        </is>
      </c>
      <c r="H237" s="44" t="n">
        <v>0.07969907407407407</v>
      </c>
      <c r="I237" s="45" t="n">
        <v>52446</v>
      </c>
      <c r="J237" s="45" t="n">
        <v>1343</v>
      </c>
      <c r="K237" s="45" t="n">
        <v>523</v>
      </c>
      <c r="L237" s="46" t="n"/>
      <c r="M237" s="47" t="n"/>
      <c r="N237" s="47" t="inlineStr">
        <is>
          <t>UCEscP6ETYXWSSvsNrDHekMQ</t>
        </is>
      </c>
      <c r="O237" s="48" t="n">
        <v>45949.58333333334</v>
      </c>
      <c r="P237" s="49" t="n">
        <v>45949</v>
      </c>
      <c r="Q237" s="47" t="n">
        <v>3031</v>
      </c>
      <c r="R237" s="47" t="inlineStr">
        <is>
          <t>No Video ID yet</t>
        </is>
      </c>
      <c r="S237" s="49" t="n"/>
      <c r="T237" s="49" t="n"/>
      <c r="U237" s="47" t="inlineStr">
        <is>
          <t>Join J and Ben as they dive into Chapter 9 of the Order of the Phoenix and discuss, the end of the hearing, chanting, Ron getting prefect, the OG Order picture, and the Boggart And then the Dragons Arrived T-Shirt - Posters - Was Percy Under The Imperius Curse? - 06:35 - Chapter Breakdown</t>
        </is>
      </c>
      <c r="V237" s="47">
        <f>IF(AND(P237&gt;=Calendar!$K$2,P237&lt;EDATE(Calendar!$K$2,1),OR(Calendar!$K$4="*",N237=Calendar!$K$4)),P237*100+COUNTIFS($P$6:$P$3267,P237,$Q$6:$Q$3267,"&lt;="&amp;Q237,$N$6:$N$3267,Calendar!$K$4),"")</f>
        <v/>
      </c>
      <c r="W237" s="47">
        <f>IF(AND(B237=Queue!$C$4,OR(Queue!$K$4="*",N237=Queue!$K$4)),Q237,"")</f>
        <v/>
      </c>
    </row>
    <row r="238">
      <c r="A238" s="38">
        <f>IF(M238="","",HYPERLINK("https://www.youtube.com/watch?v="&amp;M238,"▶"))</f>
        <v/>
      </c>
      <c r="B238" s="39">
        <f>IF(C238&lt;&gt;"",C238,IF(P238&lt;=IFERROR(INDEX(tblChannels[Watched Through],MATCH(N238,tblChannels[Channel ID],0)),0),"Watched","Unwatched"))</f>
        <v/>
      </c>
      <c r="C238" s="40" t="n"/>
      <c r="D238" s="41" t="n"/>
      <c r="E238" s="42" t="n">
        <v>45947.66875</v>
      </c>
      <c r="F238" s="50" t="inlineStr">
        <is>
          <t>Super Carlin Brothers</t>
        </is>
      </c>
      <c r="G238" t="inlineStr">
        <is>
          <t>Plots That Never Panned Out In Harry Potter</t>
        </is>
      </c>
      <c r="H238" s="44" t="n">
        <v>0.009652777777777777</v>
      </c>
      <c r="I238" s="45" t="n">
        <v>88633</v>
      </c>
      <c r="J238" s="45" t="n">
        <v>3584</v>
      </c>
      <c r="K238" s="45" t="n">
        <v>322</v>
      </c>
      <c r="L238" s="46" t="n"/>
      <c r="M238" s="47" t="n"/>
      <c r="N238" s="47" t="inlineStr">
        <is>
          <t>UCKZo4N0lVPccBkSiuyVh4yg</t>
        </is>
      </c>
      <c r="O238" s="48" t="n">
        <v>45947.83541666667</v>
      </c>
      <c r="P238" s="49" t="n">
        <v>45947</v>
      </c>
      <c r="Q238" s="47" t="n">
        <v>3030</v>
      </c>
      <c r="R238" s="47" t="inlineStr">
        <is>
          <t>No Video ID yet</t>
        </is>
      </c>
      <c r="S238" s="49" t="n"/>
      <c r="T238" s="49" t="n"/>
      <c r="U238" s="47" t="inlineStr">
        <is>
          <t>This Episode is sponsored by Aura Frames - Exclusive $20-off Carver Mat at Use code AURA20 at checkout to save! What happened to Florean Fortescue?! You know — the ice cream guy in Diagon Alley who gave Harry free sundaes every half hour? Turns out, he wasn’t just a friendly dessert dealer. In today’s video, we’re diving deep into one of Harry Potters’s strangest ghost plots — the character who was originally meant to help Harry find the Deathly Hallows… before being cut entirely from the story. From his connection to Hogwarts Headmaster Dexter Fortescue, to his mysterious kidnapping and tragic fate, Florean’s story is way darker (and colder 🍦) than anyone realized.</t>
        </is>
      </c>
      <c r="V238" s="47">
        <f>IF(AND(P238&gt;=Calendar!$K$2,P238&lt;EDATE(Calendar!$K$2,1),OR(Calendar!$K$4="*",N238=Calendar!$K$4)),P238*100+COUNTIFS($P$6:$P$3267,P238,$Q$6:$Q$3267,"&lt;="&amp;Q238,$N$6:$N$3267,Calendar!$K$4),"")</f>
        <v/>
      </c>
      <c r="W238" s="47">
        <f>IF(AND(B238=Queue!$C$4,OR(Queue!$K$4="*",N238=Queue!$K$4)),Q238,"")</f>
        <v/>
      </c>
    </row>
    <row r="239">
      <c r="A239" s="38">
        <f>IF(M239="","",HYPERLINK("https://www.youtube.com/watch?v="&amp;M239,"▶"))</f>
        <v/>
      </c>
      <c r="B239" s="39">
        <f>IF(C239&lt;&gt;"",C239,IF(P239&lt;=IFERROR(INDEX(tblChannels[Watched Through],MATCH(N239,tblChannels[Channel ID],0)),0),"Watched","Unwatched"))</f>
        <v/>
      </c>
      <c r="C239" s="40" t="n"/>
      <c r="D239" s="41" t="n"/>
      <c r="E239" s="42" t="n">
        <v>45947.41666666666</v>
      </c>
      <c r="F239" s="43" t="inlineStr">
        <is>
          <t>Popcorn Culture</t>
        </is>
      </c>
      <c r="G239" t="inlineStr">
        <is>
          <t>The Lore of the Blades | Popcorn Culture</t>
        </is>
      </c>
      <c r="H239" s="44" t="n">
        <v>0.04983796296296297</v>
      </c>
      <c r="I239" s="45" t="n">
        <v>2745</v>
      </c>
      <c r="J239" s="45" t="n">
        <v>112</v>
      </c>
      <c r="K239" s="45" t="n">
        <v>15</v>
      </c>
      <c r="L239" s="46" t="n"/>
      <c r="M239" s="47" t="n"/>
      <c r="N239" s="47" t="inlineStr">
        <is>
          <t>UCHfIbq9thHPC8yrKjAdJgDA</t>
        </is>
      </c>
      <c r="O239" s="48" t="n">
        <v>45947.58333333334</v>
      </c>
      <c r="P239" s="49" t="n">
        <v>45947</v>
      </c>
      <c r="Q239" s="47" t="n">
        <v>3029</v>
      </c>
      <c r="R239" s="47" t="inlineStr">
        <is>
          <t>No Video ID yet</t>
        </is>
      </c>
      <c r="S239" s="49" t="n"/>
      <c r="T239" s="49" t="n"/>
      <c r="U239" s="47" t="inlineStr">
        <is>
          <t>In the 306th episode of the Pop, Ben and J discuss J’s most recent Beyblade tournament, prodigies and “Actually Romantic.” Dodgeball - Bring It On - Ratatouille - EJ Lagasse - The Life of a Showgirl - Are Prodigies Still Possible? 00:00 - Intro, Beyblades 35:06 - Prodigies 59:46 - The Life of a Showgirl</t>
        </is>
      </c>
      <c r="V239" s="47">
        <f>IF(AND(P239&gt;=Calendar!$K$2,P239&lt;EDATE(Calendar!$K$2,1),OR(Calendar!$K$4="*",N239=Calendar!$K$4)),P239*100+COUNTIFS($P$6:$P$3267,P239,$Q$6:$Q$3267,"&lt;="&amp;Q239,$N$6:$N$3267,Calendar!$K$4),"")</f>
        <v/>
      </c>
      <c r="W239" s="47">
        <f>IF(AND(B239=Queue!$C$4,OR(Queue!$K$4="*",N239=Queue!$K$4)),Q239,"")</f>
        <v/>
      </c>
    </row>
    <row r="240">
      <c r="A240" s="38">
        <f>IF(M240="","",HYPERLINK("https://www.youtube.com/watch?v="&amp;M240,"▶"))</f>
        <v/>
      </c>
      <c r="B240" s="39">
        <f>IF(C240&lt;&gt;"",C240,IF(P240&lt;=IFERROR(INDEX(tblChannels[Watched Through],MATCH(N240,tblChannels[Channel ID],0)),0),"Watched","Unwatched"))</f>
        <v/>
      </c>
      <c r="C240" s="40" t="n"/>
      <c r="D240" s="41" t="n"/>
      <c r="E240" s="42" t="n">
        <v>45946.70833333334</v>
      </c>
      <c r="F240" s="51" t="inlineStr">
        <is>
          <t>Through The Griffin Door</t>
        </is>
      </c>
      <c r="G240" t="inlineStr">
        <is>
          <t>Live In Des Moines - Chapter 8: The Hearing | Order of the Phoenix</t>
        </is>
      </c>
      <c r="H240" s="44" t="n">
        <v>0.04975694444444444</v>
      </c>
      <c r="I240" s="45" t="n">
        <v>7652</v>
      </c>
      <c r="J240" s="45" t="n">
        <v>319</v>
      </c>
      <c r="K240" s="45" t="n">
        <v>83</v>
      </c>
      <c r="L240" s="46" t="n"/>
      <c r="M240" s="47" t="n"/>
      <c r="N240" s="47" t="inlineStr">
        <is>
          <t>UCEscP6ETYXWSSvsNrDHekMQ</t>
        </is>
      </c>
      <c r="O240" s="48" t="n">
        <v>45946.875</v>
      </c>
      <c r="P240" s="49" t="n">
        <v>45946</v>
      </c>
      <c r="Q240" s="47" t="n">
        <v>3028</v>
      </c>
      <c r="R240" s="47" t="inlineStr">
        <is>
          <t>No Video ID yet</t>
        </is>
      </c>
      <c r="S240" s="49" t="n"/>
      <c r="T240" s="49" t="n"/>
      <c r="U240" s="47" t="inlineStr">
        <is>
          <t>Well folks. Sometimes touring demands a sacrifice. And this time the sacrifice was the video file from Des, Moines. Sorry Iowa you were truly incredible! Join J and Ben as they dive BACK into Chapter 8 of Order of the Phoenix LIVE IN DES MOINES!! and discuss the scary dark underbelly of the ministry, whether or not werewolves would fetch, and who exactly BRIAN could be? And then the Dragons Arrived T-Shirt - Posters -</t>
        </is>
      </c>
      <c r="V240" s="47">
        <f>IF(AND(P240&gt;=Calendar!$K$2,P240&lt;EDATE(Calendar!$K$2,1),OR(Calendar!$K$4="*",N240=Calendar!$K$4)),P240*100+COUNTIFS($P$6:$P$3267,P240,$Q$6:$Q$3267,"&lt;="&amp;Q240,$N$6:$N$3267,Calendar!$K$4),"")</f>
        <v/>
      </c>
      <c r="W240" s="47">
        <f>IF(AND(B240=Queue!$C$4,OR(Queue!$K$4="*",N240=Queue!$K$4)),Q240,"")</f>
        <v/>
      </c>
    </row>
    <row r="241">
      <c r="A241" s="38">
        <f>IF(M241="","",HYPERLINK("https://www.youtube.com/watch?v="&amp;M241,"▶"))</f>
        <v/>
      </c>
      <c r="B241" s="39">
        <f>IF(C241&lt;&gt;"",C241,IF(P241&lt;=IFERROR(INDEX(tblChannels[Watched Through],MATCH(N241,tblChannels[Channel ID],0)),0),"Watched","Unwatched"))</f>
        <v/>
      </c>
      <c r="C241" s="40" t="n"/>
      <c r="D241" s="41" t="n"/>
      <c r="E241" s="42" t="n">
        <v>45945.71458333333</v>
      </c>
      <c r="F241" s="50" t="inlineStr">
        <is>
          <t>Super Carlin Brothers</t>
        </is>
      </c>
      <c r="G241" t="inlineStr">
        <is>
          <t>Voldemort’s Top 7 WORST Plans Ever | Harry Potter Theory</t>
        </is>
      </c>
      <c r="H241" s="44" t="n">
        <v>0.01395833333333333</v>
      </c>
      <c r="I241" s="45" t="n">
        <v>161500</v>
      </c>
      <c r="J241" s="45" t="n">
        <v>5116</v>
      </c>
      <c r="K241" s="45" t="n">
        <v>657</v>
      </c>
      <c r="L241" s="46" t="n"/>
      <c r="M241" s="47" t="n"/>
      <c r="N241" s="47" t="inlineStr">
        <is>
          <t>UCKZo4N0lVPccBkSiuyVh4yg</t>
        </is>
      </c>
      <c r="O241" s="48" t="n">
        <v>45945.88125</v>
      </c>
      <c r="P241" s="49" t="n">
        <v>45945</v>
      </c>
      <c r="Q241" s="47" t="n">
        <v>3027</v>
      </c>
      <c r="R241" s="47" t="inlineStr">
        <is>
          <t>No Video ID yet</t>
        </is>
      </c>
      <c r="S241" s="49" t="n"/>
      <c r="T241" s="49" t="n"/>
      <c r="U241" s="47" t="inlineStr">
        <is>
          <t>This episode is sponsored by Better Help – This episode is sponsored by BetterHelp. Go to to get 10% off your first month. This episode is sponsored by Shopify – Go to to sign up for your $1-per-month trial period. Today we’re breaking down Lord Voldemort’s absolute worst plans — from “let’s murder a baby” to splitting his soul into seven parts because, honestly? The biggest obstacle to Voldemort’s success… was Voldemort. From Prophecy blunders to Triwizard tragedies, we’re ranking all the times He-Who-Must-Not-Be-Named fumbled harder than a Hufflepuff at Quidditch practice.</t>
        </is>
      </c>
      <c r="V241" s="47">
        <f>IF(AND(P241&gt;=Calendar!$K$2,P241&lt;EDATE(Calendar!$K$2,1),OR(Calendar!$K$4="*",N241=Calendar!$K$4)),P241*100+COUNTIFS($P$6:$P$3267,P241,$Q$6:$Q$3267,"&lt;="&amp;Q241,$N$6:$N$3267,Calendar!$K$4),"")</f>
        <v/>
      </c>
      <c r="W241" s="47">
        <f>IF(AND(B241=Queue!$C$4,OR(Queue!$K$4="*",N241=Queue!$K$4)),Q241,"")</f>
        <v/>
      </c>
    </row>
    <row r="242">
      <c r="A242" s="38">
        <f>IF(M242="","",HYPERLINK("https://www.youtube.com/watch?v="&amp;M242,"▶"))</f>
        <v/>
      </c>
      <c r="B242" s="39">
        <f>IF(C242&lt;&gt;"",C242,IF(P242&lt;=IFERROR(INDEX(tblChannels[Watched Through],MATCH(N242,tblChannels[Channel ID],0)),0),"Watched","Unwatched"))</f>
        <v/>
      </c>
      <c r="C242" s="40" t="n"/>
      <c r="D242" s="41" t="n"/>
      <c r="E242" s="42" t="n">
        <v>45945.52569444444</v>
      </c>
      <c r="F242" s="50" t="inlineStr">
        <is>
          <t>Super Carlin Brothers</t>
        </is>
      </c>
      <c r="G242" t="inlineStr">
        <is>
          <t>We Found Newt Scamander’s SECRET Daughter?! 😱 #harrypotter</t>
        </is>
      </c>
      <c r="H242" s="44" t="n">
        <v>0.001736111111111111</v>
      </c>
      <c r="I242" s="45" t="n">
        <v>84988</v>
      </c>
      <c r="J242" s="45" t="n">
        <v>4017</v>
      </c>
      <c r="K242" s="45" t="n">
        <v>91</v>
      </c>
      <c r="L242" s="46" t="n"/>
      <c r="M242" s="47" t="n"/>
      <c r="N242" s="47" t="inlineStr">
        <is>
          <t>UCKZo4N0lVPccBkSiuyVh4yg</t>
        </is>
      </c>
      <c r="O242" s="48" t="n">
        <v>45945.69236111111</v>
      </c>
      <c r="P242" s="49" t="n">
        <v>45945</v>
      </c>
      <c r="Q242" s="47" t="n">
        <v>3026</v>
      </c>
      <c r="R242" s="47" t="inlineStr">
        <is>
          <t>No Video ID yet</t>
        </is>
      </c>
      <c r="S242" s="49" t="n"/>
      <c r="T242" s="49" t="n"/>
      <c r="U242" s="47" t="inlineStr">
        <is>
          <t>Did Newt Scamander have a SECRET daughter hiding in plain sight this whole time?! 👀 Today we connect the dots between Fantastic Beasts, Mrs. Figg, and Crookshanks to reveal a wild theory that might just tie Newt directly into Harry Potter’s story. Could Arabella Figg actually be Arabella Scamander? Let’s find out! ⚡ #HarryPotter #FantasticBeasts #SuperCarlinBrothers #NewtScamander #WizardingWorld #HarryPotterTheory #Shorts</t>
        </is>
      </c>
      <c r="V242" s="47">
        <f>IF(AND(P242&gt;=Calendar!$K$2,P242&lt;EDATE(Calendar!$K$2,1),OR(Calendar!$K$4="*",N242=Calendar!$K$4)),P242*100+COUNTIFS($P$6:$P$3267,P242,$Q$6:$Q$3267,"&lt;="&amp;Q242,$N$6:$N$3267,Calendar!$K$4),"")</f>
        <v/>
      </c>
      <c r="W242" s="47">
        <f>IF(AND(B242=Queue!$C$4,OR(Queue!$K$4="*",N242=Queue!$K$4)),Q242,"")</f>
        <v/>
      </c>
    </row>
    <row r="243">
      <c r="A243" s="38">
        <f>IF(M243="","",HYPERLINK("https://www.youtube.com/watch?v="&amp;M243,"▶"))</f>
        <v/>
      </c>
      <c r="B243" s="39">
        <f>IF(C243&lt;&gt;"",C243,IF(P243&lt;=IFERROR(INDEX(tblChannels[Watched Through],MATCH(N243,tblChannels[Channel ID],0)),0),"Watched","Unwatched"))</f>
        <v/>
      </c>
      <c r="C243" s="40" t="n"/>
      <c r="D243" s="41" t="n"/>
      <c r="E243" s="42" t="n">
        <v>45942.41736111111</v>
      </c>
      <c r="F243" s="51" t="inlineStr">
        <is>
          <t>Through The Griffin Door</t>
        </is>
      </c>
      <c r="G243" t="inlineStr">
        <is>
          <t>Chapter 8: The Hearing | Order of the Phoenix</t>
        </is>
      </c>
      <c r="H243" s="44" t="n">
        <v>0.07292824074074074</v>
      </c>
      <c r="I243" s="45" t="n">
        <v>49163</v>
      </c>
      <c r="J243" s="45" t="n">
        <v>1287</v>
      </c>
      <c r="K243" s="45" t="n">
        <v>471</v>
      </c>
      <c r="L243" s="46" t="n"/>
      <c r="M243" s="47" t="n"/>
      <c r="N243" s="47" t="inlineStr">
        <is>
          <t>UCEscP6ETYXWSSvsNrDHekMQ</t>
        </is>
      </c>
      <c r="O243" s="48" t="n">
        <v>45942.58402777778</v>
      </c>
      <c r="P243" s="49" t="n">
        <v>45942</v>
      </c>
      <c r="Q243" s="47" t="n">
        <v>3025</v>
      </c>
      <c r="R243" s="47" t="inlineStr">
        <is>
          <t>No Video ID yet</t>
        </is>
      </c>
      <c r="S243" s="49" t="n"/>
      <c r="T243" s="49" t="n"/>
      <c r="U243" s="47" t="inlineStr">
        <is>
          <t>This episode is sponsored by MasterClass – Our listeners get an additional 15% off any annual membership at Join J and Ben as they dive into Chapter 8 of the Order of the Phoenix and discuss Fudge’s intimidation tactics, Percy’s involvement, middle names, rapidfire questioning Harry, Mrs. Figg’s parentage, And then the Dragons Arrived T-Shirt - Posters - Lost - Was Percy Under The Imperius Curse? - Dumbledore’s Names - Monty Python - Aberforth's Goats EXPLAINED - 06:09 - Chapter Breakdown 52:42 - Ad Break (MasterClass) 54:13 - More Chapter Breakdown 1:35:31- Closing Thoughts and Review</t>
        </is>
      </c>
      <c r="V243" s="47">
        <f>IF(AND(P243&gt;=Calendar!$K$2,P243&lt;EDATE(Calendar!$K$2,1),OR(Calendar!$K$4="*",N243=Calendar!$K$4)),P243*100+COUNTIFS($P$6:$P$3267,P243,$Q$6:$Q$3267,"&lt;="&amp;Q243,$N$6:$N$3267,Calendar!$K$4),"")</f>
        <v/>
      </c>
      <c r="W243" s="47">
        <f>IF(AND(B243=Queue!$C$4,OR(Queue!$K$4="*",N243=Queue!$K$4)),Q243,"")</f>
        <v/>
      </c>
    </row>
    <row r="244">
      <c r="A244" s="38">
        <f>IF(M244="","",HYPERLINK("https://www.youtube.com/watch?v="&amp;M244,"▶"))</f>
        <v/>
      </c>
      <c r="B244" s="39">
        <f>IF(C244&lt;&gt;"",C244,IF(P244&lt;=IFERROR(INDEX(tblChannels[Watched Through],MATCH(N244,tblChannels[Channel ID],0)),0),"Watched","Unwatched"))</f>
        <v/>
      </c>
      <c r="C244" s="40" t="n"/>
      <c r="D244" s="41" t="n"/>
      <c r="E244" s="42" t="n">
        <v>45941.20902777778</v>
      </c>
      <c r="F244" s="52" t="inlineStr">
        <is>
          <t>Super Carlin Gaming</t>
        </is>
      </c>
      <c r="G244" t="inlineStr">
        <is>
          <t>PRISMATIC EVOLUTIONS - Box Breakers SEASON 16 - Bonus Acoustic Set -  Episode 2 - 10/10/2025</t>
        </is>
      </c>
      <c r="H244" s="44" t="n">
        <v>0.1150462962962963</v>
      </c>
      <c r="I244" s="45" t="n">
        <v>857</v>
      </c>
      <c r="J244" s="45" t="n">
        <v>34</v>
      </c>
      <c r="K244" s="45" t="n">
        <v>7</v>
      </c>
      <c r="L244" s="46" t="n"/>
      <c r="M244" s="47" t="n"/>
      <c r="N244" s="47" t="inlineStr">
        <is>
          <t>UCor_9jRnNNZVzTuQ92PKsaQ</t>
        </is>
      </c>
      <c r="O244" s="48" t="n">
        <v>45941.37569444445</v>
      </c>
      <c r="P244" s="49" t="n">
        <v>45941</v>
      </c>
      <c r="Q244" s="47" t="n">
        <v>3024</v>
      </c>
      <c r="R244" s="47" t="inlineStr">
        <is>
          <t>No Video ID yet</t>
        </is>
      </c>
      <c r="S244" s="49" t="n"/>
      <c r="T244" s="49" t="n"/>
      <c r="U244" s="47" t="inlineStr">
        <is>
          <t>(no acoustic set included that was a joke) Also this is Ben. Let me know if you see this. I feel like I'm writing a 21st century message in a bottle. Just wondering who finds it. Apparently you. A job well done to say the least. Anyway - I know you need to hear this today. You're killing it. And 'it' is your goals and accomplishments. anyway, happy holidays. in october.</t>
        </is>
      </c>
      <c r="V244" s="47">
        <f>IF(AND(P244&gt;=Calendar!$K$2,P244&lt;EDATE(Calendar!$K$2,1),OR(Calendar!$K$4="*",N244=Calendar!$K$4)),P244*100+COUNTIFS($P$6:$P$3267,P244,$Q$6:$Q$3267,"&lt;="&amp;Q244,$N$6:$N$3267,Calendar!$K$4),"")</f>
        <v/>
      </c>
      <c r="W244" s="47">
        <f>IF(AND(B244=Queue!$C$4,OR(Queue!$K$4="*",N244=Queue!$K$4)),Q244,"")</f>
        <v/>
      </c>
    </row>
    <row r="245">
      <c r="A245" s="38">
        <f>IF(M245="","",HYPERLINK("https://www.youtube.com/watch?v="&amp;M245,"▶"))</f>
        <v/>
      </c>
      <c r="B245" s="39">
        <f>IF(C245&lt;&gt;"",C245,IF(P245&lt;=IFERROR(INDEX(tblChannels[Watched Through],MATCH(N245,tblChannels[Channel ID],0)),0),"Watched","Unwatched"))</f>
        <v/>
      </c>
      <c r="C245" s="40" t="n"/>
      <c r="D245" s="41" t="n"/>
      <c r="E245" s="42" t="n">
        <v>45940.71736111111</v>
      </c>
      <c r="F245" s="50" t="inlineStr">
        <is>
          <t>Super Carlin Brothers</t>
        </is>
      </c>
      <c r="G245" t="inlineStr">
        <is>
          <t>Newt Scamander Has A SECRET Daughter | Harry Potter Theory</t>
        </is>
      </c>
      <c r="H245" s="44" t="n">
        <v>0.01115740740740741</v>
      </c>
      <c r="I245" s="45" t="n">
        <v>71283</v>
      </c>
      <c r="J245" s="45" t="n">
        <v>3484</v>
      </c>
      <c r="K245" s="45" t="n">
        <v>279</v>
      </c>
      <c r="L245" s="46" t="n"/>
      <c r="M245" s="47" t="n"/>
      <c r="N245" s="47" t="inlineStr">
        <is>
          <t>UCKZo4N0lVPccBkSiuyVh4yg</t>
        </is>
      </c>
      <c r="O245" s="48" t="n">
        <v>45940.88402777778</v>
      </c>
      <c r="P245" s="49" t="n">
        <v>45940</v>
      </c>
      <c r="Q245" s="47" t="n">
        <v>3023</v>
      </c>
      <c r="R245" s="47" t="inlineStr">
        <is>
          <t>No Video ID yet</t>
        </is>
      </c>
      <c r="S245" s="49" t="n"/>
      <c r="T245" s="49" t="n"/>
      <c r="U245" s="47" t="inlineStr">
        <is>
          <t>This episode is sponsored by BetterHelp - go to to get 10% off your first month. What if one of Newt Scamander’s own children has been hiding in plain sight this whole time?! In today’s theory, we dive deep into the Fantastic Beasts lore, trace the Scamander family tree, and uncover how a familiar face from Privet Drive might secretly be Newt’s long-lost daughter. 👀 From Kneazles to Crookshanks, from Dumbledore’s “old crowd” to Luna Lovegood’s marriage, the dots line up surprisingly well. #harrypotter #SuperCarlinBrother</t>
        </is>
      </c>
      <c r="V245" s="47">
        <f>IF(AND(P245&gt;=Calendar!$K$2,P245&lt;EDATE(Calendar!$K$2,1),OR(Calendar!$K$4="*",N245=Calendar!$K$4)),P245*100+COUNTIFS($P$6:$P$3267,P245,$Q$6:$Q$3267,"&lt;="&amp;Q245,$N$6:$N$3267,Calendar!$K$4),"")</f>
        <v/>
      </c>
      <c r="W245" s="47">
        <f>IF(AND(B245=Queue!$C$4,OR(Queue!$K$4="*",N245=Queue!$K$4)),Q245,"")</f>
        <v/>
      </c>
    </row>
    <row r="246">
      <c r="A246" s="38">
        <f>IF(M246="","",HYPERLINK("https://www.youtube.com/watch?v="&amp;M246,"▶"))</f>
        <v/>
      </c>
      <c r="B246" s="39">
        <f>IF(C246&lt;&gt;"",C246,IF(P246&lt;=IFERROR(INDEX(tblChannels[Watched Through],MATCH(N246,tblChannels[Channel ID],0)),0),"Watched","Unwatched"))</f>
        <v/>
      </c>
      <c r="C246" s="40" t="n"/>
      <c r="D246" s="41" t="n"/>
      <c r="E246" s="42" t="n">
        <v>45940.41666666666</v>
      </c>
      <c r="F246" s="43" t="inlineStr">
        <is>
          <t>Popcorn Culture</t>
        </is>
      </c>
      <c r="G246" t="inlineStr">
        <is>
          <t>WE BOUGHT A DOCK!! | Popcorn Culture</t>
        </is>
      </c>
      <c r="H246" s="44" t="n">
        <v>0.04921296296296297</v>
      </c>
      <c r="I246" s="45" t="n">
        <v>2784</v>
      </c>
      <c r="J246" s="45" t="n">
        <v>137</v>
      </c>
      <c r="K246" s="45" t="n">
        <v>20</v>
      </c>
      <c r="L246" s="46" t="n"/>
      <c r="M246" s="47" t="n"/>
      <c r="N246" s="47" t="inlineStr">
        <is>
          <t>UCHfIbq9thHPC8yrKjAdJgDA</t>
        </is>
      </c>
      <c r="O246" s="48" t="n">
        <v>45940.58333333334</v>
      </c>
      <c r="P246" s="49" t="n">
        <v>45940</v>
      </c>
      <c r="Q246" s="47" t="n">
        <v>3022</v>
      </c>
      <c r="R246" s="47" t="inlineStr">
        <is>
          <t>No Video ID yet</t>
        </is>
      </c>
      <c r="S246" s="49" t="n"/>
      <c r="T246" s="49" t="n"/>
      <c r="U246" s="47" t="inlineStr">
        <is>
          <t>In the 305th Ben and J discuss their dock, driveways and garages, old small businesses, Post-DCC Blues, and grey hair. Dungeon Crawler Carl - Post-DCC Blues 00:00 - Intro, The Lake Property 46:59 - Post-DCC Blues</t>
        </is>
      </c>
      <c r="V246" s="47">
        <f>IF(AND(P246&gt;=Calendar!$K$2,P246&lt;EDATE(Calendar!$K$2,1),OR(Calendar!$K$4="*",N246=Calendar!$K$4)),P246*100+COUNTIFS($P$6:$P$3267,P246,$Q$6:$Q$3267,"&lt;="&amp;Q246,$N$6:$N$3267,Calendar!$K$4),"")</f>
        <v/>
      </c>
      <c r="W246" s="47">
        <f>IF(AND(B246=Queue!$C$4,OR(Queue!$K$4="*",N246=Queue!$K$4)),Q246,"")</f>
        <v/>
      </c>
    </row>
    <row r="247">
      <c r="A247" s="38">
        <f>IF(M247="","",HYPERLINK("https://www.youtube.com/watch?v="&amp;M247,"▶"))</f>
        <v/>
      </c>
      <c r="B247" s="39">
        <f>IF(C247&lt;&gt;"",C247,IF(P247&lt;=IFERROR(INDEX(tblChannels[Watched Through],MATCH(N247,tblChannels[Channel ID],0)),0),"Watched","Unwatched"))</f>
        <v/>
      </c>
      <c r="C247" s="40" t="n"/>
      <c r="D247" s="41" t="n"/>
      <c r="E247" s="42" t="n">
        <v>45939.70833333334</v>
      </c>
      <c r="F247" s="51" t="inlineStr">
        <is>
          <t>Through The Griffin Door</t>
        </is>
      </c>
      <c r="G247" t="inlineStr">
        <is>
          <t>Live In St. Louis - Chapter 7: The Ministry of Magic | Order of the Phoenix</t>
        </is>
      </c>
      <c r="H247" s="44" t="n">
        <v>0.04685185185185185</v>
      </c>
      <c r="I247" s="45" t="n">
        <v>9237</v>
      </c>
      <c r="J247" s="45" t="n">
        <v>364</v>
      </c>
      <c r="K247" s="45" t="n">
        <v>55</v>
      </c>
      <c r="L247" s="46" t="n"/>
      <c r="M247" s="47" t="n"/>
      <c r="N247" s="47" t="inlineStr">
        <is>
          <t>UCEscP6ETYXWSSvsNrDHekMQ</t>
        </is>
      </c>
      <c r="O247" s="48" t="n">
        <v>45939.875</v>
      </c>
      <c r="P247" s="49" t="n">
        <v>45939</v>
      </c>
      <c r="Q247" s="47" t="n">
        <v>3021</v>
      </c>
      <c r="R247" s="47" t="inlineStr">
        <is>
          <t>No Video ID yet</t>
        </is>
      </c>
      <c r="S247" s="49" t="n"/>
      <c r="T247" s="49" t="n"/>
      <c r="U247" s="47" t="inlineStr">
        <is>
          <t>Join J and Ben as they dive BACK into Chapter 7 of Order of the Phoenix LIVE IN ST. LOUIS!! and discuss Harry's Best T-Shirt, A Fountain That Isn't Very Good, Why Harry Insists On Eating Toast That Tastes Like Carpet, and The True Reason For Tonx's Clumsiness! And then the Dragons Arrived T-Shirt - Posters -</t>
        </is>
      </c>
      <c r="V247" s="47">
        <f>IF(AND(P247&gt;=Calendar!$K$2,P247&lt;EDATE(Calendar!$K$2,1),OR(Calendar!$K$4="*",N247=Calendar!$K$4)),P247*100+COUNTIFS($P$6:$P$3267,P247,$Q$6:$Q$3267,"&lt;="&amp;Q247,$N$6:$N$3267,Calendar!$K$4),"")</f>
        <v/>
      </c>
      <c r="W247" s="47">
        <f>IF(AND(B247=Queue!$C$4,OR(Queue!$K$4="*",N247=Queue!$K$4)),Q247,"")</f>
        <v/>
      </c>
    </row>
    <row r="248">
      <c r="A248" s="38">
        <f>IF(M248="","",HYPERLINK("https://www.youtube.com/watch?v="&amp;M248,"▶"))</f>
        <v/>
      </c>
      <c r="B248" s="39">
        <f>IF(C248&lt;&gt;"",C248,IF(P248&lt;=IFERROR(INDEX(tblChannels[Watched Through],MATCH(N248,tblChannels[Channel ID],0)),0),"Watched","Unwatched"))</f>
        <v/>
      </c>
      <c r="C248" s="40" t="n"/>
      <c r="D248" s="41" t="n"/>
      <c r="E248" s="42" t="n">
        <v>45938.76041666666</v>
      </c>
      <c r="F248" s="50" t="inlineStr">
        <is>
          <t>Super Carlin Brothers</t>
        </is>
      </c>
      <c r="G248" t="inlineStr">
        <is>
          <t>J vs Ben: MAX DIFFICULTY Prisoner of Azkaban Open Book Quiz</t>
        </is>
      </c>
      <c r="H248" s="44" t="n">
        <v>0.0337037037037037</v>
      </c>
      <c r="I248" s="45" t="n">
        <v>87630</v>
      </c>
      <c r="J248" s="45" t="n">
        <v>3093</v>
      </c>
      <c r="K248" s="45" t="n">
        <v>287</v>
      </c>
      <c r="L248" s="46" t="n"/>
      <c r="M248" s="47" t="n"/>
      <c r="N248" s="47" t="inlineStr">
        <is>
          <t>UCKZo4N0lVPccBkSiuyVh4yg</t>
        </is>
      </c>
      <c r="O248" s="48" t="n">
        <v>45938.92708333334</v>
      </c>
      <c r="P248" s="49" t="n">
        <v>45938</v>
      </c>
      <c r="Q248" s="47" t="n">
        <v>3020</v>
      </c>
      <c r="R248" s="47" t="inlineStr">
        <is>
          <t>No Video ID yet</t>
        </is>
      </c>
      <c r="S248" s="49" t="n"/>
      <c r="T248" s="49" t="n"/>
      <c r="U248" s="47" t="inlineStr">
        <is>
          <t>This episode is sponsored by Factor – Eat smart at and use code jvsb50off to get 50% off your first box, plus Free Breakfast for 1 Year. Get your “And Then The Dragons Arrived” Shirts and Tour Posters here!! Today we’re diving into the MAX DIFFICULTY Prisoner of Azkaban Open Book Quiz — and this one is absolutely brutal. We’re talking deep cuts, obscure details, and those blink-and-you-miss-it book moments that separate the casual readers from the true Marauders. Think you can beat our score? Grab your copy of Prisoner of Azkaban, play along, and let us know how many you got right in the comments! Want to play along with us :: Thanks to all our Patrons who submitted these mind-bending questions: law ninja, distitch626, gooeychewie, ben c. teghan denlinger, tara walker, sammi rae, storm, gaylen sedai, katrina a, sweaterbrothers, thehufflepuffpancakechef, hassle the hoff, dola, bradferd, ben henderson, oryans wizard parts, jaryd r, voted on by patrons #HarryPotter #SuperCarlinBrother #JvsBen Written by :: Our Quiz Masters Hosted by: Kat Stine</t>
        </is>
      </c>
      <c r="V248" s="47">
        <f>IF(AND(P248&gt;=Calendar!$K$2,P248&lt;EDATE(Calendar!$K$2,1),OR(Calendar!$K$4="*",N248=Calendar!$K$4)),P248*100+COUNTIFS($P$6:$P$3267,P248,$Q$6:$Q$3267,"&lt;="&amp;Q248,$N$6:$N$3267,Calendar!$K$4),"")</f>
        <v/>
      </c>
      <c r="W248" s="47">
        <f>IF(AND(B248=Queue!$C$4,OR(Queue!$K$4="*",N248=Queue!$K$4)),Q248,"")</f>
        <v/>
      </c>
    </row>
    <row r="249">
      <c r="A249" s="38">
        <f>IF(M249="","",HYPERLINK("https://www.youtube.com/watch?v="&amp;M249,"▶"))</f>
        <v/>
      </c>
      <c r="B249" s="39">
        <f>IF(C249&lt;&gt;"",C249,IF(P249&lt;=IFERROR(INDEX(tblChannels[Watched Through],MATCH(N249,tblChannels[Channel ID],0)),0),"Watched","Unwatched"))</f>
        <v/>
      </c>
      <c r="C249" s="40" t="n"/>
      <c r="D249" s="41" t="n"/>
      <c r="E249" s="42" t="n">
        <v>45935.41666666666</v>
      </c>
      <c r="F249" s="51" t="inlineStr">
        <is>
          <t>Through The Griffin Door</t>
        </is>
      </c>
      <c r="G249" t="inlineStr">
        <is>
          <t>Chapter 7: The Ministry of Magic | Order of the Phoenix</t>
        </is>
      </c>
      <c r="H249" s="44" t="n">
        <v>0.06565972222222222</v>
      </c>
      <c r="I249" s="45" t="n">
        <v>49793</v>
      </c>
      <c r="J249" s="45" t="n">
        <v>1291</v>
      </c>
      <c r="K249" s="45" t="n">
        <v>246</v>
      </c>
      <c r="L249" s="46" t="n"/>
      <c r="M249" s="47" t="n"/>
      <c r="N249" s="47" t="inlineStr">
        <is>
          <t>UCEscP6ETYXWSSvsNrDHekMQ</t>
        </is>
      </c>
      <c r="O249" s="48" t="n">
        <v>45935.58333333334</v>
      </c>
      <c r="P249" s="49" t="n">
        <v>45935</v>
      </c>
      <c r="Q249" s="47" t="n">
        <v>3019</v>
      </c>
      <c r="R249" s="47" t="inlineStr">
        <is>
          <t>No Video ID yet</t>
        </is>
      </c>
      <c r="S249" s="49" t="n"/>
      <c r="T249" s="49" t="n"/>
      <c r="U249" s="47" t="inlineStr">
        <is>
          <t>This episode is sponsored by Mint Mobile – Get your 3-month Unlimited wireless plan for just 15 bucks a month at Join J and Ben as they dive into Chapter 7 of the Order of the Phoenix and discuss the overstimulation and claustrophobia of the chapter, traveling with Mr. Weasley, the Fountain of Magical Brethren, the firebreathing chicken, Arthur’s office, and the hearing time change. And then the Dragons Arrived T-Shirt - Posters - The Bear - The Fountain of Magical Brethren Explained - Wizards Unite - 07:15 - Chapter Breakdown 31:29 - Ad Break (Mint Mobile) 32:48 - More Chapter Breakdown 1:20:34 - Closing Thoughts and Review</t>
        </is>
      </c>
      <c r="V249" s="47">
        <f>IF(AND(P249&gt;=Calendar!$K$2,P249&lt;EDATE(Calendar!$K$2,1),OR(Calendar!$K$4="*",N249=Calendar!$K$4)),P249*100+COUNTIFS($P$6:$P$3267,P249,$Q$6:$Q$3267,"&lt;="&amp;Q249,$N$6:$N$3267,Calendar!$K$4),"")</f>
        <v/>
      </c>
      <c r="W249" s="47">
        <f>IF(AND(B249=Queue!$C$4,OR(Queue!$K$4="*",N249=Queue!$K$4)),Q249,"")</f>
        <v/>
      </c>
    </row>
    <row r="250">
      <c r="A250" s="38">
        <f>IF(M250="","",HYPERLINK("https://www.youtube.com/watch?v="&amp;M250,"▶"))</f>
        <v/>
      </c>
      <c r="B250" s="39">
        <f>IF(C250&lt;&gt;"",C250,IF(P250&lt;=IFERROR(INDEX(tblChannels[Watched Through],MATCH(N250,tblChannels[Channel ID],0)),0),"Watched","Unwatched"))</f>
        <v/>
      </c>
      <c r="C250" s="40" t="n"/>
      <c r="D250" s="41" t="n"/>
      <c r="E250" s="42" t="n">
        <v>45934.41666666666</v>
      </c>
      <c r="F250" s="50" t="inlineStr">
        <is>
          <t>Super Carlin Brothers</t>
        </is>
      </c>
      <c r="G250" t="inlineStr">
        <is>
          <t>Through the Griffin Door Supercut: Order of the Phoenix Chapters 4-6</t>
        </is>
      </c>
      <c r="H250" s="44" t="n">
        <v>0.2233796296296296</v>
      </c>
      <c r="I250" s="45" t="n">
        <v>11758</v>
      </c>
      <c r="J250" s="45" t="n">
        <v>209</v>
      </c>
      <c r="K250" s="45" t="n">
        <v>37</v>
      </c>
      <c r="L250" s="46" t="n"/>
      <c r="M250" s="47" t="n"/>
      <c r="N250" s="47" t="inlineStr">
        <is>
          <t>UCKZo4N0lVPccBkSiuyVh4yg</t>
        </is>
      </c>
      <c r="O250" s="48" t="n">
        <v>45934.58333333334</v>
      </c>
      <c r="P250" s="49" t="n">
        <v>45934</v>
      </c>
      <c r="Q250" s="47" t="n">
        <v>3018</v>
      </c>
      <c r="R250" s="47" t="inlineStr">
        <is>
          <t>No Video ID yet</t>
        </is>
      </c>
      <c r="S250" s="49" t="n"/>
      <c r="T250" s="49" t="n"/>
      <c r="U250" s="47" t="inlineStr">
        <is>
          <t>0:00:00 - Chapter 4: Number Twelve, Grimmauld Place 1:35:15 - Chapter 5: The Order of the Phoenix 3:30:08 - Chapter 6: The Noble and Most Ancient House of Black</t>
        </is>
      </c>
      <c r="V250" s="47">
        <f>IF(AND(P250&gt;=Calendar!$K$2,P250&lt;EDATE(Calendar!$K$2,1),OR(Calendar!$K$4="*",N250=Calendar!$K$4)),P250*100+COUNTIFS($P$6:$P$3267,P250,$Q$6:$Q$3267,"&lt;="&amp;Q250,$N$6:$N$3267,Calendar!$K$4),"")</f>
        <v/>
      </c>
      <c r="W250" s="47">
        <f>IF(AND(B250=Queue!$C$4,OR(Queue!$K$4="*",N250=Queue!$K$4)),Q250,"")</f>
        <v/>
      </c>
    </row>
    <row r="251">
      <c r="A251" s="38">
        <f>IF(M251="","",HYPERLINK("https://www.youtube.com/watch?v="&amp;M251,"▶"))</f>
        <v/>
      </c>
      <c r="B251" s="39">
        <f>IF(C251&lt;&gt;"",C251,IF(P251&lt;=IFERROR(INDEX(tblChannels[Watched Through],MATCH(N251,tblChannels[Channel ID],0)),0),"Watched","Unwatched"))</f>
        <v/>
      </c>
      <c r="C251" s="40" t="n"/>
      <c r="D251" s="41" t="n"/>
      <c r="E251" s="42" t="n">
        <v>45933.70277777778</v>
      </c>
      <c r="F251" s="50" t="inlineStr">
        <is>
          <t>Super Carlin Brothers</t>
        </is>
      </c>
      <c r="G251" t="inlineStr">
        <is>
          <t>Fred &amp; George POISONED Cormac McClaggen?! | Harry Potter Theory</t>
        </is>
      </c>
      <c r="H251" s="44" t="n">
        <v>0.00863425925925926</v>
      </c>
      <c r="I251" s="45" t="n">
        <v>61415</v>
      </c>
      <c r="J251" s="45" t="n">
        <v>3210</v>
      </c>
      <c r="K251" s="45" t="n">
        <v>228</v>
      </c>
      <c r="L251" s="46" t="n"/>
      <c r="M251" s="47" t="n"/>
      <c r="N251" s="47" t="inlineStr">
        <is>
          <t>UCKZo4N0lVPccBkSiuyVh4yg</t>
        </is>
      </c>
      <c r="O251" s="48" t="n">
        <v>45933.86944444444</v>
      </c>
      <c r="P251" s="49" t="n">
        <v>45933</v>
      </c>
      <c r="Q251" s="47" t="n">
        <v>3017</v>
      </c>
      <c r="R251" s="47" t="inlineStr">
        <is>
          <t>No Video ID yet</t>
        </is>
      </c>
      <c r="S251" s="49" t="n"/>
      <c r="T251" s="49" t="n"/>
      <c r="U251" s="47" t="inlineStr">
        <is>
          <t>Quidditch isn’t just a game — it’s one of Harry’s greatest joys, and for Ron, one of his biggest dreams. But here’s the twist: what if Ron Weasley didn’t make the Gryffindor Quidditch team thanks to Harry or Hermione… but because of Fred and George?! In today’s theory, we dive deep into the Weasley twins’ mischievous genius, a suspicious bowl of doxy eggs, and how their subtle sabotage may have kept Cormac McLaggen off the pitch — opening the door for Ron to finally become Gryffindor’s Keeper. #HarryPotter #SuperCarlinBrother #WizardingWorld</t>
        </is>
      </c>
      <c r="V251" s="47">
        <f>IF(AND(P251&gt;=Calendar!$K$2,P251&lt;EDATE(Calendar!$K$2,1),OR(Calendar!$K$4="*",N251=Calendar!$K$4)),P251*100+COUNTIFS($P$6:$P$3267,P251,$Q$6:$Q$3267,"&lt;="&amp;Q251,$N$6:$N$3267,Calendar!$K$4),"")</f>
        <v/>
      </c>
      <c r="W251" s="47">
        <f>IF(AND(B251=Queue!$C$4,OR(Queue!$K$4="*",N251=Queue!$K$4)),Q251,"")</f>
        <v/>
      </c>
    </row>
    <row r="252">
      <c r="A252" s="38">
        <f>IF(M252="","",HYPERLINK("https://www.youtube.com/watch?v="&amp;M252,"▶"))</f>
        <v/>
      </c>
      <c r="B252" s="39">
        <f>IF(C252&lt;&gt;"",C252,IF(P252&lt;=IFERROR(INDEX(tblChannels[Watched Through],MATCH(N252,tblChannels[Channel ID],0)),0),"Watched","Unwatched"))</f>
        <v/>
      </c>
      <c r="C252" s="40" t="n"/>
      <c r="D252" s="41" t="n"/>
      <c r="E252" s="42" t="n">
        <v>45933.41666666666</v>
      </c>
      <c r="F252" s="43" t="inlineStr">
        <is>
          <t>Popcorn Culture</t>
        </is>
      </c>
      <c r="G252" t="inlineStr">
        <is>
          <t>The Magic of Tour | Popcorn Culture</t>
        </is>
      </c>
      <c r="H252" s="44" t="n">
        <v>0.04387731481481481</v>
      </c>
      <c r="I252" s="45" t="n">
        <v>2703</v>
      </c>
      <c r="J252" s="45" t="n">
        <v>157</v>
      </c>
      <c r="K252" s="45" t="n">
        <v>29</v>
      </c>
      <c r="L252" s="46" t="n"/>
      <c r="M252" s="47" t="n"/>
      <c r="N252" s="47" t="inlineStr">
        <is>
          <t>UCHfIbq9thHPC8yrKjAdJgDA</t>
        </is>
      </c>
      <c r="O252" s="48" t="n">
        <v>45933.58333333334</v>
      </c>
      <c r="P252" s="49" t="n">
        <v>45933</v>
      </c>
      <c r="Q252" s="47" t="n">
        <v>3016</v>
      </c>
      <c r="R252" s="47" t="inlineStr">
        <is>
          <t>No Video ID yet</t>
        </is>
      </c>
      <c r="S252" s="49" t="n"/>
      <c r="T252" s="49" t="n"/>
      <c r="U252" s="47" t="inlineStr">
        <is>
          <t>In the 304th episode of the Pop, Ben and J discuss all things MIDWEST TOUR: hotels, the endless Taco Bell stop, the BEST day of eating ever, getting home, chants, Deadric, and their gratitude. Uncle Wolfie’s - The Bear - Al’s Beef - The Girl and the Goat - Sidecar - 00:00 - Intro, 08:02 - Taco Bell 18:05 - The Best Food 46:58 - Highlights</t>
        </is>
      </c>
      <c r="V252" s="47">
        <f>IF(AND(P252&gt;=Calendar!$K$2,P252&lt;EDATE(Calendar!$K$2,1),OR(Calendar!$K$4="*",N252=Calendar!$K$4)),P252*100+COUNTIFS($P$6:$P$3267,P252,$Q$6:$Q$3267,"&lt;="&amp;Q252,$N$6:$N$3267,Calendar!$K$4),"")</f>
        <v/>
      </c>
      <c r="W252" s="47">
        <f>IF(AND(B252=Queue!$C$4,OR(Queue!$K$4="*",N252=Queue!$K$4)),Q252,"")</f>
        <v/>
      </c>
    </row>
    <row r="253">
      <c r="A253" s="38">
        <f>IF(M253="","",HYPERLINK("https://www.youtube.com/watch?v="&amp;M253,"▶"))</f>
        <v/>
      </c>
      <c r="B253" s="39">
        <f>IF(C253&lt;&gt;"",C253,IF(P253&lt;=IFERROR(INDEX(tblChannels[Watched Through],MATCH(N253,tblChannels[Channel ID],0)),0),"Watched","Unwatched"))</f>
        <v/>
      </c>
      <c r="C253" s="40" t="n"/>
      <c r="D253" s="41" t="n"/>
      <c r="E253" s="42" t="n">
        <v>45932.70833333334</v>
      </c>
      <c r="F253" s="51" t="inlineStr">
        <is>
          <t>Through The Griffin Door</t>
        </is>
      </c>
      <c r="G253" t="inlineStr">
        <is>
          <t>Live in Indianapolis - Chapter 6: The Noble and MOST Ancient House of Black | Order of the Phoenix</t>
        </is>
      </c>
      <c r="H253" s="44" t="n">
        <v>0.05710648148148148</v>
      </c>
      <c r="I253" s="45" t="n">
        <v>10803</v>
      </c>
      <c r="J253" s="45" t="n">
        <v>424</v>
      </c>
      <c r="K253" s="45" t="n">
        <v>80</v>
      </c>
      <c r="L253" s="46" t="n"/>
      <c r="M253" s="47" t="n"/>
      <c r="N253" s="47" t="inlineStr">
        <is>
          <t>UCEscP6ETYXWSSvsNrDHekMQ</t>
        </is>
      </c>
      <c r="O253" s="48" t="n">
        <v>45932.875</v>
      </c>
      <c r="P253" s="49" t="n">
        <v>45932</v>
      </c>
      <c r="Q253" s="47" t="n">
        <v>3015</v>
      </c>
      <c r="R253" s="47" t="inlineStr">
        <is>
          <t>No Video ID yet</t>
        </is>
      </c>
      <c r="S253" s="49" t="n"/>
      <c r="T253" s="49" t="n"/>
      <c r="U253" s="47" t="inlineStr">
        <is>
          <t>Join J and Ben as they dive BACK into Chapter 6 of Order of the Phoenix LIVE IN INDIANAPOLIS and discuss Dead Rats, Swole House Elves, and Fred and George's Secret Ploy To Get Ron On The Quidditch Team.</t>
        </is>
      </c>
      <c r="V253" s="47">
        <f>IF(AND(P253&gt;=Calendar!$K$2,P253&lt;EDATE(Calendar!$K$2,1),OR(Calendar!$K$4="*",N253=Calendar!$K$4)),P253*100+COUNTIFS($P$6:$P$3267,P253,$Q$6:$Q$3267,"&lt;="&amp;Q253,$N$6:$N$3267,Calendar!$K$4),"")</f>
        <v/>
      </c>
      <c r="W253" s="47">
        <f>IF(AND(B253=Queue!$C$4,OR(Queue!$K$4="*",N253=Queue!$K$4)),Q253,"")</f>
        <v/>
      </c>
    </row>
    <row r="254">
      <c r="A254" s="38">
        <f>IF(M254="","",HYPERLINK("https://www.youtube.com/watch?v="&amp;M254,"▶"))</f>
        <v/>
      </c>
      <c r="B254" s="39">
        <f>IF(C254&lt;&gt;"",C254,IF(P254&lt;=IFERROR(INDEX(tblChannels[Watched Through],MATCH(N254,tblChannels[Channel ID],0)),0),"Watched","Unwatched"))</f>
        <v/>
      </c>
      <c r="C254" s="40" t="n"/>
      <c r="D254" s="41" t="n"/>
      <c r="E254" s="42" t="n">
        <v>45931.70833333334</v>
      </c>
      <c r="F254" s="50" t="inlineStr">
        <is>
          <t>Super Carlin Brothers</t>
        </is>
      </c>
      <c r="G254" t="inlineStr">
        <is>
          <t>The DARK TRUTH Behind the Fountain of Magical Brethren | Harry Potter Theory</t>
        </is>
      </c>
      <c r="H254" s="44" t="n">
        <v>0.01119212962962963</v>
      </c>
      <c r="I254" s="45" t="n">
        <v>95681</v>
      </c>
      <c r="J254" s="45" t="n">
        <v>4101</v>
      </c>
      <c r="K254" s="45" t="n">
        <v>321</v>
      </c>
      <c r="L254" s="46" t="n"/>
      <c r="M254" s="47" t="n"/>
      <c r="N254" s="47" t="inlineStr">
        <is>
          <t>UCKZo4N0lVPccBkSiuyVh4yg</t>
        </is>
      </c>
      <c r="O254" s="48" t="n">
        <v>45931.875</v>
      </c>
      <c r="P254" s="49" t="n">
        <v>45931</v>
      </c>
      <c r="Q254" s="47" t="n">
        <v>3014</v>
      </c>
      <c r="R254" s="47" t="inlineStr">
        <is>
          <t>No Video ID yet</t>
        </is>
      </c>
      <c r="S254" s="49" t="n"/>
      <c r="T254" s="49" t="n"/>
      <c r="U254" s="47" t="inlineStr">
        <is>
          <t>This episode is sponsored by BetterHelp – Go to to get 10% off your first month. What’s the deal with the Fountain of Magical Brethren in the Ministry of Magic? At first glance, the golden statue of a wizard, witch, centaur, goblin, and house-elf looks like a symbol of unity. But a closer look reveals it’s actually a glittering facade — a convenient lie about equality in the wizarding world. #HarryPotter #SuperCarlinBrother #WizardingWorld</t>
        </is>
      </c>
      <c r="V254" s="47">
        <f>IF(AND(P254&gt;=Calendar!$K$2,P254&lt;EDATE(Calendar!$K$2,1),OR(Calendar!$K$4="*",N254=Calendar!$K$4)),P254*100+COUNTIFS($P$6:$P$3267,P254,$Q$6:$Q$3267,"&lt;="&amp;Q254,$N$6:$N$3267,Calendar!$K$4),"")</f>
        <v/>
      </c>
      <c r="W254" s="47">
        <f>IF(AND(B254=Queue!$C$4,OR(Queue!$K$4="*",N254=Queue!$K$4)),Q254,"")</f>
        <v/>
      </c>
    </row>
    <row r="255">
      <c r="A255" s="38">
        <f>IF(M255="","",HYPERLINK("https://www.youtube.com/watch?v="&amp;M255,"▶"))</f>
        <v/>
      </c>
      <c r="B255" s="39">
        <f>IF(C255&lt;&gt;"",C255,IF(P255&lt;=IFERROR(INDEX(tblChannels[Watched Through],MATCH(N255,tblChannels[Channel ID],0)),0),"Watched","Unwatched"))</f>
        <v/>
      </c>
      <c r="C255" s="40" t="n"/>
      <c r="D255" s="41" t="n"/>
      <c r="E255" s="42" t="n">
        <v>45928.41666666666</v>
      </c>
      <c r="F255" s="51" t="inlineStr">
        <is>
          <t>Through The Griffin Door</t>
        </is>
      </c>
      <c r="G255" t="inlineStr">
        <is>
          <t>Chapter 6: The Noble and Most Ancient House of Black | Order of the Phoenix</t>
        </is>
      </c>
      <c r="H255" s="44" t="n">
        <v>0.07745370370370371</v>
      </c>
      <c r="I255" s="45" t="n">
        <v>52378</v>
      </c>
      <c r="J255" s="45" t="n">
        <v>1366</v>
      </c>
      <c r="K255" s="45" t="n">
        <v>275</v>
      </c>
      <c r="L255" s="46" t="n"/>
      <c r="M255" s="47" t="n"/>
      <c r="N255" s="47" t="inlineStr">
        <is>
          <t>UCEscP6ETYXWSSvsNrDHekMQ</t>
        </is>
      </c>
      <c r="O255" s="48" t="n">
        <v>45928.58333333334</v>
      </c>
      <c r="P255" s="49" t="n">
        <v>45928</v>
      </c>
      <c r="Q255" s="47" t="n">
        <v>3013</v>
      </c>
      <c r="R255" s="47" t="inlineStr">
        <is>
          <t>No Video ID yet</t>
        </is>
      </c>
      <c r="S255" s="49" t="n"/>
      <c r="T255" s="49" t="n"/>
      <c r="U255" s="47" t="inlineStr">
        <is>
          <t>Join J and Ben as they dive into Chapter 6 of the Order of the Phoenix and discuss, the Prophecy, cleaning the house, what Moody sees when he looks at the Boggart, the twins pocketing items in the house, bloodpacts, Kreacher, the Family Tree and the trove of artifacts. The Gilded Age - Regulus Black was the FIRST Chosen On - 06:27 - Chapter Breakdown 1:44:16 - Closing Thoughts and Review</t>
        </is>
      </c>
      <c r="V255" s="47">
        <f>IF(AND(P255&gt;=Calendar!$K$2,P255&lt;EDATE(Calendar!$K$2,1),OR(Calendar!$K$4="*",N255=Calendar!$K$4)),P255*100+COUNTIFS($P$6:$P$3267,P255,$Q$6:$Q$3267,"&lt;="&amp;Q255,$N$6:$N$3267,Calendar!$K$4),"")</f>
        <v/>
      </c>
      <c r="W255" s="47">
        <f>IF(AND(B255=Queue!$C$4,OR(Queue!$K$4="*",N255=Queue!$K$4)),Q255,"")</f>
        <v/>
      </c>
    </row>
    <row r="256">
      <c r="A256" s="38">
        <f>IF(M256="","",HYPERLINK("https://www.youtube.com/watch?v="&amp;M256,"▶"))</f>
        <v/>
      </c>
      <c r="B256" s="39">
        <f>IF(C256&lt;&gt;"",C256,IF(P256&lt;=IFERROR(INDEX(tblChannels[Watched Through],MATCH(N256,tblChannels[Channel ID],0)),0),"Watched","Unwatched"))</f>
        <v/>
      </c>
      <c r="C256" s="40" t="n"/>
      <c r="D256" s="41" t="n"/>
      <c r="E256" s="42" t="n">
        <v>45926.625</v>
      </c>
      <c r="F256" s="50" t="inlineStr">
        <is>
          <t>Super Carlin Brothers</t>
        </is>
      </c>
      <c r="G256" t="inlineStr">
        <is>
          <t>What If Snape TOLD His Secret? | Harry Potter Theory</t>
        </is>
      </c>
      <c r="H256" s="44" t="n">
        <v>0.02728009259259259</v>
      </c>
      <c r="I256" s="45" t="n">
        <v>144665</v>
      </c>
      <c r="J256" s="45" t="n">
        <v>4748</v>
      </c>
      <c r="K256" s="45" t="n">
        <v>593</v>
      </c>
      <c r="L256" s="46" t="n"/>
      <c r="M256" s="47" t="n"/>
      <c r="N256" s="47" t="inlineStr">
        <is>
          <t>UCKZo4N0lVPccBkSiuyVh4yg</t>
        </is>
      </c>
      <c r="O256" s="48" t="n">
        <v>45926.79166666666</v>
      </c>
      <c r="P256" s="49" t="n">
        <v>45926</v>
      </c>
      <c r="Q256" s="47" t="n">
        <v>3012</v>
      </c>
      <c r="R256" s="47" t="inlineStr">
        <is>
          <t>No Video ID yet</t>
        </is>
      </c>
      <c r="S256" s="49" t="n"/>
      <c r="T256" s="49" t="n"/>
      <c r="U256" s="47" t="inlineStr">
        <is>
          <t>This episode is sponsored by Better Help - go to to get 10% off your first month. Go to and use code jvsb50off to get 50% off your first box, plus Free Breakfast for 1 Year. Hello and welcome everyone to the Owlery! The show where we answer real questions delivered by a real owl! Today’s letter is sent to us from Through The Griffin Door listener: Moose, who wants to know how the story would have changed if Snape had not insisted that his love for Lily be kept a secret for all of those years Sign up for the Owlery :: #HarryPotter #SuperCarlinBrother #WhatIf</t>
        </is>
      </c>
      <c r="V256" s="47">
        <f>IF(AND(P256&gt;=Calendar!$K$2,P256&lt;EDATE(Calendar!$K$2,1),OR(Calendar!$K$4="*",N256=Calendar!$K$4)),P256*100+COUNTIFS($P$6:$P$3267,P256,$Q$6:$Q$3267,"&lt;="&amp;Q256,$N$6:$N$3267,Calendar!$K$4),"")</f>
        <v/>
      </c>
      <c r="W256" s="47">
        <f>IF(AND(B256=Queue!$C$4,OR(Queue!$K$4="*",N256=Queue!$K$4)),Q256,"")</f>
        <v/>
      </c>
    </row>
    <row r="257">
      <c r="A257" s="38">
        <f>IF(M257="","",HYPERLINK("https://www.youtube.com/watch?v="&amp;M257,"▶"))</f>
        <v/>
      </c>
      <c r="B257" s="39">
        <f>IF(C257&lt;&gt;"",C257,IF(P257&lt;=IFERROR(INDEX(tblChannels[Watched Through],MATCH(N257,tblChannels[Channel ID],0)),0),"Watched","Unwatched"))</f>
        <v/>
      </c>
      <c r="C257" s="40" t="n"/>
      <c r="D257" s="41" t="n"/>
      <c r="E257" s="42" t="n">
        <v>45926.41666666666</v>
      </c>
      <c r="F257" s="43" t="inlineStr">
        <is>
          <t>Popcorn Culture</t>
        </is>
      </c>
      <c r="G257" t="inlineStr">
        <is>
          <t>Weak Opinions About Strong Things | Popcorn Culture</t>
        </is>
      </c>
      <c r="H257" s="44" t="n">
        <v>0.05221064814814814</v>
      </c>
      <c r="I257" s="45" t="n">
        <v>2874</v>
      </c>
      <c r="J257" s="45" t="n">
        <v>138</v>
      </c>
      <c r="K257" s="45" t="n">
        <v>37</v>
      </c>
      <c r="L257" s="46" t="n"/>
      <c r="M257" s="47" t="n"/>
      <c r="N257" s="47" t="inlineStr">
        <is>
          <t>UCHfIbq9thHPC8yrKjAdJgDA</t>
        </is>
      </c>
      <c r="O257" s="48" t="n">
        <v>45926.58333333334</v>
      </c>
      <c r="P257" s="49" t="n">
        <v>45926</v>
      </c>
      <c r="Q257" s="47" t="n">
        <v>3011</v>
      </c>
      <c r="R257" s="47" t="inlineStr">
        <is>
          <t>No Video ID yet</t>
        </is>
      </c>
      <c r="S257" s="49" t="n"/>
      <c r="T257" s="49" t="n"/>
      <c r="U257" s="47" t="inlineStr">
        <is>
          <t>In the 303rd episode of the Pop Ben and J discuss the Fantasy draft update, favorite fries, tip culture, ice shapes, water bottles, participation trophies, shower beer, school uniforms, and pineapple on pizza. Madden NFL - Owala -</t>
        </is>
      </c>
      <c r="V257" s="47">
        <f>IF(AND(P257&gt;=Calendar!$K$2,P257&lt;EDATE(Calendar!$K$2,1),OR(Calendar!$K$4="*",N257=Calendar!$K$4)),P257*100+COUNTIFS($P$6:$P$3267,P257,$Q$6:$Q$3267,"&lt;="&amp;Q257,$N$6:$N$3267,Calendar!$K$4),"")</f>
        <v/>
      </c>
      <c r="W257" s="47">
        <f>IF(AND(B257=Queue!$C$4,OR(Queue!$K$4="*",N257=Queue!$K$4)),Q257,"")</f>
        <v/>
      </c>
    </row>
    <row r="258">
      <c r="A258" s="38">
        <f>IF(M258="","",HYPERLINK("https://www.youtube.com/watch?v="&amp;M258,"▶"))</f>
        <v/>
      </c>
      <c r="B258" s="39">
        <f>IF(C258&lt;&gt;"",C258,IF(P258&lt;=IFERROR(INDEX(tblChannels[Watched Through],MATCH(N258,tblChannels[Channel ID],0)),0),"Watched","Unwatched"))</f>
        <v/>
      </c>
      <c r="C258" s="40" t="n"/>
      <c r="D258" s="41" t="n"/>
      <c r="E258" s="42" t="n">
        <v>45924.625</v>
      </c>
      <c r="F258" s="50" t="inlineStr">
        <is>
          <t>Super Carlin Brothers</t>
        </is>
      </c>
      <c r="G258" t="inlineStr">
        <is>
          <t>J vs Ben: MAX DIFFICULTY Chamber of Secrets Open Book Quiz</t>
        </is>
      </c>
      <c r="H258" s="44" t="n">
        <v>0.02957175925925926</v>
      </c>
      <c r="I258" s="45" t="n">
        <v>93187</v>
      </c>
      <c r="J258" s="45" t="n">
        <v>3334</v>
      </c>
      <c r="K258" s="45" t="n">
        <v>429</v>
      </c>
      <c r="L258" s="46" t="n"/>
      <c r="M258" s="47" t="n"/>
      <c r="N258" s="47" t="inlineStr">
        <is>
          <t>UCKZo4N0lVPccBkSiuyVh4yg</t>
        </is>
      </c>
      <c r="O258" s="48" t="n">
        <v>45924.79166666666</v>
      </c>
      <c r="P258" s="49" t="n">
        <v>45924</v>
      </c>
      <c r="Q258" s="47" t="n">
        <v>3010</v>
      </c>
      <c r="R258" s="47" t="inlineStr">
        <is>
          <t>No Video ID yet</t>
        </is>
      </c>
      <c r="S258" s="49" t="n"/>
      <c r="T258" s="49" t="n"/>
      <c r="U258" s="47" t="inlineStr">
        <is>
          <t>Go to and use code jvsb50off to get 50% off your first box, plus Free Breakfast for 1 Year. J and Ben are back at it with the Quiz Masters for another MAX DIFFICULTY Open Book Quiz—this time covering Harry Potter and the Chamber of Secrets! 📖⚡ The twist? They can look up any answer they don’t know… but only if they can find it in under 30 seconds. ⏱️ Special thanks to our Patrons for submitting today’s quiz questions: Swinkey AKA Kimberly, P.C., Abby, Tara Walker, Jennifer Froh, Ben Henderson, Natalia Nalepa, Fis, Bradferd, Poison Dart Fraud, kyuubibob, Essential Escapism, Teghan Denlinger, GooeyChewie, Dola, and Julie Sherwood! Play along and let us know your score in the comments! #HarryPotter #SuperCarlinBrother #JvsBen Written by :: The Quiz Masters! Edited by :: Riley Murtaugh Hosted by :: Isybelle Christley</t>
        </is>
      </c>
      <c r="V258" s="47">
        <f>IF(AND(P258&gt;=Calendar!$K$2,P258&lt;EDATE(Calendar!$K$2,1),OR(Calendar!$K$4="*",N258=Calendar!$K$4)),P258*100+COUNTIFS($P$6:$P$3267,P258,$Q$6:$Q$3267,"&lt;="&amp;Q258,$N$6:$N$3267,Calendar!$K$4),"")</f>
        <v/>
      </c>
      <c r="W258" s="47">
        <f>IF(AND(B258=Queue!$C$4,OR(Queue!$K$4="*",N258=Queue!$K$4)),Q258,"")</f>
        <v/>
      </c>
    </row>
    <row r="259">
      <c r="A259" s="38">
        <f>IF(M259="","",HYPERLINK("https://www.youtube.com/watch?v="&amp;M259,"▶"))</f>
        <v/>
      </c>
      <c r="B259" s="39">
        <f>IF(C259&lt;&gt;"",C259,IF(P259&lt;=IFERROR(INDEX(tblChannels[Watched Through],MATCH(N259,tblChannels[Channel ID],0)),0),"Watched","Unwatched"))</f>
        <v/>
      </c>
      <c r="C259" s="40" t="n"/>
      <c r="D259" s="41" t="n"/>
      <c r="E259" s="42" t="n">
        <v>45921.41666666666</v>
      </c>
      <c r="F259" s="51" t="inlineStr">
        <is>
          <t>Through The Griffin Door</t>
        </is>
      </c>
      <c r="G259" t="inlineStr">
        <is>
          <t>Chapter 5: The Order of the Phoenix | Order of the Phoenix</t>
        </is>
      </c>
      <c r="H259" s="44" t="n">
        <v>0.080625</v>
      </c>
      <c r="I259" s="45" t="n">
        <v>56176</v>
      </c>
      <c r="J259" s="45" t="n">
        <v>1463</v>
      </c>
      <c r="K259" s="45" t="n">
        <v>353</v>
      </c>
      <c r="L259" s="46" t="n"/>
      <c r="M259" s="47" t="n"/>
      <c r="N259" s="47" t="inlineStr">
        <is>
          <t>UCEscP6ETYXWSSvsNrDHekMQ</t>
        </is>
      </c>
      <c r="O259" s="48" t="n">
        <v>45921.58333333334</v>
      </c>
      <c r="P259" s="49" t="n">
        <v>45921</v>
      </c>
      <c r="Q259" s="47" t="n">
        <v>3009</v>
      </c>
      <c r="R259" s="47" t="inlineStr">
        <is>
          <t>No Video ID yet</t>
        </is>
      </c>
      <c r="S259" s="49" t="n"/>
      <c r="T259" s="49" t="n"/>
      <c r="U259" s="47" t="inlineStr">
        <is>
          <t>This episode is sponsored by Mint Mobile – Get your 3-month Unlimited wireless plan for just 15 bucks a month at Join J and Ben as they dive into Chapter 5 of the Order of the Phoenix and discuss Sirius being stir-crazy, after the meeting, Mundungus being shady, the twins doing “too much” magic, everyone’s reaction to Harry wanting answers,them giving him non-answers and “the weapon.” Who Was Crookshanks Original Owner? - O Brother, Where Art Thou? - The Great British Bake Off - Voldemort’s MASTER PLAN Revealed! - The TRUTH About Chocolate Frog Cards - THROUGH THE GRIFFIN TOUR MIDWEST TICKETS ARE ON SALE RIGHT NOW St. Louis, MO - 9/17 (sold out) Detroit, MI - 9/24 (sold out) 09:35 - Chapter Breakdown 59:29- Ad Break (Mint Mobile) 1:00:39 - More Chapter Breakdown 1:45:53 - Closing Thoughts and Review</t>
        </is>
      </c>
      <c r="V259" s="47">
        <f>IF(AND(P259&gt;=Calendar!$K$2,P259&lt;EDATE(Calendar!$K$2,1),OR(Calendar!$K$4="*",N259=Calendar!$K$4)),P259*100+COUNTIFS($P$6:$P$3267,P259,$Q$6:$Q$3267,"&lt;="&amp;Q259,$N$6:$N$3267,Calendar!$K$4),"")</f>
        <v/>
      </c>
      <c r="W259" s="47">
        <f>IF(AND(B259=Queue!$C$4,OR(Queue!$K$4="*",N259=Queue!$K$4)),Q259,"")</f>
        <v/>
      </c>
    </row>
    <row r="260">
      <c r="A260" s="38">
        <f>IF(M260="","",HYPERLINK("https://www.youtube.com/watch?v="&amp;M260,"▶"))</f>
        <v/>
      </c>
      <c r="B260" s="39">
        <f>IF(C260&lt;&gt;"",C260,IF(P260&lt;=IFERROR(INDEX(tblChannels[Watched Through],MATCH(N260,tblChannels[Channel ID],0)),0),"Watched","Unwatched"))</f>
        <v/>
      </c>
      <c r="C260" s="40" t="n"/>
      <c r="D260" s="41" t="n"/>
      <c r="E260" s="42" t="n">
        <v>45919.625</v>
      </c>
      <c r="F260" s="50" t="inlineStr">
        <is>
          <t>Super Carlin Brothers</t>
        </is>
      </c>
      <c r="G260" t="inlineStr">
        <is>
          <t>2 Hours of Harry Potter Theories to Binge</t>
        </is>
      </c>
      <c r="H260" s="44" t="n">
        <v>0.08063657407407407</v>
      </c>
      <c r="I260" s="45" t="n">
        <v>375629</v>
      </c>
      <c r="J260" s="45" t="n">
        <v>4394</v>
      </c>
      <c r="K260" s="45" t="n">
        <v>373</v>
      </c>
      <c r="L260" s="46" t="n"/>
      <c r="M260" s="47" t="n"/>
      <c r="N260" s="47" t="inlineStr">
        <is>
          <t>UCKZo4N0lVPccBkSiuyVh4yg</t>
        </is>
      </c>
      <c r="O260" s="48" t="n">
        <v>45919.79166666666</v>
      </c>
      <c r="P260" s="49" t="n">
        <v>45919</v>
      </c>
      <c r="Q260" s="47" t="n">
        <v>3008</v>
      </c>
      <c r="R260" s="47" t="inlineStr">
        <is>
          <t>No Video ID yet</t>
        </is>
      </c>
      <c r="S260" s="49" t="n"/>
      <c r="T260" s="49" t="n"/>
      <c r="U260" s="47" t="inlineStr">
        <is>
          <t>Go to to get 20% the fan favorite Everyday Earbuds Classic! Grab your butterbeer and settle in — we’ve stitched together two full hours of our favorite Harry Potter theories! From Regulus Black secretly being the real Chosen One to Petunia’s wizarding world secrets, this is the ultimate binge watch for every Potter fan. #HarryPotter #SuperCarlinBrother #WizardingWorld Original Video’s Edited by :: Isybelle Christley, Ethan Edghill, Riley Murtaugh, &amp; Derek Knabenbaur</t>
        </is>
      </c>
      <c r="V260" s="47">
        <f>IF(AND(P260&gt;=Calendar!$K$2,P260&lt;EDATE(Calendar!$K$2,1),OR(Calendar!$K$4="*",N260=Calendar!$K$4)),P260*100+COUNTIFS($P$6:$P$3267,P260,$Q$6:$Q$3267,"&lt;="&amp;Q260,$N$6:$N$3267,Calendar!$K$4),"")</f>
        <v/>
      </c>
      <c r="W260" s="47">
        <f>IF(AND(B260=Queue!$C$4,OR(Queue!$K$4="*",N260=Queue!$K$4)),Q260,"")</f>
        <v/>
      </c>
    </row>
    <row r="261">
      <c r="A261" s="38">
        <f>IF(M261="","",HYPERLINK("https://www.youtube.com/watch?v="&amp;M261,"▶"))</f>
        <v/>
      </c>
      <c r="B261" s="39">
        <f>IF(C261&lt;&gt;"",C261,IF(P261&lt;=IFERROR(INDEX(tblChannels[Watched Through],MATCH(N261,tblChannels[Channel ID],0)),0),"Watched","Unwatched"))</f>
        <v/>
      </c>
      <c r="C261" s="40" t="n"/>
      <c r="D261" s="41" t="n"/>
      <c r="E261" s="42" t="n">
        <v>45919.41666666666</v>
      </c>
      <c r="F261" s="43" t="inlineStr">
        <is>
          <t>Popcorn Culture</t>
        </is>
      </c>
      <c r="G261" t="inlineStr">
        <is>
          <t>J’s One TRUE Co-Host | Popcorn Culture</t>
        </is>
      </c>
      <c r="H261" s="44" t="n">
        <v>0.0455787037037037</v>
      </c>
      <c r="I261" s="45" t="n">
        <v>3528</v>
      </c>
      <c r="J261" s="45" t="n">
        <v>208</v>
      </c>
      <c r="K261" s="45" t="n">
        <v>36</v>
      </c>
      <c r="L261" s="46" t="n"/>
      <c r="M261" s="47" t="n"/>
      <c r="N261" s="47" t="inlineStr">
        <is>
          <t>UCHfIbq9thHPC8yrKjAdJgDA</t>
        </is>
      </c>
      <c r="O261" s="48" t="n">
        <v>45919.58333333334</v>
      </c>
      <c r="P261" s="49" t="n">
        <v>45919</v>
      </c>
      <c r="Q261" s="47" t="n">
        <v>3007</v>
      </c>
      <c r="R261" s="47" t="inlineStr">
        <is>
          <t>No Video ID yet</t>
        </is>
      </c>
      <c r="S261" s="49" t="n"/>
      <c r="T261" s="49" t="n"/>
      <c r="U261" s="47" t="inlineStr">
        <is>
          <t>In the 302nd episode of the Pop, J and BETH discuss the transition to all the kids being in school, Facebook marketplace, mahjong, wicks of the peek, their first date, prom, and marching band. K-Pop Demon Hunters - Love is Blind UK - Dungeon Crawler Carl - Failure to Launch - J.J. Reddick - Macy’s Thanksgiving Day Parade Performance - Beth’s Favorite Marching Band Performance - Get your tickets for Through the Griffin Tour MIDWEST here: St. Louis, MO - 9/17 (sold out) Detroit, MI - 9/24 (sold out) Our First Date Marching Band Politics 00:00 - Intro, The Kids 06:11 - Plan for the Day! 12:20 - Wicks of the Peek 17:06 - Get to Know Beth!</t>
        </is>
      </c>
      <c r="V261" s="47">
        <f>IF(AND(P261&gt;=Calendar!$K$2,P261&lt;EDATE(Calendar!$K$2,1),OR(Calendar!$K$4="*",N261=Calendar!$K$4)),P261*100+COUNTIFS($P$6:$P$3267,P261,$Q$6:$Q$3267,"&lt;="&amp;Q261,$N$6:$N$3267,Calendar!$K$4),"")</f>
        <v/>
      </c>
      <c r="W261" s="47">
        <f>IF(AND(B261=Queue!$C$4,OR(Queue!$K$4="*",N261=Queue!$K$4)),Q261,"")</f>
        <v/>
      </c>
    </row>
    <row r="262">
      <c r="A262" s="38">
        <f>IF(M262="","",HYPERLINK("https://www.youtube.com/watch?v="&amp;M262,"▶"))</f>
        <v/>
      </c>
      <c r="B262" s="39">
        <f>IF(C262&lt;&gt;"",C262,IF(P262&lt;=IFERROR(INDEX(tblChannels[Watched Through],MATCH(N262,tblChannels[Channel ID],0)),0),"Watched","Unwatched"))</f>
        <v/>
      </c>
      <c r="C262" s="40" t="n"/>
      <c r="D262" s="41" t="n"/>
      <c r="E262" s="42" t="n">
        <v>45917.625</v>
      </c>
      <c r="F262" s="50" t="inlineStr">
        <is>
          <t>Super Carlin Brothers</t>
        </is>
      </c>
      <c r="G262" t="inlineStr">
        <is>
          <t>Why Weren’t Lily &amp; James Their Own Secret Keeper? | Harry Potter Theory</t>
        </is>
      </c>
      <c r="H262" s="44" t="n">
        <v>0.01240740740740741</v>
      </c>
      <c r="I262" s="45" t="n">
        <v>101115</v>
      </c>
      <c r="J262" s="45" t="n">
        <v>4834</v>
      </c>
      <c r="K262" s="45" t="n">
        <v>727</v>
      </c>
      <c r="L262" s="46" t="n"/>
      <c r="M262" s="47" t="n"/>
      <c r="N262" s="47" t="inlineStr">
        <is>
          <t>UCKZo4N0lVPccBkSiuyVh4yg</t>
        </is>
      </c>
      <c r="O262" s="48" t="n">
        <v>45917.79166666666</v>
      </c>
      <c r="P262" s="49" t="n">
        <v>45917</v>
      </c>
      <c r="Q262" s="47" t="n">
        <v>3006</v>
      </c>
      <c r="R262" s="47" t="inlineStr">
        <is>
          <t>No Video ID yet</t>
        </is>
      </c>
      <c r="S262" s="49" t="n"/>
      <c r="T262" s="49" t="n"/>
      <c r="U262" s="47" t="inlineStr">
        <is>
          <t>This episode is sponsored by BetterHelp. Go to to get 10% off your first month. Today J dives deep into one of the most puzzling questions in the Harry Potter saga: Why weren’t Lily and James Potter their own Secret Keepers? If Bill Weasley could be his own Secret Keeper at Shell Cottage, why couldn’t the Potters do the same to protect themselves from Voldemort? Was it a mistake, a plot hole, or something more? Could the Potters have saved themselves, or was their fate always sealed by prophecy? Let’s find out! #HarryPotter #SuperCarlinBrother #WizardingWorld</t>
        </is>
      </c>
      <c r="V262" s="47">
        <f>IF(AND(P262&gt;=Calendar!$K$2,P262&lt;EDATE(Calendar!$K$2,1),OR(Calendar!$K$4="*",N262=Calendar!$K$4)),P262*100+COUNTIFS($P$6:$P$3267,P262,$Q$6:$Q$3267,"&lt;="&amp;Q262,$N$6:$N$3267,Calendar!$K$4),"")</f>
        <v/>
      </c>
      <c r="W262" s="47">
        <f>IF(AND(B262=Queue!$C$4,OR(Queue!$K$4="*",N262=Queue!$K$4)),Q262,"")</f>
        <v/>
      </c>
    </row>
    <row r="263">
      <c r="A263" s="38">
        <f>IF(M263="","",HYPERLINK("https://www.youtube.com/watch?v="&amp;M263,"▶"))</f>
        <v/>
      </c>
      <c r="B263" s="39">
        <f>IF(C263&lt;&gt;"",C263,IF(P263&lt;=IFERROR(INDEX(tblChannels[Watched Through],MATCH(N263,tblChannels[Channel ID],0)),0),"Watched","Unwatched"))</f>
        <v/>
      </c>
      <c r="C263" s="40" t="n"/>
      <c r="D263" s="41" t="n"/>
      <c r="E263" s="42" t="n">
        <v>45914.41736111111</v>
      </c>
      <c r="F263" s="51" t="inlineStr">
        <is>
          <t>Through The Griffin Door</t>
        </is>
      </c>
      <c r="G263" t="inlineStr">
        <is>
          <t>Chapter 4: Number Twelve, Grimmauld Place | Order of the Phoenix</t>
        </is>
      </c>
      <c r="H263" s="44" t="n">
        <v>0.06709490740740741</v>
      </c>
      <c r="I263" s="45" t="n">
        <v>50851</v>
      </c>
      <c r="J263" s="45" t="n">
        <v>1450</v>
      </c>
      <c r="K263" s="45" t="n">
        <v>364</v>
      </c>
      <c r="L263" s="46" t="n"/>
      <c r="M263" s="47" t="n"/>
      <c r="N263" s="47" t="inlineStr">
        <is>
          <t>UCEscP6ETYXWSSvsNrDHekMQ</t>
        </is>
      </c>
      <c r="O263" s="48" t="n">
        <v>45914.58402777778</v>
      </c>
      <c r="P263" s="49" t="n">
        <v>45914</v>
      </c>
      <c r="Q263" s="47" t="n">
        <v>3005</v>
      </c>
      <c r="R263" s="47" t="inlineStr">
        <is>
          <t>No Video ID yet</t>
        </is>
      </c>
      <c r="S263" s="49" t="n"/>
      <c r="T263" s="49" t="n"/>
      <c r="U263" s="47" t="inlineStr">
        <is>
          <t>Join J and Ben as they dive into Chapter 4 of the Order of the Phoenix and discuss the house appearing, Hermione’s long hug, Harry’s turmoil of emotions, Fred and George’s entrance, extendable ears, Percy’s betrayal, and the Sirius reveal. Cruella - Inside Out - Was Percy Under the Imperius Curse? - THROUGH THE GRIFFIN TOUR MIDWEST TICKETS ARE ON SALE RIGHT NOW St. Louis, MO - 9/17 (sold out) Detroit, MI - 9/24 (sold out) 07:11 - Chapter Breakdown 43:06 - Ad Break (Shopify) 44:27 - More Chapter Breakdown 1:29:20 - Closing Thoughts and Review</t>
        </is>
      </c>
      <c r="V263" s="47">
        <f>IF(AND(P263&gt;=Calendar!$K$2,P263&lt;EDATE(Calendar!$K$2,1),OR(Calendar!$K$4="*",N263=Calendar!$K$4)),P263*100+COUNTIFS($P$6:$P$3267,P263,$Q$6:$Q$3267,"&lt;="&amp;Q263,$N$6:$N$3267,Calendar!$K$4),"")</f>
        <v/>
      </c>
      <c r="W263" s="47">
        <f>IF(AND(B263=Queue!$C$4,OR(Queue!$K$4="*",N263=Queue!$K$4)),Q263,"")</f>
        <v/>
      </c>
    </row>
    <row r="264">
      <c r="A264" s="38">
        <f>IF(M264="","",HYPERLINK("https://www.youtube.com/watch?v="&amp;M264,"▶"))</f>
        <v/>
      </c>
      <c r="B264" s="39">
        <f>IF(C264&lt;&gt;"",C264,IF(P264&lt;=IFERROR(INDEX(tblChannels[Watched Through],MATCH(N264,tblChannels[Channel ID],0)),0),"Watched","Unwatched"))</f>
        <v/>
      </c>
      <c r="C264" s="40" t="n"/>
      <c r="D264" s="41" t="n"/>
      <c r="E264" s="42" t="n">
        <v>45913.41666666666</v>
      </c>
      <c r="F264" s="50" t="inlineStr">
        <is>
          <t>Super Carlin Brothers</t>
        </is>
      </c>
      <c r="G264" t="inlineStr">
        <is>
          <t>Through the Griffin Door Supercut: Order of the Phoenix Chapters 1-3</t>
        </is>
      </c>
      <c r="H264" s="44" t="n">
        <v>0.201412037037037</v>
      </c>
      <c r="I264" s="45" t="n">
        <v>10848</v>
      </c>
      <c r="J264" s="45" t="n">
        <v>240</v>
      </c>
      <c r="K264" s="45" t="n">
        <v>73</v>
      </c>
      <c r="L264" s="46" t="n"/>
      <c r="M264" s="47" t="n"/>
      <c r="N264" s="47" t="inlineStr">
        <is>
          <t>UCKZo4N0lVPccBkSiuyVh4yg</t>
        </is>
      </c>
      <c r="O264" s="48" t="n">
        <v>45913.58333333334</v>
      </c>
      <c r="P264" s="49" t="n">
        <v>45913</v>
      </c>
      <c r="Q264" s="47" t="n">
        <v>3004</v>
      </c>
      <c r="R264" s="47" t="inlineStr">
        <is>
          <t>No Video ID yet</t>
        </is>
      </c>
      <c r="S264" s="49" t="n"/>
      <c r="T264" s="49" t="n"/>
      <c r="U264" s="47" t="inlineStr">
        <is>
          <t>0:00:00 - Chapter 1: Dudley Demented 1:28:51 - Chapter 2: A Peck of Owls 3:16:30 - Chapter 3: The Advance Guard</t>
        </is>
      </c>
      <c r="V264" s="47">
        <f>IF(AND(P264&gt;=Calendar!$K$2,P264&lt;EDATE(Calendar!$K$2,1),OR(Calendar!$K$4="*",N264=Calendar!$K$4)),P264*100+COUNTIFS($P$6:$P$3267,P264,$Q$6:$Q$3267,"&lt;="&amp;Q264,$N$6:$N$3267,Calendar!$K$4),"")</f>
        <v/>
      </c>
      <c r="W264" s="47">
        <f>IF(AND(B264=Queue!$C$4,OR(Queue!$K$4="*",N264=Queue!$K$4)),Q264,"")</f>
        <v/>
      </c>
    </row>
    <row r="265">
      <c r="A265" s="38">
        <f>IF(M265="","",HYPERLINK("https://www.youtube.com/watch?v="&amp;M265,"▶"))</f>
        <v/>
      </c>
      <c r="B265" s="39">
        <f>IF(C265&lt;&gt;"",C265,IF(P265&lt;=IFERROR(INDEX(tblChannels[Watched Through],MATCH(N265,tblChannels[Channel ID],0)),0),"Watched","Unwatched"))</f>
        <v/>
      </c>
      <c r="C265" s="40" t="n"/>
      <c r="D265" s="41" t="n"/>
      <c r="E265" s="42" t="n">
        <v>45912.65555555555</v>
      </c>
      <c r="F265" s="50" t="inlineStr">
        <is>
          <t>Super Carlin Brothers</t>
        </is>
      </c>
      <c r="G265" t="inlineStr">
        <is>
          <t>Why Are The Malfoy’s SO RICH?! | Harry Potter Film Theory</t>
        </is>
      </c>
      <c r="H265" s="44" t="n">
        <v>0.01015046296296296</v>
      </c>
      <c r="I265" s="45" t="n">
        <v>121444</v>
      </c>
      <c r="J265" s="45" t="n">
        <v>5061</v>
      </c>
      <c r="K265" s="45" t="n">
        <v>456</v>
      </c>
      <c r="L265" s="46" t="n"/>
      <c r="M265" s="47" t="n"/>
      <c r="N265" s="47" t="inlineStr">
        <is>
          <t>UCKZo4N0lVPccBkSiuyVh4yg</t>
        </is>
      </c>
      <c r="O265" s="48" t="n">
        <v>45912.82222222222</v>
      </c>
      <c r="P265" s="49" t="n">
        <v>45912</v>
      </c>
      <c r="Q265" s="47" t="n">
        <v>3003</v>
      </c>
      <c r="R265" s="47" t="inlineStr">
        <is>
          <t>No Video ID yet</t>
        </is>
      </c>
      <c r="S265" s="49" t="n"/>
      <c r="T265" s="49" t="n"/>
      <c r="U265" s="47" t="inlineStr">
        <is>
          <t>This episode is sponsored by BetterHelp – Go to to get 10% off your first month. This episode is sponsored by Shopify – Go to to sign up for your $1-per-month trial period. How did the Malfoy family get their enormous wealth in the Wizarding World? From Malfoy Manor to Quidditch Top Box tickets, the Malfoys are the ultimate example of pure-blood privilege. But where does all that gold actually come from — and are the Malfoys truly evil, or just opportunistic? Today we dive into their 1,000-year history, their “slippery” legacy, and how they managed to stay on top of wizarding society for centuries. #HarryPotter #SuperCarlinBrother #WizardingWorld Des Moines, IA - 9/19 (SOLD OUT) St. Paul, MN - 9/20 (SOLD OUT) Detroit, MI - 9/24 (SOLD OUT) Cleveland, OH - 9/25 (SOLD OUT)</t>
        </is>
      </c>
      <c r="V265" s="47">
        <f>IF(AND(P265&gt;=Calendar!$K$2,P265&lt;EDATE(Calendar!$K$2,1),OR(Calendar!$K$4="*",N265=Calendar!$K$4)),P265*100+COUNTIFS($P$6:$P$3267,P265,$Q$6:$Q$3267,"&lt;="&amp;Q265,$N$6:$N$3267,Calendar!$K$4),"")</f>
        <v/>
      </c>
      <c r="W265" s="47">
        <f>IF(AND(B265=Queue!$C$4,OR(Queue!$K$4="*",N265=Queue!$K$4)),Q265,"")</f>
        <v/>
      </c>
    </row>
    <row r="266">
      <c r="A266" s="38">
        <f>IF(M266="","",HYPERLINK("https://www.youtube.com/watch?v="&amp;M266,"▶"))</f>
        <v/>
      </c>
      <c r="B266" s="39">
        <f>IF(C266&lt;&gt;"",C266,IF(P266&lt;=IFERROR(INDEX(tblChannels[Watched Through],MATCH(N266,tblChannels[Channel ID],0)),0),"Watched","Unwatched"))</f>
        <v/>
      </c>
      <c r="C266" s="40" t="n"/>
      <c r="D266" s="41" t="n"/>
      <c r="E266" s="42" t="n">
        <v>45912.41666666666</v>
      </c>
      <c r="F266" s="43" t="inlineStr">
        <is>
          <t>Popcorn Culture</t>
        </is>
      </c>
      <c r="G266" t="inlineStr">
        <is>
          <t>Don’t Teach Fear | Popcorn Culture</t>
        </is>
      </c>
      <c r="H266" s="44" t="n">
        <v>0.04415509259259259</v>
      </c>
      <c r="I266" s="45" t="n">
        <v>2688</v>
      </c>
      <c r="J266" s="45" t="n">
        <v>127</v>
      </c>
      <c r="K266" s="45" t="n">
        <v>21</v>
      </c>
      <c r="L266" s="46" t="n"/>
      <c r="M266" s="47" t="n"/>
      <c r="N266" s="47" t="inlineStr">
        <is>
          <t>UCHfIbq9thHPC8yrKjAdJgDA</t>
        </is>
      </c>
      <c r="O266" s="48" t="n">
        <v>45912.58333333334</v>
      </c>
      <c r="P266" s="49" t="n">
        <v>45912</v>
      </c>
      <c r="Q266" s="47" t="n">
        <v>3002</v>
      </c>
      <c r="R266" s="47" t="inlineStr">
        <is>
          <t>No Video ID yet</t>
        </is>
      </c>
      <c r="S266" s="49" t="n"/>
      <c r="T266" s="49" t="n"/>
      <c r="U266" s="47" t="inlineStr">
        <is>
          <t>In the 301st episode of the Pop, Ben and J discuss draft day, the band Fun and the nature of fame, learned fear, and Mahjong. Caitlin Clark - Nate Ruess - That Thing You Do - Matthew McConaughey - Bo Burnahm - Get your tickets for Through the Griffin Tour MIDWEST here: St. Louis, MO - 9/17 (sold out) Detroit, MI - 9/24 (sold out) Taylor Grade Fame A Jong-Off 00:00 - Intro, Fantasy Football 07:16 - Fame 32:11 - Parenting Hot Take 55:15 - Mahjong Clans</t>
        </is>
      </c>
      <c r="V266" s="47">
        <f>IF(AND(P266&gt;=Calendar!$K$2,P266&lt;EDATE(Calendar!$K$2,1),OR(Calendar!$K$4="*",N266=Calendar!$K$4)),P266*100+COUNTIFS($P$6:$P$3267,P266,$Q$6:$Q$3267,"&lt;="&amp;Q266,$N$6:$N$3267,Calendar!$K$4),"")</f>
        <v/>
      </c>
      <c r="W266" s="47">
        <f>IF(AND(B266=Queue!$C$4,OR(Queue!$K$4="*",N266=Queue!$K$4)),Q266,"")</f>
        <v/>
      </c>
    </row>
    <row r="267">
      <c r="A267" s="38">
        <f>IF(M267="","",HYPERLINK("https://www.youtube.com/watch?v="&amp;M267,"▶"))</f>
        <v/>
      </c>
      <c r="B267" s="39">
        <f>IF(C267&lt;&gt;"",C267,IF(P267&lt;=IFERROR(INDEX(tblChannels[Watched Through],MATCH(N267,tblChannels[Channel ID],0)),0),"Watched","Unwatched"))</f>
        <v/>
      </c>
      <c r="C267" s="40" t="n"/>
      <c r="D267" s="41" t="n"/>
      <c r="E267" s="42" t="n">
        <v>45910.64861111111</v>
      </c>
      <c r="F267" s="50" t="inlineStr">
        <is>
          <t>Super Carlin Brothers</t>
        </is>
      </c>
      <c r="G267" t="inlineStr">
        <is>
          <t>J vs Ben: MAX DIFFICULTY Sorcerer’s Stone Open Book Harry Potter Quiz</t>
        </is>
      </c>
      <c r="H267" s="44" t="n">
        <v>0.03016203703703704</v>
      </c>
      <c r="I267" s="45" t="n">
        <v>98102</v>
      </c>
      <c r="J267" s="45" t="n">
        <v>3678</v>
      </c>
      <c r="K267" s="45" t="n">
        <v>656</v>
      </c>
      <c r="L267" s="46" t="n"/>
      <c r="M267" s="47" t="n"/>
      <c r="N267" s="47" t="inlineStr">
        <is>
          <t>UCKZo4N0lVPccBkSiuyVh4yg</t>
        </is>
      </c>
      <c r="O267" s="48" t="n">
        <v>45910.81527777778</v>
      </c>
      <c r="P267" s="49" t="n">
        <v>45910</v>
      </c>
      <c r="Q267" s="47" t="n">
        <v>3001</v>
      </c>
      <c r="R267" s="47" t="inlineStr">
        <is>
          <t>No Video ID yet</t>
        </is>
      </c>
      <c r="S267" s="49" t="n"/>
      <c r="T267" s="49" t="n"/>
      <c r="U267" s="47" t="inlineStr">
        <is>
          <t>Download the Upside app and use code JVSB to get an extra 25 cents back for every gallon on your first tank of gas. Today J and Ben and the Quiz Masters CRANK up the difficulty to a new level as they introduce the OPEN BOOK concept to the format - The guys can look up any answer they dont know… as long as they can do it in under 30 seconds.. Huge thanks to our Patrons for submitting today’s questions: Tara Walker, distitch626, Complete Crimson, Julie Sherwood, Ben Henderson, Abby, Bradferd, Natalia Nalepa, GooeyChewie, Essential Escapism, Fis, Rowena R., Dola, Kayela, Drawing Xaos, and LawNinja! Play along and let us know your score in the comments! #HarryPotter #SuperCarlinBrother #WizardingWorld Des Moines, IA - 9/19 (SOLD OUT) St. Paul, MN - 9/20 (SOLD OUT) Detroit, MI - 9/24 (SOLD OUT) Cleveland, OH - 9/25 (SOLD OUT) Written by :: The Quiz Masters! Hosted by :: Ethan Edghill</t>
        </is>
      </c>
      <c r="V267" s="47">
        <f>IF(AND(P267&gt;=Calendar!$K$2,P267&lt;EDATE(Calendar!$K$2,1),OR(Calendar!$K$4="*",N267=Calendar!$K$4)),P267*100+COUNTIFS($P$6:$P$3267,P267,$Q$6:$Q$3267,"&lt;="&amp;Q267,$N$6:$N$3267,Calendar!$K$4),"")</f>
        <v/>
      </c>
      <c r="W267" s="47">
        <f>IF(AND(B267=Queue!$C$4,OR(Queue!$K$4="*",N267=Queue!$K$4)),Q267,"")</f>
        <v/>
      </c>
    </row>
    <row r="268">
      <c r="A268" s="38">
        <f>IF(M268="","",HYPERLINK("https://www.youtube.com/watch?v="&amp;M268,"▶"))</f>
        <v/>
      </c>
      <c r="B268" s="39">
        <f>IF(C268&lt;&gt;"",C268,IF(P268&lt;=IFERROR(INDEX(tblChannels[Watched Through],MATCH(N268,tblChannels[Channel ID],0)),0),"Watched","Unwatched"))</f>
        <v/>
      </c>
      <c r="C268" s="40" t="n"/>
      <c r="D268" s="41" t="n"/>
      <c r="E268" s="42" t="n">
        <v>45907.41736111111</v>
      </c>
      <c r="F268" s="51" t="inlineStr">
        <is>
          <t>Through The Griffin Door</t>
        </is>
      </c>
      <c r="G268" t="inlineStr">
        <is>
          <t>Chapter 3: The Advance Guard | Order of the Phoenix</t>
        </is>
      </c>
      <c r="H268" s="44" t="n">
        <v>0.06600694444444444</v>
      </c>
      <c r="I268" s="45" t="n">
        <v>51647</v>
      </c>
      <c r="J268" s="45" t="n">
        <v>1428</v>
      </c>
      <c r="K268" s="45" t="n">
        <v>459</v>
      </c>
      <c r="L268" s="46" t="n"/>
      <c r="M268" s="47" t="n"/>
      <c r="N268" s="47" t="inlineStr">
        <is>
          <t>UCEscP6ETYXWSSvsNrDHekMQ</t>
        </is>
      </c>
      <c r="O268" s="48" t="n">
        <v>45907.58402777778</v>
      </c>
      <c r="P268" s="49" t="n">
        <v>45907</v>
      </c>
      <c r="Q268" s="47" t="n">
        <v>3000</v>
      </c>
      <c r="R268" s="47" t="inlineStr">
        <is>
          <t>No Video ID yet</t>
        </is>
      </c>
      <c r="S268" s="49" t="n"/>
      <c r="T268" s="49" t="n"/>
      <c r="U268" s="47" t="inlineStr">
        <is>
          <t>This episode is sponsored by MasterClass: Our listeners get an additional 15% off any annual membership at Join J and Ben as they dive into Chapter 3 of the Order of the Phoenix and discuss Harry being depressed, the guard arriving, Tonks being Moody’s protege and possibly a descendant of Helga Hufflepuff, the trace, flying to Grimmauld Place and the Deluminator. Barty Crouch Jr’s HORCRUX - Kowalski Is A Descendant Of Helga Hufflepuff - How Dumbledore Created The Deluminator - THROUGH THE GRIFFIN TOUR MIDWEST TICKETS ARE ON SALE RIGHT NOW St. Louis, MO - 9/17 (low ticket warning) Detroit, MI - 9/24 (sold out) 09:42 - Chapter Breakdown 59:54 - Ad Break (MasterClass) 1:01:26 - More Chapter Breakdown 1:27:13 - Closing Thoughts and Review</t>
        </is>
      </c>
      <c r="V268" s="47">
        <f>IF(AND(P268&gt;=Calendar!$K$2,P268&lt;EDATE(Calendar!$K$2,1),OR(Calendar!$K$4="*",N268=Calendar!$K$4)),P268*100+COUNTIFS($P$6:$P$3267,P268,$Q$6:$Q$3267,"&lt;="&amp;Q268,$N$6:$N$3267,Calendar!$K$4),"")</f>
        <v/>
      </c>
      <c r="W268" s="47">
        <f>IF(AND(B268=Queue!$C$4,OR(Queue!$K$4="*",N268=Queue!$K$4)),Q268,"")</f>
        <v/>
      </c>
    </row>
    <row r="269">
      <c r="A269" s="38">
        <f>IF(M269="","",HYPERLINK("https://www.youtube.com/watch?v="&amp;M269,"▶"))</f>
        <v/>
      </c>
      <c r="B269" s="39">
        <f>IF(C269&lt;&gt;"",C269,IF(P269&lt;=IFERROR(INDEX(tblChannels[Watched Through],MATCH(N269,tblChannels[Channel ID],0)),0),"Watched","Unwatched"))</f>
        <v/>
      </c>
      <c r="C269" s="40" t="n"/>
      <c r="D269" s="41" t="n"/>
      <c r="E269" s="42" t="n">
        <v>45905.7125</v>
      </c>
      <c r="F269" s="50" t="inlineStr">
        <is>
          <t>Super Carlin Brothers</t>
        </is>
      </c>
      <c r="G269" t="inlineStr">
        <is>
          <t>We SOLVED The Thestral Problem! | Harry Potter Film Theory</t>
        </is>
      </c>
      <c r="H269" s="44" t="n">
        <v>0.01105324074074074</v>
      </c>
      <c r="I269" s="45" t="n">
        <v>139140</v>
      </c>
      <c r="J269" s="45" t="n">
        <v>6470</v>
      </c>
      <c r="K269" s="45" t="n">
        <v>663</v>
      </c>
      <c r="L269" s="46" t="n"/>
      <c r="M269" s="47" t="n"/>
      <c r="N269" s="47" t="inlineStr">
        <is>
          <t>UCKZo4N0lVPccBkSiuyVh4yg</t>
        </is>
      </c>
      <c r="O269" s="48" t="n">
        <v>45905.87916666667</v>
      </c>
      <c r="P269" s="49" t="n">
        <v>45905</v>
      </c>
      <c r="Q269" s="47" t="n">
        <v>2999</v>
      </c>
      <c r="R269" s="47" t="inlineStr">
        <is>
          <t>No Video ID yet</t>
        </is>
      </c>
      <c r="S269" s="49" t="n"/>
      <c r="T269" s="49" t="n"/>
      <c r="U269" s="47" t="inlineStr">
        <is>
          <t>Get started with AG1 Next Gen for less than $3 a day when you subscribe! Why couldn’t Harry see the Thestrals until Order of the Phoenix? Today we finally SOLVE this Harry Potter mystery. Fans have debated this one for YEARS: why couldn’t Harry see the Thestrals sooner? After witnessing multiple deaths before Order of the Phoenix, shouldn’t they have been visible already? Today, we’re breaking it ALL down — from Harry’s earliest memories of his parents, to Quirrell, Cedric, and even the connection between Harry and Voldemort. By the end, you’ll understand the real reason Harry only sees Thestrals when he does. There’s no such thing as plot holes — just opportunities for theories! ⚡ #HarryPotter #SuperCarlinBrother #WizardingWorld Des Moines, IA - 9/19 (SOLD OUT) St. Paul, MN - 9/20 (SOLD OUT) Detroit, MI - 9/24 (SOLD OUT) Cleveland, OH - 9/25 (SOLD OUT)</t>
        </is>
      </c>
      <c r="V269" s="47">
        <f>IF(AND(P269&gt;=Calendar!$K$2,P269&lt;EDATE(Calendar!$K$2,1),OR(Calendar!$K$4="*",N269=Calendar!$K$4)),P269*100+COUNTIFS($P$6:$P$3267,P269,$Q$6:$Q$3267,"&lt;="&amp;Q269,$N$6:$N$3267,Calendar!$K$4),"")</f>
        <v/>
      </c>
      <c r="W269" s="47">
        <f>IF(AND(B269=Queue!$C$4,OR(Queue!$K$4="*",N269=Queue!$K$4)),Q269,"")</f>
        <v/>
      </c>
    </row>
    <row r="270">
      <c r="A270" s="38">
        <f>IF(M270="","",HYPERLINK("https://www.youtube.com/watch?v="&amp;M270,"▶"))</f>
        <v/>
      </c>
      <c r="B270" s="39">
        <f>IF(C270&lt;&gt;"",C270,IF(P270&lt;=IFERROR(INDEX(tblChannels[Watched Through],MATCH(N270,tblChannels[Channel ID],0)),0),"Watched","Unwatched"))</f>
        <v/>
      </c>
      <c r="C270" s="40" t="n"/>
      <c r="D270" s="41" t="n"/>
      <c r="E270" s="42" t="n">
        <v>45905.41666666666</v>
      </c>
      <c r="F270" s="43" t="inlineStr">
        <is>
          <t>Popcorn Culture</t>
        </is>
      </c>
      <c r="G270" t="inlineStr">
        <is>
          <t>EPISODE 300 - Would We Stop the Pop?? | Popcorn Culture</t>
        </is>
      </c>
      <c r="H270" s="44" t="n">
        <v>0.04819444444444444</v>
      </c>
      <c r="I270" s="45" t="n">
        <v>3126</v>
      </c>
      <c r="J270" s="45" t="n">
        <v>169</v>
      </c>
      <c r="K270" s="45" t="n">
        <v>35</v>
      </c>
      <c r="L270" s="46" t="n"/>
      <c r="M270" s="47" t="n"/>
      <c r="N270" s="47" t="inlineStr">
        <is>
          <t>UCHfIbq9thHPC8yrKjAdJgDA</t>
        </is>
      </c>
      <c r="O270" s="48" t="n">
        <v>45905.58333333334</v>
      </c>
      <c r="P270" s="49" t="n">
        <v>45905</v>
      </c>
      <c r="Q270" s="47" t="n">
        <v>2998</v>
      </c>
      <c r="R270" s="47" t="inlineStr">
        <is>
          <t>No Video ID yet</t>
        </is>
      </c>
      <c r="S270" s="49" t="n"/>
      <c r="T270" s="49" t="n"/>
      <c r="U270" s="47" t="inlineStr">
        <is>
          <t>In the THREE HUNDRETH episode of the Pop: Ben and J discuss new dock, NOTW podcast dreams, surfing, brotherhood, the numbers, and dream roller coasters. Get your tickets for Through the Griffin Tour MIDWEST here: St. Louis, MO - 9/17 (low ticket warning) Detroit, MI - 9/24 (sold out) 00:00 - Intro, 300!!! 03:20 - Q1: The Best Things? 08:24 - Q2: Sports as Adults 21:01 - Q3: Working Together 30:32 - Q4: Wish You Knew 43:37 - Q5: Stopping the Pop? 55:30 - Q6: Dream WDW Ride</t>
        </is>
      </c>
      <c r="V270" s="47">
        <f>IF(AND(P270&gt;=Calendar!$K$2,P270&lt;EDATE(Calendar!$K$2,1),OR(Calendar!$K$4="*",N270=Calendar!$K$4)),P270*100+COUNTIFS($P$6:$P$3267,P270,$Q$6:$Q$3267,"&lt;="&amp;Q270,$N$6:$N$3267,Calendar!$K$4),"")</f>
        <v/>
      </c>
      <c r="W270" s="47">
        <f>IF(AND(B270=Queue!$C$4,OR(Queue!$K$4="*",N270=Queue!$K$4)),Q270,"")</f>
        <v/>
      </c>
    </row>
    <row r="271">
      <c r="A271" s="38">
        <f>IF(M271="","",HYPERLINK("https://www.youtube.com/watch?v="&amp;M271,"▶"))</f>
        <v/>
      </c>
      <c r="B271" s="39">
        <f>IF(C271&lt;&gt;"",C271,IF(P271&lt;=IFERROR(INDEX(tblChannels[Watched Through],MATCH(N271,tblChannels[Channel ID],0)),0),"Watched","Unwatched"))</f>
        <v/>
      </c>
      <c r="C271" s="40" t="n"/>
      <c r="D271" s="41" t="n"/>
      <c r="E271" s="42" t="n">
        <v>45903.71597222222</v>
      </c>
      <c r="F271" s="50" t="inlineStr">
        <is>
          <t>Super Carlin Brothers</t>
        </is>
      </c>
      <c r="G271" t="inlineStr">
        <is>
          <t>Harry COULD Control The Basilisk?! | Harry Potter Film Theory</t>
        </is>
      </c>
      <c r="H271" s="44" t="n">
        <v>0.01159722222222222</v>
      </c>
      <c r="I271" s="45" t="n">
        <v>76753</v>
      </c>
      <c r="J271" s="45" t="n">
        <v>4015</v>
      </c>
      <c r="K271" s="45" t="n">
        <v>488</v>
      </c>
      <c r="L271" s="46" t="n"/>
      <c r="M271" s="47" t="n"/>
      <c r="N271" s="47" t="inlineStr">
        <is>
          <t>UCKZo4N0lVPccBkSiuyVh4yg</t>
        </is>
      </c>
      <c r="O271" s="48" t="n">
        <v>45903.88263888889</v>
      </c>
      <c r="P271" s="49" t="n">
        <v>45903</v>
      </c>
      <c r="Q271" s="47" t="n">
        <v>2997</v>
      </c>
      <c r="R271" s="47" t="inlineStr">
        <is>
          <t>No Video ID yet</t>
        </is>
      </c>
      <c r="S271" s="49" t="n"/>
      <c r="T271" s="49" t="n"/>
      <c r="U271" s="47" t="inlineStr">
        <is>
          <t>This episode is sponsored by BetterHelp. Go to for 10% off your first month. Could Harry have actually controlled the Basilisk in the Chamber of Secrets? 🐍 We know Harry can talk to snakes, but does that mean he could’ve commanded the giant serpent to stop listening to Tom Riddle? Today we dive deep into Parseltongue, Horcrux logic, Ginny’s possession, and some very weird “soul math” to uncover whether Harry might have had the ultimate cheat code all along.. Des Moines, IA - 9/19 (SOLD OUT) St. Paul, MN - 9/20 (SOLD OUT) Detroit, MI - 9/24 (SOLD OUT) Cleveland, OH - 9/25 (SOLD OUT) #harrypotter</t>
        </is>
      </c>
      <c r="V271" s="47">
        <f>IF(AND(P271&gt;=Calendar!$K$2,P271&lt;EDATE(Calendar!$K$2,1),OR(Calendar!$K$4="*",N271=Calendar!$K$4)),P271*100+COUNTIFS($P$6:$P$3267,P271,$Q$6:$Q$3267,"&lt;="&amp;Q271,$N$6:$N$3267,Calendar!$K$4),"")</f>
        <v/>
      </c>
      <c r="W271" s="47">
        <f>IF(AND(B271=Queue!$C$4,OR(Queue!$K$4="*",N271=Queue!$K$4)),Q271,"")</f>
        <v/>
      </c>
    </row>
    <row r="272">
      <c r="A272" s="38">
        <f>IF(M272="","",HYPERLINK("https://www.youtube.com/watch?v="&amp;M272,"▶"))</f>
        <v/>
      </c>
      <c r="B272" s="39">
        <f>IF(C272&lt;&gt;"",C272,IF(P272&lt;=IFERROR(INDEX(tblChannels[Watched Through],MATCH(N272,tblChannels[Channel ID],0)),0),"Watched","Unwatched"))</f>
        <v/>
      </c>
      <c r="C272" s="40" t="n"/>
      <c r="D272" s="41" t="n"/>
      <c r="E272" s="42" t="n">
        <v>45900.41736111111</v>
      </c>
      <c r="F272" s="51" t="inlineStr">
        <is>
          <t>Through The Griffin Door</t>
        </is>
      </c>
      <c r="G272" t="inlineStr">
        <is>
          <t>Chapter 2: A Peck of Owls | Order of the Phoenix</t>
        </is>
      </c>
      <c r="H272" s="44" t="n">
        <v>0.07597222222222222</v>
      </c>
      <c r="I272" s="45" t="n">
        <v>54028</v>
      </c>
      <c r="J272" s="45" t="n">
        <v>1447</v>
      </c>
      <c r="K272" s="45" t="n">
        <v>454</v>
      </c>
      <c r="L272" s="46" t="n"/>
      <c r="M272" s="47" t="n"/>
      <c r="N272" s="47" t="inlineStr">
        <is>
          <t>UCEscP6ETYXWSSvsNrDHekMQ</t>
        </is>
      </c>
      <c r="O272" s="48" t="n">
        <v>45900.58402777778</v>
      </c>
      <c r="P272" s="49" t="n">
        <v>45900</v>
      </c>
      <c r="Q272" s="47" t="n">
        <v>2996</v>
      </c>
      <c r="R272" s="47" t="inlineStr">
        <is>
          <t>No Video ID yet</t>
        </is>
      </c>
      <c r="S272" s="49" t="n"/>
      <c r="T272" s="49" t="n"/>
      <c r="U272" s="47" t="inlineStr">
        <is>
          <t>This episode is sponsored by Mint Mobile – Get your 3-month Unlimited wireless plan for just 15 bucks a month at Join J and Ben as they dive into Chapter 2 of the Order of the Phoenix and discuss Mrs. Figg’s lack of helpfulness, apparition, the sequence of letters, Dudley’s experience with the Dementors, arguing with the Dursleys, and the Howler. In Defense of Dudley Dursley - THROUGH THE GRIFFIN TOUR MIDWEST TICKETS ARE ON SALE RIGHT NOW St. Louis, MO - 9/17 (low ticket warning) Detroit, MI - 9/24 (sold out) 05:21 - Chapter Breakdown 1:00:11 - Ad Break (Mint Mobile) 1:01:47 - More Chapter Breakdown 1:19:12 - Closing Thoughts and Review</t>
        </is>
      </c>
      <c r="V272" s="47">
        <f>IF(AND(P272&gt;=Calendar!$K$2,P272&lt;EDATE(Calendar!$K$2,1),OR(Calendar!$K$4="*",N272=Calendar!$K$4)),P272*100+COUNTIFS($P$6:$P$3267,P272,$Q$6:$Q$3267,"&lt;="&amp;Q272,$N$6:$N$3267,Calendar!$K$4),"")</f>
        <v/>
      </c>
      <c r="W272" s="47">
        <f>IF(AND(B272=Queue!$C$4,OR(Queue!$K$4="*",N272=Queue!$K$4)),Q272,"")</f>
        <v/>
      </c>
    </row>
    <row r="273">
      <c r="A273" s="38">
        <f>IF(M273="","",HYPERLINK("https://www.youtube.com/watch?v="&amp;M273,"▶"))</f>
        <v/>
      </c>
      <c r="B273" s="39">
        <f>IF(C273&lt;&gt;"",C273,IF(P273&lt;=IFERROR(INDEX(tblChannels[Watched Through],MATCH(N273,tblChannels[Channel ID],0)),0),"Watched","Unwatched"))</f>
        <v/>
      </c>
      <c r="C273" s="40" t="n"/>
      <c r="D273" s="41" t="n"/>
      <c r="E273" s="42" t="n">
        <v>45898.70347222222</v>
      </c>
      <c r="F273" s="50" t="inlineStr">
        <is>
          <t>Super Carlin Brothers</t>
        </is>
      </c>
      <c r="G273" t="inlineStr">
        <is>
          <t>The TRUTH About Chocolate Frog Cards | Harry Potter Film Theory</t>
        </is>
      </c>
      <c r="H273" s="44" t="n">
        <v>0.008831018518518519</v>
      </c>
      <c r="I273" s="45" t="n">
        <v>84888</v>
      </c>
      <c r="J273" s="45" t="n">
        <v>4308</v>
      </c>
      <c r="K273" s="45" t="n">
        <v>507</v>
      </c>
      <c r="L273" s="46" t="n"/>
      <c r="M273" s="47" t="n"/>
      <c r="N273" s="47" t="inlineStr">
        <is>
          <t>UCKZo4N0lVPccBkSiuyVh4yg</t>
        </is>
      </c>
      <c r="O273" s="48" t="n">
        <v>45898.87013888889</v>
      </c>
      <c r="P273" s="49" t="n">
        <v>45898</v>
      </c>
      <c r="Q273" s="47" t="n">
        <v>2995</v>
      </c>
      <c r="R273" s="47" t="inlineStr">
        <is>
          <t>No Video ID yet</t>
        </is>
      </c>
      <c r="S273" s="49" t="n"/>
      <c r="T273" s="49" t="n"/>
      <c r="U273" s="47" t="inlineStr">
        <is>
          <t>This episode is sponsored by BetterHelp. Go to for 10% off your first month. Your new wardrobe awaits! Get $10 off @chubbies with the code super at #chubbiespod How does Dumbledore always seem to know what’s going on? From intercepted owls to enchanted mirrors, wizarding communication is unpredictable at best—but Dumbledore? He’s always one step ahead. Today we’re diving into a theory that might finally explain it: Chocolate Frog Cards. From suspicious clues in the books, to Bill Weasley’s grin, to Dumbledore’s candy-coated genius—could these little wizard trading cards secretly be his greatest communication tool? Des Moines, IA - 9/19 (SOLD OUT) St. Paul, MN - 9/20 (SOLD OUT) Detroit, MI - 9/24 (SOLD OUT) Cleveland, OH - 9/25 (SOLD OUT)</t>
        </is>
      </c>
      <c r="V273" s="47">
        <f>IF(AND(P273&gt;=Calendar!$K$2,P273&lt;EDATE(Calendar!$K$2,1),OR(Calendar!$K$4="*",N273=Calendar!$K$4)),P273*100+COUNTIFS($P$6:$P$3267,P273,$Q$6:$Q$3267,"&lt;="&amp;Q273,$N$6:$N$3267,Calendar!$K$4),"")</f>
        <v/>
      </c>
      <c r="W273" s="47">
        <f>IF(AND(B273=Queue!$C$4,OR(Queue!$K$4="*",N273=Queue!$K$4)),Q273,"")</f>
        <v/>
      </c>
    </row>
    <row r="274">
      <c r="A274" s="38">
        <f>IF(M274="","",HYPERLINK("https://www.youtube.com/watch?v="&amp;M274,"▶"))</f>
        <v/>
      </c>
      <c r="B274" s="39">
        <f>IF(C274&lt;&gt;"",C274,IF(P274&lt;=IFERROR(INDEX(tblChannels[Watched Through],MATCH(N274,tblChannels[Channel ID],0)),0),"Watched","Unwatched"))</f>
        <v/>
      </c>
      <c r="C274" s="40" t="n"/>
      <c r="D274" s="41" t="n"/>
      <c r="E274" s="42" t="n">
        <v>45898.41666666666</v>
      </c>
      <c r="F274" s="43" t="inlineStr">
        <is>
          <t>Popcorn Culture</t>
        </is>
      </c>
      <c r="G274" t="inlineStr">
        <is>
          <t>J WON WORLDS! | Popcorn Culture</t>
        </is>
      </c>
      <c r="H274" s="44" t="n">
        <v>0.04820601851851852</v>
      </c>
      <c r="I274" s="45" t="n">
        <v>2868</v>
      </c>
      <c r="J274" s="45" t="n">
        <v>154</v>
      </c>
      <c r="K274" s="45" t="n">
        <v>12</v>
      </c>
      <c r="L274" s="46" t="n"/>
      <c r="M274" s="47" t="n"/>
      <c r="N274" s="47" t="inlineStr">
        <is>
          <t>UCHfIbq9thHPC8yrKjAdJgDA</t>
        </is>
      </c>
      <c r="O274" s="48" t="n">
        <v>45898.58333333334</v>
      </c>
      <c r="P274" s="49" t="n">
        <v>45898</v>
      </c>
      <c r="Q274" s="47" t="n">
        <v>2994</v>
      </c>
      <c r="R274" s="47" t="inlineStr">
        <is>
          <t>No Video ID yet</t>
        </is>
      </c>
      <c r="S274" s="49" t="n"/>
      <c r="T274" s="49" t="n"/>
      <c r="U274" s="47" t="inlineStr">
        <is>
          <t>In the 299th episode of the Pop, Ben and J discuss farmers' tans, and all the wonderful things at Pokemon Worlds. Check out Through the Griffin Door Patreon to hear those Owlery Episodes - patreon.com/ThroughtheGriffinDoor Get your tickets for Through the Griffin Tour MIDWEST here: St. Louis, MO - 9/17 (low ticket warning) Detroit, MI - 9/24 (sold out) 00:00 - Intro, Tanning 05:29 - Pokemon Worlds</t>
        </is>
      </c>
      <c r="V274" s="47">
        <f>IF(AND(P274&gt;=Calendar!$K$2,P274&lt;EDATE(Calendar!$K$2,1),OR(Calendar!$K$4="*",N274=Calendar!$K$4)),P274*100+COUNTIFS($P$6:$P$3267,P274,$Q$6:$Q$3267,"&lt;="&amp;Q274,$N$6:$N$3267,Calendar!$K$4),"")</f>
        <v/>
      </c>
      <c r="W274" s="47">
        <f>IF(AND(B274=Queue!$C$4,OR(Queue!$K$4="*",N274=Queue!$K$4)),Q274,"")</f>
        <v/>
      </c>
    </row>
    <row r="275">
      <c r="A275" s="38">
        <f>IF(M275="","",HYPERLINK("https://www.youtube.com/watch?v="&amp;M275,"▶"))</f>
        <v/>
      </c>
      <c r="B275" s="39">
        <f>IF(C275&lt;&gt;"",C275,IF(P275&lt;=IFERROR(INDEX(tblChannels[Watched Through],MATCH(N275,tblChannels[Channel ID],0)),0),"Watched","Unwatched"))</f>
        <v/>
      </c>
      <c r="C275" s="40" t="n"/>
      <c r="D275" s="41" t="n"/>
      <c r="E275" s="42" t="n">
        <v>45898.20138888889</v>
      </c>
      <c r="F275" s="52" t="inlineStr">
        <is>
          <t>Super Carlin Gaming</t>
        </is>
      </c>
      <c r="G275" t="inlineStr">
        <is>
          <t>PRISMATIC EVOLUTIONS - Pokemon Box Breakers SEASON 16 -  Episode 1 - 08/28/2025</t>
        </is>
      </c>
      <c r="H275" s="44" t="n">
        <v>0.1109953703703704</v>
      </c>
      <c r="I275" s="45" t="n">
        <v>799</v>
      </c>
      <c r="J275" s="45" t="n">
        <v>34</v>
      </c>
      <c r="K275" s="45" t="n">
        <v>5</v>
      </c>
      <c r="L275" s="46" t="n"/>
      <c r="M275" s="47" t="n"/>
      <c r="N275" s="47" t="inlineStr">
        <is>
          <t>UCor_9jRnNNZVzTuQ92PKsaQ</t>
        </is>
      </c>
      <c r="O275" s="48" t="n">
        <v>45898.36805555555</v>
      </c>
      <c r="P275" s="49" t="n">
        <v>45898</v>
      </c>
      <c r="Q275" s="47" t="n">
        <v>2993</v>
      </c>
      <c r="R275" s="47" t="inlineStr">
        <is>
          <t>No Video ID yet</t>
        </is>
      </c>
      <c r="S275" s="49" t="n"/>
      <c r="T275" s="49" t="n"/>
      <c r="U275" s="47" t="n"/>
      <c r="V275" s="47">
        <f>IF(AND(P275&gt;=Calendar!$K$2,P275&lt;EDATE(Calendar!$K$2,1),OR(Calendar!$K$4="*",N275=Calendar!$K$4)),P275*100+COUNTIFS($P$6:$P$3267,P275,$Q$6:$Q$3267,"&lt;="&amp;Q275,$N$6:$N$3267,Calendar!$K$4),"")</f>
        <v/>
      </c>
      <c r="W275" s="47">
        <f>IF(AND(B275=Queue!$C$4,OR(Queue!$K$4="*",N275=Queue!$K$4)),Q275,"")</f>
        <v/>
      </c>
    </row>
    <row r="276">
      <c r="A276" s="38">
        <f>IF(M276="","",HYPERLINK("https://www.youtube.com/watch?v="&amp;M276,"▶"))</f>
        <v/>
      </c>
      <c r="B276" s="39">
        <f>IF(C276&lt;&gt;"",C276,IF(P276&lt;=IFERROR(INDEX(tblChannels[Watched Through],MATCH(N276,tblChannels[Channel ID],0)),0),"Watched","Unwatched"))</f>
        <v/>
      </c>
      <c r="C276" s="40" t="n"/>
      <c r="D276" s="41" t="n"/>
      <c r="E276" s="42" t="n">
        <v>45896.69305555556</v>
      </c>
      <c r="F276" s="50" t="inlineStr">
        <is>
          <t>Super Carlin Brothers</t>
        </is>
      </c>
      <c r="G276" t="inlineStr">
        <is>
          <t>J vs Ben: Can We Remember MORE Of Our Harry Potter Theories??</t>
        </is>
      </c>
      <c r="H276" s="44" t="n">
        <v>0.03324074074074074</v>
      </c>
      <c r="I276" s="45" t="n">
        <v>124166</v>
      </c>
      <c r="J276" s="45" t="n">
        <v>3792</v>
      </c>
      <c r="K276" s="45" t="n">
        <v>369</v>
      </c>
      <c r="L276" s="46" t="n"/>
      <c r="M276" s="47" t="n"/>
      <c r="N276" s="47" t="inlineStr">
        <is>
          <t>UCKZo4N0lVPccBkSiuyVh4yg</t>
        </is>
      </c>
      <c r="O276" s="48" t="n">
        <v>45896.85972222222</v>
      </c>
      <c r="P276" s="49" t="n">
        <v>45896</v>
      </c>
      <c r="Q276" s="47" t="n">
        <v>2992</v>
      </c>
      <c r="R276" s="47" t="inlineStr">
        <is>
          <t>No Video ID yet</t>
        </is>
      </c>
      <c r="S276" s="49" t="n"/>
      <c r="T276" s="49" t="n"/>
      <c r="U276" s="47" t="inlineStr">
        <is>
          <t>Go to and use code jvsb50off to get 50% off your first box, plus Free Breakfast for 1 Year Snag a Carlin Brothers Coffee Subscription at It’s time for another J vs Ben Quiz — but this time, it’s all about our own Harry Potter theories! After years of making wild predictions, fan theories, and “What If” scenarios, can we actually remember what we said? Or will we get stumped by our own videos? Play along and see if you can beat us! Special thanks to our Patrons who submitted today’s questions: Dorian R., Essential Escapism, Michaela Henry, Bradferd, Amanda B., Teghan Denlinger, Katrina A., Complete Crimson, Tara Walker, Fis, LawNinja, Dola, GooeyChewie, Reddrick, The Hufflepuff Pancake Chef, and Sarah Makiyama! Des Moines, IA - 9/19 (SOLD OUT) St. Paul, MN - 9/20 (SOLD OUT) Detroit, MI - 9/24 (SOLD OUT) Cleveland, OH - 9/25 (SOLD OUT) #harrypotter #SuperCarlinBrothers Written by :: Our Quiz Masters! Hosted by :: Kat Stine</t>
        </is>
      </c>
      <c r="V276" s="47">
        <f>IF(AND(P276&gt;=Calendar!$K$2,P276&lt;EDATE(Calendar!$K$2,1),OR(Calendar!$K$4="*",N276=Calendar!$K$4)),P276*100+COUNTIFS($P$6:$P$3267,P276,$Q$6:$Q$3267,"&lt;="&amp;Q276,$N$6:$N$3267,Calendar!$K$4),"")</f>
        <v/>
      </c>
      <c r="W276" s="47">
        <f>IF(AND(B276=Queue!$C$4,OR(Queue!$K$4="*",N276=Queue!$K$4)),Q276,"")</f>
        <v/>
      </c>
    </row>
    <row r="277">
      <c r="A277" s="38">
        <f>IF(M277="","",HYPERLINK("https://www.youtube.com/watch?v="&amp;M277,"▶"))</f>
        <v/>
      </c>
      <c r="B277" s="39">
        <f>IF(C277&lt;&gt;"",C277,IF(P277&lt;=IFERROR(INDEX(tblChannels[Watched Through],MATCH(N277,tblChannels[Channel ID],0)),0),"Watched","Unwatched"))</f>
        <v/>
      </c>
      <c r="C277" s="40" t="n"/>
      <c r="D277" s="41" t="n"/>
      <c r="E277" s="42" t="n">
        <v>45895.46944444445</v>
      </c>
      <c r="F277" s="50" t="inlineStr">
        <is>
          <t>Super Carlin Brothers</t>
        </is>
      </c>
      <c r="G277" t="inlineStr">
        <is>
          <t>I Built a Pokémon Skateboard! (ASMR)</t>
        </is>
      </c>
      <c r="H277" s="44" t="n">
        <v>0.001666666666666667</v>
      </c>
      <c r="I277" s="45" t="n">
        <v>14859</v>
      </c>
      <c r="J277" s="45" t="n">
        <v>589</v>
      </c>
      <c r="K277" s="45" t="n">
        <v>30</v>
      </c>
      <c r="L277" s="46" t="n"/>
      <c r="M277" s="47" t="n"/>
      <c r="N277" s="47" t="inlineStr">
        <is>
          <t>UCKZo4N0lVPccBkSiuyVh4yg</t>
        </is>
      </c>
      <c r="O277" s="48" t="n">
        <v>45895.63611111111</v>
      </c>
      <c r="P277" s="49" t="n">
        <v>45895</v>
      </c>
      <c r="Q277" s="47" t="n">
        <v>2991</v>
      </c>
      <c r="R277" s="47" t="inlineStr">
        <is>
          <t>No Video ID yet</t>
        </is>
      </c>
      <c r="S277" s="49" t="n"/>
      <c r="T277" s="49" t="n"/>
      <c r="U277" s="47" t="inlineStr">
        <is>
          <t>I built the exclusive Bear Walker Pikachu Skateboard from Pokémon Worlds 2025! ⚡ (with just absolutely zero mishaps at all, not even ONE!) #Pokemon #PokemonWorlds2025 #Pikachu #PokemonShorts #BearWalker #PokemonSkateboard #skate #skateboard #asmrsounds #asmrvideo</t>
        </is>
      </c>
      <c r="V277" s="47">
        <f>IF(AND(P277&gt;=Calendar!$K$2,P277&lt;EDATE(Calendar!$K$2,1),OR(Calendar!$K$4="*",N277=Calendar!$K$4)),P277*100+COUNTIFS($P$6:$P$3267,P277,$Q$6:$Q$3267,"&lt;="&amp;Q277,$N$6:$N$3267,Calendar!$K$4),"")</f>
        <v/>
      </c>
      <c r="W277" s="47">
        <f>IF(AND(B277=Queue!$C$4,OR(Queue!$K$4="*",N277=Queue!$K$4)),Q277,"")</f>
        <v/>
      </c>
    </row>
    <row r="278">
      <c r="A278" s="38">
        <f>IF(M278="","",HYPERLINK("https://www.youtube.com/watch?v="&amp;M278,"▶"))</f>
        <v/>
      </c>
      <c r="B278" s="39">
        <f>IF(C278&lt;&gt;"",C278,IF(P278&lt;=IFERROR(INDEX(tblChannels[Watched Through],MATCH(N278,tblChannels[Channel ID],0)),0),"Watched","Unwatched"))</f>
        <v/>
      </c>
      <c r="C278" s="40" t="n"/>
      <c r="D278" s="41" t="n"/>
      <c r="E278" s="42" t="n">
        <v>45893.41666666666</v>
      </c>
      <c r="F278" s="51" t="inlineStr">
        <is>
          <t>Through The Griffin Door</t>
        </is>
      </c>
      <c r="G278" t="inlineStr">
        <is>
          <t>Chapter 1: Dudley Demented | Order of the Phoenix</t>
        </is>
      </c>
      <c r="H278" s="44" t="n">
        <v>0.06180555555555556</v>
      </c>
      <c r="I278" s="45" t="n">
        <v>58297</v>
      </c>
      <c r="J278" s="45" t="n">
        <v>1607</v>
      </c>
      <c r="K278" s="45" t="n">
        <v>491</v>
      </c>
      <c r="L278" s="46" t="n"/>
      <c r="M278" s="47" t="n"/>
      <c r="N278" s="47" t="inlineStr">
        <is>
          <t>UCEscP6ETYXWSSvsNrDHekMQ</t>
        </is>
      </c>
      <c r="O278" s="48" t="n">
        <v>45893.58333333334</v>
      </c>
      <c r="P278" s="49" t="n">
        <v>45893</v>
      </c>
      <c r="Q278" s="47" t="n">
        <v>2990</v>
      </c>
      <c r="R278" s="47" t="inlineStr">
        <is>
          <t>No Video ID yet</t>
        </is>
      </c>
      <c r="S278" s="49" t="n"/>
      <c r="T278" s="49" t="n"/>
      <c r="U278" s="47" t="inlineStr">
        <is>
          <t>Join J and Ben as they dive into Chapter 1 of the Order of the Phoenix and discuss the muggle news, Vernon grabbing Harry, Mundungus apparating, Harry/Voldemort’s dreams, picking a fight with Dudley and the dementor attack. In Defense of Dudley Dursley - THROUGH THE GRIFFIN TOUR MIDWEST TICKETS ARE ON SALE RIGHT NOW St. Louis, MO - 9/17 (low ticket warning) Detroit, MI - 9/24 (sold out) 08:39 - Chapter Breakdown 1:19:12 - Closing Thoughts and Review</t>
        </is>
      </c>
      <c r="V278" s="47">
        <f>IF(AND(P278&gt;=Calendar!$K$2,P278&lt;EDATE(Calendar!$K$2,1),OR(Calendar!$K$4="*",N278=Calendar!$K$4)),P278*100+COUNTIFS($P$6:$P$3267,P278,$Q$6:$Q$3267,"&lt;="&amp;Q278,$N$6:$N$3267,Calendar!$K$4),"")</f>
        <v/>
      </c>
      <c r="W278" s="47">
        <f>IF(AND(B278=Queue!$C$4,OR(Queue!$K$4="*",N278=Queue!$K$4)),Q278,"")</f>
        <v/>
      </c>
    </row>
    <row r="279">
      <c r="A279" s="38">
        <f>IF(M279="","",HYPERLINK("https://www.youtube.com/watch?v="&amp;M279,"▶"))</f>
        <v/>
      </c>
      <c r="B279" s="39">
        <f>IF(C279&lt;&gt;"",C279,IF(P279&lt;=IFERROR(INDEX(tblChannels[Watched Through],MATCH(N279,tblChannels[Channel ID],0)),0),"Watched","Unwatched"))</f>
        <v/>
      </c>
      <c r="C279" s="40" t="n"/>
      <c r="D279" s="41" t="n"/>
      <c r="E279" s="42" t="n">
        <v>45891.61666666667</v>
      </c>
      <c r="F279" s="50" t="inlineStr">
        <is>
          <t>Super Carlin Brothers</t>
        </is>
      </c>
      <c r="G279" t="inlineStr">
        <is>
          <t>What If Merope Never Released Tom Riddle? | Harry Potter Theory</t>
        </is>
      </c>
      <c r="H279" s="44" t="n">
        <v>0.01303240740740741</v>
      </c>
      <c r="I279" s="45" t="n">
        <v>182226</v>
      </c>
      <c r="J279" s="45" t="n">
        <v>5538</v>
      </c>
      <c r="K279" s="45" t="n">
        <v>622</v>
      </c>
      <c r="L279" s="46" t="n"/>
      <c r="M279" s="47" t="n"/>
      <c r="N279" s="47" t="inlineStr">
        <is>
          <t>UCKZo4N0lVPccBkSiuyVh4yg</t>
        </is>
      </c>
      <c r="O279" s="48" t="n">
        <v>45891.78333333333</v>
      </c>
      <c r="P279" s="49" t="n">
        <v>45891</v>
      </c>
      <c r="Q279" s="47" t="n">
        <v>2989</v>
      </c>
      <c r="R279" s="47" t="inlineStr">
        <is>
          <t>No Video ID yet</t>
        </is>
      </c>
      <c r="S279" s="49" t="n"/>
      <c r="T279" s="49" t="n"/>
      <c r="U279" s="47" t="inlineStr">
        <is>
          <t>This episode is sponsored by BetterHelp. Get 10% off your first month at In Half-Blood Prince, we learn that Merope Gaunt used a love potion to force Tom Riddle Sr. into a relationship — but once she released him, he abandoned her, and she eventually died giving birth to Voldemort. But what if she never released him? Would Voldemort have had a “normal” childhood? Could love — even fake love — have changed the outcome? Or was Voldemort always destined for darkness? Today we explore how this alternate timeline could have unfolded, from Merope’s choices to Voldemort’s obsession with power, the Deathly Hallows, and even how it might erase Harry Potter from existence entirely. Would the Dark Lord have still risen… or might all have been saved? 🔔 Don’t forget to subscribe for more Harry Potter theories every week! Des Moines, IA - 9/19 (SOLD OUT) St. Paul, MN - 9/20 (SOLD OUT) Detroit, MI - 9/24 (SOLD OUT) Cleveland, OH - 9/25 (SOLD OUT) Written by :: J Carlin</t>
        </is>
      </c>
      <c r="V279" s="47">
        <f>IF(AND(P279&gt;=Calendar!$K$2,P279&lt;EDATE(Calendar!$K$2,1),OR(Calendar!$K$4="*",N279=Calendar!$K$4)),P279*100+COUNTIFS($P$6:$P$3267,P279,$Q$6:$Q$3267,"&lt;="&amp;Q279,$N$6:$N$3267,Calendar!$K$4),"")</f>
        <v/>
      </c>
      <c r="W279" s="47">
        <f>IF(AND(B279=Queue!$C$4,OR(Queue!$K$4="*",N279=Queue!$K$4)),Q279,"")</f>
        <v/>
      </c>
    </row>
    <row r="280">
      <c r="A280" s="38">
        <f>IF(M280="","",HYPERLINK("https://www.youtube.com/watch?v="&amp;M280,"▶"))</f>
        <v/>
      </c>
      <c r="B280" s="39">
        <f>IF(C280&lt;&gt;"",C280,IF(P280&lt;=IFERROR(INDEX(tblChannels[Watched Through],MATCH(N280,tblChannels[Channel ID],0)),0),"Watched","Unwatched"))</f>
        <v/>
      </c>
      <c r="C280" s="40" t="n"/>
      <c r="D280" s="41" t="n"/>
      <c r="E280" s="42" t="n">
        <v>45891.41666666666</v>
      </c>
      <c r="F280" s="43" t="inlineStr">
        <is>
          <t>Popcorn Culture</t>
        </is>
      </c>
      <c r="G280" t="inlineStr">
        <is>
          <t>Ben's SPECIALEST Guest| Popcorn Culture</t>
        </is>
      </c>
      <c r="H280" s="44" t="n">
        <v>0.04976851851851852</v>
      </c>
      <c r="I280" s="45" t="n">
        <v>4425</v>
      </c>
      <c r="J280" s="45" t="n">
        <v>262</v>
      </c>
      <c r="K280" s="45" t="n">
        <v>40</v>
      </c>
      <c r="L280" s="46" t="n"/>
      <c r="M280" s="47" t="n"/>
      <c r="N280" s="47" t="inlineStr">
        <is>
          <t>UCHfIbq9thHPC8yrKjAdJgDA</t>
        </is>
      </c>
      <c r="O280" s="48" t="n">
        <v>45891.58333333334</v>
      </c>
      <c r="P280" s="49" t="n">
        <v>45891</v>
      </c>
      <c r="Q280" s="47" t="n">
        <v>2988</v>
      </c>
      <c r="R280" s="47" t="inlineStr">
        <is>
          <t>No Video ID yet</t>
        </is>
      </c>
      <c r="S280" s="49" t="n"/>
      <c r="T280" s="49" t="n"/>
      <c r="U280" s="47" t="inlineStr">
        <is>
          <t>In the 298th episode of the Pop, Ben and ALYCE(!!!) discuss daily routines, Addy’s new negotiation techniques, their dogs, pageants, Alyce’s ex, star signs, and F1. The Gilded Age - Carlos Sainz - New’d - Ben and Alyce’s Wedding - Get your tickets for Through the Griffin Tour MIDWEST here: St. Louis, MO - 9/17 (low ticket warning) Detroit, MI - 9/24 (sold out) Do We Talk Too Much? Pageant Queen The Third Place 00:00 - Intro, Talking Too Much 12:24 - Negotiating and the Dogs 19:04 - Pageanting 43:13 - David 54:01 - Astrology</t>
        </is>
      </c>
      <c r="V280" s="47">
        <f>IF(AND(P280&gt;=Calendar!$K$2,P280&lt;EDATE(Calendar!$K$2,1),OR(Calendar!$K$4="*",N280=Calendar!$K$4)),P280*100+COUNTIFS($P$6:$P$3267,P280,$Q$6:$Q$3267,"&lt;="&amp;Q280,$N$6:$N$3267,Calendar!$K$4),"")</f>
        <v/>
      </c>
      <c r="W280" s="47">
        <f>IF(AND(B280=Queue!$C$4,OR(Queue!$K$4="*",N280=Queue!$K$4)),Q280,"")</f>
        <v/>
      </c>
    </row>
    <row r="281">
      <c r="A281" s="38">
        <f>IF(M281="","",HYPERLINK("https://www.youtube.com/watch?v="&amp;M281,"▶"))</f>
        <v/>
      </c>
      <c r="B281" s="39">
        <f>IF(C281&lt;&gt;"",C281,IF(P281&lt;=IFERROR(INDEX(tblChannels[Watched Through],MATCH(N281,tblChannels[Channel ID],0)),0),"Watched","Unwatched"))</f>
        <v/>
      </c>
      <c r="C281" s="40" t="n"/>
      <c r="D281" s="41" t="n"/>
      <c r="E281" s="42" t="n">
        <v>45889.67986111111</v>
      </c>
      <c r="F281" s="50" t="inlineStr">
        <is>
          <t>Super Carlin Brothers</t>
        </is>
      </c>
      <c r="G281" t="inlineStr">
        <is>
          <t>Pokémon Fossils Never Went Extinct… They EVOLVED | Pokemon Theory</t>
        </is>
      </c>
      <c r="H281" s="44" t="n">
        <v>0.0115625</v>
      </c>
      <c r="I281" s="45" t="n">
        <v>143862</v>
      </c>
      <c r="J281" s="45" t="n">
        <v>5588</v>
      </c>
      <c r="K281" s="45" t="n">
        <v>927</v>
      </c>
      <c r="L281" s="46" t="n"/>
      <c r="M281" s="47" t="n"/>
      <c r="N281" s="47" t="inlineStr">
        <is>
          <t>UCKZo4N0lVPccBkSiuyVh4yg</t>
        </is>
      </c>
      <c r="O281" s="48" t="n">
        <v>45889.84652777778</v>
      </c>
      <c r="P281" s="49" t="n">
        <v>45889</v>
      </c>
      <c r="Q281" s="47" t="n">
        <v>2987</v>
      </c>
      <c r="R281" s="47" t="inlineStr">
        <is>
          <t>No Video ID yet</t>
        </is>
      </c>
      <c r="S281" s="49" t="n"/>
      <c r="T281" s="49" t="n"/>
      <c r="U281" s="47" t="inlineStr">
        <is>
          <t>Go to to get 20% off the fan favorite Everyday Earbuds Classic! Today J dives into the Wide World of Pokemon to uncover the SECRET Pokémon Fossil Theory Game Freaks has been hiding from us! For decades we’ve been told Aerodactyl, Kabutops, and Omastar disappeared millions of years ago — but the Pokédex, habitats, and even predator-prey relationships tell a different story. Today we uncover the hidden fossil family tree that connects these prehistoric Pokémon to some of the most iconic species we know today: Scyther, Octillery, and more! From the Isle of Armor to the Safari Zone, from Kanto to Galar, from Psyduck’s evolutionary arms race to Aerodactyl’s fiery “rebirth,” the evidence is all there — and it might just change the way you see Fossil Pokémon forever! Des Moines, IA - 9/19 (SOLD OUT) St. Paul, MN - 9/20 (SOLD OUT) Detroit, MI - 9/24 (SOLD OUT) Cleveland, OH - 9/25 (SOLD OUT) Written by :: J Carlin</t>
        </is>
      </c>
      <c r="V281" s="47">
        <f>IF(AND(P281&gt;=Calendar!$K$2,P281&lt;EDATE(Calendar!$K$2,1),OR(Calendar!$K$4="*",N281=Calendar!$K$4)),P281*100+COUNTIFS($P$6:$P$3267,P281,$Q$6:$Q$3267,"&lt;="&amp;Q281,$N$6:$N$3267,Calendar!$K$4),"")</f>
        <v/>
      </c>
      <c r="W281" s="47">
        <f>IF(AND(B281=Queue!$C$4,OR(Queue!$K$4="*",N281=Queue!$K$4)),Q281,"")</f>
        <v/>
      </c>
    </row>
    <row r="282">
      <c r="A282" s="38">
        <f>IF(M282="","",HYPERLINK("https://www.youtube.com/watch?v="&amp;M282,"▶"))</f>
        <v/>
      </c>
      <c r="B282" s="39">
        <f>IF(C282&lt;&gt;"",C282,IF(P282&lt;=IFERROR(INDEX(tblChannels[Watched Through],MATCH(N282,tblChannels[Channel ID],0)),0),"Watched","Unwatched"))</f>
        <v/>
      </c>
      <c r="C282" s="40" t="n"/>
      <c r="D282" s="41" t="n"/>
      <c r="E282" s="42" t="n">
        <v>45886.41736111111</v>
      </c>
      <c r="F282" s="51" t="inlineStr">
        <is>
          <t>Through The Griffin Door</t>
        </is>
      </c>
      <c r="G282" t="inlineStr">
        <is>
          <t>Dumbledore's Big Plan: Goblet of Fire Edition</t>
        </is>
      </c>
      <c r="H282" s="44" t="n">
        <v>0.03835648148148148</v>
      </c>
      <c r="I282" s="45" t="n">
        <v>44224</v>
      </c>
      <c r="J282" s="45" t="n">
        <v>1179</v>
      </c>
      <c r="K282" s="45" t="n">
        <v>318</v>
      </c>
      <c r="L282" s="46" t="n"/>
      <c r="M282" s="47" t="n"/>
      <c r="N282" s="47" t="inlineStr">
        <is>
          <t>UCEscP6ETYXWSSvsNrDHekMQ</t>
        </is>
      </c>
      <c r="O282" s="48" t="n">
        <v>45886.58402777778</v>
      </c>
      <c r="P282" s="49" t="n">
        <v>45886</v>
      </c>
      <c r="Q282" s="47" t="n">
        <v>2986</v>
      </c>
      <c r="R282" s="47" t="inlineStr">
        <is>
          <t>No Video ID yet</t>
        </is>
      </c>
      <c r="S282" s="49" t="n"/>
      <c r="T282" s="49" t="n"/>
      <c r="U282" s="47" t="inlineStr">
        <is>
          <t>Join J and Ben as they dive into how Dumbledore’s Big Plan fits into the Goblet of Fire! THROUGH THE GRIFFIN TOUR MIDWEST TICKETS ARE ON SALE RIGHT NOW St. Louis, MO - 9/17 (low ticket warning) Detroit, MI - 9/24 (low ticket warning) 05:16 - DBP Breakdown 29:23- Ad Break (Pair Eyewear) 30:38 - More DBP Breakdown</t>
        </is>
      </c>
      <c r="V282" s="47">
        <f>IF(AND(P282&gt;=Calendar!$K$2,P282&lt;EDATE(Calendar!$K$2,1),OR(Calendar!$K$4="*",N282=Calendar!$K$4)),P282*100+COUNTIFS($P$6:$P$3267,P282,$Q$6:$Q$3267,"&lt;="&amp;Q282,$N$6:$N$3267,Calendar!$K$4),"")</f>
        <v/>
      </c>
      <c r="W282" s="47">
        <f>IF(AND(B282=Queue!$C$4,OR(Queue!$K$4="*",N282=Queue!$K$4)),Q282,"")</f>
        <v/>
      </c>
    </row>
    <row r="283">
      <c r="A283" s="38">
        <f>IF(M283="","",HYPERLINK("https://www.youtube.com/watch?v="&amp;M283,"▶"))</f>
        <v/>
      </c>
      <c r="B283" s="39">
        <f>IF(C283&lt;&gt;"",C283,IF(P283&lt;=IFERROR(INDEX(tblChannels[Watched Through],MATCH(N283,tblChannels[Channel ID],0)),0),"Watched","Unwatched"))</f>
        <v/>
      </c>
      <c r="C283" s="40" t="n"/>
      <c r="D283" s="41" t="n"/>
      <c r="E283" s="42" t="n">
        <v>45885.41736111111</v>
      </c>
      <c r="F283" s="50" t="inlineStr">
        <is>
          <t>Super Carlin Brothers</t>
        </is>
      </c>
      <c r="G283" t="inlineStr">
        <is>
          <t>Through the Griffin Door Supercut: Goblet of Fire Chapters 34-37</t>
        </is>
      </c>
      <c r="H283" s="44" t="n">
        <v>0.2760416666666667</v>
      </c>
      <c r="I283" s="45" t="n">
        <v>11281</v>
      </c>
      <c r="J283" s="45" t="n">
        <v>223</v>
      </c>
      <c r="K283" s="45" t="n">
        <v>47</v>
      </c>
      <c r="L283" s="46" t="n"/>
      <c r="M283" s="47" t="n"/>
      <c r="N283" s="47" t="inlineStr">
        <is>
          <t>UCKZo4N0lVPccBkSiuyVh4yg</t>
        </is>
      </c>
      <c r="O283" s="48" t="n">
        <v>45885.58402777778</v>
      </c>
      <c r="P283" s="49" t="n">
        <v>45885</v>
      </c>
      <c r="Q283" s="47" t="n">
        <v>2985</v>
      </c>
      <c r="R283" s="47" t="inlineStr">
        <is>
          <t>No Video ID yet</t>
        </is>
      </c>
      <c r="S283" s="49" t="n"/>
      <c r="T283" s="49" t="n"/>
      <c r="U283" s="47" t="inlineStr">
        <is>
          <t>0:00:00 - Chapter 34: Priori Incantatem 1:26:26 - Chapter 35: Veritaserum 3:08:52 - Chapter 36: The Parting of the Ways 4:51:43 - Chapter 37: The Beginning</t>
        </is>
      </c>
      <c r="V283" s="47">
        <f>IF(AND(P283&gt;=Calendar!$K$2,P283&lt;EDATE(Calendar!$K$2,1),OR(Calendar!$K$4="*",N283=Calendar!$K$4)),P283*100+COUNTIFS($P$6:$P$3267,P283,$Q$6:$Q$3267,"&lt;="&amp;Q283,$N$6:$N$3267,Calendar!$K$4),"")</f>
        <v/>
      </c>
      <c r="W283" s="47">
        <f>IF(AND(B283=Queue!$C$4,OR(Queue!$K$4="*",N283=Queue!$K$4)),Q283,"")</f>
        <v/>
      </c>
    </row>
    <row r="284">
      <c r="A284" s="38">
        <f>IF(M284="","",HYPERLINK("https://www.youtube.com/watch?v="&amp;M284,"▶"))</f>
        <v/>
      </c>
      <c r="B284" s="39">
        <f>IF(C284&lt;&gt;"",C284,IF(P284&lt;=IFERROR(INDEX(tblChannels[Watched Through],MATCH(N284,tblChannels[Channel ID],0)),0),"Watched","Unwatched"))</f>
        <v/>
      </c>
      <c r="C284" s="40" t="n"/>
      <c r="D284" s="41" t="n"/>
      <c r="E284" s="42" t="n">
        <v>45884.66736111111</v>
      </c>
      <c r="F284" s="50" t="inlineStr">
        <is>
          <t>Super Carlin Brothers</t>
        </is>
      </c>
      <c r="G284" t="inlineStr">
        <is>
          <t>The BIZARRE Reason Vernon Couldn’t Harm Harry | Harry Potter Theory</t>
        </is>
      </c>
      <c r="H284" s="44" t="n">
        <v>0.009189814814814816</v>
      </c>
      <c r="I284" s="45" t="n">
        <v>139273</v>
      </c>
      <c r="J284" s="45" t="n">
        <v>5990</v>
      </c>
      <c r="K284" s="45" t="n">
        <v>701</v>
      </c>
      <c r="L284" s="46" t="n"/>
      <c r="M284" s="47" t="n"/>
      <c r="N284" s="47" t="inlineStr">
        <is>
          <t>UCKZo4N0lVPccBkSiuyVh4yg</t>
        </is>
      </c>
      <c r="O284" s="48" t="n">
        <v>45884.83402777778</v>
      </c>
      <c r="P284" s="49" t="n">
        <v>45884</v>
      </c>
      <c r="Q284" s="47" t="n">
        <v>2984</v>
      </c>
      <c r="R284" s="47" t="inlineStr">
        <is>
          <t>No Video ID yet</t>
        </is>
      </c>
      <c r="S284" s="49" t="n"/>
      <c r="T284" s="49" t="n"/>
      <c r="U284" s="47" t="inlineStr">
        <is>
          <t>This episode is sponsored by BetterHelp - go to to get 10% off your first month. In today’s episode Ben explores a potential NEW power of the “Bond of Blood” charm that we had never previously considered. How far does its power extend? Just Voldemort? His agents? What about the Dursley’s themselves? A recent discovery may just change how we interpret this novel and obscure brand of magic. Des Moines, IA - 9/19 (SOLD OUT) St. Paul, MN - 9/20 (SOLD OUT) Detroit, MI - 9/24 (SOLD OUT) Cleveland, OH - 9/25 (SOLD OUT) Written by :: Ben Carlin</t>
        </is>
      </c>
      <c r="V284" s="47">
        <f>IF(AND(P284&gt;=Calendar!$K$2,P284&lt;EDATE(Calendar!$K$2,1),OR(Calendar!$K$4="*",N284=Calendar!$K$4)),P284*100+COUNTIFS($P$6:$P$3267,P284,$Q$6:$Q$3267,"&lt;="&amp;Q284,$N$6:$N$3267,Calendar!$K$4),"")</f>
        <v/>
      </c>
      <c r="W284" s="47">
        <f>IF(AND(B284=Queue!$C$4,OR(Queue!$K$4="*",N284=Queue!$K$4)),Q284,"")</f>
        <v/>
      </c>
    </row>
    <row r="285">
      <c r="A285" s="38">
        <f>IF(M285="","",HYPERLINK("https://www.youtube.com/watch?v="&amp;M285,"▶"))</f>
        <v/>
      </c>
      <c r="B285" s="39">
        <f>IF(C285&lt;&gt;"",C285,IF(P285&lt;=IFERROR(INDEX(tblChannels[Watched Through],MATCH(N285,tblChannels[Channel ID],0)),0),"Watched","Unwatched"))</f>
        <v/>
      </c>
      <c r="C285" s="40" t="n"/>
      <c r="D285" s="41" t="n"/>
      <c r="E285" s="42" t="n">
        <v>45884.41666666666</v>
      </c>
      <c r="F285" s="43" t="inlineStr">
        <is>
          <t>Popcorn Culture</t>
        </is>
      </c>
      <c r="G285" t="inlineStr">
        <is>
          <t>How to... Charisma? | Popcorn Culture</t>
        </is>
      </c>
      <c r="H285" s="44" t="n">
        <v>0.05803240740740741</v>
      </c>
      <c r="I285" s="45" t="n">
        <v>3171</v>
      </c>
      <c r="J285" s="45" t="n">
        <v>150</v>
      </c>
      <c r="K285" s="45" t="n">
        <v>14</v>
      </c>
      <c r="L285" s="46" t="n"/>
      <c r="M285" s="47" t="n"/>
      <c r="N285" s="47" t="inlineStr">
        <is>
          <t>UCHfIbq9thHPC8yrKjAdJgDA</t>
        </is>
      </c>
      <c r="O285" s="48" t="n">
        <v>45884.58333333334</v>
      </c>
      <c r="P285" s="49" t="n">
        <v>45884</v>
      </c>
      <c r="Q285" s="47" t="n">
        <v>2983</v>
      </c>
      <c r="R285" s="47" t="inlineStr">
        <is>
          <t>No Video ID yet</t>
        </is>
      </c>
      <c r="S285" s="49" t="n"/>
      <c r="T285" s="49" t="n"/>
      <c r="U285" s="47" t="inlineStr">
        <is>
          <t>In the 297th episode of the Pop, Ben and J discuss being charismatic, similarities between The Bear and Encanto, whether or not pressure is helpful or harmful, and taking your kids to the mall. Stitch Fix - The Bear - Encanto - Will Poulter - Get your tickets for Through the Griffin Tour MIDWEST here: St. Louis, MO - 9/17 (low ticket warning) Detroit, MI - 9/24 (sold out) 00:00 - Intro, Charisma 09:22 - Pressure 48:40 - Family Life</t>
        </is>
      </c>
      <c r="V285" s="47">
        <f>IF(AND(P285&gt;=Calendar!$K$2,P285&lt;EDATE(Calendar!$K$2,1),OR(Calendar!$K$4="*",N285=Calendar!$K$4)),P285*100+COUNTIFS($P$6:$P$3267,P285,$Q$6:$Q$3267,"&lt;="&amp;Q285,$N$6:$N$3267,Calendar!$K$4),"")</f>
        <v/>
      </c>
      <c r="W285" s="47">
        <f>IF(AND(B285=Queue!$C$4,OR(Queue!$K$4="*",N285=Queue!$K$4)),Q285,"")</f>
        <v/>
      </c>
    </row>
    <row r="286">
      <c r="A286" s="38">
        <f>IF(M286="","",HYPERLINK("https://www.youtube.com/watch?v="&amp;M286,"▶"))</f>
        <v/>
      </c>
      <c r="B286" s="39">
        <f>IF(C286&lt;&gt;"",C286,IF(P286&lt;=IFERROR(INDEX(tblChannels[Watched Through],MATCH(N286,tblChannels[Channel ID],0)),0),"Watched","Unwatched"))</f>
        <v/>
      </c>
      <c r="C286" s="40" t="n"/>
      <c r="D286" s="41" t="n"/>
      <c r="E286" s="42" t="n">
        <v>45882.70833333334</v>
      </c>
      <c r="F286" s="50" t="inlineStr">
        <is>
          <t>Super Carlin Brothers</t>
        </is>
      </c>
      <c r="G286" t="inlineStr">
        <is>
          <t>J vs. Ben: EXPERT Level Goblet of Fire Quiz | Harry Potter TRIVIA</t>
        </is>
      </c>
      <c r="H286" s="44" t="n">
        <v>0.03127314814814815</v>
      </c>
      <c r="I286" s="45" t="n">
        <v>115153</v>
      </c>
      <c r="J286" s="45" t="n">
        <v>3711</v>
      </c>
      <c r="K286" s="45" t="n">
        <v>389</v>
      </c>
      <c r="L286" s="46" t="n"/>
      <c r="M286" s="47" t="n"/>
      <c r="N286" s="47" t="inlineStr">
        <is>
          <t>UCKZo4N0lVPccBkSiuyVh4yg</t>
        </is>
      </c>
      <c r="O286" s="48" t="n">
        <v>45882.875</v>
      </c>
      <c r="P286" s="49" t="n">
        <v>45882</v>
      </c>
      <c r="Q286" s="47" t="n">
        <v>2982</v>
      </c>
      <c r="R286" s="47" t="inlineStr">
        <is>
          <t>No Video ID yet</t>
        </is>
      </c>
      <c r="S286" s="49" t="n"/>
      <c r="T286" s="49" t="n"/>
      <c r="U286" s="47" t="inlineStr">
        <is>
          <t>This episode is sponsored by Upside - Download the FREE Upside App and use promo code JVSB to get an extra 25 cents back for every gallon on your first tank of gas! This episode is sponsored by Hello Fresh - Go to now to Get 10 Free Meals + a Free Item for Life! J and Ben just wrapped the final chapter of their most thorough read-through yet of Goblet of Fire over on their podcast: Through the Griffin Door - But can they recall the book's most obscure trivia questions? Today we put them to the test with some of the most challenging book four trivia questions thanks to our Quizmasters on Patreon! Des Moines, IA - 9/19 (SOLD OUT) St. Paul, MN - 9/20 (SOLD OUT) Detroit, MI - 9/24 (SOLD OUT) Cleveland, OH - 9/25 (SOLD OUT) Written by :: QUIZMASTERS!</t>
        </is>
      </c>
      <c r="V286" s="47">
        <f>IF(AND(P286&gt;=Calendar!$K$2,P286&lt;EDATE(Calendar!$K$2,1),OR(Calendar!$K$4="*",N286=Calendar!$K$4)),P286*100+COUNTIFS($P$6:$P$3267,P286,$Q$6:$Q$3267,"&lt;="&amp;Q286,$N$6:$N$3267,Calendar!$K$4),"")</f>
        <v/>
      </c>
      <c r="W286" s="47">
        <f>IF(AND(B286=Queue!$C$4,OR(Queue!$K$4="*",N286=Queue!$K$4)),Q286,"")</f>
        <v/>
      </c>
    </row>
    <row r="287">
      <c r="A287" s="38">
        <f>IF(M287="","",HYPERLINK("https://www.youtube.com/watch?v="&amp;M287,"▶"))</f>
        <v/>
      </c>
      <c r="B287" s="39">
        <f>IF(C287&lt;&gt;"",C287,IF(P287&lt;=IFERROR(INDEX(tblChannels[Watched Through],MATCH(N287,tblChannels[Channel ID],0)),0),"Watched","Unwatched"))</f>
        <v/>
      </c>
      <c r="C287" s="40" t="n"/>
      <c r="D287" s="41" t="n"/>
      <c r="E287" s="42" t="n">
        <v>45879.41666666666</v>
      </c>
      <c r="F287" s="51" t="inlineStr">
        <is>
          <t>Through The Griffin Door</t>
        </is>
      </c>
      <c r="G287" t="inlineStr">
        <is>
          <t>Chapter 37: The Beginning | Goblet of Fire</t>
        </is>
      </c>
      <c r="H287" s="44" t="n">
        <v>0.07435185185185185</v>
      </c>
      <c r="I287" s="45" t="n">
        <v>56282</v>
      </c>
      <c r="J287" s="45" t="n">
        <v>1487</v>
      </c>
      <c r="K287" s="45" t="n">
        <v>376</v>
      </c>
      <c r="L287" s="46" t="n"/>
      <c r="M287" s="47" t="n"/>
      <c r="N287" s="47" t="inlineStr">
        <is>
          <t>UCEscP6ETYXWSSvsNrDHekMQ</t>
        </is>
      </c>
      <c r="O287" s="48" t="n">
        <v>45879.58333333334</v>
      </c>
      <c r="P287" s="49" t="n">
        <v>45879</v>
      </c>
      <c r="Q287" s="47" t="n">
        <v>2981</v>
      </c>
      <c r="R287" s="47" t="inlineStr">
        <is>
          <t>No Video ID yet</t>
        </is>
      </c>
      <c r="S287" s="49" t="n"/>
      <c r="T287" s="49" t="n"/>
      <c r="U287" s="47" t="inlineStr">
        <is>
          <t>This episode is sponsored by Pair Eyewear – Go to paireyewear.com and use code 'GRIFFIN' for 15% off your first pair. Join J and Ben as they dive into Chapter 37 (the last chapter!) of the Goblet of Fire and discuss the in-between week, visiting Hagrid, Snape’s position, Dumbledore’s speech, saying goodbye to the other schools, hexings on the train and giving the twins his prize money. THROUGH THE GRIFFIN TOUR MIDWEST TICKETS ARE ON SALE RIGHT NOW St. Louis, MO - 9/17 (low ticket warning) Detroit, MI - 9/24 (low ticket warning) 05:13 - Chapter Breakdown 32:21- Ad Break (Pair Eyewear) 33:39 - More Chapter Breakdown 1:33:41 - Closing Thoughts and Review</t>
        </is>
      </c>
      <c r="V287" s="47">
        <f>IF(AND(P287&gt;=Calendar!$K$2,P287&lt;EDATE(Calendar!$K$2,1),OR(Calendar!$K$4="*",N287=Calendar!$K$4)),P287*100+COUNTIFS($P$6:$P$3267,P287,$Q$6:$Q$3267,"&lt;="&amp;Q287,$N$6:$N$3267,Calendar!$K$4),"")</f>
        <v/>
      </c>
      <c r="W287" s="47">
        <f>IF(AND(B287=Queue!$C$4,OR(Queue!$K$4="*",N287=Queue!$K$4)),Q287,"")</f>
        <v/>
      </c>
    </row>
    <row r="288">
      <c r="A288" s="38">
        <f>IF(M288="","",HYPERLINK("https://www.youtube.com/watch?v="&amp;M288,"▶"))</f>
        <v/>
      </c>
      <c r="B288" s="39">
        <f>IF(C288&lt;&gt;"",C288,IF(P288&lt;=IFERROR(INDEX(tblChannels[Watched Through],MATCH(N288,tblChannels[Channel ID],0)),0),"Watched","Unwatched"))</f>
        <v/>
      </c>
      <c r="C288" s="40" t="n"/>
      <c r="D288" s="41" t="n"/>
      <c r="E288" s="42" t="n">
        <v>45877.67638888889</v>
      </c>
      <c r="F288" s="50" t="inlineStr">
        <is>
          <t>Super Carlin Brothers</t>
        </is>
      </c>
      <c r="G288" t="inlineStr">
        <is>
          <t>Voldemort’s CONFUSING Lineage Explained | Harry Potter Film Theory</t>
        </is>
      </c>
      <c r="H288" s="44" t="n">
        <v>0.01103009259259259</v>
      </c>
      <c r="I288" s="45" t="n">
        <v>95039</v>
      </c>
      <c r="J288" s="45" t="n">
        <v>4383</v>
      </c>
      <c r="K288" s="45" t="n">
        <v>458</v>
      </c>
      <c r="L288" s="46" t="n"/>
      <c r="M288" s="47" t="n"/>
      <c r="N288" s="47" t="inlineStr">
        <is>
          <t>UCKZo4N0lVPccBkSiuyVh4yg</t>
        </is>
      </c>
      <c r="O288" s="48" t="n">
        <v>45877.84305555555</v>
      </c>
      <c r="P288" s="49" t="n">
        <v>45877</v>
      </c>
      <c r="Q288" s="47" t="n">
        <v>2980</v>
      </c>
      <c r="R288" s="47" t="inlineStr">
        <is>
          <t>No Video ID yet</t>
        </is>
      </c>
      <c r="S288" s="49" t="n"/>
      <c r="T288" s="49" t="n"/>
      <c r="U288" s="47" t="inlineStr">
        <is>
          <t>Go to and use promo code SCB for $35 off their best-selling Carver Mat frame. Today Ben dives into the Wizarding World of Harry Potter to figure out how and/or if Voldemort is actually related to the Peverell family, known best for their creation of the Deathly Hallows. PLUS did we accidentally uncover the Bloody Baron’s identity?? Des Moines, IA - 9/19 (SOLD OUT) St. Paul, MN - 9/20 (SOLD OUT) Cleveland, OH - 9/25 (SOLD OUT) Written by :: Jonathan &amp; Ben Carlin</t>
        </is>
      </c>
      <c r="V288" s="47">
        <f>IF(AND(P288&gt;=Calendar!$K$2,P288&lt;EDATE(Calendar!$K$2,1),OR(Calendar!$K$4="*",N288=Calendar!$K$4)),P288*100+COUNTIFS($P$6:$P$3267,P288,$Q$6:$Q$3267,"&lt;="&amp;Q288,$N$6:$N$3267,Calendar!$K$4),"")</f>
        <v/>
      </c>
      <c r="W288" s="47">
        <f>IF(AND(B288=Queue!$C$4,OR(Queue!$K$4="*",N288=Queue!$K$4)),Q288,"")</f>
        <v/>
      </c>
    </row>
    <row r="289">
      <c r="A289" s="38">
        <f>IF(M289="","",HYPERLINK("https://www.youtube.com/watch?v="&amp;M289,"▶"))</f>
        <v/>
      </c>
      <c r="B289" s="39">
        <f>IF(C289&lt;&gt;"",C289,IF(P289&lt;=IFERROR(INDEX(tblChannels[Watched Through],MATCH(N289,tblChannels[Channel ID],0)),0),"Watched","Unwatched"))</f>
        <v/>
      </c>
      <c r="C289" s="40" t="n"/>
      <c r="D289" s="41" t="n"/>
      <c r="E289" s="42" t="n">
        <v>45877.41666666666</v>
      </c>
      <c r="F289" s="43" t="inlineStr">
        <is>
          <t>Popcorn Culture</t>
        </is>
      </c>
      <c r="G289" t="inlineStr">
        <is>
          <t>The Universal Shoving Phenomenon  | Popcorn Culture</t>
        </is>
      </c>
      <c r="H289" s="44" t="n">
        <v>0.0503125</v>
      </c>
      <c r="I289" s="45" t="n">
        <v>2868</v>
      </c>
      <c r="J289" s="45" t="n">
        <v>147</v>
      </c>
      <c r="K289" s="45" t="n">
        <v>40</v>
      </c>
      <c r="L289" s="46" t="n"/>
      <c r="M289" s="47" t="n"/>
      <c r="N289" s="47" t="inlineStr">
        <is>
          <t>UCHfIbq9thHPC8yrKjAdJgDA</t>
        </is>
      </c>
      <c r="O289" s="48" t="n">
        <v>45877.58333333334</v>
      </c>
      <c r="P289" s="49" t="n">
        <v>45877</v>
      </c>
      <c r="Q289" s="47" t="n">
        <v>2979</v>
      </c>
      <c r="R289" s="47" t="inlineStr">
        <is>
          <t>No Video ID yet</t>
        </is>
      </c>
      <c r="S289" s="49" t="n"/>
      <c r="T289" s="49" t="n"/>
      <c r="U289" s="47" t="inlineStr">
        <is>
          <t>In the 296th episode of the Pop, Ben and J discuss Ben’s trip to the Dominican Republic, our crazy AC issues, being “barefoot people,” fancy tweezers, taking the kids to Big Lick Comic Con, Pokémon Worlds coming up, and hot dogs. Get your tickets for Through the Griffin Tour MIDWEST here: St. Louis, MO - 9/17 (low ticket warning) Detroit, MI - 9/24 (low ticket warning) Alternate Titles Smells of Stigma Barefoot on Purpose Hot Dog Approachability 00:00 - Intro, Relaxing on Vacation 10:15 - Universal Shoving 35:15 - Tweezers 42:43 - Comic Con 56:01 - Hot Dogs</t>
        </is>
      </c>
      <c r="V289" s="47">
        <f>IF(AND(P289&gt;=Calendar!$K$2,P289&lt;EDATE(Calendar!$K$2,1),OR(Calendar!$K$4="*",N289=Calendar!$K$4)),P289*100+COUNTIFS($P$6:$P$3267,P289,$Q$6:$Q$3267,"&lt;="&amp;Q289,$N$6:$N$3267,Calendar!$K$4),"")</f>
        <v/>
      </c>
      <c r="W289" s="47">
        <f>IF(AND(B289=Queue!$C$4,OR(Queue!$K$4="*",N289=Queue!$K$4)),Q289,"")</f>
        <v/>
      </c>
    </row>
    <row r="290">
      <c r="A290" s="38">
        <f>IF(M290="","",HYPERLINK("https://www.youtube.com/watch?v="&amp;M290,"▶"))</f>
        <v/>
      </c>
      <c r="B290" s="39">
        <f>IF(C290&lt;&gt;"",C290,IF(P290&lt;=IFERROR(INDEX(tblChannels[Watched Through],MATCH(N290,tblChannels[Channel ID],0)),0),"Watched","Unwatched"))</f>
        <v/>
      </c>
      <c r="C290" s="40" t="n"/>
      <c r="D290" s="41" t="n"/>
      <c r="E290" s="42" t="n">
        <v>45875.64097222222</v>
      </c>
      <c r="F290" s="50" t="inlineStr">
        <is>
          <t>Super Carlin Brothers</t>
        </is>
      </c>
      <c r="G290" t="inlineStr">
        <is>
          <t>What If Voldemort Felt Remorse? | Harry Potter Film Theory</t>
        </is>
      </c>
      <c r="H290" s="44" t="n">
        <v>0.01107638888888889</v>
      </c>
      <c r="I290" s="45" t="n">
        <v>86460</v>
      </c>
      <c r="J290" s="45" t="n">
        <v>4102</v>
      </c>
      <c r="K290" s="45" t="n">
        <v>358</v>
      </c>
      <c r="L290" s="46" t="n"/>
      <c r="M290" s="47" t="n"/>
      <c r="N290" s="47" t="inlineStr">
        <is>
          <t>UCKZo4N0lVPccBkSiuyVh4yg</t>
        </is>
      </c>
      <c r="O290" s="48" t="n">
        <v>45875.80763888889</v>
      </c>
      <c r="P290" s="49" t="n">
        <v>45875</v>
      </c>
      <c r="Q290" s="47" t="n">
        <v>2978</v>
      </c>
      <c r="R290" s="47" t="inlineStr">
        <is>
          <t>No Video ID yet</t>
        </is>
      </c>
      <c r="S290" s="49" t="n"/>
      <c r="T290" s="49" t="n"/>
      <c r="U290" s="47" t="inlineStr">
        <is>
          <t>This episode is sponsored by BetterHelp. Go to to get 10% off your first month. What if Harry Potter’s final offer to Voldemort — to feel remorse — actually worked? 🤯 In Deathly Hallows, just before the last duel, Harry warns Voldemort to think about what he’s done… and gives him one final chance to turn back. Of course, Voldemort laughs it off — but what if he didn’t? Des Moines, IA - 9/19 (SOLD OUT) St. Paul, MN - 9/20 (SOLD OUT) Cleveland, OH - 9/25 (SOLD OUT) Written by :: Jonathan &amp; Ben Carlin</t>
        </is>
      </c>
      <c r="V290" s="47">
        <f>IF(AND(P290&gt;=Calendar!$K$2,P290&lt;EDATE(Calendar!$K$2,1),OR(Calendar!$K$4="*",N290=Calendar!$K$4)),P290*100+COUNTIFS($P$6:$P$3267,P290,$Q$6:$Q$3267,"&lt;="&amp;Q290,$N$6:$N$3267,Calendar!$K$4),"")</f>
        <v/>
      </c>
      <c r="W290" s="47">
        <f>IF(AND(B290=Queue!$C$4,OR(Queue!$K$4="*",N290=Queue!$K$4)),Q290,"")</f>
        <v/>
      </c>
    </row>
    <row r="291">
      <c r="A291" s="38">
        <f>IF(M291="","",HYPERLINK("https://www.youtube.com/watch?v="&amp;M291,"▶"))</f>
        <v/>
      </c>
      <c r="B291" s="39">
        <f>IF(C291&lt;&gt;"",C291,IF(P291&lt;=IFERROR(INDEX(tblChannels[Watched Through],MATCH(N291,tblChannels[Channel ID],0)),0),"Watched","Unwatched"))</f>
        <v/>
      </c>
      <c r="C291" s="40" t="n"/>
      <c r="D291" s="41" t="n"/>
      <c r="E291" s="42" t="n">
        <v>45874.55486111111</v>
      </c>
      <c r="F291" s="50" t="inlineStr">
        <is>
          <t>Super Carlin Brothers</t>
        </is>
      </c>
      <c r="G291" t="inlineStr">
        <is>
          <t>Why Luna Is Actually Snape</t>
        </is>
      </c>
      <c r="H291" s="44" t="n">
        <v>0.002071759259259259</v>
      </c>
      <c r="I291" s="45" t="n">
        <v>1406832</v>
      </c>
      <c r="J291" s="45" t="n">
        <v>67891</v>
      </c>
      <c r="K291" s="45" t="n">
        <v>792</v>
      </c>
      <c r="L291" s="46" t="n"/>
      <c r="M291" s="47" t="n"/>
      <c r="N291" s="47" t="inlineStr">
        <is>
          <t>UCKZo4N0lVPccBkSiuyVh4yg</t>
        </is>
      </c>
      <c r="O291" s="48" t="n">
        <v>45874.72152777778</v>
      </c>
      <c r="P291" s="49" t="n">
        <v>45874</v>
      </c>
      <c r="Q291" s="47" t="n">
        <v>2977</v>
      </c>
      <c r="R291" s="47" t="inlineStr">
        <is>
          <t>No Video ID yet</t>
        </is>
      </c>
      <c r="S291" s="49" t="n"/>
      <c r="T291" s="49" t="n"/>
      <c r="U291" s="47" t="inlineStr">
        <is>
          <t>Luna Lovegood and Severus Snape actually have a LOT more in common than you think! In fact all of Harry Potter's friends seem to have counterparts from the past.. #harrypotter #wizardingworld #snape #lunalovegood #supercarlinbrothers #shorts</t>
        </is>
      </c>
      <c r="V291" s="47">
        <f>IF(AND(P291&gt;=Calendar!$K$2,P291&lt;EDATE(Calendar!$K$2,1),OR(Calendar!$K$4="*",N291=Calendar!$K$4)),P291*100+COUNTIFS($P$6:$P$3267,P291,$Q$6:$Q$3267,"&lt;="&amp;Q291,$N$6:$N$3267,Calendar!$K$4),"")</f>
        <v/>
      </c>
      <c r="W291" s="47">
        <f>IF(AND(B291=Queue!$C$4,OR(Queue!$K$4="*",N291=Queue!$K$4)),Q291,"")</f>
        <v/>
      </c>
    </row>
    <row r="292">
      <c r="A292" s="38">
        <f>IF(M292="","",HYPERLINK("https://www.youtube.com/watch?v="&amp;M292,"▶"))</f>
        <v/>
      </c>
      <c r="B292" s="39">
        <f>IF(C292&lt;&gt;"",C292,IF(P292&lt;=IFERROR(INDEX(tblChannels[Watched Through],MATCH(N292,tblChannels[Channel ID],0)),0),"Watched","Unwatched"))</f>
        <v/>
      </c>
      <c r="C292" s="40" t="n"/>
      <c r="D292" s="41" t="n"/>
      <c r="E292" s="42" t="n">
        <v>45872.41666666666</v>
      </c>
      <c r="F292" s="51" t="inlineStr">
        <is>
          <t>Through The Griffin Door</t>
        </is>
      </c>
      <c r="G292" t="inlineStr">
        <is>
          <t>Chapter 36: The Parting of the Ways | Goblet of Fire</t>
        </is>
      </c>
      <c r="H292" s="44" t="n">
        <v>0.07143518518518518</v>
      </c>
      <c r="I292" s="45" t="n">
        <v>57111</v>
      </c>
      <c r="J292" s="45" t="n">
        <v>1477</v>
      </c>
      <c r="K292" s="45" t="n">
        <v>431</v>
      </c>
      <c r="L292" s="46" t="n"/>
      <c r="M292" s="47" t="n"/>
      <c r="N292" s="47" t="inlineStr">
        <is>
          <t>UCEscP6ETYXWSSvsNrDHekMQ</t>
        </is>
      </c>
      <c r="O292" s="48" t="n">
        <v>45872.58333333334</v>
      </c>
      <c r="P292" s="49" t="n">
        <v>45872</v>
      </c>
      <c r="Q292" s="47" t="n">
        <v>2976</v>
      </c>
      <c r="R292" s="47" t="inlineStr">
        <is>
          <t>No Video ID yet</t>
        </is>
      </c>
      <c r="S292" s="49" t="n"/>
      <c r="T292" s="49" t="n"/>
      <c r="U292" s="47" t="inlineStr">
        <is>
          <t>Join J and Ben as they dive into Chapter 36 of the Goblet of Fire and discuss why the Dark Mark’s skull is so weird, the ramifications of blood magic, why no one stopped the Dementors, and most importantly, The Gleam Of Triumph. Dumbledore Is A Phoenix - THROUGH THE GRIFFIN TOUR MIDWEST TICKETS ARE ON SALE RIGHT NOW St. Louis, MO - 9/17 (low ticket warning) Detroit, MI - 9/24 (low ticket warning) Support us on Patreon AND GET YOUR GUMPSTER FIRE PIN: Watch on Youtube: Want more Harry Potter Content? Harry Potter Theories: Dumbledore’s Big Plan: What If Harry Was in Slytherin: 03:07 - Dragons Arrive 1:34:41 - Closing Thoughts and Review</t>
        </is>
      </c>
      <c r="V292" s="47">
        <f>IF(AND(P292&gt;=Calendar!$K$2,P292&lt;EDATE(Calendar!$K$2,1),OR(Calendar!$K$4="*",N292=Calendar!$K$4)),P292*100+COUNTIFS($P$6:$P$3267,P292,$Q$6:$Q$3267,"&lt;="&amp;Q292,$N$6:$N$3267,Calendar!$K$4),"")</f>
        <v/>
      </c>
      <c r="W292" s="47">
        <f>IF(AND(B292=Queue!$C$4,OR(Queue!$K$4="*",N292=Queue!$K$4)),Q292,"")</f>
        <v/>
      </c>
    </row>
    <row r="293">
      <c r="A293" s="38">
        <f>IF(M293="","",HYPERLINK("https://www.youtube.com/watch?v="&amp;M293,"▶"))</f>
        <v/>
      </c>
      <c r="B293" s="39">
        <f>IF(C293&lt;&gt;"",C293,IF(P293&lt;=IFERROR(INDEX(tblChannels[Watched Through],MATCH(N293,tblChannels[Channel ID],0)),0),"Watched","Unwatched"))</f>
        <v/>
      </c>
      <c r="C293" s="40" t="n"/>
      <c r="D293" s="41" t="n"/>
      <c r="E293" s="42" t="n">
        <v>45870.625</v>
      </c>
      <c r="F293" s="50" t="inlineStr">
        <is>
          <t>Super Carlin Brothers</t>
        </is>
      </c>
      <c r="G293" t="inlineStr">
        <is>
          <t>What’s The Deal With Hermione’s Parents | Harry Potter Film Theory</t>
        </is>
      </c>
      <c r="H293" s="44" t="n">
        <v>0.01116898148148148</v>
      </c>
      <c r="I293" s="45" t="n">
        <v>211108</v>
      </c>
      <c r="J293" s="45" t="n">
        <v>7312</v>
      </c>
      <c r="K293" s="45" t="n">
        <v>897</v>
      </c>
      <c r="L293" s="46" t="n"/>
      <c r="M293" s="47" t="n"/>
      <c r="N293" s="47" t="inlineStr">
        <is>
          <t>UCKZo4N0lVPccBkSiuyVh4yg</t>
        </is>
      </c>
      <c r="O293" s="48" t="n">
        <v>45870.79166666666</v>
      </c>
      <c r="P293" s="49" t="n">
        <v>45870</v>
      </c>
      <c r="Q293" s="47" t="n">
        <v>2975</v>
      </c>
      <c r="R293" s="47" t="inlineStr">
        <is>
          <t>No Video ID yet</t>
        </is>
      </c>
      <c r="S293" s="49" t="n"/>
      <c r="T293" s="49" t="n"/>
      <c r="U293" s="47" t="inlineStr">
        <is>
          <t>This episode is sponsored by BetterHelp. Go to to get 10% off your first month. Today J dives into the Wizarding World of Harry Potter to talk about a character we all love, Hermione Granger. Her academic brilliance, her bravery, her books and cleverness, but there’s one part of her life that remains a complete mystery: her parents. Why do we never see them? Why does Hermione spend so little time at home? And could her strange absence from family life actually explain deeper parts of her personality, like her boggart, her struggles with the Patronus, and her passion for house-elf rights? Des Moines, IA - 9/19 (SOLD OUT) St. Paul, MN - 9/20 (SOLD OUT) Cleveland, OH - 9/25 (SOLD OUT) Written by :: Jonathan &amp; Ben Carlin</t>
        </is>
      </c>
      <c r="V293" s="47">
        <f>IF(AND(P293&gt;=Calendar!$K$2,P293&lt;EDATE(Calendar!$K$2,1),OR(Calendar!$K$4="*",N293=Calendar!$K$4)),P293*100+COUNTIFS($P$6:$P$3267,P293,$Q$6:$Q$3267,"&lt;="&amp;Q293,$N$6:$N$3267,Calendar!$K$4),"")</f>
        <v/>
      </c>
      <c r="W293" s="47">
        <f>IF(AND(B293=Queue!$C$4,OR(Queue!$K$4="*",N293=Queue!$K$4)),Q293,"")</f>
        <v/>
      </c>
    </row>
    <row r="294">
      <c r="A294" s="38">
        <f>IF(M294="","",HYPERLINK("https://www.youtube.com/watch?v="&amp;M294,"▶"))</f>
        <v/>
      </c>
      <c r="B294" s="39">
        <f>IF(C294&lt;&gt;"",C294,IF(P294&lt;=IFERROR(INDEX(tblChannels[Watched Through],MATCH(N294,tblChannels[Channel ID],0)),0),"Watched","Unwatched"))</f>
        <v/>
      </c>
      <c r="C294" s="40" t="n"/>
      <c r="D294" s="41" t="n"/>
      <c r="E294" s="42" t="n">
        <v>45870.41666666666</v>
      </c>
      <c r="F294" s="43" t="inlineStr">
        <is>
          <t>Popcorn Culture</t>
        </is>
      </c>
      <c r="G294" t="inlineStr">
        <is>
          <t>The End of A Chapter | Popcorn Culture</t>
        </is>
      </c>
      <c r="H294" s="44" t="n">
        <v>0.04608796296296296</v>
      </c>
      <c r="I294" s="45" t="n">
        <v>4363</v>
      </c>
      <c r="J294" s="45" t="n">
        <v>282</v>
      </c>
      <c r="K294" s="45" t="n">
        <v>60</v>
      </c>
      <c r="L294" s="46" t="n"/>
      <c r="M294" s="47" t="n"/>
      <c r="N294" s="47" t="inlineStr">
        <is>
          <t>UCHfIbq9thHPC8yrKjAdJgDA</t>
        </is>
      </c>
      <c r="O294" s="48" t="n">
        <v>45870.58333333334</v>
      </c>
      <c r="P294" s="49" t="n">
        <v>45870</v>
      </c>
      <c r="Q294" s="47" t="n">
        <v>2974</v>
      </c>
      <c r="R294" s="47" t="inlineStr">
        <is>
          <t>No Video ID yet</t>
        </is>
      </c>
      <c r="S294" s="49" t="n"/>
      <c r="T294" s="49" t="n"/>
      <c r="U294" s="47" t="inlineStr">
        <is>
          <t>In the 295th episode of the Pop, Ben and J discuss the complexities of growing older, making amends with the past, if fruitcake is actually terrible, and the strange artifacts kids steal to play with. Get your tickets for Through the Griffin Tour MIDWEST here: Midwest Tour Dates: Indianapolis, IN - 9/16 St. Louis, MO - 9/17 (low ticket warning) St. Paul, MN - 9/20 (sold out) Milwaukee, WI - 9/21 Chicago, IL - 9/23 Detroit, MI - 9/24 (low ticket warning)</t>
        </is>
      </c>
      <c r="V294" s="47">
        <f>IF(AND(P294&gt;=Calendar!$K$2,P294&lt;EDATE(Calendar!$K$2,1),OR(Calendar!$K$4="*",N294=Calendar!$K$4)),P294*100+COUNTIFS($P$6:$P$3267,P294,$Q$6:$Q$3267,"&lt;="&amp;Q294,$N$6:$N$3267,Calendar!$K$4),"")</f>
        <v/>
      </c>
      <c r="W294" s="47">
        <f>IF(AND(B294=Queue!$C$4,OR(Queue!$K$4="*",N294=Queue!$K$4)),Q294,"")</f>
        <v/>
      </c>
    </row>
    <row r="295">
      <c r="A295" s="38">
        <f>IF(M295="","",HYPERLINK("https://www.youtube.com/watch?v="&amp;M295,"▶"))</f>
        <v/>
      </c>
      <c r="B295" s="39">
        <f>IF(C295&lt;&gt;"",C295,IF(P295&lt;=IFERROR(INDEX(tblChannels[Watched Through],MATCH(N295,tblChannels[Channel ID],0)),0),"Watched","Unwatched"))</f>
        <v/>
      </c>
      <c r="C295" s="40" t="n"/>
      <c r="D295" s="41" t="n"/>
      <c r="E295" s="42" t="n">
        <v>45869.57013888889</v>
      </c>
      <c r="F295" s="50" t="inlineStr">
        <is>
          <t>Super Carlin Brothers</t>
        </is>
      </c>
      <c r="G295" t="inlineStr">
        <is>
          <t>Why is Harry's Scar Shaped Like a Lightning Bolt? #harrypotter</t>
        </is>
      </c>
      <c r="H295" s="44" t="n">
        <v>0.002071759259259259</v>
      </c>
      <c r="I295" s="45" t="n">
        <v>106415</v>
      </c>
      <c r="J295" s="45" t="n">
        <v>6245</v>
      </c>
      <c r="K295" s="45" t="n">
        <v>161</v>
      </c>
      <c r="L295" s="46" t="n"/>
      <c r="M295" s="47" t="n"/>
      <c r="N295" s="47" t="inlineStr">
        <is>
          <t>UCKZo4N0lVPccBkSiuyVh4yg</t>
        </is>
      </c>
      <c r="O295" s="48" t="n">
        <v>45869.73680555556</v>
      </c>
      <c r="P295" s="49" t="n">
        <v>45869</v>
      </c>
      <c r="Q295" s="47" t="n">
        <v>2973</v>
      </c>
      <c r="R295" s="47" t="inlineStr">
        <is>
          <t>No Video ID yet</t>
        </is>
      </c>
      <c r="S295" s="49" t="n"/>
      <c r="T295" s="49" t="n"/>
      <c r="U295" s="47" t="inlineStr">
        <is>
          <t>We all know the story: Voldemort casts the Killing Curse, Harry survives, and the lightning-shaped scar becomes iconic. But here’s the thing… Avada Kedavra doesn’t leave marks. And yet Harry has one. What if the scar wasn’t caused by Voldemort’s curse at all? What if it was caused by something else entirely — something more powerful? Let’s talk about the real meaning of the lightning bolt. 🧙‍♂️💔 #HarryPotter #HarryPotterTheory #Shorts #WizardingWorld #SCB #supercarlinbrothers</t>
        </is>
      </c>
      <c r="V295" s="47">
        <f>IF(AND(P295&gt;=Calendar!$K$2,P295&lt;EDATE(Calendar!$K$2,1),OR(Calendar!$K$4="*",N295=Calendar!$K$4)),P295*100+COUNTIFS($P$6:$P$3267,P295,$Q$6:$Q$3267,"&lt;="&amp;Q295,$N$6:$N$3267,Calendar!$K$4),"")</f>
        <v/>
      </c>
      <c r="W295" s="47">
        <f>IF(AND(B295=Queue!$C$4,OR(Queue!$K$4="*",N295=Queue!$K$4)),Q295,"")</f>
        <v/>
      </c>
    </row>
    <row r="296">
      <c r="A296" s="38">
        <f>IF(M296="","",HYPERLINK("https://www.youtube.com/watch?v="&amp;M296,"▶"))</f>
        <v/>
      </c>
      <c r="B296" s="39">
        <f>IF(C296&lt;&gt;"",C296,IF(P296&lt;=IFERROR(INDEX(tblChannels[Watched Through],MATCH(N296,tblChannels[Channel ID],0)),0),"Watched","Unwatched"))</f>
        <v/>
      </c>
      <c r="C296" s="40" t="n"/>
      <c r="D296" s="41" t="n"/>
      <c r="E296" s="42" t="n">
        <v>45868.69722222222</v>
      </c>
      <c r="F296" s="50" t="inlineStr">
        <is>
          <t>Super Carlin Brothers</t>
        </is>
      </c>
      <c r="G296" t="inlineStr">
        <is>
          <t>J vs Ben: HARDEST Quotes Quiz Ever | Harry Potter Trivia</t>
        </is>
      </c>
      <c r="H296" s="44" t="n">
        <v>0.02297453703703704</v>
      </c>
      <c r="I296" s="45" t="n">
        <v>121778</v>
      </c>
      <c r="J296" s="45" t="n">
        <v>4148</v>
      </c>
      <c r="K296" s="45" t="n">
        <v>374</v>
      </c>
      <c r="L296" s="46" t="n"/>
      <c r="M296" s="47" t="n"/>
      <c r="N296" s="47" t="inlineStr">
        <is>
          <t>UCKZo4N0lVPccBkSiuyVh4yg</t>
        </is>
      </c>
      <c r="O296" s="48" t="n">
        <v>45868.86388888889</v>
      </c>
      <c r="P296" s="49" t="n">
        <v>45868</v>
      </c>
      <c r="Q296" s="47" t="n">
        <v>2972</v>
      </c>
      <c r="R296" s="47" t="inlineStr">
        <is>
          <t>No Video ID yet</t>
        </is>
      </c>
      <c r="S296" s="49" t="n"/>
      <c r="T296" s="49" t="n"/>
      <c r="U296" s="47" t="inlineStr">
        <is>
          <t>Go to and get TEN FREE MEALS with a FREE ITEM FOR LIFE. 🧠⚡ Think you know your Harry Potter quotes? This time J and Ben take on the HARDEST batch yet in our latest round of the Quick Quotes Quiz — can YOU beat us to the answer? From trolls on Halloween to Trelawney’s sass to Kreacher’s battle cry, it’s 15 mind-bending lines from across all seven books. Guess the character AND the book — and try not to lose your buttocks. 📚 BIG thanks to our incredible patrons who submitted these quotes: Nathan Morgan, Dorian R., Essential Escapism, Aislin P., Fis, Ben Henderson, Oryan, Law Ninja, Barnett, Anna-Kate the Great, Megs near Dufftown, Nour, Chase Dolason, Denna, Morgan Warner, Teghan Denlinger Let us know how many YOU got right in the comments! Des Moines, IA - 9/19 (SOLD OUT) St. Paul, MN - 9/20 (SOLD OUT) Cleveland, OH - 9/25 (SOLD OUT) Written by :: OUR QUIZ MASTERS! Hosted by :: Ethan Edghill</t>
        </is>
      </c>
      <c r="V296" s="47">
        <f>IF(AND(P296&gt;=Calendar!$K$2,P296&lt;EDATE(Calendar!$K$2,1),OR(Calendar!$K$4="*",N296=Calendar!$K$4)),P296*100+COUNTIFS($P$6:$P$3267,P296,$Q$6:$Q$3267,"&lt;="&amp;Q296,$N$6:$N$3267,Calendar!$K$4),"")</f>
        <v/>
      </c>
      <c r="W296" s="47">
        <f>IF(AND(B296=Queue!$C$4,OR(Queue!$K$4="*",N296=Queue!$K$4)),Q296,"")</f>
        <v/>
      </c>
    </row>
    <row r="297">
      <c r="A297" s="38">
        <f>IF(M297="","",HYPERLINK("https://www.youtube.com/watch?v="&amp;M297,"▶"))</f>
        <v/>
      </c>
      <c r="B297" s="39">
        <f>IF(C297&lt;&gt;"",C297,IF(P297&lt;=IFERROR(INDEX(tblChannels[Watched Through],MATCH(N297,tblChannels[Channel ID],0)),0),"Watched","Unwatched"))</f>
        <v/>
      </c>
      <c r="C297" s="40" t="n"/>
      <c r="D297" s="41" t="n"/>
      <c r="E297" s="42" t="n">
        <v>45865.41666666666</v>
      </c>
      <c r="F297" s="51" t="inlineStr">
        <is>
          <t>Through The Griffin Door</t>
        </is>
      </c>
      <c r="G297" t="inlineStr">
        <is>
          <t>Chapter 35: Veritaserum | Goblet of Fire</t>
        </is>
      </c>
      <c r="H297" s="44" t="n">
        <v>0.07214120370370371</v>
      </c>
      <c r="I297" s="45" t="n">
        <v>60446</v>
      </c>
      <c r="J297" s="45" t="n">
        <v>1540</v>
      </c>
      <c r="K297" s="45" t="n">
        <v>316</v>
      </c>
      <c r="L297" s="46" t="n"/>
      <c r="M297" s="47" t="n"/>
      <c r="N297" s="47" t="inlineStr">
        <is>
          <t>UCEscP6ETYXWSSvsNrDHekMQ</t>
        </is>
      </c>
      <c r="O297" s="48" t="n">
        <v>45865.58333333334</v>
      </c>
      <c r="P297" s="49" t="n">
        <v>45865</v>
      </c>
      <c r="Q297" s="47" t="n">
        <v>2971</v>
      </c>
      <c r="R297" s="47" t="inlineStr">
        <is>
          <t>No Video ID yet</t>
        </is>
      </c>
      <c r="S297" s="49" t="n"/>
      <c r="T297" s="49" t="n"/>
      <c r="U297" s="47" t="inlineStr">
        <is>
          <t>For a limited time, you can be first in line to experience the new Next Gen at special savings. Prolon is offering Through the Griffin Door listeners 15% off sitewide plus a $40 bonus gift when you subscribe to their 5-Day Nutrition Program! Just visit ProlonLife.com/GRIFFIN Join J and Ben as they dive into Chapter 35 of the Goblet of Fire and discuss Harry’s dreamlike state, Dumbledores and Phoenixes, “Moody” getting answers from Harry, BCJ/Harry parallels, and Barty’s confession. Dumbledore Is A Phoenix - Barty Crouch Jr’s HORCRUX - THROUGH THE GRIFFIN TOUR MIDWEST TICKETS ARE ON SALE RIGHT NOW St. Louis, MO - 9/17 (low ticket warning) Detroit, MI - 9/24 (low ticket warning) Support us on Patreon AND GET YOUR GUMPSTER FIRE PIN: 04:32 - Chapter Breakdown 31:40 - Ad Break (Prolon) 33:07 - More Chapter Breakdown 1:39:44 - Closing Thoughts and Review</t>
        </is>
      </c>
      <c r="V297" s="47">
        <f>IF(AND(P297&gt;=Calendar!$K$2,P297&lt;EDATE(Calendar!$K$2,1),OR(Calendar!$K$4="*",N297=Calendar!$K$4)),P297*100+COUNTIFS($P$6:$P$3267,P297,$Q$6:$Q$3267,"&lt;="&amp;Q297,$N$6:$N$3267,Calendar!$K$4),"")</f>
        <v/>
      </c>
      <c r="W297" s="47">
        <f>IF(AND(B297=Queue!$C$4,OR(Queue!$K$4="*",N297=Queue!$K$4)),Q297,"")</f>
        <v/>
      </c>
    </row>
    <row r="298">
      <c r="A298" s="38">
        <f>IF(M298="","",HYPERLINK("https://www.youtube.com/watch?v="&amp;M298,"▶"))</f>
        <v/>
      </c>
      <c r="B298" s="39">
        <f>IF(C298&lt;&gt;"",C298,IF(P298&lt;=IFERROR(INDEX(tblChannels[Watched Through],MATCH(N298,tblChannels[Channel ID],0)),0),"Watched","Unwatched"))</f>
        <v/>
      </c>
      <c r="C298" s="40" t="n"/>
      <c r="D298" s="41" t="n"/>
      <c r="E298" s="42" t="n">
        <v>45863.71111111111</v>
      </c>
      <c r="F298" s="50" t="inlineStr">
        <is>
          <t>Super Carlin Brothers</t>
        </is>
      </c>
      <c r="G298" t="inlineStr">
        <is>
          <t>Fantastic Four: Expectations VS Reality</t>
        </is>
      </c>
      <c r="H298" s="44" t="n">
        <v>0.04961805555555555</v>
      </c>
      <c r="I298" s="45" t="n">
        <v>32443</v>
      </c>
      <c r="J298" s="45" t="n">
        <v>1299</v>
      </c>
      <c r="K298" s="45" t="n">
        <v>189</v>
      </c>
      <c r="L298" s="46" t="n"/>
      <c r="M298" s="47" t="n"/>
      <c r="N298" s="47" t="inlineStr">
        <is>
          <t>UCKZo4N0lVPccBkSiuyVh4yg</t>
        </is>
      </c>
      <c r="O298" s="48" t="n">
        <v>45863.87777777778</v>
      </c>
      <c r="P298" s="49" t="n">
        <v>45863</v>
      </c>
      <c r="Q298" s="47" t="n">
        <v>2970</v>
      </c>
      <c r="R298" s="47" t="inlineStr">
        <is>
          <t>No Video ID yet</t>
        </is>
      </c>
      <c r="S298" s="49" t="n"/>
      <c r="T298" s="49" t="n"/>
      <c r="U298" s="47" t="inlineStr">
        <is>
          <t>Go to to get 20% the fan favorite Everyday Earbuds Classic! Today J and Ben dive into the Marvel Cinematic Universe to discuss Fantastic Four: First Steps! First offering our pre movie predictions: Will Doctor Doom make an appearance? Will other MCU members show up? How will they defeat Galactus? THEN we see the movie and arrive back with all of our answers! Des Moines, IA - 9/19 (SOLD OUT) St. Paul, MN - 9/20 (SOLD OUT) Cleveland, OH - 9/25 (SOLD OUT) #Marvel #SuperCarlinBrothers #fantasticfour</t>
        </is>
      </c>
      <c r="V298" s="47">
        <f>IF(AND(P298&gt;=Calendar!$K$2,P298&lt;EDATE(Calendar!$K$2,1),OR(Calendar!$K$4="*",N298=Calendar!$K$4)),P298*100+COUNTIFS($P$6:$P$3267,P298,$Q$6:$Q$3267,"&lt;="&amp;Q298,$N$6:$N$3267,Calendar!$K$4),"")</f>
        <v/>
      </c>
      <c r="W298" s="47">
        <f>IF(AND(B298=Queue!$C$4,OR(Queue!$K$4="*",N298=Queue!$K$4)),Q298,"")</f>
        <v/>
      </c>
    </row>
    <row r="299">
      <c r="A299" s="38">
        <f>IF(M299="","",HYPERLINK("https://www.youtube.com/watch?v="&amp;M299,"▶"))</f>
        <v/>
      </c>
      <c r="B299" s="39">
        <f>IF(C299&lt;&gt;"",C299,IF(P299&lt;=IFERROR(INDEX(tblChannels[Watched Through],MATCH(N299,tblChannels[Channel ID],0)),0),"Watched","Unwatched"))</f>
        <v/>
      </c>
      <c r="C299" s="40" t="n"/>
      <c r="D299" s="41" t="n"/>
      <c r="E299" s="42" t="n">
        <v>45863.41666666666</v>
      </c>
      <c r="F299" s="43" t="inlineStr">
        <is>
          <t>Popcorn Culture</t>
        </is>
      </c>
      <c r="G299" t="inlineStr">
        <is>
          <t>Streaming Arguments | Popcorn Culture</t>
        </is>
      </c>
      <c r="H299" s="44" t="n">
        <v>0.05984953703703703</v>
      </c>
      <c r="I299" s="45" t="n">
        <v>3359</v>
      </c>
      <c r="J299" s="45" t="n">
        <v>158</v>
      </c>
      <c r="K299" s="45" t="n">
        <v>21</v>
      </c>
      <c r="L299" s="46" t="n"/>
      <c r="M299" s="47" t="n"/>
      <c r="N299" s="47" t="inlineStr">
        <is>
          <t>UCHfIbq9thHPC8yrKjAdJgDA</t>
        </is>
      </c>
      <c r="O299" s="48" t="n">
        <v>45863.58333333334</v>
      </c>
      <c r="P299" s="49" t="n">
        <v>45863</v>
      </c>
      <c r="Q299" s="47" t="n">
        <v>2969</v>
      </c>
      <c r="R299" s="47" t="inlineStr">
        <is>
          <t>No Video ID yet</t>
        </is>
      </c>
      <c r="S299" s="49" t="n"/>
      <c r="T299" s="49" t="n"/>
      <c r="U299" s="47" t="inlineStr">
        <is>
          <t>In the 294th episode of the Pop, Ben and J discuss one of Ben’s neighbors, J back-squating, arguing in person, the Coldplay Affair, role models, career cycles, and re-fixing things. Inside Out 2 - Heavyweight Podcast - The Original Coldplay Concert TikTok - Modern Family Clip - Get your tickets for Through the Griffin Tour MIDWEST here: St. Louis, MO - 9/17 (low ticket warning) Detroit, MI - 9/24 (low ticket warning) Alternate Titles Neighborhood Choreography 00:00 - Intro, Bark at the Dogs 13:25 - Backsquats 20:14 - Arguments 46:33 - Viral Coldplay Concert 53:12 - Role Models 1:15:56 - Home Ownership</t>
        </is>
      </c>
      <c r="V299" s="47">
        <f>IF(AND(P299&gt;=Calendar!$K$2,P299&lt;EDATE(Calendar!$K$2,1),OR(Calendar!$K$4="*",N299=Calendar!$K$4)),P299*100+COUNTIFS($P$6:$P$3267,P299,$Q$6:$Q$3267,"&lt;="&amp;Q299,$N$6:$N$3267,Calendar!$K$4),"")</f>
        <v/>
      </c>
      <c r="W299" s="47">
        <f>IF(AND(B299=Queue!$C$4,OR(Queue!$K$4="*",N299=Queue!$K$4)),Q299,"")</f>
        <v/>
      </c>
    </row>
    <row r="300">
      <c r="A300" s="38">
        <f>IF(M300="","",HYPERLINK("https://www.youtube.com/watch?v="&amp;M300,"▶"))</f>
        <v/>
      </c>
      <c r="B300" s="39">
        <f>IF(C300&lt;&gt;"",C300,IF(P300&lt;=IFERROR(INDEX(tblChannels[Watched Through],MATCH(N300,tblChannels[Channel ID],0)),0),"Watched","Unwatched"))</f>
        <v/>
      </c>
      <c r="C300" s="40" t="n"/>
      <c r="D300" s="41" t="n"/>
      <c r="E300" s="42" t="n">
        <v>45861.71319444444</v>
      </c>
      <c r="F300" s="50" t="inlineStr">
        <is>
          <t>Super Carlin Brothers</t>
        </is>
      </c>
      <c r="G300" t="inlineStr">
        <is>
          <t>What’s the Deal With Tinker Bell | Disney Film Theory</t>
        </is>
      </c>
      <c r="H300" s="44" t="n">
        <v>0.01108796296296296</v>
      </c>
      <c r="I300" s="45" t="n">
        <v>56316</v>
      </c>
      <c r="J300" s="45" t="n">
        <v>3005</v>
      </c>
      <c r="K300" s="45" t="n">
        <v>368</v>
      </c>
      <c r="L300" s="46" t="n"/>
      <c r="M300" s="47" t="n"/>
      <c r="N300" s="47" t="inlineStr">
        <is>
          <t>UCKZo4N0lVPccBkSiuyVh4yg</t>
        </is>
      </c>
      <c r="O300" s="48" t="n">
        <v>45861.87986111111</v>
      </c>
      <c r="P300" s="49" t="n">
        <v>45861</v>
      </c>
      <c r="Q300" s="47" t="n">
        <v>2968</v>
      </c>
      <c r="R300" s="47" t="inlineStr">
        <is>
          <t>No Video ID yet</t>
        </is>
      </c>
      <c r="S300" s="49" t="n"/>
      <c r="T300" s="49" t="n"/>
      <c r="U300" s="47" t="inlineStr">
        <is>
          <t>This episode is sponsored by BetterHelp - go to to get 10% off your first month. Today Ben dives into the unaging world of Neverland to try and figure out, “What’s the Deal With Tinkerbell?” Is she a mascot? A Sidekick? Princess? Did she ever dot the I in Disney? And why doesn’t she have a full length feature film if she’s so popular? Des Moines, IA - 9/19 (SOLD OUT) St. Paul, MN - 9/20 (SOLD OUT) Cleveland, OH - 9/25 (SOLD OUT)</t>
        </is>
      </c>
      <c r="V300" s="47">
        <f>IF(AND(P300&gt;=Calendar!$K$2,P300&lt;EDATE(Calendar!$K$2,1),OR(Calendar!$K$4="*",N300=Calendar!$K$4)),P300*100+COUNTIFS($P$6:$P$3267,P300,$Q$6:$Q$3267,"&lt;="&amp;Q300,$N$6:$N$3267,Calendar!$K$4),"")</f>
        <v/>
      </c>
      <c r="W300" s="47">
        <f>IF(AND(B300=Queue!$C$4,OR(Queue!$K$4="*",N300=Queue!$K$4)),Q300,"")</f>
        <v/>
      </c>
    </row>
    <row r="301">
      <c r="A301" s="38">
        <f>IF(M301="","",HYPERLINK("https://www.youtube.com/watch?v="&amp;M301,"▶"))</f>
        <v/>
      </c>
      <c r="B301" s="39">
        <f>IF(C301&lt;&gt;"",C301,IF(P301&lt;=IFERROR(INDEX(tblChannels[Watched Through],MATCH(N301,tblChannels[Channel ID],0)),0),"Watched","Unwatched"))</f>
        <v/>
      </c>
      <c r="C301" s="40" t="n"/>
      <c r="D301" s="41" t="n"/>
      <c r="E301" s="42" t="n">
        <v>45861.49166666667</v>
      </c>
      <c r="F301" s="50" t="inlineStr">
        <is>
          <t>Super Carlin Brothers</t>
        </is>
      </c>
      <c r="G301" t="inlineStr">
        <is>
          <t>Unboxing an APPA Skateboard?! Let’s Gooooo!</t>
        </is>
      </c>
      <c r="H301" s="44" t="n">
        <v>0.002002314814814815</v>
      </c>
      <c r="I301" s="45" t="n">
        <v>27132</v>
      </c>
      <c r="J301" s="45" t="n">
        <v>1475</v>
      </c>
      <c r="K301" s="45" t="n">
        <v>112</v>
      </c>
      <c r="L301" s="46" t="n"/>
      <c r="M301" s="47" t="n"/>
      <c r="N301" s="47" t="inlineStr">
        <is>
          <t>UCKZo4N0lVPccBkSiuyVh4yg</t>
        </is>
      </c>
      <c r="O301" s="48" t="n">
        <v>45861.65833333333</v>
      </c>
      <c r="P301" s="49" t="n">
        <v>45861</v>
      </c>
      <c r="Q301" s="47" t="n">
        <v>2967</v>
      </c>
      <c r="R301" s="47" t="inlineStr">
        <is>
          <t>No Video ID yet</t>
        </is>
      </c>
      <c r="S301" s="49" t="n"/>
      <c r="T301" s="49" t="n"/>
      <c r="U301" s="47" t="inlineStr">
        <is>
          <t>Should I ride it or just hang it on the wall? I have a lot of Bear Walker Skateboards, but this new Appa one might be my favorite. It's easily the coolest Avatar: The Last Airbender thing I own. #shorts #unboxing #asmr #avatarthelastairbender #atla #skateboarding</t>
        </is>
      </c>
      <c r="V301" s="47">
        <f>IF(AND(P301&gt;=Calendar!$K$2,P301&lt;EDATE(Calendar!$K$2,1),OR(Calendar!$K$4="*",N301=Calendar!$K$4)),P301*100+COUNTIFS($P$6:$P$3267,P301,$Q$6:$Q$3267,"&lt;="&amp;Q301,$N$6:$N$3267,Calendar!$K$4),"")</f>
        <v/>
      </c>
      <c r="W301" s="47">
        <f>IF(AND(B301=Queue!$C$4,OR(Queue!$K$4="*",N301=Queue!$K$4)),Q301,"")</f>
        <v/>
      </c>
    </row>
    <row r="302">
      <c r="A302" s="38">
        <f>IF(M302="","",HYPERLINK("https://www.youtube.com/watch?v="&amp;M302,"▶"))</f>
        <v/>
      </c>
      <c r="B302" s="39">
        <f>IF(C302&lt;&gt;"",C302,IF(P302&lt;=IFERROR(INDEX(tblChannels[Watched Through],MATCH(N302,tblChannels[Channel ID],0)),0),"Watched","Unwatched"))</f>
        <v/>
      </c>
      <c r="C302" s="40" t="n"/>
      <c r="D302" s="41" t="n"/>
      <c r="E302" s="42" t="n">
        <v>45858.41666666666</v>
      </c>
      <c r="F302" s="51" t="inlineStr">
        <is>
          <t>Through The Griffin Door</t>
        </is>
      </c>
      <c r="G302" t="inlineStr">
        <is>
          <t>Chapter 34: Priori Incantatem | Goblet of Fire</t>
        </is>
      </c>
      <c r="H302" s="44" t="n">
        <v>0.0609375</v>
      </c>
      <c r="I302" s="45" t="n">
        <v>53698</v>
      </c>
      <c r="J302" s="45" t="n">
        <v>1485</v>
      </c>
      <c r="K302" s="45" t="n">
        <v>382</v>
      </c>
      <c r="L302" s="46" t="n"/>
      <c r="M302" s="47" t="n"/>
      <c r="N302" s="47" t="inlineStr">
        <is>
          <t>UCEscP6ETYXWSSvsNrDHekMQ</t>
        </is>
      </c>
      <c r="O302" s="48" t="n">
        <v>45858.58333333334</v>
      </c>
      <c r="P302" s="49" t="n">
        <v>45858</v>
      </c>
      <c r="Q302" s="47" t="n">
        <v>2966</v>
      </c>
      <c r="R302" s="47" t="inlineStr">
        <is>
          <t>No Video ID yet</t>
        </is>
      </c>
      <c r="S302" s="49" t="n"/>
      <c r="T302" s="49" t="n"/>
      <c r="U302" s="47" t="inlineStr">
        <is>
          <t>Join J and Ben as they dive into Chapter 34 of the Goblet of Fire and discuss Harry doing things on his terms, Phoenixes, a Fantastic Beasts tangent, the golden dome, the “ghosts”, and Voldemort being defeated… for now. Harry Potter Theory: Dumbledore's Horcrux - THROUGH THE GRIFFIN TOUR MIDWEST TICKETS ARE ON SALE RIGHT NOW St. Louis, MO - 9/17 (low ticket warning) Detroit, MI - 9/24 (low ticket warning) Support us on Patreon AND GET YOUR GUMPSTER FIRE PIN: 08:35 - Chapter Breakdown 43:12 - Ad Break (Shopify) 44:45 - More Chapter Breakdown 1:20:00 - Closing Thoughts and Review</t>
        </is>
      </c>
      <c r="V302" s="47">
        <f>IF(AND(P302&gt;=Calendar!$K$2,P302&lt;EDATE(Calendar!$K$2,1),OR(Calendar!$K$4="*",N302=Calendar!$K$4)),P302*100+COUNTIFS($P$6:$P$3267,P302,$Q$6:$Q$3267,"&lt;="&amp;Q302,$N$6:$N$3267,Calendar!$K$4),"")</f>
        <v/>
      </c>
      <c r="W302" s="47">
        <f>IF(AND(B302=Queue!$C$4,OR(Queue!$K$4="*",N302=Queue!$K$4)),Q302,"")</f>
        <v/>
      </c>
    </row>
    <row r="303">
      <c r="A303" s="38">
        <f>IF(M303="","",HYPERLINK("https://www.youtube.com/watch?v="&amp;M303,"▶"))</f>
        <v/>
      </c>
      <c r="B303" s="39">
        <f>IF(C303&lt;&gt;"",C303,IF(P303&lt;=IFERROR(INDEX(tblChannels[Watched Through],MATCH(N303,tblChannels[Channel ID],0)),0),"Watched","Unwatched"))</f>
        <v/>
      </c>
      <c r="C303" s="40" t="n"/>
      <c r="D303" s="41" t="n"/>
      <c r="E303" s="42" t="n">
        <v>45857.41666666666</v>
      </c>
      <c r="F303" s="50" t="inlineStr">
        <is>
          <t>Super Carlin Brothers</t>
        </is>
      </c>
      <c r="G303" t="inlineStr">
        <is>
          <t>Through the Griffin Door Supercut: Goblet of Fire Chapters 31-33</t>
        </is>
      </c>
      <c r="H303" s="44" t="n">
        <v>0.1900810185185185</v>
      </c>
      <c r="I303" s="45" t="n">
        <v>13533</v>
      </c>
      <c r="J303" s="45" t="n">
        <v>260</v>
      </c>
      <c r="K303" s="45" t="n">
        <v>71</v>
      </c>
      <c r="L303" s="46" t="n"/>
      <c r="M303" s="47" t="n"/>
      <c r="N303" s="47" t="inlineStr">
        <is>
          <t>UCKZo4N0lVPccBkSiuyVh4yg</t>
        </is>
      </c>
      <c r="O303" s="48" t="n">
        <v>45857.58333333334</v>
      </c>
      <c r="P303" s="49" t="n">
        <v>45857</v>
      </c>
      <c r="Q303" s="47" t="n">
        <v>2965</v>
      </c>
      <c r="R303" s="47" t="inlineStr">
        <is>
          <t>No Video ID yet</t>
        </is>
      </c>
      <c r="S303" s="49" t="n"/>
      <c r="T303" s="49" t="n"/>
      <c r="U303" s="47" t="inlineStr">
        <is>
          <t>0:00:00 - Chapter 31: The Third Task 1:57:24 - Chapter 32 - Flesh, Blood and Bone 2:24:50 - Chapter 33: The Death Eaters</t>
        </is>
      </c>
      <c r="V303" s="47">
        <f>IF(AND(P303&gt;=Calendar!$K$2,P303&lt;EDATE(Calendar!$K$2,1),OR(Calendar!$K$4="*",N303=Calendar!$K$4)),P303*100+COUNTIFS($P$6:$P$3267,P303,$Q$6:$Q$3267,"&lt;="&amp;Q303,$N$6:$N$3267,Calendar!$K$4),"")</f>
        <v/>
      </c>
      <c r="W303" s="47">
        <f>IF(AND(B303=Queue!$C$4,OR(Queue!$K$4="*",N303=Queue!$K$4)),Q303,"")</f>
        <v/>
      </c>
    </row>
    <row r="304">
      <c r="A304" s="38">
        <f>IF(M304="","",HYPERLINK("https://www.youtube.com/watch?v="&amp;M304,"▶"))</f>
        <v/>
      </c>
      <c r="B304" s="39">
        <f>IF(C304&lt;&gt;"",C304,IF(P304&lt;=IFERROR(INDEX(tblChannels[Watched Through],MATCH(N304,tblChannels[Channel ID],0)),0),"Watched","Unwatched"))</f>
        <v/>
      </c>
      <c r="C304" s="40" t="n"/>
      <c r="D304" s="41" t="n"/>
      <c r="E304" s="42" t="n">
        <v>45857.20902777778</v>
      </c>
      <c r="F304" s="52" t="inlineStr">
        <is>
          <t>Super Carlin Gaming</t>
        </is>
      </c>
      <c r="G304" t="inlineStr">
        <is>
          <t>JOURNEY TOGETHER - Pokemon Box Breakers SEASON 15 -  Episode 3 - 07/18/2025</t>
        </is>
      </c>
      <c r="H304" s="44" t="n">
        <v>0.1120949074074074</v>
      </c>
      <c r="I304" s="45" t="n">
        <v>811</v>
      </c>
      <c r="J304" s="45" t="n">
        <v>35</v>
      </c>
      <c r="K304" s="45" t="n">
        <v>1</v>
      </c>
      <c r="L304" s="46" t="n"/>
      <c r="M304" s="47" t="n"/>
      <c r="N304" s="47" t="inlineStr">
        <is>
          <t>UCor_9jRnNNZVzTuQ92PKsaQ</t>
        </is>
      </c>
      <c r="O304" s="48" t="n">
        <v>45857.37569444445</v>
      </c>
      <c r="P304" s="49" t="n">
        <v>45857</v>
      </c>
      <c r="Q304" s="47" t="n">
        <v>2964</v>
      </c>
      <c r="R304" s="47" t="inlineStr">
        <is>
          <t>No Video ID yet</t>
        </is>
      </c>
      <c r="S304" s="49" t="n"/>
      <c r="T304" s="49" t="n"/>
      <c r="U304" s="47" t="n"/>
      <c r="V304" s="47">
        <f>IF(AND(P304&gt;=Calendar!$K$2,P304&lt;EDATE(Calendar!$K$2,1),OR(Calendar!$K$4="*",N304=Calendar!$K$4)),P304*100+COUNTIFS($P$6:$P$3267,P304,$Q$6:$Q$3267,"&lt;="&amp;Q304,$N$6:$N$3267,Calendar!$K$4),"")</f>
        <v/>
      </c>
      <c r="W304" s="47">
        <f>IF(AND(B304=Queue!$C$4,OR(Queue!$K$4="*",N304=Queue!$K$4)),Q304,"")</f>
        <v/>
      </c>
    </row>
    <row r="305">
      <c r="A305" s="38">
        <f>IF(M305="","",HYPERLINK("https://www.youtube.com/watch?v="&amp;M305,"▶"))</f>
        <v/>
      </c>
      <c r="B305" s="39">
        <f>IF(C305&lt;&gt;"",C305,IF(P305&lt;=IFERROR(INDEX(tblChannels[Watched Through],MATCH(N305,tblChannels[Channel ID],0)),0),"Watched","Unwatched"))</f>
        <v/>
      </c>
      <c r="C305" s="40" t="n"/>
      <c r="D305" s="41" t="n"/>
      <c r="E305" s="42" t="n">
        <v>45856.70486111111</v>
      </c>
      <c r="F305" s="50" t="inlineStr">
        <is>
          <t>Super Carlin Brothers</t>
        </is>
      </c>
      <c r="G305" t="inlineStr">
        <is>
          <t>Regulus Black was the FIRST Chosen One | Harry Potter Film Theory</t>
        </is>
      </c>
      <c r="H305" s="44" t="n">
        <v>0.01320601851851852</v>
      </c>
      <c r="I305" s="45" t="n">
        <v>145699</v>
      </c>
      <c r="J305" s="45" t="n">
        <v>6272</v>
      </c>
      <c r="K305" s="45" t="n">
        <v>743</v>
      </c>
      <c r="L305" s="46" t="n"/>
      <c r="M305" s="47" t="n"/>
      <c r="N305" s="47" t="inlineStr">
        <is>
          <t>UCKZo4N0lVPccBkSiuyVh4yg</t>
        </is>
      </c>
      <c r="O305" s="48" t="n">
        <v>45856.87152777778</v>
      </c>
      <c r="P305" s="49" t="n">
        <v>45856</v>
      </c>
      <c r="Q305" s="47" t="n">
        <v>2963</v>
      </c>
      <c r="R305" s="47" t="inlineStr">
        <is>
          <t>No Video ID yet</t>
        </is>
      </c>
      <c r="S305" s="49" t="n"/>
      <c r="T305" s="49" t="n"/>
      <c r="U305" s="47" t="inlineStr">
        <is>
          <t>Long before Harry Potter, another wizard may have fit the prophecy—and it changes everything.. This episode is sponsored by BetterHelp - go to to get 10% off your first month. Was Harry Potter really the first Chosen One? Or was someone else chosen before him… and failed? Today J dives deep into the forgotten legacy of Regulus Arcturus Black—Slytherin’s golden boy, secret Horcrux hunter, and perhaps… the original Chosen One. We’ll explore how his death may have triggered the prophecy, how his values mirror Harry’s, and why his sacrifice in the cave holds more power than we ever realized. Could the Boy Who Lived be walking in the footsteps of the Boy Who Died? 👉 Let us know in the comments: Was Regulus the First Chosen One? Des Moines, IA - 9/19 (SOLD OUT) St. Paul, MN - 9/20 (SOLD OUT) Cleveland, OH - 9/25 (SOLD OUT)</t>
        </is>
      </c>
      <c r="V305" s="47">
        <f>IF(AND(P305&gt;=Calendar!$K$2,P305&lt;EDATE(Calendar!$K$2,1),OR(Calendar!$K$4="*",N305=Calendar!$K$4)),P305*100+COUNTIFS($P$6:$P$3267,P305,$Q$6:$Q$3267,"&lt;="&amp;Q305,$N$6:$N$3267,Calendar!$K$4),"")</f>
        <v/>
      </c>
      <c r="W305" s="47">
        <f>IF(AND(B305=Queue!$C$4,OR(Queue!$K$4="*",N305=Queue!$K$4)),Q305,"")</f>
        <v/>
      </c>
    </row>
    <row r="306">
      <c r="A306" s="38">
        <f>IF(M306="","",HYPERLINK("https://www.youtube.com/watch?v="&amp;M306,"▶"))</f>
        <v/>
      </c>
      <c r="B306" s="39">
        <f>IF(C306&lt;&gt;"",C306,IF(P306&lt;=IFERROR(INDEX(tblChannels[Watched Through],MATCH(N306,tblChannels[Channel ID],0)),0),"Watched","Unwatched"))</f>
        <v/>
      </c>
      <c r="C306" s="40" t="n"/>
      <c r="D306" s="41" t="n"/>
      <c r="E306" s="42" t="n">
        <v>45856.56111111111</v>
      </c>
      <c r="F306" s="50" t="inlineStr">
        <is>
          <t>Super Carlin Brothers</t>
        </is>
      </c>
      <c r="G306" t="inlineStr">
        <is>
          <t>The Mirror of Erised’s SECRET Origin..</t>
        </is>
      </c>
      <c r="H306" s="44" t="n">
        <v>0.001759259259259259</v>
      </c>
      <c r="I306" s="45" t="n">
        <v>60444</v>
      </c>
      <c r="J306" s="45" t="n">
        <v>3101</v>
      </c>
      <c r="K306" s="45" t="n">
        <v>62</v>
      </c>
      <c r="L306" s="46" t="n"/>
      <c r="M306" s="47" t="n"/>
      <c r="N306" s="47" t="inlineStr">
        <is>
          <t>UCKZo4N0lVPccBkSiuyVh4yg</t>
        </is>
      </c>
      <c r="O306" s="48" t="n">
        <v>45856.72777777778</v>
      </c>
      <c r="P306" s="49" t="n">
        <v>45856</v>
      </c>
      <c r="Q306" s="47" t="n">
        <v>2962</v>
      </c>
      <c r="R306" s="47" t="inlineStr">
        <is>
          <t>No Video ID yet</t>
        </is>
      </c>
      <c r="S306" s="49" t="n"/>
      <c r="T306" s="49" t="n"/>
      <c r="U306" s="47" t="inlineStr">
        <is>
          <t>The Mirror of Erised is one of the most iconic magical artifacts in the Wizarding World—but what if it’s more dangerous than we ever realized? In this short theory, we explore a shocking connection between the mirror, the Resurrection Stone, and the tale of the Three Brothers. #HarryPotter #WizardingWorld #MirrorOfErised #PeverellBrothers #HarryPotterTheory #Shorts</t>
        </is>
      </c>
      <c r="V306" s="47">
        <f>IF(AND(P306&gt;=Calendar!$K$2,P306&lt;EDATE(Calendar!$K$2,1),OR(Calendar!$K$4="*",N306=Calendar!$K$4)),P306*100+COUNTIFS($P$6:$P$3267,P306,$Q$6:$Q$3267,"&lt;="&amp;Q306,$N$6:$N$3267,Calendar!$K$4),"")</f>
        <v/>
      </c>
      <c r="W306" s="47">
        <f>IF(AND(B306=Queue!$C$4,OR(Queue!$K$4="*",N306=Queue!$K$4)),Q306,"")</f>
        <v/>
      </c>
    </row>
    <row r="307">
      <c r="A307" s="38">
        <f>IF(M307="","",HYPERLINK("https://www.youtube.com/watch?v="&amp;M307,"▶"))</f>
        <v/>
      </c>
      <c r="B307" s="39">
        <f>IF(C307&lt;&gt;"",C307,IF(P307&lt;=IFERROR(INDEX(tblChannels[Watched Through],MATCH(N307,tblChannels[Channel ID],0)),0),"Watched","Unwatched"))</f>
        <v/>
      </c>
      <c r="C307" s="40" t="n"/>
      <c r="D307" s="41" t="n"/>
      <c r="E307" s="42" t="n">
        <v>45856.41666666666</v>
      </c>
      <c r="F307" s="43" t="inlineStr">
        <is>
          <t>Popcorn Culture</t>
        </is>
      </c>
      <c r="G307" t="inlineStr">
        <is>
          <t>Summer Break (Ben’s Version) [From The Vault] | Popcorn Culture</t>
        </is>
      </c>
      <c r="H307" s="44" t="n">
        <v>0.04604166666666667</v>
      </c>
      <c r="I307" s="45" t="n">
        <v>2900</v>
      </c>
      <c r="J307" s="45" t="n">
        <v>142</v>
      </c>
      <c r="K307" s="45" t="n">
        <v>22</v>
      </c>
      <c r="L307" s="46" t="n"/>
      <c r="M307" s="47" t="n"/>
      <c r="N307" s="47" t="inlineStr">
        <is>
          <t>UCHfIbq9thHPC8yrKjAdJgDA</t>
        </is>
      </c>
      <c r="O307" s="48" t="n">
        <v>45856.58333333334</v>
      </c>
      <c r="P307" s="49" t="n">
        <v>45856</v>
      </c>
      <c r="Q307" s="47" t="n">
        <v>2961</v>
      </c>
      <c r="R307" s="47" t="inlineStr">
        <is>
          <t>No Video ID yet</t>
        </is>
      </c>
      <c r="S307" s="49" t="n"/>
      <c r="T307" s="49" t="n"/>
      <c r="U307" s="47" t="inlineStr">
        <is>
          <t>In the 293rd episode of the Pop, Ben and J discuss Ben’s lake trip, natural scents, 9 Lives, accents, roller hockey, longevity and Spearmint. Mr. Frumble’s Worst Day Ever - Dr Bronner’s soap - The Truman Show - Get your tickets for Through the Griffin Tour MIDWEST here: St. Louis, MO - 9/17 (low ticket warning) Detroit, MI - 9/24 (low ticket warning) 00:00 - Intro, Corporate PTO 04:55 - Ben’s Week Off</t>
        </is>
      </c>
      <c r="V307" s="47">
        <f>IF(AND(P307&gt;=Calendar!$K$2,P307&lt;EDATE(Calendar!$K$2,1),OR(Calendar!$K$4="*",N307=Calendar!$K$4)),P307*100+COUNTIFS($P$6:$P$3267,P307,$Q$6:$Q$3267,"&lt;="&amp;Q307,$N$6:$N$3267,Calendar!$K$4),"")</f>
        <v/>
      </c>
      <c r="W307" s="47">
        <f>IF(AND(B307=Queue!$C$4,OR(Queue!$K$4="*",N307=Queue!$K$4)),Q307,"")</f>
        <v/>
      </c>
    </row>
    <row r="308">
      <c r="A308" s="38">
        <f>IF(M308="","",HYPERLINK("https://www.youtube.com/watch?v="&amp;M308,"▶"))</f>
        <v/>
      </c>
      <c r="B308" s="39">
        <f>IF(C308&lt;&gt;"",C308,IF(P308&lt;=IFERROR(INDEX(tblChannels[Watched Through],MATCH(N308,tblChannels[Channel ID],0)),0),"Watched","Unwatched"))</f>
        <v/>
      </c>
      <c r="C308" s="40" t="n"/>
      <c r="D308" s="41" t="n"/>
      <c r="E308" s="42" t="n">
        <v>45854.625</v>
      </c>
      <c r="F308" s="50" t="inlineStr">
        <is>
          <t>Super Carlin Brothers</t>
        </is>
      </c>
      <c r="G308" t="inlineStr">
        <is>
          <t>J vs Ben: Can We Remember Our OWN Harry Potter Theories??</t>
        </is>
      </c>
      <c r="H308" s="44" t="n">
        <v>0.03498842592592592</v>
      </c>
      <c r="I308" s="45" t="n">
        <v>216035</v>
      </c>
      <c r="J308" s="45" t="n">
        <v>5985</v>
      </c>
      <c r="K308" s="45" t="n">
        <v>497</v>
      </c>
      <c r="L308" s="46" t="n"/>
      <c r="M308" s="47" t="n"/>
      <c r="N308" s="47" t="inlineStr">
        <is>
          <t>UCKZo4N0lVPccBkSiuyVh4yg</t>
        </is>
      </c>
      <c r="O308" s="48" t="n">
        <v>45854.79166666666</v>
      </c>
      <c r="P308" s="49" t="n">
        <v>45854</v>
      </c>
      <c r="Q308" s="47" t="n">
        <v>2960</v>
      </c>
      <c r="R308" s="47" t="inlineStr">
        <is>
          <t>No Video ID yet</t>
        </is>
      </c>
      <c r="S308" s="49" t="n"/>
      <c r="T308" s="49" t="n"/>
      <c r="U308" s="47" t="inlineStr">
        <is>
          <t>Download the FREE Upside App and use promo code JVSB to get an extra 25 cents back for every gallon on your first tank of gas. Go to and get TEN FREE MEALS with a FREE ITEM FOR LIFE. We’ve made hundreds of Harry Potter theory videos over the years... but how well do we remember what we actually said in them? Today, it’s J vs Ben in a trivia showdown featuring questions from our own backlog of theories, submitted by YOU, the viewers! How well do we know our own lore? Will we crumble under pressure? Will Ben remember which dragon built Hogwarts? Will J finally forget a pun?! Special thanks to our amazing Patrons who submitted questions for this episode! Essential Escapism, Fis, Dola, LawNinja, GooeyChewie, Amanda B., Gooie Cow (aka MaGoo), Teghan Denlinger, Bradferd, Oryan, Jessica Theriault, Michaela Henry, Tara Walker, and Rowena R. EVERY THEORY MENTIONED IN THIS VIDEO :: Des Moines, IA - 9/19 (SOLD OUT) St. Paul, MN - 9/20 (SOLD OUT) Cleveland, OH - 9/25 (SOLD OUT) #HarryPotter #JvsBen Written by :: THE QUIZ MASTERS</t>
        </is>
      </c>
      <c r="V308" s="47">
        <f>IF(AND(P308&gt;=Calendar!$K$2,P308&lt;EDATE(Calendar!$K$2,1),OR(Calendar!$K$4="*",N308=Calendar!$K$4)),P308*100+COUNTIFS($P$6:$P$3267,P308,$Q$6:$Q$3267,"&lt;="&amp;Q308,$N$6:$N$3267,Calendar!$K$4),"")</f>
        <v/>
      </c>
      <c r="W308" s="47">
        <f>IF(AND(B308=Queue!$C$4,OR(Queue!$K$4="*",N308=Queue!$K$4)),Q308,"")</f>
        <v/>
      </c>
    </row>
    <row r="309">
      <c r="A309" s="38">
        <f>IF(M309="","",HYPERLINK("https://www.youtube.com/watch?v="&amp;M309,"▶"))</f>
        <v/>
      </c>
      <c r="B309" s="39">
        <f>IF(C309&lt;&gt;"",C309,IF(P309&lt;=IFERROR(INDEX(tblChannels[Watched Through],MATCH(N309,tblChannels[Channel ID],0)),0),"Watched","Unwatched"))</f>
        <v/>
      </c>
      <c r="C309" s="40" t="n"/>
      <c r="D309" s="41" t="n"/>
      <c r="E309" s="42" t="n">
        <v>45851.41736111111</v>
      </c>
      <c r="F309" s="51" t="inlineStr">
        <is>
          <t>Through The Griffin Door</t>
        </is>
      </c>
      <c r="G309" t="inlineStr">
        <is>
          <t>Chapter 33: The Death Eaters | Goblet of Fire</t>
        </is>
      </c>
      <c r="H309" s="44" t="n">
        <v>0.06987268518518519</v>
      </c>
      <c r="I309" s="45" t="n">
        <v>60349</v>
      </c>
      <c r="J309" s="45" t="n">
        <v>1460</v>
      </c>
      <c r="K309" s="45" t="n">
        <v>432</v>
      </c>
      <c r="L309" s="46" t="n"/>
      <c r="M309" s="47" t="n"/>
      <c r="N309" s="47" t="inlineStr">
        <is>
          <t>UCEscP6ETYXWSSvsNrDHekMQ</t>
        </is>
      </c>
      <c r="O309" s="48" t="n">
        <v>45851.58402777778</v>
      </c>
      <c r="P309" s="49" t="n">
        <v>45851</v>
      </c>
      <c r="Q309" s="47" t="n">
        <v>2959</v>
      </c>
      <c r="R309" s="47" t="inlineStr">
        <is>
          <t>No Video ID yet</t>
        </is>
      </c>
      <c r="S309" s="49" t="n"/>
      <c r="T309" s="49" t="n"/>
      <c r="U309" s="47" t="inlineStr">
        <is>
          <t>This episode is sponsored by Pair Eyewear – Go to paireyewear.com and use code 'GRIFFIN' for 15% off your first pair. Join J and Ben as they dive into Chapter 33 of the Goblet of Fire and discuss yin and yang symbolism, impersonator Nagini, Voldemort’s wand, the Dark Mark, Voldemort monologuing, each of the Death Eaters, and constant contradictions. How Voldemort Got His ORIGINAL Wand Back - The Incredibles - Most Important Line in Harry Potter - THROUGH THE GRIFFIN TOUR MIDWEST TICKETS ARE ON SALE RIGHT NOW St. Louis, MO - 9/17 (low ticket warning) Detroit, MI - 9/24 (low ticket warning) Support us on Patreon AND GET YOUR GUMPSTER FIRE PIN: 3:56 - Chapter Breakdown 51:23 - Ad Break (Pair Eyewear) 53:07 - More Chapter Breakdown 1:37:43 - Closing Thoughts and Review</t>
        </is>
      </c>
      <c r="V309" s="47">
        <f>IF(AND(P309&gt;=Calendar!$K$2,P309&lt;EDATE(Calendar!$K$2,1),OR(Calendar!$K$4="*",N309=Calendar!$K$4)),P309*100+COUNTIFS($P$6:$P$3267,P309,$Q$6:$Q$3267,"&lt;="&amp;Q309,$N$6:$N$3267,Calendar!$K$4),"")</f>
        <v/>
      </c>
      <c r="W309" s="47">
        <f>IF(AND(B309=Queue!$C$4,OR(Queue!$K$4="*",N309=Queue!$K$4)),Q309,"")</f>
        <v/>
      </c>
    </row>
    <row r="310">
      <c r="A310" s="38">
        <f>IF(M310="","",HYPERLINK("https://www.youtube.com/watch?v="&amp;M310,"▶"))</f>
        <v/>
      </c>
      <c r="B310" s="39">
        <f>IF(C310&lt;&gt;"",C310,IF(P310&lt;=IFERROR(INDEX(tblChannels[Watched Through],MATCH(N310,tblChannels[Channel ID],0)),0),"Watched","Unwatched"))</f>
        <v/>
      </c>
      <c r="C310" s="40" t="n"/>
      <c r="D310" s="41" t="n"/>
      <c r="E310" s="42" t="n">
        <v>45849.67638888889</v>
      </c>
      <c r="F310" s="50" t="inlineStr">
        <is>
          <t>Super Carlin Brothers</t>
        </is>
      </c>
      <c r="G310" t="inlineStr">
        <is>
          <t>How Voldemort FOUND Nagini | Harry Potter Film Theory</t>
        </is>
      </c>
      <c r="H310" s="44" t="n">
        <v>0.01100694444444444</v>
      </c>
      <c r="I310" s="45" t="n">
        <v>155582</v>
      </c>
      <c r="J310" s="45" t="n">
        <v>5801</v>
      </c>
      <c r="K310" s="45" t="n">
        <v>463</v>
      </c>
      <c r="L310" s="46" t="n"/>
      <c r="M310" s="47" t="n"/>
      <c r="N310" s="47" t="inlineStr">
        <is>
          <t>UCKZo4N0lVPccBkSiuyVh4yg</t>
        </is>
      </c>
      <c r="O310" s="48" t="n">
        <v>45849.84305555555</v>
      </c>
      <c r="P310" s="49" t="n">
        <v>45849</v>
      </c>
      <c r="Q310" s="47" t="n">
        <v>2958</v>
      </c>
      <c r="R310" s="47" t="inlineStr">
        <is>
          <t>No Video ID yet</t>
        </is>
      </c>
      <c r="S310" s="49" t="n"/>
      <c r="T310" s="49" t="n"/>
      <c r="U310" s="47" t="inlineStr">
        <is>
          <t>This episode is sponsored by BetterHelp - go to to get 10% off your first month. What really happened to Nagini? Today, Ben dives deep into one of the darkest and most overlooked mysteries in the Wizarding World: Why did Nagini obey Voldemort so completely? From her origins as a cursed Maledictus in Fantastic Beasts to her final moments as Voldemort’s closest ally, we’re exploring a chilling theory that could explain everything about Voldemort’s favorite companion. Des Moines, IA - 9/19 (SOLD OUT) St. Paul, MN - 9/20 (SOLD OUT) Cleveland, OH - 9/25 (SOLD OUT) #HarryPotter #SuperCarlinBrothers #wizardingworld</t>
        </is>
      </c>
      <c r="V310" s="47">
        <f>IF(AND(P310&gt;=Calendar!$K$2,P310&lt;EDATE(Calendar!$K$2,1),OR(Calendar!$K$4="*",N310=Calendar!$K$4)),P310*100+COUNTIFS($P$6:$P$3267,P310,$Q$6:$Q$3267,"&lt;="&amp;Q310,$N$6:$N$3267,Calendar!$K$4),"")</f>
        <v/>
      </c>
      <c r="W310" s="47">
        <f>IF(AND(B310=Queue!$C$4,OR(Queue!$K$4="*",N310=Queue!$K$4)),Q310,"")</f>
        <v/>
      </c>
    </row>
    <row r="311">
      <c r="A311" s="38">
        <f>IF(M311="","",HYPERLINK("https://www.youtube.com/watch?v="&amp;M311,"▶"))</f>
        <v/>
      </c>
      <c r="B311" s="39">
        <f>IF(C311&lt;&gt;"",C311,IF(P311&lt;=IFERROR(INDEX(tblChannels[Watched Through],MATCH(N311,tblChannels[Channel ID],0)),0),"Watched","Unwatched"))</f>
        <v/>
      </c>
      <c r="C311" s="40" t="n"/>
      <c r="D311" s="41" t="n"/>
      <c r="E311" s="42" t="n">
        <v>45849.41666666666</v>
      </c>
      <c r="F311" s="43" t="inlineStr">
        <is>
          <t>Popcorn Culture</t>
        </is>
      </c>
      <c r="G311" t="inlineStr">
        <is>
          <t>J on 30A | Popcorn Culture</t>
        </is>
      </c>
      <c r="H311" s="44" t="n">
        <v>0.04565972222222222</v>
      </c>
      <c r="I311" s="45" t="n">
        <v>3025</v>
      </c>
      <c r="J311" s="45" t="n">
        <v>148</v>
      </c>
      <c r="K311" s="45" t="n">
        <v>14</v>
      </c>
      <c r="L311" s="46" t="n"/>
      <c r="M311" s="47" t="n"/>
      <c r="N311" s="47" t="inlineStr">
        <is>
          <t>UCHfIbq9thHPC8yrKjAdJgDA</t>
        </is>
      </c>
      <c r="O311" s="48" t="n">
        <v>45849.58333333334</v>
      </c>
      <c r="P311" s="49" t="n">
        <v>45849</v>
      </c>
      <c r="Q311" s="47" t="n">
        <v>2957</v>
      </c>
      <c r="R311" s="47" t="inlineStr">
        <is>
          <t>No Video ID yet</t>
        </is>
      </c>
      <c r="S311" s="49" t="n"/>
      <c r="T311" s="49" t="n"/>
      <c r="U311" s="47" t="inlineStr">
        <is>
          <t>In the 292nd episode of the Pop, Ben and J discuss Luke going to camp, J’s anniversary vacation, travel stress and Birkenstocks. F1 movie - Richard Scarry - Birkenstocks - Get your tickets for Through the Griffin Tour MIDWEST here: St. Louis, MO - 9/17 (low ticket warning) Detroit, MI - 9/24 (low ticket warning) Alternative Titles The Coolest Kid in 7th Grade 00:00 - Intro, Sunday Scaries 06:44 - J and Beth’s Anniversary</t>
        </is>
      </c>
      <c r="V311" s="47">
        <f>IF(AND(P311&gt;=Calendar!$K$2,P311&lt;EDATE(Calendar!$K$2,1),OR(Calendar!$K$4="*",N311=Calendar!$K$4)),P311*100+COUNTIFS($P$6:$P$3267,P311,$Q$6:$Q$3267,"&lt;="&amp;Q311,$N$6:$N$3267,Calendar!$K$4),"")</f>
        <v/>
      </c>
      <c r="W311" s="47">
        <f>IF(AND(B311=Queue!$C$4,OR(Queue!$K$4="*",N311=Queue!$K$4)),Q311,"")</f>
        <v/>
      </c>
    </row>
    <row r="312">
      <c r="A312" s="38">
        <f>IF(M312="","",HYPERLINK("https://www.youtube.com/watch?v="&amp;M312,"▶"))</f>
        <v/>
      </c>
      <c r="B312" s="39">
        <f>IF(C312&lt;&gt;"",C312,IF(P312&lt;=IFERROR(INDEX(tblChannels[Watched Through],MATCH(N312,tblChannels[Channel ID],0)),0),"Watched","Unwatched"))</f>
        <v/>
      </c>
      <c r="C312" s="40" t="n"/>
      <c r="D312" s="41" t="n"/>
      <c r="E312" s="42" t="n">
        <v>45847.61736111111</v>
      </c>
      <c r="F312" s="50" t="inlineStr">
        <is>
          <t>Super Carlin Brothers</t>
        </is>
      </c>
      <c r="G312" t="inlineStr">
        <is>
          <t>How ELIO Fits Into The Pixar Theory</t>
        </is>
      </c>
      <c r="H312" s="44" t="n">
        <v>0.01318287037037037</v>
      </c>
      <c r="I312" s="45" t="n">
        <v>43184</v>
      </c>
      <c r="J312" s="45" t="n">
        <v>2186</v>
      </c>
      <c r="K312" s="45" t="n">
        <v>276</v>
      </c>
      <c r="L312" s="46" t="n"/>
      <c r="M312" s="47" t="n"/>
      <c r="N312" s="47" t="inlineStr">
        <is>
          <t>UCKZo4N0lVPccBkSiuyVh4yg</t>
        </is>
      </c>
      <c r="O312" s="48" t="n">
        <v>45847.78402777778</v>
      </c>
      <c r="P312" s="49" t="n">
        <v>45847</v>
      </c>
      <c r="Q312" s="47" t="n">
        <v>2956</v>
      </c>
      <c r="R312" s="47" t="inlineStr">
        <is>
          <t>No Video ID yet</t>
        </is>
      </c>
      <c r="S312" s="49" t="n"/>
      <c r="T312" s="49" t="n"/>
      <c r="U312" s="47" t="inlineStr">
        <is>
          <t>Get started with AG1 Next Gen for less than $3 a day when you subscribe! Elio is finally here—and with it, a ton of new Pixar Theory questions! How do aliens fit into the timeline? Why didn’t they help Earth during the WALL-E era? And did we just uncover the true origin of the Cars universe?? Join J as he breaks down every clue, connection, and Easter egg Elio gives us and how it fits perfectly into the grand Pixar timeline. From space junk to golden records to a Giulia cameo from Luca, Elio might be the missing link between WALL-E, Onward, and… Car Clones?! Buckle up, it’s about to get galactic. 👕 Show your fandom with our 2025 Pride Shirt! 👉 🎟 THROUGH THE GRIFFIN TOUR – Midwest Dates ON SALE NOW! 👉 • Indianapolis, IN - 9/16 • St. Louis, MO - 9/17 • Des Moines, IA - 9/19 • St. Paul, MN - 9/20 • Milwaukee, WI - 9/21 • Chicago, IL - 9/23 • Detroit, MI - 9/24 • Cleveland, OH - 9/25 #PixarTheory #Elio #SuperCarlinBrothers</t>
        </is>
      </c>
      <c r="V312" s="47">
        <f>IF(AND(P312&gt;=Calendar!$K$2,P312&lt;EDATE(Calendar!$K$2,1),OR(Calendar!$K$4="*",N312=Calendar!$K$4)),P312*100+COUNTIFS($P$6:$P$3267,P312,$Q$6:$Q$3267,"&lt;="&amp;Q312,$N$6:$N$3267,Calendar!$K$4),"")</f>
        <v/>
      </c>
      <c r="W312" s="47">
        <f>IF(AND(B312=Queue!$C$4,OR(Queue!$K$4="*",N312=Queue!$K$4)),Q312,"")</f>
        <v/>
      </c>
    </row>
    <row r="313">
      <c r="A313" s="38">
        <f>IF(M313="","",HYPERLINK("https://www.youtube.com/watch?v="&amp;M313,"▶"))</f>
        <v/>
      </c>
      <c r="B313" s="39">
        <f>IF(C313&lt;&gt;"",C313,IF(P313&lt;=IFERROR(INDEX(tblChannels[Watched Through],MATCH(N313,tblChannels[Channel ID],0)),0),"Watched","Unwatched"))</f>
        <v/>
      </c>
      <c r="C313" s="40" t="n"/>
      <c r="D313" s="41" t="n"/>
      <c r="E313" s="42" t="n">
        <v>45844.41666666666</v>
      </c>
      <c r="F313" s="51" t="inlineStr">
        <is>
          <t>Through The Griffin Door</t>
        </is>
      </c>
      <c r="G313" t="inlineStr">
        <is>
          <t>The Owlery Special Part 2!</t>
        </is>
      </c>
      <c r="H313" s="44" t="n">
        <v>0.05153935185185185</v>
      </c>
      <c r="I313" s="45" t="n">
        <v>28383</v>
      </c>
      <c r="J313" s="45" t="n">
        <v>880</v>
      </c>
      <c r="K313" s="45" t="n">
        <v>382</v>
      </c>
      <c r="L313" s="46" t="n"/>
      <c r="M313" s="47" t="n"/>
      <c r="N313" s="47" t="inlineStr">
        <is>
          <t>UCEscP6ETYXWSSvsNrDHekMQ</t>
        </is>
      </c>
      <c r="O313" s="48" t="n">
        <v>45844.58333333334</v>
      </c>
      <c r="P313" s="49" t="n">
        <v>45844</v>
      </c>
      <c r="Q313" s="47" t="n">
        <v>2955</v>
      </c>
      <c r="R313" s="47" t="inlineStr">
        <is>
          <t>No Video ID yet</t>
        </is>
      </c>
      <c r="S313" s="49" t="n"/>
      <c r="T313" s="49" t="n"/>
      <c r="U313" s="47" t="inlineStr">
        <is>
          <t>Please enjoy this preview into The Owlery over on Patreon! We get a lot of interesting questions over there and love answering them so we wanted to share a few of them with you over on the main channel! Support us on Patreon to listen to MORE Owlery questions AND get your GUMPSTER FIRE pin: THROUGH THE GRIFFIN TOUR MIDWEST TICKETS ARE ON SALE RIGHT NOW St. Louis, MO - 9/17 (low ticket warning) Detroit, MI - 9/24 (low ticket warning) Get your Sorting Candle HERE: \ 05:03 - What If Harry Killed Bellatrix? 31:52 - All About Metamorphmagi 55:46 - When Did Petunia Tell Vernon About Magic?</t>
        </is>
      </c>
      <c r="V313" s="47">
        <f>IF(AND(P313&gt;=Calendar!$K$2,P313&lt;EDATE(Calendar!$K$2,1),OR(Calendar!$K$4="*",N313=Calendar!$K$4)),P313*100+COUNTIFS($P$6:$P$3267,P313,$Q$6:$Q$3267,"&lt;="&amp;Q313,$N$6:$N$3267,Calendar!$K$4),"")</f>
        <v/>
      </c>
      <c r="W313" s="47">
        <f>IF(AND(B313=Queue!$C$4,OR(Queue!$K$4="*",N313=Queue!$K$4)),Q313,"")</f>
        <v/>
      </c>
    </row>
    <row r="314">
      <c r="A314" s="38">
        <f>IF(M314="","",HYPERLINK("https://www.youtube.com/watch?v="&amp;M314,"▶"))</f>
        <v/>
      </c>
      <c r="B314" s="39">
        <f>IF(C314&lt;&gt;"",C314,IF(P314&lt;=IFERROR(INDEX(tblChannels[Watched Through],MATCH(N314,tblChannels[Channel ID],0)),0),"Watched","Unwatched"))</f>
        <v/>
      </c>
      <c r="C314" s="40" t="n"/>
      <c r="D314" s="41" t="n"/>
      <c r="E314" s="42" t="n">
        <v>45842.625</v>
      </c>
      <c r="F314" s="50" t="inlineStr">
        <is>
          <t>Super Carlin Brothers</t>
        </is>
      </c>
      <c r="G314" t="inlineStr">
        <is>
          <t>J vs Ben: Impossible FRED &amp; GEORGE Harry Potter Trivia Quiz</t>
        </is>
      </c>
      <c r="H314" s="44" t="n">
        <v>0.02365740740740741</v>
      </c>
      <c r="I314" s="45" t="n">
        <v>81860</v>
      </c>
      <c r="J314" s="45" t="n">
        <v>3396</v>
      </c>
      <c r="K314" s="45" t="n">
        <v>264</v>
      </c>
      <c r="L314" s="46" t="n"/>
      <c r="M314" s="47" t="n"/>
      <c r="N314" s="47" t="inlineStr">
        <is>
          <t>UCKZo4N0lVPccBkSiuyVh4yg</t>
        </is>
      </c>
      <c r="O314" s="48" t="n">
        <v>45842.79166666666</v>
      </c>
      <c r="P314" s="49" t="n">
        <v>45842</v>
      </c>
      <c r="Q314" s="47" t="n">
        <v>2954</v>
      </c>
      <c r="R314" s="47" t="inlineStr">
        <is>
          <t>No Video ID yet</t>
        </is>
      </c>
      <c r="S314" s="49" t="n"/>
      <c r="T314" s="49" t="n"/>
      <c r="U314" s="47" t="inlineStr">
        <is>
          <t>Get started at and use code jvsb50off to get 50% off plus FREE shipping on your first box. Check out our new SUPER Shirt at Think you can tell Fred and George apart? Today J and Ben face off once again to celebrate the chaotic brilliance of the Weasley twins with a Fred &amp; George "Who Said What" Quiz! Can you spot the difference between Gred and Forge? Because we definitely struggled… This quiz is packed with iconic quotes submitted by Super Carlin Brothers Patrons aka THE QUIZ MASTERS—so huge thanks to everyone who helped make this possible! Play along and see if you can beat J or Ben's scores Quotes submitted by: Teghan Denlinger, Focus Pending, Jennifer Froh, Bradferd, Keeli Rae and Oryan, Looncall, Julie Sherwood and Tara Walker, Captain Hawk, Elli Collins, Sarah Makiyama, Oryan, Dola, LawNinja, Peyton Taylor, Wesley Walker Play Along With Us 👉 Show your colors AND your fandom! Grab the SCB Pride Month shirt now! 👉 Des Moines, IA - 9/19 (SOLD OUT) St. Paul, MN - 9/20 (SOLD OUT) Cleveland, OH - 9/25 (SOLD OUT) Written by :: QUIZMASTERS! Hosted by :: Isybelle Christley</t>
        </is>
      </c>
      <c r="V314" s="47">
        <f>IF(AND(P314&gt;=Calendar!$K$2,P314&lt;EDATE(Calendar!$K$2,1),OR(Calendar!$K$4="*",N314=Calendar!$K$4)),P314*100+COUNTIFS($P$6:$P$3267,P314,$Q$6:$Q$3267,"&lt;="&amp;Q314,$N$6:$N$3267,Calendar!$K$4),"")</f>
        <v/>
      </c>
      <c r="W314" s="47">
        <f>IF(AND(B314=Queue!$C$4,OR(Queue!$K$4="*",N314=Queue!$K$4)),Q314,"")</f>
        <v/>
      </c>
    </row>
    <row r="315">
      <c r="A315" s="38">
        <f>IF(M315="","",HYPERLINK("https://www.youtube.com/watch?v="&amp;M315,"▶"))</f>
        <v/>
      </c>
      <c r="B315" s="39">
        <f>IF(C315&lt;&gt;"",C315,IF(P315&lt;=IFERROR(INDEX(tblChannels[Watched Through],MATCH(N315,tblChannels[Channel ID],0)),0),"Watched","Unwatched"))</f>
        <v/>
      </c>
      <c r="C315" s="40" t="n"/>
      <c r="D315" s="41" t="n"/>
      <c r="E315" s="42" t="n">
        <v>45842.41666666666</v>
      </c>
      <c r="F315" s="43" t="inlineStr">
        <is>
          <t>Popcorn Culture</t>
        </is>
      </c>
      <c r="G315" t="inlineStr">
        <is>
          <t>Popcorn Never Goes Bad | Popcorn Culture</t>
        </is>
      </c>
      <c r="H315" s="44" t="n">
        <v>0.05622685185185185</v>
      </c>
      <c r="I315" s="45" t="n">
        <v>3197</v>
      </c>
      <c r="J315" s="45" t="n">
        <v>152</v>
      </c>
      <c r="K315" s="45" t="n">
        <v>29</v>
      </c>
      <c r="L315" s="46" t="n"/>
      <c r="M315" s="47" t="n"/>
      <c r="N315" s="47" t="inlineStr">
        <is>
          <t>UCHfIbq9thHPC8yrKjAdJgDA</t>
        </is>
      </c>
      <c r="O315" s="48" t="n">
        <v>45842.58333333334</v>
      </c>
      <c r="P315" s="49" t="n">
        <v>45842</v>
      </c>
      <c r="Q315" s="47" t="n">
        <v>2953</v>
      </c>
      <c r="R315" s="47" t="inlineStr">
        <is>
          <t>No Video ID yet</t>
        </is>
      </c>
      <c r="S315" s="49" t="n"/>
      <c r="T315" s="49" t="n"/>
      <c r="U315" s="47" t="inlineStr">
        <is>
          <t>In previous After the Final Pop Episodes, Ben and J discussed what letters of the alphabet are best, their Pringle eating competition and how to resolve conflict from your distant past. If you would like to get in on more of this ATFP action you can do so here: Get your tickets for Through the Griffin Tour MIDWEST here: St. Louis, MO - 9/17 (low ticket warning) Detroit, MI - 9/24 (low ticket warning) 03:03 - ATFP 286: Alphabet Rankings 31:09 - ATFP 211: Pringles 48:22 - ATFP 198: Conflict Resolution Edited by: Isybelle Christley and Ethan Edghill</t>
        </is>
      </c>
      <c r="V315" s="47">
        <f>IF(AND(P315&gt;=Calendar!$K$2,P315&lt;EDATE(Calendar!$K$2,1),OR(Calendar!$K$4="*",N315=Calendar!$K$4)),P315*100+COUNTIFS($P$6:$P$3267,P315,$Q$6:$Q$3267,"&lt;="&amp;Q315,$N$6:$N$3267,Calendar!$K$4),"")</f>
        <v/>
      </c>
      <c r="W315" s="47">
        <f>IF(AND(B315=Queue!$C$4,OR(Queue!$K$4="*",N315=Queue!$K$4)),Q315,"")</f>
        <v/>
      </c>
    </row>
    <row r="316">
      <c r="A316" s="38">
        <f>IF(M316="","",HYPERLINK("https://www.youtube.com/watch?v="&amp;M316,"▶"))</f>
        <v/>
      </c>
      <c r="B316" s="39">
        <f>IF(C316&lt;&gt;"",C316,IF(P316&lt;=IFERROR(INDEX(tblChannels[Watched Through],MATCH(N316,tblChannels[Channel ID],0)),0),"Watched","Unwatched"))</f>
        <v/>
      </c>
      <c r="C316" s="40" t="n"/>
      <c r="D316" s="41" t="n"/>
      <c r="E316" s="42" t="n">
        <v>45840.66666666666</v>
      </c>
      <c r="F316" s="50" t="inlineStr">
        <is>
          <t>Super Carlin Brothers</t>
        </is>
      </c>
      <c r="G316" t="inlineStr">
        <is>
          <t>The Pensieve’s Dark Twin REVEALED | Harry Potter Film Theory</t>
        </is>
      </c>
      <c r="H316" s="44" t="n">
        <v>0.01327546296296296</v>
      </c>
      <c r="I316" s="45" t="n">
        <v>153963</v>
      </c>
      <c r="J316" s="45" t="n">
        <v>6496</v>
      </c>
      <c r="K316" s="45" t="n">
        <v>804</v>
      </c>
      <c r="L316" s="46" t="n"/>
      <c r="M316" s="47" t="n"/>
      <c r="N316" s="47" t="inlineStr">
        <is>
          <t>UCKZo4N0lVPccBkSiuyVh4yg</t>
        </is>
      </c>
      <c r="O316" s="48" t="n">
        <v>45840.83333333334</v>
      </c>
      <c r="P316" s="49" t="n">
        <v>45840</v>
      </c>
      <c r="Q316" s="47" t="n">
        <v>2952</v>
      </c>
      <c r="R316" s="47" t="inlineStr">
        <is>
          <t>No Video ID yet</t>
        </is>
      </c>
      <c r="S316" s="49" t="n"/>
      <c r="T316" s="49" t="n"/>
      <c r="U316" s="47" t="inlineStr">
        <is>
          <t>This episode is sponsored by BetterHelp - go to to get 10% off your first month. Today, J dives into the Wizarding World of Harry Potter to reveal the Pensieve’s Dark twin and how it operates in the exact opposite way of the Pensieve. PLUS how this shows yet another of Voldemort’s shortcomings! Show your colors AND your fandom! Grab the SCB Pride Month shirt now! 👉 Des Moines, IA - 9/19 (SOLD OUT) St. Paul, MN - 9/20 (SOLD OUT) Cleveland, OH - 9/25 (SOLD OUT)</t>
        </is>
      </c>
      <c r="V316" s="47">
        <f>IF(AND(P316&gt;=Calendar!$K$2,P316&lt;EDATE(Calendar!$K$2,1),OR(Calendar!$K$4="*",N316=Calendar!$K$4)),P316*100+COUNTIFS($P$6:$P$3267,P316,$Q$6:$Q$3267,"&lt;="&amp;Q316,$N$6:$N$3267,Calendar!$K$4),"")</f>
        <v/>
      </c>
      <c r="W316" s="47">
        <f>IF(AND(B316=Queue!$C$4,OR(Queue!$K$4="*",N316=Queue!$K$4)),Q316,"")</f>
        <v/>
      </c>
    </row>
    <row r="317">
      <c r="A317" s="38">
        <f>IF(M317="","",HYPERLINK("https://www.youtube.com/watch?v="&amp;M317,"▶"))</f>
        <v/>
      </c>
      <c r="B317" s="39">
        <f>IF(C317&lt;&gt;"",C317,IF(P317&lt;=IFERROR(INDEX(tblChannels[Watched Through],MATCH(N317,tblChannels[Channel ID],0)),0),"Watched","Unwatched"))</f>
        <v/>
      </c>
      <c r="C317" s="40" t="n"/>
      <c r="D317" s="41" t="n"/>
      <c r="E317" s="42" t="n">
        <v>45837.41736111111</v>
      </c>
      <c r="F317" s="51" t="inlineStr">
        <is>
          <t>Through The Griffin Door</t>
        </is>
      </c>
      <c r="G317" t="inlineStr">
        <is>
          <t>Chapter 32: Flesh, Blood and Bone | Goblet of Fire</t>
        </is>
      </c>
      <c r="H317" s="44" t="n">
        <v>0.03988425925925926</v>
      </c>
      <c r="I317" s="45" t="n">
        <v>47353</v>
      </c>
      <c r="J317" s="45" t="n">
        <v>1367</v>
      </c>
      <c r="K317" s="45" t="n">
        <v>354</v>
      </c>
      <c r="L317" s="46" t="n"/>
      <c r="M317" s="47" t="n"/>
      <c r="N317" s="47" t="inlineStr">
        <is>
          <t>UCEscP6ETYXWSSvsNrDHekMQ</t>
        </is>
      </c>
      <c r="O317" s="48" t="n">
        <v>45837.58402777778</v>
      </c>
      <c r="P317" s="49" t="n">
        <v>45837</v>
      </c>
      <c r="Q317" s="47" t="n">
        <v>2951</v>
      </c>
      <c r="R317" s="47" t="inlineStr">
        <is>
          <t>No Video ID yet</t>
        </is>
      </c>
      <c r="S317" s="49" t="n"/>
      <c r="T317" s="49" t="n"/>
      <c r="U317" s="47" t="inlineStr">
        <is>
          <t>Join J and Ben as they dive into Chapter 32 of the Goblet of Fire and discuss how far they go, Cedric’s death, the Thestral dilemma, the potion, Voldemort’s MASTER PLAN Revealed! - THROUGH THE GRIFFIN TOUR MIDWEST TICKETS ARE ON SALE RIGHT NOW St. Louis, MO - 9/17 (low ticket warning) Detroit, MI - 9/24 (low ticket warning) Support us on Patreon AND GET YOUR GUMPSTER FIRE PIN: 04:02- Chapter Breakdown 50:00 - Closing Thoughts and Review</t>
        </is>
      </c>
      <c r="V317" s="47">
        <f>IF(AND(P317&gt;=Calendar!$K$2,P317&lt;EDATE(Calendar!$K$2,1),OR(Calendar!$K$4="*",N317=Calendar!$K$4)),P317*100+COUNTIFS($P$6:$P$3267,P317,$Q$6:$Q$3267,"&lt;="&amp;Q317,$N$6:$N$3267,Calendar!$K$4),"")</f>
        <v/>
      </c>
      <c r="W317" s="47">
        <f>IF(AND(B317=Queue!$C$4,OR(Queue!$K$4="*",N317=Queue!$K$4)),Q317,"")</f>
        <v/>
      </c>
    </row>
    <row r="318">
      <c r="A318" s="38">
        <f>IF(M318="","",HYPERLINK("https://www.youtube.com/watch?v="&amp;M318,"▶"))</f>
        <v/>
      </c>
      <c r="B318" s="39">
        <f>IF(C318&lt;&gt;"",C318,IF(P318&lt;=IFERROR(INDEX(tblChannels[Watched Through],MATCH(N318,tblChannels[Channel ID],0)),0),"Watched","Unwatched"))</f>
        <v/>
      </c>
      <c r="C318" s="40" t="n"/>
      <c r="D318" s="41" t="n"/>
      <c r="E318" s="42" t="n">
        <v>45835.71527777778</v>
      </c>
      <c r="F318" s="50" t="inlineStr">
        <is>
          <t>Super Carlin Brothers</t>
        </is>
      </c>
      <c r="G318" t="inlineStr">
        <is>
          <t>Pixar Made Us Cry Again. | Elio REVIEW</t>
        </is>
      </c>
      <c r="H318" s="44" t="n">
        <v>0.03759259259259259</v>
      </c>
      <c r="I318" s="45" t="n">
        <v>19628</v>
      </c>
      <c r="J318" s="45" t="n">
        <v>916</v>
      </c>
      <c r="K318" s="45" t="n">
        <v>241</v>
      </c>
      <c r="L318" s="46" t="n"/>
      <c r="M318" s="47" t="n"/>
      <c r="N318" s="47" t="inlineStr">
        <is>
          <t>UCKZo4N0lVPccBkSiuyVh4yg</t>
        </is>
      </c>
      <c r="O318" s="48" t="n">
        <v>45835.88194444445</v>
      </c>
      <c r="P318" s="49" t="n">
        <v>45835</v>
      </c>
      <c r="Q318" s="47" t="n">
        <v>2950</v>
      </c>
      <c r="R318" s="47" t="inlineStr">
        <is>
          <t>No Video ID yet</t>
        </is>
      </c>
      <c r="S318" s="49" t="n"/>
      <c r="T318" s="49" t="n"/>
      <c r="U318" s="47" t="inlineStr">
        <is>
          <t>Make your summer enjoyable and delicious by signing up for HelloFresh at and get TEN FREE MEALS with a FREE ITEM FOR LIFE! Today J and Ben dive into the Pixar Universe to give their full SPOILER review of Pixar’s latest movie: Elio! Is Pixar back on track or did they deliver a goose egg? Should you spend your money on a trip to the theatre? We got you covered! For centuries, people have called out to the universe looking for answers—in Disney and Pixar’s all-new feature film “Elio,” the universe calls back! The cosmic misadventure introduces Elio, a space fanatic with an active imagination and a huge alien obsession. So, when he’s beamed up to the Communiverse, an interplanetary organization with representatives from galaxies far and wide, Elio’s all in for the epic undertaking. Show your colors AND your fandom! Grab the SCB Pride Month shirt now! 👉 Des Moines, IA - 9/19 (SOLD OUT) St. Paul, MN - 9/20 (SOLD OUT) Cleveland, OH - 9/25 (SOLD OUT)</t>
        </is>
      </c>
      <c r="V318" s="47">
        <f>IF(AND(P318&gt;=Calendar!$K$2,P318&lt;EDATE(Calendar!$K$2,1),OR(Calendar!$K$4="*",N318=Calendar!$K$4)),P318*100+COUNTIFS($P$6:$P$3267,P318,$Q$6:$Q$3267,"&lt;="&amp;Q318,$N$6:$N$3267,Calendar!$K$4),"")</f>
        <v/>
      </c>
      <c r="W318" s="47">
        <f>IF(AND(B318=Queue!$C$4,OR(Queue!$K$4="*",N318=Queue!$K$4)),Q318,"")</f>
        <v/>
      </c>
    </row>
    <row r="319">
      <c r="A319" s="38">
        <f>IF(M319="","",HYPERLINK("https://www.youtube.com/watch?v="&amp;M319,"▶"))</f>
        <v/>
      </c>
      <c r="B319" s="39">
        <f>IF(C319&lt;&gt;"",C319,IF(P319&lt;=IFERROR(INDEX(tblChannels[Watched Through],MATCH(N319,tblChannels[Channel ID],0)),0),"Watched","Unwatched"))</f>
        <v/>
      </c>
      <c r="C319" s="40" t="n"/>
      <c r="D319" s="41" t="n"/>
      <c r="E319" s="42" t="n">
        <v>45835.41666666666</v>
      </c>
      <c r="F319" s="43" t="inlineStr">
        <is>
          <t>Popcorn Culture</t>
        </is>
      </c>
      <c r="G319" t="inlineStr">
        <is>
          <t>Money, Money, Money! | Popcorn Culture</t>
        </is>
      </c>
      <c r="H319" s="44" t="n">
        <v>0.05148148148148148</v>
      </c>
      <c r="I319" s="45" t="n">
        <v>3051</v>
      </c>
      <c r="J319" s="45" t="n">
        <v>146</v>
      </c>
      <c r="K319" s="45" t="n">
        <v>18</v>
      </c>
      <c r="L319" s="46" t="n"/>
      <c r="M319" s="47" t="n"/>
      <c r="N319" s="47" t="inlineStr">
        <is>
          <t>UCHfIbq9thHPC8yrKjAdJgDA</t>
        </is>
      </c>
      <c r="O319" s="48" t="n">
        <v>45835.58333333334</v>
      </c>
      <c r="P319" s="49" t="n">
        <v>45835</v>
      </c>
      <c r="Q319" s="47" t="n">
        <v>2949</v>
      </c>
      <c r="R319" s="47" t="inlineStr">
        <is>
          <t>No Video ID yet</t>
        </is>
      </c>
      <c r="S319" s="49" t="n"/>
      <c r="T319" s="49" t="n"/>
      <c r="U319" s="47" t="inlineStr">
        <is>
          <t>In the 290th episode of the Pop, Ben and J discuss productivity levels, 10 years of marriage, the IKEA Effect and the Ben, Franklin Effect, Black Mirror and money. The IKEA Effect - Diablo II - The Ben Franklin Effect - Black Mirror - Get your tickets for Through the Griffin Tour MIDWEST here: St. Louis, MO - 9/17 (low ticket warning) Detroit, MI - 9/24 (low ticket warning) 00:00 - Intro, Productivity 14:03 - J’s Anniversary 39:21 - Money, Money, Money</t>
        </is>
      </c>
      <c r="V319" s="47">
        <f>IF(AND(P319&gt;=Calendar!$K$2,P319&lt;EDATE(Calendar!$K$2,1),OR(Calendar!$K$4="*",N319=Calendar!$K$4)),P319*100+COUNTIFS($P$6:$P$3267,P319,$Q$6:$Q$3267,"&lt;="&amp;Q319,$N$6:$N$3267,Calendar!$K$4),"")</f>
        <v/>
      </c>
      <c r="W319" s="47">
        <f>IF(AND(B319=Queue!$C$4,OR(Queue!$K$4="*",N319=Queue!$K$4)),Q319,"")</f>
        <v/>
      </c>
    </row>
    <row r="320">
      <c r="A320" s="38">
        <f>IF(M320="","",HYPERLINK("https://www.youtube.com/watch?v="&amp;M320,"▶"))</f>
        <v/>
      </c>
      <c r="B320" s="39">
        <f>IF(C320&lt;&gt;"",C320,IF(P320&lt;=IFERROR(INDEX(tblChannels[Watched Through],MATCH(N320,tblChannels[Channel ID],0)),0),"Watched","Unwatched"))</f>
        <v/>
      </c>
      <c r="C320" s="40" t="n"/>
      <c r="D320" s="41" t="n"/>
      <c r="E320" s="42" t="n">
        <v>45833.72916666666</v>
      </c>
      <c r="F320" s="50" t="inlineStr">
        <is>
          <t>Super Carlin Brothers</t>
        </is>
      </c>
      <c r="G320" t="inlineStr">
        <is>
          <t>RITA SKEETER HAS A POINT?! | Harry Potter Film Theory</t>
        </is>
      </c>
      <c r="H320" s="44" t="n">
        <v>0.01375</v>
      </c>
      <c r="I320" s="45" t="n">
        <v>123472</v>
      </c>
      <c r="J320" s="45" t="n">
        <v>4530</v>
      </c>
      <c r="K320" s="45" t="n">
        <v>439</v>
      </c>
      <c r="L320" s="46" t="n"/>
      <c r="M320" s="47" t="n"/>
      <c r="N320" s="47" t="inlineStr">
        <is>
          <t>UCKZo4N0lVPccBkSiuyVh4yg</t>
        </is>
      </c>
      <c r="O320" s="48" t="n">
        <v>45833.89583333334</v>
      </c>
      <c r="P320" s="49" t="n">
        <v>45833</v>
      </c>
      <c r="Q320" s="47" t="n">
        <v>2948</v>
      </c>
      <c r="R320" s="47" t="inlineStr">
        <is>
          <t>No Video ID yet</t>
        </is>
      </c>
      <c r="S320" s="49" t="n"/>
      <c r="T320" s="49" t="n"/>
      <c r="U320" s="47" t="inlineStr">
        <is>
          <t>This episode is sponsored by BetterHelp. Go to to get 10% off your first month. Today J dives into the Wizarding World of Harry Potter to find out What if Hermione didn’t stop Rita Skeeter at the end of Goblet of Fire? What if, instead of silencing a nosy tabloid beetle, she accidentally stopped the only person who could have exposed the truth about Voldemort's return—a full year early? ​​Could Rita have changed the course of Wizarding history? Could she have saved Cedric’s legacy? Show your colors AND your fandom! Grab the SCB Pride Month shirt now! 👉 Des Moines, IA - 9/19 (SOLD OUT) St. Paul, MN - 9/20 (SOLD OUT) Cleveland, OH - 9/25 (SOLD OUT)</t>
        </is>
      </c>
      <c r="V320" s="47">
        <f>IF(AND(P320&gt;=Calendar!$K$2,P320&lt;EDATE(Calendar!$K$2,1),OR(Calendar!$K$4="*",N320=Calendar!$K$4)),P320*100+COUNTIFS($P$6:$P$3267,P320,$Q$6:$Q$3267,"&lt;="&amp;Q320,$N$6:$N$3267,Calendar!$K$4),"")</f>
        <v/>
      </c>
      <c r="W320" s="47">
        <f>IF(AND(B320=Queue!$C$4,OR(Queue!$K$4="*",N320=Queue!$K$4)),Q320,"")</f>
        <v/>
      </c>
    </row>
    <row r="321">
      <c r="A321" s="38">
        <f>IF(M321="","",HYPERLINK("https://www.youtube.com/watch?v="&amp;M321,"▶"))</f>
        <v/>
      </c>
      <c r="B321" s="39">
        <f>IF(C321&lt;&gt;"",C321,IF(P321&lt;=IFERROR(INDEX(tblChannels[Watched Through],MATCH(N321,tblChannels[Channel ID],0)),0),"Watched","Unwatched"))</f>
        <v/>
      </c>
      <c r="C321" s="40" t="n"/>
      <c r="D321" s="41" t="n"/>
      <c r="E321" s="42" t="n">
        <v>45833.54166666666</v>
      </c>
      <c r="F321" s="50" t="inlineStr">
        <is>
          <t>Super Carlin Brothers</t>
        </is>
      </c>
      <c r="G321" t="inlineStr">
        <is>
          <t>Sirius Black Was a Hufflepuff?!</t>
        </is>
      </c>
      <c r="H321" s="44" t="n">
        <v>0.002083333333333333</v>
      </c>
      <c r="I321" s="45" t="n">
        <v>383944</v>
      </c>
      <c r="J321" s="45" t="n">
        <v>25588</v>
      </c>
      <c r="K321" s="45" t="n">
        <v>363</v>
      </c>
      <c r="L321" s="46" t="n"/>
      <c r="M321" s="47" t="n"/>
      <c r="N321" s="47" t="inlineStr">
        <is>
          <t>UCKZo4N0lVPccBkSiuyVh4yg</t>
        </is>
      </c>
      <c r="O321" s="48" t="n">
        <v>45833.70833333334</v>
      </c>
      <c r="P321" s="49" t="n">
        <v>45833</v>
      </c>
      <c r="Q321" s="47" t="n">
        <v>2947</v>
      </c>
      <c r="R321" s="47" t="inlineStr">
        <is>
          <t>No Video ID yet</t>
        </is>
      </c>
      <c r="S321" s="49" t="n"/>
      <c r="T321" s="49" t="n"/>
      <c r="U321" s="47" t="inlineStr">
        <is>
          <t>You think Sirius Black is a Gryffindor… but what if he’s actually the Hufflepuff of the Marauders? 🦡 From Animagus loyalty to “I would have died rather than betray my friends,” we break down why Sirius might’ve been placed in the wrong house. #HarryPotter #Hufflepuff #SiriusBlack</t>
        </is>
      </c>
      <c r="V321" s="47">
        <f>IF(AND(P321&gt;=Calendar!$K$2,P321&lt;EDATE(Calendar!$K$2,1),OR(Calendar!$K$4="*",N321=Calendar!$K$4)),P321*100+COUNTIFS($P$6:$P$3267,P321,$Q$6:$Q$3267,"&lt;="&amp;Q321,$N$6:$N$3267,Calendar!$K$4),"")</f>
        <v/>
      </c>
      <c r="W321" s="47">
        <f>IF(AND(B321=Queue!$C$4,OR(Queue!$K$4="*",N321=Queue!$K$4)),Q321,"")</f>
        <v/>
      </c>
    </row>
    <row r="322">
      <c r="A322" s="38">
        <f>IF(M322="","",HYPERLINK("https://www.youtube.com/watch?v="&amp;M322,"▶"))</f>
        <v/>
      </c>
      <c r="B322" s="39">
        <f>IF(C322&lt;&gt;"",C322,IF(P322&lt;=IFERROR(INDEX(tblChannels[Watched Through],MATCH(N322,tblChannels[Channel ID],0)),0),"Watched","Unwatched"))</f>
        <v/>
      </c>
      <c r="C322" s="40" t="n"/>
      <c r="D322" s="41" t="n"/>
      <c r="E322" s="42" t="n">
        <v>45830.41736111111</v>
      </c>
      <c r="F322" s="51" t="inlineStr">
        <is>
          <t>Through The Griffin Door</t>
        </is>
      </c>
      <c r="G322" t="inlineStr">
        <is>
          <t>Chapter 31: The Third Task | Goblet of Fire</t>
        </is>
      </c>
      <c r="H322" s="44" t="n">
        <v>0.08263888888888889</v>
      </c>
      <c r="I322" s="45" t="n">
        <v>64769</v>
      </c>
      <c r="J322" s="45" t="n">
        <v>1533</v>
      </c>
      <c r="K322" s="45" t="n">
        <v>479</v>
      </c>
      <c r="L322" s="46" t="n"/>
      <c r="M322" s="47" t="n"/>
      <c r="N322" s="47" t="inlineStr">
        <is>
          <t>UCEscP6ETYXWSSvsNrDHekMQ</t>
        </is>
      </c>
      <c r="O322" s="48" t="n">
        <v>45830.58402777778</v>
      </c>
      <c r="P322" s="49" t="n">
        <v>45830</v>
      </c>
      <c r="Q322" s="47" t="n">
        <v>2946</v>
      </c>
      <c r="R322" s="47" t="inlineStr">
        <is>
          <t>No Video ID yet</t>
        </is>
      </c>
      <c r="S322" s="49" t="n"/>
      <c r="T322" s="49" t="n"/>
      <c r="U322" s="47" t="inlineStr">
        <is>
          <t>Join J and Ben as they dive into Chapter 31 of the Goblet of Fire and discuss mechanics of the Pensieve, training with Ron and Hermione, Rita’s latest article, Molly and Bill coming as Harry’s family, the lack of ceremony at the beginning of the trial, the various obstacles, Harry and Cedric debating on who should grab the cup. Are Snape and Krum… BROTHERS?! - PROOF That Severus Snape Is A Vampire - THROUGH THE GRIFFIN TOUR MIDWEST TICKETS ARE ON SALE RIGHT NOW St. Louis, MO - 9/17 (low ticket warning) St. Paul, MN - 9/20 (low ticket warning) Detroit, MI - 9/24 (low ticket warning) Support us on Patreon AND GET YOUR GUMPSTER FIRE PIN: Watch on Youtube: Want more Harry Potter Content? Harry Potter Theories: Dumbledore’s Big Plan: What If Harry Was in Slytherin: Chapters 04:58- Dragons Arrive 33:06 - Ad Break (Shopify) 34:33 - More Chapter Breakdown 1:54:45 - Closing Thoughts and Review</t>
        </is>
      </c>
      <c r="V322" s="47">
        <f>IF(AND(P322&gt;=Calendar!$K$2,P322&lt;EDATE(Calendar!$K$2,1),OR(Calendar!$K$4="*",N322=Calendar!$K$4)),P322*100+COUNTIFS($P$6:$P$3267,P322,$Q$6:$Q$3267,"&lt;="&amp;Q322,$N$6:$N$3267,Calendar!$K$4),"")</f>
        <v/>
      </c>
      <c r="W322" s="47">
        <f>IF(AND(B322=Queue!$C$4,OR(Queue!$K$4="*",N322=Queue!$K$4)),Q322,"")</f>
        <v/>
      </c>
    </row>
    <row r="323">
      <c r="A323" s="38">
        <f>IF(M323="","",HYPERLINK("https://www.youtube.com/watch?v="&amp;M323,"▶"))</f>
        <v/>
      </c>
      <c r="B323" s="39">
        <f>IF(C323&lt;&gt;"",C323,IF(P323&lt;=IFERROR(INDEX(tblChannels[Watched Through],MATCH(N323,tblChannels[Channel ID],0)),0),"Watched","Unwatched"))</f>
        <v/>
      </c>
      <c r="C323" s="40" t="n"/>
      <c r="D323" s="41" t="n"/>
      <c r="E323" s="42" t="n">
        <v>45829.41666666666</v>
      </c>
      <c r="F323" s="50" t="inlineStr">
        <is>
          <t>Super Carlin Brothers</t>
        </is>
      </c>
      <c r="G323" t="inlineStr">
        <is>
          <t>Through the Griffin Door Supercut: Goblet of Fire Chapters 28-30</t>
        </is>
      </c>
      <c r="H323" s="44" t="n">
        <v>0.2310069444444444</v>
      </c>
      <c r="I323" s="45" t="n">
        <v>16321</v>
      </c>
      <c r="J323" s="45" t="n">
        <v>282</v>
      </c>
      <c r="K323" s="45" t="n">
        <v>42</v>
      </c>
      <c r="L323" s="46" t="n"/>
      <c r="M323" s="47" t="n"/>
      <c r="N323" s="47" t="inlineStr">
        <is>
          <t>UCKZo4N0lVPccBkSiuyVh4yg</t>
        </is>
      </c>
      <c r="O323" s="48" t="n">
        <v>45829.58333333334</v>
      </c>
      <c r="P323" s="49" t="n">
        <v>45829</v>
      </c>
      <c r="Q323" s="47" t="n">
        <v>2945</v>
      </c>
      <c r="R323" s="47" t="inlineStr">
        <is>
          <t>No Video ID yet</t>
        </is>
      </c>
      <c r="S323" s="49" t="n"/>
      <c r="T323" s="49" t="n"/>
      <c r="U323" s="47" t="inlineStr">
        <is>
          <t>0:00:00 - Chapter 28: The Madness of Mr. Crouch 2:01:21 - Chapter 29: The Dream 3:31:03 - Chapter 30: The Pensieve</t>
        </is>
      </c>
      <c r="V323" s="47">
        <f>IF(AND(P323&gt;=Calendar!$K$2,P323&lt;EDATE(Calendar!$K$2,1),OR(Calendar!$K$4="*",N323=Calendar!$K$4)),P323*100+COUNTIFS($P$6:$P$3267,P323,$Q$6:$Q$3267,"&lt;="&amp;Q323,$N$6:$N$3267,Calendar!$K$4),"")</f>
        <v/>
      </c>
      <c r="W323" s="47">
        <f>IF(AND(B323=Queue!$C$4,OR(Queue!$K$4="*",N323=Queue!$K$4)),Q323,"")</f>
        <v/>
      </c>
    </row>
    <row r="324">
      <c r="A324" s="38">
        <f>IF(M324="","",HYPERLINK("https://www.youtube.com/watch?v="&amp;M324,"▶"))</f>
        <v/>
      </c>
      <c r="B324" s="39">
        <f>IF(C324&lt;&gt;"",C324,IF(P324&lt;=IFERROR(INDEX(tblChannels[Watched Through],MATCH(N324,tblChannels[Channel ID],0)),0),"Watched","Unwatched"))</f>
        <v/>
      </c>
      <c r="C324" s="40" t="n"/>
      <c r="D324" s="41" t="n"/>
      <c r="E324" s="42" t="n">
        <v>45828.66666666666</v>
      </c>
      <c r="F324" s="43" t="inlineStr">
        <is>
          <t>Popcorn Culture</t>
        </is>
      </c>
      <c r="G324" t="inlineStr">
        <is>
          <t>Ripping Blades | Popcorn Culture</t>
        </is>
      </c>
      <c r="H324" s="44" t="n">
        <v>0.04710648148148148</v>
      </c>
      <c r="I324" s="45" t="n">
        <v>2992</v>
      </c>
      <c r="J324" s="45" t="n">
        <v>166</v>
      </c>
      <c r="K324" s="45" t="n">
        <v>16</v>
      </c>
      <c r="L324" s="46" t="n"/>
      <c r="M324" s="47" t="n"/>
      <c r="N324" s="47" t="inlineStr">
        <is>
          <t>UCHfIbq9thHPC8yrKjAdJgDA</t>
        </is>
      </c>
      <c r="O324" s="48" t="n">
        <v>45828.83333333334</v>
      </c>
      <c r="P324" s="49" t="n">
        <v>45828</v>
      </c>
      <c r="Q324" s="47" t="n">
        <v>2944</v>
      </c>
      <c r="R324" s="47" t="inlineStr">
        <is>
          <t>No Video ID yet</t>
        </is>
      </c>
      <c r="S324" s="49" t="n"/>
      <c r="T324" s="49" t="n"/>
      <c r="U324" s="47" t="inlineStr">
        <is>
          <t>In the 289th episode of the Pop, Ben and J discuss Father’s Day, their thoughts on the new How to Train Your Dragon movie, J’s kids competing in a BeyBlade Tournament and catching fireflies. How to Train Your Dragon - Fantastic Four - Get your tickets for Through the Griffin Tour MIDWEST here: Father’s Day (greater than) Birthday? 00:00 - Intro, Fathers Day 05:34 - How To Train Your Dragon 26:28 - BeyBlade Tournament 56:29 - Fireflies</t>
        </is>
      </c>
      <c r="V324" s="47">
        <f>IF(AND(P324&gt;=Calendar!$K$2,P324&lt;EDATE(Calendar!$K$2,1),OR(Calendar!$K$4="*",N324=Calendar!$K$4)),P324*100+COUNTIFS($P$6:$P$3267,P324,$Q$6:$Q$3267,"&lt;="&amp;Q324,$N$6:$N$3267,Calendar!$K$4),"")</f>
        <v/>
      </c>
      <c r="W324" s="47">
        <f>IF(AND(B324=Queue!$C$4,OR(Queue!$K$4="*",N324=Queue!$K$4)),Q324,"")</f>
        <v/>
      </c>
    </row>
    <row r="325">
      <c r="A325" s="38">
        <f>IF(M325="","",HYPERLINK("https://www.youtube.com/watch?v="&amp;M325,"▶"))</f>
        <v/>
      </c>
      <c r="B325" s="39">
        <f>IF(C325&lt;&gt;"",C325,IF(P325&lt;=IFERROR(INDEX(tblChannels[Watched Through],MATCH(N325,tblChannels[Channel ID],0)),0),"Watched","Unwatched"))</f>
        <v/>
      </c>
      <c r="C325" s="40" t="n"/>
      <c r="D325" s="41" t="n"/>
      <c r="E325" s="42" t="n">
        <v>45828.65277777778</v>
      </c>
      <c r="F325" s="50" t="inlineStr">
        <is>
          <t>Super Carlin Brothers</t>
        </is>
      </c>
      <c r="G325" t="inlineStr">
        <is>
          <t>How to Train Your Dragon FIXED the Live Action Problem</t>
        </is>
      </c>
      <c r="H325" s="44" t="n">
        <v>0.01006944444444445</v>
      </c>
      <c r="I325" s="45" t="n">
        <v>43052</v>
      </c>
      <c r="J325" s="45" t="n">
        <v>2410</v>
      </c>
      <c r="K325" s="45" t="n">
        <v>348</v>
      </c>
      <c r="L325" s="46" t="n"/>
      <c r="M325" s="47" t="n"/>
      <c r="N325" s="47" t="inlineStr">
        <is>
          <t>UCKZo4N0lVPccBkSiuyVh4yg</t>
        </is>
      </c>
      <c r="O325" s="48" t="n">
        <v>45828.81944444445</v>
      </c>
      <c r="P325" s="49" t="n">
        <v>45828</v>
      </c>
      <c r="Q325" s="47" t="n">
        <v>2943</v>
      </c>
      <c r="R325" s="47" t="inlineStr">
        <is>
          <t>No Video ID yet</t>
        </is>
      </c>
      <c r="S325" s="49" t="n"/>
      <c r="T325" s="49" t="n"/>
      <c r="U325" s="47" t="inlineStr">
        <is>
          <t>This episode is sponsored by BetterHelp. Go to to get 10% off your first month. Today Ben dives into the Viking World of Berk to discuss the Live Action How to Train Your Dragon! Live-action remakes don’t exactly have the best track record—some hit, most miss, and many leave us wondering… why even bother? But somehow, How to Train Your Dragon pulls off the near-impossible: staying almost exactly the same as the original and being completely worth it. In today’s video, we’re breaking down why this remake works where others—like The Lion King, Aladdin, and Beauty and the Beast—struggled. From honoring the animation, to understanding live-action as its own format, to the return of Gerard Butler in bear cape glory... this movie might’ve just set a new standard. Show your colors AND your fandom! Grab the SCB Pride Month shirt now! 👉 #supercarlinbrothers #HTTYD #HowToTrainYourDragon</t>
        </is>
      </c>
      <c r="V325" s="47">
        <f>IF(AND(P325&gt;=Calendar!$K$2,P325&lt;EDATE(Calendar!$K$2,1),OR(Calendar!$K$4="*",N325=Calendar!$K$4)),P325*100+COUNTIFS($P$6:$P$3267,P325,$Q$6:$Q$3267,"&lt;="&amp;Q325,$N$6:$N$3267,Calendar!$K$4),"")</f>
        <v/>
      </c>
      <c r="W325" s="47">
        <f>IF(AND(B325=Queue!$C$4,OR(Queue!$K$4="*",N325=Queue!$K$4)),Q325,"")</f>
        <v/>
      </c>
    </row>
    <row r="326">
      <c r="A326" s="38">
        <f>IF(M326="","",HYPERLINK("https://www.youtube.com/watch?v="&amp;M326,"▶"))</f>
        <v/>
      </c>
      <c r="B326" s="39">
        <f>IF(C326&lt;&gt;"",C326,IF(P326&lt;=IFERROR(INDEX(tblChannels[Watched Through],MATCH(N326,tblChannels[Channel ID],0)),0),"Watched","Unwatched"))</f>
        <v/>
      </c>
      <c r="C326" s="40" t="n"/>
      <c r="D326" s="41" t="n"/>
      <c r="E326" s="42" t="n">
        <v>45826.71458333333</v>
      </c>
      <c r="F326" s="50" t="inlineStr">
        <is>
          <t>Super Carlin Brothers</t>
        </is>
      </c>
      <c r="G326" t="inlineStr">
        <is>
          <t>J vs Ben: Quick Quotes Quiz | Harry Potter TRIVIA</t>
        </is>
      </c>
      <c r="H326" s="44" t="n">
        <v>0.03038194444444444</v>
      </c>
      <c r="I326" s="45" t="n">
        <v>112953</v>
      </c>
      <c r="J326" s="45" t="n">
        <v>3746</v>
      </c>
      <c r="K326" s="45" t="n">
        <v>473</v>
      </c>
      <c r="L326" s="46" t="n"/>
      <c r="M326" s="47" t="n"/>
      <c r="N326" s="47" t="inlineStr">
        <is>
          <t>UCKZo4N0lVPccBkSiuyVh4yg</t>
        </is>
      </c>
      <c r="O326" s="48" t="n">
        <v>45826.88125</v>
      </c>
      <c r="P326" s="49" t="n">
        <v>45826</v>
      </c>
      <c r="Q326" s="47" t="n">
        <v>2942</v>
      </c>
      <c r="R326" s="47" t="inlineStr">
        <is>
          <t>No Video ID yet</t>
        </is>
      </c>
      <c r="S326" s="49" t="n"/>
      <c r="T326" s="49" t="n"/>
      <c r="U326" s="47" t="inlineStr">
        <is>
          <t>Make your summer enjoyable and delicious by signing up for HelloFresh at and get TEN FREE MEALS with a FREE ITEM FOR LIFE! Show your colors AND your fandom! Grab the SCB Pride Month shirt now! 👉 It’s time for another round of Quick Quotes Quiz! In this ultimate test of memory and magical mayhem, we’re guessing who said what, in which book, and probably disagreeing about it the whole way through. Can we remember who insulted Percy with Dobby’s tea cozy? Who joked about a Hippogriff tattoo? Who absolutely roasted Peter Pettigrew? You submitted the quotes, and now we’re battling it out to see who knows the Wizarding World better — Ben or J! Huge thanks to all of our amazing patrons for submitting quotes: Aislin P., Nour, Wesley Walker, Ben Henderson, Bradferd, Teghan Denlinger, Dola, Elli Collins, Denna, Dorian R., Julie Sherwood, LawNinja, Raven254, Oryan’s Wizard Parts, ESTOCK, Lina, and Moel! Think you can beat our score? Play along and leave your total in the towel section below 👇 Hosted by :: Ethan Edghill Written by :: Kat Stine and OUR WONDERFUL PATRONS Edited by :: Ethan Edghill &amp; Isybelle Christley</t>
        </is>
      </c>
      <c r="V326" s="47">
        <f>IF(AND(P326&gt;=Calendar!$K$2,P326&lt;EDATE(Calendar!$K$2,1),OR(Calendar!$K$4="*",N326=Calendar!$K$4)),P326*100+COUNTIFS($P$6:$P$3267,P326,$Q$6:$Q$3267,"&lt;="&amp;Q326,$N$6:$N$3267,Calendar!$K$4),"")</f>
        <v/>
      </c>
      <c r="W326" s="47">
        <f>IF(AND(B326=Queue!$C$4,OR(Queue!$K$4="*",N326=Queue!$K$4)),Q326,"")</f>
        <v/>
      </c>
    </row>
    <row r="327">
      <c r="A327" s="38">
        <f>IF(M327="","",HYPERLINK("https://www.youtube.com/watch?v="&amp;M327,"▶"))</f>
        <v/>
      </c>
      <c r="B327" s="39">
        <f>IF(C327&lt;&gt;"",C327,IF(P327&lt;=IFERROR(INDEX(tblChannels[Watched Through],MATCH(N327,tblChannels[Channel ID],0)),0),"Watched","Unwatched"))</f>
        <v/>
      </c>
      <c r="C327" s="40" t="n"/>
      <c r="D327" s="41" t="n"/>
      <c r="E327" s="42" t="n">
        <v>45824.54166666666</v>
      </c>
      <c r="F327" s="50" t="inlineStr">
        <is>
          <t>Super Carlin Brothers</t>
        </is>
      </c>
      <c r="G327" t="inlineStr">
        <is>
          <t>Why Can Hela Catch Mjolnir? #marvel</t>
        </is>
      </c>
      <c r="H327" s="44" t="n">
        <v>0.001516203703703704</v>
      </c>
      <c r="I327" s="45" t="n">
        <v>2128422</v>
      </c>
      <c r="J327" s="45" t="n">
        <v>153460</v>
      </c>
      <c r="K327" s="45" t="n">
        <v>2212</v>
      </c>
      <c r="L327" s="46" t="n"/>
      <c r="M327" s="47" t="n"/>
      <c r="N327" s="47" t="inlineStr">
        <is>
          <t>UCKZo4N0lVPccBkSiuyVh4yg</t>
        </is>
      </c>
      <c r="O327" s="48" t="n">
        <v>45824.70833333334</v>
      </c>
      <c r="P327" s="49" t="n">
        <v>45824</v>
      </c>
      <c r="Q327" s="47" t="n">
        <v>2941</v>
      </c>
      <c r="R327" s="47" t="inlineStr">
        <is>
          <t>No Video ID yet</t>
        </is>
      </c>
      <c r="S327" s="49" t="n"/>
      <c r="T327" s="49" t="n"/>
      <c r="U327" s="47" t="inlineStr">
        <is>
          <t>There is no way Hela is worthy of holding Mjolnir right? But so how did she catch it? Or is she just blocking it? (she's for sure catching it)</t>
        </is>
      </c>
      <c r="V327" s="47">
        <f>IF(AND(P327&gt;=Calendar!$K$2,P327&lt;EDATE(Calendar!$K$2,1),OR(Calendar!$K$4="*",N327=Calendar!$K$4)),P327*100+COUNTIFS($P$6:$P$3267,P327,$Q$6:$Q$3267,"&lt;="&amp;Q327,$N$6:$N$3267,Calendar!$K$4),"")</f>
        <v/>
      </c>
      <c r="W327" s="47">
        <f>IF(AND(B327=Queue!$C$4,OR(Queue!$K$4="*",N327=Queue!$K$4)),Q327,"")</f>
        <v/>
      </c>
    </row>
    <row r="328">
      <c r="A328" s="38">
        <f>IF(M328="","",HYPERLINK("https://www.youtube.com/watch?v="&amp;M328,"▶"))</f>
        <v/>
      </c>
      <c r="B328" s="39">
        <f>IF(C328&lt;&gt;"",C328,IF(P328&lt;=IFERROR(INDEX(tblChannels[Watched Through],MATCH(N328,tblChannels[Channel ID],0)),0),"Watched","Unwatched"))</f>
        <v/>
      </c>
      <c r="C328" s="40" t="n"/>
      <c r="D328" s="41" t="n"/>
      <c r="E328" s="42" t="n">
        <v>45823.41736111111</v>
      </c>
      <c r="F328" s="51" t="inlineStr">
        <is>
          <t>Through The Griffin Door</t>
        </is>
      </c>
      <c r="G328" t="inlineStr">
        <is>
          <t>Chapter 30: The Pensive | Goblet of Fire</t>
        </is>
      </c>
      <c r="H328" s="44" t="n">
        <v>0.08605324074074074</v>
      </c>
      <c r="I328" s="45" t="n">
        <v>65676</v>
      </c>
      <c r="J328" s="45" t="n">
        <v>1517</v>
      </c>
      <c r="K328" s="45" t="n">
        <v>506</v>
      </c>
      <c r="L328" s="46" t="n"/>
      <c r="M328" s="47" t="n"/>
      <c r="N328" s="47" t="inlineStr">
        <is>
          <t>UCEscP6ETYXWSSvsNrDHekMQ</t>
        </is>
      </c>
      <c r="O328" s="48" t="n">
        <v>45823.58402777778</v>
      </c>
      <c r="P328" s="49" t="n">
        <v>45823</v>
      </c>
      <c r="Q328" s="47" t="n">
        <v>2940</v>
      </c>
      <c r="R328" s="47" t="inlineStr">
        <is>
          <t>No Video ID yet</t>
        </is>
      </c>
      <c r="S328" s="49" t="n"/>
      <c r="T328" s="49" t="n"/>
      <c r="U328" s="47" t="inlineStr">
        <is>
          <t>This episode is sponsored by Pair Eyewear – Go to paireyewear.com and use code 'GRIFFIN' for 15% off your first pair. Join J and Ben as they dive into Chapter 30 of the Goblet of Fire and discuss Dumbledore’s office, Fawkes, mechanics of the magic, Karkaroff’s trial, meeting the real Moody, Ludo Bagman’s trial, Barty Crouch Jr.’s trial, and telling Dumbledore about the dream. Barty Crouch Jr’s HORCRUX - THROUGH THE GRIFFIN TOUR MIDWEST TICKETS ARE ON SALE RIGHT NOW St. Louis, MO - 9/17a Support us on Patreon AND GET YOUR GUMPSTER FIRE PIN: 08:26 - Chapter Breakdown 43:08 - Ad Break (Pair Eyewear) 45:17 - More Chapter Breakdown 1:56:23 - Closing Thoughts and Review</t>
        </is>
      </c>
      <c r="V328" s="47">
        <f>IF(AND(P328&gt;=Calendar!$K$2,P328&lt;EDATE(Calendar!$K$2,1),OR(Calendar!$K$4="*",N328=Calendar!$K$4)),P328*100+COUNTIFS($P$6:$P$3267,P328,$Q$6:$Q$3267,"&lt;="&amp;Q328,$N$6:$N$3267,Calendar!$K$4),"")</f>
        <v/>
      </c>
      <c r="W328" s="47">
        <f>IF(AND(B328=Queue!$C$4,OR(Queue!$K$4="*",N328=Queue!$K$4)),Q328,"")</f>
        <v/>
      </c>
    </row>
    <row r="329">
      <c r="A329" s="38">
        <f>IF(M329="","",HYPERLINK("https://www.youtube.com/watch?v="&amp;M329,"▶"))</f>
        <v/>
      </c>
      <c r="B329" s="39">
        <f>IF(C329&lt;&gt;"",C329,IF(P329&lt;=IFERROR(INDEX(tblChannels[Watched Through],MATCH(N329,tblChannels[Channel ID],0)),0),"Watched","Unwatched"))</f>
        <v/>
      </c>
      <c r="C329" s="40" t="n"/>
      <c r="D329" s="41" t="n"/>
      <c r="E329" s="42" t="n">
        <v>45822.21597222222</v>
      </c>
      <c r="F329" s="52" t="inlineStr">
        <is>
          <t>Super Carlin Gaming</t>
        </is>
      </c>
      <c r="G329" t="inlineStr">
        <is>
          <t>JOURNEY TOGETHER - Pokemon Box Breakers SEASON 15 -  Episode 2 - 06/13/2025</t>
        </is>
      </c>
      <c r="H329" s="44" t="n">
        <v>0.1141782407407407</v>
      </c>
      <c r="I329" s="45" t="n">
        <v>842</v>
      </c>
      <c r="J329" s="45" t="n">
        <v>30</v>
      </c>
      <c r="K329" s="45" t="n">
        <v>3</v>
      </c>
      <c r="L329" s="46" t="n"/>
      <c r="M329" s="47" t="n"/>
      <c r="N329" s="47" t="inlineStr">
        <is>
          <t>UCor_9jRnNNZVzTuQ92PKsaQ</t>
        </is>
      </c>
      <c r="O329" s="48" t="n">
        <v>45822.38263888889</v>
      </c>
      <c r="P329" s="49" t="n">
        <v>45822</v>
      </c>
      <c r="Q329" s="47" t="n">
        <v>2939</v>
      </c>
      <c r="R329" s="47" t="inlineStr">
        <is>
          <t>No Video ID yet</t>
        </is>
      </c>
      <c r="S329" s="49" t="n"/>
      <c r="T329" s="49" t="n"/>
      <c r="U329" s="47" t="n"/>
      <c r="V329" s="47">
        <f>IF(AND(P329&gt;=Calendar!$K$2,P329&lt;EDATE(Calendar!$K$2,1),OR(Calendar!$K$4="*",N329=Calendar!$K$4)),P329*100+COUNTIFS($P$6:$P$3267,P329,$Q$6:$Q$3267,"&lt;="&amp;Q329,$N$6:$N$3267,Calendar!$K$4),"")</f>
        <v/>
      </c>
      <c r="W329" s="47">
        <f>IF(AND(B329=Queue!$C$4,OR(Queue!$K$4="*",N329=Queue!$K$4)),Q329,"")</f>
        <v/>
      </c>
    </row>
    <row r="330">
      <c r="A330" s="38">
        <f>IF(M330="","",HYPERLINK("https://www.youtube.com/watch?v="&amp;M330,"▶"))</f>
        <v/>
      </c>
      <c r="B330" s="39">
        <f>IF(C330&lt;&gt;"",C330,IF(P330&lt;=IFERROR(INDEX(tblChannels[Watched Through],MATCH(N330,tblChannels[Channel ID],0)),0),"Watched","Unwatched"))</f>
        <v/>
      </c>
      <c r="C330" s="40" t="n"/>
      <c r="D330" s="41" t="n"/>
      <c r="E330" s="42" t="n">
        <v>45821.70486111111</v>
      </c>
      <c r="F330" s="50" t="inlineStr">
        <is>
          <t>Super Carlin Brothers</t>
        </is>
      </c>
      <c r="G330" t="inlineStr">
        <is>
          <t>Are Snape and Krum… BROTHERS?! | Harry Potter Film Theory</t>
        </is>
      </c>
      <c r="H330" s="44" t="n">
        <v>0.009236111111111112</v>
      </c>
      <c r="I330" s="45" t="n">
        <v>71393</v>
      </c>
      <c r="J330" s="45" t="n">
        <v>3494</v>
      </c>
      <c r="K330" s="45" t="n">
        <v>594</v>
      </c>
      <c r="L330" s="46" t="n"/>
      <c r="M330" s="47" t="n"/>
      <c r="N330" s="47" t="inlineStr">
        <is>
          <t>UCKZo4N0lVPccBkSiuyVh4yg</t>
        </is>
      </c>
      <c r="O330" s="48" t="n">
        <v>45821.87152777778</v>
      </c>
      <c r="P330" s="49" t="n">
        <v>45821</v>
      </c>
      <c r="Q330" s="47" t="n">
        <v>2938</v>
      </c>
      <c r="R330" s="47" t="inlineStr">
        <is>
          <t>No Video ID yet</t>
        </is>
      </c>
      <c r="S330" s="49" t="n"/>
      <c r="T330" s="49" t="n"/>
      <c r="U330" s="47" t="inlineStr">
        <is>
          <t>Go to to sign up for your $1-per-month trial period. This episode is sponsored by BetterHelp. Go to to get 10% off your first month. Today Ben dives into the Wizarding World of Harry Potter to try and answer an unsuspecting question. Are Severus Snape and Viktor Krum secretly brothers? At first glance, it sounds completely bonkers… until you look at the shockingly similar physical descriptions, sketchy parental backstories, and eerily shared behaviors. In this deep-dive Harry Potter theory, we explore whether Snape’s muggle father, Tobias Snape, could have abandoned Eileen Prince… only to start a second family in Bulgaria. That’s right—could Krum and Snape actually share a parent without ever knowing it? From hooked noses to brilliant muggle-born crushes, the signs are everywhere if you know where to look.. #supercarlinbrothers #HarryPotter #Snape Written by :: J and Ben Carlin</t>
        </is>
      </c>
      <c r="V330" s="47">
        <f>IF(AND(P330&gt;=Calendar!$K$2,P330&lt;EDATE(Calendar!$K$2,1),OR(Calendar!$K$4="*",N330=Calendar!$K$4)),P330*100+COUNTIFS($P$6:$P$3267,P330,$Q$6:$Q$3267,"&lt;="&amp;Q330,$N$6:$N$3267,Calendar!$K$4),"")</f>
        <v/>
      </c>
      <c r="W330" s="47">
        <f>IF(AND(B330=Queue!$C$4,OR(Queue!$K$4="*",N330=Queue!$K$4)),Q330,"")</f>
        <v/>
      </c>
    </row>
    <row r="331">
      <c r="A331" s="38">
        <f>IF(M331="","",HYPERLINK("https://www.youtube.com/watch?v="&amp;M331,"▶"))</f>
        <v/>
      </c>
      <c r="B331" s="39">
        <f>IF(C331&lt;&gt;"",C331,IF(P331&lt;=IFERROR(INDEX(tblChannels[Watched Through],MATCH(N331,tblChannels[Channel ID],0)),0),"Watched","Unwatched"))</f>
        <v/>
      </c>
      <c r="C331" s="40" t="n"/>
      <c r="D331" s="41" t="n"/>
      <c r="E331" s="42" t="n">
        <v>45821.41666666666</v>
      </c>
      <c r="F331" s="43" t="inlineStr">
        <is>
          <t>Popcorn Culture</t>
        </is>
      </c>
      <c r="G331" t="inlineStr">
        <is>
          <t>A Funny Snake Story | Popcorn Culture</t>
        </is>
      </c>
      <c r="H331" s="44" t="n">
        <v>0.04747685185185185</v>
      </c>
      <c r="I331" s="45" t="n">
        <v>3276</v>
      </c>
      <c r="J331" s="45" t="n">
        <v>159</v>
      </c>
      <c r="K331" s="45" t="n">
        <v>26</v>
      </c>
      <c r="L331" s="46" t="n"/>
      <c r="M331" s="47" t="n"/>
      <c r="N331" s="47" t="inlineStr">
        <is>
          <t>UCHfIbq9thHPC8yrKjAdJgDA</t>
        </is>
      </c>
      <c r="O331" s="48" t="n">
        <v>45821.58333333334</v>
      </c>
      <c r="P331" s="49" t="n">
        <v>45821</v>
      </c>
      <c r="Q331" s="47" t="n">
        <v>2937</v>
      </c>
      <c r="R331" s="47" t="inlineStr">
        <is>
          <t>No Video ID yet</t>
        </is>
      </c>
      <c r="S331" s="49" t="n"/>
      <c r="T331" s="49" t="n"/>
      <c r="U331" s="47" t="inlineStr">
        <is>
          <t>In the 288th episode of the pop, Ben and J discuss alligator and snake stories, the Nate Bargatze Show, Mario Kart DESPAIR, garden updates, dopamine hits, and remote control cars. Nate Bargatze - Will Forte - Get your tickets for Through the Griffin Tour MIDWEST here: GATORS 00:00 - Intro, Gators and Snakes 13:14 - Nate Bargatze’s Special Guest 21:29 - Mario Kart World 37:52 - Garden Update</t>
        </is>
      </c>
      <c r="V331" s="47">
        <f>IF(AND(P331&gt;=Calendar!$K$2,P331&lt;EDATE(Calendar!$K$2,1),OR(Calendar!$K$4="*",N331=Calendar!$K$4)),P331*100+COUNTIFS($P$6:$P$3267,P331,$Q$6:$Q$3267,"&lt;="&amp;Q331,$N$6:$N$3267,Calendar!$K$4),"")</f>
        <v/>
      </c>
      <c r="W331" s="47">
        <f>IF(AND(B331=Queue!$C$4,OR(Queue!$K$4="*",N331=Queue!$K$4)),Q331,"")</f>
        <v/>
      </c>
    </row>
    <row r="332">
      <c r="A332" s="38">
        <f>IF(M332="","",HYPERLINK("https://www.youtube.com/watch?v="&amp;M332,"▶"))</f>
        <v/>
      </c>
      <c r="B332" s="39">
        <f>IF(C332&lt;&gt;"",C332,IF(P332&lt;=IFERROR(INDEX(tblChannels[Watched Through],MATCH(N332,tblChannels[Channel ID],0)),0),"Watched","Unwatched"))</f>
        <v/>
      </c>
      <c r="C332" s="40" t="n"/>
      <c r="D332" s="41" t="n"/>
      <c r="E332" s="42" t="n">
        <v>45819.72916666666</v>
      </c>
      <c r="F332" s="50" t="inlineStr">
        <is>
          <t>Super Carlin Brothers</t>
        </is>
      </c>
      <c r="G332" t="inlineStr">
        <is>
          <t>Reacting to EVERY Harry Potter HBO Casting So Far | Harry Potter Film Theory</t>
        </is>
      </c>
      <c r="H332" s="44" t="n">
        <v>0.01344907407407407</v>
      </c>
      <c r="I332" s="45" t="n">
        <v>162980</v>
      </c>
      <c r="J332" s="45" t="n">
        <v>7478</v>
      </c>
      <c r="K332" s="45" t="n">
        <v>3052</v>
      </c>
      <c r="L332" s="46" t="n"/>
      <c r="M332" s="47" t="n"/>
      <c r="N332" s="47" t="inlineStr">
        <is>
          <t>UCKZo4N0lVPccBkSiuyVh4yg</t>
        </is>
      </c>
      <c r="O332" s="48" t="n">
        <v>45819.89583333334</v>
      </c>
      <c r="P332" s="49" t="n">
        <v>45819</v>
      </c>
      <c r="Q332" s="47" t="n">
        <v>2936</v>
      </c>
      <c r="R332" s="47" t="inlineStr">
        <is>
          <t>No Video ID yet</t>
        </is>
      </c>
      <c r="S332" s="49" t="n"/>
      <c r="T332" s="49" t="n"/>
      <c r="U332" s="47" t="inlineStr">
        <is>
          <t>Today J dives into the Wizarding World of Harry Potter to give his honest thoughts about the casting of every character we know about so far including Paapa Essiedu as Severus Snape, John Lithgow as Albus Dumbledore, Janet McTeer as McGonagall, Nick Frost as Hagrid, and Katherine Parkinson as Molly and everyone else!! Written by :: J and Ben Carlin</t>
        </is>
      </c>
      <c r="V332" s="47">
        <f>IF(AND(P332&gt;=Calendar!$K$2,P332&lt;EDATE(Calendar!$K$2,1),OR(Calendar!$K$4="*",N332=Calendar!$K$4)),P332*100+COUNTIFS($P$6:$P$3267,P332,$Q$6:$Q$3267,"&lt;="&amp;Q332,$N$6:$N$3267,Calendar!$K$4),"")</f>
        <v/>
      </c>
      <c r="W332" s="47">
        <f>IF(AND(B332=Queue!$C$4,OR(Queue!$K$4="*",N332=Queue!$K$4)),Q332,"")</f>
        <v/>
      </c>
    </row>
    <row r="333">
      <c r="A333" s="38">
        <f>IF(M333="","",HYPERLINK("https://www.youtube.com/watch?v="&amp;M333,"▶"))</f>
        <v/>
      </c>
      <c r="B333" s="39">
        <f>IF(C333&lt;&gt;"",C333,IF(P333&lt;=IFERROR(INDEX(tblChannels[Watched Through],MATCH(N333,tblChannels[Channel ID],0)),0),"Watched","Unwatched"))</f>
        <v/>
      </c>
      <c r="C333" s="40" t="n"/>
      <c r="D333" s="41" t="n"/>
      <c r="E333" s="42" t="n">
        <v>45819.62013888889</v>
      </c>
      <c r="F333" s="50" t="inlineStr">
        <is>
          <t>Super Carlin Brothers</t>
        </is>
      </c>
      <c r="G333" t="inlineStr">
        <is>
          <t>Moana wasn't the first Chosen One.. #Disney</t>
        </is>
      </c>
      <c r="H333" s="44" t="n">
        <v>0.002083333333333333</v>
      </c>
      <c r="I333" s="45" t="n">
        <v>890031</v>
      </c>
      <c r="J333" s="45" t="n">
        <v>73573</v>
      </c>
      <c r="K333" s="45" t="n">
        <v>259</v>
      </c>
      <c r="L333" s="46" t="n"/>
      <c r="M333" s="47" t="n"/>
      <c r="N333" s="47" t="inlineStr">
        <is>
          <t>UCKZo4N0lVPccBkSiuyVh4yg</t>
        </is>
      </c>
      <c r="O333" s="48" t="n">
        <v>45819.78680555556</v>
      </c>
      <c r="P333" s="49" t="n">
        <v>45819</v>
      </c>
      <c r="Q333" s="47" t="n">
        <v>2935</v>
      </c>
      <c r="R333" s="47" t="inlineStr">
        <is>
          <t>No Video ID yet</t>
        </is>
      </c>
      <c r="S333" s="49" t="n"/>
      <c r="T333" s="49" t="n"/>
      <c r="U333" s="47" t="inlineStr">
        <is>
          <t>Moana wasn't the first Chosen One by the ocean... just the first to finally pass the test.</t>
        </is>
      </c>
      <c r="V333" s="47">
        <f>IF(AND(P333&gt;=Calendar!$K$2,P333&lt;EDATE(Calendar!$K$2,1),OR(Calendar!$K$4="*",N333=Calendar!$K$4)),P333*100+COUNTIFS($P$6:$P$3267,P333,$Q$6:$Q$3267,"&lt;="&amp;Q333,$N$6:$N$3267,Calendar!$K$4),"")</f>
        <v/>
      </c>
      <c r="W333" s="47">
        <f>IF(AND(B333=Queue!$C$4,OR(Queue!$K$4="*",N333=Queue!$K$4)),Q333,"")</f>
        <v/>
      </c>
    </row>
    <row r="334">
      <c r="A334" s="38">
        <f>IF(M334="","",HYPERLINK("https://www.youtube.com/watch?v="&amp;M334,"▶"))</f>
        <v/>
      </c>
      <c r="B334" s="39">
        <f>IF(C334&lt;&gt;"",C334,IF(P334&lt;=IFERROR(INDEX(tblChannels[Watched Through],MATCH(N334,tblChannels[Channel ID],0)),0),"Watched","Unwatched"))</f>
        <v/>
      </c>
      <c r="C334" s="40" t="n"/>
      <c r="D334" s="41" t="n"/>
      <c r="E334" s="42" t="n">
        <v>45817.84027777778</v>
      </c>
      <c r="F334" s="50" t="inlineStr">
        <is>
          <t>Super Carlin Brothers</t>
        </is>
      </c>
      <c r="G334" t="inlineStr">
        <is>
          <t>What Happened To Kristoff’s Parents? #disney</t>
        </is>
      </c>
      <c r="H334" s="44" t="n">
        <v>0.002094907407407407</v>
      </c>
      <c r="I334" s="45" t="n">
        <v>182563</v>
      </c>
      <c r="J334" s="45" t="n">
        <v>17227</v>
      </c>
      <c r="K334" s="45" t="n">
        <v>89</v>
      </c>
      <c r="L334" s="46" t="n"/>
      <c r="M334" s="47" t="n"/>
      <c r="N334" s="47" t="inlineStr">
        <is>
          <t>UCKZo4N0lVPccBkSiuyVh4yg</t>
        </is>
      </c>
      <c r="O334" s="48" t="n">
        <v>45818.00694444445</v>
      </c>
      <c r="P334" s="49" t="n">
        <v>45817</v>
      </c>
      <c r="Q334" s="47" t="n">
        <v>2934</v>
      </c>
      <c r="R334" s="47" t="inlineStr">
        <is>
          <t>No Video ID yet</t>
        </is>
      </c>
      <c r="S334" s="49" t="n"/>
      <c r="T334" s="49" t="n"/>
      <c r="U334" s="47" t="inlineStr">
        <is>
          <t>What ever happened to Kristoff's Parents in Frozen??</t>
        </is>
      </c>
      <c r="V334" s="47">
        <f>IF(AND(P334&gt;=Calendar!$K$2,P334&lt;EDATE(Calendar!$K$2,1),OR(Calendar!$K$4="*",N334=Calendar!$K$4)),P334*100+COUNTIFS($P$6:$P$3267,P334,$Q$6:$Q$3267,"&lt;="&amp;Q334,$N$6:$N$3267,Calendar!$K$4),"")</f>
        <v/>
      </c>
      <c r="W334" s="47">
        <f>IF(AND(B334=Queue!$C$4,OR(Queue!$K$4="*",N334=Queue!$K$4)),Q334,"")</f>
        <v/>
      </c>
    </row>
    <row r="335">
      <c r="A335" s="38">
        <f>IF(M335="","",HYPERLINK("https://www.youtube.com/watch?v="&amp;M335,"▶"))</f>
        <v/>
      </c>
      <c r="B335" s="39">
        <f>IF(C335&lt;&gt;"",C335,IF(P335&lt;=IFERROR(INDEX(tblChannels[Watched Through],MATCH(N335,tblChannels[Channel ID],0)),0),"Watched","Unwatched"))</f>
        <v/>
      </c>
      <c r="C335" s="40" t="n"/>
      <c r="D335" s="41" t="n"/>
      <c r="E335" s="42" t="n">
        <v>45816.41666666666</v>
      </c>
      <c r="F335" s="51" t="inlineStr">
        <is>
          <t>Through The Griffin Door</t>
        </is>
      </c>
      <c r="G335" t="inlineStr">
        <is>
          <t>Chapter 29: The Dream | Goblet of Fire</t>
        </is>
      </c>
      <c r="H335" s="44" t="n">
        <v>0.06362268518518518</v>
      </c>
      <c r="I335" s="45" t="n">
        <v>53144</v>
      </c>
      <c r="J335" s="45" t="n">
        <v>1380</v>
      </c>
      <c r="K335" s="45" t="n">
        <v>404</v>
      </c>
      <c r="L335" s="46" t="n"/>
      <c r="M335" s="47" t="n"/>
      <c r="N335" s="47" t="inlineStr">
        <is>
          <t>UCEscP6ETYXWSSvsNrDHekMQ</t>
        </is>
      </c>
      <c r="O335" s="48" t="n">
        <v>45816.58333333334</v>
      </c>
      <c r="P335" s="49" t="n">
        <v>45816</v>
      </c>
      <c r="Q335" s="47" t="n">
        <v>2933</v>
      </c>
      <c r="R335" s="47" t="inlineStr">
        <is>
          <t>No Video ID yet</t>
        </is>
      </c>
      <c r="S335" s="49" t="n"/>
      <c r="T335" s="49" t="n"/>
      <c r="U335" s="47" t="inlineStr">
        <is>
          <t>This episode is sponsored by Pair Eyewear – Go to paireyewear.com and use code 'GRIFFIN' for 15% off your first pair. Join J and Ben as they dive into Chapter 29 of the Goblet of Fire and discuss the golden trio theororizing, running into the twins, BCJ having a horcrux, practicing for the third task, the actual dream and Harry overhearing convenient plot points Hogwarts is Alive - THROUGH THE GRIFFIN TOUR MIDWEST TICKETS ARE ON SALE RIGHT NOW St. Louis, MO - 9/17a Support us on Patreon AND GET YOUR GUMPSTER FIRE PIN: 10:32 - Chapter Breakdown 30:12 - Ad Break (Pair Eyewear) 31:58 - More Chapter Breakdown 1:23:11 - Closing Thoughts and Review</t>
        </is>
      </c>
      <c r="V335" s="47">
        <f>IF(AND(P335&gt;=Calendar!$K$2,P335&lt;EDATE(Calendar!$K$2,1),OR(Calendar!$K$4="*",N335=Calendar!$K$4)),P335*100+COUNTIFS($P$6:$P$3267,P335,$Q$6:$Q$3267,"&lt;="&amp;Q335,$N$6:$N$3267,Calendar!$K$4),"")</f>
        <v/>
      </c>
      <c r="W335" s="47">
        <f>IF(AND(B335=Queue!$C$4,OR(Queue!$K$4="*",N335=Queue!$K$4)),Q335,"")</f>
        <v/>
      </c>
    </row>
    <row r="336">
      <c r="A336" s="38">
        <f>IF(M336="","",HYPERLINK("https://www.youtube.com/watch?v="&amp;M336,"▶"))</f>
        <v/>
      </c>
      <c r="B336" s="39">
        <f>IF(C336&lt;&gt;"",C336,IF(P336&lt;=IFERROR(INDEX(tblChannels[Watched Through],MATCH(N336,tblChannels[Channel ID],0)),0),"Watched","Unwatched"))</f>
        <v/>
      </c>
      <c r="C336" s="40" t="n"/>
      <c r="D336" s="41" t="n"/>
      <c r="E336" s="42" t="n">
        <v>45814.67777777778</v>
      </c>
      <c r="F336" s="50" t="inlineStr">
        <is>
          <t>Super Carlin Brothers</t>
        </is>
      </c>
      <c r="G336" t="inlineStr">
        <is>
          <t>Barty Crouch Jr’s HORCRUX | Harry Potter Film Theory</t>
        </is>
      </c>
      <c r="H336" s="44" t="n">
        <v>0.01018518518518519</v>
      </c>
      <c r="I336" s="45" t="n">
        <v>179627</v>
      </c>
      <c r="J336" s="45" t="n">
        <v>7938</v>
      </c>
      <c r="K336" s="45" t="n">
        <v>956</v>
      </c>
      <c r="L336" s="46" t="n"/>
      <c r="M336" s="47" t="n"/>
      <c r="N336" s="47" t="inlineStr">
        <is>
          <t>UCKZo4N0lVPccBkSiuyVh4yg</t>
        </is>
      </c>
      <c r="O336" s="48" t="n">
        <v>45814.84444444445</v>
      </c>
      <c r="P336" s="49" t="n">
        <v>45814</v>
      </c>
      <c r="Q336" s="47" t="n">
        <v>2932</v>
      </c>
      <c r="R336" s="47" t="inlineStr">
        <is>
          <t>No Video ID yet</t>
        </is>
      </c>
      <c r="S336" s="49" t="n"/>
      <c r="T336" s="49" t="n"/>
      <c r="U336" s="47" t="inlineStr">
        <is>
          <t>Today Ben dives into the Wizarding World of Harry Potter to find out if one of it’s most notorious villains, Barty Crouch Jr., is still waiting in the wings to come back and wreak havoc once again! Did he make a Horcrux? What was it? Where is it? And what actually became of Barty Crouch Jr.?</t>
        </is>
      </c>
      <c r="V336" s="47">
        <f>IF(AND(P336&gt;=Calendar!$K$2,P336&lt;EDATE(Calendar!$K$2,1),OR(Calendar!$K$4="*",N336=Calendar!$K$4)),P336*100+COUNTIFS($P$6:$P$3267,P336,$Q$6:$Q$3267,"&lt;="&amp;Q336,$N$6:$N$3267,Calendar!$K$4),"")</f>
        <v/>
      </c>
      <c r="W336" s="47">
        <f>IF(AND(B336=Queue!$C$4,OR(Queue!$K$4="*",N336=Queue!$K$4)),Q336,"")</f>
        <v/>
      </c>
    </row>
    <row r="337">
      <c r="A337" s="38">
        <f>IF(M337="","",HYPERLINK("https://www.youtube.com/watch?v="&amp;M337,"▶"))</f>
        <v/>
      </c>
      <c r="B337" s="39">
        <f>IF(C337&lt;&gt;"",C337,IF(P337&lt;=IFERROR(INDEX(tblChannels[Watched Through],MATCH(N337,tblChannels[Channel ID],0)),0),"Watched","Unwatched"))</f>
        <v/>
      </c>
      <c r="C337" s="40" t="n"/>
      <c r="D337" s="41" t="n"/>
      <c r="E337" s="42" t="n">
        <v>45814.67361111111</v>
      </c>
      <c r="F337" s="50" t="inlineStr">
        <is>
          <t>Super Carlin Brothers</t>
        </is>
      </c>
      <c r="G337" t="inlineStr">
        <is>
          <t>How Dumbledore SPIES On People! #harrypotter</t>
        </is>
      </c>
      <c r="H337" s="44" t="n">
        <v>0.001747685185185185</v>
      </c>
      <c r="I337" s="45" t="n">
        <v>76902</v>
      </c>
      <c r="J337" s="45" t="n">
        <v>4849</v>
      </c>
      <c r="K337" s="45" t="n">
        <v>108</v>
      </c>
      <c r="L337" s="46" t="n"/>
      <c r="M337" s="47" t="n"/>
      <c r="N337" s="47" t="inlineStr">
        <is>
          <t>UCKZo4N0lVPccBkSiuyVh4yg</t>
        </is>
      </c>
      <c r="O337" s="48" t="n">
        <v>45814.84027777778</v>
      </c>
      <c r="P337" s="49" t="n">
        <v>45814</v>
      </c>
      <c r="Q337" s="47" t="n">
        <v>2931</v>
      </c>
      <c r="R337" s="47" t="inlineStr">
        <is>
          <t>No Video ID yet</t>
        </is>
      </c>
      <c r="S337" s="49" t="n"/>
      <c r="T337" s="49" t="n"/>
      <c r="U337" s="47" t="inlineStr">
        <is>
          <t>Dumbledore's deluminator is a SUPER useful magical tool for putting out lights and finding your friends.. but has Dumbledore been using it to spy on everyone too!?</t>
        </is>
      </c>
      <c r="V337" s="47">
        <f>IF(AND(P337&gt;=Calendar!$K$2,P337&lt;EDATE(Calendar!$K$2,1),OR(Calendar!$K$4="*",N337=Calendar!$K$4)),P337*100+COUNTIFS($P$6:$P$3267,P337,$Q$6:$Q$3267,"&lt;="&amp;Q337,$N$6:$N$3267,Calendar!$K$4),"")</f>
        <v/>
      </c>
      <c r="W337" s="47">
        <f>IF(AND(B337=Queue!$C$4,OR(Queue!$K$4="*",N337=Queue!$K$4)),Q337,"")</f>
        <v/>
      </c>
    </row>
    <row r="338">
      <c r="A338" s="38">
        <f>IF(M338="","",HYPERLINK("https://www.youtube.com/watch?v="&amp;M338,"▶"))</f>
        <v/>
      </c>
      <c r="B338" s="39">
        <f>IF(C338&lt;&gt;"",C338,IF(P338&lt;=IFERROR(INDEX(tblChannels[Watched Through],MATCH(N338,tblChannels[Channel ID],0)),0),"Watched","Unwatched"))</f>
        <v/>
      </c>
      <c r="C338" s="40" t="n"/>
      <c r="D338" s="41" t="n"/>
      <c r="E338" s="42" t="n">
        <v>45814.55486111111</v>
      </c>
      <c r="F338" s="43" t="inlineStr">
        <is>
          <t>Popcorn Culture</t>
        </is>
      </c>
      <c r="G338" t="inlineStr">
        <is>
          <t>LETS MAKE CORNDOGS OUTSIDE | Popcorn Culture</t>
        </is>
      </c>
      <c r="H338" s="44" t="n">
        <v>0.0008333333333333334</v>
      </c>
      <c r="I338" s="45" t="n">
        <v>6773</v>
      </c>
      <c r="J338" s="45" t="n">
        <v>526</v>
      </c>
      <c r="K338" s="45" t="n">
        <v>17</v>
      </c>
      <c r="L338" s="46" t="n"/>
      <c r="M338" s="47" t="n"/>
      <c r="N338" s="47" t="inlineStr">
        <is>
          <t>UCHfIbq9thHPC8yrKjAdJgDA</t>
        </is>
      </c>
      <c r="O338" s="48" t="n">
        <v>45814.72152777778</v>
      </c>
      <c r="P338" s="49" t="n">
        <v>45814</v>
      </c>
      <c r="Q338" s="47" t="n">
        <v>2930</v>
      </c>
      <c r="R338" s="47" t="inlineStr">
        <is>
          <t>No Video ID yet</t>
        </is>
      </c>
      <c r="S338" s="49" t="n"/>
      <c r="T338" s="49" t="n"/>
      <c r="U338" s="47" t="inlineStr">
        <is>
          <t>Watch as Ben fulfills his lifelong dream of making a SUPER FUN family camping trip, complete with fresh corndogs.</t>
        </is>
      </c>
      <c r="V338" s="47">
        <f>IF(AND(P338&gt;=Calendar!$K$2,P338&lt;EDATE(Calendar!$K$2,1),OR(Calendar!$K$4="*",N338=Calendar!$K$4)),P338*100+COUNTIFS($P$6:$P$3267,P338,$Q$6:$Q$3267,"&lt;="&amp;Q338,$N$6:$N$3267,Calendar!$K$4),"")</f>
        <v/>
      </c>
      <c r="W338" s="47">
        <f>IF(AND(B338=Queue!$C$4,OR(Queue!$K$4="*",N338=Queue!$K$4)),Q338,"")</f>
        <v/>
      </c>
    </row>
    <row r="339">
      <c r="A339" s="38">
        <f>IF(M339="","",HYPERLINK("https://www.youtube.com/watch?v="&amp;M339,"▶"))</f>
        <v/>
      </c>
      <c r="B339" s="39">
        <f>IF(C339&lt;&gt;"",C339,IF(P339&lt;=IFERROR(INDEX(tblChannels[Watched Through],MATCH(N339,tblChannels[Channel ID],0)),0),"Watched","Unwatched"))</f>
        <v/>
      </c>
      <c r="C339" s="40" t="n"/>
      <c r="D339" s="41" t="n"/>
      <c r="E339" s="42" t="n">
        <v>45814.41666666666</v>
      </c>
      <c r="F339" s="43" t="inlineStr">
        <is>
          <t>Popcorn Culture</t>
        </is>
      </c>
      <c r="G339" t="inlineStr">
        <is>
          <t>Campfire Corndogs | Popcorn Culture</t>
        </is>
      </c>
      <c r="H339" s="44" t="n">
        <v>0.04349537037037037</v>
      </c>
      <c r="I339" s="45" t="n">
        <v>3197</v>
      </c>
      <c r="J339" s="45" t="n">
        <v>158</v>
      </c>
      <c r="K339" s="45" t="n">
        <v>14</v>
      </c>
      <c r="L339" s="46" t="n"/>
      <c r="M339" s="47" t="n"/>
      <c r="N339" s="47" t="inlineStr">
        <is>
          <t>UCHfIbq9thHPC8yrKjAdJgDA</t>
        </is>
      </c>
      <c r="O339" s="48" t="n">
        <v>45814.58333333334</v>
      </c>
      <c r="P339" s="49" t="n">
        <v>45814</v>
      </c>
      <c r="Q339" s="47" t="n">
        <v>2929</v>
      </c>
      <c r="R339" s="47" t="inlineStr">
        <is>
          <t>No Video ID yet</t>
        </is>
      </c>
      <c r="S339" s="49" t="n"/>
      <c r="T339" s="49" t="n"/>
      <c r="U339" s="47" t="inlineStr">
        <is>
          <t>In the 287th episode of the Pop, Ben and J discuss losing sleep, Outdoor Boys stopping YouTube, and their latest family camping trip. The Outdoor Boys Goodbye - Get your tickets for Through the Griffin Tour MIDWEST here: Ben’s Bag of Tricks Shovel Bread! 00:00 - Intro, Losing Sleep 15:12 - The Family Camping Trip 18:52 - (better audio)</t>
        </is>
      </c>
      <c r="V339" s="47">
        <f>IF(AND(P339&gt;=Calendar!$K$2,P339&lt;EDATE(Calendar!$K$2,1),OR(Calendar!$K$4="*",N339=Calendar!$K$4)),P339*100+COUNTIFS($P$6:$P$3267,P339,$Q$6:$Q$3267,"&lt;="&amp;Q339,$N$6:$N$3267,Calendar!$K$4),"")</f>
        <v/>
      </c>
      <c r="W339" s="47">
        <f>IF(AND(B339=Queue!$C$4,OR(Queue!$K$4="*",N339=Queue!$K$4)),Q339,"")</f>
        <v/>
      </c>
    </row>
    <row r="340">
      <c r="A340" s="38">
        <f>IF(M340="","",HYPERLINK("https://www.youtube.com/watch?v="&amp;M340,"▶"))</f>
        <v/>
      </c>
      <c r="B340" s="39">
        <f>IF(C340&lt;&gt;"",C340,IF(P340&lt;=IFERROR(INDEX(tblChannels[Watched Through],MATCH(N340,tblChannels[Channel ID],0)),0),"Watched","Unwatched"))</f>
        <v/>
      </c>
      <c r="C340" s="40" t="n"/>
      <c r="D340" s="41" t="n"/>
      <c r="E340" s="42" t="n">
        <v>45812.70347222222</v>
      </c>
      <c r="F340" s="50" t="inlineStr">
        <is>
          <t>Super Carlin Brothers</t>
        </is>
      </c>
      <c r="G340" t="inlineStr">
        <is>
          <t>J vs Ben: Who Said What? Harry Potter TRIVIA Quiz</t>
        </is>
      </c>
      <c r="H340" s="44" t="n">
        <v>0.03240740740740741</v>
      </c>
      <c r="I340" s="45" t="n">
        <v>136700</v>
      </c>
      <c r="J340" s="45" t="n">
        <v>4376</v>
      </c>
      <c r="K340" s="45" t="n">
        <v>435</v>
      </c>
      <c r="L340" s="46" t="n"/>
      <c r="M340" s="47" t="n"/>
      <c r="N340" s="47" t="inlineStr">
        <is>
          <t>UCKZo4N0lVPccBkSiuyVh4yg</t>
        </is>
      </c>
      <c r="O340" s="48" t="n">
        <v>45812.87013888889</v>
      </c>
      <c r="P340" s="49" t="n">
        <v>45812</v>
      </c>
      <c r="Q340" s="47" t="n">
        <v>2928</v>
      </c>
      <c r="R340" s="47" t="inlineStr">
        <is>
          <t>No Video ID yet</t>
        </is>
      </c>
      <c r="S340" s="49" t="n"/>
      <c r="T340" s="49" t="n"/>
      <c r="U340" s="47" t="inlineStr">
        <is>
          <t>Go to and use code jvsb50off to get 50% off and free shipping on your first box. Today J and Ben face off once more to find out who knows more about who said what in Harry Potter! Given just an out of context quote we have to name the character and book the quote is from! Written by :: QUIZMASTERS! Read by :: Kat Stine</t>
        </is>
      </c>
      <c r="V340" s="47">
        <f>IF(AND(P340&gt;=Calendar!$K$2,P340&lt;EDATE(Calendar!$K$2,1),OR(Calendar!$K$4="*",N340=Calendar!$K$4)),P340*100+COUNTIFS($P$6:$P$3267,P340,$Q$6:$Q$3267,"&lt;="&amp;Q340,$N$6:$N$3267,Calendar!$K$4),"")</f>
        <v/>
      </c>
      <c r="W340" s="47">
        <f>IF(AND(B340=Queue!$C$4,OR(Queue!$K$4="*",N340=Queue!$K$4)),Q340,"")</f>
        <v/>
      </c>
    </row>
    <row r="341">
      <c r="A341" s="38">
        <f>IF(M341="","",HYPERLINK("https://www.youtube.com/watch?v="&amp;M341,"▶"))</f>
        <v/>
      </c>
      <c r="B341" s="39">
        <f>IF(C341&lt;&gt;"",C341,IF(P341&lt;=IFERROR(INDEX(tblChannels[Watched Through],MATCH(N341,tblChannels[Channel ID],0)),0),"Watched","Unwatched"))</f>
        <v/>
      </c>
      <c r="C341" s="40" t="n"/>
      <c r="D341" s="41" t="n"/>
      <c r="E341" s="42" t="n">
        <v>45812.64861111111</v>
      </c>
      <c r="F341" s="50" t="inlineStr">
        <is>
          <t>Super Carlin Brothers</t>
        </is>
      </c>
      <c r="G341" t="inlineStr">
        <is>
          <t>Hunger Games MASTER Plan #HungerGames</t>
        </is>
      </c>
      <c r="H341" s="44" t="n">
        <v>0.002083333333333333</v>
      </c>
      <c r="I341" s="45" t="n">
        <v>107972</v>
      </c>
      <c r="J341" s="45" t="n">
        <v>5341</v>
      </c>
      <c r="K341" s="45" t="n">
        <v>104</v>
      </c>
      <c r="L341" s="46" t="n"/>
      <c r="M341" s="47" t="n"/>
      <c r="N341" s="47" t="inlineStr">
        <is>
          <t>UCKZo4N0lVPccBkSiuyVh4yg</t>
        </is>
      </c>
      <c r="O341" s="48" t="n">
        <v>45812.81527777778</v>
      </c>
      <c r="P341" s="49" t="n">
        <v>45812</v>
      </c>
      <c r="Q341" s="47" t="n">
        <v>2927</v>
      </c>
      <c r="R341" s="47" t="inlineStr">
        <is>
          <t>No Video ID yet</t>
        </is>
      </c>
      <c r="S341" s="49" t="n"/>
      <c r="T341" s="49" t="n"/>
      <c r="U341" s="47" t="inlineStr">
        <is>
          <t>President Coin manipulated every aspect of Katniss' life from the moment Prim's name came out of the Reaping.</t>
        </is>
      </c>
      <c r="V341" s="47">
        <f>IF(AND(P341&gt;=Calendar!$K$2,P341&lt;EDATE(Calendar!$K$2,1),OR(Calendar!$K$4="*",N341=Calendar!$K$4)),P341*100+COUNTIFS($P$6:$P$3267,P341,$Q$6:$Q$3267,"&lt;="&amp;Q341,$N$6:$N$3267,Calendar!$K$4),"")</f>
        <v/>
      </c>
      <c r="W341" s="47">
        <f>IF(AND(B341=Queue!$C$4,OR(Queue!$K$4="*",N341=Queue!$K$4)),Q341,"")</f>
        <v/>
      </c>
    </row>
    <row r="342">
      <c r="A342" s="38">
        <f>IF(M342="","",HYPERLINK("https://www.youtube.com/watch?v="&amp;M342,"▶"))</f>
        <v/>
      </c>
      <c r="B342" s="39">
        <f>IF(C342&lt;&gt;"",C342,IF(P342&lt;=IFERROR(INDEX(tblChannels[Watched Through],MATCH(N342,tblChannels[Channel ID],0)),0),"Watched","Unwatched"))</f>
        <v/>
      </c>
      <c r="C342" s="40" t="n"/>
      <c r="D342" s="41" t="n"/>
      <c r="E342" s="42" t="n">
        <v>45810.66597222222</v>
      </c>
      <c r="F342" s="50" t="inlineStr">
        <is>
          <t>Super Carlin Brothers</t>
        </is>
      </c>
      <c r="G342" t="inlineStr">
        <is>
          <t>Mirabel Can BEND REALITY?? #disney</t>
        </is>
      </c>
      <c r="H342" s="44" t="n">
        <v>0.002083333333333333</v>
      </c>
      <c r="I342" s="45" t="n">
        <v>1139199</v>
      </c>
      <c r="J342" s="45" t="n">
        <v>78735</v>
      </c>
      <c r="K342" s="45" t="n">
        <v>596</v>
      </c>
      <c r="L342" s="46" t="n"/>
      <c r="M342" s="47" t="n"/>
      <c r="N342" s="47" t="inlineStr">
        <is>
          <t>UCKZo4N0lVPccBkSiuyVh4yg</t>
        </is>
      </c>
      <c r="O342" s="48" t="n">
        <v>45810.83263888889</v>
      </c>
      <c r="P342" s="49" t="n">
        <v>45810</v>
      </c>
      <c r="Q342" s="47" t="n">
        <v>2926</v>
      </c>
      <c r="R342" s="47" t="inlineStr">
        <is>
          <t>No Video ID yet</t>
        </is>
      </c>
      <c r="S342" s="49" t="n"/>
      <c r="T342" s="49" t="n"/>
      <c r="U342" s="47" t="inlineStr">
        <is>
          <t>Wait Mirabel in Encanto DID get a power?! One that makes her and everyone else believe she didn't?</t>
        </is>
      </c>
      <c r="V342" s="47">
        <f>IF(AND(P342&gt;=Calendar!$K$2,P342&lt;EDATE(Calendar!$K$2,1),OR(Calendar!$K$4="*",N342=Calendar!$K$4)),P342*100+COUNTIFS($P$6:$P$3267,P342,$Q$6:$Q$3267,"&lt;="&amp;Q342,$N$6:$N$3267,Calendar!$K$4),"")</f>
        <v/>
      </c>
      <c r="W342" s="47">
        <f>IF(AND(B342=Queue!$C$4,OR(Queue!$K$4="*",N342=Queue!$K$4)),Q342,"")</f>
        <v/>
      </c>
    </row>
    <row r="343">
      <c r="A343" s="38">
        <f>IF(M343="","",HYPERLINK("https://www.youtube.com/watch?v="&amp;M343,"▶"))</f>
        <v/>
      </c>
      <c r="B343" s="39">
        <f>IF(C343&lt;&gt;"",C343,IF(P343&lt;=IFERROR(INDEX(tblChannels[Watched Through],MATCH(N343,tblChannels[Channel ID],0)),0),"Watched","Unwatched"))</f>
        <v/>
      </c>
      <c r="C343" s="40" t="n"/>
      <c r="D343" s="41" t="n"/>
      <c r="E343" s="42" t="n">
        <v>45809.41736111111</v>
      </c>
      <c r="F343" s="51" t="inlineStr">
        <is>
          <t>Through The Griffin Door</t>
        </is>
      </c>
      <c r="G343" t="inlineStr">
        <is>
          <t>Chapter 28 :The Madness of Mr. Crouch | Goblet of Fire</t>
        </is>
      </c>
      <c r="H343" s="44" t="n">
        <v>0.08427083333333334</v>
      </c>
      <c r="I343" s="45" t="n">
        <v>63032</v>
      </c>
      <c r="J343" s="45" t="n">
        <v>1494</v>
      </c>
      <c r="K343" s="45" t="n">
        <v>538</v>
      </c>
      <c r="L343" s="46" t="n"/>
      <c r="M343" s="47" t="n"/>
      <c r="N343" s="47" t="inlineStr">
        <is>
          <t>UCEscP6ETYXWSSvsNrDHekMQ</t>
        </is>
      </c>
      <c r="O343" s="48" t="n">
        <v>45809.58402777778</v>
      </c>
      <c r="P343" s="49" t="n">
        <v>45809</v>
      </c>
      <c r="Q343" s="47" t="n">
        <v>2925</v>
      </c>
      <c r="R343" s="47" t="inlineStr">
        <is>
          <t>No Video ID yet</t>
        </is>
      </c>
      <c r="S343" s="49" t="n"/>
      <c r="T343" s="49" t="n"/>
      <c r="U343" s="47" t="inlineStr">
        <is>
          <t>Join J and Ben as they dive into Chapter 28 of the Goblet of Fire and discuss King George, Percy’s redundant letter, Winkey and her hiccups, owl talk, Hermione’s hate mail, NIFFLERS!!! Leprechaun gold, Mrs. Weasley’s reaction to the article, Krum taking Harry aside and finding Mr. Crouch raving. THROUGH THE GRIFFIN TOUR MIDWEST TICKETS ARE ON SALE RIGHT NOW St. Louis, MO - 9/17a 07:03 - Chapter Breakdown 1:55:55 - Closing Thoughts and Review</t>
        </is>
      </c>
      <c r="V343" s="47">
        <f>IF(AND(P343&gt;=Calendar!$K$2,P343&lt;EDATE(Calendar!$K$2,1),OR(Calendar!$K$4="*",N343=Calendar!$K$4)),P343*100+COUNTIFS($P$6:$P$3267,P343,$Q$6:$Q$3267,"&lt;="&amp;Q343,$N$6:$N$3267,Calendar!$K$4),"")</f>
        <v/>
      </c>
      <c r="W343" s="47">
        <f>IF(AND(B343=Queue!$C$4,OR(Queue!$K$4="*",N343=Queue!$K$4)),Q343,"")</f>
        <v/>
      </c>
    </row>
    <row r="344">
      <c r="A344" s="38">
        <f>IF(M344="","",HYPERLINK("https://www.youtube.com/watch?v="&amp;M344,"▶"))</f>
        <v/>
      </c>
      <c r="B344" s="39">
        <f>IF(C344&lt;&gt;"",C344,IF(P344&lt;=IFERROR(INDEX(tblChannels[Watched Through],MATCH(N344,tblChannels[Channel ID],0)),0),"Watched","Unwatched"))</f>
        <v/>
      </c>
      <c r="C344" s="40" t="n"/>
      <c r="D344" s="41" t="n"/>
      <c r="E344" s="42" t="n">
        <v>45808.41666666666</v>
      </c>
      <c r="F344" s="50" t="inlineStr">
        <is>
          <t>Super Carlin Brothers</t>
        </is>
      </c>
      <c r="G344" t="inlineStr">
        <is>
          <t>Through the Griffin Door Supercut: Goblet of Fire Chapters 25-27</t>
        </is>
      </c>
      <c r="H344" s="44" t="n">
        <v>0.2433449074074074</v>
      </c>
      <c r="I344" s="45" t="n">
        <v>15666</v>
      </c>
      <c r="J344" s="45" t="n">
        <v>277</v>
      </c>
      <c r="K344" s="45" t="n">
        <v>50</v>
      </c>
      <c r="L344" s="46" t="n"/>
      <c r="M344" s="47" t="n"/>
      <c r="N344" s="47" t="inlineStr">
        <is>
          <t>UCKZo4N0lVPccBkSiuyVh4yg</t>
        </is>
      </c>
      <c r="O344" s="48" t="n">
        <v>45808.58333333334</v>
      </c>
      <c r="P344" s="49" t="n">
        <v>45808</v>
      </c>
      <c r="Q344" s="47" t="n">
        <v>2924</v>
      </c>
      <c r="R344" s="47" t="inlineStr">
        <is>
          <t>No Video ID yet</t>
        </is>
      </c>
      <c r="S344" s="49" t="n"/>
      <c r="T344" s="49" t="n"/>
      <c r="U344" s="47" t="inlineStr">
        <is>
          <t>0:00:00 - Chapter 25: The Egg and the Eye 1:29:04 - Chapter 26: The Second Task 3:40:58 - Chapter 27: Padfoot Returns</t>
        </is>
      </c>
      <c r="V344" s="47">
        <f>IF(AND(P344&gt;=Calendar!$K$2,P344&lt;EDATE(Calendar!$K$2,1),OR(Calendar!$K$4="*",N344=Calendar!$K$4)),P344*100+COUNTIFS($P$6:$P$3267,P344,$Q$6:$Q$3267,"&lt;="&amp;Q344,$N$6:$N$3267,Calendar!$K$4),"")</f>
        <v/>
      </c>
      <c r="W344" s="47">
        <f>IF(AND(B344=Queue!$C$4,OR(Queue!$K$4="*",N344=Queue!$K$4)),Q344,"")</f>
        <v/>
      </c>
    </row>
    <row r="345">
      <c r="A345" s="38">
        <f>IF(M345="","",HYPERLINK("https://www.youtube.com/watch?v="&amp;M345,"▶"))</f>
        <v/>
      </c>
      <c r="B345" s="39">
        <f>IF(C345&lt;&gt;"",C345,IF(P345&lt;=IFERROR(INDEX(tblChannels[Watched Through],MATCH(N345,tblChannels[Channel ID],0)),0),"Watched","Unwatched"))</f>
        <v/>
      </c>
      <c r="C345" s="40" t="n"/>
      <c r="D345" s="41" t="n"/>
      <c r="E345" s="42" t="n">
        <v>45807.91736111111</v>
      </c>
      <c r="F345" s="50" t="inlineStr">
        <is>
          <t>Super Carlin Brothers</t>
        </is>
      </c>
      <c r="G345" t="inlineStr">
        <is>
          <t>Who is Toy Story Andy’s Monster?? #toystory</t>
        </is>
      </c>
      <c r="H345" s="44" t="n">
        <v>0.001990740740740741</v>
      </c>
      <c r="I345" s="45" t="n">
        <v>2289265</v>
      </c>
      <c r="J345" s="45" t="n">
        <v>159642</v>
      </c>
      <c r="K345" s="45" t="n">
        <v>1281</v>
      </c>
      <c r="L345" s="46" t="n"/>
      <c r="M345" s="47" t="n"/>
      <c r="N345" s="47" t="inlineStr">
        <is>
          <t>UCKZo4N0lVPccBkSiuyVh4yg</t>
        </is>
      </c>
      <c r="O345" s="48" t="n">
        <v>45808.08402777778</v>
      </c>
      <c r="P345" s="49" t="n">
        <v>45807</v>
      </c>
      <c r="Q345" s="47" t="n">
        <v>2923</v>
      </c>
      <c r="R345" s="47" t="inlineStr">
        <is>
          <t>No Video ID yet</t>
        </is>
      </c>
      <c r="S345" s="49" t="n"/>
      <c r="T345" s="49" t="n"/>
      <c r="U345" s="47" t="inlineStr">
        <is>
          <t>Toy Story and Monsters Inc. are FOR SURE connected, which means Andy Davis had a monster when he was a kid... the question is... who? Sully? Randall? Georgie? Mike? Waternoose?</t>
        </is>
      </c>
      <c r="V345" s="47">
        <f>IF(AND(P345&gt;=Calendar!$K$2,P345&lt;EDATE(Calendar!$K$2,1),OR(Calendar!$K$4="*",N345=Calendar!$K$4)),P345*100+COUNTIFS($P$6:$P$3267,P345,$Q$6:$Q$3267,"&lt;="&amp;Q345,$N$6:$N$3267,Calendar!$K$4),"")</f>
        <v/>
      </c>
      <c r="W345" s="47">
        <f>IF(AND(B345=Queue!$C$4,OR(Queue!$K$4="*",N345=Queue!$K$4)),Q345,"")</f>
        <v/>
      </c>
    </row>
    <row r="346">
      <c r="A346" s="38">
        <f>IF(M346="","",HYPERLINK("https://www.youtube.com/watch?v="&amp;M346,"▶"))</f>
        <v/>
      </c>
      <c r="B346" s="39">
        <f>IF(C346&lt;&gt;"",C346,IF(P346&lt;=IFERROR(INDEX(tblChannels[Watched Through],MATCH(N346,tblChannels[Channel ID],0)),0),"Watched","Unwatched"))</f>
        <v/>
      </c>
      <c r="C346" s="40" t="n"/>
      <c r="D346" s="41" t="n"/>
      <c r="E346" s="42" t="n">
        <v>45807.71180555555</v>
      </c>
      <c r="F346" s="50" t="inlineStr">
        <is>
          <t>Super Carlin Brothers</t>
        </is>
      </c>
      <c r="G346" t="inlineStr">
        <is>
          <t>Hogwarts is… ALIVE?! | Harry Potter Film Theory</t>
        </is>
      </c>
      <c r="H346" s="44" t="n">
        <v>0.0121875</v>
      </c>
      <c r="I346" s="45" t="n">
        <v>139136</v>
      </c>
      <c r="J346" s="45" t="n">
        <v>6140</v>
      </c>
      <c r="K346" s="45" t="n">
        <v>576</v>
      </c>
      <c r="L346" s="46" t="n"/>
      <c r="M346" s="47" t="n"/>
      <c r="N346" s="47" t="inlineStr">
        <is>
          <t>UCKZo4N0lVPccBkSiuyVh4yg</t>
        </is>
      </c>
      <c r="O346" s="48" t="n">
        <v>45807.87847222222</v>
      </c>
      <c r="P346" s="49" t="n">
        <v>45807</v>
      </c>
      <c r="Q346" s="47" t="n">
        <v>2922</v>
      </c>
      <c r="R346" s="47" t="inlineStr">
        <is>
          <t>No Video ID yet</t>
        </is>
      </c>
      <c r="S346" s="49" t="n"/>
      <c r="T346" s="49" t="n"/>
      <c r="U346" s="47" t="inlineStr">
        <is>
          <t>Today Ben dives into the Wizarding World of Harry Potter to find out if the castle of Hogwarts is more than just a building but actually a sentient living thing. This episode is sponsored by BetterHelp. Go to to get 10% off your first month. From the Sorting Hat to the Room of Requirement to the moving staircases, there seems to be more at play than just whimsy.</t>
        </is>
      </c>
      <c r="V346" s="47">
        <f>IF(AND(P346&gt;=Calendar!$K$2,P346&lt;EDATE(Calendar!$K$2,1),OR(Calendar!$K$4="*",N346=Calendar!$K$4)),P346*100+COUNTIFS($P$6:$P$3267,P346,$Q$6:$Q$3267,"&lt;="&amp;Q346,$N$6:$N$3267,Calendar!$K$4),"")</f>
        <v/>
      </c>
      <c r="W346" s="47">
        <f>IF(AND(B346=Queue!$C$4,OR(Queue!$K$4="*",N346=Queue!$K$4)),Q346,"")</f>
        <v/>
      </c>
    </row>
    <row r="347">
      <c r="A347" s="38">
        <f>IF(M347="","",HYPERLINK("https://www.youtube.com/watch?v="&amp;M347,"▶"))</f>
        <v/>
      </c>
      <c r="B347" s="39">
        <f>IF(C347&lt;&gt;"",C347,IF(P347&lt;=IFERROR(INDEX(tblChannels[Watched Through],MATCH(N347,tblChannels[Channel ID],0)),0),"Watched","Unwatched"))</f>
        <v/>
      </c>
      <c r="C347" s="40" t="n"/>
      <c r="D347" s="41" t="n"/>
      <c r="E347" s="42" t="n">
        <v>45807.41666666666</v>
      </c>
      <c r="F347" s="43" t="inlineStr">
        <is>
          <t>Popcorn Culture</t>
        </is>
      </c>
      <c r="G347" t="inlineStr">
        <is>
          <t>EPIC WAS EPIC!!! | Popcorn Culture</t>
        </is>
      </c>
      <c r="H347" s="44" t="n">
        <v>0.06771990740740741</v>
      </c>
      <c r="I347" s="45" t="n">
        <v>4849</v>
      </c>
      <c r="J347" s="45" t="n">
        <v>204</v>
      </c>
      <c r="K347" s="45" t="n">
        <v>33</v>
      </c>
      <c r="L347" s="46" t="n"/>
      <c r="M347" s="47" t="n"/>
      <c r="N347" s="47" t="inlineStr">
        <is>
          <t>UCHfIbq9thHPC8yrKjAdJgDA</t>
        </is>
      </c>
      <c r="O347" s="48" t="n">
        <v>45807.58333333334</v>
      </c>
      <c r="P347" s="49" t="n">
        <v>45807</v>
      </c>
      <c r="Q347" s="47" t="n">
        <v>2921</v>
      </c>
      <c r="R347" s="47" t="inlineStr">
        <is>
          <t>No Video ID yet</t>
        </is>
      </c>
      <c r="S347" s="49" t="n"/>
      <c r="T347" s="49" t="n"/>
      <c r="U347" s="47" t="inlineStr">
        <is>
          <t>In the 286th episode of the Pop, Ben and J discuss all the details of their trip to Epic Universe: the rides, the food, the characters AND MORE! RollerCoaster Tycoon - Umbridge’s PUNISHMENT Finally Revealed! - Get your tickets for Through the Griffin Tour MIDWEST here: 00:00 - Intro, EPIC!! 13:04 - The Isle of Berk 45:36 - Nintendo World 1:03:53 - Dark Universe 1:14:52 - Ministry of Magic 1:29:45 - Celestial Park</t>
        </is>
      </c>
      <c r="V347" s="47">
        <f>IF(AND(P347&gt;=Calendar!$K$2,P347&lt;EDATE(Calendar!$K$2,1),OR(Calendar!$K$4="*",N347=Calendar!$K$4)),P347*100+COUNTIFS($P$6:$P$3267,P347,$Q$6:$Q$3267,"&lt;="&amp;Q347,$N$6:$N$3267,Calendar!$K$4),"")</f>
        <v/>
      </c>
      <c r="W347" s="47">
        <f>IF(AND(B347=Queue!$C$4,OR(Queue!$K$4="*",N347=Queue!$K$4)),Q347,"")</f>
        <v/>
      </c>
    </row>
    <row r="348">
      <c r="A348" s="38">
        <f>IF(M348="","",HYPERLINK("https://www.youtube.com/watch?v="&amp;M348,"▶"))</f>
        <v/>
      </c>
      <c r="B348" s="39">
        <f>IF(C348&lt;&gt;"",C348,IF(P348&lt;=IFERROR(INDEX(tblChannels[Watched Through],MATCH(N348,tblChannels[Channel ID],0)),0),"Watched","Unwatched"))</f>
        <v/>
      </c>
      <c r="C348" s="40" t="n"/>
      <c r="D348" s="41" t="n"/>
      <c r="E348" s="42" t="n">
        <v>45805.70416666667</v>
      </c>
      <c r="F348" s="50" t="inlineStr">
        <is>
          <t>Super Carlin Brothers</t>
        </is>
      </c>
      <c r="G348" t="inlineStr">
        <is>
          <t>What REALLY Happened to Umbridge After Harry Potter? (It’s Canon Now!)</t>
        </is>
      </c>
      <c r="H348" s="44" t="n">
        <v>0.0106712962962963</v>
      </c>
      <c r="I348" s="45" t="n">
        <v>274314</v>
      </c>
      <c r="J348" s="45" t="n">
        <v>9210</v>
      </c>
      <c r="K348" s="45" t="n">
        <v>713</v>
      </c>
      <c r="L348" s="46" t="n"/>
      <c r="M348" s="47" t="n"/>
      <c r="N348" s="47" t="inlineStr">
        <is>
          <t>UCKZo4N0lVPccBkSiuyVh4yg</t>
        </is>
      </c>
      <c r="O348" s="48" t="n">
        <v>45805.87083333333</v>
      </c>
      <c r="P348" s="49" t="n">
        <v>45805</v>
      </c>
      <c r="Q348" s="47" t="n">
        <v>2920</v>
      </c>
      <c r="R348" s="47" t="inlineStr">
        <is>
          <t>No Video ID yet</t>
        </is>
      </c>
      <c r="S348" s="49" t="n"/>
      <c r="T348" s="49" t="n"/>
      <c r="U348" s="47" t="inlineStr">
        <is>
          <t>Go to to get 10 free meals with a free item for life. Today J dives into the Wizarding World of Harry Potter via Epic Universe to reveal what happened to Umbridge after Deathly Hallows! She never joined the Battle of Hogwarts, but did she escape punishment of any kind? Additional B-Roll Provided by :: Jake the Viking</t>
        </is>
      </c>
      <c r="V348" s="47">
        <f>IF(AND(P348&gt;=Calendar!$K$2,P348&lt;EDATE(Calendar!$K$2,1),OR(Calendar!$K$4="*",N348=Calendar!$K$4)),P348*100+COUNTIFS($P$6:$P$3267,P348,$Q$6:$Q$3267,"&lt;="&amp;Q348,$N$6:$N$3267,Calendar!$K$4),"")</f>
        <v/>
      </c>
      <c r="W348" s="47">
        <f>IF(AND(B348=Queue!$C$4,OR(Queue!$K$4="*",N348=Queue!$K$4)),Q348,"")</f>
        <v/>
      </c>
    </row>
    <row r="349">
      <c r="A349" s="38">
        <f>IF(M349="","",HYPERLINK("https://www.youtube.com/watch?v="&amp;M349,"▶"))</f>
        <v/>
      </c>
      <c r="B349" s="39">
        <f>IF(C349&lt;&gt;"",C349,IF(P349&lt;=IFERROR(INDEX(tblChannels[Watched Through],MATCH(N349,tblChannels[Channel ID],0)),0),"Watched","Unwatched"))</f>
        <v/>
      </c>
      <c r="C349" s="40" t="n"/>
      <c r="D349" s="41" t="n"/>
      <c r="E349" s="42" t="n">
        <v>45802.41736111111</v>
      </c>
      <c r="F349" s="51" t="inlineStr">
        <is>
          <t>Through The Griffin Door</t>
        </is>
      </c>
      <c r="G349" t="inlineStr">
        <is>
          <t>Chapter 27: Padfoot Returns | Goblet of Fire</t>
        </is>
      </c>
      <c r="H349" s="44" t="n">
        <v>0.09129629629629629</v>
      </c>
      <c r="I349" s="45" t="n">
        <v>65559</v>
      </c>
      <c r="J349" s="45" t="n">
        <v>1469</v>
      </c>
      <c r="K349" s="45" t="n">
        <v>397</v>
      </c>
      <c r="L349" s="46" t="n"/>
      <c r="M349" s="47" t="n"/>
      <c r="N349" s="47" t="inlineStr">
        <is>
          <t>UCEscP6ETYXWSSvsNrDHekMQ</t>
        </is>
      </c>
      <c r="O349" s="48" t="n">
        <v>45802.58402777778</v>
      </c>
      <c r="P349" s="49" t="n">
        <v>45802</v>
      </c>
      <c r="Q349" s="47" t="n">
        <v>2919</v>
      </c>
      <c r="R349" s="47" t="inlineStr">
        <is>
          <t>No Video ID yet</t>
        </is>
      </c>
      <c r="S349" s="49" t="n"/>
      <c r="T349" s="49" t="n"/>
      <c r="U349" s="47" t="inlineStr">
        <is>
          <t>This episode is sponsored by ProLon Life — Go to to get 15% off! Join J and Ben as they dive into Chapter 27 of the Goblet of Fire and discuss people weirdly teasing Hermione, the Witch Weekly article, Snape accusing Harry of stealing ingredients, and the crazy info dump meeting with Sirius. THROUGH THE GRIFFIN TOUR MIDWEST TICKETS ARE ON SALE RIGHT NOW St. Louis, MO - 9/17a Watch on Youtube: Want more Harry Potter Content? Harry Potter Theories: Dumbledore’s Big Plan: What If Harry Was in Slytherin: Chapters 05:02 - Chapter Breakdown 1:06:30 - Ad Break (L-Nutra) 1:08:30 - More Chapter Breakdown 2:03:25 - Closing Thoughts and Review</t>
        </is>
      </c>
      <c r="V349" s="47">
        <f>IF(AND(P349&gt;=Calendar!$K$2,P349&lt;EDATE(Calendar!$K$2,1),OR(Calendar!$K$4="*",N349=Calendar!$K$4)),P349*100+COUNTIFS($P$6:$P$3267,P349,$Q$6:$Q$3267,"&lt;="&amp;Q349,$N$6:$N$3267,Calendar!$K$4),"")</f>
        <v/>
      </c>
      <c r="W349" s="47">
        <f>IF(AND(B349=Queue!$C$4,OR(Queue!$K$4="*",N349=Queue!$K$4)),Q349,"")</f>
        <v/>
      </c>
    </row>
    <row r="350">
      <c r="A350" s="38">
        <f>IF(M350="","",HYPERLINK("https://www.youtube.com/watch?v="&amp;M350,"▶"))</f>
        <v/>
      </c>
      <c r="B350" s="39">
        <f>IF(C350&lt;&gt;"",C350,IF(P350&lt;=IFERROR(INDEX(tblChannels[Watched Through],MATCH(N350,tblChannels[Channel ID],0)),0),"Watched","Unwatched"))</f>
        <v/>
      </c>
      <c r="C350" s="40" t="n"/>
      <c r="D350" s="41" t="n"/>
      <c r="E350" s="42" t="n">
        <v>45800.70277777778</v>
      </c>
      <c r="F350" s="50" t="inlineStr">
        <is>
          <t>Super Carlin Brothers</t>
        </is>
      </c>
      <c r="G350" t="inlineStr">
        <is>
          <t>Reacting To Our FIRST EVER Harry Potter Videos</t>
        </is>
      </c>
      <c r="H350" s="44" t="n">
        <v>0.03327546296296297</v>
      </c>
      <c r="I350" s="45" t="n">
        <v>136006</v>
      </c>
      <c r="J350" s="45" t="n">
        <v>5121</v>
      </c>
      <c r="K350" s="45" t="n">
        <v>706</v>
      </c>
      <c r="L350" s="46" t="n"/>
      <c r="M350" s="47" t="n"/>
      <c r="N350" s="47" t="inlineStr">
        <is>
          <t>UCKZo4N0lVPccBkSiuyVh4yg</t>
        </is>
      </c>
      <c r="O350" s="48" t="n">
        <v>45800.86944444444</v>
      </c>
      <c r="P350" s="49" t="n">
        <v>45800</v>
      </c>
      <c r="Q350" s="47" t="n">
        <v>2918</v>
      </c>
      <c r="R350" s="47" t="inlineStr">
        <is>
          <t>No Video ID yet</t>
        </is>
      </c>
      <c r="S350" s="49" t="n"/>
      <c r="T350" s="49" t="n"/>
      <c r="U350" s="47" t="inlineStr">
        <is>
          <t>This episode is sponsored by BetterHelp. Go to to get 10% off your first month. Today J and Ben rewatch the first five Harry Potter Video’s they EVER made back in Year One of Super Carlin Brothers which was known as “Harry Potter Week.” Enjoy this lovely (and cringy) trip down memory lane!</t>
        </is>
      </c>
      <c r="V350" s="47">
        <f>IF(AND(P350&gt;=Calendar!$K$2,P350&lt;EDATE(Calendar!$K$2,1),OR(Calendar!$K$4="*",N350=Calendar!$K$4)),P350*100+COUNTIFS($P$6:$P$3267,P350,$Q$6:$Q$3267,"&lt;="&amp;Q350,$N$6:$N$3267,Calendar!$K$4),"")</f>
        <v/>
      </c>
      <c r="W350" s="47">
        <f>IF(AND(B350=Queue!$C$4,OR(Queue!$K$4="*",N350=Queue!$K$4)),Q350,"")</f>
        <v/>
      </c>
    </row>
    <row r="351">
      <c r="A351" s="38">
        <f>IF(M351="","",HYPERLINK("https://www.youtube.com/watch?v="&amp;M351,"▶"))</f>
        <v/>
      </c>
      <c r="B351" s="39">
        <f>IF(C351&lt;&gt;"",C351,IF(P351&lt;=IFERROR(INDEX(tblChannels[Watched Through],MATCH(N351,tblChannels[Channel ID],0)),0),"Watched","Unwatched"))</f>
        <v/>
      </c>
      <c r="C351" s="40" t="n"/>
      <c r="D351" s="41" t="n"/>
      <c r="E351" s="42" t="n">
        <v>45800.41666666666</v>
      </c>
      <c r="F351" s="43" t="inlineStr">
        <is>
          <t>Popcorn Culture</t>
        </is>
      </c>
      <c r="G351" t="inlineStr">
        <is>
          <t>SCB Saved My Life | Popcorn Culture</t>
        </is>
      </c>
      <c r="H351" s="44" t="n">
        <v>0.04998842592592593</v>
      </c>
      <c r="I351" s="45" t="n">
        <v>3632</v>
      </c>
      <c r="J351" s="45" t="n">
        <v>199</v>
      </c>
      <c r="K351" s="45" t="n">
        <v>44</v>
      </c>
      <c r="L351" s="46" t="n"/>
      <c r="M351" s="47" t="n"/>
      <c r="N351" s="47" t="inlineStr">
        <is>
          <t>UCHfIbq9thHPC8yrKjAdJgDA</t>
        </is>
      </c>
      <c r="O351" s="48" t="n">
        <v>45800.58333333334</v>
      </c>
      <c r="P351" s="49" t="n">
        <v>45800</v>
      </c>
      <c r="Q351" s="47" t="n">
        <v>2917</v>
      </c>
      <c r="R351" s="47" t="inlineStr">
        <is>
          <t>No Video ID yet</t>
        </is>
      </c>
      <c r="S351" s="49" t="n"/>
      <c r="T351" s="49" t="n"/>
      <c r="U351" s="47" t="inlineStr">
        <is>
          <t>In the 285th episode of the Pop, Ben and J discuss the crazy loud AC unit, their upcoming (past) EPIC trip, J’s refrigerator, reacting to Year 1 videos, and Year 1 Pop topics. Parenthood - Get your tickets for Through the Griffin Tour MIDWEST here: Ole Gregg Smokybutts 00:00 - Intro, AC Units and EPIC 10:21 - Fridge 41:20 - Ben’s Most Recent Existential Crisis</t>
        </is>
      </c>
      <c r="V351" s="47">
        <f>IF(AND(P351&gt;=Calendar!$K$2,P351&lt;EDATE(Calendar!$K$2,1),OR(Calendar!$K$4="*",N351=Calendar!$K$4)),P351*100+COUNTIFS($P$6:$P$3267,P351,$Q$6:$Q$3267,"&lt;="&amp;Q351,$N$6:$N$3267,Calendar!$K$4),"")</f>
        <v/>
      </c>
      <c r="W351" s="47">
        <f>IF(AND(B351=Queue!$C$4,OR(Queue!$K$4="*",N351=Queue!$K$4)),Q351,"")</f>
        <v/>
      </c>
    </row>
    <row r="352">
      <c r="A352" s="38">
        <f>IF(M352="","",HYPERLINK("https://www.youtube.com/watch?v="&amp;M352,"▶"))</f>
        <v/>
      </c>
      <c r="B352" s="39">
        <f>IF(C352&lt;&gt;"",C352,IF(P352&lt;=IFERROR(INDEX(tblChannels[Watched Through],MATCH(N352,tblChannels[Channel ID],0)),0),"Watched","Unwatched"))</f>
        <v/>
      </c>
      <c r="C352" s="40" t="n"/>
      <c r="D352" s="41" t="n"/>
      <c r="E352" s="42" t="n">
        <v>45798.625</v>
      </c>
      <c r="F352" s="50" t="inlineStr">
        <is>
          <t>Super Carlin Brothers</t>
        </is>
      </c>
      <c r="G352" t="inlineStr">
        <is>
          <t>J vs Ben: ULTIMATE Harry Potter Last Chapters TRIVIA Quiz</t>
        </is>
      </c>
      <c r="H352" s="44" t="n">
        <v>0.02725694444444444</v>
      </c>
      <c r="I352" s="45" t="n">
        <v>91033</v>
      </c>
      <c r="J352" s="45" t="n">
        <v>3445</v>
      </c>
      <c r="K352" s="45" t="n">
        <v>296</v>
      </c>
      <c r="L352" s="46" t="n"/>
      <c r="M352" s="47" t="n"/>
      <c r="N352" s="47" t="inlineStr">
        <is>
          <t>UCKZo4N0lVPccBkSiuyVh4yg</t>
        </is>
      </c>
      <c r="O352" s="48" t="n">
        <v>45798.79166666666</v>
      </c>
      <c r="P352" s="49" t="n">
        <v>45798</v>
      </c>
      <c r="Q352" s="47" t="n">
        <v>2916</v>
      </c>
      <c r="R352" s="47" t="inlineStr">
        <is>
          <t>No Video ID yet</t>
        </is>
      </c>
      <c r="S352" s="49" t="n"/>
      <c r="T352" s="49" t="n"/>
      <c r="U352" s="47" t="inlineStr">
        <is>
          <t>This episode is sponsored by Hello Fresh - Go to to get 10 free meals with a free item for life. Today J and Ben face off to find out who knows more about what happens in the Last Chapter of each Harry Potter book! From The Man With Two Faces to The Flaw In The Plan we cover them all! Play Along With Us :: Become a Quiz Master :: Written by :: QUIZMASTERS!!! Hosted by :: Isybelle Christley</t>
        </is>
      </c>
      <c r="V352" s="47">
        <f>IF(AND(P352&gt;=Calendar!$K$2,P352&lt;EDATE(Calendar!$K$2,1),OR(Calendar!$K$4="*",N352=Calendar!$K$4)),P352*100+COUNTIFS($P$6:$P$3267,P352,$Q$6:$Q$3267,"&lt;="&amp;Q352,$N$6:$N$3267,Calendar!$K$4),"")</f>
        <v/>
      </c>
      <c r="W352" s="47">
        <f>IF(AND(B352=Queue!$C$4,OR(Queue!$K$4="*",N352=Queue!$K$4)),Q352,"")</f>
        <v/>
      </c>
    </row>
    <row r="353">
      <c r="A353" s="38">
        <f>IF(M353="","",HYPERLINK("https://www.youtube.com/watch?v="&amp;M353,"▶"))</f>
        <v/>
      </c>
      <c r="B353" s="39">
        <f>IF(C353&lt;&gt;"",C353,IF(P353&lt;=IFERROR(INDEX(tblChannels[Watched Through],MATCH(N353,tblChannels[Channel ID],0)),0),"Watched","Unwatched"))</f>
        <v/>
      </c>
      <c r="C353" s="40" t="n"/>
      <c r="D353" s="41" t="n"/>
      <c r="E353" s="42" t="n">
        <v>45795.41666666666</v>
      </c>
      <c r="F353" s="51" t="inlineStr">
        <is>
          <t>Through The Griffin Door</t>
        </is>
      </c>
      <c r="G353" t="inlineStr">
        <is>
          <t>Chapter 26: The Second Task | Goblet of Fire</t>
        </is>
      </c>
      <c r="H353" s="44" t="n">
        <v>0.09291666666666666</v>
      </c>
      <c r="I353" s="45" t="n">
        <v>66637</v>
      </c>
      <c r="J353" s="45" t="n">
        <v>1496</v>
      </c>
      <c r="K353" s="45" t="n">
        <v>468</v>
      </c>
      <c r="L353" s="46" t="n"/>
      <c r="M353" s="47" t="n"/>
      <c r="N353" s="47" t="inlineStr">
        <is>
          <t>UCEscP6ETYXWSSvsNrDHekMQ</t>
        </is>
      </c>
      <c r="O353" s="48" t="n">
        <v>45795.58333333334</v>
      </c>
      <c r="P353" s="49" t="n">
        <v>45795</v>
      </c>
      <c r="Q353" s="47" t="n">
        <v>2915</v>
      </c>
      <c r="R353" s="47" t="inlineStr">
        <is>
          <t>No Video ID yet</t>
        </is>
      </c>
      <c r="S353" s="49" t="n"/>
      <c r="T353" s="49" t="n"/>
      <c r="U353" s="47" t="inlineStr">
        <is>
          <t>This episode is sponsored by Shopify – Go to to sign up for your $1-per-month trial period. Join J and Ben as they dive into Chapter 26 of the Goblet of Fire and discuss whether or not Moody Slash Barty Crouch would have turned Harry into a dolphin, why Harry didn’t just use the summoning charm on Ron since clearly it works on Salmon, and why you really only need to be half shark for the whole thing to work. Why Neville is ACTUALLY a Samurai [Harry Potter Theory] - THROUGH THE GRIFFIN TOUR MIDWEST TICKETS ARE ON SALE RIGHT NOW St. Louis, MO - 9/17a 04:52- Chapter Breakdown 1:02:25 - Ad Break (Shopify) 1:04:14 - More Chapter Breakdown 2:01:55 - Closing Thoughts and Review</t>
        </is>
      </c>
      <c r="V353" s="47">
        <f>IF(AND(P353&gt;=Calendar!$K$2,P353&lt;EDATE(Calendar!$K$2,1),OR(Calendar!$K$4="*",N353=Calendar!$K$4)),P353*100+COUNTIFS($P$6:$P$3267,P353,$Q$6:$Q$3267,"&lt;="&amp;Q353,$N$6:$N$3267,Calendar!$K$4),"")</f>
        <v/>
      </c>
      <c r="W353" s="47">
        <f>IF(AND(B353=Queue!$C$4,OR(Queue!$K$4="*",N353=Queue!$K$4)),Q353,"")</f>
        <v/>
      </c>
    </row>
    <row r="354">
      <c r="A354" s="38">
        <f>IF(M354="","",HYPERLINK("https://www.youtube.com/watch?v="&amp;M354,"▶"))</f>
        <v/>
      </c>
      <c r="B354" s="39">
        <f>IF(C354&lt;&gt;"",C354,IF(P354&lt;=IFERROR(INDEX(tblChannels[Watched Through],MATCH(N354,tblChannels[Channel ID],0)),0),"Watched","Unwatched"))</f>
        <v/>
      </c>
      <c r="C354" s="40" t="n"/>
      <c r="D354" s="41" t="n"/>
      <c r="E354" s="42" t="n">
        <v>45793.67222222222</v>
      </c>
      <c r="F354" s="50" t="inlineStr">
        <is>
          <t>Super Carlin Brothers</t>
        </is>
      </c>
      <c r="G354" t="inlineStr">
        <is>
          <t>What If Ron's Wand NEVER Broke | Harry Potter Film Theory</t>
        </is>
      </c>
      <c r="H354" s="44" t="n">
        <v>0.01273148148148148</v>
      </c>
      <c r="I354" s="45" t="n">
        <v>89810</v>
      </c>
      <c r="J354" s="45" t="n">
        <v>4193</v>
      </c>
      <c r="K354" s="45" t="n">
        <v>472</v>
      </c>
      <c r="L354" s="46" t="n"/>
      <c r="M354" s="47" t="n"/>
      <c r="N354" s="47" t="inlineStr">
        <is>
          <t>UCKZo4N0lVPccBkSiuyVh4yg</t>
        </is>
      </c>
      <c r="O354" s="48" t="n">
        <v>45793.83888888889</v>
      </c>
      <c r="P354" s="49" t="n">
        <v>45793</v>
      </c>
      <c r="Q354" s="47" t="n">
        <v>2914</v>
      </c>
      <c r="R354" s="47" t="inlineStr">
        <is>
          <t>No Video ID yet</t>
        </is>
      </c>
      <c r="S354" s="49" t="n"/>
      <c r="T354" s="49" t="n"/>
      <c r="U354" s="47" t="inlineStr">
        <is>
          <t>This episode is sponsored by BetterHelp. Go to to get 10% off your first month. Go to to sign up for your $1-per-month trial period. Today Ben dives into the Wizarding World of Harry Potter to find out what would have happened if Ron's Wand Never broke in the 2nd year! Would Lockhart get away? Does Tom Riddle come back? Does the Basilisk live?!</t>
        </is>
      </c>
      <c r="V354" s="47">
        <f>IF(AND(P354&gt;=Calendar!$K$2,P354&lt;EDATE(Calendar!$K$2,1),OR(Calendar!$K$4="*",N354=Calendar!$K$4)),P354*100+COUNTIFS($P$6:$P$3267,P354,$Q$6:$Q$3267,"&lt;="&amp;Q354,$N$6:$N$3267,Calendar!$K$4),"")</f>
        <v/>
      </c>
      <c r="W354" s="47">
        <f>IF(AND(B354=Queue!$C$4,OR(Queue!$K$4="*",N354=Queue!$K$4)),Q354,"")</f>
        <v/>
      </c>
    </row>
    <row r="355">
      <c r="A355" s="38">
        <f>IF(M355="","",HYPERLINK("https://www.youtube.com/watch?v="&amp;M355,"▶"))</f>
        <v/>
      </c>
      <c r="B355" s="39">
        <f>IF(C355&lt;&gt;"",C355,IF(P355&lt;=IFERROR(INDEX(tblChannels[Watched Through],MATCH(N355,tblChannels[Channel ID],0)),0),"Watched","Unwatched"))</f>
        <v/>
      </c>
      <c r="C355" s="40" t="n"/>
      <c r="D355" s="41" t="n"/>
      <c r="E355" s="42" t="n">
        <v>45793.41666666666</v>
      </c>
      <c r="F355" s="43" t="inlineStr">
        <is>
          <t>Popcorn Culture</t>
        </is>
      </c>
      <c r="G355" t="inlineStr">
        <is>
          <t>Exit Light | Popcorn Culture</t>
        </is>
      </c>
      <c r="H355" s="44" t="n">
        <v>0.04456018518518518</v>
      </c>
      <c r="I355" s="45" t="n">
        <v>3101</v>
      </c>
      <c r="J355" s="45" t="n">
        <v>162</v>
      </c>
      <c r="K355" s="45" t="n">
        <v>21</v>
      </c>
      <c r="L355" s="46" t="n"/>
      <c r="M355" s="47" t="n"/>
      <c r="N355" s="47" t="inlineStr">
        <is>
          <t>UCHfIbq9thHPC8yrKjAdJgDA</t>
        </is>
      </c>
      <c r="O355" s="48" t="n">
        <v>45793.58333333334</v>
      </c>
      <c r="P355" s="49" t="n">
        <v>45793</v>
      </c>
      <c r="Q355" s="47" t="n">
        <v>2913</v>
      </c>
      <c r="R355" s="47" t="inlineStr">
        <is>
          <t>No Video ID yet</t>
        </is>
      </c>
      <c r="S355" s="49" t="n"/>
      <c r="T355" s="49" t="n"/>
      <c r="U355" s="47" t="inlineStr">
        <is>
          <t>In the 284th episode of the Pop, Ben and J discuss the Metallica concert, car grille hotdogs, dopamine keepitup, and win-win situations. Fans in Lane Stadium Go Crazy to Enter Sandman - Dopamine Nation - Get your tickets for Through the Griffin Tour MIDWEST here: Dopamine Keepitup 00:00 - Intro, Metallica 42:30 - Dopamine Hits</t>
        </is>
      </c>
      <c r="V355" s="47">
        <f>IF(AND(P355&gt;=Calendar!$K$2,P355&lt;EDATE(Calendar!$K$2,1),OR(Calendar!$K$4="*",N355=Calendar!$K$4)),P355*100+COUNTIFS($P$6:$P$3267,P355,$Q$6:$Q$3267,"&lt;="&amp;Q355,$N$6:$N$3267,Calendar!$K$4),"")</f>
        <v/>
      </c>
      <c r="W355" s="47">
        <f>IF(AND(B355=Queue!$C$4,OR(Queue!$K$4="*",N355=Queue!$K$4)),Q355,"")</f>
        <v/>
      </c>
    </row>
    <row r="356">
      <c r="A356" s="38">
        <f>IF(M356="","",HYPERLINK("https://www.youtube.com/watch?v="&amp;M356,"▶"))</f>
        <v/>
      </c>
      <c r="B356" s="39">
        <f>IF(C356&lt;&gt;"",C356,IF(P356&lt;=IFERROR(INDEX(tblChannels[Watched Through],MATCH(N356,tblChannels[Channel ID],0)),0),"Watched","Unwatched"))</f>
        <v/>
      </c>
      <c r="C356" s="40" t="n"/>
      <c r="D356" s="41" t="n"/>
      <c r="E356" s="42" t="n">
        <v>45791.69305555556</v>
      </c>
      <c r="F356" s="50" t="inlineStr">
        <is>
          <t>Super Carlin Brothers</t>
        </is>
      </c>
      <c r="G356" t="inlineStr">
        <is>
          <t>Toy Story 5 NEEDS Andy | Pixar Film Theory</t>
        </is>
      </c>
      <c r="H356" s="44" t="n">
        <v>0.0103125</v>
      </c>
      <c r="I356" s="45" t="n">
        <v>58999</v>
      </c>
      <c r="J356" s="45" t="n">
        <v>2815</v>
      </c>
      <c r="K356" s="45" t="n">
        <v>435</v>
      </c>
      <c r="L356" s="46" t="n"/>
      <c r="M356" s="47" t="n"/>
      <c r="N356" s="47" t="inlineStr">
        <is>
          <t>UCKZo4N0lVPccBkSiuyVh4yg</t>
        </is>
      </c>
      <c r="O356" s="48" t="n">
        <v>45791.85972222222</v>
      </c>
      <c r="P356" s="49" t="n">
        <v>45791</v>
      </c>
      <c r="Q356" s="47" t="n">
        <v>2912</v>
      </c>
      <c r="R356" s="47" t="inlineStr">
        <is>
          <t>No Video ID yet</t>
        </is>
      </c>
      <c r="S356" s="49" t="n"/>
      <c r="T356" s="49" t="n"/>
      <c r="U356" s="47" t="inlineStr">
        <is>
          <t>Today J dives into the Pixar Universe to discuss the future of Toy Story and why Toy Story 5 absolutely NEEDS to bring back Andy Davis! #supercarlinbrothers #Pixar #toystory</t>
        </is>
      </c>
      <c r="V356" s="47">
        <f>IF(AND(P356&gt;=Calendar!$K$2,P356&lt;EDATE(Calendar!$K$2,1),OR(Calendar!$K$4="*",N356=Calendar!$K$4)),P356*100+COUNTIFS($P$6:$P$3267,P356,$Q$6:$Q$3267,"&lt;="&amp;Q356,$N$6:$N$3267,Calendar!$K$4),"")</f>
        <v/>
      </c>
      <c r="W356" s="47">
        <f>IF(AND(B356=Queue!$C$4,OR(Queue!$K$4="*",N356=Queue!$K$4)),Q356,"")</f>
        <v/>
      </c>
    </row>
    <row r="357">
      <c r="A357" s="38">
        <f>IF(M357="","",HYPERLINK("https://www.youtube.com/watch?v="&amp;M357,"▶"))</f>
        <v/>
      </c>
      <c r="B357" s="39">
        <f>IF(C357&lt;&gt;"",C357,IF(P357&lt;=IFERROR(INDEX(tblChannels[Watched Through],MATCH(N357,tblChannels[Channel ID],0)),0),"Watched","Unwatched"))</f>
        <v/>
      </c>
      <c r="C357" s="40" t="n"/>
      <c r="D357" s="41" t="n"/>
      <c r="E357" s="42" t="n">
        <v>45788.41666666666</v>
      </c>
      <c r="F357" s="51" t="inlineStr">
        <is>
          <t>Through The Griffin Door</t>
        </is>
      </c>
      <c r="G357" t="inlineStr">
        <is>
          <t>Chapter 25: The Egg and the Eye | Goblet of Fire</t>
        </is>
      </c>
      <c r="H357" s="44" t="n">
        <v>0.06326388888888888</v>
      </c>
      <c r="I357" s="45" t="n">
        <v>52622</v>
      </c>
      <c r="J357" s="45" t="n">
        <v>1429</v>
      </c>
      <c r="K357" s="45" t="n">
        <v>340</v>
      </c>
      <c r="L357" s="46" t="n"/>
      <c r="M357" s="47" t="n"/>
      <c r="N357" s="47" t="inlineStr">
        <is>
          <t>UCEscP6ETYXWSSvsNrDHekMQ</t>
        </is>
      </c>
      <c r="O357" s="48" t="n">
        <v>45788.58333333334</v>
      </c>
      <c r="P357" s="49" t="n">
        <v>45788</v>
      </c>
      <c r="Q357" s="47" t="n">
        <v>2911</v>
      </c>
      <c r="R357" s="47" t="inlineStr">
        <is>
          <t>No Video ID yet</t>
        </is>
      </c>
      <c r="S357" s="49" t="n"/>
      <c r="T357" s="49" t="n"/>
      <c r="U357" s="47" t="inlineStr">
        <is>
          <t>This episode is sponsored by Pair Eyewear – Be sure to check out Pair Eyewear and get 15% off your first pair when you go to PairEyewear.com and use promo code: 'GRIFFIN' Join J and Ben as they dive into Chapter 25 of the Goblet of Fire and discuss naked pool time, ridiculous passwords, Myrtle being creepy, Filch and Peeves, and Moody/Crouch being sneaky. THROUGH THE GRIFFIN TOUR MIDWEST TICKETS ARE ON SALE RIGHT NOW St. Louis, MO - 9/17a 05:06- Chapter Breakdown 36:13 - Ad Break - Pair Eyewear 38:14 - More Chapter Breakdown 1:22:58 - Closing Thoughts and Review</t>
        </is>
      </c>
      <c r="V357" s="47">
        <f>IF(AND(P357&gt;=Calendar!$K$2,P357&lt;EDATE(Calendar!$K$2,1),OR(Calendar!$K$4="*",N357=Calendar!$K$4)),P357*100+COUNTIFS($P$6:$P$3267,P357,$Q$6:$Q$3267,"&lt;="&amp;Q357,$N$6:$N$3267,Calendar!$K$4),"")</f>
        <v/>
      </c>
      <c r="W357" s="47">
        <f>IF(AND(B357=Queue!$C$4,OR(Queue!$K$4="*",N357=Queue!$K$4)),Q357,"")</f>
        <v/>
      </c>
    </row>
    <row r="358">
      <c r="A358" s="38">
        <f>IF(M358="","",HYPERLINK("https://www.youtube.com/watch?v="&amp;M358,"▶"))</f>
        <v/>
      </c>
      <c r="B358" s="39">
        <f>IF(C358&lt;&gt;"",C358,IF(P358&lt;=IFERROR(INDEX(tblChannels[Watched Through],MATCH(N358,tblChannels[Channel ID],0)),0),"Watched","Unwatched"))</f>
        <v/>
      </c>
      <c r="C358" s="40" t="n"/>
      <c r="D358" s="41" t="n"/>
      <c r="E358" s="42" t="n">
        <v>45787.41736111111</v>
      </c>
      <c r="F358" s="50" t="inlineStr">
        <is>
          <t>Super Carlin Brothers</t>
        </is>
      </c>
      <c r="G358" t="inlineStr">
        <is>
          <t>Through the Griffin Door Supercut: Goblet of Fire Chapters 21-24</t>
        </is>
      </c>
      <c r="H358" s="44" t="n">
        <v>0.2337037037037037</v>
      </c>
      <c r="I358" s="45" t="n">
        <v>16147</v>
      </c>
      <c r="J358" s="45" t="n">
        <v>250</v>
      </c>
      <c r="K358" s="45" t="n">
        <v>59</v>
      </c>
      <c r="L358" s="46" t="n"/>
      <c r="M358" s="47" t="n"/>
      <c r="N358" s="47" t="inlineStr">
        <is>
          <t>UCKZo4N0lVPccBkSiuyVh4yg</t>
        </is>
      </c>
      <c r="O358" s="48" t="n">
        <v>45787.58402777778</v>
      </c>
      <c r="P358" s="49" t="n">
        <v>45787</v>
      </c>
      <c r="Q358" s="47" t="n">
        <v>2910</v>
      </c>
      <c r="R358" s="47" t="inlineStr">
        <is>
          <t>No Video ID yet</t>
        </is>
      </c>
      <c r="S358" s="49" t="n"/>
      <c r="T358" s="49" t="n"/>
      <c r="U358" s="47" t="inlineStr">
        <is>
          <t>0:00:00 - Chapter 22: The Unexpected Task 1:36:07 - Chapter 23: The Yule Ball 3:46:16 - Chapter 24: Rita Skeeter's Scoop</t>
        </is>
      </c>
      <c r="V358" s="47">
        <f>IF(AND(P358&gt;=Calendar!$K$2,P358&lt;EDATE(Calendar!$K$2,1),OR(Calendar!$K$4="*",N358=Calendar!$K$4)),P358*100+COUNTIFS($P$6:$P$3267,P358,$Q$6:$Q$3267,"&lt;="&amp;Q358,$N$6:$N$3267,Calendar!$K$4),"")</f>
        <v/>
      </c>
      <c r="W358" s="47">
        <f>IF(AND(B358=Queue!$C$4,OR(Queue!$K$4="*",N358=Queue!$K$4)),Q358,"")</f>
        <v/>
      </c>
    </row>
    <row r="359">
      <c r="A359" s="38">
        <f>IF(M359="","",HYPERLINK("https://www.youtube.com/watch?v="&amp;M359,"▶"))</f>
        <v/>
      </c>
      <c r="B359" s="39">
        <f>IF(C359&lt;&gt;"",C359,IF(P359&lt;=IFERROR(INDEX(tblChannels[Watched Through],MATCH(N359,tblChannels[Channel ID],0)),0),"Watched","Unwatched"))</f>
        <v/>
      </c>
      <c r="C359" s="40" t="n"/>
      <c r="D359" s="41" t="n"/>
      <c r="E359" s="42" t="n">
        <v>45787.21111111111</v>
      </c>
      <c r="F359" s="52" t="inlineStr">
        <is>
          <t>Super Carlin Gaming</t>
        </is>
      </c>
      <c r="G359" t="inlineStr">
        <is>
          <t>JOURNEY TOGETHER - Pokemon Box Breakers SEASON 15 -  Episode 1 - 05/09/2025</t>
        </is>
      </c>
      <c r="H359" s="44" t="n">
        <v>0.1114583333333333</v>
      </c>
      <c r="I359" s="45" t="n">
        <v>1536</v>
      </c>
      <c r="J359" s="45" t="n">
        <v>48</v>
      </c>
      <c r="K359" s="45" t="n">
        <v>1</v>
      </c>
      <c r="L359" s="46" t="n"/>
      <c r="M359" s="47" t="n"/>
      <c r="N359" s="47" t="inlineStr">
        <is>
          <t>UCor_9jRnNNZVzTuQ92PKsaQ</t>
        </is>
      </c>
      <c r="O359" s="48" t="n">
        <v>45787.37777777778</v>
      </c>
      <c r="P359" s="49" t="n">
        <v>45787</v>
      </c>
      <c r="Q359" s="47" t="n">
        <v>2909</v>
      </c>
      <c r="R359" s="47" t="inlineStr">
        <is>
          <t>No Video ID yet</t>
        </is>
      </c>
      <c r="S359" s="49" t="n"/>
      <c r="T359" s="49" t="n"/>
      <c r="U359" s="47" t="n"/>
      <c r="V359" s="47">
        <f>IF(AND(P359&gt;=Calendar!$K$2,P359&lt;EDATE(Calendar!$K$2,1),OR(Calendar!$K$4="*",N359=Calendar!$K$4)),P359*100+COUNTIFS($P$6:$P$3267,P359,$Q$6:$Q$3267,"&lt;="&amp;Q359,$N$6:$N$3267,Calendar!$K$4),"")</f>
        <v/>
      </c>
      <c r="W359" s="47">
        <f>IF(AND(B359=Queue!$C$4,OR(Queue!$K$4="*",N359=Queue!$K$4)),Q359,"")</f>
        <v/>
      </c>
    </row>
    <row r="360">
      <c r="A360" s="38">
        <f>IF(M360="","",HYPERLINK("https://www.youtube.com/watch?v="&amp;M360,"▶"))</f>
        <v/>
      </c>
      <c r="B360" s="39">
        <f>IF(C360&lt;&gt;"",C360,IF(P360&lt;=IFERROR(INDEX(tblChannels[Watched Through],MATCH(N360,tblChannels[Channel ID],0)),0),"Watched","Unwatched"))</f>
        <v/>
      </c>
      <c r="C360" s="40" t="n"/>
      <c r="D360" s="41" t="n"/>
      <c r="E360" s="42" t="n">
        <v>45786.71041666667</v>
      </c>
      <c r="F360" s="50" t="inlineStr">
        <is>
          <t>Super Carlin Brothers</t>
        </is>
      </c>
      <c r="G360" t="inlineStr">
        <is>
          <t>What If Moody Defeated Barty Crouch Jr? | Harry Potter Film Theory</t>
        </is>
      </c>
      <c r="H360" s="44" t="n">
        <v>0.01237268518518518</v>
      </c>
      <c r="I360" s="45" t="n">
        <v>153960</v>
      </c>
      <c r="J360" s="45" t="n">
        <v>6087</v>
      </c>
      <c r="K360" s="45" t="n">
        <v>794</v>
      </c>
      <c r="L360" s="46" t="n"/>
      <c r="M360" s="47" t="n"/>
      <c r="N360" s="47" t="inlineStr">
        <is>
          <t>UCKZo4N0lVPccBkSiuyVh4yg</t>
        </is>
      </c>
      <c r="O360" s="48" t="n">
        <v>45786.87708333333</v>
      </c>
      <c r="P360" s="49" t="n">
        <v>45786</v>
      </c>
      <c r="Q360" s="47" t="n">
        <v>2908</v>
      </c>
      <c r="R360" s="47" t="inlineStr">
        <is>
          <t>No Video ID yet</t>
        </is>
      </c>
      <c r="S360" s="49" t="n"/>
      <c r="T360" s="49" t="n"/>
      <c r="U360" s="47" t="inlineStr">
        <is>
          <t>This episode is sponsored by BetterHelp - go to to get 10% off your first month. Today J dives into the Wizarding World of Harry Potter to find out: What If Moody had never been captured and just defeated Wormtail and Barty Crouch Jr.? Does Voldemort ever come back? Does Harry live a normal life? Does CEDRIC Live???</t>
        </is>
      </c>
      <c r="V360" s="47">
        <f>IF(AND(P360&gt;=Calendar!$K$2,P360&lt;EDATE(Calendar!$K$2,1),OR(Calendar!$K$4="*",N360=Calendar!$K$4)),P360*100+COUNTIFS($P$6:$P$3267,P360,$Q$6:$Q$3267,"&lt;="&amp;Q360,$N$6:$N$3267,Calendar!$K$4),"")</f>
        <v/>
      </c>
      <c r="W360" s="47">
        <f>IF(AND(B360=Queue!$C$4,OR(Queue!$K$4="*",N360=Queue!$K$4)),Q360,"")</f>
        <v/>
      </c>
    </row>
    <row r="361">
      <c r="A361" s="38">
        <f>IF(M361="","",HYPERLINK("https://www.youtube.com/watch?v="&amp;M361,"▶"))</f>
        <v/>
      </c>
      <c r="B361" s="39">
        <f>IF(C361&lt;&gt;"",C361,IF(P361&lt;=IFERROR(INDEX(tblChannels[Watched Through],MATCH(N361,tblChannels[Channel ID],0)),0),"Watched","Unwatched"))</f>
        <v/>
      </c>
      <c r="C361" s="40" t="n"/>
      <c r="D361" s="41" t="n"/>
      <c r="E361" s="42" t="n">
        <v>45786.5</v>
      </c>
      <c r="F361" s="50" t="inlineStr">
        <is>
          <t>Super Carlin Brothers</t>
        </is>
      </c>
      <c r="G361" t="inlineStr">
        <is>
          <t>Harry IS The Sorcerer’s Stone #harrypotter</t>
        </is>
      </c>
      <c r="H361" s="44" t="n">
        <v>0.002083333333333333</v>
      </c>
      <c r="I361" s="45" t="n">
        <v>192775</v>
      </c>
      <c r="J361" s="45" t="n">
        <v>12253</v>
      </c>
      <c r="K361" s="45" t="n">
        <v>161</v>
      </c>
      <c r="L361" s="46" t="n"/>
      <c r="M361" s="47" t="n"/>
      <c r="N361" s="47" t="inlineStr">
        <is>
          <t>UCKZo4N0lVPccBkSiuyVh4yg</t>
        </is>
      </c>
      <c r="O361" s="48" t="n">
        <v>45786.66666666666</v>
      </c>
      <c r="P361" s="49" t="n">
        <v>45786</v>
      </c>
      <c r="Q361" s="47" t="n">
        <v>2907</v>
      </c>
      <c r="R361" s="47" t="inlineStr">
        <is>
          <t>No Video ID yet</t>
        </is>
      </c>
      <c r="S361" s="49" t="n"/>
      <c r="T361" s="49" t="n"/>
      <c r="U361" s="47" t="inlineStr">
        <is>
          <t>Harry Potter may not use the Sorcerer's Stone but he doesn't need to because he is a living, walking, talking version of the stone himself!</t>
        </is>
      </c>
      <c r="V361" s="47">
        <f>IF(AND(P361&gt;=Calendar!$K$2,P361&lt;EDATE(Calendar!$K$2,1),OR(Calendar!$K$4="*",N361=Calendar!$K$4)),P361*100+COUNTIFS($P$6:$P$3267,P361,$Q$6:$Q$3267,"&lt;="&amp;Q361,$N$6:$N$3267,Calendar!$K$4),"")</f>
        <v/>
      </c>
      <c r="W361" s="47">
        <f>IF(AND(B361=Queue!$C$4,OR(Queue!$K$4="*",N361=Queue!$K$4)),Q361,"")</f>
        <v/>
      </c>
    </row>
    <row r="362">
      <c r="A362" s="38">
        <f>IF(M362="","",HYPERLINK("https://www.youtube.com/watch?v="&amp;M362,"▶"))</f>
        <v/>
      </c>
      <c r="B362" s="39">
        <f>IF(C362&lt;&gt;"",C362,IF(P362&lt;=IFERROR(INDEX(tblChannels[Watched Through],MATCH(N362,tblChannels[Channel ID],0)),0),"Watched","Unwatched"))</f>
        <v/>
      </c>
      <c r="C362" s="40" t="n"/>
      <c r="D362" s="41" t="n"/>
      <c r="E362" s="42" t="n">
        <v>45786.41666666666</v>
      </c>
      <c r="F362" s="43" t="inlineStr">
        <is>
          <t>Popcorn Culture</t>
        </is>
      </c>
      <c r="G362" t="inlineStr">
        <is>
          <t>J DID A TRIATHLON!! | Popcorn Culture</t>
        </is>
      </c>
      <c r="H362" s="44" t="n">
        <v>0.0461574074074074</v>
      </c>
      <c r="I362" s="45" t="n">
        <v>3254</v>
      </c>
      <c r="J362" s="45" t="n">
        <v>158</v>
      </c>
      <c r="K362" s="45" t="n">
        <v>16</v>
      </c>
      <c r="L362" s="46" t="n"/>
      <c r="M362" s="47" t="n"/>
      <c r="N362" s="47" t="inlineStr">
        <is>
          <t>UCHfIbq9thHPC8yrKjAdJgDA</t>
        </is>
      </c>
      <c r="O362" s="48" t="n">
        <v>45786.58333333334</v>
      </c>
      <c r="P362" s="49" t="n">
        <v>45786</v>
      </c>
      <c r="Q362" s="47" t="n">
        <v>2906</v>
      </c>
      <c r="R362" s="47" t="inlineStr">
        <is>
          <t>No Video ID yet</t>
        </is>
      </c>
      <c r="S362" s="49" t="n"/>
      <c r="T362" s="49" t="n"/>
      <c r="U362" s="47" t="inlineStr">
        <is>
          <t>IN the 283rd episode of the Pop, Ben and J discuss J’s triathlon experience, chasing the novelty of change, tricking out Ben’s car and J’s garage. Get your tickets for Through the Griffin Tour MIDWEST here: The Novelty of Change 00:00 - Intro, J’s Triathlon! 37:47 - Ben’s Truck and Change</t>
        </is>
      </c>
      <c r="V362" s="47">
        <f>IF(AND(P362&gt;=Calendar!$K$2,P362&lt;EDATE(Calendar!$K$2,1),OR(Calendar!$K$4="*",N362=Calendar!$K$4)),P362*100+COUNTIFS($P$6:$P$3267,P362,$Q$6:$Q$3267,"&lt;="&amp;Q362,$N$6:$N$3267,Calendar!$K$4),"")</f>
        <v/>
      </c>
      <c r="W362" s="47">
        <f>IF(AND(B362=Queue!$C$4,OR(Queue!$K$4="*",N362=Queue!$K$4)),Q362,"")</f>
        <v/>
      </c>
    </row>
    <row r="363">
      <c r="A363" s="38">
        <f>IF(M363="","",HYPERLINK("https://www.youtube.com/watch?v="&amp;M363,"▶"))</f>
        <v/>
      </c>
      <c r="B363" s="39">
        <f>IF(C363&lt;&gt;"",C363,IF(P363&lt;=IFERROR(INDEX(tblChannels[Watched Through],MATCH(N363,tblChannels[Channel ID],0)),0),"Watched","Unwatched"))</f>
        <v/>
      </c>
      <c r="C363" s="40" t="n"/>
      <c r="D363" s="41" t="n"/>
      <c r="E363" s="42" t="n">
        <v>45784.58472222222</v>
      </c>
      <c r="F363" s="50" t="inlineStr">
        <is>
          <t>Super Carlin Brothers</t>
        </is>
      </c>
      <c r="G363" t="inlineStr">
        <is>
          <t>Pedro IS Casita! 🕯️ #disney</t>
        </is>
      </c>
      <c r="H363" s="44" t="n">
        <v>0.002083333333333333</v>
      </c>
      <c r="I363" s="45" t="n">
        <v>75558</v>
      </c>
      <c r="J363" s="45" t="n">
        <v>6699</v>
      </c>
      <c r="K363" s="45" t="n">
        <v>85</v>
      </c>
      <c r="L363" s="46" t="n"/>
      <c r="M363" s="47" t="n"/>
      <c r="N363" s="47" t="inlineStr">
        <is>
          <t>UCKZo4N0lVPccBkSiuyVh4yg</t>
        </is>
      </c>
      <c r="O363" s="48" t="n">
        <v>45784.75138888889</v>
      </c>
      <c r="P363" s="49" t="n">
        <v>45784</v>
      </c>
      <c r="Q363" s="47" t="n">
        <v>2905</v>
      </c>
      <c r="R363" s="47" t="inlineStr">
        <is>
          <t>No Video ID yet</t>
        </is>
      </c>
      <c r="S363" s="49" t="n"/>
      <c r="T363" s="49" t="n"/>
      <c r="U363" s="47" t="inlineStr">
        <is>
          <t>Did Pedro become Casita in Encanto after he sacrificed himself to give his family a miracle?</t>
        </is>
      </c>
      <c r="V363" s="47">
        <f>IF(AND(P363&gt;=Calendar!$K$2,P363&lt;EDATE(Calendar!$K$2,1),OR(Calendar!$K$4="*",N363=Calendar!$K$4)),P363*100+COUNTIFS($P$6:$P$3267,P363,$Q$6:$Q$3267,"&lt;="&amp;Q363,$N$6:$N$3267,Calendar!$K$4),"")</f>
        <v/>
      </c>
      <c r="W363" s="47">
        <f>IF(AND(B363=Queue!$C$4,OR(Queue!$K$4="*",N363=Queue!$K$4)),Q363,"")</f>
        <v/>
      </c>
    </row>
    <row r="364">
      <c r="A364" s="38">
        <f>IF(M364="","",HYPERLINK("https://www.youtube.com/watch?v="&amp;M364,"▶"))</f>
        <v/>
      </c>
      <c r="B364" s="39">
        <f>IF(C364&lt;&gt;"",C364,IF(P364&lt;=IFERROR(INDEX(tblChannels[Watched Through],MATCH(N364,tblChannels[Channel ID],0)),0),"Watched","Unwatched"))</f>
        <v/>
      </c>
      <c r="C364" s="40" t="n"/>
      <c r="D364" s="41" t="n"/>
      <c r="E364" s="42" t="n">
        <v>45784.58125</v>
      </c>
      <c r="F364" s="50" t="inlineStr">
        <is>
          <t>Super Carlin Brothers</t>
        </is>
      </c>
      <c r="G364" t="inlineStr">
        <is>
          <t>J vs Ben: HARDEST Harry Potter First Chapters TRIVIA Quiz</t>
        </is>
      </c>
      <c r="H364" s="44" t="n">
        <v>0.02950231481481481</v>
      </c>
      <c r="I364" s="45" t="n">
        <v>114994</v>
      </c>
      <c r="J364" s="45" t="n">
        <v>3715</v>
      </c>
      <c r="K364" s="45" t="n">
        <v>470</v>
      </c>
      <c r="L364" s="46" t="n"/>
      <c r="M364" s="47" t="n"/>
      <c r="N364" s="47" t="inlineStr">
        <is>
          <t>UCKZo4N0lVPccBkSiuyVh4yg</t>
        </is>
      </c>
      <c r="O364" s="48" t="n">
        <v>45784.74791666667</v>
      </c>
      <c r="P364" s="49" t="n">
        <v>45784</v>
      </c>
      <c r="Q364" s="47" t="n">
        <v>2904</v>
      </c>
      <c r="R364" s="47" t="inlineStr">
        <is>
          <t>No Video ID yet</t>
        </is>
      </c>
      <c r="S364" s="49" t="n"/>
      <c r="T364" s="49" t="n"/>
      <c r="U364" s="47" t="inlineStr">
        <is>
          <t>Go to and use code jvsb50off to get 50% off and free shipping on your first box. Today J and Ben face off to find out who knows more about what happens in the First Chapter of each Harry Potter book! From The Boy Who Lived to Dark Lord Ascending we cover them all! Play Along With Us :: Become a Quiz Master ::</t>
        </is>
      </c>
      <c r="V364" s="47">
        <f>IF(AND(P364&gt;=Calendar!$K$2,P364&lt;EDATE(Calendar!$K$2,1),OR(Calendar!$K$4="*",N364=Calendar!$K$4)),P364*100+COUNTIFS($P$6:$P$3267,P364,$Q$6:$Q$3267,"&lt;="&amp;Q364,$N$6:$N$3267,Calendar!$K$4),"")</f>
        <v/>
      </c>
      <c r="W364" s="47">
        <f>IF(AND(B364=Queue!$C$4,OR(Queue!$K$4="*",N364=Queue!$K$4)),Q364,"")</f>
        <v/>
      </c>
    </row>
    <row r="365">
      <c r="A365" s="38">
        <f>IF(M365="","",HYPERLINK("https://www.youtube.com/watch?v="&amp;M365,"▶"))</f>
        <v/>
      </c>
      <c r="B365" s="39">
        <f>IF(C365&lt;&gt;"",C365,IF(P365&lt;=IFERROR(INDEX(tblChannels[Watched Through],MATCH(N365,tblChannels[Channel ID],0)),0),"Watched","Unwatched"))</f>
        <v/>
      </c>
      <c r="C365" s="40" t="n"/>
      <c r="D365" s="41" t="n"/>
      <c r="E365" s="42" t="n">
        <v>45782.68680555555</v>
      </c>
      <c r="F365" s="50" t="inlineStr">
        <is>
          <t>Super Carlin Brothers</t>
        </is>
      </c>
      <c r="G365" t="inlineStr">
        <is>
          <t>Hans Is A Personality Mirror #disney</t>
        </is>
      </c>
      <c r="H365" s="44" t="n">
        <v>0.001608796296296296</v>
      </c>
      <c r="I365" s="45" t="n">
        <v>1236816</v>
      </c>
      <c r="J365" s="45" t="n">
        <v>129881</v>
      </c>
      <c r="K365" s="45" t="n">
        <v>823</v>
      </c>
      <c r="L365" s="46" t="n"/>
      <c r="M365" s="47" t="n"/>
      <c r="N365" s="47" t="inlineStr">
        <is>
          <t>UCKZo4N0lVPccBkSiuyVh4yg</t>
        </is>
      </c>
      <c r="O365" s="48" t="n">
        <v>45782.85347222222</v>
      </c>
      <c r="P365" s="49" t="n">
        <v>45782</v>
      </c>
      <c r="Q365" s="47" t="n">
        <v>2903</v>
      </c>
      <c r="R365" s="47" t="inlineStr">
        <is>
          <t>No Video ID yet</t>
        </is>
      </c>
      <c r="S365" s="49" t="n"/>
      <c r="T365" s="49" t="n"/>
      <c r="U365" s="47" t="inlineStr">
        <is>
          <t>Hans from Frozen is a Mirror that reflects whatever personality he is currently facing. You're happy? He's Happy! You're Mad? He's Mad! But what happens when he sees his own reflection...?</t>
        </is>
      </c>
      <c r="V365" s="47">
        <f>IF(AND(P365&gt;=Calendar!$K$2,P365&lt;EDATE(Calendar!$K$2,1),OR(Calendar!$K$4="*",N365=Calendar!$K$4)),P365*100+COUNTIFS($P$6:$P$3267,P365,$Q$6:$Q$3267,"&lt;="&amp;Q365,$N$6:$N$3267,Calendar!$K$4),"")</f>
        <v/>
      </c>
      <c r="W365" s="47">
        <f>IF(AND(B365=Queue!$C$4,OR(Queue!$K$4="*",N365=Queue!$K$4)),Q365,"")</f>
        <v/>
      </c>
    </row>
    <row r="366">
      <c r="A366" s="38">
        <f>IF(M366="","",HYPERLINK("https://www.youtube.com/watch?v="&amp;M366,"▶"))</f>
        <v/>
      </c>
      <c r="B366" s="39">
        <f>IF(C366&lt;&gt;"",C366,IF(P366&lt;=IFERROR(INDEX(tblChannels[Watched Through],MATCH(N366,tblChannels[Channel ID],0)),0),"Watched","Unwatched"))</f>
        <v/>
      </c>
      <c r="C366" s="40" t="n"/>
      <c r="D366" s="41" t="n"/>
      <c r="E366" s="42" t="n">
        <v>45781.41666666666</v>
      </c>
      <c r="F366" s="51" t="inlineStr">
        <is>
          <t>Through The Griffin Door</t>
        </is>
      </c>
      <c r="G366" t="inlineStr">
        <is>
          <t>Chapter 24: Rita Skeeter’s Scoop | Goblet of Fire</t>
        </is>
      </c>
      <c r="H366" s="44" t="n">
        <v>0.07656250000000001</v>
      </c>
      <c r="I366" s="45" t="n">
        <v>58593</v>
      </c>
      <c r="J366" s="45" t="n">
        <v>1493</v>
      </c>
      <c r="K366" s="45" t="n">
        <v>354</v>
      </c>
      <c r="L366" s="46" t="n"/>
      <c r="M366" s="47" t="n"/>
      <c r="N366" s="47" t="inlineStr">
        <is>
          <t>UCEscP6ETYXWSSvsNrDHekMQ</t>
        </is>
      </c>
      <c r="O366" s="48" t="n">
        <v>45781.58333333334</v>
      </c>
      <c r="P366" s="49" t="n">
        <v>45781</v>
      </c>
      <c r="Q366" s="47" t="n">
        <v>2902</v>
      </c>
      <c r="R366" s="47" t="inlineStr">
        <is>
          <t>No Video ID yet</t>
        </is>
      </c>
      <c r="S366" s="49" t="n"/>
      <c r="T366" s="49" t="n"/>
      <c r="U366" s="47" t="inlineStr">
        <is>
          <t>Join J and Ben as they dive into Chapter 24 of the Goblet of Fire and discuss post-ball debriefs, hand saw sounds, Prof. Grubbly-Plank, Rita’s article about Hagrid, cold water, running into Ludo Bagman, and Dumbeldore being unhinged. THROUGH THE GRIFFIN TOUR MIDWEST TICKETS ARE ON SALE RIGHT NOW St. Louis, MO - 9/17a Watch on Youtube: Want more Harry Potter Content? Harry Potter Theories: Dumbledore’s Big Plan: What If Harry Was in Slytherin: 06:14- Chapter Breakdown 1:42:30 - Closing Thoughts and Review</t>
        </is>
      </c>
      <c r="V366" s="47">
        <f>IF(AND(P366&gt;=Calendar!$K$2,P366&lt;EDATE(Calendar!$K$2,1),OR(Calendar!$K$4="*",N366=Calendar!$K$4)),P366*100+COUNTIFS($P$6:$P$3267,P366,$Q$6:$Q$3267,"&lt;="&amp;Q366,$N$6:$N$3267,Calendar!$K$4),"")</f>
        <v/>
      </c>
      <c r="W366" s="47">
        <f>IF(AND(B366=Queue!$C$4,OR(Queue!$K$4="*",N366=Queue!$K$4)),Q366,"")</f>
        <v/>
      </c>
    </row>
    <row r="367">
      <c r="A367" s="38">
        <f>IF(M367="","",HYPERLINK("https://www.youtube.com/watch?v="&amp;M367,"▶"))</f>
        <v/>
      </c>
      <c r="B367" s="39">
        <f>IF(C367&lt;&gt;"",C367,IF(P367&lt;=IFERROR(INDEX(tblChannels[Watched Through],MATCH(N367,tblChannels[Channel ID],0)),0),"Watched","Unwatched"))</f>
        <v/>
      </c>
      <c r="C367" s="40" t="n"/>
      <c r="D367" s="41" t="n"/>
      <c r="E367" s="42" t="n">
        <v>45779.76458333333</v>
      </c>
      <c r="F367" s="50" t="inlineStr">
        <is>
          <t>Super Carlin Brothers</t>
        </is>
      </c>
      <c r="G367" t="inlineStr">
        <is>
          <t>Mother Gothel COACHES The Other Disney Villains | Disney Film Theory</t>
        </is>
      </c>
      <c r="H367" s="44" t="n">
        <v>0.01373842592592593</v>
      </c>
      <c r="I367" s="45" t="n">
        <v>53151</v>
      </c>
      <c r="J367" s="45" t="n">
        <v>2746</v>
      </c>
      <c r="K367" s="45" t="n">
        <v>364</v>
      </c>
      <c r="L367" s="46" t="n"/>
      <c r="M367" s="47" t="n"/>
      <c r="N367" s="47" t="inlineStr">
        <is>
          <t>UCKZo4N0lVPccBkSiuyVh4yg</t>
        </is>
      </c>
      <c r="O367" s="48" t="n">
        <v>45779.93125</v>
      </c>
      <c r="P367" s="49" t="n">
        <v>45779</v>
      </c>
      <c r="Q367" s="47" t="n">
        <v>2901</v>
      </c>
      <c r="R367" s="47" t="inlineStr">
        <is>
          <t>No Video ID yet</t>
        </is>
      </c>
      <c r="S367" s="49" t="n"/>
      <c r="T367" s="49" t="n"/>
      <c r="U367" s="47" t="inlineStr">
        <is>
          <t>This episode is sponsored by BetterHelp – Go to to get 10% off your first month. This episode is sponsored by Aura Frames – Go to and use code SCB to get $35-off plus free shipping on their best-selling Carver Mat frame. Today Ben dives into the World of Disney to reveal Mother Gothel’s BIG PLAN to build herself an army and train the other Disney Villains like Jafar, The Evil Queen, Claude Frollo, The Beast and Maleficent! #supercarlinbrothers #Disney</t>
        </is>
      </c>
      <c r="V367" s="47">
        <f>IF(AND(P367&gt;=Calendar!$K$2,P367&lt;EDATE(Calendar!$K$2,1),OR(Calendar!$K$4="*",N367=Calendar!$K$4)),P367*100+COUNTIFS($P$6:$P$3267,P367,$Q$6:$Q$3267,"&lt;="&amp;Q367,$N$6:$N$3267,Calendar!$K$4),"")</f>
        <v/>
      </c>
      <c r="W367" s="47">
        <f>IF(AND(B367=Queue!$C$4,OR(Queue!$K$4="*",N367=Queue!$K$4)),Q367,"")</f>
        <v/>
      </c>
    </row>
    <row r="368">
      <c r="A368" s="38">
        <f>IF(M368="","",HYPERLINK("https://www.youtube.com/watch?v="&amp;M368,"▶"))</f>
        <v/>
      </c>
      <c r="B368" s="39">
        <f>IF(C368&lt;&gt;"",C368,IF(P368&lt;=IFERROR(INDEX(tblChannels[Watched Through],MATCH(N368,tblChannels[Channel ID],0)),0),"Watched","Unwatched"))</f>
        <v/>
      </c>
      <c r="C368" s="40" t="n"/>
      <c r="D368" s="41" t="n"/>
      <c r="E368" s="42" t="n">
        <v>45779.69930555556</v>
      </c>
      <c r="F368" s="50" t="inlineStr">
        <is>
          <t>Super Carlin Brothers</t>
        </is>
      </c>
      <c r="G368" t="inlineStr">
        <is>
          <t>Ty Lee Is An Air Nomad! #avatarthelastairbender</t>
        </is>
      </c>
      <c r="H368" s="44" t="n">
        <v>0.002083333333333333</v>
      </c>
      <c r="I368" s="45" t="n">
        <v>635991</v>
      </c>
      <c r="J368" s="45" t="n">
        <v>45085</v>
      </c>
      <c r="K368" s="45" t="n">
        <v>380</v>
      </c>
      <c r="L368" s="46" t="n"/>
      <c r="M368" s="47" t="n"/>
      <c r="N368" s="47" t="inlineStr">
        <is>
          <t>UCKZo4N0lVPccBkSiuyVh4yg</t>
        </is>
      </c>
      <c r="O368" s="48" t="n">
        <v>45779.86597222222</v>
      </c>
      <c r="P368" s="49" t="n">
        <v>45779</v>
      </c>
      <c r="Q368" s="47" t="n">
        <v>2900</v>
      </c>
      <c r="R368" s="47" t="inlineStr">
        <is>
          <t>No Video ID yet</t>
        </is>
      </c>
      <c r="S368" s="49" t="n"/>
      <c r="T368" s="49" t="n"/>
      <c r="U368" s="47" t="inlineStr">
        <is>
          <t>Ty Lee may live in and fight for the Fire Nation, but she is almost certainly a descendant of the Air Nomads. #avatarthelastairbender</t>
        </is>
      </c>
      <c r="V368" s="47">
        <f>IF(AND(P368&gt;=Calendar!$K$2,P368&lt;EDATE(Calendar!$K$2,1),OR(Calendar!$K$4="*",N368=Calendar!$K$4)),P368*100+COUNTIFS($P$6:$P$3267,P368,$Q$6:$Q$3267,"&lt;="&amp;Q368,$N$6:$N$3267,Calendar!$K$4),"")</f>
        <v/>
      </c>
      <c r="W368" s="47">
        <f>IF(AND(B368=Queue!$C$4,OR(Queue!$K$4="*",N368=Queue!$K$4)),Q368,"")</f>
        <v/>
      </c>
    </row>
    <row r="369">
      <c r="A369" s="38">
        <f>IF(M369="","",HYPERLINK("https://www.youtube.com/watch?v="&amp;M369,"▶"))</f>
        <v/>
      </c>
      <c r="B369" s="39">
        <f>IF(C369&lt;&gt;"",C369,IF(P369&lt;=IFERROR(INDEX(tblChannels[Watched Through],MATCH(N369,tblChannels[Channel ID],0)),0),"Watched","Unwatched"))</f>
        <v/>
      </c>
      <c r="C369" s="40" t="n"/>
      <c r="D369" s="41" t="n"/>
      <c r="E369" s="42" t="n">
        <v>45779.41666666666</v>
      </c>
      <c r="F369" s="43" t="inlineStr">
        <is>
          <t>Popcorn Culture</t>
        </is>
      </c>
      <c r="G369" t="inlineStr">
        <is>
          <t>Ben’s Second Tattoo?? | Popcorn Culture</t>
        </is>
      </c>
      <c r="H369" s="44" t="n">
        <v>0.04649305555555556</v>
      </c>
      <c r="I369" s="45" t="n">
        <v>3621</v>
      </c>
      <c r="J369" s="45" t="n">
        <v>170</v>
      </c>
      <c r="K369" s="45" t="n">
        <v>28</v>
      </c>
      <c r="L369" s="46" t="n"/>
      <c r="M369" s="47" t="n"/>
      <c r="N369" s="47" t="inlineStr">
        <is>
          <t>UCHfIbq9thHPC8yrKjAdJgDA</t>
        </is>
      </c>
      <c r="O369" s="48" t="n">
        <v>45779.58333333334</v>
      </c>
      <c r="P369" s="49" t="n">
        <v>45779</v>
      </c>
      <c r="Q369" s="47" t="n">
        <v>2899</v>
      </c>
      <c r="R369" s="47" t="inlineStr">
        <is>
          <t>No Video ID yet</t>
        </is>
      </c>
      <c r="S369" s="49" t="n"/>
      <c r="T369" s="49" t="n"/>
      <c r="U369" s="47" t="inlineStr">
        <is>
          <t>In the 282nd episode of the Pop, Ben and J discuss a typical garden update, camping, cool knives, banana beer, and Ben’s newest tattoo! Most Recent Goblet of FIRE Quiz - Get your tickets for Through the Griffin Tour MIDWEST here: Catching Capitillers 00:00 - Intro, Garden Update 20:39 - Camping 59:00 - Ben’s New Tattoo</t>
        </is>
      </c>
      <c r="V369" s="47">
        <f>IF(AND(P369&gt;=Calendar!$K$2,P369&lt;EDATE(Calendar!$K$2,1),OR(Calendar!$K$4="*",N369=Calendar!$K$4)),P369*100+COUNTIFS($P$6:$P$3267,P369,$Q$6:$Q$3267,"&lt;="&amp;Q369,$N$6:$N$3267,Calendar!$K$4),"")</f>
        <v/>
      </c>
      <c r="W369" s="47">
        <f>IF(AND(B369=Queue!$C$4,OR(Queue!$K$4="*",N369=Queue!$K$4)),Q369,"")</f>
        <v/>
      </c>
    </row>
    <row r="370">
      <c r="A370" s="38">
        <f>IF(M370="","",HYPERLINK("https://www.youtube.com/watch?v="&amp;M370,"▶"))</f>
        <v/>
      </c>
      <c r="B370" s="39">
        <f>IF(C370&lt;&gt;"",C370,IF(P370&lt;=IFERROR(INDEX(tblChannels[Watched Through],MATCH(N370,tblChannels[Channel ID],0)),0),"Watched","Unwatched"))</f>
        <v/>
      </c>
      <c r="C370" s="40" t="n"/>
      <c r="D370" s="41" t="n"/>
      <c r="E370" s="42" t="n">
        <v>45777.70972222222</v>
      </c>
      <c r="F370" s="50" t="inlineStr">
        <is>
          <t>Super Carlin Brothers</t>
        </is>
      </c>
      <c r="G370" t="inlineStr">
        <is>
          <t>How To Get A Perfect Score On Space Ranger Spin #disney</t>
        </is>
      </c>
      <c r="H370" s="44" t="n">
        <v>0.001423611111111111</v>
      </c>
      <c r="I370" s="45" t="n">
        <v>653363</v>
      </c>
      <c r="J370" s="45" t="n">
        <v>40382</v>
      </c>
      <c r="K370" s="45" t="n">
        <v>143</v>
      </c>
      <c r="L370" s="46" t="n"/>
      <c r="M370" s="47" t="n"/>
      <c r="N370" s="47" t="inlineStr">
        <is>
          <t>UCKZo4N0lVPccBkSiuyVh4yg</t>
        </is>
      </c>
      <c r="O370" s="48" t="n">
        <v>45777.87638888889</v>
      </c>
      <c r="P370" s="49" t="n">
        <v>45777</v>
      </c>
      <c r="Q370" s="47" t="n">
        <v>2898</v>
      </c>
      <c r="R370" s="47" t="inlineStr">
        <is>
          <t>No Video ID yet</t>
        </is>
      </c>
      <c r="S370" s="49" t="n"/>
      <c r="T370" s="49" t="n"/>
      <c r="U370" s="47" t="inlineStr">
        <is>
          <t>This ride is about to get an overhaul so NOW is your LAST CHANCE to get a perfect score on Buzz Lightyear: Space Ranger Spin!</t>
        </is>
      </c>
      <c r="V370" s="47">
        <f>IF(AND(P370&gt;=Calendar!$K$2,P370&lt;EDATE(Calendar!$K$2,1),OR(Calendar!$K$4="*",N370=Calendar!$K$4)),P370*100+COUNTIFS($P$6:$P$3267,P370,$Q$6:$Q$3267,"&lt;="&amp;Q370,$N$6:$N$3267,Calendar!$K$4),"")</f>
        <v/>
      </c>
      <c r="W370" s="47">
        <f>IF(AND(B370=Queue!$C$4,OR(Queue!$K$4="*",N370=Queue!$K$4)),Q370,"")</f>
        <v/>
      </c>
    </row>
    <row r="371">
      <c r="A371" s="38">
        <f>IF(M371="","",HYPERLINK("https://www.youtube.com/watch?v="&amp;M371,"▶"))</f>
        <v/>
      </c>
      <c r="B371" s="39">
        <f>IF(C371&lt;&gt;"",C371,IF(P371&lt;=IFERROR(INDEX(tblChannels[Watched Through],MATCH(N371,tblChannels[Channel ID],0)),0),"Watched","Unwatched"))</f>
        <v/>
      </c>
      <c r="C371" s="40" t="n"/>
      <c r="D371" s="41" t="n"/>
      <c r="E371" s="42" t="n">
        <v>45777.70069444444</v>
      </c>
      <c r="F371" s="50" t="inlineStr">
        <is>
          <t>Super Carlin Brothers</t>
        </is>
      </c>
      <c r="G371" t="inlineStr">
        <is>
          <t>Which Bending Style Is Each Harry Potter Character? | Harry Potter Film Theory</t>
        </is>
      </c>
      <c r="H371" s="44" t="n">
        <v>0.01377314814814815</v>
      </c>
      <c r="I371" s="45" t="n">
        <v>52134</v>
      </c>
      <c r="J371" s="45" t="n">
        <v>2789</v>
      </c>
      <c r="K371" s="45" t="n">
        <v>604</v>
      </c>
      <c r="L371" s="46" t="n"/>
      <c r="M371" s="47" t="n"/>
      <c r="N371" s="47" t="inlineStr">
        <is>
          <t>UCKZo4N0lVPccBkSiuyVh4yg</t>
        </is>
      </c>
      <c r="O371" s="48" t="n">
        <v>45777.86736111111</v>
      </c>
      <c r="P371" s="49" t="n">
        <v>45777</v>
      </c>
      <c r="Q371" s="47" t="n">
        <v>2897</v>
      </c>
      <c r="R371" s="47" t="inlineStr">
        <is>
          <t>No Video ID yet</t>
        </is>
      </c>
      <c r="S371" s="49" t="n"/>
      <c r="T371" s="49" t="n"/>
      <c r="U371" s="47" t="inlineStr">
        <is>
          <t>Exclusive $35-off Carver Mat at AuraFrames.com. Promo Code [SCB] Go to and use code SCB to get $35-off plus free shipping on their best-selling Carver Mat frame. Today J dives off a Sky Bison into the worlds of both Harry Potter and Avatar the Last Airbender to find out which bending style each character in Harry Potter would excel in! Is Harry the Avatar? Are all Gryffindor’s Fire Benders? Does Bending run in families? Tickets go on-sale Friday, April 25 @ 10am Local Time!</t>
        </is>
      </c>
      <c r="V371" s="47">
        <f>IF(AND(P371&gt;=Calendar!$K$2,P371&lt;EDATE(Calendar!$K$2,1),OR(Calendar!$K$4="*",N371=Calendar!$K$4)),P371*100+COUNTIFS($P$6:$P$3267,P371,$Q$6:$Q$3267,"&lt;="&amp;Q371,$N$6:$N$3267,Calendar!$K$4),"")</f>
        <v/>
      </c>
      <c r="W371" s="47">
        <f>IF(AND(B371=Queue!$C$4,OR(Queue!$K$4="*",N371=Queue!$K$4)),Q371,"")</f>
        <v/>
      </c>
    </row>
    <row r="372">
      <c r="A372" s="38">
        <f>IF(M372="","",HYPERLINK("https://www.youtube.com/watch?v="&amp;M372,"▶"))</f>
        <v/>
      </c>
      <c r="B372" s="39">
        <f>IF(C372&lt;&gt;"",C372,IF(P372&lt;=IFERROR(INDEX(tblChannels[Watched Through],MATCH(N372,tblChannels[Channel ID],0)),0),"Watched","Unwatched"))</f>
        <v/>
      </c>
      <c r="C372" s="40" t="n"/>
      <c r="D372" s="41" t="n"/>
      <c r="E372" s="42" t="n">
        <v>45775.70694444444</v>
      </c>
      <c r="F372" s="50" t="inlineStr">
        <is>
          <t>Super Carlin Brothers</t>
        </is>
      </c>
      <c r="G372" t="inlineStr">
        <is>
          <t>Tadashi Is ALIVE?! #disney</t>
        </is>
      </c>
      <c r="H372" s="44" t="n">
        <v>0.001979166666666667</v>
      </c>
      <c r="I372" s="45" t="n">
        <v>3211193</v>
      </c>
      <c r="J372" s="45" t="n">
        <v>276647</v>
      </c>
      <c r="K372" s="45" t="n">
        <v>2035</v>
      </c>
      <c r="L372" s="46" t="n"/>
      <c r="M372" s="47" t="n"/>
      <c r="N372" s="47" t="inlineStr">
        <is>
          <t>UCKZo4N0lVPccBkSiuyVh4yg</t>
        </is>
      </c>
      <c r="O372" s="48" t="n">
        <v>45775.87361111111</v>
      </c>
      <c r="P372" s="49" t="n">
        <v>45775</v>
      </c>
      <c r="Q372" s="47" t="n">
        <v>2896</v>
      </c>
      <c r="R372" s="47" t="inlineStr">
        <is>
          <t>No Video ID yet</t>
        </is>
      </c>
      <c r="S372" s="49" t="n"/>
      <c r="T372" s="49" t="n"/>
      <c r="U372" s="47" t="inlineStr">
        <is>
          <t>Tadashi, Hiro's older brother in Big Hero 6 and inventor of Baymax is still alive! In fact you might say... Tadashi.. is HERE.</t>
        </is>
      </c>
      <c r="V372" s="47">
        <f>IF(AND(P372&gt;=Calendar!$K$2,P372&lt;EDATE(Calendar!$K$2,1),OR(Calendar!$K$4="*",N372=Calendar!$K$4)),P372*100+COUNTIFS($P$6:$P$3267,P372,$Q$6:$Q$3267,"&lt;="&amp;Q372,$N$6:$N$3267,Calendar!$K$4),"")</f>
        <v/>
      </c>
      <c r="W372" s="47">
        <f>IF(AND(B372=Queue!$C$4,OR(Queue!$K$4="*",N372=Queue!$K$4)),Q372,"")</f>
        <v/>
      </c>
    </row>
    <row r="373">
      <c r="A373" s="38">
        <f>IF(M373="","",HYPERLINK("https://www.youtube.com/watch?v="&amp;M373,"▶"))</f>
        <v/>
      </c>
      <c r="B373" s="39">
        <f>IF(C373&lt;&gt;"",C373,IF(P373&lt;=IFERROR(INDEX(tblChannels[Watched Through],MATCH(N373,tblChannels[Channel ID],0)),0),"Watched","Unwatched"))</f>
        <v/>
      </c>
      <c r="C373" s="40" t="n"/>
      <c r="D373" s="41" t="n"/>
      <c r="E373" s="42" t="n">
        <v>45774.41666666666</v>
      </c>
      <c r="F373" s="51" t="inlineStr">
        <is>
          <t>Through The Griffin Door</t>
        </is>
      </c>
      <c r="G373" t="inlineStr">
        <is>
          <t>Chapter 23: The Yule Ball | Goblet of Fire</t>
        </is>
      </c>
      <c r="H373" s="44" t="n">
        <v>0.09164351851851851</v>
      </c>
      <c r="I373" s="45" t="n">
        <v>68200</v>
      </c>
      <c r="J373" s="45" t="n">
        <v>1600</v>
      </c>
      <c r="K373" s="45" t="n">
        <v>613</v>
      </c>
      <c r="L373" s="46" t="n"/>
      <c r="M373" s="47" t="n"/>
      <c r="N373" s="47" t="inlineStr">
        <is>
          <t>UCEscP6ETYXWSSvsNrDHekMQ</t>
        </is>
      </c>
      <c r="O373" s="48" t="n">
        <v>45774.58333333334</v>
      </c>
      <c r="P373" s="49" t="n">
        <v>45774</v>
      </c>
      <c r="Q373" s="47" t="n">
        <v>2895</v>
      </c>
      <c r="R373" s="47" t="inlineStr">
        <is>
          <t>No Video ID yet</t>
        </is>
      </c>
      <c r="S373" s="49" t="n"/>
      <c r="T373" s="49" t="n"/>
      <c r="U373" s="47" t="inlineStr">
        <is>
          <t>Head to Prolonlife.com/GRIFFIN to get 15% off AND $40 bonus gift when you subscribe to their 5-Day Program! Join J and Ben as they dive into Chapter 23 of the Goblet of Fire and discuss how Fleur wanted Cedric the entire time, why Harry and Ron couldn’t recognize their own best friend, how many boys go to Beauxbatons, whether or not Madame Maxime has a point, and most importantly, why Snape can’t just get a life. THROUGH THE GRIFFIN TOUR MIDWEST TICKETS ARE ON SALE RIGHT NOW 08:13 - The Dragons Arrive 28:54 - Prolon Life Ad Break 30:34 - More Chapter Breakdown 2:03:40 - Closing Thoughts and Review</t>
        </is>
      </c>
      <c r="V373" s="47">
        <f>IF(AND(P373&gt;=Calendar!$K$2,P373&lt;EDATE(Calendar!$K$2,1),OR(Calendar!$K$4="*",N373=Calendar!$K$4)),P373*100+COUNTIFS($P$6:$P$3267,P373,$Q$6:$Q$3267,"&lt;="&amp;Q373,$N$6:$N$3267,Calendar!$K$4),"")</f>
        <v/>
      </c>
      <c r="W373" s="47">
        <f>IF(AND(B373=Queue!$C$4,OR(Queue!$K$4="*",N373=Queue!$K$4)),Q373,"")</f>
        <v/>
      </c>
    </row>
    <row r="374">
      <c r="A374" s="38">
        <f>IF(M374="","",HYPERLINK("https://www.youtube.com/watch?v="&amp;M374,"▶"))</f>
        <v/>
      </c>
      <c r="B374" s="39">
        <f>IF(C374&lt;&gt;"",C374,IF(P374&lt;=IFERROR(INDEX(tblChannels[Watched Through],MATCH(N374,tblChannels[Channel ID],0)),0),"Watched","Unwatched"))</f>
        <v/>
      </c>
      <c r="C374" s="40" t="n"/>
      <c r="D374" s="41" t="n"/>
      <c r="E374" s="42" t="n">
        <v>45773.2375</v>
      </c>
      <c r="F374" s="52" t="inlineStr">
        <is>
          <t>Super Carlin Gaming</t>
        </is>
      </c>
      <c r="G374" t="inlineStr">
        <is>
          <t>SURGING SPARKS - Pokemon Box Breakers SEASON 14-  Episode 3 - 04/25/2025</t>
        </is>
      </c>
      <c r="H374" s="44" t="n">
        <v>0.1204398148148148</v>
      </c>
      <c r="I374" s="45" t="n">
        <v>1076</v>
      </c>
      <c r="J374" s="45" t="n">
        <v>34</v>
      </c>
      <c r="K374" s="45" t="n">
        <v>9</v>
      </c>
      <c r="L374" s="46" t="n"/>
      <c r="M374" s="47" t="n"/>
      <c r="N374" s="47" t="inlineStr">
        <is>
          <t>UCor_9jRnNNZVzTuQ92PKsaQ</t>
        </is>
      </c>
      <c r="O374" s="48" t="n">
        <v>45773.40416666667</v>
      </c>
      <c r="P374" s="49" t="n">
        <v>45773</v>
      </c>
      <c r="Q374" s="47" t="n">
        <v>2894</v>
      </c>
      <c r="R374" s="47" t="inlineStr">
        <is>
          <t>No Video ID yet</t>
        </is>
      </c>
      <c r="S374" s="49" t="n"/>
      <c r="T374" s="49" t="n"/>
      <c r="U374" s="47" t="n"/>
      <c r="V374" s="47">
        <f>IF(AND(P374&gt;=Calendar!$K$2,P374&lt;EDATE(Calendar!$K$2,1),OR(Calendar!$K$4="*",N374=Calendar!$K$4)),P374*100+COUNTIFS($P$6:$P$3267,P374,$Q$6:$Q$3267,"&lt;="&amp;Q374,$N$6:$N$3267,Calendar!$K$4),"")</f>
        <v/>
      </c>
      <c r="W374" s="47">
        <f>IF(AND(B374=Queue!$C$4,OR(Queue!$K$4="*",N374=Queue!$K$4)),Q374,"")</f>
        <v/>
      </c>
    </row>
    <row r="375">
      <c r="A375" s="38">
        <f>IF(M375="","",HYPERLINK("https://www.youtube.com/watch?v="&amp;M375,"▶"))</f>
        <v/>
      </c>
      <c r="B375" s="39">
        <f>IF(C375&lt;&gt;"",C375,IF(P375&lt;=IFERROR(INDEX(tblChannels[Watched Through],MATCH(N375,tblChannels[Channel ID],0)),0),"Watched","Unwatched"))</f>
        <v/>
      </c>
      <c r="C375" s="40" t="n"/>
      <c r="D375" s="41" t="n"/>
      <c r="E375" s="42" t="n">
        <v>45772.71944444445</v>
      </c>
      <c r="F375" s="50" t="inlineStr">
        <is>
          <t>Super Carlin Brothers</t>
        </is>
      </c>
      <c r="G375" t="inlineStr">
        <is>
          <t>Fleur’s SECRET Crush! | Harry Potter Film Theory</t>
        </is>
      </c>
      <c r="H375" s="44" t="n">
        <v>0.01126157407407407</v>
      </c>
      <c r="I375" s="45" t="n">
        <v>84446</v>
      </c>
      <c r="J375" s="45" t="n">
        <v>3875</v>
      </c>
      <c r="K375" s="45" t="n">
        <v>327</v>
      </c>
      <c r="L375" s="46" t="n"/>
      <c r="M375" s="47" t="n"/>
      <c r="N375" s="47" t="inlineStr">
        <is>
          <t>UCKZo4N0lVPccBkSiuyVh4yg</t>
        </is>
      </c>
      <c r="O375" s="48" t="n">
        <v>45772.88611111111</v>
      </c>
      <c r="P375" s="49" t="n">
        <v>45772</v>
      </c>
      <c r="Q375" s="47" t="n">
        <v>2893</v>
      </c>
      <c r="R375" s="47" t="inlineStr">
        <is>
          <t>No Video ID yet</t>
        </is>
      </c>
      <c r="S375" s="49" t="n"/>
      <c r="T375" s="49" t="n"/>
      <c r="U375" s="47" t="inlineStr">
        <is>
          <t>This episode is sponsored by BetterHelp - go to to get 10% off your first month. Today J dives into the Wizarding World of Harry Potter to discuss the Yule Ball and all the crazy social politics that ensue but most importantly Fleur’s crush and Ron’s TRUE prospects for the dance. Tickets go on-sale Friday, April 25 @ 10am Local Time!</t>
        </is>
      </c>
      <c r="V375" s="47">
        <f>IF(AND(P375&gt;=Calendar!$K$2,P375&lt;EDATE(Calendar!$K$2,1),OR(Calendar!$K$4="*",N375=Calendar!$K$4)),P375*100+COUNTIFS($P$6:$P$3267,P375,$Q$6:$Q$3267,"&lt;="&amp;Q375,$N$6:$N$3267,Calendar!$K$4),"")</f>
        <v/>
      </c>
      <c r="W375" s="47">
        <f>IF(AND(B375=Queue!$C$4,OR(Queue!$K$4="*",N375=Queue!$K$4)),Q375,"")</f>
        <v/>
      </c>
    </row>
    <row r="376">
      <c r="A376" s="38">
        <f>IF(M376="","",HYPERLINK("https://www.youtube.com/watch?v="&amp;M376,"▶"))</f>
        <v/>
      </c>
      <c r="B376" s="39">
        <f>IF(C376&lt;&gt;"",C376,IF(P376&lt;=IFERROR(INDEX(tblChannels[Watched Through],MATCH(N376,tblChannels[Channel ID],0)),0),"Watched","Unwatched"))</f>
        <v/>
      </c>
      <c r="C376" s="40" t="n"/>
      <c r="D376" s="41" t="n"/>
      <c r="E376" s="42" t="n">
        <v>45772.58263888889</v>
      </c>
      <c r="F376" s="50" t="inlineStr">
        <is>
          <t>Super Carlin Brothers</t>
        </is>
      </c>
      <c r="G376" t="inlineStr">
        <is>
          <t>Meg IS Mother Gothel! ☀️ #disney</t>
        </is>
      </c>
      <c r="H376" s="44" t="n">
        <v>0.002025462962962963</v>
      </c>
      <c r="I376" s="45" t="n">
        <v>2338709</v>
      </c>
      <c r="J376" s="45" t="n">
        <v>197942</v>
      </c>
      <c r="K376" s="45" t="n">
        <v>2725</v>
      </c>
      <c r="L376" s="46" t="n"/>
      <c r="M376" s="47" t="n"/>
      <c r="N376" s="47" t="inlineStr">
        <is>
          <t>UCKZo4N0lVPccBkSiuyVh4yg</t>
        </is>
      </c>
      <c r="O376" s="48" t="n">
        <v>45772.74930555555</v>
      </c>
      <c r="P376" s="49" t="n">
        <v>45772</v>
      </c>
      <c r="Q376" s="47" t="n">
        <v>2892</v>
      </c>
      <c r="R376" s="47" t="inlineStr">
        <is>
          <t>No Video ID yet</t>
        </is>
      </c>
      <c r="S376" s="49" t="n"/>
      <c r="T376" s="49" t="n"/>
      <c r="U376" s="47" t="inlineStr">
        <is>
          <t>In Which we prove that Meg from Hercules eventually becomes Mother Gothel from Tangled</t>
        </is>
      </c>
      <c r="V376" s="47">
        <f>IF(AND(P376&gt;=Calendar!$K$2,P376&lt;EDATE(Calendar!$K$2,1),OR(Calendar!$K$4="*",N376=Calendar!$K$4)),P376*100+COUNTIFS($P$6:$P$3267,P376,$Q$6:$Q$3267,"&lt;="&amp;Q376,$N$6:$N$3267,Calendar!$K$4),"")</f>
        <v/>
      </c>
      <c r="W376" s="47">
        <f>IF(AND(B376=Queue!$C$4,OR(Queue!$K$4="*",N376=Queue!$K$4)),Q376,"")</f>
        <v/>
      </c>
    </row>
    <row r="377">
      <c r="A377" s="38">
        <f>IF(M377="","",HYPERLINK("https://www.youtube.com/watch?v="&amp;M377,"▶"))</f>
        <v/>
      </c>
      <c r="B377" s="39">
        <f>IF(C377&lt;&gt;"",C377,IF(P377&lt;=IFERROR(INDEX(tblChannels[Watched Through],MATCH(N377,tblChannels[Channel ID],0)),0),"Watched","Unwatched"))</f>
        <v/>
      </c>
      <c r="C377" s="40" t="n"/>
      <c r="D377" s="41" t="n"/>
      <c r="E377" s="42" t="n">
        <v>45772.41666666666</v>
      </c>
      <c r="F377" s="43" t="inlineStr">
        <is>
          <t>Popcorn Culture</t>
        </is>
      </c>
      <c r="G377" t="inlineStr">
        <is>
          <t>WE WENT TO JAPAN! | Popcorn Culture</t>
        </is>
      </c>
      <c r="H377" s="44" t="n">
        <v>0.05480324074074074</v>
      </c>
      <c r="I377" s="45" t="n">
        <v>4021</v>
      </c>
      <c r="J377" s="45" t="n">
        <v>196</v>
      </c>
      <c r="K377" s="45" t="n">
        <v>29</v>
      </c>
      <c r="L377" s="46" t="n"/>
      <c r="M377" s="47" t="n"/>
      <c r="N377" s="47" t="inlineStr">
        <is>
          <t>UCHfIbq9thHPC8yrKjAdJgDA</t>
        </is>
      </c>
      <c r="O377" s="48" t="n">
        <v>45772.58333333334</v>
      </c>
      <c r="P377" s="49" t="n">
        <v>45772</v>
      </c>
      <c r="Q377" s="47" t="n">
        <v>2891</v>
      </c>
      <c r="R377" s="47" t="inlineStr">
        <is>
          <t>No Video ID yet</t>
        </is>
      </c>
      <c r="S377" s="49" t="n"/>
      <c r="T377" s="49" t="n"/>
      <c r="U377" s="47" t="inlineStr">
        <is>
          <t>In the 281st episode of the Pop, Ben and J discuss STAR WARS CELEBRATION IN JAPAN!!! All the movies they watched on the flight, the Pokemon Center, Meta’s VR Interface, the actual convention, the pins they got (of course) and the Star Wars fandom in general. Get your tickets for Through the Griffin Tour MIDWEST here: 00:00 - Intro, LEAD UP to Japan Travel 08:28 - Traveling TO Japan 23:57 - Being IN Japan 50:74 - The Actual Star Wars Events</t>
        </is>
      </c>
      <c r="V377" s="47">
        <f>IF(AND(P377&gt;=Calendar!$K$2,P377&lt;EDATE(Calendar!$K$2,1),OR(Calendar!$K$4="*",N377=Calendar!$K$4)),P377*100+COUNTIFS($P$6:$P$3267,P377,$Q$6:$Q$3267,"&lt;="&amp;Q377,$N$6:$N$3267,Calendar!$K$4),"")</f>
        <v/>
      </c>
      <c r="W377" s="47">
        <f>IF(AND(B377=Queue!$C$4,OR(Queue!$K$4="*",N377=Queue!$K$4)),Q377,"")</f>
        <v/>
      </c>
    </row>
    <row r="378">
      <c r="A378" s="38">
        <f>IF(M378="","",HYPERLINK("https://www.youtube.com/watch?v="&amp;M378,"▶"))</f>
        <v/>
      </c>
      <c r="B378" s="39">
        <f>IF(C378&lt;&gt;"",C378,IF(P378&lt;=IFERROR(INDEX(tblChannels[Watched Through],MATCH(N378,tblChannels[Channel ID],0)),0),"Watched","Unwatched"))</f>
        <v/>
      </c>
      <c r="C378" s="40" t="n"/>
      <c r="D378" s="41" t="n"/>
      <c r="E378" s="42" t="n">
        <v>45770.70208333333</v>
      </c>
      <c r="F378" s="50" t="inlineStr">
        <is>
          <t>Super Carlin Brothers</t>
        </is>
      </c>
      <c r="G378" t="inlineStr">
        <is>
          <t>J vs Ben: HARDEST Deathly Hallows Part 2 Harry Potter Movie TRIVIA Quiz</t>
        </is>
      </c>
      <c r="H378" s="44" t="n">
        <v>0.02927083333333333</v>
      </c>
      <c r="I378" s="45" t="n">
        <v>104873</v>
      </c>
      <c r="J378" s="45" t="n">
        <v>3918</v>
      </c>
      <c r="K378" s="45" t="n">
        <v>541</v>
      </c>
      <c r="L378" s="46" t="n"/>
      <c r="M378" s="47" t="n"/>
      <c r="N378" s="47" t="inlineStr">
        <is>
          <t>UCKZo4N0lVPccBkSiuyVh4yg</t>
        </is>
      </c>
      <c r="O378" s="48" t="n">
        <v>45770.86875</v>
      </c>
      <c r="P378" s="49" t="n">
        <v>45770</v>
      </c>
      <c r="Q378" s="47" t="n">
        <v>2890</v>
      </c>
      <c r="R378" s="47" t="inlineStr">
        <is>
          <t>No Video ID yet</t>
        </is>
      </c>
      <c r="S378" s="49" t="n"/>
      <c r="T378" s="49" t="n"/>
      <c r="U378" s="47" t="inlineStr">
        <is>
          <t>Go to to get 10 free meals with a free item for life. Tickets go on-sale Friday, April 25 @ 10am Local Time! Today J and Ben faceoff once more for the FINAL Harry Potter Movie Installment of J vs Ben! How will it all play out as they face the daunting questions of the Quiz Masters in Deathly Hallows Part 2!? (and how many times did they say “In the movies!”) Written by :: Quizmasters! Hosted by :: Kangaroo Kat And this I say unto you, for every display of gratitude, those particularly attributed to the levitation of the thumb, a narwhal receives its divine birthright, bestowed onto its brow in the form of a horn. Perhaps.</t>
        </is>
      </c>
      <c r="V378" s="47">
        <f>IF(AND(P378&gt;=Calendar!$K$2,P378&lt;EDATE(Calendar!$K$2,1),OR(Calendar!$K$4="*",N378=Calendar!$K$4)),P378*100+COUNTIFS($P$6:$P$3267,P378,$Q$6:$Q$3267,"&lt;="&amp;Q378,$N$6:$N$3267,Calendar!$K$4),"")</f>
        <v/>
      </c>
      <c r="W378" s="47">
        <f>IF(AND(B378=Queue!$C$4,OR(Queue!$K$4="*",N378=Queue!$K$4)),Q378,"")</f>
        <v/>
      </c>
    </row>
    <row r="379">
      <c r="A379" s="38">
        <f>IF(M379="","",HYPERLINK("https://www.youtube.com/watch?v="&amp;M379,"▶"))</f>
        <v/>
      </c>
      <c r="B379" s="39">
        <f>IF(C379&lt;&gt;"",C379,IF(P379&lt;=IFERROR(INDEX(tblChannels[Watched Through],MATCH(N379,tblChannels[Channel ID],0)),0),"Watched","Unwatched"))</f>
        <v/>
      </c>
      <c r="C379" s="40" t="n"/>
      <c r="D379" s="41" t="n"/>
      <c r="E379" s="42" t="n">
        <v>45770.59236111111</v>
      </c>
      <c r="F379" s="50" t="inlineStr">
        <is>
          <t>Super Carlin Brothers</t>
        </is>
      </c>
      <c r="G379" t="inlineStr">
        <is>
          <t>Why Does Woody Have A Holster? #toystory</t>
        </is>
      </c>
      <c r="H379" s="44" t="n">
        <v>0.001990740740740741</v>
      </c>
      <c r="I379" s="45" t="n">
        <v>8882125</v>
      </c>
      <c r="J379" s="45" t="n">
        <v>534185</v>
      </c>
      <c r="K379" s="45" t="n">
        <v>3410</v>
      </c>
      <c r="L379" s="46" t="n"/>
      <c r="M379" s="47" t="n"/>
      <c r="N379" s="47" t="inlineStr">
        <is>
          <t>UCKZo4N0lVPccBkSiuyVh4yg</t>
        </is>
      </c>
      <c r="O379" s="48" t="n">
        <v>45770.75902777778</v>
      </c>
      <c r="P379" s="49" t="n">
        <v>45770</v>
      </c>
      <c r="Q379" s="47" t="n">
        <v>2889</v>
      </c>
      <c r="R379" s="47" t="inlineStr">
        <is>
          <t>No Video ID yet</t>
        </is>
      </c>
      <c r="S379" s="49" t="n"/>
      <c r="T379" s="49" t="n"/>
      <c r="U379" s="47" t="inlineStr">
        <is>
          <t>Why does Woody in Toy Story have a holster but no gun? Did Andy just lose it.. or is there a more symbolic reason?</t>
        </is>
      </c>
      <c r="V379" s="47">
        <f>IF(AND(P379&gt;=Calendar!$K$2,P379&lt;EDATE(Calendar!$K$2,1),OR(Calendar!$K$4="*",N379=Calendar!$K$4)),P379*100+COUNTIFS($P$6:$P$3267,P379,$Q$6:$Q$3267,"&lt;="&amp;Q379,$N$6:$N$3267,Calendar!$K$4),"")</f>
        <v/>
      </c>
      <c r="W379" s="47">
        <f>IF(AND(B379=Queue!$C$4,OR(Queue!$K$4="*",N379=Queue!$K$4)),Q379,"")</f>
        <v/>
      </c>
    </row>
    <row r="380">
      <c r="A380" s="38">
        <f>IF(M380="","",HYPERLINK("https://www.youtube.com/watch?v="&amp;M380,"▶"))</f>
        <v/>
      </c>
      <c r="B380" s="39">
        <f>IF(C380&lt;&gt;"",C380,IF(P380&lt;=IFERROR(INDEX(tblChannels[Watched Through],MATCH(N380,tblChannels[Channel ID],0)),0),"Watched","Unwatched"))</f>
        <v/>
      </c>
      <c r="C380" s="40" t="n"/>
      <c r="D380" s="41" t="n"/>
      <c r="E380" s="42" t="n">
        <v>45770.45833333334</v>
      </c>
      <c r="F380" s="51" t="inlineStr">
        <is>
          <t>Through The Griffin Door</t>
        </is>
      </c>
      <c r="G380" t="inlineStr">
        <is>
          <t>THROUGH THE GRIFFIN TOUR - MIDWEST!</t>
        </is>
      </c>
      <c r="H380" s="44" t="n">
        <v>0.001284722222222222</v>
      </c>
      <c r="I380" s="45" t="n">
        <v>3054</v>
      </c>
      <c r="J380" s="45" t="n">
        <v>192</v>
      </c>
      <c r="K380" s="45" t="n">
        <v>71</v>
      </c>
      <c r="L380" s="46" t="n"/>
      <c r="M380" s="47" t="n"/>
      <c r="N380" s="47" t="inlineStr">
        <is>
          <t>UCEscP6ETYXWSSvsNrDHekMQ</t>
        </is>
      </c>
      <c r="O380" s="48" t="n">
        <v>45770.625</v>
      </c>
      <c r="P380" s="49" t="n">
        <v>45770</v>
      </c>
      <c r="Q380" s="47" t="n">
        <v>2888</v>
      </c>
      <c r="R380" s="47" t="inlineStr">
        <is>
          <t>No Video ID yet</t>
        </is>
      </c>
      <c r="S380" s="49" t="n"/>
      <c r="T380" s="49" t="n"/>
      <c r="U380" s="47" t="inlineStr">
        <is>
          <t>Hey Griffin Doorks! We are so excited to announce that we will be continuing the Through the Griffin TOUR in the Midwest this September! Tickets go on sale THIS FRIDAY, April 25th at 10:00am LOCAL TIME. You can find the links to each location on our website supercarlinbrothers.com/events VIP tickets will be available yet again for this tour as well for an additional $50! These will include a VIP meet and greet with J and Ben, a signed tour poster and early/premium seating. Each of the websites does their VIP ticket add ons differently so be sure to pay attention to how to add that before you check out! Again, you can get your tickets here: on Friday, April 25th at 10:00am LOCAL TIME. We can’t wait to see you in real life, brother! Indianapolis, IN - 9/16/2025: St. Louis, MO - 9/17/2025: Des Moines, IA - 9/19/2025: St. Paul, MN - 9/20/2025: Milwaukee, WI - 9/21/2025: Chicago, IL - 9/23/2025: Detroit, MI - 9/24/2025: Cleveland, OH - 9/25/2025:</t>
        </is>
      </c>
      <c r="V380" s="47">
        <f>IF(AND(P380&gt;=Calendar!$K$2,P380&lt;EDATE(Calendar!$K$2,1),OR(Calendar!$K$4="*",N380=Calendar!$K$4)),P380*100+COUNTIFS($P$6:$P$3267,P380,$Q$6:$Q$3267,"&lt;="&amp;Q380,$N$6:$N$3267,Calendar!$K$4),"")</f>
        <v/>
      </c>
      <c r="W380" s="47">
        <f>IF(AND(B380=Queue!$C$4,OR(Queue!$K$4="*",N380=Queue!$K$4)),Q380,"")</f>
        <v/>
      </c>
    </row>
    <row r="381">
      <c r="A381" s="38">
        <f>IF(M381="","",HYPERLINK("https://www.youtube.com/watch?v="&amp;M381,"▶"))</f>
        <v/>
      </c>
      <c r="B381" s="39">
        <f>IF(C381&lt;&gt;"",C381,IF(P381&lt;=IFERROR(INDEX(tblChannels[Watched Through],MATCH(N381,tblChannels[Channel ID],0)),0),"Watched","Unwatched"))</f>
        <v/>
      </c>
      <c r="C381" s="40" t="n"/>
      <c r="D381" s="41" t="n"/>
      <c r="E381" s="42" t="n">
        <v>45770.45833333334</v>
      </c>
      <c r="F381" s="50" t="inlineStr">
        <is>
          <t>Super Carlin Brothers</t>
        </is>
      </c>
      <c r="G381" t="inlineStr">
        <is>
          <t>THROUGH THE GRIFFIN TOUR - MIDWEST!</t>
        </is>
      </c>
      <c r="H381" s="44" t="n">
        <v>0.0008449074074074074</v>
      </c>
      <c r="I381" s="45" t="n">
        <v>5909</v>
      </c>
      <c r="J381" s="45" t="n">
        <v>271</v>
      </c>
      <c r="K381" s="45" t="n">
        <v>102</v>
      </c>
      <c r="L381" s="46" t="n"/>
      <c r="M381" s="47" t="n"/>
      <c r="N381" s="47" t="inlineStr">
        <is>
          <t>UCKZo4N0lVPccBkSiuyVh4yg</t>
        </is>
      </c>
      <c r="O381" s="48" t="n">
        <v>45770.625</v>
      </c>
      <c r="P381" s="49" t="n">
        <v>45770</v>
      </c>
      <c r="Q381" s="47" t="n">
        <v>2887</v>
      </c>
      <c r="R381" s="47" t="inlineStr">
        <is>
          <t>No Video ID yet</t>
        </is>
      </c>
      <c r="S381" s="49" t="n"/>
      <c r="T381" s="49" t="n"/>
      <c r="U381" s="47" t="inlineStr">
        <is>
          <t>Hey Griffin Doorks! We are so excited to announce that we will be continuing the Through the Griffin TOUR in the Midwest this September! Tickets go on sale THIS FRIDAY, April 25th at 10:00am LOCAL TIME. You can find the links to each location on our website supercarlinbrothers.com/events VIP tickets will be available yet again for this tour as well for an additional $50! These will include a VIP meet and greet with J and Ben, a signed tour poster and early/premium seating. Each of the websites does their VIP ticket add ons differently so be sure to pay attention to how to add that before you check out! Again, you can get your tickets here: on Friday, April 25th at 10:00am LOCAL TIME. We can’t wait to see you in real life, brother! Indianapolis, IN - 9/16/2025: St. Louis, MO - 9/17/2025: Des Moines, IA - 9/19/2025: St. Paul, MN - 9/20/2025: Milwaukee, WI - 9/21/2025: Chicago, IL - 9/23/2025: Detroit, MI - 9/24/2025: Cleveland, OH - 9/25/2025:</t>
        </is>
      </c>
      <c r="V381" s="47">
        <f>IF(AND(P381&gt;=Calendar!$K$2,P381&lt;EDATE(Calendar!$K$2,1),OR(Calendar!$K$4="*",N381=Calendar!$K$4)),P381*100+COUNTIFS($P$6:$P$3267,P381,$Q$6:$Q$3267,"&lt;="&amp;Q381,$N$6:$N$3267,Calendar!$K$4),"")</f>
        <v/>
      </c>
      <c r="W381" s="47">
        <f>IF(AND(B381=Queue!$C$4,OR(Queue!$K$4="*",N381=Queue!$K$4)),Q381,"")</f>
        <v/>
      </c>
    </row>
    <row r="382">
      <c r="A382" s="38">
        <f>IF(M382="","",HYPERLINK("https://www.youtube.com/watch?v="&amp;M382,"▶"))</f>
        <v/>
      </c>
      <c r="B382" s="39">
        <f>IF(C382&lt;&gt;"",C382,IF(P382&lt;=IFERROR(INDEX(tblChannels[Watched Through],MATCH(N382,tblChannels[Channel ID],0)),0),"Watched","Unwatched"))</f>
        <v/>
      </c>
      <c r="C382" s="40" t="n"/>
      <c r="D382" s="41" t="n"/>
      <c r="E382" s="42" t="n">
        <v>45767.41666666666</v>
      </c>
      <c r="F382" s="51" t="inlineStr">
        <is>
          <t>Through The Griffin Door</t>
        </is>
      </c>
      <c r="G382" t="inlineStr">
        <is>
          <t>Chapter 22: The Unexpected Task | Goblet of Fire</t>
        </is>
      </c>
      <c r="H382" s="44" t="n">
        <v>0.06768518518518518</v>
      </c>
      <c r="I382" s="45" t="n">
        <v>58819</v>
      </c>
      <c r="J382" s="45" t="n">
        <v>1534</v>
      </c>
      <c r="K382" s="45" t="n">
        <v>458</v>
      </c>
      <c r="L382" s="46" t="n"/>
      <c r="M382" s="47" t="n"/>
      <c r="N382" s="47" t="inlineStr">
        <is>
          <t>UCEscP6ETYXWSSvsNrDHekMQ</t>
        </is>
      </c>
      <c r="O382" s="48" t="n">
        <v>45767.58333333334</v>
      </c>
      <c r="P382" s="49" t="n">
        <v>45767</v>
      </c>
      <c r="Q382" s="47" t="n">
        <v>2886</v>
      </c>
      <c r="R382" s="47" t="inlineStr">
        <is>
          <t>No Video ID yet</t>
        </is>
      </c>
      <c r="S382" s="49" t="n"/>
      <c r="T382" s="49" t="n"/>
      <c r="U382" s="47" t="inlineStr">
        <is>
          <t>This episode is sponsored by Shopify — Go to to sign up for your $1-per-month trial period. Join J and Ben as they dive into Chapter 22 of the Goblet of Fire and discuss goofing off in class, McGonagall’s background, 800 barrels of mead, last classes before break, and the cringe-factor of asking people to the ball. Relevant Links Professor McGonagall’s Pottermore Article - 06:42 - Chapter Breakdown 36:07 - Shopify Ad Break 37:18 - More Chapter Breakdown 1:25:51 - Closing Thoughts and Review</t>
        </is>
      </c>
      <c r="V382" s="47">
        <f>IF(AND(P382&gt;=Calendar!$K$2,P382&lt;EDATE(Calendar!$K$2,1),OR(Calendar!$K$4="*",N382=Calendar!$K$4)),P382*100+COUNTIFS($P$6:$P$3267,P382,$Q$6:$Q$3267,"&lt;="&amp;Q382,$N$6:$N$3267,Calendar!$K$4),"")</f>
        <v/>
      </c>
      <c r="W382" s="47">
        <f>IF(AND(B382=Queue!$C$4,OR(Queue!$K$4="*",N382=Queue!$K$4)),Q382,"")</f>
        <v/>
      </c>
    </row>
    <row r="383">
      <c r="A383" s="38">
        <f>IF(M383="","",HYPERLINK("https://www.youtube.com/watch?v="&amp;M383,"▶"))</f>
        <v/>
      </c>
      <c r="B383" s="39">
        <f>IF(C383&lt;&gt;"",C383,IF(P383&lt;=IFERROR(INDEX(tblChannels[Watched Through],MATCH(N383,tblChannels[Channel ID],0)),0),"Watched","Unwatched"))</f>
        <v/>
      </c>
      <c r="C383" s="40" t="n"/>
      <c r="D383" s="41" t="n"/>
      <c r="E383" s="42" t="n">
        <v>45766.41736111111</v>
      </c>
      <c r="F383" s="50" t="inlineStr">
        <is>
          <t>Super Carlin Brothers</t>
        </is>
      </c>
      <c r="G383" t="inlineStr">
        <is>
          <t>Through the Griffin Door Supercut: Goblet of Fire Chapters 19-21</t>
        </is>
      </c>
      <c r="H383" s="44" t="n">
        <v>0.2107175925925926</v>
      </c>
      <c r="I383" s="45" t="n">
        <v>15746</v>
      </c>
      <c r="J383" s="45" t="n">
        <v>245</v>
      </c>
      <c r="K383" s="45" t="n">
        <v>42</v>
      </c>
      <c r="L383" s="46" t="n"/>
      <c r="M383" s="47" t="n"/>
      <c r="N383" s="47" t="inlineStr">
        <is>
          <t>UCKZo4N0lVPccBkSiuyVh4yg</t>
        </is>
      </c>
      <c r="O383" s="48" t="n">
        <v>45766.58402777778</v>
      </c>
      <c r="P383" s="49" t="n">
        <v>45766</v>
      </c>
      <c r="Q383" s="47" t="n">
        <v>2885</v>
      </c>
      <c r="R383" s="47" t="inlineStr">
        <is>
          <t>No Video ID yet</t>
        </is>
      </c>
      <c r="S383" s="49" t="n"/>
      <c r="T383" s="49" t="n"/>
      <c r="U383" s="47" t="inlineStr">
        <is>
          <t>0:00:00 - Chapter 19: The Hungarian Horntail 1:27:23- Chapter 20: The First Task 3:21:05 - Chapter 21: The House-Elf Liberation Front</t>
        </is>
      </c>
      <c r="V383" s="47">
        <f>IF(AND(P383&gt;=Calendar!$K$2,P383&lt;EDATE(Calendar!$K$2,1),OR(Calendar!$K$4="*",N383=Calendar!$K$4)),P383*100+COUNTIFS($P$6:$P$3267,P383,$Q$6:$Q$3267,"&lt;="&amp;Q383,$N$6:$N$3267,Calendar!$K$4),"")</f>
        <v/>
      </c>
      <c r="W383" s="47">
        <f>IF(AND(B383=Queue!$C$4,OR(Queue!$K$4="*",N383=Queue!$K$4)),Q383,"")</f>
        <v/>
      </c>
    </row>
    <row r="384">
      <c r="A384" s="38">
        <f>IF(M384="","",HYPERLINK("https://www.youtube.com/watch?v="&amp;M384,"▶"))</f>
        <v/>
      </c>
      <c r="B384" s="39">
        <f>IF(C384&lt;&gt;"",C384,IF(P384&lt;=IFERROR(INDEX(tblChannels[Watched Through],MATCH(N384,tblChannels[Channel ID],0)),0),"Watched","Unwatched"))</f>
        <v/>
      </c>
      <c r="C384" s="40" t="n"/>
      <c r="D384" s="41" t="n"/>
      <c r="E384" s="42" t="n">
        <v>45766.37638888889</v>
      </c>
      <c r="F384" s="50" t="inlineStr">
        <is>
          <t>Super Carlin Brothers</t>
        </is>
      </c>
      <c r="G384" t="inlineStr">
        <is>
          <t>Harry Could’ve Controlled the Basilisk 😳</t>
        </is>
      </c>
      <c r="H384" s="44" t="n">
        <v>0.001111111111111111</v>
      </c>
      <c r="I384" s="45" t="n">
        <v>111663</v>
      </c>
      <c r="J384" s="45" t="n">
        <v>7271</v>
      </c>
      <c r="K384" s="45" t="n">
        <v>202</v>
      </c>
      <c r="L384" s="46" t="n"/>
      <c r="M384" s="47" t="n"/>
      <c r="N384" s="47" t="inlineStr">
        <is>
          <t>UCKZo4N0lVPccBkSiuyVh4yg</t>
        </is>
      </c>
      <c r="O384" s="48" t="n">
        <v>45766.54305555556</v>
      </c>
      <c r="P384" s="49" t="n">
        <v>45766</v>
      </c>
      <c r="Q384" s="47" t="n">
        <v>2884</v>
      </c>
      <c r="R384" s="47" t="inlineStr">
        <is>
          <t>No Video ID yet</t>
        </is>
      </c>
      <c r="S384" s="49" t="n"/>
      <c r="T384" s="49" t="n"/>
      <c r="U384" s="47" t="inlineStr">
        <is>
          <t>Diary Tom can control the basilisk, he’s just Voldy soul and almost human, Harry is a whole person AND a Horcrux.. you tell me who has the greater claim. 🐍</t>
        </is>
      </c>
      <c r="V384" s="47">
        <f>IF(AND(P384&gt;=Calendar!$K$2,P384&lt;EDATE(Calendar!$K$2,1),OR(Calendar!$K$4="*",N384=Calendar!$K$4)),P384*100+COUNTIFS($P$6:$P$3267,P384,$Q$6:$Q$3267,"&lt;="&amp;Q384,$N$6:$N$3267,Calendar!$K$4),"")</f>
        <v/>
      </c>
      <c r="W384" s="47">
        <f>IF(AND(B384=Queue!$C$4,OR(Queue!$K$4="*",N384=Queue!$K$4)),Q384,"")</f>
        <v/>
      </c>
    </row>
    <row r="385">
      <c r="A385" s="38">
        <f>IF(M385="","",HYPERLINK("https://www.youtube.com/watch?v="&amp;M385,"▶"))</f>
        <v/>
      </c>
      <c r="B385" s="39">
        <f>IF(C385&lt;&gt;"",C385,IF(P385&lt;=IFERROR(INDEX(tblChannels[Watched Through],MATCH(N385,tblChannels[Channel ID],0)),0),"Watched","Unwatched"))</f>
        <v/>
      </c>
      <c r="C385" s="40" t="n"/>
      <c r="D385" s="41" t="n"/>
      <c r="E385" s="42" t="n">
        <v>45765.625</v>
      </c>
      <c r="F385" s="50" t="inlineStr">
        <is>
          <t>Super Carlin Brothers</t>
        </is>
      </c>
      <c r="G385" t="inlineStr">
        <is>
          <t>What is Hagrid’s House? - REACTING to Our Old Theories!</t>
        </is>
      </c>
      <c r="H385" s="44" t="n">
        <v>0.02274305555555555</v>
      </c>
      <c r="I385" s="45" t="n">
        <v>142160</v>
      </c>
      <c r="J385" s="45" t="n">
        <v>5433</v>
      </c>
      <c r="K385" s="45" t="n">
        <v>651</v>
      </c>
      <c r="L385" s="46" t="n"/>
      <c r="M385" s="47" t="n"/>
      <c r="N385" s="47" t="inlineStr">
        <is>
          <t>UCKZo4N0lVPccBkSiuyVh4yg</t>
        </is>
      </c>
      <c r="O385" s="48" t="n">
        <v>45765.79166666666</v>
      </c>
      <c r="P385" s="49" t="n">
        <v>45765</v>
      </c>
      <c r="Q385" s="47" t="n">
        <v>2883</v>
      </c>
      <c r="R385" s="47" t="inlineStr">
        <is>
          <t>No Video ID yet</t>
        </is>
      </c>
      <c r="S385" s="49" t="n"/>
      <c r="T385" s="49" t="n"/>
      <c r="U385" s="47" t="inlineStr">
        <is>
          <t>Today Ben and J revisit one of their most contested theories, what house was Hagrid a part of? A question with a seemingly obvious answer, but is it?</t>
        </is>
      </c>
      <c r="V385" s="47">
        <f>IF(AND(P385&gt;=Calendar!$K$2,P385&lt;EDATE(Calendar!$K$2,1),OR(Calendar!$K$4="*",N385=Calendar!$K$4)),P385*100+COUNTIFS($P$6:$P$3267,P385,$Q$6:$Q$3267,"&lt;="&amp;Q385,$N$6:$N$3267,Calendar!$K$4),"")</f>
        <v/>
      </c>
      <c r="W385" s="47">
        <f>IF(AND(B385=Queue!$C$4,OR(Queue!$K$4="*",N385=Queue!$K$4)),Q385,"")</f>
        <v/>
      </c>
    </row>
    <row r="386">
      <c r="A386" s="38">
        <f>IF(M386="","",HYPERLINK("https://www.youtube.com/watch?v="&amp;M386,"▶"))</f>
        <v/>
      </c>
      <c r="B386" s="39">
        <f>IF(C386&lt;&gt;"",C386,IF(P386&lt;=IFERROR(INDEX(tblChannels[Watched Through],MATCH(N386,tblChannels[Channel ID],0)),0),"Watched","Unwatched"))</f>
        <v/>
      </c>
      <c r="C386" s="40" t="n"/>
      <c r="D386" s="41" t="n"/>
      <c r="E386" s="42" t="n">
        <v>45765.41666666666</v>
      </c>
      <c r="F386" s="43" t="inlineStr">
        <is>
          <t>Popcorn Culture</t>
        </is>
      </c>
      <c r="G386" t="inlineStr">
        <is>
          <t>J Charges a Herd of Deer | Popcorn Culture</t>
        </is>
      </c>
      <c r="H386" s="44" t="n">
        <v>0.04195601851851852</v>
      </c>
      <c r="I386" s="45" t="n">
        <v>3082</v>
      </c>
      <c r="J386" s="45" t="n">
        <v>153</v>
      </c>
      <c r="K386" s="45" t="n">
        <v>22</v>
      </c>
      <c r="L386" s="46" t="n"/>
      <c r="M386" s="47" t="n"/>
      <c r="N386" s="47" t="inlineStr">
        <is>
          <t>UCHfIbq9thHPC8yrKjAdJgDA</t>
        </is>
      </c>
      <c r="O386" s="48" t="n">
        <v>45765.58333333334</v>
      </c>
      <c r="P386" s="49" t="n">
        <v>45765</v>
      </c>
      <c r="Q386" s="47" t="n">
        <v>2882</v>
      </c>
      <c r="R386" s="47" t="inlineStr">
        <is>
          <t>No Video ID yet</t>
        </is>
      </c>
      <c r="S386" s="49" t="n"/>
      <c r="T386" s="49" t="n"/>
      <c r="U386" s="47" t="inlineStr">
        <is>
          <t>In the 280th episode of the Pop, Ben and J discuss Luke’s life changing experience, charging deer, the office greenhouse, Ben’s Peloton experience, triathlon training, and necks. Drive to Survive - Pretty Silly in My Pants Spooky Snake Let’s Talk About Necks 00:00 - Intro, Silly Pants 04:04 - Luke’s First Snake 26:38 - Baby Sunflower 30:20 - Peloton 48:21 - Necks</t>
        </is>
      </c>
      <c r="V386" s="47">
        <f>IF(AND(P386&gt;=Calendar!$K$2,P386&lt;EDATE(Calendar!$K$2,1),OR(Calendar!$K$4="*",N386=Calendar!$K$4)),P386*100+COUNTIFS($P$6:$P$3267,P386,$Q$6:$Q$3267,"&lt;="&amp;Q386,$N$6:$N$3267,Calendar!$K$4),"")</f>
        <v/>
      </c>
      <c r="W386" s="47">
        <f>IF(AND(B386=Queue!$C$4,OR(Queue!$K$4="*",N386=Queue!$K$4)),Q386,"")</f>
        <v/>
      </c>
    </row>
    <row r="387">
      <c r="A387" s="38">
        <f>IF(M387="","",HYPERLINK("https://www.youtube.com/watch?v="&amp;M387,"▶"))</f>
        <v/>
      </c>
      <c r="B387" s="39">
        <f>IF(C387&lt;&gt;"",C387,IF(P387&lt;=IFERROR(INDEX(tblChannels[Watched Through],MATCH(N387,tblChannels[Channel ID],0)),0),"Watched","Unwatched"))</f>
        <v/>
      </c>
      <c r="C387" s="40" t="n"/>
      <c r="D387" s="41" t="n"/>
      <c r="E387" s="42" t="n">
        <v>45763.90555555555</v>
      </c>
      <c r="F387" s="50" t="inlineStr">
        <is>
          <t>Super Carlin Brothers</t>
        </is>
      </c>
      <c r="G387" t="inlineStr">
        <is>
          <t>Quidditch is DUMB!.. Ever heard of Swivenhodge? #harrypotter</t>
        </is>
      </c>
      <c r="H387" s="44" t="n">
        <v>0.0004282407407407408</v>
      </c>
      <c r="I387" s="45" t="n">
        <v>58808</v>
      </c>
      <c r="J387" s="45" t="n">
        <v>2479</v>
      </c>
      <c r="K387" s="45" t="n">
        <v>46</v>
      </c>
      <c r="L387" s="46" t="n"/>
      <c r="M387" s="47" t="n"/>
      <c r="N387" s="47" t="inlineStr">
        <is>
          <t>UCKZo4N0lVPccBkSiuyVh4yg</t>
        </is>
      </c>
      <c r="O387" s="48" t="n">
        <v>45764.07222222222</v>
      </c>
      <c r="P387" s="49" t="n">
        <v>45763</v>
      </c>
      <c r="Q387" s="47" t="n">
        <v>2881</v>
      </c>
      <c r="R387" s="47" t="inlineStr">
        <is>
          <t>No Video ID yet</t>
        </is>
      </c>
      <c r="S387" s="49" t="n"/>
      <c r="T387" s="49" t="n"/>
      <c r="U387" s="47" t="inlineStr">
        <is>
          <t>Welcome back to ESPN 9 3/4! Ever heard of Swivenhodge? It's basically Wizard Tennis but with a bunch of silly names for everything.. A BLADDER FLOP!</t>
        </is>
      </c>
      <c r="V387" s="47">
        <f>IF(AND(P387&gt;=Calendar!$K$2,P387&lt;EDATE(Calendar!$K$2,1),OR(Calendar!$K$4="*",N387=Calendar!$K$4)),P387*100+COUNTIFS($P$6:$P$3267,P387,$Q$6:$Q$3267,"&lt;="&amp;Q387,$N$6:$N$3267,Calendar!$K$4),"")</f>
        <v/>
      </c>
      <c r="W387" s="47">
        <f>IF(AND(B387=Queue!$C$4,OR(Queue!$K$4="*",N387=Queue!$K$4)),Q387,"")</f>
        <v/>
      </c>
    </row>
    <row r="388">
      <c r="A388" s="38">
        <f>IF(M388="","",HYPERLINK("https://www.youtube.com/watch?v="&amp;M388,"▶"))</f>
        <v/>
      </c>
      <c r="B388" s="39">
        <f>IF(C388&lt;&gt;"",C388,IF(P388&lt;=IFERROR(INDEX(tblChannels[Watched Through],MATCH(N388,tblChannels[Channel ID],0)),0),"Watched","Unwatched"))</f>
        <v/>
      </c>
      <c r="C388" s="40" t="n"/>
      <c r="D388" s="41" t="n"/>
      <c r="E388" s="42" t="n">
        <v>45763.74583333333</v>
      </c>
      <c r="F388" s="50" t="inlineStr">
        <is>
          <t>Super Carlin Brothers</t>
        </is>
      </c>
      <c r="G388" t="inlineStr">
        <is>
          <t>Why Harry Is The OPPOSITE of Neville | Harry Potter Film Theory</t>
        </is>
      </c>
      <c r="H388" s="44" t="n">
        <v>0.01012731481481481</v>
      </c>
      <c r="I388" s="45" t="n">
        <v>73849</v>
      </c>
      <c r="J388" s="45" t="n">
        <v>3782</v>
      </c>
      <c r="K388" s="45" t="n">
        <v>381</v>
      </c>
      <c r="L388" s="46" t="n"/>
      <c r="M388" s="47" t="n"/>
      <c r="N388" s="47" t="inlineStr">
        <is>
          <t>UCKZo4N0lVPccBkSiuyVh4yg</t>
        </is>
      </c>
      <c r="O388" s="48" t="n">
        <v>45763.9125</v>
      </c>
      <c r="P388" s="49" t="n">
        <v>45763</v>
      </c>
      <c r="Q388" s="47" t="n">
        <v>2880</v>
      </c>
      <c r="R388" s="47" t="inlineStr">
        <is>
          <t>No Video ID yet</t>
        </is>
      </c>
      <c r="S388" s="49" t="n"/>
      <c r="T388" s="49" t="n"/>
      <c r="U388" s="47" t="inlineStr">
        <is>
          <t>This episode is sponsored by BetterHelp. Go to to get 10% off your first month. This episode is sponsored by Shopify — Go to to sign up for your $1-per-month trial period. Today J dives into the Wizarding World of Harry Potter to find out how Harry Potter and Neville Longbottom are total opposites and yet also complete reflections of each other at the same time and end up in the same place. Written by :: Jonathan and Ben Carlin</t>
        </is>
      </c>
      <c r="V388" s="47">
        <f>IF(AND(P388&gt;=Calendar!$K$2,P388&lt;EDATE(Calendar!$K$2,1),OR(Calendar!$K$4="*",N388=Calendar!$K$4)),P388*100+COUNTIFS($P$6:$P$3267,P388,$Q$6:$Q$3267,"&lt;="&amp;Q388,$N$6:$N$3267,Calendar!$K$4),"")</f>
        <v/>
      </c>
      <c r="W388" s="47">
        <f>IF(AND(B388=Queue!$C$4,OR(Queue!$K$4="*",N388=Queue!$K$4)),Q388,"")</f>
        <v/>
      </c>
    </row>
    <row r="389">
      <c r="A389" s="38">
        <f>IF(M389="","",HYPERLINK("https://www.youtube.com/watch?v="&amp;M389,"▶"))</f>
        <v/>
      </c>
      <c r="B389" s="39">
        <f>IF(C389&lt;&gt;"",C389,IF(P389&lt;=IFERROR(INDEX(tblChannels[Watched Through],MATCH(N389,tblChannels[Channel ID],0)),0),"Watched","Unwatched"))</f>
        <v/>
      </c>
      <c r="C389" s="40" t="n"/>
      <c r="D389" s="41" t="n"/>
      <c r="E389" s="42" t="n">
        <v>45761.63125</v>
      </c>
      <c r="F389" s="50" t="inlineStr">
        <is>
          <t>Super Carlin Brothers</t>
        </is>
      </c>
      <c r="G389" t="inlineStr">
        <is>
          <t>Blood-Math in Harry Potter Explained🩸 #harrypotter</t>
        </is>
      </c>
      <c r="H389" s="44" t="n">
        <v>0.001574074074074074</v>
      </c>
      <c r="I389" s="45" t="n">
        <v>850402</v>
      </c>
      <c r="J389" s="45" t="n">
        <v>46355</v>
      </c>
      <c r="K389" s="45" t="n">
        <v>1177</v>
      </c>
      <c r="L389" s="46" t="n"/>
      <c r="M389" s="47" t="n"/>
      <c r="N389" s="47" t="inlineStr">
        <is>
          <t>UCKZo4N0lVPccBkSiuyVh4yg</t>
        </is>
      </c>
      <c r="O389" s="48" t="n">
        <v>45761.79791666667</v>
      </c>
      <c r="P389" s="49" t="n">
        <v>45761</v>
      </c>
      <c r="Q389" s="47" t="n">
        <v>2879</v>
      </c>
      <c r="R389" s="47" t="inlineStr">
        <is>
          <t>No Video ID yet</t>
        </is>
      </c>
      <c r="S389" s="49" t="n"/>
      <c r="T389" s="49" t="n"/>
      <c r="U389" s="47" t="inlineStr">
        <is>
          <t>Are Ron and Hermione's Kids Pure Blood since both parents are magical? No. Half-Blood is a confusing term in Harry Potter that encompasses much more than 50% of your blood. If you have a muggle anywhere up your family tree and have 1-99% muggle blood... you're a half-blood. (also, did anyone else get jump-scared by mustache-less J?)</t>
        </is>
      </c>
      <c r="V389" s="47">
        <f>IF(AND(P389&gt;=Calendar!$K$2,P389&lt;EDATE(Calendar!$K$2,1),OR(Calendar!$K$4="*",N389=Calendar!$K$4)),P389*100+COUNTIFS($P$6:$P$3267,P389,$Q$6:$Q$3267,"&lt;="&amp;Q389,$N$6:$N$3267,Calendar!$K$4),"")</f>
        <v/>
      </c>
      <c r="W389" s="47">
        <f>IF(AND(B389=Queue!$C$4,OR(Queue!$K$4="*",N389=Queue!$K$4)),Q389,"")</f>
        <v/>
      </c>
    </row>
    <row r="390">
      <c r="A390" s="38">
        <f>IF(M390="","",HYPERLINK("https://www.youtube.com/watch?v="&amp;M390,"▶"))</f>
        <v/>
      </c>
      <c r="B390" s="39">
        <f>IF(C390&lt;&gt;"",C390,IF(P390&lt;=IFERROR(INDEX(tblChannels[Watched Through],MATCH(N390,tblChannels[Channel ID],0)),0),"Watched","Unwatched"))</f>
        <v/>
      </c>
      <c r="C390" s="40" t="n"/>
      <c r="D390" s="41" t="n"/>
      <c r="E390" s="42" t="n">
        <v>45760.41736111111</v>
      </c>
      <c r="F390" s="51" t="inlineStr">
        <is>
          <t>Through The Griffin Door</t>
        </is>
      </c>
      <c r="G390" t="inlineStr">
        <is>
          <t>Chapter 21: The House Elf Liberation Front | Goblet of Fire</t>
        </is>
      </c>
      <c r="H390" s="44" t="n">
        <v>0.07363425925925926</v>
      </c>
      <c r="I390" s="45" t="n">
        <v>60387</v>
      </c>
      <c r="J390" s="45" t="n">
        <v>1591</v>
      </c>
      <c r="K390" s="45" t="n">
        <v>438</v>
      </c>
      <c r="L390" s="46" t="n"/>
      <c r="M390" s="47" t="n"/>
      <c r="N390" s="47" t="inlineStr">
        <is>
          <t>UCEscP6ETYXWSSvsNrDHekMQ</t>
        </is>
      </c>
      <c r="O390" s="48" t="n">
        <v>45760.58402777778</v>
      </c>
      <c r="P390" s="49" t="n">
        <v>45760</v>
      </c>
      <c r="Q390" s="47" t="n">
        <v>2878</v>
      </c>
      <c r="R390" s="47" t="inlineStr">
        <is>
          <t>No Video ID yet</t>
        </is>
      </c>
      <c r="S390" s="49" t="n"/>
      <c r="T390" s="49" t="n"/>
      <c r="U390" s="47" t="inlineStr">
        <is>
          <t>This episode is sponsored by Pair Eyewear -- Be sure to check out Pair Eyewear and get 15% off your first pair when you go to PairEyewear.com and use promo code: 'GRIFFIN' This episode is sponsored by Turtle Beach -- Level up your game and get 10% off @TurtleBeach with code GRIFFIN at #turtlebeachpod Join J and Ben as they dive into Chapter 21 of the Goblet of Fire and discuss the dangerfulness of the tournament, the party in the common room, artistry and magic, everyone’s fears, Rita at Hagrid’s class, elf magic, and the kitchens. 04:50 - Chapter Breakdown 28:47 - Pair Eyewear Ad Break 30:48 - More Chapter Breakdown 55:04 - Turtle Beach Ad Break 56:44 - More Chapter Breakdown 1:35:40 - Closing Thoughts and Review</t>
        </is>
      </c>
      <c r="V390" s="47">
        <f>IF(AND(P390&gt;=Calendar!$K$2,P390&lt;EDATE(Calendar!$K$2,1),OR(Calendar!$K$4="*",N390=Calendar!$K$4)),P390*100+COUNTIFS($P$6:$P$3267,P390,$Q$6:$Q$3267,"&lt;="&amp;Q390,$N$6:$N$3267,Calendar!$K$4),"")</f>
        <v/>
      </c>
      <c r="W390" s="47">
        <f>IF(AND(B390=Queue!$C$4,OR(Queue!$K$4="*",N390=Queue!$K$4)),Q390,"")</f>
        <v/>
      </c>
    </row>
    <row r="391">
      <c r="A391" s="38">
        <f>IF(M391="","",HYPERLINK("https://www.youtube.com/watch?v="&amp;M391,"▶"))</f>
        <v/>
      </c>
      <c r="B391" s="39">
        <f>IF(C391&lt;&gt;"",C391,IF(P391&lt;=IFERROR(INDEX(tblChannels[Watched Through],MATCH(N391,tblChannels[Channel ID],0)),0),"Watched","Unwatched"))</f>
        <v/>
      </c>
      <c r="C391" s="40" t="n"/>
      <c r="D391" s="41" t="n"/>
      <c r="E391" s="42" t="n">
        <v>45758.67638888889</v>
      </c>
      <c r="F391" s="50" t="inlineStr">
        <is>
          <t>Super Carlin Brothers</t>
        </is>
      </c>
      <c r="G391" t="inlineStr">
        <is>
          <t>The DARK Origin Of Barty Crouch Jr | Harry Potter Film Theory</t>
        </is>
      </c>
      <c r="H391" s="44" t="n">
        <v>0.01092592592592593</v>
      </c>
      <c r="I391" s="45" t="n">
        <v>152311</v>
      </c>
      <c r="J391" s="45" t="n">
        <v>6002</v>
      </c>
      <c r="K391" s="45" t="n">
        <v>546</v>
      </c>
      <c r="L391" s="46" t="n"/>
      <c r="M391" s="47" t="n"/>
      <c r="N391" s="47" t="inlineStr">
        <is>
          <t>UCKZo4N0lVPccBkSiuyVh4yg</t>
        </is>
      </c>
      <c r="O391" s="48" t="n">
        <v>45758.84305555555</v>
      </c>
      <c r="P391" s="49" t="n">
        <v>45758</v>
      </c>
      <c r="Q391" s="47" t="n">
        <v>2877</v>
      </c>
      <c r="R391" s="47" t="inlineStr">
        <is>
          <t>No Video ID yet</t>
        </is>
      </c>
      <c r="S391" s="49" t="n"/>
      <c r="T391" s="49" t="n"/>
      <c r="U391" s="47" t="inlineStr">
        <is>
          <t>Today Ben dives into the history of the Wizarding World of Harry Potter to unravel the dark history of Barty Crouch Jr and how he became evil! Written by :: Jonathan and Ben Carlin</t>
        </is>
      </c>
      <c r="V391" s="47">
        <f>IF(AND(P391&gt;=Calendar!$K$2,P391&lt;EDATE(Calendar!$K$2,1),OR(Calendar!$K$4="*",N391=Calendar!$K$4)),P391*100+COUNTIFS($P$6:$P$3267,P391,$Q$6:$Q$3267,"&lt;="&amp;Q391,$N$6:$N$3267,Calendar!$K$4),"")</f>
        <v/>
      </c>
      <c r="W391" s="47">
        <f>IF(AND(B391=Queue!$C$4,OR(Queue!$K$4="*",N391=Queue!$K$4)),Q391,"")</f>
        <v/>
      </c>
    </row>
    <row r="392">
      <c r="A392" s="38">
        <f>IF(M392="","",HYPERLINK("https://www.youtube.com/watch?v="&amp;M392,"▶"))</f>
        <v/>
      </c>
      <c r="B392" s="39">
        <f>IF(C392&lt;&gt;"",C392,IF(P392&lt;=IFERROR(INDEX(tblChannels[Watched Through],MATCH(N392,tblChannels[Channel ID],0)),0),"Watched","Unwatched"))</f>
        <v/>
      </c>
      <c r="C392" s="40" t="n"/>
      <c r="D392" s="41" t="n"/>
      <c r="E392" s="42" t="n">
        <v>45758.47222222222</v>
      </c>
      <c r="F392" s="50" t="inlineStr">
        <is>
          <t>Super Carlin Brothers</t>
        </is>
      </c>
      <c r="G392" t="inlineStr">
        <is>
          <t>Dumbledore Gaslights Snape.. #harrypotter</t>
        </is>
      </c>
      <c r="H392" s="44" t="n">
        <v>0.001712962962962963</v>
      </c>
      <c r="I392" s="45" t="n">
        <v>75596</v>
      </c>
      <c r="J392" s="45" t="n">
        <v>5273</v>
      </c>
      <c r="K392" s="45" t="n">
        <v>245</v>
      </c>
      <c r="L392" s="46" t="n"/>
      <c r="M392" s="47" t="n"/>
      <c r="N392" s="47" t="inlineStr">
        <is>
          <t>UCKZo4N0lVPccBkSiuyVh4yg</t>
        </is>
      </c>
      <c r="O392" s="48" t="n">
        <v>45758.63888888889</v>
      </c>
      <c r="P392" s="49" t="n">
        <v>45758</v>
      </c>
      <c r="Q392" s="47" t="n">
        <v>2876</v>
      </c>
      <c r="R392" s="47" t="inlineStr">
        <is>
          <t>No Video ID yet</t>
        </is>
      </c>
      <c r="S392" s="49" t="n"/>
      <c r="T392" s="49" t="n"/>
      <c r="U392" s="47" t="inlineStr">
        <is>
          <t>Snape files a complaint with the headmaster... How do you think that makes Dumbledore feel?</t>
        </is>
      </c>
      <c r="V392" s="47">
        <f>IF(AND(P392&gt;=Calendar!$K$2,P392&lt;EDATE(Calendar!$K$2,1),OR(Calendar!$K$4="*",N392=Calendar!$K$4)),P392*100+COUNTIFS($P$6:$P$3267,P392,$Q$6:$Q$3267,"&lt;="&amp;Q392,$N$6:$N$3267,Calendar!$K$4),"")</f>
        <v/>
      </c>
      <c r="W392" s="47">
        <f>IF(AND(B392=Queue!$C$4,OR(Queue!$K$4="*",N392=Queue!$K$4)),Q392,"")</f>
        <v/>
      </c>
    </row>
    <row r="393">
      <c r="A393" s="38">
        <f>IF(M393="","",HYPERLINK("https://www.youtube.com/watch?v="&amp;M393,"▶"))</f>
        <v/>
      </c>
      <c r="B393" s="39">
        <f>IF(C393&lt;&gt;"",C393,IF(P393&lt;=IFERROR(INDEX(tblChannels[Watched Through],MATCH(N393,tblChannels[Channel ID],0)),0),"Watched","Unwatched"))</f>
        <v/>
      </c>
      <c r="C393" s="40" t="n"/>
      <c r="D393" s="41" t="n"/>
      <c r="E393" s="42" t="n">
        <v>45758.41666666666</v>
      </c>
      <c r="F393" s="43" t="inlineStr">
        <is>
          <t>Popcorn Culture</t>
        </is>
      </c>
      <c r="G393" t="inlineStr">
        <is>
          <t>Don’t Ask for Forgiveness | Popcorn Culture</t>
        </is>
      </c>
      <c r="H393" s="44" t="n">
        <v>0.04907407407407408</v>
      </c>
      <c r="I393" s="45" t="n">
        <v>3281</v>
      </c>
      <c r="J393" s="45" t="n">
        <v>159</v>
      </c>
      <c r="K393" s="45" t="n">
        <v>20</v>
      </c>
      <c r="L393" s="46" t="n"/>
      <c r="M393" s="47" t="n"/>
      <c r="N393" s="47" t="inlineStr">
        <is>
          <t>UCHfIbq9thHPC8yrKjAdJgDA</t>
        </is>
      </c>
      <c r="O393" s="48" t="n">
        <v>45758.58333333334</v>
      </c>
      <c r="P393" s="49" t="n">
        <v>45758</v>
      </c>
      <c r="Q393" s="47" t="n">
        <v>2875</v>
      </c>
      <c r="R393" s="47" t="inlineStr">
        <is>
          <t>No Video ID yet</t>
        </is>
      </c>
      <c r="S393" s="49" t="n"/>
      <c r="T393" s="49" t="n"/>
      <c r="U393" s="47" t="inlineStr">
        <is>
          <t>This episode is sponsored by Turtle Beach -- Level up your game and get 10% off @TurtleBeach with code POPCORN at #turtlebeachpod Ben and J discuss a fence building update, The Apology Languages, and the three words that define their style. The Martian - The Apology Language Assessment - Iron Palm Pasty Nightmare 00:00 - Intro, Productive Weekend 27:34 - Ad Break 29:17 - Apologizing 56:52 - Personal Style</t>
        </is>
      </c>
      <c r="V393" s="47">
        <f>IF(AND(P393&gt;=Calendar!$K$2,P393&lt;EDATE(Calendar!$K$2,1),OR(Calendar!$K$4="*",N393=Calendar!$K$4)),P393*100+COUNTIFS($P$6:$P$3267,P393,$Q$6:$Q$3267,"&lt;="&amp;Q393,$N$6:$N$3267,Calendar!$K$4),"")</f>
        <v/>
      </c>
      <c r="W393" s="47">
        <f>IF(AND(B393=Queue!$C$4,OR(Queue!$K$4="*",N393=Queue!$K$4)),Q393,"")</f>
        <v/>
      </c>
    </row>
    <row r="394">
      <c r="A394" s="38">
        <f>IF(M394="","",HYPERLINK("https://www.youtube.com/watch?v="&amp;M394,"▶"))</f>
        <v/>
      </c>
      <c r="B394" s="39">
        <f>IF(C394&lt;&gt;"",C394,IF(P394&lt;=IFERROR(INDEX(tblChannels[Watched Through],MATCH(N394,tblChannels[Channel ID],0)),0),"Watched","Unwatched"))</f>
        <v/>
      </c>
      <c r="C394" s="40" t="n"/>
      <c r="D394" s="41" t="n"/>
      <c r="E394" s="42" t="n">
        <v>45756.70833333334</v>
      </c>
      <c r="F394" s="50" t="inlineStr">
        <is>
          <t>Super Carlin Brothers</t>
        </is>
      </c>
      <c r="G394" t="inlineStr">
        <is>
          <t>J vs Ben: HARDEST Deathly Hallows Part 1 Harry Potter Movie TRIVIA Quiz</t>
        </is>
      </c>
      <c r="H394" s="44" t="n">
        <v>0.02695601851851852</v>
      </c>
      <c r="I394" s="45" t="n">
        <v>120115</v>
      </c>
      <c r="J394" s="45" t="n">
        <v>4097</v>
      </c>
      <c r="K394" s="45" t="n">
        <v>443</v>
      </c>
      <c r="L394" s="46" t="n"/>
      <c r="M394" s="47" t="n"/>
      <c r="N394" s="47" t="inlineStr">
        <is>
          <t>UCKZo4N0lVPccBkSiuyVh4yg</t>
        </is>
      </c>
      <c r="O394" s="48" t="n">
        <v>45756.875</v>
      </c>
      <c r="P394" s="49" t="n">
        <v>45756</v>
      </c>
      <c r="Q394" s="47" t="n">
        <v>2874</v>
      </c>
      <c r="R394" s="47" t="inlineStr">
        <is>
          <t>No Video ID yet</t>
        </is>
      </c>
      <c r="S394" s="49" t="n"/>
      <c r="T394" s="49" t="n"/>
      <c r="U394" s="47" t="inlineStr">
        <is>
          <t>Go to and use code jvsb50off to get 50% off plus free shipping on your first box. Today J and Ben face off once more (having yet again not watched the movie) to find out who knows the most about Harry Potter and the Deathly Hallows Part 1! Written by :: Our Quiz Masters! Hosted by :: Ethan Edghill</t>
        </is>
      </c>
      <c r="V394" s="47">
        <f>IF(AND(P394&gt;=Calendar!$K$2,P394&lt;EDATE(Calendar!$K$2,1),OR(Calendar!$K$4="*",N394=Calendar!$K$4)),P394*100+COUNTIFS($P$6:$P$3267,P394,$Q$6:$Q$3267,"&lt;="&amp;Q394,$N$6:$N$3267,Calendar!$K$4),"")</f>
        <v/>
      </c>
      <c r="W394" s="47">
        <f>IF(AND(B394=Queue!$C$4,OR(Queue!$K$4="*",N394=Queue!$K$4)),Q394,"")</f>
        <v/>
      </c>
    </row>
    <row r="395">
      <c r="A395" s="38">
        <f>IF(M395="","",HYPERLINK("https://www.youtube.com/watch?v="&amp;M395,"▶"))</f>
        <v/>
      </c>
      <c r="B395" s="39">
        <f>IF(C395&lt;&gt;"",C395,IF(P395&lt;=IFERROR(INDEX(tblChannels[Watched Through],MATCH(N395,tblChannels[Channel ID],0)),0),"Watched","Unwatched"))</f>
        <v/>
      </c>
      <c r="C395" s="40" t="n"/>
      <c r="D395" s="41" t="n"/>
      <c r="E395" s="42" t="n">
        <v>45756.4625</v>
      </c>
      <c r="F395" s="50" t="inlineStr">
        <is>
          <t>Super Carlin Brothers</t>
        </is>
      </c>
      <c r="G395" t="inlineStr">
        <is>
          <t>Snape Asks Voldemort to Spare Lily… #harrypotter</t>
        </is>
      </c>
      <c r="H395" s="44" t="n">
        <v>0.001342592592592592</v>
      </c>
      <c r="I395" s="45" t="n">
        <v>62032</v>
      </c>
      <c r="J395" s="45" t="n">
        <v>3342</v>
      </c>
      <c r="K395" s="45" t="n">
        <v>153</v>
      </c>
      <c r="L395" s="46" t="n"/>
      <c r="M395" s="47" t="n"/>
      <c r="N395" s="47" t="inlineStr">
        <is>
          <t>UCKZo4N0lVPccBkSiuyVh4yg</t>
        </is>
      </c>
      <c r="O395" s="48" t="n">
        <v>45756.62916666667</v>
      </c>
      <c r="P395" s="49" t="n">
        <v>45756</v>
      </c>
      <c r="Q395" s="47" t="n">
        <v>2873</v>
      </c>
      <c r="R395" s="47" t="inlineStr">
        <is>
          <t>No Video ID yet</t>
        </is>
      </c>
      <c r="S395" s="49" t="n"/>
      <c r="T395" s="49" t="n"/>
      <c r="U395" s="47" t="inlineStr">
        <is>
          <t>The Half-Blood Prince of Anguish has a request....</t>
        </is>
      </c>
      <c r="V395" s="47">
        <f>IF(AND(P395&gt;=Calendar!$K$2,P395&lt;EDATE(Calendar!$K$2,1),OR(Calendar!$K$4="*",N395=Calendar!$K$4)),P395*100+COUNTIFS($P$6:$P$3267,P395,$Q$6:$Q$3267,"&lt;="&amp;Q395,$N$6:$N$3267,Calendar!$K$4),"")</f>
        <v/>
      </c>
      <c r="W395" s="47">
        <f>IF(AND(B395=Queue!$C$4,OR(Queue!$K$4="*",N395=Queue!$K$4)),Q395,"")</f>
        <v/>
      </c>
    </row>
    <row r="396">
      <c r="A396" s="38">
        <f>IF(M396="","",HYPERLINK("https://www.youtube.com/watch?v="&amp;M396,"▶"))</f>
        <v/>
      </c>
      <c r="B396" s="39">
        <f>IF(C396&lt;&gt;"",C396,IF(P396&lt;=IFERROR(INDEX(tblChannels[Watched Through],MATCH(N396,tblChannels[Channel ID],0)),0),"Watched","Unwatched"))</f>
        <v/>
      </c>
      <c r="C396" s="40" t="n"/>
      <c r="D396" s="41" t="n"/>
      <c r="E396" s="42" t="n">
        <v>45753.41666666666</v>
      </c>
      <c r="F396" s="51" t="inlineStr">
        <is>
          <t>Through The Griffin Door</t>
        </is>
      </c>
      <c r="G396" t="inlineStr">
        <is>
          <t>Chapter 20: The First Task | Goblet of Fire</t>
        </is>
      </c>
      <c r="H396" s="44" t="n">
        <v>0.07895833333333334</v>
      </c>
      <c r="I396" s="45" t="n">
        <v>66286</v>
      </c>
      <c r="J396" s="45" t="n">
        <v>1661</v>
      </c>
      <c r="K396" s="45" t="n">
        <v>554</v>
      </c>
      <c r="L396" s="46" t="n"/>
      <c r="M396" s="47" t="n"/>
      <c r="N396" s="47" t="inlineStr">
        <is>
          <t>UCEscP6ETYXWSSvsNrDHekMQ</t>
        </is>
      </c>
      <c r="O396" s="48" t="n">
        <v>45753.58333333334</v>
      </c>
      <c r="P396" s="49" t="n">
        <v>45753</v>
      </c>
      <c r="Q396" s="47" t="n">
        <v>2872</v>
      </c>
      <c r="R396" s="47" t="inlineStr">
        <is>
          <t>No Video ID yet</t>
        </is>
      </c>
      <c r="S396" s="49" t="n"/>
      <c r="T396" s="49" t="n"/>
      <c r="U396" s="47" t="inlineStr">
        <is>
          <t>Join J and Ben as they dive into Chapter 20 of the Goblet of Fire and discuss Harry and Hermione researching dragons, Moody’s interference, the leadup to the task, winking, Ludo running, Harry getting the golden egg, and reuniting with Ron. How Did Voldemort Get His Original Wand Back? - 08:28 - Chapter Breakdown 1:44:11 - Closing Thoughts and Review</t>
        </is>
      </c>
      <c r="V396" s="47">
        <f>IF(AND(P396&gt;=Calendar!$K$2,P396&lt;EDATE(Calendar!$K$2,1),OR(Calendar!$K$4="*",N396=Calendar!$K$4)),P396*100+COUNTIFS($P$6:$P$3267,P396,$Q$6:$Q$3267,"&lt;="&amp;Q396,$N$6:$N$3267,Calendar!$K$4),"")</f>
        <v/>
      </c>
      <c r="W396" s="47">
        <f>IF(AND(B396=Queue!$C$4,OR(Queue!$K$4="*",N396=Queue!$K$4)),Q396,"")</f>
        <v/>
      </c>
    </row>
    <row r="397">
      <c r="A397" s="38">
        <f>IF(M397="","",HYPERLINK("https://www.youtube.com/watch?v="&amp;M397,"▶"))</f>
        <v/>
      </c>
      <c r="B397" s="39">
        <f>IF(C397&lt;&gt;"",C397,IF(P397&lt;=IFERROR(INDEX(tblChannels[Watched Through],MATCH(N397,tblChannels[Channel ID],0)),0),"Watched","Unwatched"))</f>
        <v/>
      </c>
      <c r="C397" s="40" t="n"/>
      <c r="D397" s="41" t="n"/>
      <c r="E397" s="42" t="n">
        <v>45751.67430555556</v>
      </c>
      <c r="F397" s="50" t="inlineStr">
        <is>
          <t>Super Carlin Brothers</t>
        </is>
      </c>
      <c r="G397" t="inlineStr">
        <is>
          <t>SNAPE Played Quidditch?! | Harry Potter Film Theory</t>
        </is>
      </c>
      <c r="H397" s="44" t="n">
        <v>0.01178240740740741</v>
      </c>
      <c r="I397" s="45" t="n">
        <v>92852</v>
      </c>
      <c r="J397" s="45" t="n">
        <v>4212</v>
      </c>
      <c r="K397" s="45" t="n">
        <v>443</v>
      </c>
      <c r="L397" s="46" t="n"/>
      <c r="M397" s="47" t="n"/>
      <c r="N397" s="47" t="inlineStr">
        <is>
          <t>UCKZo4N0lVPccBkSiuyVh4yg</t>
        </is>
      </c>
      <c r="O397" s="48" t="n">
        <v>45751.84097222222</v>
      </c>
      <c r="P397" s="49" t="n">
        <v>45751</v>
      </c>
      <c r="Q397" s="47" t="n">
        <v>2871</v>
      </c>
      <c r="R397" s="47" t="inlineStr">
        <is>
          <t>No Video ID yet</t>
        </is>
      </c>
      <c r="S397" s="49" t="n"/>
      <c r="T397" s="49" t="n"/>
      <c r="U397" s="47" t="inlineStr">
        <is>
          <t>This episode is sponsored by HelloFresh – Get up to 10 FREE meals and a free high protein item for life at HelloFresh.com/supercarlin10fm Today Ben dives into the Wizarding World of Harry Potter to discover if one Severus (Southerin) Snape played Quidditch for the Slytherin Team during his time at Hogwarts! Edited by :: Ethan Edghill &amp; Isybelle Christley Written by :: Jonathan &amp; Ben Carlin</t>
        </is>
      </c>
      <c r="V397" s="47">
        <f>IF(AND(P397&gt;=Calendar!$K$2,P397&lt;EDATE(Calendar!$K$2,1),OR(Calendar!$K$4="*",N397=Calendar!$K$4)),P397*100+COUNTIFS($P$6:$P$3267,P397,$Q$6:$Q$3267,"&lt;="&amp;Q397,$N$6:$N$3267,Calendar!$K$4),"")</f>
        <v/>
      </c>
      <c r="W397" s="47">
        <f>IF(AND(B397=Queue!$C$4,OR(Queue!$K$4="*",N397=Queue!$K$4)),Q397,"")</f>
        <v/>
      </c>
    </row>
    <row r="398">
      <c r="A398" s="38">
        <f>IF(M398="","",HYPERLINK("https://www.youtube.com/watch?v="&amp;M398,"▶"))</f>
        <v/>
      </c>
      <c r="B398" s="39">
        <f>IF(C398&lt;&gt;"",C398,IF(P398&lt;=IFERROR(INDEX(tblChannels[Watched Through],MATCH(N398,tblChannels[Channel ID],0)),0),"Watched","Unwatched"))</f>
        <v/>
      </c>
      <c r="C398" s="40" t="n"/>
      <c r="D398" s="41" t="n"/>
      <c r="E398" s="42" t="n">
        <v>45751.41666666666</v>
      </c>
      <c r="F398" s="43" t="inlineStr">
        <is>
          <t>Popcorn Culture</t>
        </is>
      </c>
      <c r="G398" t="inlineStr">
        <is>
          <t>Ben’s House Got Struck by Lightning | Popcorn Culture</t>
        </is>
      </c>
      <c r="H398" s="44" t="n">
        <v>0.0525</v>
      </c>
      <c r="I398" s="45" t="n">
        <v>3828</v>
      </c>
      <c r="J398" s="45" t="n">
        <v>191</v>
      </c>
      <c r="K398" s="45" t="n">
        <v>16</v>
      </c>
      <c r="L398" s="46" t="n"/>
      <c r="M398" s="47" t="n"/>
      <c r="N398" s="47" t="inlineStr">
        <is>
          <t>UCHfIbq9thHPC8yrKjAdJgDA</t>
        </is>
      </c>
      <c r="O398" s="48" t="n">
        <v>45751.58333333334</v>
      </c>
      <c r="P398" s="49" t="n">
        <v>45751</v>
      </c>
      <c r="Q398" s="47" t="n">
        <v>2870</v>
      </c>
      <c r="R398" s="47" t="inlineStr">
        <is>
          <t>No Video ID yet</t>
        </is>
      </c>
      <c r="S398" s="49" t="n"/>
      <c r="T398" s="49" t="n"/>
      <c r="U398" s="47" t="inlineStr">
        <is>
          <t>In the 278th episode of the Pop, Ben and J discuss the chopping wood, garage cleaning, the rototiller, repetition, conversational crutches, becoming an expert, and research papers. Severance - Outliers - Sexy Home Organization 00:00 - Intro, Ben’s Logs 09:58 - J’s Garage 0:46:52 - Repeating Each Other 58:16 - 10,000 Hours</t>
        </is>
      </c>
      <c r="V398" s="47">
        <f>IF(AND(P398&gt;=Calendar!$K$2,P398&lt;EDATE(Calendar!$K$2,1),OR(Calendar!$K$4="*",N398=Calendar!$K$4)),P398*100+COUNTIFS($P$6:$P$3267,P398,$Q$6:$Q$3267,"&lt;="&amp;Q398,$N$6:$N$3267,Calendar!$K$4),"")</f>
        <v/>
      </c>
      <c r="W398" s="47">
        <f>IF(AND(B398=Queue!$C$4,OR(Queue!$K$4="*",N398=Queue!$K$4)),Q398,"")</f>
        <v/>
      </c>
    </row>
    <row r="399">
      <c r="A399" s="38">
        <f>IF(M399="","",HYPERLINK("https://www.youtube.com/watch?v="&amp;M399,"▶"))</f>
        <v/>
      </c>
      <c r="B399" s="39">
        <f>IF(C399&lt;&gt;"",C399,IF(P399&lt;=IFERROR(INDEX(tblChannels[Watched Through],MATCH(N399,tblChannels[Channel ID],0)),0),"Watched","Unwatched"))</f>
        <v/>
      </c>
      <c r="C399" s="40" t="n"/>
      <c r="D399" s="41" t="n"/>
      <c r="E399" s="42" t="n">
        <v>45750.70833333334</v>
      </c>
      <c r="F399" s="51" t="inlineStr">
        <is>
          <t>Through The Griffin Door</t>
        </is>
      </c>
      <c r="G399" t="inlineStr">
        <is>
          <t>Live in Nashville: Chapter 19: The Hungarian Horntail | Goblet of Fire</t>
        </is>
      </c>
      <c r="H399" s="44" t="n">
        <v>0.05064814814814815</v>
      </c>
      <c r="I399" s="45" t="n">
        <v>10811</v>
      </c>
      <c r="J399" s="45" t="n">
        <v>437</v>
      </c>
      <c r="K399" s="45" t="n">
        <v>66</v>
      </c>
      <c r="L399" s="46" t="n"/>
      <c r="M399" s="47" t="n"/>
      <c r="N399" s="47" t="inlineStr">
        <is>
          <t>UCEscP6ETYXWSSvsNrDHekMQ</t>
        </is>
      </c>
      <c r="O399" s="48" t="n">
        <v>45750.875</v>
      </c>
      <c r="P399" s="49" t="n">
        <v>45750</v>
      </c>
      <c r="Q399" s="47" t="n">
        <v>2869</v>
      </c>
      <c r="R399" s="47" t="inlineStr">
        <is>
          <t>No Video ID yet</t>
        </is>
      </c>
      <c r="S399" s="49" t="n"/>
      <c r="T399" s="49" t="n"/>
      <c r="U399" s="47" t="inlineStr">
        <is>
          <t>Join J and Ben as they dive BACK into Chapter 19 of the Goblet of Fire and discuss Rita’s article, going to Hogsmeade, Hagrid’s date, the dragons and talking to Sirius.</t>
        </is>
      </c>
      <c r="V399" s="47">
        <f>IF(AND(P399&gt;=Calendar!$K$2,P399&lt;EDATE(Calendar!$K$2,1),OR(Calendar!$K$4="*",N399=Calendar!$K$4)),P399*100+COUNTIFS($P$6:$P$3267,P399,$Q$6:$Q$3267,"&lt;="&amp;Q399,$N$6:$N$3267,Calendar!$K$4),"")</f>
        <v/>
      </c>
      <c r="W399" s="47">
        <f>IF(AND(B399=Queue!$C$4,OR(Queue!$K$4="*",N399=Queue!$K$4)),Q399,"")</f>
        <v/>
      </c>
    </row>
    <row r="400">
      <c r="A400" s="38">
        <f>IF(M400="","",HYPERLINK("https://www.youtube.com/watch?v="&amp;M400,"▶"))</f>
        <v/>
      </c>
      <c r="B400" s="39">
        <f>IF(C400&lt;&gt;"",C400,IF(P400&lt;=IFERROR(INDEX(tblChannels[Watched Through],MATCH(N400,tblChannels[Channel ID],0)),0),"Watched","Unwatched"))</f>
        <v/>
      </c>
      <c r="C400" s="40" t="n"/>
      <c r="D400" s="41" t="n"/>
      <c r="E400" s="42" t="n">
        <v>45749.70972222222</v>
      </c>
      <c r="F400" s="50" t="inlineStr">
        <is>
          <t>Super Carlin Brothers</t>
        </is>
      </c>
      <c r="G400" t="inlineStr">
        <is>
          <t>The DARK History of the Black Pearl | Pirates of the Caribbean Film Theory</t>
        </is>
      </c>
      <c r="H400" s="44" t="n">
        <v>0.0125462962962963</v>
      </c>
      <c r="I400" s="45" t="n">
        <v>157434</v>
      </c>
      <c r="J400" s="45" t="n">
        <v>7410</v>
      </c>
      <c r="K400" s="45" t="n">
        <v>779</v>
      </c>
      <c r="L400" s="46" t="n"/>
      <c r="M400" s="47" t="n"/>
      <c r="N400" s="47" t="inlineStr">
        <is>
          <t>UCKZo4N0lVPccBkSiuyVh4yg</t>
        </is>
      </c>
      <c r="O400" s="48" t="n">
        <v>45749.87638888889</v>
      </c>
      <c r="P400" s="49" t="n">
        <v>45749</v>
      </c>
      <c r="Q400" s="47" t="n">
        <v>2868</v>
      </c>
      <c r="R400" s="47" t="inlineStr">
        <is>
          <t>No Video ID yet</t>
        </is>
      </c>
      <c r="S400" s="49" t="n"/>
      <c r="T400" s="49" t="n"/>
      <c r="U400" s="47" t="inlineStr">
        <is>
          <t>Today J dives into the world of Pirates of the Caribbean to find unveil the secret dark history of Jack Sparrow and the Black Pearl! Why is the Black Pearl black? Why is the Black Pearl so fast? Is the ship actually cursed? How did Jack Sparrow come to own the Black Pearl?! #supercarlinbrothers #PiratesOfTheCaribbean #Disney Written by :: Jonathan &amp; Ben Carlin</t>
        </is>
      </c>
      <c r="V400" s="47">
        <f>IF(AND(P400&gt;=Calendar!$K$2,P400&lt;EDATE(Calendar!$K$2,1),OR(Calendar!$K$4="*",N400=Calendar!$K$4)),P400*100+COUNTIFS($P$6:$P$3267,P400,$Q$6:$Q$3267,"&lt;="&amp;Q400,$N$6:$N$3267,Calendar!$K$4),"")</f>
        <v/>
      </c>
      <c r="W400" s="47">
        <f>IF(AND(B400=Queue!$C$4,OR(Queue!$K$4="*",N400=Queue!$K$4)),Q400,"")</f>
        <v/>
      </c>
    </row>
    <row r="401">
      <c r="A401" s="38">
        <f>IF(M401="","",HYPERLINK("https://www.youtube.com/watch?v="&amp;M401,"▶"))</f>
        <v/>
      </c>
      <c r="B401" s="39">
        <f>IF(C401&lt;&gt;"",C401,IF(P401&lt;=IFERROR(INDEX(tblChannels[Watched Through],MATCH(N401,tblChannels[Channel ID],0)),0),"Watched","Unwatched"))</f>
        <v/>
      </c>
      <c r="C401" s="40" t="n"/>
      <c r="D401" s="41" t="n"/>
      <c r="E401" s="42" t="n">
        <v>45746.41666666666</v>
      </c>
      <c r="F401" s="51" t="inlineStr">
        <is>
          <t>Through The Griffin Door</t>
        </is>
      </c>
      <c r="G401" t="inlineStr">
        <is>
          <t>Chapter 19: The Hungarian Horntail | Goblet of Fire</t>
        </is>
      </c>
      <c r="H401" s="44" t="n">
        <v>0.06069444444444445</v>
      </c>
      <c r="I401" s="45" t="n">
        <v>56696</v>
      </c>
      <c r="J401" s="45" t="n">
        <v>1486</v>
      </c>
      <c r="K401" s="45" t="n">
        <v>374</v>
      </c>
      <c r="L401" s="46" t="n"/>
      <c r="M401" s="47" t="n"/>
      <c r="N401" s="47" t="inlineStr">
        <is>
          <t>UCEscP6ETYXWSSvsNrDHekMQ</t>
        </is>
      </c>
      <c r="O401" s="48" t="n">
        <v>45746.58333333334</v>
      </c>
      <c r="P401" s="49" t="n">
        <v>45746</v>
      </c>
      <c r="Q401" s="47" t="n">
        <v>2867</v>
      </c>
      <c r="R401" s="47" t="inlineStr">
        <is>
          <t>No Video ID yet</t>
        </is>
      </c>
      <c r="S401" s="49" t="n"/>
      <c r="T401" s="49" t="n"/>
      <c r="U401" s="47" t="inlineStr">
        <is>
          <t>Join J and Ben as they dive into Chapter 19 of the Goblet of Fire and discuss Rita’s article, going to Hogsmeade, Hagrid’s date, the dragons and talking to Sirius. The TRUTH About Hogwarts Origins - How Harry Mirror’s Every DRAGON - 08:26 - Chapter Breakdown 1:20:42 - Closing Thoughts and Review</t>
        </is>
      </c>
      <c r="V401" s="47">
        <f>IF(AND(P401&gt;=Calendar!$K$2,P401&lt;EDATE(Calendar!$K$2,1),OR(Calendar!$K$4="*",N401=Calendar!$K$4)),P401*100+COUNTIFS($P$6:$P$3267,P401,$Q$6:$Q$3267,"&lt;="&amp;Q401,$N$6:$N$3267,Calendar!$K$4),"")</f>
        <v/>
      </c>
      <c r="W401" s="47">
        <f>IF(AND(B401=Queue!$C$4,OR(Queue!$K$4="*",N401=Queue!$K$4)),Q401,"")</f>
        <v/>
      </c>
    </row>
    <row r="402">
      <c r="A402" s="38">
        <f>IF(M402="","",HYPERLINK("https://www.youtube.com/watch?v="&amp;M402,"▶"))</f>
        <v/>
      </c>
      <c r="B402" s="39">
        <f>IF(C402&lt;&gt;"",C402,IF(P402&lt;=IFERROR(INDEX(tblChannels[Watched Through],MATCH(N402,tblChannels[Channel ID],0)),0),"Watched","Unwatched"))</f>
        <v/>
      </c>
      <c r="C402" s="40" t="n"/>
      <c r="D402" s="41" t="n"/>
      <c r="E402" s="42" t="n">
        <v>45745.41666666666</v>
      </c>
      <c r="F402" s="50" t="inlineStr">
        <is>
          <t>Super Carlin Brothers</t>
        </is>
      </c>
      <c r="G402" t="inlineStr">
        <is>
          <t>Through the Griffin Door Supercut: Goblet of Fire Chapters 16-18</t>
        </is>
      </c>
      <c r="H402" s="44" t="n">
        <v>0.1984375</v>
      </c>
      <c r="I402" s="45" t="n">
        <v>15780</v>
      </c>
      <c r="J402" s="45" t="n">
        <v>273</v>
      </c>
      <c r="K402" s="45" t="n">
        <v>56</v>
      </c>
      <c r="L402" s="46" t="n"/>
      <c r="M402" s="47" t="n"/>
      <c r="N402" s="47" t="inlineStr">
        <is>
          <t>UCKZo4N0lVPccBkSiuyVh4yg</t>
        </is>
      </c>
      <c r="O402" s="48" t="n">
        <v>45745.58333333334</v>
      </c>
      <c r="P402" s="49" t="n">
        <v>45745</v>
      </c>
      <c r="Q402" s="47" t="n">
        <v>2866</v>
      </c>
      <c r="R402" s="47" t="inlineStr">
        <is>
          <t>No Video ID yet</t>
        </is>
      </c>
      <c r="S402" s="49" t="n"/>
      <c r="T402" s="49" t="n"/>
      <c r="U402" s="47" t="inlineStr">
        <is>
          <t>0:00:00 - Chapter 16: The Goblet of Fire 1:32:56 - Chapter 17: The Four Champions 3:05:07 - Chapter 18: The Weighing of the Wands</t>
        </is>
      </c>
      <c r="V402" s="47">
        <f>IF(AND(P402&gt;=Calendar!$K$2,P402&lt;EDATE(Calendar!$K$2,1),OR(Calendar!$K$4="*",N402=Calendar!$K$4)),P402*100+COUNTIFS($P$6:$P$3267,P402,$Q$6:$Q$3267,"&lt;="&amp;Q402,$N$6:$N$3267,Calendar!$K$4),"")</f>
        <v/>
      </c>
      <c r="W402" s="47">
        <f>IF(AND(B402=Queue!$C$4,OR(Queue!$K$4="*",N402=Queue!$K$4)),Q402,"")</f>
        <v/>
      </c>
    </row>
    <row r="403">
      <c r="A403" s="38">
        <f>IF(M403="","",HYPERLINK("https://www.youtube.com/watch?v="&amp;M403,"▶"))</f>
        <v/>
      </c>
      <c r="B403" s="39">
        <f>IF(C403&lt;&gt;"",C403,IF(P403&lt;=IFERROR(INDEX(tblChannels[Watched Through],MATCH(N403,tblChannels[Channel ID],0)),0),"Watched","Unwatched"))</f>
        <v/>
      </c>
      <c r="C403" s="40" t="n"/>
      <c r="D403" s="41" t="n"/>
      <c r="E403" s="42" t="n">
        <v>45745.23819444444</v>
      </c>
      <c r="F403" s="52" t="inlineStr">
        <is>
          <t>Super Carlin Gaming</t>
        </is>
      </c>
      <c r="G403" t="inlineStr">
        <is>
          <t>SURGING SPARKS - Pokemon Box Breakers SEASON 14-  Episode 2 - 03/28/2025</t>
        </is>
      </c>
      <c r="H403" s="44" t="n">
        <v>0.1165625</v>
      </c>
      <c r="I403" s="45" t="n">
        <v>1009</v>
      </c>
      <c r="J403" s="45" t="n">
        <v>37</v>
      </c>
      <c r="K403" s="45" t="n">
        <v>4</v>
      </c>
      <c r="L403" s="46" t="n"/>
      <c r="M403" s="47" t="n"/>
      <c r="N403" s="47" t="inlineStr">
        <is>
          <t>UCor_9jRnNNZVzTuQ92PKsaQ</t>
        </is>
      </c>
      <c r="O403" s="48" t="n">
        <v>45745.40486111111</v>
      </c>
      <c r="P403" s="49" t="n">
        <v>45745</v>
      </c>
      <c r="Q403" s="47" t="n">
        <v>2865</v>
      </c>
      <c r="R403" s="47" t="inlineStr">
        <is>
          <t>No Video ID yet</t>
        </is>
      </c>
      <c r="S403" s="49" t="n"/>
      <c r="T403" s="49" t="n"/>
      <c r="U403" s="47" t="n"/>
      <c r="V403" s="47">
        <f>IF(AND(P403&gt;=Calendar!$K$2,P403&lt;EDATE(Calendar!$K$2,1),OR(Calendar!$K$4="*",N403=Calendar!$K$4)),P403*100+COUNTIFS($P$6:$P$3267,P403,$Q$6:$Q$3267,"&lt;="&amp;Q403,$N$6:$N$3267,Calendar!$K$4),"")</f>
        <v/>
      </c>
      <c r="W403" s="47">
        <f>IF(AND(B403=Queue!$C$4,OR(Queue!$K$4="*",N403=Queue!$K$4)),Q403,"")</f>
        <v/>
      </c>
    </row>
    <row r="404">
      <c r="A404" s="38">
        <f>IF(M404="","",HYPERLINK("https://www.youtube.com/watch?v="&amp;M404,"▶"))</f>
        <v/>
      </c>
      <c r="B404" s="39">
        <f>IF(C404&lt;&gt;"",C404,IF(P404&lt;=IFERROR(INDEX(tblChannels[Watched Through],MATCH(N404,tblChannels[Channel ID],0)),0),"Watched","Unwatched"))</f>
        <v/>
      </c>
      <c r="C404" s="40" t="n"/>
      <c r="D404" s="41" t="n"/>
      <c r="E404" s="42" t="n">
        <v>45744.70763888889</v>
      </c>
      <c r="F404" s="50" t="inlineStr">
        <is>
          <t>Super Carlin Brothers</t>
        </is>
      </c>
      <c r="G404" t="inlineStr">
        <is>
          <t>Why Didn’t Voldemort KILL Slughorn!? | Harry Potter Film Theory</t>
        </is>
      </c>
      <c r="H404" s="44" t="n">
        <v>0.01232638888888889</v>
      </c>
      <c r="I404" s="45" t="n">
        <v>228648</v>
      </c>
      <c r="J404" s="45" t="n">
        <v>7461</v>
      </c>
      <c r="K404" s="45" t="n">
        <v>548</v>
      </c>
      <c r="L404" s="46" t="n"/>
      <c r="M404" s="47" t="n"/>
      <c r="N404" s="47" t="inlineStr">
        <is>
          <t>UCKZo4N0lVPccBkSiuyVh4yg</t>
        </is>
      </c>
      <c r="O404" s="48" t="n">
        <v>45744.87430555555</v>
      </c>
      <c r="P404" s="49" t="n">
        <v>45744</v>
      </c>
      <c r="Q404" s="47" t="n">
        <v>2864</v>
      </c>
      <c r="R404" s="47" t="inlineStr">
        <is>
          <t>No Video ID yet</t>
        </is>
      </c>
      <c r="S404" s="49" t="n"/>
      <c r="T404" s="49" t="n"/>
      <c r="U404" s="47" t="inlineStr">
        <is>
          <t>This episode is sponsored by Factor – Go to and use code super50off to get 50% off your first box plus free shipping. Today Ben dives into the Wizarding World of Harry Potter to reveal why Voldemort never killed Slughorn even though he possessed such sensitive and valuable information that lead to his downfall?! Written by :: Jonathan &amp; Ben Carlin</t>
        </is>
      </c>
      <c r="V404" s="47">
        <f>IF(AND(P404&gt;=Calendar!$K$2,P404&lt;EDATE(Calendar!$K$2,1),OR(Calendar!$K$4="*",N404=Calendar!$K$4)),P404*100+COUNTIFS($P$6:$P$3267,P404,$Q$6:$Q$3267,"&lt;="&amp;Q404,$N$6:$N$3267,Calendar!$K$4),"")</f>
        <v/>
      </c>
      <c r="W404" s="47">
        <f>IF(AND(B404=Queue!$C$4,OR(Queue!$K$4="*",N404=Queue!$K$4)),Q404,"")</f>
        <v/>
      </c>
    </row>
    <row r="405">
      <c r="A405" s="38">
        <f>IF(M405="","",HYPERLINK("https://www.youtube.com/watch?v="&amp;M405,"▶"))</f>
        <v/>
      </c>
      <c r="B405" s="39">
        <f>IF(C405&lt;&gt;"",C405,IF(P405&lt;=IFERROR(INDEX(tblChannels[Watched Through],MATCH(N405,tblChannels[Channel ID],0)),0),"Watched","Unwatched"))</f>
        <v/>
      </c>
      <c r="C405" s="40" t="n"/>
      <c r="D405" s="41" t="n"/>
      <c r="E405" s="42" t="n">
        <v>45744.42291666667</v>
      </c>
      <c r="F405" s="51" t="inlineStr">
        <is>
          <t>Through The Griffin Door</t>
        </is>
      </c>
      <c r="G405" t="inlineStr">
        <is>
          <t>Live in Atlanta: Chapter 18: Weighing of the Wands | Goblet of Fire</t>
        </is>
      </c>
      <c r="H405" s="44" t="n">
        <v>0.05873842592592592</v>
      </c>
      <c r="I405" s="45" t="n">
        <v>9928</v>
      </c>
      <c r="J405" s="45" t="n">
        <v>416</v>
      </c>
      <c r="K405" s="45" t="n">
        <v>134</v>
      </c>
      <c r="L405" s="46" t="n"/>
      <c r="M405" s="47" t="n"/>
      <c r="N405" s="47" t="inlineStr">
        <is>
          <t>UCEscP6ETYXWSSvsNrDHekMQ</t>
        </is>
      </c>
      <c r="O405" s="48" t="n">
        <v>45744.58958333333</v>
      </c>
      <c r="P405" s="49" t="n">
        <v>45744</v>
      </c>
      <c r="Q405" s="47" t="n">
        <v>2863</v>
      </c>
      <c r="R405" s="47" t="inlineStr">
        <is>
          <t>No Video ID yet</t>
        </is>
      </c>
      <c r="S405" s="49" t="n"/>
      <c r="T405" s="49" t="n"/>
      <c r="U405" s="47" t="inlineStr">
        <is>
          <t>J and Ben as they dive into BACK Chapter 18 of the Goblet of Fire and writing to Sirius, Rita Skeeter's introduction, Dumbledore's’ savage politeness, and wand components.</t>
        </is>
      </c>
      <c r="V405" s="47">
        <f>IF(AND(P405&gt;=Calendar!$K$2,P405&lt;EDATE(Calendar!$K$2,1),OR(Calendar!$K$4="*",N405=Calendar!$K$4)),P405*100+COUNTIFS($P$6:$P$3267,P405,$Q$6:$Q$3267,"&lt;="&amp;Q405,$N$6:$N$3267,Calendar!$K$4),"")</f>
        <v/>
      </c>
      <c r="W405" s="47">
        <f>IF(AND(B405=Queue!$C$4,OR(Queue!$K$4="*",N405=Queue!$K$4)),Q405,"")</f>
        <v/>
      </c>
    </row>
    <row r="406">
      <c r="A406" s="38">
        <f>IF(M406="","",HYPERLINK("https://www.youtube.com/watch?v="&amp;M406,"▶"))</f>
        <v/>
      </c>
      <c r="B406" s="39">
        <f>IF(C406&lt;&gt;"",C406,IF(P406&lt;=IFERROR(INDEX(tblChannels[Watched Through],MATCH(N406,tblChannels[Channel ID],0)),0),"Watched","Unwatched"))</f>
        <v/>
      </c>
      <c r="C406" s="40" t="n"/>
      <c r="D406" s="41" t="n"/>
      <c r="E406" s="42" t="n">
        <v>45744.41666666666</v>
      </c>
      <c r="F406" s="43" t="inlineStr">
        <is>
          <t>Popcorn Culture</t>
        </is>
      </c>
      <c r="G406" t="inlineStr">
        <is>
          <t>The Podcast is Mysterious and Important | Popcorn Culture</t>
        </is>
      </c>
      <c r="H406" s="44" t="n">
        <v>0.04209490740740741</v>
      </c>
      <c r="I406" s="45" t="n">
        <v>3005</v>
      </c>
      <c r="J406" s="45" t="n">
        <v>148</v>
      </c>
      <c r="K406" s="45" t="n">
        <v>21</v>
      </c>
      <c r="L406" s="46" t="n"/>
      <c r="M406" s="47" t="n"/>
      <c r="N406" s="47" t="inlineStr">
        <is>
          <t>UCHfIbq9thHPC8yrKjAdJgDA</t>
        </is>
      </c>
      <c r="O406" s="48" t="n">
        <v>45744.58333333334</v>
      </c>
      <c r="P406" s="49" t="n">
        <v>45744</v>
      </c>
      <c r="Q406" s="47" t="n">
        <v>2862</v>
      </c>
      <c r="R406" s="47" t="inlineStr">
        <is>
          <t>No Video ID yet</t>
        </is>
      </c>
      <c r="S406" s="49" t="n"/>
      <c r="T406" s="49" t="n"/>
      <c r="U406" s="47" t="inlineStr">
        <is>
          <t>In the 277th episode of the Pop, Ben and J discuss the show Severance, Ben’s felled tree, and J’s peach tree. Severance - Project Hail Mary - How Do You Take Down a Tree Smarter not Topper Infiltrating the HOA 00:00 - Intro, Severance 27:04 - Trees</t>
        </is>
      </c>
      <c r="V406" s="47">
        <f>IF(AND(P406&gt;=Calendar!$K$2,P406&lt;EDATE(Calendar!$K$2,1),OR(Calendar!$K$4="*",N406=Calendar!$K$4)),P406*100+COUNTIFS($P$6:$P$3267,P406,$Q$6:$Q$3267,"&lt;="&amp;Q406,$N$6:$N$3267,Calendar!$K$4),"")</f>
        <v/>
      </c>
      <c r="W406" s="47">
        <f>IF(AND(B406=Queue!$C$4,OR(Queue!$K$4="*",N406=Queue!$K$4)),Q406,"")</f>
        <v/>
      </c>
    </row>
    <row r="407">
      <c r="A407" s="38">
        <f>IF(M407="","",HYPERLINK("https://www.youtube.com/watch?v="&amp;M407,"▶"))</f>
        <v/>
      </c>
      <c r="B407" s="39">
        <f>IF(C407&lt;&gt;"",C407,IF(P407&lt;=IFERROR(INDEX(tblChannels[Watched Through],MATCH(N407,tblChannels[Channel ID],0)),0),"Watched","Unwatched"))</f>
        <v/>
      </c>
      <c r="C407" s="40" t="n"/>
      <c r="D407" s="41" t="n"/>
      <c r="E407" s="42" t="n">
        <v>45742.71944444445</v>
      </c>
      <c r="F407" s="50" t="inlineStr">
        <is>
          <t>Super Carlin Brothers</t>
        </is>
      </c>
      <c r="G407" t="inlineStr">
        <is>
          <t>J vs Ben: HARDEST Half-Blood Prince Movie Harry Potter Trivia Quiz EVER</t>
        </is>
      </c>
      <c r="H407" s="44" t="n">
        <v>0.02831018518518518</v>
      </c>
      <c r="I407" s="45" t="n">
        <v>126952</v>
      </c>
      <c r="J407" s="45" t="n">
        <v>4357</v>
      </c>
      <c r="K407" s="45" t="n">
        <v>679</v>
      </c>
      <c r="L407" s="46" t="n"/>
      <c r="M407" s="47" t="n"/>
      <c r="N407" s="47" t="inlineStr">
        <is>
          <t>UCKZo4N0lVPccBkSiuyVh4yg</t>
        </is>
      </c>
      <c r="O407" s="48" t="n">
        <v>45742.88611111111</v>
      </c>
      <c r="P407" s="49" t="n">
        <v>45742</v>
      </c>
      <c r="Q407" s="47" t="n">
        <v>2861</v>
      </c>
      <c r="R407" s="47" t="inlineStr">
        <is>
          <t>No Video ID yet</t>
        </is>
      </c>
      <c r="S407" s="49" t="n"/>
      <c r="T407" s="49" t="n"/>
      <c r="U407" s="47" t="inlineStr">
        <is>
          <t>Go to to get up to 10 free meals and a free high protein item for life. Today J and Ben face off once more to find out who knows the MOST about Harry Potter and the Half Blood Prince MOVIE! And let me just say… when it comes to Slughorn’s fish.. Even though we are wrong… I think we all know we are right. Written by :: Our Quiz Masters! Hosted by :: Isybelle Christley</t>
        </is>
      </c>
      <c r="V407" s="47">
        <f>IF(AND(P407&gt;=Calendar!$K$2,P407&lt;EDATE(Calendar!$K$2,1),OR(Calendar!$K$4="*",N407=Calendar!$K$4)),P407*100+COUNTIFS($P$6:$P$3267,P407,$Q$6:$Q$3267,"&lt;="&amp;Q407,$N$6:$N$3267,Calendar!$K$4),"")</f>
        <v/>
      </c>
      <c r="W407" s="47">
        <f>IF(AND(B407=Queue!$C$4,OR(Queue!$K$4="*",N407=Queue!$K$4)),Q407,"")</f>
        <v/>
      </c>
    </row>
    <row r="408">
      <c r="A408" s="38">
        <f>IF(M408="","",HYPERLINK("https://www.youtube.com/watch?v="&amp;M408,"▶"))</f>
        <v/>
      </c>
      <c r="B408" s="39">
        <f>IF(C408&lt;&gt;"",C408,IF(P408&lt;=IFERROR(INDEX(tblChannels[Watched Through],MATCH(N408,tblChannels[Channel ID],0)),0),"Watched","Unwatched"))</f>
        <v/>
      </c>
      <c r="C408" s="40" t="n"/>
      <c r="D408" s="41" t="n"/>
      <c r="E408" s="42" t="n">
        <v>45739.41666666666</v>
      </c>
      <c r="F408" s="51" t="inlineStr">
        <is>
          <t>Through The Griffin Door</t>
        </is>
      </c>
      <c r="G408" t="inlineStr">
        <is>
          <t>Chapter 18: Weighing of the Wands | Goblet of Fire</t>
        </is>
      </c>
      <c r="H408" s="44" t="n">
        <v>0.07116898148148149</v>
      </c>
      <c r="I408" s="45" t="n">
        <v>62788</v>
      </c>
      <c r="J408" s="45" t="n">
        <v>1619</v>
      </c>
      <c r="K408" s="45" t="n">
        <v>378</v>
      </c>
      <c r="L408" s="46" t="n"/>
      <c r="M408" s="47" t="n"/>
      <c r="N408" s="47" t="inlineStr">
        <is>
          <t>UCEscP6ETYXWSSvsNrDHekMQ</t>
        </is>
      </c>
      <c r="O408" s="48" t="n">
        <v>45739.58333333334</v>
      </c>
      <c r="P408" s="49" t="n">
        <v>45739</v>
      </c>
      <c r="Q408" s="47" t="n">
        <v>2860</v>
      </c>
      <c r="R408" s="47" t="inlineStr">
        <is>
          <t>No Video ID yet</t>
        </is>
      </c>
      <c r="S408" s="49" t="n"/>
      <c r="T408" s="49" t="n"/>
      <c r="U408" s="47" t="inlineStr">
        <is>
          <t>This episode is sponsored by Turtle Beach – Level up your game and get 10% off @TurtleBeach with code GRIFFIN at #turtlebeachpod Join J and Ben as they dive into Chapter 18 of the Goblet of Fire and discuss some Harmione moments, writing to Sirius, how the rest of the school treats Harry, Rita Skeeter’s official introduction, Dumbledores’ savage politeness, and wand components. 04:11 - Chapter Breakdown 30:22 - Ad Break 32:12 - More Chapter Breakdown 1:32:32- Closing Thoughts and Review</t>
        </is>
      </c>
      <c r="V408" s="47">
        <f>IF(AND(P408&gt;=Calendar!$K$2,P408&lt;EDATE(Calendar!$K$2,1),OR(Calendar!$K$4="*",N408=Calendar!$K$4)),P408*100+COUNTIFS($P$6:$P$3267,P408,$Q$6:$Q$3267,"&lt;="&amp;Q408,$N$6:$N$3267,Calendar!$K$4),"")</f>
        <v/>
      </c>
      <c r="W408" s="47">
        <f>IF(AND(B408=Queue!$C$4,OR(Queue!$K$4="*",N408=Queue!$K$4)),Q408,"")</f>
        <v/>
      </c>
    </row>
    <row r="409">
      <c r="A409" s="38">
        <f>IF(M409="","",HYPERLINK("https://www.youtube.com/watch?v="&amp;M409,"▶"))</f>
        <v/>
      </c>
      <c r="B409" s="39">
        <f>IF(C409&lt;&gt;"",C409,IF(P409&lt;=IFERROR(INDEX(tblChannels[Watched Through],MATCH(N409,tblChannels[Channel ID],0)),0),"Watched","Unwatched"))</f>
        <v/>
      </c>
      <c r="C409" s="40" t="n"/>
      <c r="D409" s="41" t="n"/>
      <c r="E409" s="42" t="n">
        <v>45737.68263888889</v>
      </c>
      <c r="F409" s="50" t="inlineStr">
        <is>
          <t>Super Carlin Brothers</t>
        </is>
      </c>
      <c r="G409" t="inlineStr">
        <is>
          <t>The WILD Mystery of the Sorting Hat Stool | Harry Potter Film Theory</t>
        </is>
      </c>
      <c r="H409" s="44" t="n">
        <v>0.01234953703703704</v>
      </c>
      <c r="I409" s="45" t="n">
        <v>79703</v>
      </c>
      <c r="J409" s="45" t="n">
        <v>4127</v>
      </c>
      <c r="K409" s="45" t="n">
        <v>560</v>
      </c>
      <c r="L409" s="46" t="n"/>
      <c r="M409" s="47" t="n"/>
      <c r="N409" s="47" t="inlineStr">
        <is>
          <t>UCKZo4N0lVPccBkSiuyVh4yg</t>
        </is>
      </c>
      <c r="O409" s="48" t="n">
        <v>45737.84930555556</v>
      </c>
      <c r="P409" s="49" t="n">
        <v>45737</v>
      </c>
      <c r="Q409" s="47" t="n">
        <v>2859</v>
      </c>
      <c r="R409" s="47" t="inlineStr">
        <is>
          <t>No Video ID yet</t>
        </is>
      </c>
      <c r="S409" s="49" t="n"/>
      <c r="T409" s="49" t="n"/>
      <c r="U409" s="47" t="inlineStr">
        <is>
          <t>This episode is sponsored by BetterHelp – go to to get 10% off your first month. This episode is sponsored by MeUndies – Go to and use code SUPER to get 20% off your first order, plus free shipping on orders of $75 or more. Today Ben dives into the Wizarding World of Harry Potter to try and figure out a basic question - How Many legs does the sorting hat stool have? While seemingly innocuous this little details has flitted back and fourth for YEARS now! And why change it? Does it matter? It must if they are changing it right? RIGHT? Written by :: Jonathan Carlin &amp; Ben Carlin</t>
        </is>
      </c>
      <c r="V409" s="47">
        <f>IF(AND(P409&gt;=Calendar!$K$2,P409&lt;EDATE(Calendar!$K$2,1),OR(Calendar!$K$4="*",N409=Calendar!$K$4)),P409*100+COUNTIFS($P$6:$P$3267,P409,$Q$6:$Q$3267,"&lt;="&amp;Q409,$N$6:$N$3267,Calendar!$K$4),"")</f>
        <v/>
      </c>
      <c r="W409" s="47">
        <f>IF(AND(B409=Queue!$C$4,OR(Queue!$K$4="*",N409=Queue!$K$4)),Q409,"")</f>
        <v/>
      </c>
    </row>
    <row r="410">
      <c r="A410" s="38">
        <f>IF(M410="","",HYPERLINK("https://www.youtube.com/watch?v="&amp;M410,"▶"))</f>
        <v/>
      </c>
      <c r="B410" s="39">
        <f>IF(C410&lt;&gt;"",C410,IF(P410&lt;=IFERROR(INDEX(tblChannels[Watched Through],MATCH(N410,tblChannels[Channel ID],0)),0),"Watched","Unwatched"))</f>
        <v/>
      </c>
      <c r="C410" s="40" t="n"/>
      <c r="D410" s="41" t="n"/>
      <c r="E410" s="42" t="n">
        <v>45737.41666666666</v>
      </c>
      <c r="F410" s="43" t="inlineStr">
        <is>
          <t>Popcorn Culture</t>
        </is>
      </c>
      <c r="G410" t="inlineStr">
        <is>
          <t>Paint Patrick’s Day | Popcorn Culture</t>
        </is>
      </c>
      <c r="H410" s="44" t="n">
        <v>0.04599537037037037</v>
      </c>
      <c r="I410" s="45" t="n">
        <v>3277</v>
      </c>
      <c r="J410" s="45" t="n">
        <v>162</v>
      </c>
      <c r="K410" s="45" t="n">
        <v>21</v>
      </c>
      <c r="L410" s="46" t="n"/>
      <c r="M410" s="47" t="n"/>
      <c r="N410" s="47" t="inlineStr">
        <is>
          <t>UCHfIbq9thHPC8yrKjAdJgDA</t>
        </is>
      </c>
      <c r="O410" s="48" t="n">
        <v>45737.58333333334</v>
      </c>
      <c r="P410" s="49" t="n">
        <v>45737</v>
      </c>
      <c r="Q410" s="47" t="n">
        <v>2858</v>
      </c>
      <c r="R410" s="47" t="inlineStr">
        <is>
          <t>No Video ID yet</t>
        </is>
      </c>
      <c r="S410" s="49" t="n"/>
      <c r="T410" s="49" t="n"/>
      <c r="U410" s="47" t="inlineStr">
        <is>
          <t>In the 276th episode of the Pop, Ben and J discuss their Irish heritage, the anniversary of the Celtics game, parades, papier mache dinosaur, Ben getting botox, fashion through the ages, Make a Bold Choice 00:00 - Intro, St. Patrick’s Day 25:53 - Ben’s Botox 43:38 - Caveman Times 55:10 - J’s Bachelor Party</t>
        </is>
      </c>
      <c r="V410" s="47">
        <f>IF(AND(P410&gt;=Calendar!$K$2,P410&lt;EDATE(Calendar!$K$2,1),OR(Calendar!$K$4="*",N410=Calendar!$K$4)),P410*100+COUNTIFS($P$6:$P$3267,P410,$Q$6:$Q$3267,"&lt;="&amp;Q410,$N$6:$N$3267,Calendar!$K$4),"")</f>
        <v/>
      </c>
      <c r="W410" s="47">
        <f>IF(AND(B410=Queue!$C$4,OR(Queue!$K$4="*",N410=Queue!$K$4)),Q410,"")</f>
        <v/>
      </c>
    </row>
    <row r="411">
      <c r="A411" s="38">
        <f>IF(M411="","",HYPERLINK("https://www.youtube.com/watch?v="&amp;M411,"▶"))</f>
        <v/>
      </c>
      <c r="B411" s="39">
        <f>IF(C411&lt;&gt;"",C411,IF(P411&lt;=IFERROR(INDEX(tblChannels[Watched Through],MATCH(N411,tblChannels[Channel ID],0)),0),"Watched","Unwatched"))</f>
        <v/>
      </c>
      <c r="C411" s="40" t="n"/>
      <c r="D411" s="41" t="n"/>
      <c r="E411" s="42" t="n">
        <v>45736.70833333334</v>
      </c>
      <c r="F411" s="51" t="inlineStr">
        <is>
          <t>Through The Griffin Door</t>
        </is>
      </c>
      <c r="G411" t="inlineStr">
        <is>
          <t>Live in Jacksonville: Chapter 17: The Four Champions | Goblet of Fire</t>
        </is>
      </c>
      <c r="H411" s="44" t="n">
        <v>0.04886574074074074</v>
      </c>
      <c r="I411" s="45" t="n">
        <v>10617</v>
      </c>
      <c r="J411" s="45" t="n">
        <v>413</v>
      </c>
      <c r="K411" s="45" t="n">
        <v>81</v>
      </c>
      <c r="L411" s="46" t="n"/>
      <c r="M411" s="47" t="n"/>
      <c r="N411" s="47" t="inlineStr">
        <is>
          <t>UCEscP6ETYXWSSvsNrDHekMQ</t>
        </is>
      </c>
      <c r="O411" s="48" t="n">
        <v>45736.875</v>
      </c>
      <c r="P411" s="49" t="n">
        <v>45736</v>
      </c>
      <c r="Q411" s="47" t="n">
        <v>2857</v>
      </c>
      <c r="R411" s="47" t="inlineStr">
        <is>
          <t>No Video ID yet</t>
        </is>
      </c>
      <c r="S411" s="49" t="n"/>
      <c r="T411" s="49" t="n"/>
      <c r="U411" s="47" t="inlineStr">
        <is>
          <t>Join J and Ben as they dive BACK into Chapter 17 of the Goblet of Fire and discuss Harry getting chosen and everyone’s reactions, Dumbledore’s famous line, Dumbledore wanting a drink, and Ron’s jealousy.</t>
        </is>
      </c>
      <c r="V411" s="47">
        <f>IF(AND(P411&gt;=Calendar!$K$2,P411&lt;EDATE(Calendar!$K$2,1),OR(Calendar!$K$4="*",N411=Calendar!$K$4)),P411*100+COUNTIFS($P$6:$P$3267,P411,$Q$6:$Q$3267,"&lt;="&amp;Q411,$N$6:$N$3267,Calendar!$K$4),"")</f>
        <v/>
      </c>
      <c r="W411" s="47">
        <f>IF(AND(B411=Queue!$C$4,OR(Queue!$K$4="*",N411=Queue!$K$4)),Q411,"")</f>
        <v/>
      </c>
    </row>
    <row r="412">
      <c r="A412" s="38">
        <f>IF(M412="","",HYPERLINK("https://www.youtube.com/watch?v="&amp;M412,"▶"))</f>
        <v/>
      </c>
      <c r="B412" s="39">
        <f>IF(C412&lt;&gt;"",C412,IF(P412&lt;=IFERROR(INDEX(tblChannels[Watched Through],MATCH(N412,tblChannels[Channel ID],0)),0),"Watched","Unwatched"))</f>
        <v/>
      </c>
      <c r="C412" s="40" t="n"/>
      <c r="D412" s="41" t="n"/>
      <c r="E412" s="42" t="n">
        <v>45735.675</v>
      </c>
      <c r="F412" s="50" t="inlineStr">
        <is>
          <t>Super Carlin Brothers</t>
        </is>
      </c>
      <c r="G412" t="inlineStr">
        <is>
          <t>What If NOBODY Heard the Chosen One Prophecy? | Harry Potter Film Theory</t>
        </is>
      </c>
      <c r="H412" s="44" t="n">
        <v>0.0125</v>
      </c>
      <c r="I412" s="45" t="n">
        <v>149756</v>
      </c>
      <c r="J412" s="45" t="n">
        <v>5983</v>
      </c>
      <c r="K412" s="45" t="n">
        <v>703</v>
      </c>
      <c r="L412" s="46" t="n"/>
      <c r="M412" s="47" t="n"/>
      <c r="N412" s="47" t="inlineStr">
        <is>
          <t>UCKZo4N0lVPccBkSiuyVh4yg</t>
        </is>
      </c>
      <c r="O412" s="48" t="n">
        <v>45735.84166666667</v>
      </c>
      <c r="P412" s="49" t="n">
        <v>45735</v>
      </c>
      <c r="Q412" s="47" t="n">
        <v>2856</v>
      </c>
      <c r="R412" s="47" t="inlineStr">
        <is>
          <t>No Video ID yet</t>
        </is>
      </c>
      <c r="S412" s="49" t="n"/>
      <c r="T412" s="49" t="n"/>
      <c r="U412" s="47" t="inlineStr">
        <is>
          <t>This episode is sponsored by BetterHelp — go to to get 10% off your first month. Today J dives into the Wizarding World of Harry Potter to find out what might have happened if NOBODY had heard professor Trelawny give the prophecy about “The Chosen One” with the power to defeat the Dark Lord! Would Voldemort still attack Harry? Would The Potters still go into hiding? Would Voldemort just… win? Written by :: Jonathan Carlin &amp; Ben Carlin</t>
        </is>
      </c>
      <c r="V412" s="47">
        <f>IF(AND(P412&gt;=Calendar!$K$2,P412&lt;EDATE(Calendar!$K$2,1),OR(Calendar!$K$4="*",N412=Calendar!$K$4)),P412*100+COUNTIFS($P$6:$P$3267,P412,$Q$6:$Q$3267,"&lt;="&amp;Q412,$N$6:$N$3267,Calendar!$K$4),"")</f>
        <v/>
      </c>
      <c r="W412" s="47">
        <f>IF(AND(B412=Queue!$C$4,OR(Queue!$K$4="*",N412=Queue!$K$4)),Q412,"")</f>
        <v/>
      </c>
    </row>
    <row r="413">
      <c r="A413" s="38">
        <f>IF(M413="","",HYPERLINK("https://www.youtube.com/watch?v="&amp;M413,"▶"))</f>
        <v/>
      </c>
      <c r="B413" s="39">
        <f>IF(C413&lt;&gt;"",C413,IF(P413&lt;=IFERROR(INDEX(tblChannels[Watched Through],MATCH(N413,tblChannels[Channel ID],0)),0),"Watched","Unwatched"))</f>
        <v/>
      </c>
      <c r="C413" s="40" t="n"/>
      <c r="D413" s="41" t="n"/>
      <c r="E413" s="42" t="n">
        <v>45732.41666666666</v>
      </c>
      <c r="F413" s="51" t="inlineStr">
        <is>
          <t>Through The Griffin Door</t>
        </is>
      </c>
      <c r="G413" t="inlineStr">
        <is>
          <t>Chapter 17: The Four Champions | Goblet of Fire</t>
        </is>
      </c>
      <c r="H413" s="44" t="n">
        <v>0.06517361111111111</v>
      </c>
      <c r="I413" s="45" t="n">
        <v>57666</v>
      </c>
      <c r="J413" s="45" t="n">
        <v>1651</v>
      </c>
      <c r="K413" s="45" t="n">
        <v>431</v>
      </c>
      <c r="L413" s="46" t="n"/>
      <c r="M413" s="47" t="n"/>
      <c r="N413" s="47" t="inlineStr">
        <is>
          <t>UCEscP6ETYXWSSvsNrDHekMQ</t>
        </is>
      </c>
      <c r="O413" s="48" t="n">
        <v>45732.58333333334</v>
      </c>
      <c r="P413" s="49" t="n">
        <v>45732</v>
      </c>
      <c r="Q413" s="47" t="n">
        <v>2855</v>
      </c>
      <c r="R413" s="47" t="inlineStr">
        <is>
          <t>No Video ID yet</t>
        </is>
      </c>
      <c r="S413" s="49" t="n"/>
      <c r="T413" s="49" t="n"/>
      <c r="U413" s="47" t="inlineStr">
        <is>
          <t>This episode is sponsored by Shopify — Go to to sign up for your $1-per-month trial period. Join J and Ben as they dive into Chapter 17 of the Goblet of Fire and discuss Harry getting chosen and everyone’s reactions, lots of red herring bait, Dumbledore’s famous line, the Imperius curse, Dumbledore wanting a drink, and Ron’s jealousy. Get Your Sorting Candle Here: 09:17 - Chapter Breakdown 33:45 - Ad Break 34:56 - More Chapter Breakdown 1:26:17 - Closing Thoughts and Review</t>
        </is>
      </c>
      <c r="V413" s="47">
        <f>IF(AND(P413&gt;=Calendar!$K$2,P413&lt;EDATE(Calendar!$K$2,1),OR(Calendar!$K$4="*",N413=Calendar!$K$4)),P413*100+COUNTIFS($P$6:$P$3267,P413,$Q$6:$Q$3267,"&lt;="&amp;Q413,$N$6:$N$3267,Calendar!$K$4),"")</f>
        <v/>
      </c>
      <c r="W413" s="47">
        <f>IF(AND(B413=Queue!$C$4,OR(Queue!$K$4="*",N413=Queue!$K$4)),Q413,"")</f>
        <v/>
      </c>
    </row>
    <row r="414">
      <c r="A414" s="38">
        <f>IF(M414="","",HYPERLINK("https://www.youtube.com/watch?v="&amp;M414,"▶"))</f>
        <v/>
      </c>
      <c r="B414" s="39">
        <f>IF(C414&lt;&gt;"",C414,IF(P414&lt;=IFERROR(INDEX(tblChannels[Watched Through],MATCH(N414,tblChannels[Channel ID],0)),0),"Watched","Unwatched"))</f>
        <v/>
      </c>
      <c r="C414" s="40" t="n"/>
      <c r="D414" s="41" t="n"/>
      <c r="E414" s="42" t="n">
        <v>45731.625</v>
      </c>
      <c r="F414" s="50" t="inlineStr">
        <is>
          <t>Super Carlin Brothers</t>
        </is>
      </c>
      <c r="G414" t="inlineStr">
        <is>
          <t>J vs Ben: Special Edition Harry Potter TRIVIA | Mary Murphy Tribute</t>
        </is>
      </c>
      <c r="H414" s="44" t="n">
        <v>0.01541666666666667</v>
      </c>
      <c r="I414" s="45" t="n">
        <v>81356</v>
      </c>
      <c r="J414" s="45" t="n">
        <v>5504</v>
      </c>
      <c r="K414" s="45" t="n">
        <v>572</v>
      </c>
      <c r="L414" s="46" t="n"/>
      <c r="M414" s="47" t="n"/>
      <c r="N414" s="47" t="inlineStr">
        <is>
          <t>UCKZo4N0lVPccBkSiuyVh4yg</t>
        </is>
      </c>
      <c r="O414" s="48" t="n">
        <v>45731.79166666666</v>
      </c>
      <c r="P414" s="49" t="n">
        <v>45731</v>
      </c>
      <c r="Q414" s="47" t="n">
        <v>2854</v>
      </c>
      <c r="R414" s="47" t="inlineStr">
        <is>
          <t>No Video ID yet</t>
        </is>
      </c>
      <c r="S414" s="49" t="n"/>
      <c r="T414" s="49" t="n"/>
      <c r="U414" s="47" t="inlineStr">
        <is>
          <t>Today we are giving you guys a Special Episode of J vs Ben dedicated to a Quiz Master who was recently taken from us by Cancer: Mary Murphy. Mary was a long-time patron and Quiz Master and would watch SCB videos and J vs Ben’s during chemo treatments and our community will miss her. Please Consider Donating :: Written by :: Quiz Master Mary Murphy Hosted by :: Ethan Edghill &amp; Kat Stine</t>
        </is>
      </c>
      <c r="V414" s="47">
        <f>IF(AND(P414&gt;=Calendar!$K$2,P414&lt;EDATE(Calendar!$K$2,1),OR(Calendar!$K$4="*",N414=Calendar!$K$4)),P414*100+COUNTIFS($P$6:$P$3267,P414,$Q$6:$Q$3267,"&lt;="&amp;Q414,$N$6:$N$3267,Calendar!$K$4),"")</f>
        <v/>
      </c>
      <c r="W414" s="47">
        <f>IF(AND(B414=Queue!$C$4,OR(Queue!$K$4="*",N414=Queue!$K$4)),Q414,"")</f>
        <v/>
      </c>
    </row>
    <row r="415">
      <c r="A415" s="38">
        <f>IF(M415="","",HYPERLINK("https://www.youtube.com/watch?v="&amp;M415,"▶"))</f>
        <v/>
      </c>
      <c r="B415" s="39">
        <f>IF(C415&lt;&gt;"",C415,IF(P415&lt;=IFERROR(INDEX(tblChannels[Watched Through],MATCH(N415,tblChannels[Channel ID],0)),0),"Watched","Unwatched"))</f>
        <v/>
      </c>
      <c r="C415" s="40" t="n"/>
      <c r="D415" s="41" t="n"/>
      <c r="E415" s="42" t="n">
        <v>45731.21597222222</v>
      </c>
      <c r="F415" s="52" t="inlineStr">
        <is>
          <t>Super Carlin Gaming</t>
        </is>
      </c>
      <c r="G415" t="inlineStr">
        <is>
          <t>SURGING SPARKS - Pokemon Box Breakers SEASON 14-  Episode 1 - 03/14/2025 (Happy Pi Day!)</t>
        </is>
      </c>
      <c r="H415" s="44" t="n">
        <v>0.1165046296296296</v>
      </c>
      <c r="I415" s="45" t="n">
        <v>1076</v>
      </c>
      <c r="J415" s="45" t="n">
        <v>46</v>
      </c>
      <c r="K415" s="45" t="n">
        <v>3</v>
      </c>
      <c r="L415" s="46" t="n"/>
      <c r="M415" s="47" t="n"/>
      <c r="N415" s="47" t="inlineStr">
        <is>
          <t>UCor_9jRnNNZVzTuQ92PKsaQ</t>
        </is>
      </c>
      <c r="O415" s="48" t="n">
        <v>45731.38263888889</v>
      </c>
      <c r="P415" s="49" t="n">
        <v>45731</v>
      </c>
      <c r="Q415" s="47" t="n">
        <v>2853</v>
      </c>
      <c r="R415" s="47" t="inlineStr">
        <is>
          <t>No Video ID yet</t>
        </is>
      </c>
      <c r="S415" s="49" t="n"/>
      <c r="T415" s="49" t="n"/>
      <c r="U415" s="47" t="n"/>
      <c r="V415" s="47">
        <f>IF(AND(P415&gt;=Calendar!$K$2,P415&lt;EDATE(Calendar!$K$2,1),OR(Calendar!$K$4="*",N415=Calendar!$K$4)),P415*100+COUNTIFS($P$6:$P$3267,P415,$Q$6:$Q$3267,"&lt;="&amp;Q415,$N$6:$N$3267,Calendar!$K$4),"")</f>
        <v/>
      </c>
      <c r="W415" s="47">
        <f>IF(AND(B415=Queue!$C$4,OR(Queue!$K$4="*",N415=Queue!$K$4)),Q415,"")</f>
        <v/>
      </c>
    </row>
    <row r="416">
      <c r="A416" s="38">
        <f>IF(M416="","",HYPERLINK("https://www.youtube.com/watch?v="&amp;M416,"▶"))</f>
        <v/>
      </c>
      <c r="B416" s="39">
        <f>IF(C416&lt;&gt;"",C416,IF(P416&lt;=IFERROR(INDEX(tblChannels[Watched Through],MATCH(N416,tblChannels[Channel ID],0)),0),"Watched","Unwatched"))</f>
        <v/>
      </c>
      <c r="C416" s="40" t="n"/>
      <c r="D416" s="41" t="n"/>
      <c r="E416" s="42" t="n">
        <v>45730.71319444444</v>
      </c>
      <c r="F416" s="50" t="inlineStr">
        <is>
          <t>Super Carlin Brothers</t>
        </is>
      </c>
      <c r="G416" t="inlineStr">
        <is>
          <t>Wicked Predictions - REACTING To Our Old Theories!</t>
        </is>
      </c>
      <c r="H416" s="44" t="n">
        <v>0.04440972222222223</v>
      </c>
      <c r="I416" s="45" t="n">
        <v>52512</v>
      </c>
      <c r="J416" s="45" t="n">
        <v>2197</v>
      </c>
      <c r="K416" s="45" t="n">
        <v>656</v>
      </c>
      <c r="L416" s="46" t="n"/>
      <c r="M416" s="47" t="n"/>
      <c r="N416" s="47" t="inlineStr">
        <is>
          <t>UCKZo4N0lVPccBkSiuyVh4yg</t>
        </is>
      </c>
      <c r="O416" s="48" t="n">
        <v>45730.87986111111</v>
      </c>
      <c r="P416" s="49" t="n">
        <v>45730</v>
      </c>
      <c r="Q416" s="47" t="n">
        <v>2852</v>
      </c>
      <c r="R416" s="47" t="inlineStr">
        <is>
          <t>No Video ID yet</t>
        </is>
      </c>
      <c r="S416" s="49" t="n"/>
      <c r="T416" s="49" t="n"/>
      <c r="U416" s="47" t="inlineStr">
        <is>
          <t>This episode is sponsored by BetterHelp — go to to get 10% off your first month. This episode is sponsored by Shopify — Go to to sign up for your $1-per-month trial period. We finally saw WICKED on Broadway and at LOOOONG last know the ending of Wicked and can therefore react to the theories we made after seeing part 1 in theatres! Where were we right? Where were we wrong? Did we invent any new theories? Original Wicked Theories :: #supercarlinbrothers #Wicked #Broadway Written by :: Jonathan Carlin &amp; Ben Carlin</t>
        </is>
      </c>
      <c r="V416" s="47">
        <f>IF(AND(P416&gt;=Calendar!$K$2,P416&lt;EDATE(Calendar!$K$2,1),OR(Calendar!$K$4="*",N416=Calendar!$K$4)),P416*100+COUNTIFS($P$6:$P$3267,P416,$Q$6:$Q$3267,"&lt;="&amp;Q416,$N$6:$N$3267,Calendar!$K$4),"")</f>
        <v/>
      </c>
      <c r="W416" s="47">
        <f>IF(AND(B416=Queue!$C$4,OR(Queue!$K$4="*",N416=Queue!$K$4)),Q416,"")</f>
        <v/>
      </c>
    </row>
    <row r="417">
      <c r="A417" s="38">
        <f>IF(M417="","",HYPERLINK("https://www.youtube.com/watch?v="&amp;M417,"▶"))</f>
        <v/>
      </c>
      <c r="B417" s="39">
        <f>IF(C417&lt;&gt;"",C417,IF(P417&lt;=IFERROR(INDEX(tblChannels[Watched Through],MATCH(N417,tblChannels[Channel ID],0)),0),"Watched","Unwatched"))</f>
        <v/>
      </c>
      <c r="C417" s="40" t="n"/>
      <c r="D417" s="41" t="n"/>
      <c r="E417" s="42" t="n">
        <v>45730.42708333334</v>
      </c>
      <c r="F417" s="43" t="inlineStr">
        <is>
          <t>Popcorn Culture</t>
        </is>
      </c>
      <c r="G417" t="inlineStr">
        <is>
          <t>Call Me BIG JELLY | Popcorn Culture</t>
        </is>
      </c>
      <c r="H417" s="44" t="n">
        <v>0.05311342592592593</v>
      </c>
      <c r="I417" s="45" t="n">
        <v>3548</v>
      </c>
      <c r="J417" s="45" t="n">
        <v>175</v>
      </c>
      <c r="K417" s="45" t="n">
        <v>24</v>
      </c>
      <c r="L417" s="46" t="n"/>
      <c r="M417" s="47" t="n"/>
      <c r="N417" s="47" t="inlineStr">
        <is>
          <t>UCHfIbq9thHPC8yrKjAdJgDA</t>
        </is>
      </c>
      <c r="O417" s="48" t="n">
        <v>45730.59375</v>
      </c>
      <c r="P417" s="49" t="n">
        <v>45730</v>
      </c>
      <c r="Q417" s="47" t="n">
        <v>2851</v>
      </c>
      <c r="R417" s="47" t="inlineStr">
        <is>
          <t>No Video ID yet</t>
        </is>
      </c>
      <c r="S417" s="49" t="n"/>
      <c r="T417" s="49" t="n"/>
      <c r="U417" s="47" t="inlineStr">
        <is>
          <t>Level up your game and get 10% off @TurtleBeach with code POPCORN at #turtlebeachpod In episode 275 of the Pop, Ben and J discuss their newest candle, swimming at the YMCA, the New York City trip, seeing Wicked on Broadway, Liberty Bagels, Peloton, and the food tour. Get Your Sorting Candle Here - The Wicked Movie - Liberty Bagels - Regé-Jean Page - Lost - Severance - Xul Brewing - Human Bread Soda Bottle THE NUMBERS! 00:00 - Intro, Sorting Candle 02:36 - Swimming 21:31 - Wicked 33:12 - The Rest of the NYC Trip</t>
        </is>
      </c>
      <c r="V417" s="47">
        <f>IF(AND(P417&gt;=Calendar!$K$2,P417&lt;EDATE(Calendar!$K$2,1),OR(Calendar!$K$4="*",N417=Calendar!$K$4)),P417*100+COUNTIFS($P$6:$P$3267,P417,$Q$6:$Q$3267,"&lt;="&amp;Q417,$N$6:$N$3267,Calendar!$K$4),"")</f>
        <v/>
      </c>
      <c r="W417" s="47">
        <f>IF(AND(B417=Queue!$C$4,OR(Queue!$K$4="*",N417=Queue!$K$4)),Q417,"")</f>
        <v/>
      </c>
    </row>
    <row r="418">
      <c r="A418" s="38">
        <f>IF(M418="","",HYPERLINK("https://www.youtube.com/watch?v="&amp;M418,"▶"))</f>
        <v/>
      </c>
      <c r="B418" s="39">
        <f>IF(C418&lt;&gt;"",C418,IF(P418&lt;=IFERROR(INDEX(tblChannels[Watched Through],MATCH(N418,tblChannels[Channel ID],0)),0),"Watched","Unwatched"))</f>
        <v/>
      </c>
      <c r="C418" s="40" t="n"/>
      <c r="D418" s="41" t="n"/>
      <c r="E418" s="42" t="n">
        <v>45729.70833333334</v>
      </c>
      <c r="F418" s="51" t="inlineStr">
        <is>
          <t>Through The Griffin Door</t>
        </is>
      </c>
      <c r="G418" t="inlineStr">
        <is>
          <t>Live in Tampa - Chapter 16: The Goblet of Fire | Goblet of Fire</t>
        </is>
      </c>
      <c r="H418" s="44" t="n">
        <v>0.05146990740740741</v>
      </c>
      <c r="I418" s="45" t="n">
        <v>11353</v>
      </c>
      <c r="J418" s="45" t="n">
        <v>474</v>
      </c>
      <c r="K418" s="45" t="n">
        <v>90</v>
      </c>
      <c r="L418" s="46" t="n"/>
      <c r="M418" s="47" t="n"/>
      <c r="N418" s="47" t="inlineStr">
        <is>
          <t>UCEscP6ETYXWSSvsNrDHekMQ</t>
        </is>
      </c>
      <c r="O418" s="48" t="n">
        <v>45729.875</v>
      </c>
      <c r="P418" s="49" t="n">
        <v>45729</v>
      </c>
      <c r="Q418" s="47" t="n">
        <v>2850</v>
      </c>
      <c r="R418" s="47" t="inlineStr">
        <is>
          <t>No Video ID yet</t>
        </is>
      </c>
      <c r="S418" s="49" t="n"/>
      <c r="T418" s="49" t="n"/>
      <c r="U418" s="47" t="inlineStr">
        <is>
          <t>Join J and Ben as they dive BACK into Chapter 16 of the Goblet of Fire and discuss seating arrangements, bouillabaisse, and the Cup's selection.</t>
        </is>
      </c>
      <c r="V418" s="47">
        <f>IF(AND(P418&gt;=Calendar!$K$2,P418&lt;EDATE(Calendar!$K$2,1),OR(Calendar!$K$4="*",N418=Calendar!$K$4)),P418*100+COUNTIFS($P$6:$P$3267,P418,$Q$6:$Q$3267,"&lt;="&amp;Q418,$N$6:$N$3267,Calendar!$K$4),"")</f>
        <v/>
      </c>
      <c r="W418" s="47">
        <f>IF(AND(B418=Queue!$C$4,OR(Queue!$K$4="*",N418=Queue!$K$4)),Q418,"")</f>
        <v/>
      </c>
    </row>
    <row r="419">
      <c r="A419" s="38">
        <f>IF(M419="","",HYPERLINK("https://www.youtube.com/watch?v="&amp;M419,"▶"))</f>
        <v/>
      </c>
      <c r="B419" s="39">
        <f>IF(C419&lt;&gt;"",C419,IF(P419&lt;=IFERROR(INDEX(tblChannels[Watched Through],MATCH(N419,tblChannels[Channel ID],0)),0),"Watched","Unwatched"))</f>
        <v/>
      </c>
      <c r="C419" s="40" t="n"/>
      <c r="D419" s="41" t="n"/>
      <c r="E419" s="42" t="n">
        <v>45728.69166666667</v>
      </c>
      <c r="F419" s="50" t="inlineStr">
        <is>
          <t>Super Carlin Brothers</t>
        </is>
      </c>
      <c r="G419" t="inlineStr">
        <is>
          <t>J vs Ben: HARDEST Harry Potter and the Order of the Phoenix MOVIE Trivia Quiz</t>
        </is>
      </c>
      <c r="H419" s="44" t="n">
        <v>0.02650462962962963</v>
      </c>
      <c r="I419" s="45" t="n">
        <v>137470</v>
      </c>
      <c r="J419" s="45" t="n">
        <v>4555</v>
      </c>
      <c r="K419" s="45" t="n">
        <v>498</v>
      </c>
      <c r="L419" s="46" t="n"/>
      <c r="M419" s="47" t="n"/>
      <c r="N419" s="47" t="inlineStr">
        <is>
          <t>UCKZo4N0lVPccBkSiuyVh4yg</t>
        </is>
      </c>
      <c r="O419" s="48" t="n">
        <v>45728.85833333333</v>
      </c>
      <c r="P419" s="49" t="n">
        <v>45728</v>
      </c>
      <c r="Q419" s="47" t="n">
        <v>2849</v>
      </c>
      <c r="R419" s="47" t="inlineStr">
        <is>
          <t>No Video ID yet</t>
        </is>
      </c>
      <c r="S419" s="49" t="n"/>
      <c r="T419" s="49" t="n"/>
      <c r="U419" s="47" t="inlineStr">
        <is>
          <t>Go to and use code BROTHER for 20% off your first order, plus free shipping on orders of $75 or more. Go to and use code FACTORPODCAST to get 50% off your first box and free shipping. Today J and Ben face off once more to find out who knows more about Harry Potter and the Order of the Phoenix… THE MOVIE. Play Along with us :: Become a Quiz Master :: Edited by :: Ethan Edghill &amp; Isybelle Christley Written by :: Our Lovely Quizmasters over on Patreon! Hosted by :: Kat Stine (aka Kangaroo Kat)</t>
        </is>
      </c>
      <c r="V419" s="47">
        <f>IF(AND(P419&gt;=Calendar!$K$2,P419&lt;EDATE(Calendar!$K$2,1),OR(Calendar!$K$4="*",N419=Calendar!$K$4)),P419*100+COUNTIFS($P$6:$P$3267,P419,$Q$6:$Q$3267,"&lt;="&amp;Q419,$N$6:$N$3267,Calendar!$K$4),"")</f>
        <v/>
      </c>
      <c r="W419" s="47">
        <f>IF(AND(B419=Queue!$C$4,OR(Queue!$K$4="*",N419=Queue!$K$4)),Q419,"")</f>
        <v/>
      </c>
    </row>
    <row r="420">
      <c r="A420" s="38">
        <f>IF(M420="","",HYPERLINK("https://www.youtube.com/watch?v="&amp;M420,"▶"))</f>
        <v/>
      </c>
      <c r="B420" s="39">
        <f>IF(C420&lt;&gt;"",C420,IF(P420&lt;=IFERROR(INDEX(tblChannels[Watched Through],MATCH(N420,tblChannels[Channel ID],0)),0),"Watched","Unwatched"))</f>
        <v/>
      </c>
      <c r="C420" s="40" t="n"/>
      <c r="D420" s="41" t="n"/>
      <c r="E420" s="42" t="n">
        <v>45725.41666666666</v>
      </c>
      <c r="F420" s="51" t="inlineStr">
        <is>
          <t>Through The Griffin Door</t>
        </is>
      </c>
      <c r="G420" t="inlineStr">
        <is>
          <t>Chapter 16: The Goblet of Fire | Goblet of Fire</t>
        </is>
      </c>
      <c r="H420" s="44" t="n">
        <v>0.06604166666666667</v>
      </c>
      <c r="I420" s="45" t="n">
        <v>58368</v>
      </c>
      <c r="J420" s="45" t="n">
        <v>1603</v>
      </c>
      <c r="K420" s="45" t="n">
        <v>548</v>
      </c>
      <c r="L420" s="46" t="n"/>
      <c r="M420" s="47" t="n"/>
      <c r="N420" s="47" t="inlineStr">
        <is>
          <t>UCEscP6ETYXWSSvsNrDHekMQ</t>
        </is>
      </c>
      <c r="O420" s="48" t="n">
        <v>45725.58333333334</v>
      </c>
      <c r="P420" s="49" t="n">
        <v>45725</v>
      </c>
      <c r="Q420" s="47" t="n">
        <v>2848</v>
      </c>
      <c r="R420" s="47" t="inlineStr">
        <is>
          <t>No Video ID yet</t>
        </is>
      </c>
      <c r="S420" s="49" t="n"/>
      <c r="T420" s="49" t="n"/>
      <c r="U420" s="47" t="inlineStr">
        <is>
          <t>Join J and Ben as they dive into Chapter 16 of the Goblet of Fire and discuss seating arrangements, bouillabaisse, the tournament intro, poor Polikov, students putting their name in the cup, visiting Hagrid, and announcing the selected students. John Lithgow Casting - 00:00 - Intro and Chapter Art (Movie News) 08:26 - Chapter Breakdown 30:50 - Ad Break 32:30 - More Chapter Breakdown 1:27:24 - Closing Thoughts and Review</t>
        </is>
      </c>
      <c r="V420" s="47">
        <f>IF(AND(P420&gt;=Calendar!$K$2,P420&lt;EDATE(Calendar!$K$2,1),OR(Calendar!$K$4="*",N420=Calendar!$K$4)),P420*100+COUNTIFS($P$6:$P$3267,P420,$Q$6:$Q$3267,"&lt;="&amp;Q420,$N$6:$N$3267,Calendar!$K$4),"")</f>
        <v/>
      </c>
      <c r="W420" s="47">
        <f>IF(AND(B420=Queue!$C$4,OR(Queue!$K$4="*",N420=Queue!$K$4)),Q420,"")</f>
        <v/>
      </c>
    </row>
    <row r="421">
      <c r="A421" s="38">
        <f>IF(M421="","",HYPERLINK("https://www.youtube.com/watch?v="&amp;M421,"▶"))</f>
        <v/>
      </c>
      <c r="B421" s="39">
        <f>IF(C421&lt;&gt;"",C421,IF(P421&lt;=IFERROR(INDEX(tblChannels[Watched Through],MATCH(N421,tblChannels[Channel ID],0)),0),"Watched","Unwatched"))</f>
        <v/>
      </c>
      <c r="C421" s="40" t="n"/>
      <c r="D421" s="41" t="n"/>
      <c r="E421" s="42" t="n">
        <v>45724.41736111111</v>
      </c>
      <c r="F421" s="50" t="inlineStr">
        <is>
          <t>Super Carlin Brothers</t>
        </is>
      </c>
      <c r="G421" t="inlineStr">
        <is>
          <t>Through the Griffin Door Supercut: Goblet of Fire Chapters 13 - 15</t>
        </is>
      </c>
      <c r="H421" s="44" t="n">
        <v>0.1905787037037037</v>
      </c>
      <c r="I421" s="45" t="n">
        <v>17086</v>
      </c>
      <c r="J421" s="45" t="n">
        <v>318</v>
      </c>
      <c r="K421" s="45" t="n">
        <v>71</v>
      </c>
      <c r="L421" s="46" t="n"/>
      <c r="M421" s="47" t="n"/>
      <c r="N421" s="47" t="inlineStr">
        <is>
          <t>UCKZo4N0lVPccBkSiuyVh4yg</t>
        </is>
      </c>
      <c r="O421" s="48" t="n">
        <v>45724.62569444445</v>
      </c>
      <c r="P421" s="49" t="n">
        <v>45724</v>
      </c>
      <c r="Q421" s="47" t="n">
        <v>2847</v>
      </c>
      <c r="R421" s="47" t="inlineStr">
        <is>
          <t>No Video ID yet</t>
        </is>
      </c>
      <c r="S421" s="49" t="n"/>
      <c r="T421" s="49" t="n"/>
      <c r="U421" s="47" t="inlineStr">
        <is>
          <t>0:00:00 - Chapter 13: Mad-Eye Moody 1:22:17 - Chapter 14: The Unforgivable Curses 2:58:41 - Chapter 15: Beauxbaton and Durmstrang</t>
        </is>
      </c>
      <c r="V421" s="47">
        <f>IF(AND(P421&gt;=Calendar!$K$2,P421&lt;EDATE(Calendar!$K$2,1),OR(Calendar!$K$4="*",N421=Calendar!$K$4)),P421*100+COUNTIFS($P$6:$P$3267,P421,$Q$6:$Q$3267,"&lt;="&amp;Q421,$N$6:$N$3267,Calendar!$K$4),"")</f>
        <v/>
      </c>
      <c r="W421" s="47">
        <f>IF(AND(B421=Queue!$C$4,OR(Queue!$K$4="*",N421=Queue!$K$4)),Q421,"")</f>
        <v/>
      </c>
    </row>
    <row r="422">
      <c r="A422" s="38">
        <f>IF(M422="","",HYPERLINK("https://www.youtube.com/watch?v="&amp;M422,"▶"))</f>
        <v/>
      </c>
      <c r="B422" s="39">
        <f>IF(C422&lt;&gt;"",C422,IF(P422&lt;=IFERROR(INDEX(tblChannels[Watched Through],MATCH(N422,tblChannels[Channel ID],0)),0),"Watched","Unwatched"))</f>
        <v/>
      </c>
      <c r="C422" s="40" t="n"/>
      <c r="D422" s="41" t="n"/>
      <c r="E422" s="42" t="n">
        <v>45723.625</v>
      </c>
      <c r="F422" s="50" t="inlineStr">
        <is>
          <t>Super Carlin Brothers</t>
        </is>
      </c>
      <c r="G422" t="inlineStr">
        <is>
          <t>The COMPLETE History Of Pluto The Pup | Disney History Explained</t>
        </is>
      </c>
      <c r="H422" s="44" t="n">
        <v>0.01377314814814815</v>
      </c>
      <c r="I422" s="45" t="n">
        <v>40827</v>
      </c>
      <c r="J422" s="45" t="n">
        <v>2488</v>
      </c>
      <c r="K422" s="45" t="n">
        <v>342</v>
      </c>
      <c r="L422" s="46" t="n"/>
      <c r="M422" s="47" t="n"/>
      <c r="N422" s="47" t="inlineStr">
        <is>
          <t>UCKZo4N0lVPccBkSiuyVh4yg</t>
        </is>
      </c>
      <c r="O422" s="48" t="n">
        <v>45723.83333333334</v>
      </c>
      <c r="P422" s="49" t="n">
        <v>45723</v>
      </c>
      <c r="Q422" s="47" t="n">
        <v>2846</v>
      </c>
      <c r="R422" s="47" t="inlineStr">
        <is>
          <t>No Video ID yet</t>
        </is>
      </c>
      <c r="S422" s="49" t="n"/>
      <c r="T422" s="49" t="n"/>
      <c r="U422" s="47" t="inlineStr">
        <is>
          <t>This episode is sponsored by Raycon – Go to to get 20% off best-selling Everyday Earbuds. Today J dives into the Disney Vault to give the COMPLETE History of Mickey Mouse’s best friend: Pluto the Pup! Pluto has been around since the 1930’s, but did you know he wasn’t even supposed to exist? Or that he went on to change animation FOREVER?! #supercarlinbrothers #Disney Written by :: Jonathan Carlin &amp; Isybelle Christley</t>
        </is>
      </c>
      <c r="V422" s="47">
        <f>IF(AND(P422&gt;=Calendar!$K$2,P422&lt;EDATE(Calendar!$K$2,1),OR(Calendar!$K$4="*",N422=Calendar!$K$4)),P422*100+COUNTIFS($P$6:$P$3267,P422,$Q$6:$Q$3267,"&lt;="&amp;Q422,$N$6:$N$3267,Calendar!$K$4),"")</f>
        <v/>
      </c>
      <c r="W422" s="47">
        <f>IF(AND(B422=Queue!$C$4,OR(Queue!$K$4="*",N422=Queue!$K$4)),Q422,"")</f>
        <v/>
      </c>
    </row>
    <row r="423">
      <c r="A423" s="38">
        <f>IF(M423="","",HYPERLINK("https://www.youtube.com/watch?v="&amp;M423,"▶"))</f>
        <v/>
      </c>
      <c r="B423" s="39">
        <f>IF(C423&lt;&gt;"",C423,IF(P423&lt;=IFERROR(INDEX(tblChannels[Watched Through],MATCH(N423,tblChannels[Channel ID],0)),0),"Watched","Unwatched"))</f>
        <v/>
      </c>
      <c r="C423" s="40" t="n"/>
      <c r="D423" s="41" t="n"/>
      <c r="E423" s="42" t="n">
        <v>45723.41666666666</v>
      </c>
      <c r="F423" s="43" t="inlineStr">
        <is>
          <t>Popcorn Culture</t>
        </is>
      </c>
      <c r="G423" t="inlineStr">
        <is>
          <t>Is Nature Art? | Popcorn Culture</t>
        </is>
      </c>
      <c r="H423" s="44" t="n">
        <v>0.04150462962962963</v>
      </c>
      <c r="I423" s="45" t="n">
        <v>3552</v>
      </c>
      <c r="J423" s="45" t="n">
        <v>180</v>
      </c>
      <c r="K423" s="45" t="n">
        <v>30</v>
      </c>
      <c r="L423" s="46" t="n"/>
      <c r="M423" s="47" t="n"/>
      <c r="N423" s="47" t="inlineStr">
        <is>
          <t>UCHfIbq9thHPC8yrKjAdJgDA</t>
        </is>
      </c>
      <c r="O423" s="48" t="n">
        <v>45723.625</v>
      </c>
      <c r="P423" s="49" t="n">
        <v>45723</v>
      </c>
      <c r="Q423" s="47" t="n">
        <v>2845</v>
      </c>
      <c r="R423" s="47" t="inlineStr">
        <is>
          <t>No Video ID yet</t>
        </is>
      </c>
      <c r="S423" s="49" t="n"/>
      <c r="T423" s="49" t="n"/>
      <c r="U423" s="47" t="inlineStr">
        <is>
          <t>In the 274th episode of the Pop, Ben and J discuss microphones, art and nature, Name of the Wind, standing ovations, spicy wings, tasty beer, and celebrity interviews. Hot Ones Sauce - PBJ Beer - Snoop Dogg Ice Cream - The Death of Yelling J’s a PBJ Guy 00:00 - Intro, Opera 17:09 - Is Nature Art? 28:41 - Favorite Tour Moments 41:03 - PBJ Beer</t>
        </is>
      </c>
      <c r="V423" s="47">
        <f>IF(AND(P423&gt;=Calendar!$K$2,P423&lt;EDATE(Calendar!$K$2,1),OR(Calendar!$K$4="*",N423=Calendar!$K$4)),P423*100+COUNTIFS($P$6:$P$3267,P423,$Q$6:$Q$3267,"&lt;="&amp;Q423,$N$6:$N$3267,Calendar!$K$4),"")</f>
        <v/>
      </c>
      <c r="W423" s="47">
        <f>IF(AND(B423=Queue!$C$4,OR(Queue!$K$4="*",N423=Queue!$K$4)),Q423,"")</f>
        <v/>
      </c>
    </row>
    <row r="424">
      <c r="A424" s="38">
        <f>IF(M424="","",HYPERLINK("https://www.youtube.com/watch?v="&amp;M424,"▶"))</f>
        <v/>
      </c>
      <c r="B424" s="39">
        <f>IF(C424&lt;&gt;"",C424,IF(P424&lt;=IFERROR(INDEX(tblChannels[Watched Through],MATCH(N424,tblChannels[Channel ID],0)),0),"Watched","Unwatched"))</f>
        <v/>
      </c>
      <c r="C424" s="40" t="n"/>
      <c r="D424" s="41" t="n"/>
      <c r="E424" s="42" t="n">
        <v>45722.70833333334</v>
      </c>
      <c r="F424" s="51" t="inlineStr">
        <is>
          <t>Through The Griffin Door</t>
        </is>
      </c>
      <c r="G424" t="inlineStr">
        <is>
          <t>Live In Orlando - Chapter 15: Beauxbaton and Durmstrang | Goblet of Fire</t>
        </is>
      </c>
      <c r="H424" s="44" t="n">
        <v>0.05001157407407408</v>
      </c>
      <c r="I424" s="45" t="n">
        <v>11589</v>
      </c>
      <c r="J424" s="45" t="n">
        <v>490</v>
      </c>
      <c r="K424" s="45" t="n">
        <v>115</v>
      </c>
      <c r="L424" s="46" t="n"/>
      <c r="M424" s="47" t="n"/>
      <c r="N424" s="47" t="inlineStr">
        <is>
          <t>UCEscP6ETYXWSSvsNrDHekMQ</t>
        </is>
      </c>
      <c r="O424" s="48" t="n">
        <v>45722.91666666666</v>
      </c>
      <c r="P424" s="49" t="n">
        <v>45722</v>
      </c>
      <c r="Q424" s="47" t="n">
        <v>2844</v>
      </c>
      <c r="R424" s="47" t="inlineStr">
        <is>
          <t>No Video ID yet</t>
        </is>
      </c>
      <c r="S424" s="49" t="n"/>
      <c r="T424" s="49" t="n"/>
      <c r="U424" s="47" t="inlineStr">
        <is>
          <t>Join J and Ben as they dive BACK into Chapter 15 of the Goblet of Fire and discuss ships, Harry’s bad letter, the Owlery floor, the Imperious curse, feisty McGonagall, and the other schools entrances.</t>
        </is>
      </c>
      <c r="V424" s="47">
        <f>IF(AND(P424&gt;=Calendar!$K$2,P424&lt;EDATE(Calendar!$K$2,1),OR(Calendar!$K$4="*",N424=Calendar!$K$4)),P424*100+COUNTIFS($P$6:$P$3267,P424,$Q$6:$Q$3267,"&lt;="&amp;Q424,$N$6:$N$3267,Calendar!$K$4),"")</f>
        <v/>
      </c>
      <c r="W424" s="47">
        <f>IF(AND(B424=Queue!$C$4,OR(Queue!$K$4="*",N424=Queue!$K$4)),Q424,"")</f>
        <v/>
      </c>
    </row>
    <row r="425">
      <c r="A425" s="38">
        <f>IF(M425="","",HYPERLINK("https://www.youtube.com/watch?v="&amp;M425,"▶"))</f>
        <v/>
      </c>
      <c r="B425" s="39">
        <f>IF(C425&lt;&gt;"",C425,IF(P425&lt;=IFERROR(INDEX(tblChannels[Watched Through],MATCH(N425,tblChannels[Channel ID],0)),0),"Watched","Unwatched"))</f>
        <v/>
      </c>
      <c r="C425" s="40" t="n"/>
      <c r="D425" s="41" t="n"/>
      <c r="E425" s="42" t="n">
        <v>45721.84097222222</v>
      </c>
      <c r="F425" s="50" t="inlineStr">
        <is>
          <t>Super Carlin Brothers</t>
        </is>
      </c>
      <c r="G425" t="inlineStr">
        <is>
          <t>The REAL Reason Harry Can Resist The Imperius Curse | Harry Potter Theory</t>
        </is>
      </c>
      <c r="H425" s="44" t="n">
        <v>0.01258101851851852</v>
      </c>
      <c r="I425" s="45" t="n">
        <v>153395</v>
      </c>
      <c r="J425" s="45" t="n">
        <v>6434</v>
      </c>
      <c r="K425" s="45" t="n">
        <v>701</v>
      </c>
      <c r="L425" s="46" t="n"/>
      <c r="M425" s="47" t="n"/>
      <c r="N425" s="47" t="inlineStr">
        <is>
          <t>UCKZo4N0lVPccBkSiuyVh4yg</t>
        </is>
      </c>
      <c r="O425" s="48" t="n">
        <v>45722.04930555556</v>
      </c>
      <c r="P425" s="49" t="n">
        <v>45721</v>
      </c>
      <c r="Q425" s="47" t="n">
        <v>2843</v>
      </c>
      <c r="R425" s="47" t="inlineStr">
        <is>
          <t>No Video ID yet</t>
        </is>
      </c>
      <c r="S425" s="49" t="n"/>
      <c r="T425" s="49" t="n"/>
      <c r="U425" s="47" t="inlineStr">
        <is>
          <t>Today Ben dives into the Wizarding World of Harry Potter to reveal HOW Harry Potter is able to resist the Imperius Curse on his VERY first try after Barty Crouch Jr puts the spell on him in class.</t>
        </is>
      </c>
      <c r="V425" s="47">
        <f>IF(AND(P425&gt;=Calendar!$K$2,P425&lt;EDATE(Calendar!$K$2,1),OR(Calendar!$K$4="*",N425=Calendar!$K$4)),P425*100+COUNTIFS($P$6:$P$3267,P425,$Q$6:$Q$3267,"&lt;="&amp;Q425,$N$6:$N$3267,Calendar!$K$4),"")</f>
        <v/>
      </c>
      <c r="W425" s="47">
        <f>IF(AND(B425=Queue!$C$4,OR(Queue!$K$4="*",N425=Queue!$K$4)),Q425,"")</f>
        <v/>
      </c>
    </row>
    <row r="426">
      <c r="A426" s="38">
        <f>IF(M426="","",HYPERLINK("https://www.youtube.com/watch?v="&amp;M426,"▶"))</f>
        <v/>
      </c>
      <c r="B426" s="39">
        <f>IF(C426&lt;&gt;"",C426,IF(P426&lt;=IFERROR(INDEX(tblChannels[Watched Through],MATCH(N426,tblChannels[Channel ID],0)),0),"Watched","Unwatched"))</f>
        <v/>
      </c>
      <c r="C426" s="40" t="n"/>
      <c r="D426" s="41" t="n"/>
      <c r="E426" s="42" t="n">
        <v>45718.41666666666</v>
      </c>
      <c r="F426" s="51" t="inlineStr">
        <is>
          <t>Through The Griffin Door</t>
        </is>
      </c>
      <c r="G426" t="inlineStr">
        <is>
          <t>Chapter 15: Beauxbaton and Durmstrang | Goblet of Fire</t>
        </is>
      </c>
      <c r="H426" s="44" t="n">
        <v>0.06646990740740741</v>
      </c>
      <c r="I426" s="45" t="n">
        <v>59848</v>
      </c>
      <c r="J426" s="45" t="n">
        <v>1613</v>
      </c>
      <c r="K426" s="45" t="n">
        <v>526</v>
      </c>
      <c r="L426" s="46" t="n"/>
      <c r="M426" s="47" t="n"/>
      <c r="N426" s="47" t="inlineStr">
        <is>
          <t>UCEscP6ETYXWSSvsNrDHekMQ</t>
        </is>
      </c>
      <c r="O426" s="48" t="n">
        <v>45718.625</v>
      </c>
      <c r="P426" s="49" t="n">
        <v>45718</v>
      </c>
      <c r="Q426" s="47" t="n">
        <v>2842</v>
      </c>
      <c r="R426" s="47" t="inlineStr">
        <is>
          <t>No Video ID yet</t>
        </is>
      </c>
      <c r="S426" s="49" t="n"/>
      <c r="T426" s="49" t="n"/>
      <c r="U426" s="47" t="inlineStr">
        <is>
          <t>Join J and Ben as they dive into Chapter 15 of the Goblet of Fire and discuss ships, Harry’s bad letter, the Owlery floor, the Imperious curse, feisty McGonagall, and the other schools entrances. Hogwarts Plumbing - 05:18 - Chapter Breakdown 1:22:53 - Closing Thoughts and Review</t>
        </is>
      </c>
      <c r="V426" s="47">
        <f>IF(AND(P426&gt;=Calendar!$K$2,P426&lt;EDATE(Calendar!$K$2,1),OR(Calendar!$K$4="*",N426=Calendar!$K$4)),P426*100+COUNTIFS($P$6:$P$3267,P426,$Q$6:$Q$3267,"&lt;="&amp;Q426,$N$6:$N$3267,Calendar!$K$4),"")</f>
        <v/>
      </c>
      <c r="W426" s="47">
        <f>IF(AND(B426=Queue!$C$4,OR(Queue!$K$4="*",N426=Queue!$K$4)),Q426,"")</f>
        <v/>
      </c>
    </row>
    <row r="427">
      <c r="A427" s="38">
        <f>IF(M427="","",HYPERLINK("https://www.youtube.com/watch?v="&amp;M427,"▶"))</f>
        <v/>
      </c>
      <c r="B427" s="39">
        <f>IF(C427&lt;&gt;"",C427,IF(P427&lt;=IFERROR(INDEX(tblChannels[Watched Through],MATCH(N427,tblChannels[Channel ID],0)),0),"Watched","Unwatched"))</f>
        <v/>
      </c>
      <c r="C427" s="40" t="n"/>
      <c r="D427" s="41" t="n"/>
      <c r="E427" s="42" t="n">
        <v>45716.69444444445</v>
      </c>
      <c r="F427" s="50" t="inlineStr">
        <is>
          <t>Super Carlin Brothers</t>
        </is>
      </c>
      <c r="G427" t="inlineStr">
        <is>
          <t>How The Resurrection Stone Was Created | Harry Potter Film Theory</t>
        </is>
      </c>
      <c r="H427" s="44" t="n">
        <v>0.01134259259259259</v>
      </c>
      <c r="I427" s="45" t="n">
        <v>108879</v>
      </c>
      <c r="J427" s="45" t="n">
        <v>5008</v>
      </c>
      <c r="K427" s="45" t="n">
        <v>661</v>
      </c>
      <c r="L427" s="46" t="n"/>
      <c r="M427" s="47" t="n"/>
      <c r="N427" s="47" t="inlineStr">
        <is>
          <t>UCKZo4N0lVPccBkSiuyVh4yg</t>
        </is>
      </c>
      <c r="O427" s="48" t="n">
        <v>45716.90277777778</v>
      </c>
      <c r="P427" s="49" t="n">
        <v>45716</v>
      </c>
      <c r="Q427" s="47" t="n">
        <v>2841</v>
      </c>
      <c r="R427" s="47" t="inlineStr">
        <is>
          <t>No Video ID yet</t>
        </is>
      </c>
      <c r="S427" s="49" t="n"/>
      <c r="T427" s="49" t="n"/>
      <c r="U427" s="47" t="inlineStr">
        <is>
          <t>This episode is sponsored by Hello Fresh – Go to to get up to 10 free meals and a free high protein item for life. Today J dives into the Wizarding World of Harry Potter to reveal HOW the Resurrection Stone and maybe even the Elder Wand were created and what their creation reveals about their owners and the unique relationship between Dumbledore and Grindelwald.</t>
        </is>
      </c>
      <c r="V427" s="47">
        <f>IF(AND(P427&gt;=Calendar!$K$2,P427&lt;EDATE(Calendar!$K$2,1),OR(Calendar!$K$4="*",N427=Calendar!$K$4)),P427*100+COUNTIFS($P$6:$P$3267,P427,$Q$6:$Q$3267,"&lt;="&amp;Q427,$N$6:$N$3267,Calendar!$K$4),"")</f>
        <v/>
      </c>
      <c r="W427" s="47">
        <f>IF(AND(B427=Queue!$C$4,OR(Queue!$K$4="*",N427=Queue!$K$4)),Q427,"")</f>
        <v/>
      </c>
    </row>
    <row r="428">
      <c r="A428" s="38">
        <f>IF(M428="","",HYPERLINK("https://www.youtube.com/watch?v="&amp;M428,"▶"))</f>
        <v/>
      </c>
      <c r="B428" s="39">
        <f>IF(C428&lt;&gt;"",C428,IF(P428&lt;=IFERROR(INDEX(tblChannels[Watched Through],MATCH(N428,tblChannels[Channel ID],0)),0),"Watched","Unwatched"))</f>
        <v/>
      </c>
      <c r="C428" s="40" t="n"/>
      <c r="D428" s="41" t="n"/>
      <c r="E428" s="42" t="n">
        <v>45716.41666666666</v>
      </c>
      <c r="F428" s="43" t="inlineStr">
        <is>
          <t>Popcorn Culture</t>
        </is>
      </c>
      <c r="G428" t="inlineStr">
        <is>
          <t>Ben Got Caught STEALING | Popcorn Culture</t>
        </is>
      </c>
      <c r="H428" s="44" t="n">
        <v>0.05115740740740741</v>
      </c>
      <c r="I428" s="45" t="n">
        <v>4245</v>
      </c>
      <c r="J428" s="45" t="n">
        <v>203</v>
      </c>
      <c r="K428" s="45" t="n">
        <v>35</v>
      </c>
      <c r="L428" s="46" t="n"/>
      <c r="M428" s="47" t="n"/>
      <c r="N428" s="47" t="inlineStr">
        <is>
          <t>UCHfIbq9thHPC8yrKjAdJgDA</t>
        </is>
      </c>
      <c r="O428" s="48" t="n">
        <v>45716.625</v>
      </c>
      <c r="P428" s="49" t="n">
        <v>45716</v>
      </c>
      <c r="Q428" s="47" t="n">
        <v>2840</v>
      </c>
      <c r="R428" s="47" t="inlineStr">
        <is>
          <t>No Video ID yet</t>
        </is>
      </c>
      <c r="S428" s="49" t="n"/>
      <c r="T428" s="49" t="n"/>
      <c r="U428" s="47" t="inlineStr">
        <is>
          <t>In the 273rd episode of the Pop, Ben and J discuss CuisinArt, sloshy water, cold feet, tour music, crocheted patronuses, the twins' birthday, PinHQ and the guestbooks. Pin HQ - In the Way Way Back Pickle Buckets Stop Talking About Your Feet 00:00 - Intro, Kitchen Appliances 24:07 - Tour!!!! 1:01:25 - The Guestbooks</t>
        </is>
      </c>
      <c r="V428" s="47">
        <f>IF(AND(P428&gt;=Calendar!$K$2,P428&lt;EDATE(Calendar!$K$2,1),OR(Calendar!$K$4="*",N428=Calendar!$K$4)),P428*100+COUNTIFS($P$6:$P$3267,P428,$Q$6:$Q$3267,"&lt;="&amp;Q428,$N$6:$N$3267,Calendar!$K$4),"")</f>
        <v/>
      </c>
      <c r="W428" s="47">
        <f>IF(AND(B428=Queue!$C$4,OR(Queue!$K$4="*",N428=Queue!$K$4)),Q428,"")</f>
        <v/>
      </c>
    </row>
    <row r="429">
      <c r="A429" s="38">
        <f>IF(M429="","",HYPERLINK("https://www.youtube.com/watch?v="&amp;M429,"▶"))</f>
        <v/>
      </c>
      <c r="B429" s="39">
        <f>IF(C429&lt;&gt;"",C429,IF(P429&lt;=IFERROR(INDEX(tblChannels[Watched Through],MATCH(N429,tblChannels[Channel ID],0)),0),"Watched","Unwatched"))</f>
        <v/>
      </c>
      <c r="C429" s="40" t="n"/>
      <c r="D429" s="41" t="n"/>
      <c r="E429" s="42" t="n">
        <v>45715.70833333334</v>
      </c>
      <c r="F429" s="51" t="inlineStr">
        <is>
          <t>Through The Griffin Door</t>
        </is>
      </c>
      <c r="G429" t="inlineStr">
        <is>
          <t>Live in Charlotte - Chapter 14: The Unforgivable Curses | Goblet of Fire</t>
        </is>
      </c>
      <c r="H429" s="44" t="n">
        <v>0.05266203703703703</v>
      </c>
      <c r="I429" s="45" t="n">
        <v>13090</v>
      </c>
      <c r="J429" s="45" t="n">
        <v>570</v>
      </c>
      <c r="K429" s="45" t="n">
        <v>145</v>
      </c>
      <c r="L429" s="46" t="n"/>
      <c r="M429" s="47" t="n"/>
      <c r="N429" s="47" t="inlineStr">
        <is>
          <t>UCEscP6ETYXWSSvsNrDHekMQ</t>
        </is>
      </c>
      <c r="O429" s="48" t="n">
        <v>45715.91666666666</v>
      </c>
      <c r="P429" s="49" t="n">
        <v>45715</v>
      </c>
      <c r="Q429" s="47" t="n">
        <v>2839</v>
      </c>
      <c r="R429" s="47" t="inlineStr">
        <is>
          <t>No Video ID yet</t>
        </is>
      </c>
      <c r="S429" s="49" t="n"/>
      <c r="T429" s="49" t="n"/>
      <c r="U429" s="47" t="inlineStr">
        <is>
          <t>Join J and Ben as they dive BACK into Chapter 14 of the Goblet of Fire (in CHARLOTTE!!!) and discuss Neville’s detention of disemboweling toads, the duality of everything Moody/Crouch says, and Moody and Neville’s interaction after class.</t>
        </is>
      </c>
      <c r="V429" s="47">
        <f>IF(AND(P429&gt;=Calendar!$K$2,P429&lt;EDATE(Calendar!$K$2,1),OR(Calendar!$K$4="*",N429=Calendar!$K$4)),P429*100+COUNTIFS($P$6:$P$3267,P429,$Q$6:$Q$3267,"&lt;="&amp;Q429,$N$6:$N$3267,Calendar!$K$4),"")</f>
        <v/>
      </c>
      <c r="W429" s="47">
        <f>IF(AND(B429=Queue!$C$4,OR(Queue!$K$4="*",N429=Queue!$K$4)),Q429,"")</f>
        <v/>
      </c>
    </row>
    <row r="430">
      <c r="A430" s="38">
        <f>IF(M430="","",HYPERLINK("https://www.youtube.com/watch?v="&amp;M430,"▶"))</f>
        <v/>
      </c>
      <c r="B430" s="39">
        <f>IF(C430&lt;&gt;"",C430,IF(P430&lt;=IFERROR(INDEX(tblChannels[Watched Through],MATCH(N430,tblChannels[Channel ID],0)),0),"Watched","Unwatched"))</f>
        <v/>
      </c>
      <c r="C430" s="40" t="n"/>
      <c r="D430" s="41" t="n"/>
      <c r="E430" s="42" t="n">
        <v>45714.70277777778</v>
      </c>
      <c r="F430" s="50" t="inlineStr">
        <is>
          <t>Super Carlin Brothers</t>
        </is>
      </c>
      <c r="G430" t="inlineStr">
        <is>
          <t>J vs Ben: HARDEST Goblet of Fire Movie Harry Potter TRIVIA Battle</t>
        </is>
      </c>
      <c r="H430" s="44" t="n">
        <v>0.02991898148148148</v>
      </c>
      <c r="I430" s="45" t="n">
        <v>154723</v>
      </c>
      <c r="J430" s="45" t="n">
        <v>4771</v>
      </c>
      <c r="K430" s="45" t="n">
        <v>650</v>
      </c>
      <c r="L430" s="46" t="n"/>
      <c r="M430" s="47" t="n"/>
      <c r="N430" s="47" t="inlineStr">
        <is>
          <t>UCKZo4N0lVPccBkSiuyVh4yg</t>
        </is>
      </c>
      <c r="O430" s="48" t="n">
        <v>45714.91111111111</v>
      </c>
      <c r="P430" s="49" t="n">
        <v>45714</v>
      </c>
      <c r="Q430" s="47" t="n">
        <v>2838</v>
      </c>
      <c r="R430" s="47" t="inlineStr">
        <is>
          <t>No Video ID yet</t>
        </is>
      </c>
      <c r="S430" s="49" t="n"/>
      <c r="T430" s="49" t="n"/>
      <c r="U430" s="47" t="inlineStr">
        <is>
          <t>Go to to get up to 10 free meals and a free high protein item for life. Today J and Ben face off once more to find out who knows more about the Harry Potter movies as they duke it out over Goblet of Fire!</t>
        </is>
      </c>
      <c r="V430" s="47">
        <f>IF(AND(P430&gt;=Calendar!$K$2,P430&lt;EDATE(Calendar!$K$2,1),OR(Calendar!$K$4="*",N430=Calendar!$K$4)),P430*100+COUNTIFS($P$6:$P$3267,P430,$Q$6:$Q$3267,"&lt;="&amp;Q430,$N$6:$N$3267,Calendar!$K$4),"")</f>
        <v/>
      </c>
      <c r="W430" s="47">
        <f>IF(AND(B430=Queue!$C$4,OR(Queue!$K$4="*",N430=Queue!$K$4)),Q430,"")</f>
        <v/>
      </c>
    </row>
    <row r="431">
      <c r="A431" s="38">
        <f>IF(M431="","",HYPERLINK("https://www.youtube.com/watch?v="&amp;M431,"▶"))</f>
        <v/>
      </c>
      <c r="B431" s="39">
        <f>IF(C431&lt;&gt;"",C431,IF(P431&lt;=IFERROR(INDEX(tblChannels[Watched Through],MATCH(N431,tblChannels[Channel ID],0)),0),"Watched","Unwatched"))</f>
        <v/>
      </c>
      <c r="C431" s="40" t="n"/>
      <c r="D431" s="41" t="n"/>
      <c r="E431" s="42" t="n">
        <v>45711.41736111111</v>
      </c>
      <c r="F431" s="51" t="inlineStr">
        <is>
          <t>Through The Griffin Door</t>
        </is>
      </c>
      <c r="G431" t="inlineStr">
        <is>
          <t>Chapter 14: The Unforgivable Curses | Goblet of Fire</t>
        </is>
      </c>
      <c r="H431" s="44" t="n">
        <v>0.06688657407407407</v>
      </c>
      <c r="I431" s="45" t="n">
        <v>61558</v>
      </c>
      <c r="J431" s="45" t="n">
        <v>1734</v>
      </c>
      <c r="K431" s="45" t="n">
        <v>468</v>
      </c>
      <c r="L431" s="46" t="n"/>
      <c r="M431" s="47" t="n"/>
      <c r="N431" s="47" t="inlineStr">
        <is>
          <t>UCEscP6ETYXWSSvsNrDHekMQ</t>
        </is>
      </c>
      <c r="O431" s="48" t="n">
        <v>45711.62569444445</v>
      </c>
      <c r="P431" s="49" t="n">
        <v>45711</v>
      </c>
      <c r="Q431" s="47" t="n">
        <v>2837</v>
      </c>
      <c r="R431" s="47" t="inlineStr">
        <is>
          <t>No Video ID yet</t>
        </is>
      </c>
      <c r="S431" s="49" t="n"/>
      <c r="T431" s="49" t="n"/>
      <c r="U431" s="47" t="inlineStr">
        <is>
          <t>Join J and Ben as they dive into Chapter 14 of the Goblet of Fire and discuss Neville’s detention of disemboweling toads, Moody’s class, the duality of everything Moody/Crouch says, each of the curses, Moody and Neville’s interaction after class, Divination homework predictions, S.P.E.W. and Sirius’s letter. 07:34 - Chapter Breakdown 1:20:51 - Closing Thoughts and Review</t>
        </is>
      </c>
      <c r="V431" s="47">
        <f>IF(AND(P431&gt;=Calendar!$K$2,P431&lt;EDATE(Calendar!$K$2,1),OR(Calendar!$K$4="*",N431=Calendar!$K$4)),P431*100+COUNTIFS($P$6:$P$3267,P431,$Q$6:$Q$3267,"&lt;="&amp;Q431,$N$6:$N$3267,Calendar!$K$4),"")</f>
        <v/>
      </c>
      <c r="W431" s="47">
        <f>IF(AND(B431=Queue!$C$4,OR(Queue!$K$4="*",N431=Queue!$K$4)),Q431,"")</f>
        <v/>
      </c>
    </row>
    <row r="432">
      <c r="A432" s="38">
        <f>IF(M432="","",HYPERLINK("https://www.youtube.com/watch?v="&amp;M432,"▶"))</f>
        <v/>
      </c>
      <c r="B432" s="39">
        <f>IF(C432&lt;&gt;"",C432,IF(P432&lt;=IFERROR(INDEX(tblChannels[Watched Through],MATCH(N432,tblChannels[Channel ID],0)),0),"Watched","Unwatched"))</f>
        <v/>
      </c>
      <c r="C432" s="40" t="n"/>
      <c r="D432" s="41" t="n"/>
      <c r="E432" s="42" t="n">
        <v>45709.625</v>
      </c>
      <c r="F432" s="50" t="inlineStr">
        <is>
          <t>Super Carlin Brothers</t>
        </is>
      </c>
      <c r="G432" t="inlineStr">
        <is>
          <t>Who REALLY Brought Aragog to Hagrid? | Harry Potter Film Theory</t>
        </is>
      </c>
      <c r="H432" s="44" t="n">
        <v>0.01359953703703704</v>
      </c>
      <c r="I432" s="45" t="n">
        <v>121792</v>
      </c>
      <c r="J432" s="45" t="n">
        <v>5199</v>
      </c>
      <c r="K432" s="45" t="n">
        <v>530</v>
      </c>
      <c r="L432" s="46" t="n"/>
      <c r="M432" s="47" t="n"/>
      <c r="N432" s="47" t="inlineStr">
        <is>
          <t>UCKZo4N0lVPccBkSiuyVh4yg</t>
        </is>
      </c>
      <c r="O432" s="48" t="n">
        <v>45709.83333333334</v>
      </c>
      <c r="P432" s="49" t="n">
        <v>45709</v>
      </c>
      <c r="Q432" s="47" t="n">
        <v>2836</v>
      </c>
      <c r="R432" s="47" t="inlineStr">
        <is>
          <t>No Video ID yet</t>
        </is>
      </c>
      <c r="S432" s="49" t="n"/>
      <c r="T432" s="49" t="n"/>
      <c r="U432" s="47" t="inlineStr">
        <is>
          <t>This episode is sponsored by MeUndies -- Go to and use code SUPER to get 20% off your first order, plus free shipping on orders of $75 or more. Today Ben dives into the Wizarding World of Harry Potter to find out Where Hagrid got Aragog the Giant Spider aka Acromantula! Was it from the wonderful Newt Scamander.. or perhaps a more nefarious source?</t>
        </is>
      </c>
      <c r="V432" s="47">
        <f>IF(AND(P432&gt;=Calendar!$K$2,P432&lt;EDATE(Calendar!$K$2,1),OR(Calendar!$K$4="*",N432=Calendar!$K$4)),P432*100+COUNTIFS($P$6:$P$3267,P432,$Q$6:$Q$3267,"&lt;="&amp;Q432,$N$6:$N$3267,Calendar!$K$4),"")</f>
        <v/>
      </c>
      <c r="W432" s="47">
        <f>IF(AND(B432=Queue!$C$4,OR(Queue!$K$4="*",N432=Queue!$K$4)),Q432,"")</f>
        <v/>
      </c>
    </row>
    <row r="433">
      <c r="A433" s="38">
        <f>IF(M433="","",HYPERLINK("https://www.youtube.com/watch?v="&amp;M433,"▶"))</f>
        <v/>
      </c>
      <c r="B433" s="39">
        <f>IF(C433&lt;&gt;"",C433,IF(P433&lt;=IFERROR(INDEX(tblChannels[Watched Through],MATCH(N433,tblChannels[Channel ID],0)),0),"Watched","Unwatched"))</f>
        <v/>
      </c>
      <c r="C433" s="40" t="n"/>
      <c r="D433" s="41" t="n"/>
      <c r="E433" s="42" t="n">
        <v>45709.41666666666</v>
      </c>
      <c r="F433" s="43" t="inlineStr">
        <is>
          <t>Popcorn Culture</t>
        </is>
      </c>
      <c r="G433" t="inlineStr">
        <is>
          <t>Re-Popped Popcorn | Popcorn Culture</t>
        </is>
      </c>
      <c r="H433" s="44" t="n">
        <v>0.04461805555555556</v>
      </c>
      <c r="I433" s="45" t="n">
        <v>3463</v>
      </c>
      <c r="J433" s="45" t="n">
        <v>164</v>
      </c>
      <c r="K433" s="45" t="n">
        <v>21</v>
      </c>
      <c r="L433" s="46" t="n"/>
      <c r="M433" s="47" t="n"/>
      <c r="N433" s="47" t="inlineStr">
        <is>
          <t>UCHfIbq9thHPC8yrKjAdJgDA</t>
        </is>
      </c>
      <c r="O433" s="48" t="n">
        <v>45709.625</v>
      </c>
      <c r="P433" s="49" t="n">
        <v>45709</v>
      </c>
      <c r="Q433" s="47" t="n">
        <v>2835</v>
      </c>
      <c r="R433" s="47" t="inlineStr">
        <is>
          <t>No Video ID yet</t>
        </is>
      </c>
      <c r="S433" s="49" t="n"/>
      <c r="T433" s="49" t="n"/>
      <c r="U433" s="47" t="inlineStr">
        <is>
          <t>In the 272nd Pop, we wanted to give everyone another little preview of what it’s like over on ye ol’ patreon with a few of the After the Final Pop episodes. If these pique your interest and you are not yet a member of our Patreon community you can sign up right here: Ben and J discuss oatmeal raisin cookies, Ben’s introspection, smoothie life, Pez candy, eggnog, and more details about their eventual, maybe, hopefully upcoming film 27 Buttes. 00:00 - Intro - ATFPs!! 05:07 - ATFP Part 1 (ep. 220): Oatmeal Cookies and Introspection 22:33 - ATFP Part 2 (ep. 229): Pez Dispensers 42:18 - ATFP Part 3 (ep. 263): Probably One of the Funnies ATFPs Ever</t>
        </is>
      </c>
      <c r="V433" s="47">
        <f>IF(AND(P433&gt;=Calendar!$K$2,P433&lt;EDATE(Calendar!$K$2,1),OR(Calendar!$K$4="*",N433=Calendar!$K$4)),P433*100+COUNTIFS($P$6:$P$3267,P433,$Q$6:$Q$3267,"&lt;="&amp;Q433,$N$6:$N$3267,Calendar!$K$4),"")</f>
        <v/>
      </c>
      <c r="W433" s="47">
        <f>IF(AND(B433=Queue!$C$4,OR(Queue!$K$4="*",N433=Queue!$K$4)),Q433,"")</f>
        <v/>
      </c>
    </row>
    <row r="434">
      <c r="A434" s="38">
        <f>IF(M434="","",HYPERLINK("https://www.youtube.com/watch?v="&amp;M434,"▶"))</f>
        <v/>
      </c>
      <c r="B434" s="39">
        <f>IF(C434&lt;&gt;"",C434,IF(P434&lt;=IFERROR(INDEX(tblChannels[Watched Through],MATCH(N434,tblChannels[Channel ID],0)),0),"Watched","Unwatched"))</f>
        <v/>
      </c>
      <c r="C434" s="40" t="n"/>
      <c r="D434" s="41" t="n"/>
      <c r="E434" s="42" t="n">
        <v>45707.625</v>
      </c>
      <c r="F434" s="50" t="inlineStr">
        <is>
          <t>Super Carlin Brothers</t>
        </is>
      </c>
      <c r="G434" t="inlineStr">
        <is>
          <t>Why Moody Can See Through Harry’s Cloak | Harry Potter Film Theory</t>
        </is>
      </c>
      <c r="H434" s="44" t="n">
        <v>0.01337962962962963</v>
      </c>
      <c r="I434" s="45" t="n">
        <v>153543</v>
      </c>
      <c r="J434" s="45" t="n">
        <v>6502</v>
      </c>
      <c r="K434" s="45" t="n">
        <v>907</v>
      </c>
      <c r="L434" s="46" t="n"/>
      <c r="M434" s="47" t="n"/>
      <c r="N434" s="47" t="inlineStr">
        <is>
          <t>UCKZo4N0lVPccBkSiuyVh4yg</t>
        </is>
      </c>
      <c r="O434" s="48" t="n">
        <v>45707.83333333334</v>
      </c>
      <c r="P434" s="49" t="n">
        <v>45707</v>
      </c>
      <c r="Q434" s="47" t="n">
        <v>2834</v>
      </c>
      <c r="R434" s="47" t="inlineStr">
        <is>
          <t>No Video ID yet</t>
        </is>
      </c>
      <c r="S434" s="49" t="n"/>
      <c r="T434" s="49" t="n"/>
      <c r="U434" s="47" t="inlineStr">
        <is>
          <t>This episode is sponsored by BetterHelp — go to to get 10% off your first month. Today J dives into the Wizarding World of Harry Potter to find out why Mad-Eye’s Moody’s Eye can see through the Invisibility Cloak one of Death’s own hallows! Is it a 4th Hallow? Was it created by one? Is it one of Death’s own EYES?</t>
        </is>
      </c>
      <c r="V434" s="47">
        <f>IF(AND(P434&gt;=Calendar!$K$2,P434&lt;EDATE(Calendar!$K$2,1),OR(Calendar!$K$4="*",N434=Calendar!$K$4)),P434*100+COUNTIFS($P$6:$P$3267,P434,$Q$6:$Q$3267,"&lt;="&amp;Q434,$N$6:$N$3267,Calendar!$K$4),"")</f>
        <v/>
      </c>
      <c r="W434" s="47">
        <f>IF(AND(B434=Queue!$C$4,OR(Queue!$K$4="*",N434=Queue!$K$4)),Q434,"")</f>
        <v/>
      </c>
    </row>
    <row r="435">
      <c r="A435" s="38">
        <f>IF(M435="","",HYPERLINK("https://www.youtube.com/watch?v="&amp;M435,"▶"))</f>
        <v/>
      </c>
      <c r="B435" s="39">
        <f>IF(C435&lt;&gt;"",C435,IF(P435&lt;=IFERROR(INDEX(tblChannels[Watched Through],MATCH(N435,tblChannels[Channel ID],0)),0),"Watched","Unwatched"))</f>
        <v/>
      </c>
      <c r="C435" s="40" t="n"/>
      <c r="D435" s="41" t="n"/>
      <c r="E435" s="42" t="n">
        <v>45704.41666666666</v>
      </c>
      <c r="F435" s="51" t="inlineStr">
        <is>
          <t>Through The Griffin Door</t>
        </is>
      </c>
      <c r="G435" t="inlineStr">
        <is>
          <t>Chapter 13: Mad-Eye Moody | Goblet of Fire</t>
        </is>
      </c>
      <c r="H435" s="44" t="n">
        <v>0.05840277777777778</v>
      </c>
      <c r="I435" s="45" t="n">
        <v>57186</v>
      </c>
      <c r="J435" s="45" t="n">
        <v>1658</v>
      </c>
      <c r="K435" s="45" t="n">
        <v>370</v>
      </c>
      <c r="L435" s="46" t="n"/>
      <c r="M435" s="47" t="n"/>
      <c r="N435" s="47" t="inlineStr">
        <is>
          <t>UCEscP6ETYXWSSvsNrDHekMQ</t>
        </is>
      </c>
      <c r="O435" s="48" t="n">
        <v>45704.625</v>
      </c>
      <c r="P435" s="49" t="n">
        <v>45704</v>
      </c>
      <c r="Q435" s="47" t="n">
        <v>2833</v>
      </c>
      <c r="R435" s="47" t="inlineStr">
        <is>
          <t>No Video ID yet</t>
        </is>
      </c>
      <c r="S435" s="49" t="n"/>
      <c r="T435" s="49" t="n"/>
      <c r="U435" s="47" t="inlineStr">
        <is>
          <t>This episode is sponsored by Shopify -- Sign up for your one-dollar-per-month trial period at shopify.com/griffin Join J and Ben as they dive into Chapter 13 of the Goblet of Fire and discuss the year four schedule, bubotuber pus, blast ended skrewts, Divination class, Malfoy being a jerk then getting turned into a ferret, and the twins’ reaction to Moody. 05:09 - Chapter Breakdown 34:35 - Ad 36:05 - More Chapter Breakdown 1:10:25 - Closing Thoughts and Review</t>
        </is>
      </c>
      <c r="V435" s="47">
        <f>IF(AND(P435&gt;=Calendar!$K$2,P435&lt;EDATE(Calendar!$K$2,1),OR(Calendar!$K$4="*",N435=Calendar!$K$4)),P435*100+COUNTIFS($P$6:$P$3267,P435,$Q$6:$Q$3267,"&lt;="&amp;Q435,$N$6:$N$3267,Calendar!$K$4),"")</f>
        <v/>
      </c>
      <c r="W435" s="47">
        <f>IF(AND(B435=Queue!$C$4,OR(Queue!$K$4="*",N435=Queue!$K$4)),Q435,"")</f>
        <v/>
      </c>
    </row>
    <row r="436">
      <c r="A436" s="38">
        <f>IF(M436="","",HYPERLINK("https://www.youtube.com/watch?v="&amp;M436,"▶"))</f>
        <v/>
      </c>
      <c r="B436" s="39">
        <f>IF(C436&lt;&gt;"",C436,IF(P436&lt;=IFERROR(INDEX(tblChannels[Watched Through],MATCH(N436,tblChannels[Channel ID],0)),0),"Watched","Unwatched"))</f>
        <v/>
      </c>
      <c r="C436" s="40" t="n"/>
      <c r="D436" s="41" t="n"/>
      <c r="E436" s="42" t="n">
        <v>45703.41666666666</v>
      </c>
      <c r="F436" s="50" t="inlineStr">
        <is>
          <t>Super Carlin Brothers</t>
        </is>
      </c>
      <c r="G436" t="inlineStr">
        <is>
          <t>Through the Griffin Door Supercut: Goblet of Fire Chapters 10-12</t>
        </is>
      </c>
      <c r="H436" s="44" t="n">
        <v>0.195474537037037</v>
      </c>
      <c r="I436" s="45" t="n">
        <v>20016</v>
      </c>
      <c r="J436" s="45" t="n">
        <v>361</v>
      </c>
      <c r="K436" s="45" t="n">
        <v>96</v>
      </c>
      <c r="L436" s="46" t="n"/>
      <c r="M436" s="47" t="n"/>
      <c r="N436" s="47" t="inlineStr">
        <is>
          <t>UCKZo4N0lVPccBkSiuyVh4yg</t>
        </is>
      </c>
      <c r="O436" s="48" t="n">
        <v>45703.625</v>
      </c>
      <c r="P436" s="49" t="n">
        <v>45703</v>
      </c>
      <c r="Q436" s="47" t="n">
        <v>2832</v>
      </c>
      <c r="R436" s="47" t="inlineStr">
        <is>
          <t>No Video ID yet</t>
        </is>
      </c>
      <c r="S436" s="49" t="n"/>
      <c r="T436" s="49" t="n"/>
      <c r="U436" s="47" t="inlineStr">
        <is>
          <t>0:00:00 - Chapter 10: Mayhem at the Ministry 1:20:25 - Chapter 11: Aboard the Hogwarts Express 2:48:08 - Chapter 12: Mad-Eye Moody</t>
        </is>
      </c>
      <c r="V436" s="47">
        <f>IF(AND(P436&gt;=Calendar!$K$2,P436&lt;EDATE(Calendar!$K$2,1),OR(Calendar!$K$4="*",N436=Calendar!$K$4)),P436*100+COUNTIFS($P$6:$P$3267,P436,$Q$6:$Q$3267,"&lt;="&amp;Q436,$N$6:$N$3267,Calendar!$K$4),"")</f>
        <v/>
      </c>
      <c r="W436" s="47">
        <f>IF(AND(B436=Queue!$C$4,OR(Queue!$K$4="*",N436=Queue!$K$4)),Q436,"")</f>
        <v/>
      </c>
    </row>
    <row r="437">
      <c r="A437" s="38">
        <f>IF(M437="","",HYPERLINK("https://www.youtube.com/watch?v="&amp;M437,"▶"))</f>
        <v/>
      </c>
      <c r="B437" s="39">
        <f>IF(C437&lt;&gt;"",C437,IF(P437&lt;=IFERROR(INDEX(tblChannels[Watched Through],MATCH(N437,tblChannels[Channel ID],0)),0),"Watched","Unwatched"))</f>
        <v/>
      </c>
      <c r="C437" s="40" t="n"/>
      <c r="D437" s="41" t="n"/>
      <c r="E437" s="42" t="n">
        <v>45702.625</v>
      </c>
      <c r="F437" s="50" t="inlineStr">
        <is>
          <t>Super Carlin Brothers</t>
        </is>
      </c>
      <c r="G437" t="inlineStr">
        <is>
          <t>Dumbledore's Horcrux - REACTING To Our Old Theories!</t>
        </is>
      </c>
      <c r="H437" s="44" t="n">
        <v>0.02850694444444445</v>
      </c>
      <c r="I437" s="45" t="n">
        <v>193741</v>
      </c>
      <c r="J437" s="45" t="n">
        <v>7785</v>
      </c>
      <c r="K437" s="45" t="n">
        <v>1268</v>
      </c>
      <c r="L437" s="46" t="n"/>
      <c r="M437" s="47" t="n"/>
      <c r="N437" s="47" t="inlineStr">
        <is>
          <t>UCKZo4N0lVPccBkSiuyVh4yg</t>
        </is>
      </c>
      <c r="O437" s="48" t="n">
        <v>45702.83333333334</v>
      </c>
      <c r="P437" s="49" t="n">
        <v>45702</v>
      </c>
      <c r="Q437" s="47" t="n">
        <v>2831</v>
      </c>
      <c r="R437" s="47" t="inlineStr">
        <is>
          <t>No Video ID yet</t>
        </is>
      </c>
      <c r="S437" s="49" t="n"/>
      <c r="T437" s="49" t="n"/>
      <c r="U437" s="47" t="inlineStr">
        <is>
          <t>This episode is sponsored by BetterHelp — go to to get 10% off your first month. This episode is sponsored by Shopify — Go to to sign up for your $1-per-month trial period. Today J and Ben look back at one of their most infamous Theories: Dubledores Horcrux. How does "The One Theory JK Rowling Hates" hold up after all this time?</t>
        </is>
      </c>
      <c r="V437" s="47">
        <f>IF(AND(P437&gt;=Calendar!$K$2,P437&lt;EDATE(Calendar!$K$2,1),OR(Calendar!$K$4="*",N437=Calendar!$K$4)),P437*100+COUNTIFS($P$6:$P$3267,P437,$Q$6:$Q$3267,"&lt;="&amp;Q437,$N$6:$N$3267,Calendar!$K$4),"")</f>
        <v/>
      </c>
      <c r="W437" s="47">
        <f>IF(AND(B437=Queue!$C$4,OR(Queue!$K$4="*",N437=Queue!$K$4)),Q437,"")</f>
        <v/>
      </c>
    </row>
    <row r="438">
      <c r="A438" s="38">
        <f>IF(M438="","",HYPERLINK("https://www.youtube.com/watch?v="&amp;M438,"▶"))</f>
        <v/>
      </c>
      <c r="B438" s="39">
        <f>IF(C438&lt;&gt;"",C438,IF(P438&lt;=IFERROR(INDEX(tblChannels[Watched Through],MATCH(N438,tblChannels[Channel ID],0)),0),"Watched","Unwatched"))</f>
        <v/>
      </c>
      <c r="C438" s="40" t="n"/>
      <c r="D438" s="41" t="n"/>
      <c r="E438" s="42" t="n">
        <v>45702.41666666666</v>
      </c>
      <c r="F438" s="43" t="inlineStr">
        <is>
          <t>Popcorn Culture</t>
        </is>
      </c>
      <c r="G438" t="inlineStr">
        <is>
          <t>The Freaky Friday Q+A |  Popcorn Culture</t>
        </is>
      </c>
      <c r="H438" s="44" t="n">
        <v>0.0466550925925926</v>
      </c>
      <c r="I438" s="45" t="n">
        <v>3772</v>
      </c>
      <c r="J438" s="45" t="n">
        <v>187</v>
      </c>
      <c r="K438" s="45" t="n">
        <v>20</v>
      </c>
      <c r="L438" s="46" t="n"/>
      <c r="M438" s="47" t="n"/>
      <c r="N438" s="47" t="inlineStr">
        <is>
          <t>UCHfIbq9thHPC8yrKjAdJgDA</t>
        </is>
      </c>
      <c r="O438" s="48" t="n">
        <v>45702.625</v>
      </c>
      <c r="P438" s="49" t="n">
        <v>45702</v>
      </c>
      <c r="Q438" s="47" t="n">
        <v>2830</v>
      </c>
      <c r="R438" s="47" t="inlineStr">
        <is>
          <t>No Video ID yet</t>
        </is>
      </c>
      <c r="S438" s="49" t="n"/>
      <c r="T438" s="49" t="n"/>
      <c r="U438" s="47" t="inlineStr">
        <is>
          <t>In the 271st episode of the Pop, Ben and J answer YOUR questions and discuss therapy, Disney Punk, OG YouTubers, rewards at jobs, Freaky Friday-ing, doing content outdoors, and the Worst Uber Ever. A Whole New Sound - The Nostalgic Critic - Philip DeFranco - Community Channel - Vlogbrothers - Ze Frank - Weezy Waiter - Devinsupertramp - Freaky Friday - We Are Legion, We Are Bob - The Outdoor Boys - I Say More Swears Antipodes 00:00 - Intro, True Personalities 12:30 - A Whole New Sound 17:17 - OG YouTubers 26:32 - Old Jobs 33:39 - Freaky Friday 45:12 - Outdoor Content 56:32 - Worst Uber Ever</t>
        </is>
      </c>
      <c r="V438" s="47">
        <f>IF(AND(P438&gt;=Calendar!$K$2,P438&lt;EDATE(Calendar!$K$2,1),OR(Calendar!$K$4="*",N438=Calendar!$K$4)),P438*100+COUNTIFS($P$6:$P$3267,P438,$Q$6:$Q$3267,"&lt;="&amp;Q438,$N$6:$N$3267,Calendar!$K$4),"")</f>
        <v/>
      </c>
      <c r="W438" s="47">
        <f>IF(AND(B438=Queue!$C$4,OR(Queue!$K$4="*",N438=Queue!$K$4)),Q438,"")</f>
        <v/>
      </c>
    </row>
    <row r="439">
      <c r="A439" s="38">
        <f>IF(M439="","",HYPERLINK("https://www.youtube.com/watch?v="&amp;M439,"▶"))</f>
        <v/>
      </c>
      <c r="B439" s="39">
        <f>IF(C439&lt;&gt;"",C439,IF(P439&lt;=IFERROR(INDEX(tblChannels[Watched Through],MATCH(N439,tblChannels[Channel ID],0)),0),"Watched","Unwatched"))</f>
        <v/>
      </c>
      <c r="C439" s="40" t="n"/>
      <c r="D439" s="41" t="n"/>
      <c r="E439" s="42" t="n">
        <v>45700.625</v>
      </c>
      <c r="F439" s="50" t="inlineStr">
        <is>
          <t>Super Carlin Brothers</t>
        </is>
      </c>
      <c r="G439" t="inlineStr">
        <is>
          <t>J vs Ben: HARDEST Prisoner of Azkaban Movie Harry Potter TRIVIA Battle</t>
        </is>
      </c>
      <c r="H439" s="44" t="n">
        <v>0.03003472222222222</v>
      </c>
      <c r="I439" s="45" t="n">
        <v>159522</v>
      </c>
      <c r="J439" s="45" t="n">
        <v>4865</v>
      </c>
      <c r="K439" s="45" t="n">
        <v>768</v>
      </c>
      <c r="L439" s="46" t="n"/>
      <c r="M439" s="47" t="n"/>
      <c r="N439" s="47" t="inlineStr">
        <is>
          <t>UCKZo4N0lVPccBkSiuyVh4yg</t>
        </is>
      </c>
      <c r="O439" s="48" t="n">
        <v>45700.83333333334</v>
      </c>
      <c r="P439" s="49" t="n">
        <v>45700</v>
      </c>
      <c r="Q439" s="47" t="n">
        <v>2829</v>
      </c>
      <c r="R439" s="47" t="inlineStr">
        <is>
          <t>No Video ID yet</t>
        </is>
      </c>
      <c r="S439" s="49" t="n"/>
      <c r="T439" s="49" t="n"/>
      <c r="U439" s="47" t="inlineStr">
        <is>
          <t>This episode is sponsored by MeUndies – Go to and use code BROTHER to get 20% off your first order, plus free shipping on orders of $75 or more. This episode is sponsored by Factor – Go to and use code jvsb50off to get 50% off your first box plus free shipping. Today J and Ben face off once more to find out who knows more about the Harry Potter movies as they duke it out over Prisoner of Azkaban</t>
        </is>
      </c>
      <c r="V439" s="47">
        <f>IF(AND(P439&gt;=Calendar!$K$2,P439&lt;EDATE(Calendar!$K$2,1),OR(Calendar!$K$4="*",N439=Calendar!$K$4)),P439*100+COUNTIFS($P$6:$P$3267,P439,$Q$6:$Q$3267,"&lt;="&amp;Q439,$N$6:$N$3267,Calendar!$K$4),"")</f>
        <v/>
      </c>
      <c r="W439" s="47">
        <f>IF(AND(B439=Queue!$C$4,OR(Queue!$K$4="*",N439=Queue!$K$4)),Q439,"")</f>
        <v/>
      </c>
    </row>
    <row r="440">
      <c r="A440" s="38">
        <f>IF(M440="","",HYPERLINK("https://www.youtube.com/watch?v="&amp;M440,"▶"))</f>
        <v/>
      </c>
      <c r="B440" s="39">
        <f>IF(C440&lt;&gt;"",C440,IF(P440&lt;=IFERROR(INDEX(tblChannels[Watched Through],MATCH(N440,tblChannels[Channel ID],0)),0),"Watched","Unwatched"))</f>
        <v/>
      </c>
      <c r="C440" s="40" t="n"/>
      <c r="D440" s="41" t="n"/>
      <c r="E440" s="42" t="n">
        <v>45697.41666666666</v>
      </c>
      <c r="F440" s="51" t="inlineStr">
        <is>
          <t>Through The Griffin Door</t>
        </is>
      </c>
      <c r="G440" t="inlineStr">
        <is>
          <t>Chapter 12: The Triwizard Tournament | Goblet of Fire</t>
        </is>
      </c>
      <c r="H440" s="44" t="n">
        <v>0.07981481481481481</v>
      </c>
      <c r="I440" s="45" t="n">
        <v>72713</v>
      </c>
      <c r="J440" s="45" t="n">
        <v>1838</v>
      </c>
      <c r="K440" s="45" t="n">
        <v>718</v>
      </c>
      <c r="L440" s="46" t="n"/>
      <c r="M440" s="47" t="n"/>
      <c r="N440" s="47" t="inlineStr">
        <is>
          <t>UCEscP6ETYXWSSvsNrDHekMQ</t>
        </is>
      </c>
      <c r="O440" s="48" t="n">
        <v>45697.625</v>
      </c>
      <c r="P440" s="49" t="n">
        <v>45697</v>
      </c>
      <c r="Q440" s="47" t="n">
        <v>2828</v>
      </c>
      <c r="R440" s="47" t="inlineStr">
        <is>
          <t>No Video ID yet</t>
        </is>
      </c>
      <c r="S440" s="49" t="n"/>
      <c r="T440" s="49" t="n"/>
      <c r="U440" s="47" t="inlineStr">
        <is>
          <t>This episode is sponsored by Pair Eyewear -- Go to paireyewear.com and use code GRIFFIN for 15% off your first pair. Join J and Ben as they dive into Chapter 12 of the Goblet of Fire and discuss, thestrals, Voldemort’s Pokemon team, Peeves, the sorting, the Creevy brothers, where the founders are buried, the Bloody Baron, Moody’s entrance, the tournament details and the age line. Potter Puppet Pals: Triwizard Tournament Pottermore Article: 02:40 - Chapter Breakdown 1:00:02 - Ad 1:01:37 - More Chapter Breakdown 1:41:21 - Closing Thoughts and Review</t>
        </is>
      </c>
      <c r="V440" s="47">
        <f>IF(AND(P440&gt;=Calendar!$K$2,P440&lt;EDATE(Calendar!$K$2,1),OR(Calendar!$K$4="*",N440=Calendar!$K$4)),P440*100+COUNTIFS($P$6:$P$3267,P440,$Q$6:$Q$3267,"&lt;="&amp;Q440,$N$6:$N$3267,Calendar!$K$4),"")</f>
        <v/>
      </c>
      <c r="W440" s="47">
        <f>IF(AND(B440=Queue!$C$4,OR(Queue!$K$4="*",N440=Queue!$K$4)),Q440,"")</f>
        <v/>
      </c>
    </row>
    <row r="441">
      <c r="A441" s="38">
        <f>IF(M441="","",HYPERLINK("https://www.youtube.com/watch?v="&amp;M441,"▶"))</f>
        <v/>
      </c>
      <c r="B441" s="39">
        <f>IF(C441&lt;&gt;"",C441,IF(P441&lt;=IFERROR(INDEX(tblChannels[Watched Through],MATCH(N441,tblChannels[Channel ID],0)),0),"Watched","Unwatched"))</f>
        <v/>
      </c>
      <c r="C441" s="40" t="n"/>
      <c r="D441" s="41" t="n"/>
      <c r="E441" s="42" t="n">
        <v>45695.7</v>
      </c>
      <c r="F441" s="50" t="inlineStr">
        <is>
          <t>Super Carlin Brothers</t>
        </is>
      </c>
      <c r="G441" t="inlineStr">
        <is>
          <t>Why Petunia Didn’t REVEAL The Wizarding World | Harry Potter Film Theory</t>
        </is>
      </c>
      <c r="H441" s="44" t="n">
        <v>0.01356481481481481</v>
      </c>
      <c r="I441" s="45" t="n">
        <v>210589</v>
      </c>
      <c r="J441" s="45" t="n">
        <v>7875</v>
      </c>
      <c r="K441" s="45" t="n">
        <v>834</v>
      </c>
      <c r="L441" s="46" t="n"/>
      <c r="M441" s="47" t="n"/>
      <c r="N441" s="47" t="inlineStr">
        <is>
          <t>UCKZo4N0lVPccBkSiuyVh4yg</t>
        </is>
      </c>
      <c r="O441" s="48" t="n">
        <v>45695.90833333333</v>
      </c>
      <c r="P441" s="49" t="n">
        <v>45695</v>
      </c>
      <c r="Q441" s="47" t="n">
        <v>2827</v>
      </c>
      <c r="R441" s="47" t="inlineStr">
        <is>
          <t>No Video ID yet</t>
        </is>
      </c>
      <c r="S441" s="49" t="n"/>
      <c r="T441" s="49" t="n"/>
      <c r="U441" s="47" t="inlineStr">
        <is>
          <t>This episode is sponsored by Raycon – Go to to get 15% off sitewide. Today Ben dives into the Wizarding World of Harry Potter to reveal why Petunia, or any muggle for that matter, NEVER goes about revealing the Wizarding World and all of the odd rules that surround this issue. Like if its legal to marry muggles.. But illegal to reveal the Wizarding World… how does that work?</t>
        </is>
      </c>
      <c r="V441" s="47">
        <f>IF(AND(P441&gt;=Calendar!$K$2,P441&lt;EDATE(Calendar!$K$2,1),OR(Calendar!$K$4="*",N441=Calendar!$K$4)),P441*100+COUNTIFS($P$6:$P$3267,P441,$Q$6:$Q$3267,"&lt;="&amp;Q441,$N$6:$N$3267,Calendar!$K$4),"")</f>
        <v/>
      </c>
      <c r="W441" s="47">
        <f>IF(AND(B441=Queue!$C$4,OR(Queue!$K$4="*",N441=Queue!$K$4)),Q441,"")</f>
        <v/>
      </c>
    </row>
    <row r="442">
      <c r="A442" s="38">
        <f>IF(M442="","",HYPERLINK("https://www.youtube.com/watch?v="&amp;M442,"▶"))</f>
        <v/>
      </c>
      <c r="B442" s="39">
        <f>IF(C442&lt;&gt;"",C442,IF(P442&lt;=IFERROR(INDEX(tblChannels[Watched Through],MATCH(N442,tblChannels[Channel ID],0)),0),"Watched","Unwatched"))</f>
        <v/>
      </c>
      <c r="C442" s="40" t="n"/>
      <c r="D442" s="41" t="n"/>
      <c r="E442" s="42" t="n">
        <v>45695.41666666666</v>
      </c>
      <c r="F442" s="43" t="inlineStr">
        <is>
          <t>Popcorn Culture</t>
        </is>
      </c>
      <c r="G442" t="inlineStr">
        <is>
          <t>Pin Trading Goes Hard | Popcorn Culture</t>
        </is>
      </c>
      <c r="H442" s="44" t="n">
        <v>0.06259259259259259</v>
      </c>
      <c r="I442" s="45" t="n">
        <v>4293</v>
      </c>
      <c r="J442" s="45" t="n">
        <v>215</v>
      </c>
      <c r="K442" s="45" t="n">
        <v>37</v>
      </c>
      <c r="L442" s="46" t="n"/>
      <c r="M442" s="47" t="n"/>
      <c r="N442" s="47" t="inlineStr">
        <is>
          <t>UCHfIbq9thHPC8yrKjAdJgDA</t>
        </is>
      </c>
      <c r="O442" s="48" t="n">
        <v>45695.625</v>
      </c>
      <c r="P442" s="49" t="n">
        <v>45695</v>
      </c>
      <c r="Q442" s="47" t="n">
        <v>2826</v>
      </c>
      <c r="R442" s="47" t="inlineStr">
        <is>
          <t>No Video ID yet</t>
        </is>
      </c>
      <c r="S442" s="49" t="n"/>
      <c r="T442" s="49" t="n"/>
      <c r="U442" s="47" t="inlineStr">
        <is>
          <t>In the 270th episode of the Pop, Ben and J discuss J nearly missing the trip, the results of their Disney over/unders, pin hunting and trading, the Bippity Boppity Boutique and Big Lick Comic Con. 00:00 - Intro, A Near Miss 05:23 - Over/Under Results 1:10:53 - Extra Disney Stuff</t>
        </is>
      </c>
      <c r="V442" s="47">
        <f>IF(AND(P442&gt;=Calendar!$K$2,P442&lt;EDATE(Calendar!$K$2,1),OR(Calendar!$K$4="*",N442=Calendar!$K$4)),P442*100+COUNTIFS($P$6:$P$3267,P442,$Q$6:$Q$3267,"&lt;="&amp;Q442,$N$6:$N$3267,Calendar!$K$4),"")</f>
        <v/>
      </c>
      <c r="W442" s="47">
        <f>IF(AND(B442=Queue!$C$4,OR(Queue!$K$4="*",N442=Queue!$K$4)),Q442,"")</f>
        <v/>
      </c>
    </row>
    <row r="443">
      <c r="A443" s="38">
        <f>IF(M443="","",HYPERLINK("https://www.youtube.com/watch?v="&amp;M443,"▶"))</f>
        <v/>
      </c>
      <c r="B443" s="39">
        <f>IF(C443&lt;&gt;"",C443,IF(P443&lt;=IFERROR(INDEX(tblChannels[Watched Through],MATCH(N443,tblChannels[Channel ID],0)),0),"Watched","Unwatched"))</f>
        <v/>
      </c>
      <c r="C443" s="40" t="n"/>
      <c r="D443" s="41" t="n"/>
      <c r="E443" s="42" t="n">
        <v>45693.70625</v>
      </c>
      <c r="F443" s="50" t="inlineStr">
        <is>
          <t>Super Carlin Brothers</t>
        </is>
      </c>
      <c r="G443" t="inlineStr">
        <is>
          <t>How Spells Are CREATED In Harry Potter | Harry Potter Film Theory</t>
        </is>
      </c>
      <c r="H443" s="44" t="n">
        <v>0.01179398148148148</v>
      </c>
      <c r="I443" s="45" t="n">
        <v>486068</v>
      </c>
      <c r="J443" s="45" t="n">
        <v>15081</v>
      </c>
      <c r="K443" s="45" t="n">
        <v>1330</v>
      </c>
      <c r="L443" s="46" t="n"/>
      <c r="M443" s="47" t="n"/>
      <c r="N443" s="47" t="inlineStr">
        <is>
          <t>UCKZo4N0lVPccBkSiuyVh4yg</t>
        </is>
      </c>
      <c r="O443" s="48" t="n">
        <v>45693.91458333333</v>
      </c>
      <c r="P443" s="49" t="n">
        <v>45693</v>
      </c>
      <c r="Q443" s="47" t="n">
        <v>2825</v>
      </c>
      <c r="R443" s="47" t="inlineStr">
        <is>
          <t>No Video ID yet</t>
        </is>
      </c>
      <c r="S443" s="49" t="n"/>
      <c r="T443" s="49" t="n"/>
      <c r="U443" s="47" t="inlineStr">
        <is>
          <t>Today J dives into the Wizarding World of Harry Potter to explain how Spells are created. Are they just waiting to be discovered? Or are Wizards able to craft them with their own intent? Do Magic words matter at all?</t>
        </is>
      </c>
      <c r="V443" s="47">
        <f>IF(AND(P443&gt;=Calendar!$K$2,P443&lt;EDATE(Calendar!$K$2,1),OR(Calendar!$K$4="*",N443=Calendar!$K$4)),P443*100+COUNTIFS($P$6:$P$3267,P443,$Q$6:$Q$3267,"&lt;="&amp;Q443,$N$6:$N$3267,Calendar!$K$4),"")</f>
        <v/>
      </c>
      <c r="W443" s="47">
        <f>IF(AND(B443=Queue!$C$4,OR(Queue!$K$4="*",N443=Queue!$K$4)),Q443,"")</f>
        <v/>
      </c>
    </row>
    <row r="444">
      <c r="A444" s="38">
        <f>IF(M444="","",HYPERLINK("https://www.youtube.com/watch?v="&amp;M444,"▶"))</f>
        <v/>
      </c>
      <c r="B444" s="39">
        <f>IF(C444&lt;&gt;"",C444,IF(P444&lt;=IFERROR(INDEX(tblChannels[Watched Through],MATCH(N444,tblChannels[Channel ID],0)),0),"Watched","Unwatched"))</f>
        <v/>
      </c>
      <c r="C444" s="40" t="n"/>
      <c r="D444" s="41" t="n"/>
      <c r="E444" s="42" t="n">
        <v>45690.41666666666</v>
      </c>
      <c r="F444" s="51" t="inlineStr">
        <is>
          <t>Through The Griffin Door</t>
        </is>
      </c>
      <c r="G444" t="inlineStr">
        <is>
          <t>Chapter 11: Aboard The Hogwarts Express | Goblet Of Fire</t>
        </is>
      </c>
      <c r="H444" s="44" t="n">
        <v>0.06196759259259259</v>
      </c>
      <c r="I444" s="45" t="n">
        <v>62695</v>
      </c>
      <c r="J444" s="45" t="n">
        <v>1697</v>
      </c>
      <c r="K444" s="45" t="n">
        <v>473</v>
      </c>
      <c r="L444" s="46" t="n"/>
      <c r="M444" s="47" t="n"/>
      <c r="N444" s="47" t="inlineStr">
        <is>
          <t>UCEscP6ETYXWSSvsNrDHekMQ</t>
        </is>
      </c>
      <c r="O444" s="48" t="n">
        <v>45690.625</v>
      </c>
      <c r="P444" s="49" t="n">
        <v>45690</v>
      </c>
      <c r="Q444" s="47" t="n">
        <v>2824</v>
      </c>
      <c r="R444" s="47" t="inlineStr">
        <is>
          <t>No Video ID yet</t>
        </is>
      </c>
      <c r="S444" s="49" t="n"/>
      <c r="T444" s="49" t="n"/>
      <c r="U444" s="47" t="inlineStr">
        <is>
          <t>Join J and Ben as they dive into Chapter 11 of the Goblet of Fire and discuss whether or not Voldemort intended to live at Hogwarts, all the things that are set up in this book before they even get on the train, why James liked Peter better than Remus, and if it’s rude to floo directly into someone’s house. 08:42 - Chapter Breakdown 23:20 - Ad 24:52 - More Chapter Breakdown 1:19:28 - Closing Thoughts and Review</t>
        </is>
      </c>
      <c r="V444" s="47">
        <f>IF(AND(P444&gt;=Calendar!$K$2,P444&lt;EDATE(Calendar!$K$2,1),OR(Calendar!$K$4="*",N444=Calendar!$K$4)),P444*100+COUNTIFS($P$6:$P$3267,P444,$Q$6:$Q$3267,"&lt;="&amp;Q444,$N$6:$N$3267,Calendar!$K$4),"")</f>
        <v/>
      </c>
      <c r="W444" s="47">
        <f>IF(AND(B444=Queue!$C$4,OR(Queue!$K$4="*",N444=Queue!$K$4)),Q444,"")</f>
        <v/>
      </c>
    </row>
    <row r="445">
      <c r="A445" s="38">
        <f>IF(M445="","",HYPERLINK("https://www.youtube.com/watch?v="&amp;M445,"▶"))</f>
        <v/>
      </c>
      <c r="B445" s="39">
        <f>IF(C445&lt;&gt;"",C445,IF(P445&lt;=IFERROR(INDEX(tblChannels[Watched Through],MATCH(N445,tblChannels[Channel ID],0)),0),"Watched","Unwatched"))</f>
        <v/>
      </c>
      <c r="C445" s="40" t="n"/>
      <c r="D445" s="41" t="n"/>
      <c r="E445" s="42" t="n">
        <v>45688.625</v>
      </c>
      <c r="F445" s="50" t="inlineStr">
        <is>
          <t>Super Carlin Brothers</t>
        </is>
      </c>
      <c r="G445" t="inlineStr">
        <is>
          <t>J vs Ben: HARDEST Harry Potter and the Chamber of Secrets MOVIE Trivia Quiz</t>
        </is>
      </c>
      <c r="H445" s="44" t="n">
        <v>0.03291666666666666</v>
      </c>
      <c r="I445" s="45" t="n">
        <v>199426</v>
      </c>
      <c r="J445" s="45" t="n">
        <v>4861</v>
      </c>
      <c r="K445" s="45" t="n">
        <v>757</v>
      </c>
      <c r="L445" s="46" t="n"/>
      <c r="M445" s="47" t="n"/>
      <c r="N445" s="47" t="inlineStr">
        <is>
          <t>UCKZo4N0lVPccBkSiuyVh4yg</t>
        </is>
      </c>
      <c r="O445" s="48" t="n">
        <v>45688.83333333334</v>
      </c>
      <c r="P445" s="49" t="n">
        <v>45688</v>
      </c>
      <c r="Q445" s="47" t="n">
        <v>2823</v>
      </c>
      <c r="R445" s="47" t="inlineStr">
        <is>
          <t>No Video ID yet</t>
        </is>
      </c>
      <c r="S445" s="49" t="n"/>
      <c r="T445" s="49" t="n"/>
      <c r="U445" s="47" t="inlineStr">
        <is>
          <t>This episode is sponsored by Factor – Go to and use code jvsb50off to get 50% off your first box plus free shipping. Today J and Ben once again go off book and into the Wizarding World of the Harry Potter MOVIES to find out who knows more about the Second Harry Potter Movie “The Chamber of Secrets” Play along with us at :: Harry Potter Trivia LIVE at Big-Lick ComicCon :: #supercarlinbrothers #HarryPotter # JvsBen</t>
        </is>
      </c>
      <c r="V445" s="47">
        <f>IF(AND(P445&gt;=Calendar!$K$2,P445&lt;EDATE(Calendar!$K$2,1),OR(Calendar!$K$4="*",N445=Calendar!$K$4)),P445*100+COUNTIFS($P$6:$P$3267,P445,$Q$6:$Q$3267,"&lt;="&amp;Q445,$N$6:$N$3267,Calendar!$K$4),"")</f>
        <v/>
      </c>
      <c r="W445" s="47">
        <f>IF(AND(B445=Queue!$C$4,OR(Queue!$K$4="*",N445=Queue!$K$4)),Q445,"")</f>
        <v/>
      </c>
    </row>
    <row r="446">
      <c r="A446" s="38">
        <f>IF(M446="","",HYPERLINK("https://www.youtube.com/watch?v="&amp;M446,"▶"))</f>
        <v/>
      </c>
      <c r="B446" s="39">
        <f>IF(C446&lt;&gt;"",C446,IF(P446&lt;=IFERROR(INDEX(tblChannels[Watched Through],MATCH(N446,tblChannels[Channel ID],0)),0),"Watched","Unwatched"))</f>
        <v/>
      </c>
      <c r="C446" s="40" t="n"/>
      <c r="D446" s="41" t="n"/>
      <c r="E446" s="42" t="n">
        <v>45688.41666666666</v>
      </c>
      <c r="F446" s="43" t="inlineStr">
        <is>
          <t>Popcorn Culture</t>
        </is>
      </c>
      <c r="G446" t="inlineStr">
        <is>
          <t>Wives Pop 3.0! | Popcorn Culture</t>
        </is>
      </c>
      <c r="H446" s="44" t="n">
        <v>0.04211805555555555</v>
      </c>
      <c r="I446" s="45" t="n">
        <v>5607</v>
      </c>
      <c r="J446" s="45" t="n">
        <v>317</v>
      </c>
      <c r="K446" s="45" t="n">
        <v>37</v>
      </c>
      <c r="L446" s="46" t="n"/>
      <c r="M446" s="47" t="n"/>
      <c r="N446" s="47" t="inlineStr">
        <is>
          <t>UCHfIbq9thHPC8yrKjAdJgDA</t>
        </is>
      </c>
      <c r="O446" s="48" t="n">
        <v>45688.625</v>
      </c>
      <c r="P446" s="49" t="n">
        <v>45688</v>
      </c>
      <c r="Q446" s="47" t="n">
        <v>2822</v>
      </c>
      <c r="R446" s="47" t="inlineStr">
        <is>
          <t>No Video ID yet</t>
        </is>
      </c>
      <c r="S446" s="49" t="n"/>
      <c r="T446" s="49" t="n"/>
      <c r="U446" s="47" t="inlineStr">
        <is>
          <t>On the 269th episode of the Pop, Ben and J AND Alyce AND Beth discuss their upcoming Disney trip! The Outdoor Boys - Sonic Movies - Our Bluey Video from that day -</t>
        </is>
      </c>
      <c r="V446" s="47">
        <f>IF(AND(P446&gt;=Calendar!$K$2,P446&lt;EDATE(Calendar!$K$2,1),OR(Calendar!$K$4="*",N446=Calendar!$K$4)),P446*100+COUNTIFS($P$6:$P$3267,P446,$Q$6:$Q$3267,"&lt;="&amp;Q446,$N$6:$N$3267,Calendar!$K$4),"")</f>
        <v/>
      </c>
      <c r="W446" s="47">
        <f>IF(AND(B446=Queue!$C$4,OR(Queue!$K$4="*",N446=Queue!$K$4)),Q446,"")</f>
        <v/>
      </c>
    </row>
    <row r="447">
      <c r="A447" s="38">
        <f>IF(M447="","",HYPERLINK("https://www.youtube.com/watch?v="&amp;M447,"▶"))</f>
        <v/>
      </c>
      <c r="B447" s="39">
        <f>IF(C447&lt;&gt;"",C447,IF(P447&lt;=IFERROR(INDEX(tblChannels[Watched Through],MATCH(N447,tblChannels[Channel ID],0)),0),"Watched","Unwatched"))</f>
        <v/>
      </c>
      <c r="C447" s="40" t="n"/>
      <c r="D447" s="41" t="n"/>
      <c r="E447" s="42" t="n">
        <v>45686.625</v>
      </c>
      <c r="F447" s="50" t="inlineStr">
        <is>
          <t>Super Carlin Brothers</t>
        </is>
      </c>
      <c r="G447" t="inlineStr">
        <is>
          <t>Why Does Ron Weasley GOOGLE AUTOFILL | Harry Potter Film Theory</t>
        </is>
      </c>
      <c r="H447" s="44" t="n">
        <v>0.01498842592592593</v>
      </c>
      <c r="I447" s="45" t="n">
        <v>74384</v>
      </c>
      <c r="J447" s="45" t="n">
        <v>3482</v>
      </c>
      <c r="K447" s="45" t="n">
        <v>413</v>
      </c>
      <c r="L447" s="46" t="n"/>
      <c r="M447" s="47" t="n"/>
      <c r="N447" s="47" t="inlineStr">
        <is>
          <t>UCKZo4N0lVPccBkSiuyVh4yg</t>
        </is>
      </c>
      <c r="O447" s="48" t="n">
        <v>45686.83333333334</v>
      </c>
      <c r="P447" s="49" t="n">
        <v>45686</v>
      </c>
      <c r="Q447" s="47" t="n">
        <v>2821</v>
      </c>
      <c r="R447" s="47" t="inlineStr">
        <is>
          <t>No Video ID yet</t>
        </is>
      </c>
      <c r="S447" s="49" t="n"/>
      <c r="T447" s="49" t="n"/>
      <c r="U447" s="47" t="inlineStr">
        <is>
          <t>This episode is sponsored by BetterHelp – This episode is sponsored by BetterHelp — go to to get 10% off your first month. This episode is sponsored by Mando – Go to and use code SUPERCARLIN to get $5 off your Starter Pack (that’s over 40% off). Today J dives into the Wizarding World of Harry Potter to answer Google's most asked questions about the red-head with hand-me-down robes Ronald Weasley! Why does he get to bring a rat to Hogwarts? Why does he date Lavender Brown? And WHY doesn’t he just jump off the Knight?? Harry Potter Trivia LIVE at Big-Lick ComicCon :: #supercarlinbrothers #HarryPotter #GoogleAutofill</t>
        </is>
      </c>
      <c r="V447" s="47">
        <f>IF(AND(P447&gt;=Calendar!$K$2,P447&lt;EDATE(Calendar!$K$2,1),OR(Calendar!$K$4="*",N447=Calendar!$K$4)),P447*100+COUNTIFS($P$6:$P$3267,P447,$Q$6:$Q$3267,"&lt;="&amp;Q447,$N$6:$N$3267,Calendar!$K$4),"")</f>
        <v/>
      </c>
      <c r="W447" s="47">
        <f>IF(AND(B447=Queue!$C$4,OR(Queue!$K$4="*",N447=Queue!$K$4)),Q447,"")</f>
        <v/>
      </c>
    </row>
    <row r="448">
      <c r="A448" s="38">
        <f>IF(M448="","",HYPERLINK("https://www.youtube.com/watch?v="&amp;M448,"▶"))</f>
        <v/>
      </c>
      <c r="B448" s="39">
        <f>IF(C448&lt;&gt;"",C448,IF(P448&lt;=IFERROR(INDEX(tblChannels[Watched Through],MATCH(N448,tblChannels[Channel ID],0)),0),"Watched","Unwatched"))</f>
        <v/>
      </c>
      <c r="C448" s="40" t="n"/>
      <c r="D448" s="41" t="n"/>
      <c r="E448" s="42" t="n">
        <v>45683.41666666666</v>
      </c>
      <c r="F448" s="51" t="inlineStr">
        <is>
          <t>Through The Griffin Door</t>
        </is>
      </c>
      <c r="G448" t="inlineStr">
        <is>
          <t>Chapter 10: Mayhem at the Ministry | Goblet of Fire</t>
        </is>
      </c>
      <c r="H448" s="44" t="n">
        <v>0.05695601851851852</v>
      </c>
      <c r="I448" s="45" t="n">
        <v>61460</v>
      </c>
      <c r="J448" s="45" t="n">
        <v>1690</v>
      </c>
      <c r="K448" s="45" t="n">
        <v>389</v>
      </c>
      <c r="L448" s="46" t="n"/>
      <c r="M448" s="47" t="n"/>
      <c r="N448" s="47" t="inlineStr">
        <is>
          <t>UCEscP6ETYXWSSvsNrDHekMQ</t>
        </is>
      </c>
      <c r="O448" s="48" t="n">
        <v>45683.625</v>
      </c>
      <c r="P448" s="49" t="n">
        <v>45683</v>
      </c>
      <c r="Q448" s="47" t="n">
        <v>2820</v>
      </c>
      <c r="R448" s="47" t="inlineStr">
        <is>
          <t>No Video ID yet</t>
        </is>
      </c>
      <c r="S448" s="49" t="n"/>
      <c r="T448" s="49" t="n"/>
      <c r="U448" s="47" t="inlineStr">
        <is>
          <t>Join J and Ben as they dive into Chapter 10 of the Goblet of Fire and discuss returning home, the first mention of Rita Skeeter, Harry telling them about his scar, how the Weasley clock works, Percy being a jerk, and the last few days of summer break. 05:39 - Chapter Breakdown 36:09 - Ad 37:44 - More Chapter Breakdown 1:09:56 - Closing Thoughts and Review</t>
        </is>
      </c>
      <c r="V448" s="47">
        <f>IF(AND(P448&gt;=Calendar!$K$2,P448&lt;EDATE(Calendar!$K$2,1),OR(Calendar!$K$4="*",N448=Calendar!$K$4)),P448*100+COUNTIFS($P$6:$P$3267,P448,$Q$6:$Q$3267,"&lt;="&amp;Q448,$N$6:$N$3267,Calendar!$K$4),"")</f>
        <v/>
      </c>
      <c r="W448" s="47">
        <f>IF(AND(B448=Queue!$C$4,OR(Queue!$K$4="*",N448=Queue!$K$4)),Q448,"")</f>
        <v/>
      </c>
    </row>
    <row r="449">
      <c r="A449" s="38">
        <f>IF(M449="","",HYPERLINK("https://www.youtube.com/watch?v="&amp;M449,"▶"))</f>
        <v/>
      </c>
      <c r="B449" s="39">
        <f>IF(C449&lt;&gt;"",C449,IF(P449&lt;=IFERROR(INDEX(tblChannels[Watched Through],MATCH(N449,tblChannels[Channel ID],0)),0),"Watched","Unwatched"))</f>
        <v/>
      </c>
      <c r="C449" s="40" t="n"/>
      <c r="D449" s="41" t="n"/>
      <c r="E449" s="42" t="n">
        <v>45682.41666666666</v>
      </c>
      <c r="F449" s="50" t="inlineStr">
        <is>
          <t>Super Carlin Brothers</t>
        </is>
      </c>
      <c r="G449" t="inlineStr">
        <is>
          <t>Through the Griffin Door Supercut: Goblet of Fire Chapters 7-9</t>
        </is>
      </c>
      <c r="H449" s="44" t="n">
        <v>0.232337962962963</v>
      </c>
      <c r="I449" s="45" t="n">
        <v>23143</v>
      </c>
      <c r="J449" s="45" t="n">
        <v>368</v>
      </c>
      <c r="K449" s="45" t="n">
        <v>183</v>
      </c>
      <c r="L449" s="46" t="n"/>
      <c r="M449" s="47" t="n"/>
      <c r="N449" s="47" t="inlineStr">
        <is>
          <t>UCKZo4N0lVPccBkSiuyVh4yg</t>
        </is>
      </c>
      <c r="O449" s="48" t="n">
        <v>45682.625</v>
      </c>
      <c r="P449" s="49" t="n">
        <v>45682</v>
      </c>
      <c r="Q449" s="47" t="n">
        <v>2819</v>
      </c>
      <c r="R449" s="47" t="inlineStr">
        <is>
          <t>No Video ID yet</t>
        </is>
      </c>
      <c r="S449" s="49" t="n"/>
      <c r="T449" s="49" t="n"/>
      <c r="U449" s="47" t="inlineStr">
        <is>
          <t>00:00:00 - Chapter 7: Bagman and Crouch 1:52:46 - Chapter 8: Weasleys' Wizard Wheezes 3:37:51 - Chapter 9: The Portkey</t>
        </is>
      </c>
      <c r="V449" s="47">
        <f>IF(AND(P449&gt;=Calendar!$K$2,P449&lt;EDATE(Calendar!$K$2,1),OR(Calendar!$K$4="*",N449=Calendar!$K$4)),P449*100+COUNTIFS($P$6:$P$3267,P449,$Q$6:$Q$3267,"&lt;="&amp;Q449,$N$6:$N$3267,Calendar!$K$4),"")</f>
        <v/>
      </c>
      <c r="W449" s="47">
        <f>IF(AND(B449=Queue!$C$4,OR(Queue!$K$4="*",N449=Queue!$K$4)),Q449,"")</f>
        <v/>
      </c>
    </row>
    <row r="450">
      <c r="A450" s="38">
        <f>IF(M450="","",HYPERLINK("https://www.youtube.com/watch?v="&amp;M450,"▶"))</f>
        <v/>
      </c>
      <c r="B450" s="39">
        <f>IF(C450&lt;&gt;"",C450,IF(P450&lt;=IFERROR(INDEX(tblChannels[Watched Through],MATCH(N450,tblChannels[Channel ID],0)),0),"Watched","Unwatched"))</f>
        <v/>
      </c>
      <c r="C450" s="40" t="n"/>
      <c r="D450" s="41" t="n"/>
      <c r="E450" s="42" t="n">
        <v>45681.62569444445</v>
      </c>
      <c r="F450" s="50" t="inlineStr">
        <is>
          <t>Super Carlin Brothers</t>
        </is>
      </c>
      <c r="G450" t="inlineStr">
        <is>
          <t>How Dumbledore Knew About Sacrificial Love | Harry Potter Film Theory</t>
        </is>
      </c>
      <c r="H450" s="44" t="n">
        <v>0.01351851851851852</v>
      </c>
      <c r="I450" s="45" t="n">
        <v>209530</v>
      </c>
      <c r="J450" s="45" t="n">
        <v>7453</v>
      </c>
      <c r="K450" s="45" t="n">
        <v>576</v>
      </c>
      <c r="L450" s="46" t="n"/>
      <c r="M450" s="47" t="n"/>
      <c r="N450" s="47" t="inlineStr">
        <is>
          <t>UCKZo4N0lVPccBkSiuyVh4yg</t>
        </is>
      </c>
      <c r="O450" s="48" t="n">
        <v>45681.83402777778</v>
      </c>
      <c r="P450" s="49" t="n">
        <v>45681</v>
      </c>
      <c r="Q450" s="47" t="n">
        <v>2818</v>
      </c>
      <c r="R450" s="47" t="inlineStr">
        <is>
          <t>No Video ID yet</t>
        </is>
      </c>
      <c r="S450" s="49" t="n"/>
      <c r="T450" s="49" t="n"/>
      <c r="U450" s="47" t="inlineStr">
        <is>
          <t>This episode is sponsored by MeUndies – Go to and use code super to get 20% off your first order and free shipping. Today J dives into the Wizarding World of Harry Potter to find out how Dumbledore knew what happened to Harry when he was attacked as a baby even though nobody was there?? How did he learn about sacrificial love? And what does it have to do with Grindelwald?</t>
        </is>
      </c>
      <c r="V450" s="47">
        <f>IF(AND(P450&gt;=Calendar!$K$2,P450&lt;EDATE(Calendar!$K$2,1),OR(Calendar!$K$4="*",N450=Calendar!$K$4)),P450*100+COUNTIFS($P$6:$P$3267,P450,$Q$6:$Q$3267,"&lt;="&amp;Q450,$N$6:$N$3267,Calendar!$K$4),"")</f>
        <v/>
      </c>
      <c r="W450" s="47">
        <f>IF(AND(B450=Queue!$C$4,OR(Queue!$K$4="*",N450=Queue!$K$4)),Q450,"")</f>
        <v/>
      </c>
    </row>
    <row r="451">
      <c r="A451" s="38">
        <f>IF(M451="","",HYPERLINK("https://www.youtube.com/watch?v="&amp;M451,"▶"))</f>
        <v/>
      </c>
      <c r="B451" s="39">
        <f>IF(C451&lt;&gt;"",C451,IF(P451&lt;=IFERROR(INDEX(tblChannels[Watched Through],MATCH(N451,tblChannels[Channel ID],0)),0),"Watched","Unwatched"))</f>
        <v/>
      </c>
      <c r="C451" s="40" t="n"/>
      <c r="D451" s="41" t="n"/>
      <c r="E451" s="42" t="n">
        <v>45681.41666666666</v>
      </c>
      <c r="F451" s="43" t="inlineStr">
        <is>
          <t>Popcorn Culture</t>
        </is>
      </c>
      <c r="G451" t="inlineStr">
        <is>
          <t>Disney Over/Unders | Popcorn Culture</t>
        </is>
      </c>
      <c r="H451" s="44" t="n">
        <v>0.05224537037037037</v>
      </c>
      <c r="I451" s="45" t="n">
        <v>4000</v>
      </c>
      <c r="J451" s="45" t="n">
        <v>204</v>
      </c>
      <c r="K451" s="45" t="n">
        <v>32</v>
      </c>
      <c r="L451" s="46" t="n"/>
      <c r="M451" s="47" t="n"/>
      <c r="N451" s="47" t="inlineStr">
        <is>
          <t>UCHfIbq9thHPC8yrKjAdJgDA</t>
        </is>
      </c>
      <c r="O451" s="48" t="n">
        <v>45681.625</v>
      </c>
      <c r="P451" s="49" t="n">
        <v>45681</v>
      </c>
      <c r="Q451" s="47" t="n">
        <v>2817</v>
      </c>
      <c r="R451" s="47" t="inlineStr">
        <is>
          <t>No Video ID yet</t>
        </is>
      </c>
      <c r="S451" s="49" t="n"/>
      <c r="T451" s="49" t="n"/>
      <c r="U451" s="47" t="inlineStr">
        <is>
          <t>In the 268th episode of the Pop Ben and J discuss wearing belts, nasal strips, over/under bets on the Disney trip, the Commanders playoff games, and McDonalds toys. Sonic the Hedgehog 3 - Allergy to Belts There’s Ham Everywhere!!! 00:00 - Cold Open - Belts and Nasal Strips 17:40 - Intro, Disney Over/Under 36:51 - Ad 38:23 - Disney Over/Under Continued 48:13 - Commanders (Obviously) 58:57 - Happy Meal Story</t>
        </is>
      </c>
      <c r="V451" s="47">
        <f>IF(AND(P451&gt;=Calendar!$K$2,P451&lt;EDATE(Calendar!$K$2,1),OR(Calendar!$K$4="*",N451=Calendar!$K$4)),P451*100+COUNTIFS($P$6:$P$3267,P451,$Q$6:$Q$3267,"&lt;="&amp;Q451,$N$6:$N$3267,Calendar!$K$4),"")</f>
        <v/>
      </c>
      <c r="W451" s="47">
        <f>IF(AND(B451=Queue!$C$4,OR(Queue!$K$4="*",N451=Queue!$K$4)),Q451,"")</f>
        <v/>
      </c>
    </row>
    <row r="452">
      <c r="A452" s="38">
        <f>IF(M452="","",HYPERLINK("https://www.youtube.com/watch?v="&amp;M452,"▶"))</f>
        <v/>
      </c>
      <c r="B452" s="39">
        <f>IF(C452&lt;&gt;"",C452,IF(P452&lt;=IFERROR(INDEX(tblChannels[Watched Through],MATCH(N452,tblChannels[Channel ID],0)),0),"Watched","Unwatched"))</f>
        <v/>
      </c>
      <c r="C452" s="40" t="n"/>
      <c r="D452" s="41" t="n"/>
      <c r="E452" s="42" t="n">
        <v>45679.70763888889</v>
      </c>
      <c r="F452" s="50" t="inlineStr">
        <is>
          <t>Super Carlin Brothers</t>
        </is>
      </c>
      <c r="G452" t="inlineStr">
        <is>
          <t>Who is Bluey's HUSBAND? | Bluey Theory</t>
        </is>
      </c>
      <c r="H452" s="44" t="n">
        <v>0.01269675925925926</v>
      </c>
      <c r="I452" s="45" t="n">
        <v>49188</v>
      </c>
      <c r="J452" s="45" t="n">
        <v>2602</v>
      </c>
      <c r="K452" s="45" t="n">
        <v>550</v>
      </c>
      <c r="L452" s="46" t="n"/>
      <c r="M452" s="47" t="n"/>
      <c r="N452" s="47" t="inlineStr">
        <is>
          <t>UCKZo4N0lVPccBkSiuyVh4yg</t>
        </is>
      </c>
      <c r="O452" s="48" t="n">
        <v>45679.91597222222</v>
      </c>
      <c r="P452" s="49" t="n">
        <v>45679</v>
      </c>
      <c r="Q452" s="47" t="n">
        <v>2816</v>
      </c>
      <c r="R452" s="47" t="inlineStr">
        <is>
          <t>No Video ID yet</t>
        </is>
      </c>
      <c r="S452" s="49" t="n"/>
      <c r="T452" s="49" t="n"/>
      <c r="U452" s="47" t="inlineStr">
        <is>
          <t>Who Does Bluey Marry? Who is Bluey’s Husband? Today J dives into the world of BLUEY to try and figure out: Who Does Bluey have a child with? Surprise left us all with a lot of questions and not a lot of clear answers.. Is it Jean-Luc? Is it Mackenzie? Neither? Are you team Mackenzie or Team Jean-Luc?? #supercarlinbrothers #Bluey</t>
        </is>
      </c>
      <c r="V452" s="47">
        <f>IF(AND(P452&gt;=Calendar!$K$2,P452&lt;EDATE(Calendar!$K$2,1),OR(Calendar!$K$4="*",N452=Calendar!$K$4)),P452*100+COUNTIFS($P$6:$P$3267,P452,$Q$6:$Q$3267,"&lt;="&amp;Q452,$N$6:$N$3267,Calendar!$K$4),"")</f>
        <v/>
      </c>
      <c r="W452" s="47">
        <f>IF(AND(B452=Queue!$C$4,OR(Queue!$K$4="*",N452=Queue!$K$4)),Q452,"")</f>
        <v/>
      </c>
    </row>
    <row r="453">
      <c r="A453" s="38">
        <f>IF(M453="","",HYPERLINK("https://www.youtube.com/watch?v="&amp;M453,"▶"))</f>
        <v/>
      </c>
      <c r="B453" s="39">
        <f>IF(C453&lt;&gt;"",C453,IF(P453&lt;=IFERROR(INDEX(tblChannels[Watched Through],MATCH(N453,tblChannels[Channel ID],0)),0),"Watched","Unwatched"))</f>
        <v/>
      </c>
      <c r="C453" s="40" t="n"/>
      <c r="D453" s="41" t="n"/>
      <c r="E453" s="42" t="n">
        <v>45676.41736111111</v>
      </c>
      <c r="F453" s="51" t="inlineStr">
        <is>
          <t>Through The Griffin Door</t>
        </is>
      </c>
      <c r="G453" t="inlineStr">
        <is>
          <t>Chapter 9: The Dark Mark | Goblet of Fire</t>
        </is>
      </c>
      <c r="H453" s="44" t="n">
        <v>0.08105324074074075</v>
      </c>
      <c r="I453" s="45" t="n">
        <v>71896</v>
      </c>
      <c r="J453" s="45" t="n">
        <v>1808</v>
      </c>
      <c r="K453" s="45" t="n">
        <v>569</v>
      </c>
      <c r="L453" s="46" t="n"/>
      <c r="M453" s="47" t="n"/>
      <c r="N453" s="47" t="inlineStr">
        <is>
          <t>UCEscP6ETYXWSSvsNrDHekMQ</t>
        </is>
      </c>
      <c r="O453" s="48" t="n">
        <v>45676.62569444445</v>
      </c>
      <c r="P453" s="49" t="n">
        <v>45676</v>
      </c>
      <c r="Q453" s="47" t="n">
        <v>2815</v>
      </c>
      <c r="R453" s="47" t="inlineStr">
        <is>
          <t>No Video ID yet</t>
        </is>
      </c>
      <c r="S453" s="49" t="n"/>
      <c r="T453" s="49" t="n"/>
      <c r="U453" s="47" t="inlineStr">
        <is>
          <t>Join J and Ben as they dive into Chapter 9 of the Goblet of Fire and discuss betting, hot cocoa, the chaos of the chapter, weird House Elf rules, confusion after the Dark Mark, and the following investigation. 04:58 - Chapter Breakdown 1:48:31 - Closing Thoughts and Review</t>
        </is>
      </c>
      <c r="V453" s="47">
        <f>IF(AND(P453&gt;=Calendar!$K$2,P453&lt;EDATE(Calendar!$K$2,1),OR(Calendar!$K$4="*",N453=Calendar!$K$4)),P453*100+COUNTIFS($P$6:$P$3267,P453,$Q$6:$Q$3267,"&lt;="&amp;Q453,$N$6:$N$3267,Calendar!$K$4),"")</f>
        <v/>
      </c>
      <c r="W453" s="47">
        <f>IF(AND(B453=Queue!$C$4,OR(Queue!$K$4="*",N453=Queue!$K$4)),Q453,"")</f>
        <v/>
      </c>
    </row>
    <row r="454">
      <c r="A454" s="38">
        <f>IF(M454="","",HYPERLINK("https://www.youtube.com/watch?v="&amp;M454,"▶"))</f>
        <v/>
      </c>
      <c r="B454" s="39">
        <f>IF(C454&lt;&gt;"",C454,IF(P454&lt;=IFERROR(INDEX(tblChannels[Watched Through],MATCH(N454,tblChannels[Channel ID],0)),0),"Watched","Unwatched"))</f>
        <v/>
      </c>
      <c r="C454" s="40" t="n"/>
      <c r="D454" s="41" t="n"/>
      <c r="E454" s="42" t="n">
        <v>45675.24027777778</v>
      </c>
      <c r="F454" s="52" t="inlineStr">
        <is>
          <t>Super Carlin Gaming</t>
        </is>
      </c>
      <c r="G454" t="inlineStr">
        <is>
          <t>Pokemon Box Breakers SEASON 13 Episode 3 - 01/17/2025</t>
        </is>
      </c>
      <c r="H454" s="44" t="n">
        <v>0.128599537037037</v>
      </c>
      <c r="I454" s="45" t="n">
        <v>1119</v>
      </c>
      <c r="J454" s="45" t="n">
        <v>35</v>
      </c>
      <c r="K454" s="45" t="n">
        <v>0</v>
      </c>
      <c r="L454" s="46" t="n"/>
      <c r="M454" s="47" t="n"/>
      <c r="N454" s="47" t="inlineStr">
        <is>
          <t>UCor_9jRnNNZVzTuQ92PKsaQ</t>
        </is>
      </c>
      <c r="O454" s="48" t="n">
        <v>45675.44861111111</v>
      </c>
      <c r="P454" s="49" t="n">
        <v>45675</v>
      </c>
      <c r="Q454" s="47" t="n">
        <v>2814</v>
      </c>
      <c r="R454" s="47" t="inlineStr">
        <is>
          <t>No Video ID yet</t>
        </is>
      </c>
      <c r="S454" s="49" t="n"/>
      <c r="T454" s="49" t="n"/>
      <c r="U454" s="47" t="n"/>
      <c r="V454" s="47">
        <f>IF(AND(P454&gt;=Calendar!$K$2,P454&lt;EDATE(Calendar!$K$2,1),OR(Calendar!$K$4="*",N454=Calendar!$K$4)),P454*100+COUNTIFS($P$6:$P$3267,P454,$Q$6:$Q$3267,"&lt;="&amp;Q454,$N$6:$N$3267,Calendar!$K$4),"")</f>
        <v/>
      </c>
      <c r="W454" s="47">
        <f>IF(AND(B454=Queue!$C$4,OR(Queue!$K$4="*",N454=Queue!$K$4)),Q454,"")</f>
        <v/>
      </c>
    </row>
    <row r="455">
      <c r="A455" s="38">
        <f>IF(M455="","",HYPERLINK("https://www.youtube.com/watch?v="&amp;M455,"▶"))</f>
        <v/>
      </c>
      <c r="B455" s="39">
        <f>IF(C455&lt;&gt;"",C455,IF(P455&lt;=IFERROR(INDEX(tblChannels[Watched Through],MATCH(N455,tblChannels[Channel ID],0)),0),"Watched","Unwatched"))</f>
        <v/>
      </c>
      <c r="C455" s="40" t="n"/>
      <c r="D455" s="41" t="n"/>
      <c r="E455" s="42" t="n">
        <v>45674.72430555556</v>
      </c>
      <c r="F455" s="50" t="inlineStr">
        <is>
          <t>Super Carlin Brothers</t>
        </is>
      </c>
      <c r="G455" t="inlineStr">
        <is>
          <t>J vs Ben: HARDEST Harry Potter and the Sorcerer’s Stone MOVIE Trivia Quiz</t>
        </is>
      </c>
      <c r="H455" s="44" t="n">
        <v>0.02944444444444444</v>
      </c>
      <c r="I455" s="45" t="n">
        <v>158644</v>
      </c>
      <c r="J455" s="45" t="n">
        <v>5193</v>
      </c>
      <c r="K455" s="45" t="n">
        <v>723</v>
      </c>
      <c r="L455" s="46" t="n"/>
      <c r="M455" s="47" t="n"/>
      <c r="N455" s="47" t="inlineStr">
        <is>
          <t>UCKZo4N0lVPccBkSiuyVh4yg</t>
        </is>
      </c>
      <c r="O455" s="48" t="n">
        <v>45674.93263888889</v>
      </c>
      <c r="P455" s="49" t="n">
        <v>45674</v>
      </c>
      <c r="Q455" s="47" t="n">
        <v>2813</v>
      </c>
      <c r="R455" s="47" t="inlineStr">
        <is>
          <t>No Video ID yet</t>
        </is>
      </c>
      <c r="S455" s="49" t="n"/>
      <c r="T455" s="49" t="n"/>
      <c r="U455" s="47" t="inlineStr">
        <is>
          <t>This episode is sponsored by MeUndies: Go to and use code BROTHER to get 20% off your first order and free shipping. This episode is sponsored by Factor: Go to and use code jvsb50off to get 50% off your first box plus free shipping. Today J and Ben venture off book and into the Wizarding World of the Harry Potter movies to find out who knows more about the FIRST Harry Potter Movie “The Sorcerer’s Stone” (For real though this is HARD) Play along with us at :: Edited by :: Ethan Edghill and Isybelle Christley</t>
        </is>
      </c>
      <c r="V455" s="47">
        <f>IF(AND(P455&gt;=Calendar!$K$2,P455&lt;EDATE(Calendar!$K$2,1),OR(Calendar!$K$4="*",N455=Calendar!$K$4)),P455*100+COUNTIFS($P$6:$P$3267,P455,$Q$6:$Q$3267,"&lt;="&amp;Q455,$N$6:$N$3267,Calendar!$K$4),"")</f>
        <v/>
      </c>
      <c r="W455" s="47">
        <f>IF(AND(B455=Queue!$C$4,OR(Queue!$K$4="*",N455=Queue!$K$4)),Q455,"")</f>
        <v/>
      </c>
    </row>
    <row r="456">
      <c r="A456" s="38">
        <f>IF(M456="","",HYPERLINK("https://www.youtube.com/watch?v="&amp;M456,"▶"))</f>
        <v/>
      </c>
      <c r="B456" s="39">
        <f>IF(C456&lt;&gt;"",C456,IF(P456&lt;=IFERROR(INDEX(tblChannels[Watched Through],MATCH(N456,tblChannels[Channel ID],0)),0),"Watched","Unwatched"))</f>
        <v/>
      </c>
      <c r="C456" s="40" t="n"/>
      <c r="D456" s="41" t="n"/>
      <c r="E456" s="42" t="n">
        <v>45674.41666666666</v>
      </c>
      <c r="F456" s="43" t="inlineStr">
        <is>
          <t>Popcorn Culture</t>
        </is>
      </c>
      <c r="G456" t="inlineStr">
        <is>
          <t>The UNEXPECTED Mayonnaise | Popcorn Culture</t>
        </is>
      </c>
      <c r="H456" s="44" t="n">
        <v>0.04773148148148148</v>
      </c>
      <c r="I456" s="45" t="n">
        <v>3799</v>
      </c>
      <c r="J456" s="45" t="n">
        <v>180</v>
      </c>
      <c r="K456" s="45" t="n">
        <v>37</v>
      </c>
      <c r="L456" s="46" t="n"/>
      <c r="M456" s="47" t="n"/>
      <c r="N456" s="47" t="inlineStr">
        <is>
          <t>UCHfIbq9thHPC8yrKjAdJgDA</t>
        </is>
      </c>
      <c r="O456" s="48" t="n">
        <v>45674.625</v>
      </c>
      <c r="P456" s="49" t="n">
        <v>45674</v>
      </c>
      <c r="Q456" s="47" t="n">
        <v>2812</v>
      </c>
      <c r="R456" s="47" t="inlineStr">
        <is>
          <t>No Video ID yet</t>
        </is>
      </c>
      <c r="S456" s="49" t="n"/>
      <c r="T456" s="49" t="n"/>
      <c r="U456" s="47" t="inlineStr">
        <is>
          <t>In the 267th episode of the Pop, Ben and J discuss mayonnaise, Ben’s goofy shirts, ice baths, sacrifices, the wild west, and homesteading. Of Course Reference - Woody Jackson Cows - Lonesome Dove - The Big Green - Too Many Toes However; Grace P-Utter’s Poster Best Pancakes Ever Anti Win-Win 00:00 - Intro, Mayo 06:40 - Woody Jackson Cows 17:39 - Ice Baths 24:18 - What Are You Willing to Sacrifice 40:47 - Lonesome Dove and Western Living</t>
        </is>
      </c>
      <c r="V456" s="47">
        <f>IF(AND(P456&gt;=Calendar!$K$2,P456&lt;EDATE(Calendar!$K$2,1),OR(Calendar!$K$4="*",N456=Calendar!$K$4)),P456*100+COUNTIFS($P$6:$P$3267,P456,$Q$6:$Q$3267,"&lt;="&amp;Q456,$N$6:$N$3267,Calendar!$K$4),"")</f>
        <v/>
      </c>
      <c r="W456" s="47">
        <f>IF(AND(B456=Queue!$C$4,OR(Queue!$K$4="*",N456=Queue!$K$4)),Q456,"")</f>
        <v/>
      </c>
    </row>
    <row r="457">
      <c r="A457" s="38">
        <f>IF(M457="","",HYPERLINK("https://www.youtube.com/watch?v="&amp;M457,"▶"))</f>
        <v/>
      </c>
      <c r="B457" s="39">
        <f>IF(C457&lt;&gt;"",C457,IF(P457&lt;=IFERROR(INDEX(tblChannels[Watched Through],MATCH(N457,tblChannels[Channel ID],0)),0),"Watched","Unwatched"))</f>
        <v/>
      </c>
      <c r="C457" s="40" t="n"/>
      <c r="D457" s="41" t="n"/>
      <c r="E457" s="42" t="n">
        <v>45672.65763888889</v>
      </c>
      <c r="F457" s="50" t="inlineStr">
        <is>
          <t>Super Carlin Brothers</t>
        </is>
      </c>
      <c r="G457" t="inlineStr">
        <is>
          <t>The Gryffindor PARADOX Explained | Harry Potter Film Theory</t>
        </is>
      </c>
      <c r="H457" s="44" t="n">
        <v>0.01077546296296296</v>
      </c>
      <c r="I457" s="45" t="n">
        <v>178860</v>
      </c>
      <c r="J457" s="45" t="n">
        <v>7551</v>
      </c>
      <c r="K457" s="45" t="n">
        <v>1192</v>
      </c>
      <c r="L457" s="46" t="n"/>
      <c r="M457" s="47" t="n"/>
      <c r="N457" s="47" t="inlineStr">
        <is>
          <t>UCKZo4N0lVPccBkSiuyVh4yg</t>
        </is>
      </c>
      <c r="O457" s="48" t="n">
        <v>45672.86597222222</v>
      </c>
      <c r="P457" s="49" t="n">
        <v>45672</v>
      </c>
      <c r="Q457" s="47" t="n">
        <v>2811</v>
      </c>
      <c r="R457" s="47" t="inlineStr">
        <is>
          <t>No Video ID yet</t>
        </is>
      </c>
      <c r="S457" s="49" t="n"/>
      <c r="T457" s="49" t="n"/>
      <c r="U457" s="47" t="inlineStr">
        <is>
          <t>This episode is sponsored by Shopify - Go to to sign up for your $1-per-month trial period Today J dives into the Wizarding World of Harry Potter to look back at the History of Gryffindor House and what it's meant to be a member here in the real world for the past 20 years. It feels like it would be the best house and yet... there have been some ups and downs..</t>
        </is>
      </c>
      <c r="V457" s="47">
        <f>IF(AND(P457&gt;=Calendar!$K$2,P457&lt;EDATE(Calendar!$K$2,1),OR(Calendar!$K$4="*",N457=Calendar!$K$4)),P457*100+COUNTIFS($P$6:$P$3267,P457,$Q$6:$Q$3267,"&lt;="&amp;Q457,$N$6:$N$3267,Calendar!$K$4),"")</f>
        <v/>
      </c>
      <c r="W457" s="47">
        <f>IF(AND(B457=Queue!$C$4,OR(Queue!$K$4="*",N457=Queue!$K$4)),Q457,"")</f>
        <v/>
      </c>
    </row>
    <row r="458">
      <c r="A458" s="38">
        <f>IF(M458="","",HYPERLINK("https://www.youtube.com/watch?v="&amp;M458,"▶"))</f>
        <v/>
      </c>
      <c r="B458" s="39">
        <f>IF(C458&lt;&gt;"",C458,IF(P458&lt;=IFERROR(INDEX(tblChannels[Watched Through],MATCH(N458,tblChannels[Channel ID],0)),0),"Watched","Unwatched"))</f>
        <v/>
      </c>
      <c r="C458" s="40" t="n"/>
      <c r="D458" s="41" t="n"/>
      <c r="E458" s="42" t="n">
        <v>45669.41666666666</v>
      </c>
      <c r="F458" s="51" t="inlineStr">
        <is>
          <t>Through The Griffin Door</t>
        </is>
      </c>
      <c r="G458" t="inlineStr">
        <is>
          <t>Chapter 8: The Quidditch World Cup | Goblet of Fire</t>
        </is>
      </c>
      <c r="H458" s="44" t="n">
        <v>0.0730787037037037</v>
      </c>
      <c r="I458" s="45" t="n">
        <v>69375</v>
      </c>
      <c r="J458" s="45" t="n">
        <v>1759</v>
      </c>
      <c r="K458" s="45" t="n">
        <v>553</v>
      </c>
      <c r="L458" s="46" t="n"/>
      <c r="M458" s="47" t="n"/>
      <c r="N458" s="47" t="inlineStr">
        <is>
          <t>UCEscP6ETYXWSSvsNrDHekMQ</t>
        </is>
      </c>
      <c r="O458" s="48" t="n">
        <v>45669.625</v>
      </c>
      <c r="P458" s="49" t="n">
        <v>45669</v>
      </c>
      <c r="Q458" s="47" t="n">
        <v>2810</v>
      </c>
      <c r="R458" s="47" t="inlineStr">
        <is>
          <t>No Video ID yet</t>
        </is>
      </c>
      <c r="S458" s="49" t="n"/>
      <c r="T458" s="49" t="n"/>
      <c r="U458" s="47" t="inlineStr">
        <is>
          <t>Join J and Ben as they dive into Chapter 8 of the Goblet of Fire and discuss the excited environment, seat math, Winky, Krum and Veela, the mechanics and outcome of the game. How the Weasley Twins Knew What to Bet Ludo Bagman - 09:35 - Chapter Breakdown 1:34:21 - Closing Thoughts and Review</t>
        </is>
      </c>
      <c r="V458" s="47">
        <f>IF(AND(P458&gt;=Calendar!$K$2,P458&lt;EDATE(Calendar!$K$2,1),OR(Calendar!$K$4="*",N458=Calendar!$K$4)),P458*100+COUNTIFS($P$6:$P$3267,P458,$Q$6:$Q$3267,"&lt;="&amp;Q458,$N$6:$N$3267,Calendar!$K$4),"")</f>
        <v/>
      </c>
      <c r="W458" s="47">
        <f>IF(AND(B458=Queue!$C$4,OR(Queue!$K$4="*",N458=Queue!$K$4)),Q458,"")</f>
        <v/>
      </c>
    </row>
    <row r="459">
      <c r="A459" s="38">
        <f>IF(M459="","",HYPERLINK("https://www.youtube.com/watch?v="&amp;M459,"▶"))</f>
        <v/>
      </c>
      <c r="B459" s="39">
        <f>IF(C459&lt;&gt;"",C459,IF(P459&lt;=IFERROR(INDEX(tblChannels[Watched Through],MATCH(N459,tblChannels[Channel ID],0)),0),"Watched","Unwatched"))</f>
        <v/>
      </c>
      <c r="C459" s="40" t="n"/>
      <c r="D459" s="41" t="n"/>
      <c r="E459" s="42" t="n">
        <v>45667.71597222222</v>
      </c>
      <c r="F459" s="50" t="inlineStr">
        <is>
          <t>Super Carlin Brothers</t>
        </is>
      </c>
      <c r="G459" t="inlineStr">
        <is>
          <t>How Harry Mirror’s Every DRAGON | Harry Potter Film Theory</t>
        </is>
      </c>
      <c r="H459" s="44" t="n">
        <v>0.008888888888888889</v>
      </c>
      <c r="I459" s="45" t="n">
        <v>81230</v>
      </c>
      <c r="J459" s="45" t="n">
        <v>3808</v>
      </c>
      <c r="K459" s="45" t="n">
        <v>280</v>
      </c>
      <c r="L459" s="46" t="n"/>
      <c r="M459" s="47" t="n"/>
      <c r="N459" s="47" t="inlineStr">
        <is>
          <t>UCKZo4N0lVPccBkSiuyVh4yg</t>
        </is>
      </c>
      <c r="O459" s="48" t="n">
        <v>45667.92430555556</v>
      </c>
      <c r="P459" s="49" t="n">
        <v>45667</v>
      </c>
      <c r="Q459" s="47" t="n">
        <v>2809</v>
      </c>
      <c r="R459" s="47" t="inlineStr">
        <is>
          <t>No Video ID yet</t>
        </is>
      </c>
      <c r="S459" s="49" t="n"/>
      <c r="T459" s="49" t="n"/>
      <c r="U459" s="47" t="inlineStr">
        <is>
          <t>This episode is sponsored by Raycon - Go to to get 15% off sitewide Today Ben dives into the Wizarding World to reveal how every Dragon Harry encounters throughout the series serves as a mirror to not just Harry, but also the circumstances he currently finds himself in often literally and metaphorically.</t>
        </is>
      </c>
      <c r="V459" s="47">
        <f>IF(AND(P459&gt;=Calendar!$K$2,P459&lt;EDATE(Calendar!$K$2,1),OR(Calendar!$K$4="*",N459=Calendar!$K$4)),P459*100+COUNTIFS($P$6:$P$3267,P459,$Q$6:$Q$3267,"&lt;="&amp;Q459,$N$6:$N$3267,Calendar!$K$4),"")</f>
        <v/>
      </c>
      <c r="W459" s="47">
        <f>IF(AND(B459=Queue!$C$4,OR(Queue!$K$4="*",N459=Queue!$K$4)),Q459,"")</f>
        <v/>
      </c>
    </row>
    <row r="460">
      <c r="A460" s="38">
        <f>IF(M460="","",HYPERLINK("https://www.youtube.com/watch?v="&amp;M460,"▶"))</f>
        <v/>
      </c>
      <c r="B460" s="39">
        <f>IF(C460&lt;&gt;"",C460,IF(P460&lt;=IFERROR(INDEX(tblChannels[Watched Through],MATCH(N460,tblChannels[Channel ID],0)),0),"Watched","Unwatched"))</f>
        <v/>
      </c>
      <c r="C460" s="40" t="n"/>
      <c r="D460" s="41" t="n"/>
      <c r="E460" s="42" t="n">
        <v>45667.41666666666</v>
      </c>
      <c r="F460" s="43" t="inlineStr">
        <is>
          <t>Popcorn Culture</t>
        </is>
      </c>
      <c r="G460" t="inlineStr">
        <is>
          <t>Touching Sharks…? | Popcorn Culture</t>
        </is>
      </c>
      <c r="H460" s="44" t="n">
        <v>0.05217592592592592</v>
      </c>
      <c r="I460" s="45" t="n">
        <v>4092</v>
      </c>
      <c r="J460" s="45" t="n">
        <v>191</v>
      </c>
      <c r="K460" s="45" t="n">
        <v>48</v>
      </c>
      <c r="L460" s="46" t="n"/>
      <c r="M460" s="47" t="n"/>
      <c r="N460" s="47" t="inlineStr">
        <is>
          <t>UCHfIbq9thHPC8yrKjAdJgDA</t>
        </is>
      </c>
      <c r="O460" s="48" t="n">
        <v>45667.625</v>
      </c>
      <c r="P460" s="49" t="n">
        <v>45667</v>
      </c>
      <c r="Q460" s="47" t="n">
        <v>2808</v>
      </c>
      <c r="R460" s="47" t="inlineStr">
        <is>
          <t>No Video ID yet</t>
        </is>
      </c>
      <c r="S460" s="49" t="n"/>
      <c r="T460" s="49" t="n"/>
      <c r="U460" s="47" t="inlineStr">
        <is>
          <t>In the 266th episode of the Pop, Ben and J discuss mic stands, office BeyBlades, corals, a western book, accents, adaptations for roommate living, apologizing, and their upcoming Disney trip. HARDEST Frozen Trivia Quiz | POLAR PLUNGE PUNISHMENT - Lonesome Dove - Beavers do Beavering Indulging Your Voice Unexplored Places 00:00 - Cold Open, Mic Stand 02:52 - Intro, The Commanders 07:20 - BeyBlades 32:02 - Lonesome Dove 50:31 - Unusual Home Habits</t>
        </is>
      </c>
      <c r="V460" s="47">
        <f>IF(AND(P460&gt;=Calendar!$K$2,P460&lt;EDATE(Calendar!$K$2,1),OR(Calendar!$K$4="*",N460=Calendar!$K$4)),P460*100+COUNTIFS($P$6:$P$3267,P460,$Q$6:$Q$3267,"&lt;="&amp;Q460,$N$6:$N$3267,Calendar!$K$4),"")</f>
        <v/>
      </c>
      <c r="W460" s="47">
        <f>IF(AND(B460=Queue!$C$4,OR(Queue!$K$4="*",N460=Queue!$K$4)),Q460,"")</f>
        <v/>
      </c>
    </row>
    <row r="461">
      <c r="A461" s="38">
        <f>IF(M461="","",HYPERLINK("https://www.youtube.com/watch?v="&amp;M461,"▶"))</f>
        <v/>
      </c>
      <c r="B461" s="39">
        <f>IF(C461&lt;&gt;"",C461,IF(P461&lt;=IFERROR(INDEX(tblChannels[Watched Through],MATCH(N461,tblChannels[Channel ID],0)),0),"Watched","Unwatched"))</f>
        <v/>
      </c>
      <c r="C461" s="40" t="n"/>
      <c r="D461" s="41" t="n"/>
      <c r="E461" s="42" t="n">
        <v>45665.67222222222</v>
      </c>
      <c r="F461" s="50" t="inlineStr">
        <is>
          <t>Super Carlin Brothers</t>
        </is>
      </c>
      <c r="G461" t="inlineStr">
        <is>
          <t>What If Harry Asked Cho To The Ball FIRST | Harry Potter Film Theory</t>
        </is>
      </c>
      <c r="H461" s="44" t="n">
        <v>0.01668981481481481</v>
      </c>
      <c r="I461" s="45" t="n">
        <v>229262</v>
      </c>
      <c r="J461" s="45" t="n">
        <v>9050</v>
      </c>
      <c r="K461" s="45" t="n">
        <v>982</v>
      </c>
      <c r="L461" s="46" t="n"/>
      <c r="M461" s="47" t="n"/>
      <c r="N461" s="47" t="inlineStr">
        <is>
          <t>UCKZo4N0lVPccBkSiuyVh4yg</t>
        </is>
      </c>
      <c r="O461" s="48" t="n">
        <v>45665.88055555556</v>
      </c>
      <c r="P461" s="49" t="n">
        <v>45665</v>
      </c>
      <c r="Q461" s="47" t="n">
        <v>2807</v>
      </c>
      <c r="R461" s="47" t="inlineStr">
        <is>
          <t>No Video ID yet</t>
        </is>
      </c>
      <c r="S461" s="49" t="n"/>
      <c r="T461" s="49" t="n"/>
      <c r="U461" s="47" t="inlineStr">
        <is>
          <t>Today J dives into the Wizarding World of Harry Potter to ask What If Harry Potter had just asked Cho Chang to the Yule Ball before Cedric Diggory? Would they have started dating? Would he still end up with Ginny? What about Ron's date - and... does he still defeat Voldemort?!</t>
        </is>
      </c>
      <c r="V461" s="47">
        <f>IF(AND(P461&gt;=Calendar!$K$2,P461&lt;EDATE(Calendar!$K$2,1),OR(Calendar!$K$4="*",N461=Calendar!$K$4)),P461*100+COUNTIFS($P$6:$P$3267,P461,$Q$6:$Q$3267,"&lt;="&amp;Q461,$N$6:$N$3267,Calendar!$K$4),"")</f>
        <v/>
      </c>
      <c r="W461" s="47">
        <f>IF(AND(B461=Queue!$C$4,OR(Queue!$K$4="*",N461=Queue!$K$4)),Q461,"")</f>
        <v/>
      </c>
    </row>
    <row r="462">
      <c r="A462" s="38">
        <f>IF(M462="","",HYPERLINK("https://www.youtube.com/watch?v="&amp;M462,"▶"))</f>
        <v/>
      </c>
      <c r="B462" s="39">
        <f>IF(C462&lt;&gt;"",C462,IF(P462&lt;=IFERROR(INDEX(tblChannels[Watched Through],MATCH(N462,tblChannels[Channel ID],0)),0),"Watched","Unwatched"))</f>
        <v/>
      </c>
      <c r="C462" s="40" t="n"/>
      <c r="D462" s="41" t="n"/>
      <c r="E462" s="42" t="n">
        <v>45662.41666666666</v>
      </c>
      <c r="F462" s="51" t="inlineStr">
        <is>
          <t>Through The Griffin Door</t>
        </is>
      </c>
      <c r="G462" t="inlineStr">
        <is>
          <t>Chapter 7: Bagman and Crouch | Goblet of Fire</t>
        </is>
      </c>
      <c r="H462" s="44" t="n">
        <v>0.07841435185185185</v>
      </c>
      <c r="I462" s="45" t="n">
        <v>75682</v>
      </c>
      <c r="J462" s="45" t="n">
        <v>1851</v>
      </c>
      <c r="K462" s="45" t="n">
        <v>697</v>
      </c>
      <c r="L462" s="46" t="n"/>
      <c r="M462" s="47" t="n"/>
      <c r="N462" s="47" t="inlineStr">
        <is>
          <t>UCEscP6ETYXWSSvsNrDHekMQ</t>
        </is>
      </c>
      <c r="O462" s="48" t="n">
        <v>45662.625</v>
      </c>
      <c r="P462" s="49" t="n">
        <v>45662</v>
      </c>
      <c r="Q462" s="47" t="n">
        <v>2806</v>
      </c>
      <c r="R462" s="47" t="inlineStr">
        <is>
          <t>No Video ID yet</t>
        </is>
      </c>
      <c r="S462" s="49" t="n"/>
      <c r="T462" s="49" t="n"/>
      <c r="U462" s="47" t="inlineStr">
        <is>
          <t>Join J and Ben as they dive into Chapter 7 of the Goblet of Fire and discuss muggle vs wizard clothes, Arthur’s luck, Mr. Roberts, exploring the campground, Ludo’s bets, Crouch’s sternness, and souvenirs. 05:15 - Chapter Breakdown 1:42:28 - Closing Thoughts and Review</t>
        </is>
      </c>
      <c r="V462" s="47">
        <f>IF(AND(P462&gt;=Calendar!$K$2,P462&lt;EDATE(Calendar!$K$2,1),OR(Calendar!$K$4="*",N462=Calendar!$K$4)),P462*100+COUNTIFS($P$6:$P$3267,P462,$Q$6:$Q$3267,"&lt;="&amp;Q462,$N$6:$N$3267,Calendar!$K$4),"")</f>
        <v/>
      </c>
      <c r="W462" s="47">
        <f>IF(AND(B462=Queue!$C$4,OR(Queue!$K$4="*",N462=Queue!$K$4)),Q462,"")</f>
        <v/>
      </c>
    </row>
    <row r="463">
      <c r="A463" s="38">
        <f>IF(M463="","",HYPERLINK("https://www.youtube.com/watch?v="&amp;M463,"▶"))</f>
        <v/>
      </c>
      <c r="B463" s="39">
        <f>IF(C463&lt;&gt;"",C463,IF(P463&lt;=IFERROR(INDEX(tblChannels[Watched Through],MATCH(N463,tblChannels[Channel ID],0)),0),"Watched","Unwatched"))</f>
        <v/>
      </c>
      <c r="C463" s="40" t="n"/>
      <c r="D463" s="41" t="n"/>
      <c r="E463" s="42" t="n">
        <v>45660.71111111111</v>
      </c>
      <c r="F463" s="50" t="inlineStr">
        <is>
          <t>Super Carlin Brothers</t>
        </is>
      </c>
      <c r="G463" t="inlineStr">
        <is>
          <t>J vs Ben: ULTIMATE Hogwarts Castle Harry Potter TRIVIA Battle</t>
        </is>
      </c>
      <c r="H463" s="44" t="n">
        <v>0.02732638888888889</v>
      </c>
      <c r="I463" s="45" t="n">
        <v>122935</v>
      </c>
      <c r="J463" s="45" t="n">
        <v>4605</v>
      </c>
      <c r="K463" s="45" t="n">
        <v>978</v>
      </c>
      <c r="L463" s="46" t="n"/>
      <c r="M463" s="47" t="n"/>
      <c r="N463" s="47" t="inlineStr">
        <is>
          <t>UCKZo4N0lVPccBkSiuyVh4yg</t>
        </is>
      </c>
      <c r="O463" s="48" t="n">
        <v>45660.91944444444</v>
      </c>
      <c r="P463" s="49" t="n">
        <v>45660</v>
      </c>
      <c r="Q463" s="47" t="n">
        <v>2805</v>
      </c>
      <c r="R463" s="47" t="inlineStr">
        <is>
          <t>No Video ID yet</t>
        </is>
      </c>
      <c r="S463" s="49" t="n"/>
      <c r="T463" s="49" t="n"/>
      <c r="U463" s="47" t="inlineStr">
        <is>
          <t>Today J and Ben kick off the new year with a Trivia Battle about Hogwarts Castle to find out who knows the most about the ancient stronghold! Celebrate Yourself Hoodie :: Play Along With Us :: #supercarlinbrothers #Harry Potter #JvsBen</t>
        </is>
      </c>
      <c r="V463" s="47">
        <f>IF(AND(P463&gt;=Calendar!$K$2,P463&lt;EDATE(Calendar!$K$2,1),OR(Calendar!$K$4="*",N463=Calendar!$K$4)),P463*100+COUNTIFS($P$6:$P$3267,P463,$Q$6:$Q$3267,"&lt;="&amp;Q463,$N$6:$N$3267,Calendar!$K$4),"")</f>
        <v/>
      </c>
      <c r="W463" s="47">
        <f>IF(AND(B463=Queue!$C$4,OR(Queue!$K$4="*",N463=Queue!$K$4)),Q463,"")</f>
        <v/>
      </c>
    </row>
    <row r="464">
      <c r="A464" s="38">
        <f>IF(M464="","",HYPERLINK("https://www.youtube.com/watch?v="&amp;M464,"▶"))</f>
        <v/>
      </c>
      <c r="B464" s="39">
        <f>IF(C464&lt;&gt;"",C464,IF(P464&lt;=IFERROR(INDEX(tblChannels[Watched Through],MATCH(N464,tblChannels[Channel ID],0)),0),"Watched","Unwatched"))</f>
        <v/>
      </c>
      <c r="C464" s="40" t="n"/>
      <c r="D464" s="41" t="n"/>
      <c r="E464" s="42" t="n">
        <v>45660.5</v>
      </c>
      <c r="F464" s="43" t="inlineStr">
        <is>
          <t>Popcorn Culture</t>
        </is>
      </c>
      <c r="G464" t="inlineStr">
        <is>
          <t>Rezzies! | Popcorn Culture</t>
        </is>
      </c>
      <c r="H464" s="44" t="n">
        <v>0.05434027777777778</v>
      </c>
      <c r="I464" s="45" t="n">
        <v>4193</v>
      </c>
      <c r="J464" s="45" t="n">
        <v>193</v>
      </c>
      <c r="K464" s="45" t="n">
        <v>34</v>
      </c>
      <c r="L464" s="46" t="n"/>
      <c r="M464" s="47" t="n"/>
      <c r="N464" s="47" t="inlineStr">
        <is>
          <t>UCHfIbq9thHPC8yrKjAdJgDA</t>
        </is>
      </c>
      <c r="O464" s="48" t="n">
        <v>45660.70833333334</v>
      </c>
      <c r="P464" s="49" t="n">
        <v>45660</v>
      </c>
      <c r="Q464" s="47" t="n">
        <v>2804</v>
      </c>
      <c r="R464" s="47" t="inlineStr">
        <is>
          <t>No Video ID yet</t>
        </is>
      </c>
      <c r="S464" s="49" t="n"/>
      <c r="T464" s="49" t="n"/>
      <c r="U464" s="47" t="inlineStr">
        <is>
          <t>In the 265th episode of the Pop, Ben and J discuss New Years resolutions, Survivor, Bey Blades, camping, ice baths, New Years Eve dancing, and Diablo 4. Hunger Games - Survivor - Diablo 4 - You Know How Horses Neigh? I Wanna Play MY Game I Could Punch the Moon I Never De-Vigorated New Years Rocking Chair Eve Stop Standing In Your Own Way 00:00 - Intro, Quarter Quell 01:40 - News Years Rezzies 16:56 - Survivor 30:07 - Various Christmas Gifts 42:29 - Camping 1:01:02 - Ice Baths and Hot Tubs 1:06:12 - NYE Party and Diablo 4</t>
        </is>
      </c>
      <c r="V464" s="47">
        <f>IF(AND(P464&gt;=Calendar!$K$2,P464&lt;EDATE(Calendar!$K$2,1),OR(Calendar!$K$4="*",N464=Calendar!$K$4)),P464*100+COUNTIFS($P$6:$P$3267,P464,$Q$6:$Q$3267,"&lt;="&amp;Q464,$N$6:$N$3267,Calendar!$K$4),"")</f>
        <v/>
      </c>
      <c r="W464" s="47">
        <f>IF(AND(B464=Queue!$C$4,OR(Queue!$K$4="*",N464=Queue!$K$4)),Q464,"")</f>
        <v/>
      </c>
    </row>
    <row r="465">
      <c r="A465" s="38">
        <f>IF(M465="","",HYPERLINK("https://www.youtube.com/watch?v="&amp;M465,"▶"))</f>
        <v/>
      </c>
      <c r="B465" s="39">
        <f>IF(C465&lt;&gt;"",C465,IF(P465&lt;=IFERROR(INDEX(tblChannels[Watched Through],MATCH(N465,tblChannels[Channel ID],0)),0),"Watched","Unwatched"))</f>
        <v/>
      </c>
      <c r="C465" s="40" t="n"/>
      <c r="D465" s="41" t="n"/>
      <c r="E465" s="42" t="n">
        <v>45658.41666666666</v>
      </c>
      <c r="F465" s="50" t="inlineStr">
        <is>
          <t>Super Carlin Brothers</t>
        </is>
      </c>
      <c r="G465" t="inlineStr">
        <is>
          <t>The Insane Adventures Of 2024! Check Out Everything We Got Up To</t>
        </is>
      </c>
      <c r="H465" s="44" t="n">
        <v>0.05688657407407408</v>
      </c>
      <c r="I465" s="45" t="n">
        <v>12556</v>
      </c>
      <c r="J465" s="45" t="n">
        <v>526</v>
      </c>
      <c r="K465" s="45" t="n">
        <v>75</v>
      </c>
      <c r="L465" s="46" t="n"/>
      <c r="M465" s="47" t="n"/>
      <c r="N465" s="47" t="inlineStr">
        <is>
          <t>UCKZo4N0lVPccBkSiuyVh4yg</t>
        </is>
      </c>
      <c r="O465" s="48" t="n">
        <v>45658.625</v>
      </c>
      <c r="P465" s="49" t="n">
        <v>45658</v>
      </c>
      <c r="Q465" s="47" t="n">
        <v>2803</v>
      </c>
      <c r="R465" s="47" t="inlineStr">
        <is>
          <t>No Video ID yet</t>
        </is>
      </c>
      <c r="S465" s="49" t="n"/>
      <c r="T465" s="49" t="n"/>
      <c r="U465" s="47" t="inlineStr">
        <is>
          <t>Happy New Year! As we enter the new year we wanted to share all our favorite moments from the last one as recorded for our podcast Popcorn Culture! Thanks for watching! TW: Pregnancy Loss (if you would like to skip, the timestamp for that conversation is 19:48 - 23:31. It is discussed in as light and gentle a tone as is possible for that topic.) In celebration of the New Year, we wanted to share some reflections on our highs and lows of each month! We did this over on our podcast, Popcorn Culture and wanted to share it with you guys here! If you are interested in hearing more about Popcorn Culture, the links are all below! In the 264th episode of the Pop, Ben and J discuss sourdough, cruises, solo adventures, birthdays, boats, recognition, the Celtics, Easter, Bluey, auctions, the mustache, tour, gardening, lake trip, new set, cousins wedding, preschool, tour again, the beer mile, sports, Wicked, and prepping for Christmas. Brooklyn Nine-Nine - Our Bluey Video - Listen wherever Pods are Cast :: 04:39 - January 17:21 - February 23:31 - March 29:00 - April 33:34 - May 41:57 - June 48:01 - July 55:52 - August 59:01 - September 1:06:16 - October 1:10:10 - November 1:17:20 - December an</t>
        </is>
      </c>
      <c r="V465" s="47">
        <f>IF(AND(P465&gt;=Calendar!$K$2,P465&lt;EDATE(Calendar!$K$2,1),OR(Calendar!$K$4="*",N465=Calendar!$K$4)),P465*100+COUNTIFS($P$6:$P$3267,P465,$Q$6:$Q$3267,"&lt;="&amp;Q465,$N$6:$N$3267,Calendar!$K$4),"")</f>
        <v/>
      </c>
      <c r="W465" s="47">
        <f>IF(AND(B465=Queue!$C$4,OR(Queue!$K$4="*",N465=Queue!$K$4)),Q465,"")</f>
        <v/>
      </c>
    </row>
    <row r="466">
      <c r="A466" s="38">
        <f>IF(M466="","",HYPERLINK("https://www.youtube.com/watch?v="&amp;M466,"▶"))</f>
        <v/>
      </c>
      <c r="B466" s="39">
        <f>IF(C466&lt;&gt;"",C466,IF(P466&lt;=IFERROR(INDEX(tblChannels[Watched Through],MATCH(N466,tblChannels[Channel ID],0)),0),"Watched","Unwatched"))</f>
        <v/>
      </c>
      <c r="C466" s="40" t="n"/>
      <c r="D466" s="41" t="n"/>
      <c r="E466" s="42" t="n">
        <v>45655.41666666666</v>
      </c>
      <c r="F466" s="51" t="inlineStr">
        <is>
          <t>Through The Griffin Door</t>
        </is>
      </c>
      <c r="G466" t="inlineStr">
        <is>
          <t>Special Owlery Episode!!</t>
        </is>
      </c>
      <c r="H466" s="44" t="n">
        <v>0.03866898148148148</v>
      </c>
      <c r="I466" s="45" t="n">
        <v>30917</v>
      </c>
      <c r="J466" s="45" t="n">
        <v>1181</v>
      </c>
      <c r="K466" s="45" t="n">
        <v>325</v>
      </c>
      <c r="L466" s="46" t="n"/>
      <c r="M466" s="47" t="n"/>
      <c r="N466" s="47" t="inlineStr">
        <is>
          <t>UCEscP6ETYXWSSvsNrDHekMQ</t>
        </is>
      </c>
      <c r="O466" s="48" t="n">
        <v>45655.625</v>
      </c>
      <c r="P466" s="49" t="n">
        <v>45655</v>
      </c>
      <c r="Q466" s="47" t="n">
        <v>2802</v>
      </c>
      <c r="R466" s="47" t="inlineStr">
        <is>
          <t>No Video ID yet</t>
        </is>
      </c>
      <c r="S466" s="49" t="n"/>
      <c r="T466" s="49" t="n"/>
      <c r="U466" s="47" t="inlineStr">
        <is>
          <t>In lieu of a typical episode, this week we wanted to give you a sneak peak at what you could get every week over on our Patreon as a member of The Owlery! We hope you enjoy and are having a lovely holiday season! 02:40 - What Would Happen If Harry Was Raised By The Weasleys 29:19 - What If Dudley Was A Wizard</t>
        </is>
      </c>
      <c r="V466" s="47">
        <f>IF(AND(P466&gt;=Calendar!$K$2,P466&lt;EDATE(Calendar!$K$2,1),OR(Calendar!$K$4="*",N466=Calendar!$K$4)),P466*100+COUNTIFS($P$6:$P$3267,P466,$Q$6:$Q$3267,"&lt;="&amp;Q466,$N$6:$N$3267,Calendar!$K$4),"")</f>
        <v/>
      </c>
      <c r="W466" s="47">
        <f>IF(AND(B466=Queue!$C$4,OR(Queue!$K$4="*",N466=Queue!$K$4)),Q466,"")</f>
        <v/>
      </c>
    </row>
    <row r="467">
      <c r="A467" s="38">
        <f>IF(M467="","",HYPERLINK("https://www.youtube.com/watch?v="&amp;M467,"▶"))</f>
        <v/>
      </c>
      <c r="B467" s="39">
        <f>IF(C467&lt;&gt;"",C467,IF(P467&lt;=IFERROR(INDEX(tblChannels[Watched Through],MATCH(N467,tblChannels[Channel ID],0)),0),"Watched","Unwatched"))</f>
        <v/>
      </c>
      <c r="C467" s="40" t="n"/>
      <c r="D467" s="41" t="n"/>
      <c r="E467" s="42" t="n">
        <v>45654.41666666666</v>
      </c>
      <c r="F467" s="50" t="inlineStr">
        <is>
          <t>Super Carlin Brothers</t>
        </is>
      </c>
      <c r="G467" t="inlineStr">
        <is>
          <t>Through the Griffin Door Supercut: Goblet of Fire Chapters 4-6</t>
        </is>
      </c>
      <c r="H467" s="44" t="n">
        <v>0.1814583333333333</v>
      </c>
      <c r="I467" s="45" t="n">
        <v>22517</v>
      </c>
      <c r="J467" s="45" t="n">
        <v>365</v>
      </c>
      <c r="K467" s="45" t="n">
        <v>81</v>
      </c>
      <c r="L467" s="46" t="n"/>
      <c r="M467" s="47" t="n"/>
      <c r="N467" s="47" t="inlineStr">
        <is>
          <t>UCKZo4N0lVPccBkSiuyVh4yg</t>
        </is>
      </c>
      <c r="O467" s="48" t="n">
        <v>45654.625</v>
      </c>
      <c r="P467" s="49" t="n">
        <v>45654</v>
      </c>
      <c r="Q467" s="47" t="n">
        <v>2801</v>
      </c>
      <c r="R467" s="47" t="inlineStr">
        <is>
          <t>No Video ID yet</t>
        </is>
      </c>
      <c r="S467" s="49" t="n"/>
      <c r="T467" s="49" t="n"/>
      <c r="U467" s="47" t="inlineStr">
        <is>
          <t>00:00:00 - Chapter 4: Back to the Burrow 1:25:46 - Chapter 5: Weasleys' Wizard Wheezes 2:58:05 - Chapter 6: The Portkey</t>
        </is>
      </c>
      <c r="V467" s="47">
        <f>IF(AND(P467&gt;=Calendar!$K$2,P467&lt;EDATE(Calendar!$K$2,1),OR(Calendar!$K$4="*",N467=Calendar!$K$4)),P467*100+COUNTIFS($P$6:$P$3267,P467,$Q$6:$Q$3267,"&lt;="&amp;Q467,$N$6:$N$3267,Calendar!$K$4),"")</f>
        <v/>
      </c>
      <c r="W467" s="47">
        <f>IF(AND(B467=Queue!$C$4,OR(Queue!$K$4="*",N467=Queue!$K$4)),Q467,"")</f>
        <v/>
      </c>
    </row>
    <row r="468">
      <c r="A468" s="38">
        <f>IF(M468="","",HYPERLINK("https://www.youtube.com/watch?v="&amp;M468,"▶"))</f>
        <v/>
      </c>
      <c r="B468" s="39">
        <f>IF(C468&lt;&gt;"",C468,IF(P468&lt;=IFERROR(INDEX(tblChannels[Watched Through],MATCH(N468,tblChannels[Channel ID],0)),0),"Watched","Unwatched"))</f>
        <v/>
      </c>
      <c r="C468" s="40" t="n"/>
      <c r="D468" s="41" t="n"/>
      <c r="E468" s="42" t="n">
        <v>45653.41736111111</v>
      </c>
      <c r="F468" s="50" t="inlineStr">
        <is>
          <t>Super Carlin Brothers</t>
        </is>
      </c>
      <c r="G468" t="inlineStr">
        <is>
          <t>What If Ron Was In Hufflepuff - FULL STORY</t>
        </is>
      </c>
      <c r="H468" s="44" t="n">
        <v>0.1284490740740741</v>
      </c>
      <c r="I468" s="45" t="n">
        <v>688453</v>
      </c>
      <c r="J468" s="45" t="n">
        <v>7720</v>
      </c>
      <c r="K468" s="45" t="n">
        <v>1036</v>
      </c>
      <c r="L468" s="46" t="n"/>
      <c r="M468" s="47" t="n"/>
      <c r="N468" s="47" t="inlineStr">
        <is>
          <t>UCKZo4N0lVPccBkSiuyVh4yg</t>
        </is>
      </c>
      <c r="O468" s="48" t="n">
        <v>45653.62569444445</v>
      </c>
      <c r="P468" s="49" t="n">
        <v>45653</v>
      </c>
      <c r="Q468" s="47" t="n">
        <v>2800</v>
      </c>
      <c r="R468" s="47" t="inlineStr">
        <is>
          <t>No Video ID yet</t>
        </is>
      </c>
      <c r="S468" s="49" t="n"/>
      <c r="T468" s="49" t="n"/>
      <c r="U468" s="47" t="inlineStr">
        <is>
          <t>What If Ron Weasely had been sorted into Hufflepuff instead of Gyrffindor like he usually is? Well it all starts when the Weasly’s decided to raise Harry as their own rather than being brough up by the Dursley’s a decision that changes not just Harry, but Ron’s life forever. We loved writing this series and have stitched together all of our main video coivering this topic in to one MASSIVE video from Philosophers Stone to the final showdown with Voldemort - ENJOY! #supercarlinbrothers #HarryPotter WhatIf Edited by :: Isybelle Christley &amp; Ethan Edghill</t>
        </is>
      </c>
      <c r="V468" s="47">
        <f>IF(AND(P468&gt;=Calendar!$K$2,P468&lt;EDATE(Calendar!$K$2,1),OR(Calendar!$K$4="*",N468=Calendar!$K$4)),P468*100+COUNTIFS($P$6:$P$3267,P468,$Q$6:$Q$3267,"&lt;="&amp;Q468,$N$6:$N$3267,Calendar!$K$4),"")</f>
        <v/>
      </c>
      <c r="W468" s="47">
        <f>IF(AND(B468=Queue!$C$4,OR(Queue!$K$4="*",N468=Queue!$K$4)),Q468,"")</f>
        <v/>
      </c>
    </row>
    <row r="469">
      <c r="A469" s="38">
        <f>IF(M469="","",HYPERLINK("https://www.youtube.com/watch?v="&amp;M469,"▶"))</f>
        <v/>
      </c>
      <c r="B469" s="39">
        <f>IF(C469&lt;&gt;"",C469,IF(P469&lt;=IFERROR(INDEX(tblChannels[Watched Through],MATCH(N469,tblChannels[Channel ID],0)),0),"Watched","Unwatched"))</f>
        <v/>
      </c>
      <c r="C469" s="40" t="n"/>
      <c r="D469" s="41" t="n"/>
      <c r="E469" s="42" t="n">
        <v>45653.41666666666</v>
      </c>
      <c r="F469" s="43" t="inlineStr">
        <is>
          <t>Popcorn Culture</t>
        </is>
      </c>
      <c r="G469" t="inlineStr">
        <is>
          <t>Year in Review | Popcorn Culture</t>
        </is>
      </c>
      <c r="H469" s="44" t="n">
        <v>0.05688657407407408</v>
      </c>
      <c r="I469" s="45" t="n">
        <v>3793</v>
      </c>
      <c r="J469" s="45" t="n">
        <v>196</v>
      </c>
      <c r="K469" s="45" t="n">
        <v>19</v>
      </c>
      <c r="L469" s="46" t="n"/>
      <c r="M469" s="47" t="n"/>
      <c r="N469" s="47" t="inlineStr">
        <is>
          <t>UCHfIbq9thHPC8yrKjAdJgDA</t>
        </is>
      </c>
      <c r="O469" s="48" t="n">
        <v>45653.625</v>
      </c>
      <c r="P469" s="49" t="n">
        <v>45653</v>
      </c>
      <c r="Q469" s="47" t="n">
        <v>2799</v>
      </c>
      <c r="R469" s="47" t="inlineStr">
        <is>
          <t>No Video ID yet</t>
        </is>
      </c>
      <c r="S469" s="49" t="n"/>
      <c r="T469" s="49" t="n"/>
      <c r="U469" s="47" t="inlineStr">
        <is>
          <t>TW: Pregnancy Loss (if you would like to skip, the timestamp for that conversation is 19:48 - 23:31. It is discussed in as light and gentle a tone as is possible for that topic.) Ben and J discuss sourdough, cruises, solo adventures, birthdays, boats, recognition, the Celtics, Easter, Bluey, auctions, the mustache, tour, gardening, lake trip, new set, cousins wedding, preschool, tour again, the beer mile, sports, Wicked, and prepping for Christmas. Brooklyn Nine-Nine - Our Bluey Video - 04:39 - January 17:21 - February 23:31 - March 29:00 - April 33:34 - May 41:57 - June 48:01 - July 55:52 - August 59:01 - September 1:06:16 - October 1:10:10 - November 1:17:20 - December and Thanks</t>
        </is>
      </c>
      <c r="V469" s="47">
        <f>IF(AND(P469&gt;=Calendar!$K$2,P469&lt;EDATE(Calendar!$K$2,1),OR(Calendar!$K$4="*",N469=Calendar!$K$4)),P469*100+COUNTIFS($P$6:$P$3267,P469,$Q$6:$Q$3267,"&lt;="&amp;Q469,$N$6:$N$3267,Calendar!$K$4),"")</f>
        <v/>
      </c>
      <c r="W469" s="47">
        <f>IF(AND(B469=Queue!$C$4,OR(Queue!$K$4="*",N469=Queue!$K$4)),Q469,"")</f>
        <v/>
      </c>
    </row>
    <row r="470">
      <c r="A470" s="38">
        <f>IF(M470="","",HYPERLINK("https://www.youtube.com/watch?v="&amp;M470,"▶"))</f>
        <v/>
      </c>
      <c r="B470" s="39">
        <f>IF(C470&lt;&gt;"",C470,IF(P470&lt;=IFERROR(INDEX(tblChannels[Watched Through],MATCH(N470,tblChannels[Channel ID],0)),0),"Watched","Unwatched"))</f>
        <v/>
      </c>
      <c r="C470" s="40" t="n"/>
      <c r="D470" s="41" t="n"/>
      <c r="E470" s="42" t="n">
        <v>45651.41666666666</v>
      </c>
      <c r="F470" s="50" t="inlineStr">
        <is>
          <t>Super Carlin Brothers</t>
        </is>
      </c>
      <c r="G470" t="inlineStr">
        <is>
          <t>J vs Ben: FULL YEAR SHOWDOWN - Who is the Ultimate Champion of 2024?</t>
        </is>
      </c>
      <c r="H470" s="44" t="n">
        <v>0.4802662037037037</v>
      </c>
      <c r="I470" s="45" t="n">
        <v>173543</v>
      </c>
      <c r="J470" s="45" t="n">
        <v>2972</v>
      </c>
      <c r="K470" s="45" t="n">
        <v>716</v>
      </c>
      <c r="L470" s="46" t="n"/>
      <c r="M470" s="47" t="n"/>
      <c r="N470" s="47" t="inlineStr">
        <is>
          <t>UCKZo4N0lVPccBkSiuyVh4yg</t>
        </is>
      </c>
      <c r="O470" s="48" t="n">
        <v>45651.625</v>
      </c>
      <c r="P470" s="49" t="n">
        <v>45651</v>
      </c>
      <c r="Q470" s="47" t="n">
        <v>2798</v>
      </c>
      <c r="R470" s="47" t="inlineStr">
        <is>
          <t>No Video ID yet</t>
        </is>
      </c>
      <c r="S470" s="49" t="n"/>
      <c r="T470" s="49" t="n"/>
      <c r="U470" s="47" t="inlineStr">
        <is>
          <t>The 12 HOUR video you've all been waiting for! It's time for the FULL YEAR SHOWDOWN to determine the Ultimate Champion of 2024! Who will earn Glory for another year!? FIND OUT NOW! If you want to play along with us, all these quizzes (and more!) are on our website ::</t>
        </is>
      </c>
      <c r="V470" s="47">
        <f>IF(AND(P470&gt;=Calendar!$K$2,P470&lt;EDATE(Calendar!$K$2,1),OR(Calendar!$K$4="*",N470=Calendar!$K$4)),P470*100+COUNTIFS($P$6:$P$3267,P470,$Q$6:$Q$3267,"&lt;="&amp;Q470,$N$6:$N$3267,Calendar!$K$4),"")</f>
        <v/>
      </c>
      <c r="W470" s="47">
        <f>IF(AND(B470=Queue!$C$4,OR(Queue!$K$4="*",N470=Queue!$K$4)),Q470,"")</f>
        <v/>
      </c>
    </row>
    <row r="471">
      <c r="A471" s="38">
        <f>IF(M471="","",HYPERLINK("https://www.youtube.com/watch?v="&amp;M471,"▶"))</f>
        <v/>
      </c>
      <c r="B471" s="39">
        <f>IF(C471&lt;&gt;"",C471,IF(P471&lt;=IFERROR(INDEX(tblChannels[Watched Through],MATCH(N471,tblChannels[Channel ID],0)),0),"Watched","Unwatched"))</f>
        <v/>
      </c>
      <c r="C471" s="40" t="n"/>
      <c r="D471" s="41" t="n"/>
      <c r="E471" s="42" t="n">
        <v>45648.41666666666</v>
      </c>
      <c r="F471" s="51" t="inlineStr">
        <is>
          <t>Through The Griffin Door</t>
        </is>
      </c>
      <c r="G471" t="inlineStr">
        <is>
          <t>Chapter 6: The Portkey | Goblet of Fire</t>
        </is>
      </c>
      <c r="H471" s="44" t="n">
        <v>0.05778935185185185</v>
      </c>
      <c r="I471" s="45" t="n">
        <v>60117</v>
      </c>
      <c r="J471" s="45" t="n">
        <v>1633</v>
      </c>
      <c r="K471" s="45" t="n">
        <v>481</v>
      </c>
      <c r="L471" s="46" t="n"/>
      <c r="M471" s="47" t="n"/>
      <c r="N471" s="47" t="inlineStr">
        <is>
          <t>UCEscP6ETYXWSSvsNrDHekMQ</t>
        </is>
      </c>
      <c r="O471" s="48" t="n">
        <v>45648.625</v>
      </c>
      <c r="P471" s="49" t="n">
        <v>45648</v>
      </c>
      <c r="Q471" s="47" t="n">
        <v>2797</v>
      </c>
      <c r="R471" s="47" t="inlineStr">
        <is>
          <t>No Video ID yet</t>
        </is>
      </c>
      <c r="S471" s="49" t="n"/>
      <c r="T471" s="49" t="n"/>
      <c r="U471" s="47" t="inlineStr">
        <is>
          <t>Join J and Ben as they dive into Chapter 6 of the Goblet of Fire and discuss the word manky, splinching, Molly’s threshold for success, exposition for Harry, and Amos’s lack of humility. 06:00 - Chapter Breakdown 1:06:49 - Closing Thoughts and Review</t>
        </is>
      </c>
      <c r="V471" s="47">
        <f>IF(AND(P471&gt;=Calendar!$K$2,P471&lt;EDATE(Calendar!$K$2,1),OR(Calendar!$K$4="*",N471=Calendar!$K$4)),P471*100+COUNTIFS($P$6:$P$3267,P471,$Q$6:$Q$3267,"&lt;="&amp;Q471,$N$6:$N$3267,Calendar!$K$4),"")</f>
        <v/>
      </c>
      <c r="W471" s="47">
        <f>IF(AND(B471=Queue!$C$4,OR(Queue!$K$4="*",N471=Queue!$K$4)),Q471,"")</f>
        <v/>
      </c>
    </row>
    <row r="472">
      <c r="A472" s="38">
        <f>IF(M472="","",HYPERLINK("https://www.youtube.com/watch?v="&amp;M472,"▶"))</f>
        <v/>
      </c>
      <c r="B472" s="39">
        <f>IF(C472&lt;&gt;"",C472,IF(P472&lt;=IFERROR(INDEX(tblChannels[Watched Through],MATCH(N472,tblChannels[Channel ID],0)),0),"Watched","Unwatched"))</f>
        <v/>
      </c>
      <c r="C472" s="40" t="n"/>
      <c r="D472" s="41" t="n"/>
      <c r="E472" s="42" t="n">
        <v>45647.27013888889</v>
      </c>
      <c r="F472" s="52" t="inlineStr">
        <is>
          <t>Super Carlin Gaming</t>
        </is>
      </c>
      <c r="G472" t="inlineStr">
        <is>
          <t>Pokemon Box Breakers SEASON 13 Episode 2 - 12/20/2024</t>
        </is>
      </c>
      <c r="H472" s="44" t="n">
        <v>0.1220601851851852</v>
      </c>
      <c r="I472" s="45" t="n">
        <v>1169</v>
      </c>
      <c r="J472" s="45" t="n">
        <v>42</v>
      </c>
      <c r="K472" s="45" t="n">
        <v>2</v>
      </c>
      <c r="L472" s="46" t="n"/>
      <c r="M472" s="47" t="n"/>
      <c r="N472" s="47" t="inlineStr">
        <is>
          <t>UCor_9jRnNNZVzTuQ92PKsaQ</t>
        </is>
      </c>
      <c r="O472" s="48" t="n">
        <v>45647.47847222222</v>
      </c>
      <c r="P472" s="49" t="n">
        <v>45647</v>
      </c>
      <c r="Q472" s="47" t="n">
        <v>2796</v>
      </c>
      <c r="R472" s="47" t="inlineStr">
        <is>
          <t>No Video ID yet</t>
        </is>
      </c>
      <c r="S472" s="49" t="n"/>
      <c r="T472" s="49" t="n"/>
      <c r="U472" s="47" t="n"/>
      <c r="V472" s="47">
        <f>IF(AND(P472&gt;=Calendar!$K$2,P472&lt;EDATE(Calendar!$K$2,1),OR(Calendar!$K$4="*",N472=Calendar!$K$4)),P472*100+COUNTIFS($P$6:$P$3267,P472,$Q$6:$Q$3267,"&lt;="&amp;Q472,$N$6:$N$3267,Calendar!$K$4),"")</f>
        <v/>
      </c>
      <c r="W472" s="47">
        <f>IF(AND(B472=Queue!$C$4,OR(Queue!$K$4="*",N472=Queue!$K$4)),Q472,"")</f>
        <v/>
      </c>
    </row>
    <row r="473">
      <c r="A473" s="38">
        <f>IF(M473="","",HYPERLINK("https://www.youtube.com/watch?v="&amp;M473,"▶"))</f>
        <v/>
      </c>
      <c r="B473" s="39">
        <f>IF(C473&lt;&gt;"",C473,IF(P473&lt;=IFERROR(INDEX(tblChannels[Watched Through],MATCH(N473,tblChannels[Channel ID],0)),0),"Watched","Unwatched"))</f>
        <v/>
      </c>
      <c r="C473" s="40" t="n"/>
      <c r="D473" s="41" t="n"/>
      <c r="E473" s="42" t="n">
        <v>45646.73055555556</v>
      </c>
      <c r="F473" s="50" t="inlineStr">
        <is>
          <t>Super Carlin Brothers</t>
        </is>
      </c>
      <c r="G473" t="inlineStr">
        <is>
          <t>What If Ron Was In Hufflepuff - THE END | Harry Potter Film Theory</t>
        </is>
      </c>
      <c r="H473" s="44" t="n">
        <v>0.01886574074074074</v>
      </c>
      <c r="I473" s="45" t="n">
        <v>76596</v>
      </c>
      <c r="J473" s="45" t="n">
        <v>3863</v>
      </c>
      <c r="K473" s="45" t="n">
        <v>452</v>
      </c>
      <c r="L473" s="46" t="n"/>
      <c r="M473" s="47" t="n"/>
      <c r="N473" s="47" t="inlineStr">
        <is>
          <t>UCKZo4N0lVPccBkSiuyVh4yg</t>
        </is>
      </c>
      <c r="O473" s="48" t="n">
        <v>45646.93888888889</v>
      </c>
      <c r="P473" s="49" t="n">
        <v>45646</v>
      </c>
      <c r="Q473" s="47" t="n">
        <v>2795</v>
      </c>
      <c r="R473" s="47" t="inlineStr">
        <is>
          <t>No Video ID yet</t>
        </is>
      </c>
      <c r="S473" s="49" t="n"/>
      <c r="T473" s="49" t="n"/>
      <c r="U473" s="47" t="inlineStr">
        <is>
          <t>This episode is sponsored by BetterHelp — go to to get 10% off your first month. Today Ben dives into the What If verse Ron in Hufflepuff to find out how it all ends! How will they find the final horcruxes? Will Ron survive? What about Harry since Voldemort didn’t take his blood! Find out today! #supercarlinbrothers #Harry Potter #JvsBen</t>
        </is>
      </c>
      <c r="V473" s="47">
        <f>IF(AND(P473&gt;=Calendar!$K$2,P473&lt;EDATE(Calendar!$K$2,1),OR(Calendar!$K$4="*",N473=Calendar!$K$4)),P473*100+COUNTIFS($P$6:$P$3267,P473,$Q$6:$Q$3267,"&lt;="&amp;Q473,$N$6:$N$3267,Calendar!$K$4),"")</f>
        <v/>
      </c>
      <c r="W473" s="47">
        <f>IF(AND(B473=Queue!$C$4,OR(Queue!$K$4="*",N473=Queue!$K$4)),Q473,"")</f>
        <v/>
      </c>
    </row>
    <row r="474">
      <c r="A474" s="38">
        <f>IF(M474="","",HYPERLINK("https://www.youtube.com/watch?v="&amp;M474,"▶"))</f>
        <v/>
      </c>
      <c r="B474" s="39">
        <f>IF(C474&lt;&gt;"",C474,IF(P474&lt;=IFERROR(INDEX(tblChannels[Watched Through],MATCH(N474,tblChannels[Channel ID],0)),0),"Watched","Unwatched"))</f>
        <v/>
      </c>
      <c r="C474" s="40" t="n"/>
      <c r="D474" s="41" t="n"/>
      <c r="E474" s="42" t="n">
        <v>45646.41666666666</v>
      </c>
      <c r="F474" s="43" t="inlineStr">
        <is>
          <t>Popcorn Culture</t>
        </is>
      </c>
      <c r="G474" t="inlineStr">
        <is>
          <t>The Unusual Circumstances Episode | Popcorn Culture</t>
        </is>
      </c>
      <c r="H474" s="44" t="n">
        <v>0.04934027777777777</v>
      </c>
      <c r="I474" s="45" t="n">
        <v>3831</v>
      </c>
      <c r="J474" s="45" t="n">
        <v>193</v>
      </c>
      <c r="K474" s="45" t="n">
        <v>59</v>
      </c>
      <c r="L474" s="46" t="n"/>
      <c r="M474" s="47" t="n"/>
      <c r="N474" s="47" t="inlineStr">
        <is>
          <t>UCHfIbq9thHPC8yrKjAdJgDA</t>
        </is>
      </c>
      <c r="O474" s="48" t="n">
        <v>45646.625</v>
      </c>
      <c r="P474" s="49" t="n">
        <v>45646</v>
      </c>
      <c r="Q474" s="47" t="n">
        <v>2794</v>
      </c>
      <c r="R474" s="47" t="inlineStr">
        <is>
          <t>No Video ID yet</t>
        </is>
      </c>
      <c r="S474" s="49" t="n"/>
      <c r="T474" s="49" t="n"/>
      <c r="U474" s="47" t="inlineStr">
        <is>
          <t>In the 263rd episode of the Pop, Ben and J discuss the stars at Christmas, confirmation bias, chosen ones, sonder, competitive Pokemon, the reason for art, and reminisce about the Pop over the years. What Even Is Myrrh? Am I the Chosen One? 00:00 - Mic Cold Open 02:01 - Intro, The Christmas Star Story 31:58 - The Chosen One 46:54 - Competitive Pokemon</t>
        </is>
      </c>
      <c r="V474" s="47">
        <f>IF(AND(P474&gt;=Calendar!$K$2,P474&lt;EDATE(Calendar!$K$2,1),OR(Calendar!$K$4="*",N474=Calendar!$K$4)),P474*100+COUNTIFS($P$6:$P$3267,P474,$Q$6:$Q$3267,"&lt;="&amp;Q474,$N$6:$N$3267,Calendar!$K$4),"")</f>
        <v/>
      </c>
      <c r="W474" s="47">
        <f>IF(AND(B474=Queue!$C$4,OR(Queue!$K$4="*",N474=Queue!$K$4)),Q474,"")</f>
        <v/>
      </c>
    </row>
    <row r="475">
      <c r="A475" s="38">
        <f>IF(M475="","",HYPERLINK("https://www.youtube.com/watch?v="&amp;M475,"▶"))</f>
        <v/>
      </c>
      <c r="B475" s="39">
        <f>IF(C475&lt;&gt;"",C475,IF(P475&lt;=IFERROR(INDEX(tblChannels[Watched Through],MATCH(N475,tblChannels[Channel ID],0)),0),"Watched","Unwatched"))</f>
        <v/>
      </c>
      <c r="C475" s="40" t="n"/>
      <c r="D475" s="41" t="n"/>
      <c r="E475" s="42" t="n">
        <v>45644.72013888889</v>
      </c>
      <c r="F475" s="50" t="inlineStr">
        <is>
          <t>Super Carlin Brothers</t>
        </is>
      </c>
      <c r="G475" t="inlineStr">
        <is>
          <t>J vs Ben: FINAL Harry Potter Trivia Battle of the YEAR!</t>
        </is>
      </c>
      <c r="H475" s="44" t="n">
        <v>0.02606481481481481</v>
      </c>
      <c r="I475" s="45" t="n">
        <v>95037</v>
      </c>
      <c r="J475" s="45" t="n">
        <v>3988</v>
      </c>
      <c r="K475" s="45" t="n">
        <v>409</v>
      </c>
      <c r="L475" s="46" t="n"/>
      <c r="M475" s="47" t="n"/>
      <c r="N475" s="47" t="inlineStr">
        <is>
          <t>UCKZo4N0lVPccBkSiuyVh4yg</t>
        </is>
      </c>
      <c r="O475" s="48" t="n">
        <v>45644.92847222222</v>
      </c>
      <c r="P475" s="49" t="n">
        <v>45644</v>
      </c>
      <c r="Q475" s="47" t="n">
        <v>2793</v>
      </c>
      <c r="R475" s="47" t="inlineStr">
        <is>
          <t>No Video ID yet</t>
        </is>
      </c>
      <c r="S475" s="49" t="n"/>
      <c r="T475" s="49" t="n"/>
      <c r="U475" s="47" t="inlineStr">
        <is>
          <t>Go to and use code BROTHER to get exclusive holiday deals and savings all month long. The fastest card game in the Multiverse. Visit to make a new deck and try MARVEL SNAP for free on Steam, IOS or Android! Today J and Ben face off for the FINAL time this year as they conclude the Harry Potter Christmas Trivia Quiz! J’s SNAP Deck: # (1) Kingpin # (2) Kraven # (2) Scream # (2) Silk # (3) Juggernaut # (3) Red Guardian # (3) Polaris # (3) Spider-Man # (4) Miles Morales # (4) Stegron # (5) Aero # (6) Magneto # U2NybTYsS25ncG43LFNwZHJNbjksTWdudDcsU3Rncm43LEFyNCxNbHNNcmxzQyxSZEdyZG5CLFBscnM3LEtydm42LEpnZ3JudEEsU2xrNA== # # To use this deck, copy it to your clipboard and paste it from the deck editing menu in MARVEL SNAP. #supercarlinbrothers #Harry Potter #JvsBen</t>
        </is>
      </c>
      <c r="V475" s="47">
        <f>IF(AND(P475&gt;=Calendar!$K$2,P475&lt;EDATE(Calendar!$K$2,1),OR(Calendar!$K$4="*",N475=Calendar!$K$4)),P475*100+COUNTIFS($P$6:$P$3267,P475,$Q$6:$Q$3267,"&lt;="&amp;Q475,$N$6:$N$3267,Calendar!$K$4),"")</f>
        <v/>
      </c>
      <c r="W475" s="47">
        <f>IF(AND(B475=Queue!$C$4,OR(Queue!$K$4="*",N475=Queue!$K$4)),Q475,"")</f>
        <v/>
      </c>
    </row>
    <row r="476">
      <c r="A476" s="38">
        <f>IF(M476="","",HYPERLINK("https://www.youtube.com/watch?v="&amp;M476,"▶"))</f>
        <v/>
      </c>
      <c r="B476" s="39">
        <f>IF(C476&lt;&gt;"",C476,IF(P476&lt;=IFERROR(INDEX(tblChannels[Watched Through],MATCH(N476,tblChannels[Channel ID],0)),0),"Watched","Unwatched"))</f>
        <v/>
      </c>
      <c r="C476" s="40" t="n"/>
      <c r="D476" s="41" t="n"/>
      <c r="E476" s="42" t="n">
        <v>45641.41666666666</v>
      </c>
      <c r="F476" s="51" t="inlineStr">
        <is>
          <t>Through The Griffin Door</t>
        </is>
      </c>
      <c r="G476" t="inlineStr">
        <is>
          <t>Chapter 5: Weasley’s Wizard Wheezes | Goblet of Fire</t>
        </is>
      </c>
      <c r="H476" s="44" t="n">
        <v>0.06412037037037037</v>
      </c>
      <c r="I476" s="45" t="n">
        <v>67861</v>
      </c>
      <c r="J476" s="45" t="n">
        <v>1788</v>
      </c>
      <c r="K476" s="45" t="n">
        <v>512</v>
      </c>
      <c r="L476" s="46" t="n"/>
      <c r="M476" s="47" t="n"/>
      <c r="N476" s="47" t="inlineStr">
        <is>
          <t>UCEscP6ETYXWSSvsNrDHekMQ</t>
        </is>
      </c>
      <c r="O476" s="48" t="n">
        <v>45641.625</v>
      </c>
      <c r="P476" s="49" t="n">
        <v>45641</v>
      </c>
      <c r="Q476" s="47" t="n">
        <v>2792</v>
      </c>
      <c r="R476" s="47" t="inlineStr">
        <is>
          <t>No Video ID yet</t>
        </is>
      </c>
      <c r="S476" s="49" t="n"/>
      <c r="T476" s="49" t="n"/>
      <c r="U476" s="47" t="inlineStr">
        <is>
          <t>Join J and Ben as they dive into Chapter 5 of the Goblet of Fire and discuss the Weasley family dynamics, the twins’ inventions, Percy being a wet blanket, the Burrow bedrooms, and little setups. 07:02 - Chapter Breakdown 1:21:21 - Closing Thoughts and Review</t>
        </is>
      </c>
      <c r="V476" s="47">
        <f>IF(AND(P476&gt;=Calendar!$K$2,P476&lt;EDATE(Calendar!$K$2,1),OR(Calendar!$K$4="*",N476=Calendar!$K$4)),P476*100+COUNTIFS($P$6:$P$3267,P476,$Q$6:$Q$3267,"&lt;="&amp;Q476,$N$6:$N$3267,Calendar!$K$4),"")</f>
        <v/>
      </c>
      <c r="W476" s="47">
        <f>IF(AND(B476=Queue!$C$4,OR(Queue!$K$4="*",N476=Queue!$K$4)),Q476,"")</f>
        <v/>
      </c>
    </row>
    <row r="477">
      <c r="A477" s="38">
        <f>IF(M477="","",HYPERLINK("https://www.youtube.com/watch?v="&amp;M477,"▶"))</f>
        <v/>
      </c>
      <c r="B477" s="39">
        <f>IF(C477&lt;&gt;"",C477,IF(P477&lt;=IFERROR(INDEX(tblChannels[Watched Through],MATCH(N477,tblChannels[Channel ID],0)),0),"Watched","Unwatched"))</f>
        <v/>
      </c>
      <c r="C477" s="40" t="n"/>
      <c r="D477" s="41" t="n"/>
      <c r="E477" s="42" t="n">
        <v>45640.41666666666</v>
      </c>
      <c r="F477" s="50" t="inlineStr">
        <is>
          <t>Super Carlin Brothers</t>
        </is>
      </c>
      <c r="G477" t="inlineStr">
        <is>
          <t>Through the Griffin Door Supercut: Goblet of Fire Chapters 1-3</t>
        </is>
      </c>
      <c r="H477" s="44" t="n">
        <v>0.1837962962962963</v>
      </c>
      <c r="I477" s="45" t="n">
        <v>24583</v>
      </c>
      <c r="J477" s="45" t="n">
        <v>439</v>
      </c>
      <c r="K477" s="45" t="n">
        <v>99</v>
      </c>
      <c r="L477" s="46" t="n"/>
      <c r="M477" s="47" t="n"/>
      <c r="N477" s="47" t="inlineStr">
        <is>
          <t>UCKZo4N0lVPccBkSiuyVh4yg</t>
        </is>
      </c>
      <c r="O477" s="48" t="n">
        <v>45640.625</v>
      </c>
      <c r="P477" s="49" t="n">
        <v>45640</v>
      </c>
      <c r="Q477" s="47" t="n">
        <v>2791</v>
      </c>
      <c r="R477" s="47" t="inlineStr">
        <is>
          <t>No Video ID yet</t>
        </is>
      </c>
      <c r="S477" s="49" t="n"/>
      <c r="T477" s="49" t="n"/>
      <c r="U477" s="47" t="inlineStr">
        <is>
          <t>00:00:00 - Chapter 1: The Riddle House 01:34:54 - Chapter 2: The Scar 02:55:56 - Chapter 3: The Invitation</t>
        </is>
      </c>
      <c r="V477" s="47">
        <f>IF(AND(P477&gt;=Calendar!$K$2,P477&lt;EDATE(Calendar!$K$2,1),OR(Calendar!$K$4="*",N477=Calendar!$K$4)),P477*100+COUNTIFS($P$6:$P$3267,P477,$Q$6:$Q$3267,"&lt;="&amp;Q477,$N$6:$N$3267,Calendar!$K$4),"")</f>
        <v/>
      </c>
      <c r="W477" s="47">
        <f>IF(AND(B477=Queue!$C$4,OR(Queue!$K$4="*",N477=Queue!$K$4)),Q477,"")</f>
        <v/>
      </c>
    </row>
    <row r="478">
      <c r="A478" s="38">
        <f>IF(M478="","",HYPERLINK("https://www.youtube.com/watch?v="&amp;M478,"▶"))</f>
        <v/>
      </c>
      <c r="B478" s="39">
        <f>IF(C478&lt;&gt;"",C478,IF(P478&lt;=IFERROR(INDEX(tblChannels[Watched Through],MATCH(N478,tblChannels[Channel ID],0)),0),"Watched","Unwatched"))</f>
        <v/>
      </c>
      <c r="C478" s="40" t="n"/>
      <c r="D478" s="41" t="n"/>
      <c r="E478" s="42" t="n">
        <v>45639.68125</v>
      </c>
      <c r="F478" s="50" t="inlineStr">
        <is>
          <t>Super Carlin Brothers</t>
        </is>
      </c>
      <c r="G478" t="inlineStr">
        <is>
          <t>A Siriusly SCATHING Review of Sirius Black | Harry Potter Film Theory</t>
        </is>
      </c>
      <c r="H478" s="44" t="n">
        <v>0.01142361111111111</v>
      </c>
      <c r="I478" s="45" t="n">
        <v>106419</v>
      </c>
      <c r="J478" s="45" t="n">
        <v>4507</v>
      </c>
      <c r="K478" s="45" t="n">
        <v>478</v>
      </c>
      <c r="L478" s="46" t="n"/>
      <c r="M478" s="47" t="n"/>
      <c r="N478" s="47" t="inlineStr">
        <is>
          <t>UCKZo4N0lVPccBkSiuyVh4yg</t>
        </is>
      </c>
      <c r="O478" s="48" t="n">
        <v>45639.88958333333</v>
      </c>
      <c r="P478" s="49" t="n">
        <v>45639</v>
      </c>
      <c r="Q478" s="47" t="n">
        <v>2790</v>
      </c>
      <c r="R478" s="47" t="inlineStr">
        <is>
          <t>No Video ID yet</t>
        </is>
      </c>
      <c r="S478" s="49" t="n"/>
      <c r="T478" s="49" t="n"/>
      <c r="U478" s="47" t="inlineStr">
        <is>
          <t>Go to to sign up for a $1-per-month trial period. Today Ben Dives into the Wizarding World of Harry Potter to give a SCATHING REVIEW of Sirius Black. Sirius is possibly the worst communicator in all of Harry Potter and his inability to say things in a straightforward manner gets him into a lot of trouble… and prison. #supercarlinbrothers #harrypotter</t>
        </is>
      </c>
      <c r="V478" s="47">
        <f>IF(AND(P478&gt;=Calendar!$K$2,P478&lt;EDATE(Calendar!$K$2,1),OR(Calendar!$K$4="*",N478=Calendar!$K$4)),P478*100+COUNTIFS($P$6:$P$3267,P478,$Q$6:$Q$3267,"&lt;="&amp;Q478,$N$6:$N$3267,Calendar!$K$4),"")</f>
        <v/>
      </c>
      <c r="W478" s="47">
        <f>IF(AND(B478=Queue!$C$4,OR(Queue!$K$4="*",N478=Queue!$K$4)),Q478,"")</f>
        <v/>
      </c>
    </row>
    <row r="479">
      <c r="A479" s="38">
        <f>IF(M479="","",HYPERLINK("https://www.youtube.com/watch?v="&amp;M479,"▶"))</f>
        <v/>
      </c>
      <c r="B479" s="39">
        <f>IF(C479&lt;&gt;"",C479,IF(P479&lt;=IFERROR(INDEX(tblChannels[Watched Through],MATCH(N479,tblChannels[Channel ID],0)),0),"Watched","Unwatched"))</f>
        <v/>
      </c>
      <c r="C479" s="40" t="n"/>
      <c r="D479" s="41" t="n"/>
      <c r="E479" s="42" t="n">
        <v>45639.41666666666</v>
      </c>
      <c r="F479" s="43" t="inlineStr">
        <is>
          <t>Popcorn Culture</t>
        </is>
      </c>
      <c r="G479" t="inlineStr">
        <is>
          <t>MOM ALMOST SCAMMED ME | Popcorn Culture</t>
        </is>
      </c>
      <c r="H479" s="44" t="n">
        <v>0.04651620370370371</v>
      </c>
      <c r="I479" s="45" t="n">
        <v>3741</v>
      </c>
      <c r="J479" s="45" t="n">
        <v>172</v>
      </c>
      <c r="K479" s="45" t="n">
        <v>25</v>
      </c>
      <c r="L479" s="46" t="n"/>
      <c r="M479" s="47" t="n"/>
      <c r="N479" s="47" t="inlineStr">
        <is>
          <t>UCHfIbq9thHPC8yrKjAdJgDA</t>
        </is>
      </c>
      <c r="O479" s="48" t="n">
        <v>45639.625</v>
      </c>
      <c r="P479" s="49" t="n">
        <v>45639</v>
      </c>
      <c r="Q479" s="47" t="n">
        <v>2789</v>
      </c>
      <c r="R479" s="47" t="inlineStr">
        <is>
          <t>No Video ID yet</t>
        </is>
      </c>
      <c r="S479" s="49" t="n"/>
      <c r="T479" s="49" t="n"/>
      <c r="U479" s="47" t="inlineStr">
        <is>
          <t>In the 262nd episode of the Pop, Ben and J discuss the shell game, getting Beth a piano, random talents and party tricks, and accidental non-scams. Wicked the Musical - Godzilla - Mighty Morphin Power Rangers - No Dull Moments! No Hands Pogo We’re Stilt Guys! 00:00 - Name of the Wind Cold Open 03:54 - Intro, Pianos 33:22 - Random Talents 55:11 - Scams</t>
        </is>
      </c>
      <c r="V479" s="47">
        <f>IF(AND(P479&gt;=Calendar!$K$2,P479&lt;EDATE(Calendar!$K$2,1),OR(Calendar!$K$4="*",N479=Calendar!$K$4)),P479*100+COUNTIFS($P$6:$P$3267,P479,$Q$6:$Q$3267,"&lt;="&amp;Q479,$N$6:$N$3267,Calendar!$K$4),"")</f>
        <v/>
      </c>
      <c r="W479" s="47">
        <f>IF(AND(B479=Queue!$C$4,OR(Queue!$K$4="*",N479=Queue!$K$4)),Q479,"")</f>
        <v/>
      </c>
    </row>
    <row r="480">
      <c r="A480" s="38">
        <f>IF(M480="","",HYPERLINK("https://www.youtube.com/watch?v="&amp;M480,"▶"))</f>
        <v/>
      </c>
      <c r="B480" s="39">
        <f>IF(C480&lt;&gt;"",C480,IF(P480&lt;=IFERROR(INDEX(tblChannels[Watched Through],MATCH(N480,tblChannels[Channel ID],0)),0),"Watched","Unwatched"))</f>
        <v/>
      </c>
      <c r="C480" s="40" t="n"/>
      <c r="D480" s="41" t="n"/>
      <c r="E480" s="42" t="n">
        <v>45637.74861111111</v>
      </c>
      <c r="F480" s="50" t="inlineStr">
        <is>
          <t>Super Carlin Brothers</t>
        </is>
      </c>
      <c r="G480" t="inlineStr">
        <is>
          <t>WICKED Theories From People Who Don’t Know the Ending | Wicked Film Theory</t>
        </is>
      </c>
      <c r="H480" s="44" t="n">
        <v>0.01354166666666667</v>
      </c>
      <c r="I480" s="45" t="n">
        <v>123074</v>
      </c>
      <c r="J480" s="45" t="n">
        <v>6107</v>
      </c>
      <c r="K480" s="45" t="n">
        <v>1125</v>
      </c>
      <c r="L480" s="46" t="n"/>
      <c r="M480" s="47" t="n"/>
      <c r="N480" s="47" t="inlineStr">
        <is>
          <t>UCKZo4N0lVPccBkSiuyVh4yg</t>
        </is>
      </c>
      <c r="O480" s="48" t="n">
        <v>45637.95694444444</v>
      </c>
      <c r="P480" s="49" t="n">
        <v>45637</v>
      </c>
      <c r="Q480" s="47" t="n">
        <v>2788</v>
      </c>
      <c r="R480" s="47" t="inlineStr">
        <is>
          <t>No Video ID yet</t>
        </is>
      </c>
      <c r="S480" s="49" t="n"/>
      <c r="T480" s="49" t="n"/>
      <c r="U480" s="47" t="inlineStr">
        <is>
          <t>Go to and use code super to get exclusive holiday deals and savings all month long. Today J dives into the Wonderful World of Oz to try and predict how Wicked will end in Part 2, even though the answers are just out there. Determined to not be spoiled though J and Ben have combed through part 1 to make their best predictions for the ending. Is Fiyero the Scarecrow? Is Boq the Tin Man? Is the Wizard Elphaba’s Father?! #supercarlinbrothers #Wicked #WizardOfOz</t>
        </is>
      </c>
      <c r="V480" s="47">
        <f>IF(AND(P480&gt;=Calendar!$K$2,P480&lt;EDATE(Calendar!$K$2,1),OR(Calendar!$K$4="*",N480=Calendar!$K$4)),P480*100+COUNTIFS($P$6:$P$3267,P480,$Q$6:$Q$3267,"&lt;="&amp;Q480,$N$6:$N$3267,Calendar!$K$4),"")</f>
        <v/>
      </c>
      <c r="W480" s="47">
        <f>IF(AND(B480=Queue!$C$4,OR(Queue!$K$4="*",N480=Queue!$K$4)),Q480,"")</f>
        <v/>
      </c>
    </row>
    <row r="481">
      <c r="A481" s="38">
        <f>IF(M481="","",HYPERLINK("https://www.youtube.com/watch?v="&amp;M481,"▶"))</f>
        <v/>
      </c>
      <c r="B481" s="39">
        <f>IF(C481&lt;&gt;"",C481,IF(P481&lt;=IFERROR(INDEX(tblChannels[Watched Through],MATCH(N481,tblChannels[Channel ID],0)),0),"Watched","Unwatched"))</f>
        <v/>
      </c>
      <c r="C481" s="40" t="n"/>
      <c r="D481" s="41" t="n"/>
      <c r="E481" s="42" t="n">
        <v>45634.41666666666</v>
      </c>
      <c r="F481" s="51" t="inlineStr">
        <is>
          <t>Through The Griffin Door</t>
        </is>
      </c>
      <c r="G481" t="inlineStr">
        <is>
          <t>Chapter 4: Back to the Burrow | Goblet of Fire</t>
        </is>
      </c>
      <c r="H481" s="44" t="n">
        <v>0.06060185185185185</v>
      </c>
      <c r="I481" s="45" t="n">
        <v>66151</v>
      </c>
      <c r="J481" s="45" t="n">
        <v>1815</v>
      </c>
      <c r="K481" s="45" t="n">
        <v>615</v>
      </c>
      <c r="L481" s="46" t="n"/>
      <c r="M481" s="47" t="n"/>
      <c r="N481" s="47" t="inlineStr">
        <is>
          <t>UCEscP6ETYXWSSvsNrDHekMQ</t>
        </is>
      </c>
      <c r="O481" s="48" t="n">
        <v>45634.625</v>
      </c>
      <c r="P481" s="49" t="n">
        <v>45634</v>
      </c>
      <c r="Q481" s="47" t="n">
        <v>2787</v>
      </c>
      <c r="R481" s="47" t="inlineStr">
        <is>
          <t>No Video ID yet</t>
        </is>
      </c>
      <c r="S481" s="49" t="n"/>
      <c r="T481" s="49" t="n"/>
      <c r="U481" s="47" t="inlineStr">
        <is>
          <t>Join J and Ben as they dive into Chapter 4 of the Goblet of Fire and discuss diets, muggle clothes, the fireplace, floo powder, and the general comedy of this chapter. Relevant Links Floo Powder’s SECRET Ingredient - The SECRET To Creating Harry Potter Characters - The Elder Wand Has A BROTHER - 06:20 - Chapter Breakdown 1:17:22 - Closing Thoughts and Review</t>
        </is>
      </c>
      <c r="V481" s="47">
        <f>IF(AND(P481&gt;=Calendar!$K$2,P481&lt;EDATE(Calendar!$K$2,1),OR(Calendar!$K$4="*",N481=Calendar!$K$4)),P481*100+COUNTIFS($P$6:$P$3267,P481,$Q$6:$Q$3267,"&lt;="&amp;Q481,$N$6:$N$3267,Calendar!$K$4),"")</f>
        <v/>
      </c>
      <c r="W481" s="47">
        <f>IF(AND(B481=Queue!$C$4,OR(Queue!$K$4="*",N481=Queue!$K$4)),Q481,"")</f>
        <v/>
      </c>
    </row>
    <row r="482">
      <c r="A482" s="38">
        <f>IF(M482="","",HYPERLINK("https://www.youtube.com/watch?v="&amp;M482,"▶"))</f>
        <v/>
      </c>
      <c r="B482" s="39">
        <f>IF(C482&lt;&gt;"",C482,IF(P482&lt;=IFERROR(INDEX(tblChannels[Watched Through],MATCH(N482,tblChannels[Channel ID],0)),0),"Watched","Unwatched"))</f>
        <v/>
      </c>
      <c r="C482" s="40" t="n"/>
      <c r="D482" s="41" t="n"/>
      <c r="E482" s="42" t="n">
        <v>45632.58125</v>
      </c>
      <c r="F482" s="50" t="inlineStr">
        <is>
          <t>Super Carlin Brothers</t>
        </is>
      </c>
      <c r="G482" t="inlineStr">
        <is>
          <t>What If Ron Was In Hufflepuff - THE CAVE | Harry Potter Film Theory</t>
        </is>
      </c>
      <c r="H482" s="44" t="n">
        <v>0.01240740740740741</v>
      </c>
      <c r="I482" s="45" t="n">
        <v>61930</v>
      </c>
      <c r="J482" s="45" t="n">
        <v>3575</v>
      </c>
      <c r="K482" s="45" t="n">
        <v>328</v>
      </c>
      <c r="L482" s="46" t="n"/>
      <c r="M482" s="47" t="n"/>
      <c r="N482" s="47" t="inlineStr">
        <is>
          <t>UCKZo4N0lVPccBkSiuyVh4yg</t>
        </is>
      </c>
      <c r="O482" s="48" t="n">
        <v>45632.78958333333</v>
      </c>
      <c r="P482" s="49" t="n">
        <v>45632</v>
      </c>
      <c r="Q482" s="47" t="n">
        <v>2786</v>
      </c>
      <c r="R482" s="47" t="inlineStr">
        <is>
          <t>No Video ID yet</t>
        </is>
      </c>
      <c r="S482" s="49" t="n"/>
      <c r="T482" s="49" t="n"/>
      <c r="U482" s="47" t="inlineStr">
        <is>
          <t>Today Ben returns to unfolding Wizarding World of Ron in Hufflepuff to find out what happens after the cup has been cleansed and Voldemort is alerted to the cups theft! Dumbledore hastens the boys to the cave after a mysterious vision, but what awaits them inside…? #supercarlinbrothers #WhatIf #HarryPotter</t>
        </is>
      </c>
      <c r="V482" s="47">
        <f>IF(AND(P482&gt;=Calendar!$K$2,P482&lt;EDATE(Calendar!$K$2,1),OR(Calendar!$K$4="*",N482=Calendar!$K$4)),P482*100+COUNTIFS($P$6:$P$3267,P482,$Q$6:$Q$3267,"&lt;="&amp;Q482,$N$6:$N$3267,Calendar!$K$4),"")</f>
        <v/>
      </c>
      <c r="W482" s="47">
        <f>IF(AND(B482=Queue!$C$4,OR(Queue!$K$4="*",N482=Queue!$K$4)),Q482,"")</f>
        <v/>
      </c>
    </row>
    <row r="483">
      <c r="A483" s="38">
        <f>IF(M483="","",HYPERLINK("https://www.youtube.com/watch?v="&amp;M483,"▶"))</f>
        <v/>
      </c>
      <c r="B483" s="39">
        <f>IF(C483&lt;&gt;"",C483,IF(P483&lt;=IFERROR(INDEX(tblChannels[Watched Through],MATCH(N483,tblChannels[Channel ID],0)),0),"Watched","Unwatched"))</f>
        <v/>
      </c>
      <c r="C483" s="40" t="n"/>
      <c r="D483" s="41" t="n"/>
      <c r="E483" s="42" t="n">
        <v>45632.41666666666</v>
      </c>
      <c r="F483" s="43" t="inlineStr">
        <is>
          <t>Popcorn Culture</t>
        </is>
      </c>
      <c r="G483" t="inlineStr">
        <is>
          <t>Good Popcorn Genes | Popcorn Culture</t>
        </is>
      </c>
      <c r="H483" s="44" t="n">
        <v>0.05891203703703703</v>
      </c>
      <c r="I483" s="45" t="n">
        <v>3821</v>
      </c>
      <c r="J483" s="45" t="n">
        <v>174</v>
      </c>
      <c r="K483" s="45" t="n">
        <v>30</v>
      </c>
      <c r="L483" s="46" t="n"/>
      <c r="M483" s="47" t="n"/>
      <c r="N483" s="47" t="inlineStr">
        <is>
          <t>UCHfIbq9thHPC8yrKjAdJgDA</t>
        </is>
      </c>
      <c r="O483" s="48" t="n">
        <v>45632.625</v>
      </c>
      <c r="P483" s="49" t="n">
        <v>45632</v>
      </c>
      <c r="Q483" s="47" t="n">
        <v>2785</v>
      </c>
      <c r="R483" s="47" t="inlineStr">
        <is>
          <t>No Video ID yet</t>
        </is>
      </c>
      <c r="S483" s="49" t="n"/>
      <c r="T483" s="49" t="n"/>
      <c r="U483" s="47" t="inlineStr">
        <is>
          <t>In the 261st episode of the Pop, Ben and J discuss Pop Watson, Thanksgiving prep, best animated shows of all time, the Drumstick Dash, Luke’s birthday, Addy’s first movie theater experience, Moana 2 disappointment, annual 12/05 day, and Beyblades. Dragon Ball Z: Budokai Tenkaichi - Arcane - Avatar the Last Airbender - Invincible - Bluey - You’re Gonna Miss This - Moana 2 - Minecraft Movie - Jumanji - Beyblades - Savory Eyes A Very Hectic Holiday Good Popcorn Genes 00:00 - Intro, VT Football 04:17 - Busy Thanksgiving Weekend and Wicks of the Peek 52:16 - Decorating Christmas Trees 1:08:11 - Luke’s Birthday Party</t>
        </is>
      </c>
      <c r="V483" s="47">
        <f>IF(AND(P483&gt;=Calendar!$K$2,P483&lt;EDATE(Calendar!$K$2,1),OR(Calendar!$K$4="*",N483=Calendar!$K$4)),P483*100+COUNTIFS($P$6:$P$3267,P483,$Q$6:$Q$3267,"&lt;="&amp;Q483,$N$6:$N$3267,Calendar!$K$4),"")</f>
        <v/>
      </c>
      <c r="W483" s="47">
        <f>IF(AND(B483=Queue!$C$4,OR(Queue!$K$4="*",N483=Queue!$K$4)),Q483,"")</f>
        <v/>
      </c>
    </row>
    <row r="484">
      <c r="A484" s="38">
        <f>IF(M484="","",HYPERLINK("https://www.youtube.com/watch?v="&amp;M484,"▶"))</f>
        <v/>
      </c>
      <c r="B484" s="39">
        <f>IF(C484&lt;&gt;"",C484,IF(P484&lt;=IFERROR(INDEX(tblChannels[Watched Through],MATCH(N484,tblChannels[Channel ID],0)),0),"Watched","Unwatched"))</f>
        <v/>
      </c>
      <c r="C484" s="40" t="n"/>
      <c r="D484" s="41" t="n"/>
      <c r="E484" s="42" t="n">
        <v>45630.75833333333</v>
      </c>
      <c r="F484" s="50" t="inlineStr">
        <is>
          <t>Super Carlin Brothers</t>
        </is>
      </c>
      <c r="G484" t="inlineStr">
        <is>
          <t>J vs Ben: Our LARGEST Harry Potter Christmas Trivia Battle EVER</t>
        </is>
      </c>
      <c r="H484" s="44" t="n">
        <v>0.02928240740740741</v>
      </c>
      <c r="I484" s="45" t="n">
        <v>117604</v>
      </c>
      <c r="J484" s="45" t="n">
        <v>4644</v>
      </c>
      <c r="K484" s="45" t="n">
        <v>460</v>
      </c>
      <c r="L484" s="46" t="n"/>
      <c r="M484" s="47" t="n"/>
      <c r="N484" s="47" t="inlineStr">
        <is>
          <t>UCKZo4N0lVPccBkSiuyVh4yg</t>
        </is>
      </c>
      <c r="O484" s="48" t="n">
        <v>45630.96666666667</v>
      </c>
      <c r="P484" s="49" t="n">
        <v>45630</v>
      </c>
      <c r="Q484" s="47" t="n">
        <v>2784</v>
      </c>
      <c r="R484" s="47" t="inlineStr">
        <is>
          <t>No Video ID yet</t>
        </is>
      </c>
      <c r="S484" s="49" t="n"/>
      <c r="T484" s="49" t="n"/>
      <c r="U484" s="47" t="inlineStr">
        <is>
          <t>Go to to cancel your unwanted subscriptions with Rocket Money. Go to and use code JVSB to get $35-off Aura’s best-selling Carver Mat frames. Today J and Ben face off in the penultimate J vs Ben of the year to find out who knows the most about the Wizarding World of Harry Potter and what happens each year at Christmas! #supercarlinbrothers #JvsBen #HarryPotter</t>
        </is>
      </c>
      <c r="V484" s="47">
        <f>IF(AND(P484&gt;=Calendar!$K$2,P484&lt;EDATE(Calendar!$K$2,1),OR(Calendar!$K$4="*",N484=Calendar!$K$4)),P484*100+COUNTIFS($P$6:$P$3267,P484,$Q$6:$Q$3267,"&lt;="&amp;Q484,$N$6:$N$3267,Calendar!$K$4),"")</f>
        <v/>
      </c>
      <c r="W484" s="47">
        <f>IF(AND(B484=Queue!$C$4,OR(Queue!$K$4="*",N484=Queue!$K$4)),Q484,"")</f>
        <v/>
      </c>
    </row>
    <row r="485">
      <c r="A485" s="38">
        <f>IF(M485="","",HYPERLINK("https://www.youtube.com/watch?v="&amp;M485,"▶"))</f>
        <v/>
      </c>
      <c r="B485" s="39">
        <f>IF(C485&lt;&gt;"",C485,IF(P485&lt;=IFERROR(INDEX(tblChannels[Watched Through],MATCH(N485,tblChannels[Channel ID],0)),0),"Watched","Unwatched"))</f>
        <v/>
      </c>
      <c r="C485" s="40" t="n"/>
      <c r="D485" s="41" t="n"/>
      <c r="E485" s="42" t="n">
        <v>45627.41666666666</v>
      </c>
      <c r="F485" s="51" t="inlineStr">
        <is>
          <t>Through The Griffin Door</t>
        </is>
      </c>
      <c r="G485" t="inlineStr">
        <is>
          <t>Chapter 3: The Invitation | Goblet Of Fire</t>
        </is>
      </c>
      <c r="H485" s="44" t="n">
        <v>0.05628472222222222</v>
      </c>
      <c r="I485" s="45" t="n">
        <v>64290</v>
      </c>
      <c r="J485" s="45" t="n">
        <v>1819</v>
      </c>
      <c r="K485" s="45" t="n">
        <v>459</v>
      </c>
      <c r="L485" s="46" t="n"/>
      <c r="M485" s="47" t="n"/>
      <c r="N485" s="47" t="inlineStr">
        <is>
          <t>UCEscP6ETYXWSSvsNrDHekMQ</t>
        </is>
      </c>
      <c r="O485" s="48" t="n">
        <v>45627.625</v>
      </c>
      <c r="P485" s="49" t="n">
        <v>45627</v>
      </c>
      <c r="Q485" s="47" t="n">
        <v>2783</v>
      </c>
      <c r="R485" s="47" t="inlineStr">
        <is>
          <t>No Video ID yet</t>
        </is>
      </c>
      <c r="S485" s="49" t="n"/>
      <c r="T485" s="49" t="n"/>
      <c r="U485" s="47" t="inlineStr">
        <is>
          <t>Join J and Ben as they dive into Chapter 3 of the Goblet of Fire and discuss how long a birthday cake is even good for, whether or not there's any truth to the grapefruit diet, and HOW ON EARTH ARTHUR WEASLEY MANAGED TO GET THOSE TICKETS AM I RIGHT?! Get your Through the Griffin Door MUG -</t>
        </is>
      </c>
      <c r="V485" s="47">
        <f>IF(AND(P485&gt;=Calendar!$K$2,P485&lt;EDATE(Calendar!$K$2,1),OR(Calendar!$K$4="*",N485=Calendar!$K$4)),P485*100+COUNTIFS($P$6:$P$3267,P485,$Q$6:$Q$3267,"&lt;="&amp;Q485,$N$6:$N$3267,Calendar!$K$4),"")</f>
        <v/>
      </c>
      <c r="W485" s="47">
        <f>IF(AND(B485=Queue!$C$4,OR(Queue!$K$4="*",N485=Queue!$K$4)),Q485,"")</f>
        <v/>
      </c>
    </row>
    <row r="486">
      <c r="A486" s="38">
        <f>IF(M486="","",HYPERLINK("https://www.youtube.com/watch?v="&amp;M486,"▶"))</f>
        <v/>
      </c>
      <c r="B486" s="39">
        <f>IF(C486&lt;&gt;"",C486,IF(P486&lt;=IFERROR(INDEX(tblChannels[Watched Through],MATCH(N486,tblChannels[Channel ID],0)),0),"Watched","Unwatched"))</f>
        <v/>
      </c>
      <c r="C486" s="40" t="n"/>
      <c r="D486" s="41" t="n"/>
      <c r="E486" s="42" t="n">
        <v>45624.70833333334</v>
      </c>
      <c r="F486" s="51" t="inlineStr">
        <is>
          <t>Through The Griffin Door</t>
        </is>
      </c>
      <c r="G486" t="inlineStr">
        <is>
          <t>Live in Los Angeles - Chapter 2: The Scar | Goblet of Fire</t>
        </is>
      </c>
      <c r="H486" s="44" t="n">
        <v>0.03912037037037037</v>
      </c>
      <c r="I486" s="45" t="n">
        <v>10880</v>
      </c>
      <c r="J486" s="45" t="n">
        <v>498</v>
      </c>
      <c r="K486" s="45" t="n">
        <v>70</v>
      </c>
      <c r="L486" s="46" t="n"/>
      <c r="M486" s="47" t="n"/>
      <c r="N486" s="47" t="inlineStr">
        <is>
          <t>UCEscP6ETYXWSSvsNrDHekMQ</t>
        </is>
      </c>
      <c r="O486" s="48" t="n">
        <v>45624.91666666666</v>
      </c>
      <c r="P486" s="49" t="n">
        <v>45624</v>
      </c>
      <c r="Q486" s="47" t="n">
        <v>2782</v>
      </c>
      <c r="R486" s="47" t="inlineStr">
        <is>
          <t>No Video ID yet</t>
        </is>
      </c>
      <c r="S486" s="49" t="n"/>
      <c r="T486" s="49" t="n"/>
      <c r="U486" s="47" t="inlineStr">
        <is>
          <t>Join J and Ben as they dive BACK into Chapter 2 of the Goblet of Fire (in LOS ANGELES!!!) and discuss Harry's weird dreams, the bond of blood charm, and who he should write a letter to. Do YOU want to see us LIVE? We're going back on tour! Tickets are ON SALE NOW for the Southeast leg of Through the Griffin TOUR!!!</t>
        </is>
      </c>
      <c r="V486" s="47">
        <f>IF(AND(P486&gt;=Calendar!$K$2,P486&lt;EDATE(Calendar!$K$2,1),OR(Calendar!$K$4="*",N486=Calendar!$K$4)),P486*100+COUNTIFS($P$6:$P$3267,P486,$Q$6:$Q$3267,"&lt;="&amp;Q486,$N$6:$N$3267,Calendar!$K$4),"")</f>
        <v/>
      </c>
      <c r="W486" s="47">
        <f>IF(AND(B486=Queue!$C$4,OR(Queue!$K$4="*",N486=Queue!$K$4)),Q486,"")</f>
        <v/>
      </c>
    </row>
    <row r="487">
      <c r="A487" s="38">
        <f>IF(M487="","",HYPERLINK("https://www.youtube.com/watch?v="&amp;M487,"▶"))</f>
        <v/>
      </c>
      <c r="B487" s="39">
        <f>IF(C487&lt;&gt;"",C487,IF(P487&lt;=IFERROR(INDEX(tblChannels[Watched Through],MATCH(N487,tblChannels[Channel ID],0)),0),"Watched","Unwatched"))</f>
        <v/>
      </c>
      <c r="C487" s="40" t="n"/>
      <c r="D487" s="41" t="n"/>
      <c r="E487" s="42" t="n">
        <v>45624.45833333334</v>
      </c>
      <c r="F487" s="43" t="inlineStr">
        <is>
          <t>Popcorn Culture</t>
        </is>
      </c>
      <c r="G487" t="inlineStr">
        <is>
          <t>The Would You Rather Thanksgiving EXTRAVAGANZA | Popcorn Culture</t>
        </is>
      </c>
      <c r="H487" s="44" t="n">
        <v>0.05543981481481482</v>
      </c>
      <c r="I487" s="45" t="n">
        <v>3977</v>
      </c>
      <c r="J487" s="45" t="n">
        <v>200</v>
      </c>
      <c r="K487" s="45" t="n">
        <v>34</v>
      </c>
      <c r="L487" s="46" t="n"/>
      <c r="M487" s="47" t="n"/>
      <c r="N487" s="47" t="inlineStr">
        <is>
          <t>UCHfIbq9thHPC8yrKjAdJgDA</t>
        </is>
      </c>
      <c r="O487" s="48" t="n">
        <v>45624.66666666666</v>
      </c>
      <c r="P487" s="49" t="n">
        <v>45624</v>
      </c>
      <c r="Q487" s="47" t="n">
        <v>2781</v>
      </c>
      <c r="R487" s="47" t="inlineStr">
        <is>
          <t>No Video ID yet</t>
        </is>
      </c>
      <c r="S487" s="49" t="n"/>
      <c r="T487" s="49" t="n"/>
      <c r="U487" s="47" t="inlineStr">
        <is>
          <t>In the 260th episode of the Pop, Ben and J discuss how GREAT Wicked was, a variety of would you rather questions, the Cheat Mountain Club, more of the Zeigarnik Effect, and going to the Chiefs vs. Panthers game. Ducks and Horses Wait Don’t Martyrs DIE? The Duality of Sports Mutually Agreed Upon Trash Talk 00:00 - Intro, A Corny Joke 01:30 - Wicked 10:15 - Would You Rather 45:20 - Chiefs vs Panthers Game LIVE</t>
        </is>
      </c>
      <c r="V487" s="47">
        <f>IF(AND(P487&gt;=Calendar!$K$2,P487&lt;EDATE(Calendar!$K$2,1),OR(Calendar!$K$4="*",N487=Calendar!$K$4)),P487*100+COUNTIFS($P$6:$P$3267,P487,$Q$6:$Q$3267,"&lt;="&amp;Q487,$N$6:$N$3267,Calendar!$K$4),"")</f>
        <v/>
      </c>
      <c r="W487" s="47">
        <f>IF(AND(B487=Queue!$C$4,OR(Queue!$K$4="*",N487=Queue!$K$4)),Q487,"")</f>
        <v/>
      </c>
    </row>
    <row r="488">
      <c r="A488" s="38">
        <f>IF(M488="","",HYPERLINK("https://www.youtube.com/watch?v="&amp;M488,"▶"))</f>
        <v/>
      </c>
      <c r="B488" s="39">
        <f>IF(C488&lt;&gt;"",C488,IF(P488&lt;=IFERROR(INDEX(tblChannels[Watched Through],MATCH(N488,tblChannels[Channel ID],0)),0),"Watched","Unwatched"))</f>
        <v/>
      </c>
      <c r="C488" s="40" t="n"/>
      <c r="D488" s="41" t="n"/>
      <c r="E488" s="42" t="n">
        <v>45624.41666666666</v>
      </c>
      <c r="F488" s="50" t="inlineStr">
        <is>
          <t>Super Carlin Brothers</t>
        </is>
      </c>
      <c r="G488" t="inlineStr">
        <is>
          <t>J vs Ben: LAST DAB Goblet of Fire Harry Potter TRIVIA Quiz</t>
        </is>
      </c>
      <c r="H488" s="44" t="n">
        <v>0.03703703703703703</v>
      </c>
      <c r="I488" s="45" t="n">
        <v>150609</v>
      </c>
      <c r="J488" s="45" t="n">
        <v>5700</v>
      </c>
      <c r="K488" s="45" t="n">
        <v>779</v>
      </c>
      <c r="L488" s="46" t="n"/>
      <c r="M488" s="47" t="n"/>
      <c r="N488" s="47" t="inlineStr">
        <is>
          <t>UCKZo4N0lVPccBkSiuyVh4yg</t>
        </is>
      </c>
      <c r="O488" s="48" t="n">
        <v>45624.625</v>
      </c>
      <c r="P488" s="49" t="n">
        <v>45624</v>
      </c>
      <c r="Q488" s="47" t="n">
        <v>2780</v>
      </c>
      <c r="R488" s="47" t="inlineStr">
        <is>
          <t>No Video ID yet</t>
        </is>
      </c>
      <c r="S488" s="49" t="n"/>
      <c r="T488" s="49" t="n"/>
      <c r="U488" s="47" t="inlineStr">
        <is>
          <t>Today J and Ben channel their inner Sean Evans as they take on their annual Goblet of Fire Trivia quiz and try to survive the legendary Hot Ones LAST DAB Hot Sauce every time they miss a question.. And boy do they have a lot of hard questions.. Check out Brett on Instagram :: Jacksonville, FL - 02/16/2025 ← Wanna see us do the Last Dab in person? #supercarlinbrothers #HarryPotter #hotones</t>
        </is>
      </c>
      <c r="V488" s="47">
        <f>IF(AND(P488&gt;=Calendar!$K$2,P488&lt;EDATE(Calendar!$K$2,1),OR(Calendar!$K$4="*",N488=Calendar!$K$4)),P488*100+COUNTIFS($P$6:$P$3267,P488,$Q$6:$Q$3267,"&lt;="&amp;Q488,$N$6:$N$3267,Calendar!$K$4),"")</f>
        <v/>
      </c>
      <c r="W488" s="47">
        <f>IF(AND(B488=Queue!$C$4,OR(Queue!$K$4="*",N488=Queue!$K$4)),Q488,"")</f>
        <v/>
      </c>
    </row>
    <row r="489">
      <c r="A489" s="38">
        <f>IF(M489="","",HYPERLINK("https://www.youtube.com/watch?v="&amp;M489,"▶"))</f>
        <v/>
      </c>
      <c r="B489" s="39">
        <f>IF(C489&lt;&gt;"",C489,IF(P489&lt;=IFERROR(INDEX(tblChannels[Watched Through],MATCH(N489,tblChannels[Channel ID],0)),0),"Watched","Unwatched"))</f>
        <v/>
      </c>
      <c r="C489" s="40" t="n"/>
      <c r="D489" s="41" t="n"/>
      <c r="E489" s="42" t="n">
        <v>45623.68055555555</v>
      </c>
      <c r="F489" s="50" t="inlineStr">
        <is>
          <t>Super Carlin Brothers</t>
        </is>
      </c>
      <c r="G489" t="inlineStr">
        <is>
          <t>The SECRET Meaning In How Far I’ll Go | Moana Disney Music Theory</t>
        </is>
      </c>
      <c r="H489" s="44" t="n">
        <v>0.01203703703703704</v>
      </c>
      <c r="I489" s="45" t="n">
        <v>30769</v>
      </c>
      <c r="J489" s="45" t="n">
        <v>1852</v>
      </c>
      <c r="K489" s="45" t="n">
        <v>215</v>
      </c>
      <c r="L489" s="46" t="n"/>
      <c r="M489" s="47" t="n"/>
      <c r="N489" s="47" t="inlineStr">
        <is>
          <t>UCKZo4N0lVPccBkSiuyVh4yg</t>
        </is>
      </c>
      <c r="O489" s="48" t="n">
        <v>45623.88888888889</v>
      </c>
      <c r="P489" s="49" t="n">
        <v>45623</v>
      </c>
      <c r="Q489" s="47" t="n">
        <v>2779</v>
      </c>
      <c r="R489" s="47" t="inlineStr">
        <is>
          <t>No Video ID yet</t>
        </is>
      </c>
      <c r="S489" s="49" t="n"/>
      <c r="T489" s="49" t="n"/>
      <c r="U489" s="47" t="inlineStr">
        <is>
          <t>Go to and use code SCB to get $45 off Aura’s best-selling Carver Mat frames. Today J interviews Brett Boles to learn a secret musical story hiding in Moana’s iconic, “How Far I’ll Go,” and to learn how song writers can utilize a single note to tell an entire story in a song. Check out Brett on Instagram :: #supercarlinbrothers #Moana2 #Disney</t>
        </is>
      </c>
      <c r="V489" s="47">
        <f>IF(AND(P489&gt;=Calendar!$K$2,P489&lt;EDATE(Calendar!$K$2,1),OR(Calendar!$K$4="*",N489=Calendar!$K$4)),P489*100+COUNTIFS($P$6:$P$3267,P489,$Q$6:$Q$3267,"&lt;="&amp;Q489,$N$6:$N$3267,Calendar!$K$4),"")</f>
        <v/>
      </c>
      <c r="W489" s="47">
        <f>IF(AND(B489=Queue!$C$4,OR(Queue!$K$4="*",N489=Queue!$K$4)),Q489,"")</f>
        <v/>
      </c>
    </row>
    <row r="490">
      <c r="A490" s="38">
        <f>IF(M490="","",HYPERLINK("https://www.youtube.com/watch?v="&amp;M490,"▶"))</f>
        <v/>
      </c>
      <c r="B490" s="39">
        <f>IF(C490&lt;&gt;"",C490,IF(P490&lt;=IFERROR(INDEX(tblChannels[Watched Through],MATCH(N490,tblChannels[Channel ID],0)),0),"Watched","Unwatched"))</f>
        <v/>
      </c>
      <c r="C490" s="40" t="n"/>
      <c r="D490" s="41" t="n"/>
      <c r="E490" s="42" t="n">
        <v>45620.41666666666</v>
      </c>
      <c r="F490" s="51" t="inlineStr">
        <is>
          <t>Through The Griffin Door</t>
        </is>
      </c>
      <c r="G490" t="inlineStr">
        <is>
          <t>Chapter 2: The Scar | Goblet of Fire</t>
        </is>
      </c>
      <c r="H490" s="44" t="n">
        <v>0.06160879629629629</v>
      </c>
      <c r="I490" s="45" t="n">
        <v>68727</v>
      </c>
      <c r="J490" s="45" t="n">
        <v>1837</v>
      </c>
      <c r="K490" s="45" t="n">
        <v>484</v>
      </c>
      <c r="L490" s="46" t="n"/>
      <c r="M490" s="47" t="n"/>
      <c r="N490" s="47" t="inlineStr">
        <is>
          <t>UCEscP6ETYXWSSvsNrDHekMQ</t>
        </is>
      </c>
      <c r="O490" s="48" t="n">
        <v>45620.625</v>
      </c>
      <c r="P490" s="49" t="n">
        <v>45620</v>
      </c>
      <c r="Q490" s="47" t="n">
        <v>2778</v>
      </c>
      <c r="R490" s="47" t="inlineStr">
        <is>
          <t>No Video ID yet</t>
        </is>
      </c>
      <c r="S490" s="49" t="n"/>
      <c r="T490" s="49" t="n"/>
      <c r="U490" s="47" t="inlineStr">
        <is>
          <t>Join J and Ben as they dive into Chapter 2 of the Goblet of Fire and discuss Harry's choice in confidants, the magic behind the Owl Post, and Sirius Black's whereabouts. Get your Through the Griffin Door MUG - 04:11 - Chapter Breakdown 1:15:16 - Closing Thoughts and Review</t>
        </is>
      </c>
      <c r="V490" s="47">
        <f>IF(AND(P490&gt;=Calendar!$K$2,P490&lt;EDATE(Calendar!$K$2,1),OR(Calendar!$K$4="*",N490=Calendar!$K$4)),P490*100+COUNTIFS($P$6:$P$3267,P490,$Q$6:$Q$3267,"&lt;="&amp;Q490,$N$6:$N$3267,Calendar!$K$4),"")</f>
        <v/>
      </c>
      <c r="W490" s="47">
        <f>IF(AND(B490=Queue!$C$4,OR(Queue!$K$4="*",N490=Queue!$K$4)),Q490,"")</f>
        <v/>
      </c>
    </row>
    <row r="491">
      <c r="A491" s="38">
        <f>IF(M491="","",HYPERLINK("https://www.youtube.com/watch?v="&amp;M491,"▶"))</f>
        <v/>
      </c>
      <c r="B491" s="39">
        <f>IF(C491&lt;&gt;"",C491,IF(P491&lt;=IFERROR(INDEX(tblChannels[Watched Through],MATCH(N491,tblChannels[Channel ID],0)),0),"Watched","Unwatched"))</f>
        <v/>
      </c>
      <c r="C491" s="40" t="n"/>
      <c r="D491" s="41" t="n"/>
      <c r="E491" s="42" t="n">
        <v>45619.41666666666</v>
      </c>
      <c r="F491" s="50" t="inlineStr">
        <is>
          <t>Super Carlin Brothers</t>
        </is>
      </c>
      <c r="G491" t="inlineStr">
        <is>
          <t>Why You NEED To See WICKED | MOVIE REVIEW</t>
        </is>
      </c>
      <c r="H491" s="44" t="n">
        <v>0.03671296296296296</v>
      </c>
      <c r="I491" s="45" t="n">
        <v>102210</v>
      </c>
      <c r="J491" s="45" t="n">
        <v>4225</v>
      </c>
      <c r="K491" s="45" t="n">
        <v>854</v>
      </c>
      <c r="L491" s="46" t="n"/>
      <c r="M491" s="47" t="n"/>
      <c r="N491" s="47" t="inlineStr">
        <is>
          <t>UCKZo4N0lVPccBkSiuyVh4yg</t>
        </is>
      </c>
      <c r="O491" s="48" t="n">
        <v>45619.625</v>
      </c>
      <c r="P491" s="49" t="n">
        <v>45619</v>
      </c>
      <c r="Q491" s="47" t="n">
        <v>2777</v>
      </c>
      <c r="R491" s="47" t="inlineStr">
        <is>
          <t>No Video ID yet</t>
        </is>
      </c>
      <c r="S491" s="49" t="n"/>
      <c r="T491" s="49" t="n"/>
      <c r="U491" s="47" t="inlineStr">
        <is>
          <t>Go to and use code JVSB to get $45 off Aura’s best-selling Carver Mat frames. Today J and Ben dive into the Wonderful Land of Oz to give their full spoiler review of WICKED and try to determine if its the BEST movie they have ever seen.</t>
        </is>
      </c>
      <c r="V491" s="47">
        <f>IF(AND(P491&gt;=Calendar!$K$2,P491&lt;EDATE(Calendar!$K$2,1),OR(Calendar!$K$4="*",N491=Calendar!$K$4)),P491*100+COUNTIFS($P$6:$P$3267,P491,$Q$6:$Q$3267,"&lt;="&amp;Q491,$N$6:$N$3267,Calendar!$K$4),"")</f>
        <v/>
      </c>
      <c r="W491" s="47">
        <f>IF(AND(B491=Queue!$C$4,OR(Queue!$K$4="*",N491=Queue!$K$4)),Q491,"")</f>
        <v/>
      </c>
    </row>
    <row r="492">
      <c r="A492" s="38">
        <f>IF(M492="","",HYPERLINK("https://www.youtube.com/watch?v="&amp;M492,"▶"))</f>
        <v/>
      </c>
      <c r="B492" s="39">
        <f>IF(C492&lt;&gt;"",C492,IF(P492&lt;=IFERROR(INDEX(tblChannels[Watched Through],MATCH(N492,tblChannels[Channel ID],0)),0),"Watched","Unwatched"))</f>
        <v/>
      </c>
      <c r="C492" s="40" t="n"/>
      <c r="D492" s="41" t="n"/>
      <c r="E492" s="42" t="n">
        <v>45619.23125</v>
      </c>
      <c r="F492" s="52" t="inlineStr">
        <is>
          <t>Super Carlin Gaming</t>
        </is>
      </c>
      <c r="G492" t="inlineStr">
        <is>
          <t>Pokemon Box Breakers SEASON 13 Episode 1 - 11/22/2024</t>
        </is>
      </c>
      <c r="H492" s="44" t="n">
        <v>0.1271990740740741</v>
      </c>
      <c r="I492" s="45" t="n">
        <v>1330</v>
      </c>
      <c r="J492" s="45" t="n">
        <v>45</v>
      </c>
      <c r="K492" s="45" t="n">
        <v>7</v>
      </c>
      <c r="L492" s="46" t="n"/>
      <c r="M492" s="47" t="n"/>
      <c r="N492" s="47" t="inlineStr">
        <is>
          <t>UCor_9jRnNNZVzTuQ92PKsaQ</t>
        </is>
      </c>
      <c r="O492" s="48" t="n">
        <v>45619.43958333333</v>
      </c>
      <c r="P492" s="49" t="n">
        <v>45619</v>
      </c>
      <c r="Q492" s="47" t="n">
        <v>2776</v>
      </c>
      <c r="R492" s="47" t="inlineStr">
        <is>
          <t>No Video ID yet</t>
        </is>
      </c>
      <c r="S492" s="49" t="n"/>
      <c r="T492" s="49" t="n"/>
      <c r="U492" s="47" t="n"/>
      <c r="V492" s="47">
        <f>IF(AND(P492&gt;=Calendar!$K$2,P492&lt;EDATE(Calendar!$K$2,1),OR(Calendar!$K$4="*",N492=Calendar!$K$4)),P492*100+COUNTIFS($P$6:$P$3267,P492,$Q$6:$Q$3267,"&lt;="&amp;Q492,$N$6:$N$3267,Calendar!$K$4),"")</f>
        <v/>
      </c>
      <c r="W492" s="47">
        <f>IF(AND(B492=Queue!$C$4,OR(Queue!$K$4="*",N492=Queue!$K$4)),Q492,"")</f>
        <v/>
      </c>
    </row>
    <row r="493">
      <c r="A493" s="38">
        <f>IF(M493="","",HYPERLINK("https://www.youtube.com/watch?v="&amp;M493,"▶"))</f>
        <v/>
      </c>
      <c r="B493" s="39">
        <f>IF(C493&lt;&gt;"",C493,IF(P493&lt;=IFERROR(INDEX(tblChannels[Watched Through],MATCH(N493,tblChannels[Channel ID],0)),0),"Watched","Unwatched"))</f>
        <v/>
      </c>
      <c r="C493" s="40" t="n"/>
      <c r="D493" s="41" t="n"/>
      <c r="E493" s="42" t="n">
        <v>45618.72361111111</v>
      </c>
      <c r="F493" s="50" t="inlineStr">
        <is>
          <t>Super Carlin Brothers</t>
        </is>
      </c>
      <c r="G493" t="inlineStr">
        <is>
          <t>Did Moana DIE?!| Disney Film Theory</t>
        </is>
      </c>
      <c r="H493" s="44" t="n">
        <v>0.01165509259259259</v>
      </c>
      <c r="I493" s="45" t="n">
        <v>52060</v>
      </c>
      <c r="J493" s="45" t="n">
        <v>2741</v>
      </c>
      <c r="K493" s="45" t="n">
        <v>265</v>
      </c>
      <c r="L493" s="46" t="n"/>
      <c r="M493" s="47" t="n"/>
      <c r="N493" s="47" t="inlineStr">
        <is>
          <t>UCKZo4N0lVPccBkSiuyVh4yg</t>
        </is>
      </c>
      <c r="O493" s="48" t="n">
        <v>45618.93194444444</v>
      </c>
      <c r="P493" s="49" t="n">
        <v>45618</v>
      </c>
      <c r="Q493" s="47" t="n">
        <v>2775</v>
      </c>
      <c r="R493" s="47" t="inlineStr">
        <is>
          <t>No Video ID yet</t>
        </is>
      </c>
      <c r="S493" s="49" t="n"/>
      <c r="T493" s="49" t="n"/>
      <c r="U493" s="47" t="inlineStr">
        <is>
          <t>This episode is sponsored by BetterHelp — go to to get 10% off your first month. Today Ben dives into the deep ocean of Moana to find out if Moana, as the chosen one, actually died in the first movie and if she will die AGAIN in the 2nd one!</t>
        </is>
      </c>
      <c r="V493" s="47">
        <f>IF(AND(P493&gt;=Calendar!$K$2,P493&lt;EDATE(Calendar!$K$2,1),OR(Calendar!$K$4="*",N493=Calendar!$K$4)),P493*100+COUNTIFS($P$6:$P$3267,P493,$Q$6:$Q$3267,"&lt;="&amp;Q493,$N$6:$N$3267,Calendar!$K$4),"")</f>
        <v/>
      </c>
      <c r="W493" s="47">
        <f>IF(AND(B493=Queue!$C$4,OR(Queue!$K$4="*",N493=Queue!$K$4)),Q493,"")</f>
        <v/>
      </c>
    </row>
    <row r="494">
      <c r="A494" s="38">
        <f>IF(M494="","",HYPERLINK("https://www.youtube.com/watch?v="&amp;M494,"▶"))</f>
        <v/>
      </c>
      <c r="B494" s="39">
        <f>IF(C494&lt;&gt;"",C494,IF(P494&lt;=IFERROR(INDEX(tblChannels[Watched Through],MATCH(N494,tblChannels[Channel ID],0)),0),"Watched","Unwatched"))</f>
        <v/>
      </c>
      <c r="C494" s="40" t="n"/>
      <c r="D494" s="41" t="n"/>
      <c r="E494" s="42" t="n">
        <v>45618.41666666666</v>
      </c>
      <c r="F494" s="43" t="inlineStr">
        <is>
          <t>Popcorn Culture</t>
        </is>
      </c>
      <c r="G494" t="inlineStr">
        <is>
          <t>Charles Entertainment Cheese | Popcorn Culture</t>
        </is>
      </c>
      <c r="H494" s="44" t="n">
        <v>0.05497685185185185</v>
      </c>
      <c r="I494" s="45" t="n">
        <v>3670</v>
      </c>
      <c r="J494" s="45" t="n">
        <v>187</v>
      </c>
      <c r="K494" s="45" t="n">
        <v>21</v>
      </c>
      <c r="L494" s="46" t="n"/>
      <c r="M494" s="47" t="n"/>
      <c r="N494" s="47" t="inlineStr">
        <is>
          <t>UCHfIbq9thHPC8yrKjAdJgDA</t>
        </is>
      </c>
      <c r="O494" s="48" t="n">
        <v>45618.625</v>
      </c>
      <c r="P494" s="49" t="n">
        <v>45618</v>
      </c>
      <c r="Q494" s="47" t="n">
        <v>2774</v>
      </c>
      <c r="R494" s="47" t="inlineStr">
        <is>
          <t>No Video ID yet</t>
        </is>
      </c>
      <c r="S494" s="49" t="n"/>
      <c r="T494" s="49" t="n"/>
      <c r="U494" s="47" t="inlineStr">
        <is>
          <t>In the 259th episode of the Pop, Ben and J discuss a potential new office??? Beth’s marathon, Chuck E. Cheese and Mike Tyson vs. Jake Paul. Show Notes Rob Dyrdek’s Fantasy Factory - Pop Pop Duck Duck Tshirt - Fantasy Office Woke Up in a Warm Sweat Barcade Bad Luck 00:00 - Intro, Dream Office 23:26 - Beth’s Marathon Weekend Away 52:45 - Mike Tyson Vs. Jake Paul</t>
        </is>
      </c>
      <c r="V494" s="47">
        <f>IF(AND(P494&gt;=Calendar!$K$2,P494&lt;EDATE(Calendar!$K$2,1),OR(Calendar!$K$4="*",N494=Calendar!$K$4)),P494*100+COUNTIFS($P$6:$P$3267,P494,$Q$6:$Q$3267,"&lt;="&amp;Q494,$N$6:$N$3267,Calendar!$K$4),"")</f>
        <v/>
      </c>
      <c r="W494" s="47">
        <f>IF(AND(B494=Queue!$C$4,OR(Queue!$K$4="*",N494=Queue!$K$4)),Q494,"")</f>
        <v/>
      </c>
    </row>
    <row r="495">
      <c r="A495" s="38">
        <f>IF(M495="","",HYPERLINK("https://www.youtube.com/watch?v="&amp;M495,"▶"))</f>
        <v/>
      </c>
      <c r="B495" s="39">
        <f>IF(C495&lt;&gt;"",C495,IF(P495&lt;=IFERROR(INDEX(tblChannels[Watched Through],MATCH(N495,tblChannels[Channel ID],0)),0),"Watched","Unwatched"))</f>
        <v/>
      </c>
      <c r="C495" s="40" t="n"/>
      <c r="D495" s="41" t="n"/>
      <c r="E495" s="42" t="n">
        <v>45617.70833333334</v>
      </c>
      <c r="F495" s="51" t="inlineStr">
        <is>
          <t>Through The Griffin Door</t>
        </is>
      </c>
      <c r="G495" t="inlineStr">
        <is>
          <t>Live in San Diego - Chapter 1: The Riddle House | Goblet of Fire</t>
        </is>
      </c>
      <c r="H495" s="44" t="n">
        <v>0.04664351851851852</v>
      </c>
      <c r="I495" s="45" t="n">
        <v>13373</v>
      </c>
      <c r="J495" s="45" t="n">
        <v>564</v>
      </c>
      <c r="K495" s="45" t="n">
        <v>111</v>
      </c>
      <c r="L495" s="46" t="n"/>
      <c r="M495" s="47" t="n"/>
      <c r="N495" s="47" t="inlineStr">
        <is>
          <t>UCEscP6ETYXWSSvsNrDHekMQ</t>
        </is>
      </c>
      <c r="O495" s="48" t="n">
        <v>45617.91666666666</v>
      </c>
      <c r="P495" s="49" t="n">
        <v>45617</v>
      </c>
      <c r="Q495" s="47" t="n">
        <v>2773</v>
      </c>
      <c r="R495" s="47" t="inlineStr">
        <is>
          <t>No Video ID yet</t>
        </is>
      </c>
      <c r="S495" s="49" t="n"/>
      <c r="T495" s="49" t="n"/>
      <c r="U495" s="47" t="inlineStr">
        <is>
          <t>Join J and Ben as they dive BACK into Chapter 1 of the Goblet of Fire (in SAN DIEGO!!!) and discuss Frank Bryce's drinking problem, Frank Bryce's earwax problem, Frank Bryce's eavesdropping problem, Voldemort's sick joke about right hands, and Why Nagini Move Like That Do YOU want to see us LIVE? We're going back on tour! Tickets are ON SALE NOW for the Southeast leg of Through the Griffin TOUR!!!</t>
        </is>
      </c>
      <c r="V495" s="47">
        <f>IF(AND(P495&gt;=Calendar!$K$2,P495&lt;EDATE(Calendar!$K$2,1),OR(Calendar!$K$4="*",N495=Calendar!$K$4)),P495*100+COUNTIFS($P$6:$P$3267,P495,$Q$6:$Q$3267,"&lt;="&amp;Q495,$N$6:$N$3267,Calendar!$K$4),"")</f>
        <v/>
      </c>
      <c r="W495" s="47">
        <f>IF(AND(B495=Queue!$C$4,OR(Queue!$K$4="*",N495=Queue!$K$4)),Q495,"")</f>
        <v/>
      </c>
    </row>
    <row r="496">
      <c r="A496" s="38">
        <f>IF(M496="","",HYPERLINK("https://www.youtube.com/watch?v="&amp;M496,"▶"))</f>
        <v/>
      </c>
      <c r="B496" s="39">
        <f>IF(C496&lt;&gt;"",C496,IF(P496&lt;=IFERROR(INDEX(tblChannels[Watched Through],MATCH(N496,tblChannels[Channel ID],0)),0),"Watched","Unwatched"))</f>
        <v/>
      </c>
      <c r="C496" s="40" t="n"/>
      <c r="D496" s="41" t="n"/>
      <c r="E496" s="42" t="n">
        <v>45616.74652777778</v>
      </c>
      <c r="F496" s="50" t="inlineStr">
        <is>
          <t>Super Carlin Brothers</t>
        </is>
      </c>
      <c r="G496" t="inlineStr">
        <is>
          <t>J vs Ben: EXPERT MODE Prisoner of Azkaban Harry Potter Trivia Battle</t>
        </is>
      </c>
      <c r="H496" s="44" t="n">
        <v>0.03114583333333333</v>
      </c>
      <c r="I496" s="45" t="n">
        <v>124720</v>
      </c>
      <c r="J496" s="45" t="n">
        <v>4479</v>
      </c>
      <c r="K496" s="45" t="n">
        <v>610</v>
      </c>
      <c r="L496" s="46" t="n"/>
      <c r="M496" s="47" t="n"/>
      <c r="N496" s="47" t="inlineStr">
        <is>
          <t>UCKZo4N0lVPccBkSiuyVh4yg</t>
        </is>
      </c>
      <c r="O496" s="48" t="n">
        <v>45616.95486111111</v>
      </c>
      <c r="P496" s="49" t="n">
        <v>45616</v>
      </c>
      <c r="Q496" s="47" t="n">
        <v>2772</v>
      </c>
      <c r="R496" s="47" t="inlineStr">
        <is>
          <t>No Video ID yet</t>
        </is>
      </c>
      <c r="S496" s="49" t="n"/>
      <c r="T496" s="49" t="n"/>
      <c r="U496" s="47" t="inlineStr">
        <is>
          <t>The fastest card game in the Multiverse. Visit to make a new deck and try MARVEL SNAP for free on Steam, IOS or Android! Go to and use code brother to get 20% off your first order and free shipping. J and Ben have just wrapped up Prisoner of Azkaban over on Through the Griffin Door, and after combing through the book sentence by sentence the question is… HOW MUCH DID THEY LEARN?! Kangaroo Kat has devised a TRULY EXPERT LEVEL quiz for the guys today! How will you fare? Through The Griffin Door MUG ::</t>
        </is>
      </c>
      <c r="V496" s="47">
        <f>IF(AND(P496&gt;=Calendar!$K$2,P496&lt;EDATE(Calendar!$K$2,1),OR(Calendar!$K$4="*",N496=Calendar!$K$4)),P496*100+COUNTIFS($P$6:$P$3267,P496,$Q$6:$Q$3267,"&lt;="&amp;Q496,$N$6:$N$3267,Calendar!$K$4),"")</f>
        <v/>
      </c>
      <c r="W496" s="47">
        <f>IF(AND(B496=Queue!$C$4,OR(Queue!$K$4="*",N496=Queue!$K$4)),Q496,"")</f>
        <v/>
      </c>
    </row>
    <row r="497">
      <c r="A497" s="38">
        <f>IF(M497="","",HYPERLINK("https://www.youtube.com/watch?v="&amp;M497,"▶"))</f>
        <v/>
      </c>
      <c r="B497" s="39">
        <f>IF(C497&lt;&gt;"",C497,IF(P497&lt;=IFERROR(INDEX(tblChannels[Watched Through],MATCH(N497,tblChannels[Channel ID],0)),0),"Watched","Unwatched"))</f>
        <v/>
      </c>
      <c r="C497" s="40" t="n"/>
      <c r="D497" s="41" t="n"/>
      <c r="E497" s="42" t="n">
        <v>45613.41666666666</v>
      </c>
      <c r="F497" s="51" t="inlineStr">
        <is>
          <t>Through The Griffin Door</t>
        </is>
      </c>
      <c r="G497" t="inlineStr">
        <is>
          <t>Chapter 1: The Riddle House | Goblet of Fire</t>
        </is>
      </c>
      <c r="H497" s="44" t="n">
        <v>0.06591435185185185</v>
      </c>
      <c r="I497" s="45" t="n">
        <v>80868</v>
      </c>
      <c r="J497" s="45" t="n">
        <v>2240</v>
      </c>
      <c r="K497" s="45" t="n">
        <v>739</v>
      </c>
      <c r="L497" s="46" t="n"/>
      <c r="M497" s="47" t="n"/>
      <c r="N497" s="47" t="inlineStr">
        <is>
          <t>UCEscP6ETYXWSSvsNrDHekMQ</t>
        </is>
      </c>
      <c r="O497" s="48" t="n">
        <v>45613.625</v>
      </c>
      <c r="P497" s="49" t="n">
        <v>45613</v>
      </c>
      <c r="Q497" s="47" t="n">
        <v>2771</v>
      </c>
      <c r="R497" s="47" t="inlineStr">
        <is>
          <t>No Video ID yet</t>
        </is>
      </c>
      <c r="S497" s="49" t="n"/>
      <c r="T497" s="49" t="n"/>
      <c r="U497" s="47" t="inlineStr">
        <is>
          <t>Join J and Ben as they dive into Chapter 1 of the Goblet of Fire and discuss the house’s appearance, the rumor mill, Frank's hearing, Voldemort’s exposition, Nagini’s description, and Frank’s death. Get your Through the Griffin Door MUG - 08:33 - Chapter Breakdown 1:28:20 - Closing Thoughts and Review</t>
        </is>
      </c>
      <c r="V497" s="47">
        <f>IF(AND(P497&gt;=Calendar!$K$2,P497&lt;EDATE(Calendar!$K$2,1),OR(Calendar!$K$4="*",N497=Calendar!$K$4)),P497*100+COUNTIFS($P$6:$P$3267,P497,$Q$6:$Q$3267,"&lt;="&amp;Q497,$N$6:$N$3267,Calendar!$K$4),"")</f>
        <v/>
      </c>
      <c r="W497" s="47">
        <f>IF(AND(B497=Queue!$C$4,OR(Queue!$K$4="*",N497=Queue!$K$4)),Q497,"")</f>
        <v/>
      </c>
    </row>
    <row r="498">
      <c r="A498" s="38">
        <f>IF(M498="","",HYPERLINK("https://www.youtube.com/watch?v="&amp;M498,"▶"))</f>
        <v/>
      </c>
      <c r="B498" s="39">
        <f>IF(C498&lt;&gt;"",C498,IF(P498&lt;=IFERROR(INDEX(tblChannels[Watched Through],MATCH(N498,tblChannels[Channel ID],0)),0),"Watched","Unwatched"))</f>
        <v/>
      </c>
      <c r="C498" s="40" t="n"/>
      <c r="D498" s="41" t="n"/>
      <c r="E498" s="42" t="n">
        <v>45611.62569444445</v>
      </c>
      <c r="F498" s="50" t="inlineStr">
        <is>
          <t>Super Carlin Brothers</t>
        </is>
      </c>
      <c r="G498" t="inlineStr">
        <is>
          <t>The SECRET To Creating Harry Potter Characters | Harry Potter Film Theory</t>
        </is>
      </c>
      <c r="H498" s="44" t="n">
        <v>0.01024305555555556</v>
      </c>
      <c r="I498" s="45" t="n">
        <v>57761</v>
      </c>
      <c r="J498" s="45" t="n">
        <v>2886</v>
      </c>
      <c r="K498" s="45" t="n">
        <v>225</v>
      </c>
      <c r="L498" s="46" t="n"/>
      <c r="M498" s="47" t="n"/>
      <c r="N498" s="47" t="inlineStr">
        <is>
          <t>UCKZo4N0lVPccBkSiuyVh4yg</t>
        </is>
      </c>
      <c r="O498" s="48" t="n">
        <v>45611.83402777778</v>
      </c>
      <c r="P498" s="49" t="n">
        <v>45611</v>
      </c>
      <c r="Q498" s="47" t="n">
        <v>2770</v>
      </c>
      <c r="R498" s="47" t="inlineStr">
        <is>
          <t>No Video ID yet</t>
        </is>
      </c>
      <c r="S498" s="49" t="n"/>
      <c r="T498" s="49" t="n"/>
      <c r="U498" s="47" t="inlineStr">
        <is>
          <t>Go to to sign up for a $1-per-month trial period. Today Ben dives into the Wizarding World of Harry Potter to reveal the secret formula for creating each of the characters conflicting yet complimentary personalities via the Chinese Symbol, the Yin Yang Through The Griffin Door MUG ::</t>
        </is>
      </c>
      <c r="V498" s="47">
        <f>IF(AND(P498&gt;=Calendar!$K$2,P498&lt;EDATE(Calendar!$K$2,1),OR(Calendar!$K$4="*",N498=Calendar!$K$4)),P498*100+COUNTIFS($P$6:$P$3267,P498,$Q$6:$Q$3267,"&lt;="&amp;Q498,$N$6:$N$3267,Calendar!$K$4),"")</f>
        <v/>
      </c>
      <c r="W498" s="47">
        <f>IF(AND(B498=Queue!$C$4,OR(Queue!$K$4="*",N498=Queue!$K$4)),Q498,"")</f>
        <v/>
      </c>
    </row>
    <row r="499">
      <c r="A499" s="38">
        <f>IF(M499="","",HYPERLINK("https://www.youtube.com/watch?v="&amp;M499,"▶"))</f>
        <v/>
      </c>
      <c r="B499" s="39">
        <f>IF(C499&lt;&gt;"",C499,IF(P499&lt;=IFERROR(INDEX(tblChannels[Watched Through],MATCH(N499,tblChannels[Channel ID],0)),0),"Watched","Unwatched"))</f>
        <v/>
      </c>
      <c r="C499" s="40" t="n"/>
      <c r="D499" s="41" t="n"/>
      <c r="E499" s="42" t="n">
        <v>45611.41666666666</v>
      </c>
      <c r="F499" s="43" t="inlineStr">
        <is>
          <t>Popcorn Culture</t>
        </is>
      </c>
      <c r="G499" t="inlineStr">
        <is>
          <t>The Way in Which You Hobby | Popcorn Culture</t>
        </is>
      </c>
      <c r="H499" s="44" t="n">
        <v>0.04256944444444444</v>
      </c>
      <c r="I499" s="45" t="n">
        <v>3723</v>
      </c>
      <c r="J499" s="45" t="n">
        <v>189</v>
      </c>
      <c r="K499" s="45" t="n">
        <v>20</v>
      </c>
      <c r="L499" s="46" t="n"/>
      <c r="M499" s="47" t="n"/>
      <c r="N499" s="47" t="inlineStr">
        <is>
          <t>UCHfIbq9thHPC8yrKjAdJgDA</t>
        </is>
      </c>
      <c r="O499" s="48" t="n">
        <v>45611.625</v>
      </c>
      <c r="P499" s="49" t="n">
        <v>45611</v>
      </c>
      <c r="Q499" s="47" t="n">
        <v>2769</v>
      </c>
      <c r="R499" s="47" t="inlineStr">
        <is>
          <t>No Video ID yet</t>
        </is>
      </c>
      <c r="S499" s="49" t="n"/>
      <c r="T499" s="49" t="n"/>
      <c r="U499" s="47" t="inlineStr">
        <is>
          <t>In the 258th episode of the Pop, Ben and J discuss dentists, tailgating, how small the mustache community is, running out of room for the Pluto Pins, and planting garlic. Show Notes Pop Pop Duck Duck Tshirt - A Day Full of Whimsy Anti-Dentite Sweet November Rain 00:00 - Intro, Spider Watchers 03:47 - Whimsy and Not Whimsy 11:09 - Tailgating and Mustaches 32:49 - Pluto Pins 54:44 - More Gardening Updates</t>
        </is>
      </c>
      <c r="V499" s="47">
        <f>IF(AND(P499&gt;=Calendar!$K$2,P499&lt;EDATE(Calendar!$K$2,1),OR(Calendar!$K$4="*",N499=Calendar!$K$4)),P499*100+COUNTIFS($P$6:$P$3267,P499,$Q$6:$Q$3267,"&lt;="&amp;Q499,$N$6:$N$3267,Calendar!$K$4),"")</f>
        <v/>
      </c>
      <c r="W499" s="47">
        <f>IF(AND(B499=Queue!$C$4,OR(Queue!$K$4="*",N499=Queue!$K$4)),Q499,"")</f>
        <v/>
      </c>
    </row>
    <row r="500">
      <c r="A500" s="38">
        <f>IF(M500="","",HYPERLINK("https://www.youtube.com/watch?v="&amp;M500,"▶"))</f>
        <v/>
      </c>
      <c r="B500" s="39">
        <f>IF(C500&lt;&gt;"",C500,IF(P500&lt;=IFERROR(INDEX(tblChannels[Watched Through],MATCH(N500,tblChannels[Channel ID],0)),0),"Watched","Unwatched"))</f>
        <v/>
      </c>
      <c r="C500" s="40" t="n"/>
      <c r="D500" s="41" t="n"/>
      <c r="E500" s="42" t="n">
        <v>45609.67361111111</v>
      </c>
      <c r="F500" s="50" t="inlineStr">
        <is>
          <t>Super Carlin Brothers</t>
        </is>
      </c>
      <c r="G500" t="inlineStr">
        <is>
          <t>A SCATHING REVIEW of Hagrid | Harry Potter Film Theory</t>
        </is>
      </c>
      <c r="H500" s="44" t="n">
        <v>0.0105787037037037</v>
      </c>
      <c r="I500" s="45" t="n">
        <v>107633</v>
      </c>
      <c r="J500" s="45" t="n">
        <v>4963</v>
      </c>
      <c r="K500" s="45" t="n">
        <v>727</v>
      </c>
      <c r="L500" s="46" t="n"/>
      <c r="M500" s="47" t="n"/>
      <c r="N500" s="47" t="inlineStr">
        <is>
          <t>UCKZo4N0lVPccBkSiuyVh4yg</t>
        </is>
      </c>
      <c r="O500" s="48" t="n">
        <v>45609.88194444445</v>
      </c>
      <c r="P500" s="49" t="n">
        <v>45609</v>
      </c>
      <c r="Q500" s="47" t="n">
        <v>2768</v>
      </c>
      <c r="R500" s="47" t="inlineStr">
        <is>
          <t>No Video ID yet</t>
        </is>
      </c>
      <c r="S500" s="49" t="n"/>
      <c r="T500" s="49" t="n"/>
      <c r="U500" s="47" t="inlineStr">
        <is>
          <t>Go to and use code SUPER to get 20% off your first order and free shipping. Today J dives into the Wizarding World of Harry Potter to give a SCATHING review of Rubeus Hagrid, Keeper of Keys and Grounds at Hogwarts. We all know Hagrid has his heart in the right place.. But that doesn’t stop him from continuously making horrible decisions one after the other. Through The Griffin Door MUG ::</t>
        </is>
      </c>
      <c r="V500" s="47">
        <f>IF(AND(P500&gt;=Calendar!$K$2,P500&lt;EDATE(Calendar!$K$2,1),OR(Calendar!$K$4="*",N500=Calendar!$K$4)),P500*100+COUNTIFS($P$6:$P$3267,P500,$Q$6:$Q$3267,"&lt;="&amp;Q500,$N$6:$N$3267,Calendar!$K$4),"")</f>
        <v/>
      </c>
      <c r="W500" s="47">
        <f>IF(AND(B500=Queue!$C$4,OR(Queue!$K$4="*",N500=Queue!$K$4)),Q500,"")</f>
        <v/>
      </c>
    </row>
    <row r="501">
      <c r="A501" s="38">
        <f>IF(M501="","",HYPERLINK("https://www.youtube.com/watch?v="&amp;M501,"▶"))</f>
        <v/>
      </c>
      <c r="B501" s="39">
        <f>IF(C501&lt;&gt;"",C501,IF(P501&lt;=IFERROR(INDEX(tblChannels[Watched Through],MATCH(N501,tblChannels[Channel ID],0)),0),"Watched","Unwatched"))</f>
        <v/>
      </c>
      <c r="C501" s="40" t="n"/>
      <c r="D501" s="41" t="n"/>
      <c r="E501" s="42" t="n">
        <v>45606.41666666666</v>
      </c>
      <c r="F501" s="51" t="inlineStr">
        <is>
          <t>Through The Griffin Door</t>
        </is>
      </c>
      <c r="G501" t="inlineStr">
        <is>
          <t>Dumbeldore’s Big Plan: Prisoner of Azkaban Edition</t>
        </is>
      </c>
      <c r="H501" s="44" t="n">
        <v>0.04856481481481482</v>
      </c>
      <c r="I501" s="45" t="n">
        <v>44804</v>
      </c>
      <c r="J501" s="45" t="n">
        <v>1361</v>
      </c>
      <c r="K501" s="45" t="n">
        <v>305</v>
      </c>
      <c r="L501" s="46" t="n"/>
      <c r="M501" s="47" t="n"/>
      <c r="N501" s="47" t="inlineStr">
        <is>
          <t>UCEscP6ETYXWSSvsNrDHekMQ</t>
        </is>
      </c>
      <c r="O501" s="48" t="n">
        <v>45606.625</v>
      </c>
      <c r="P501" s="49" t="n">
        <v>45606</v>
      </c>
      <c r="Q501" s="47" t="n">
        <v>2767</v>
      </c>
      <c r="R501" s="47" t="inlineStr">
        <is>
          <t>No Video ID yet</t>
        </is>
      </c>
      <c r="S501" s="49" t="n"/>
      <c r="T501" s="49" t="n"/>
      <c r="U501" s="47" t="inlineStr">
        <is>
          <t>Join J and Ben as they dive into how Dumbledore’s Big Plan fits into the Prisoner of Azkaban</t>
        </is>
      </c>
      <c r="V501" s="47">
        <f>IF(AND(P501&gt;=Calendar!$K$2,P501&lt;EDATE(Calendar!$K$2,1),OR(Calendar!$K$4="*",N501=Calendar!$K$4)),P501*100+COUNTIFS($P$6:$P$3267,P501,$Q$6:$Q$3267,"&lt;="&amp;Q501,$N$6:$N$3267,Calendar!$K$4),"")</f>
        <v/>
      </c>
      <c r="W501" s="47">
        <f>IF(AND(B501=Queue!$C$4,OR(Queue!$K$4="*",N501=Queue!$K$4)),Q501,"")</f>
        <v/>
      </c>
    </row>
    <row r="502">
      <c r="A502" s="38">
        <f>IF(M502="","",HYPERLINK("https://www.youtube.com/watch?v="&amp;M502,"▶"))</f>
        <v/>
      </c>
      <c r="B502" s="39">
        <f>IF(C502&lt;&gt;"",C502,IF(P502&lt;=IFERROR(INDEX(tblChannels[Watched Through],MATCH(N502,tblChannels[Channel ID],0)),0),"Watched","Unwatched"))</f>
        <v/>
      </c>
      <c r="C502" s="40" t="n"/>
      <c r="D502" s="41" t="n"/>
      <c r="E502" s="42" t="n">
        <v>45605.41666666666</v>
      </c>
      <c r="F502" s="50" t="inlineStr">
        <is>
          <t>Super Carlin Brothers</t>
        </is>
      </c>
      <c r="G502" t="inlineStr">
        <is>
          <t>Through the Griffin Door Supercut: Prisoner of Azkaban Chapters 20-22</t>
        </is>
      </c>
      <c r="H502" s="44" t="n">
        <v>0.208587962962963</v>
      </c>
      <c r="I502" s="45" t="n">
        <v>23416</v>
      </c>
      <c r="J502" s="45" t="n">
        <v>362</v>
      </c>
      <c r="K502" s="45" t="n">
        <v>93</v>
      </c>
      <c r="L502" s="46" t="n"/>
      <c r="M502" s="47" t="n"/>
      <c r="N502" s="47" t="inlineStr">
        <is>
          <t>UCKZo4N0lVPccBkSiuyVh4yg</t>
        </is>
      </c>
      <c r="O502" s="48" t="n">
        <v>45605.625</v>
      </c>
      <c r="P502" s="49" t="n">
        <v>45605</v>
      </c>
      <c r="Q502" s="47" t="n">
        <v>2766</v>
      </c>
      <c r="R502" s="47" t="inlineStr">
        <is>
          <t>No Video ID yet</t>
        </is>
      </c>
      <c r="S502" s="49" t="n"/>
      <c r="T502" s="49" t="n"/>
      <c r="U502" s="47" t="inlineStr">
        <is>
          <t>00:00:00 - Chapter 20: The Dementor's Kiss 01:15:26 - Chapter 21: Hermione's Secret 03:05:56 - Chapter 22: Owl Post Again</t>
        </is>
      </c>
      <c r="V502" s="47">
        <f>IF(AND(P502&gt;=Calendar!$K$2,P502&lt;EDATE(Calendar!$K$2,1),OR(Calendar!$K$4="*",N502=Calendar!$K$4)),P502*100+COUNTIFS($P$6:$P$3267,P502,$Q$6:$Q$3267,"&lt;="&amp;Q502,$N$6:$N$3267,Calendar!$K$4),"")</f>
        <v/>
      </c>
      <c r="W502" s="47">
        <f>IF(AND(B502=Queue!$C$4,OR(Queue!$K$4="*",N502=Queue!$K$4)),Q502,"")</f>
        <v/>
      </c>
    </row>
    <row r="503">
      <c r="A503" s="38">
        <f>IF(M503="","",HYPERLINK("https://www.youtube.com/watch?v="&amp;M503,"▶"))</f>
        <v/>
      </c>
      <c r="B503" s="39">
        <f>IF(C503&lt;&gt;"",C503,IF(P503&lt;=IFERROR(INDEX(tblChannels[Watched Through],MATCH(N503,tblChannels[Channel ID],0)),0),"Watched","Unwatched"))</f>
        <v/>
      </c>
      <c r="C503" s="40" t="n"/>
      <c r="D503" s="41" t="n"/>
      <c r="E503" s="42" t="n">
        <v>45604.85069444445</v>
      </c>
      <c r="F503" s="50" t="inlineStr">
        <is>
          <t>Super Carlin Brothers</t>
        </is>
      </c>
      <c r="G503" t="inlineStr">
        <is>
          <t>HARRY POTTER TRIVIA NIGHT! - Nov. 8, 2024</t>
        </is>
      </c>
      <c r="H503" s="44" t="n">
        <v>0.08980324074074074</v>
      </c>
      <c r="I503" s="45" t="n">
        <v>34387</v>
      </c>
      <c r="J503" s="45" t="n">
        <v>1051</v>
      </c>
      <c r="K503" s="45" t="n">
        <v>60</v>
      </c>
      <c r="L503" s="46" t="n"/>
      <c r="M503" s="47" t="n"/>
      <c r="N503" s="47" t="inlineStr">
        <is>
          <t>UCKZo4N0lVPccBkSiuyVh4yg</t>
        </is>
      </c>
      <c r="O503" s="48" t="n">
        <v>45605.05902777778</v>
      </c>
      <c r="P503" s="49" t="n">
        <v>45604</v>
      </c>
      <c r="Q503" s="47" t="n">
        <v>2765</v>
      </c>
      <c r="R503" s="47" t="inlineStr">
        <is>
          <t>No Video ID yet</t>
        </is>
      </c>
      <c r="S503" s="49" t="n"/>
      <c r="T503" s="49" t="n"/>
      <c r="U503" s="47" t="inlineStr">
        <is>
          <t>TTGD MUGS AVAILABLE NOW WHILE SUPPLIES LAST: Play along at OR by downloading the kahoot app</t>
        </is>
      </c>
      <c r="V503" s="47">
        <f>IF(AND(P503&gt;=Calendar!$K$2,P503&lt;EDATE(Calendar!$K$2,1),OR(Calendar!$K$4="*",N503=Calendar!$K$4)),P503*100+COUNTIFS($P$6:$P$3267,P503,$Q$6:$Q$3267,"&lt;="&amp;Q503,$N$6:$N$3267,Calendar!$K$4),"")</f>
        <v/>
      </c>
      <c r="W503" s="47">
        <f>IF(AND(B503=Queue!$C$4,OR(Queue!$K$4="*",N503=Queue!$K$4)),Q503,"")</f>
        <v/>
      </c>
    </row>
    <row r="504">
      <c r="A504" s="38">
        <f>IF(M504="","",HYPERLINK("https://www.youtube.com/watch?v="&amp;M504,"▶"))</f>
        <v/>
      </c>
      <c r="B504" s="39">
        <f>IF(C504&lt;&gt;"",C504,IF(P504&lt;=IFERROR(INDEX(tblChannels[Watched Through],MATCH(N504,tblChannels[Channel ID],0)),0),"Watched","Unwatched"))</f>
        <v/>
      </c>
      <c r="C504" s="40" t="n"/>
      <c r="D504" s="41" t="n"/>
      <c r="E504" s="42" t="n">
        <v>45604.72708333333</v>
      </c>
      <c r="F504" s="50" t="inlineStr">
        <is>
          <t>Super Carlin Brothers</t>
        </is>
      </c>
      <c r="G504" t="inlineStr">
        <is>
          <t>The Slytherin PARADOX Explained | Harry Potter Film Theory</t>
        </is>
      </c>
      <c r="H504" s="44" t="n">
        <v>0.01217592592592593</v>
      </c>
      <c r="I504" s="45" t="n">
        <v>440168</v>
      </c>
      <c r="J504" s="45" t="n">
        <v>14334</v>
      </c>
      <c r="K504" s="45" t="n">
        <v>2108</v>
      </c>
      <c r="L504" s="46" t="n"/>
      <c r="M504" s="47" t="n"/>
      <c r="N504" s="47" t="inlineStr">
        <is>
          <t>UCKZo4N0lVPccBkSiuyVh4yg</t>
        </is>
      </c>
      <c r="O504" s="48" t="n">
        <v>45604.93541666667</v>
      </c>
      <c r="P504" s="49" t="n">
        <v>45604</v>
      </c>
      <c r="Q504" s="47" t="n">
        <v>2764</v>
      </c>
      <c r="R504" s="47" t="inlineStr">
        <is>
          <t>No Video ID yet</t>
        </is>
      </c>
      <c r="S504" s="49" t="n"/>
      <c r="T504" s="49" t="n"/>
      <c r="U504" s="47" t="inlineStr">
        <is>
          <t>Today J dives into the Wizarding World of Harry Potter to explain the history of Slytherin House here in the real world. How the house was rebranded and what he calls “The Slytherin Paradox.” Gemma Farley Voice :: Isybelle Christley</t>
        </is>
      </c>
      <c r="V504" s="47">
        <f>IF(AND(P504&gt;=Calendar!$K$2,P504&lt;EDATE(Calendar!$K$2,1),OR(Calendar!$K$4="*",N504=Calendar!$K$4)),P504*100+COUNTIFS($P$6:$P$3267,P504,$Q$6:$Q$3267,"&lt;="&amp;Q504,$N$6:$N$3267,Calendar!$K$4),"")</f>
        <v/>
      </c>
      <c r="W504" s="47">
        <f>IF(AND(B504=Queue!$C$4,OR(Queue!$K$4="*",N504=Queue!$K$4)),Q504,"")</f>
        <v/>
      </c>
    </row>
    <row r="505">
      <c r="A505" s="38">
        <f>IF(M505="","",HYPERLINK("https://www.youtube.com/watch?v="&amp;M505,"▶"))</f>
        <v/>
      </c>
      <c r="B505" s="39">
        <f>IF(C505&lt;&gt;"",C505,IF(P505&lt;=IFERROR(INDEX(tblChannels[Watched Through],MATCH(N505,tblChannels[Channel ID],0)),0),"Watched","Unwatched"))</f>
        <v/>
      </c>
      <c r="C505" s="40" t="n"/>
      <c r="D505" s="41" t="n"/>
      <c r="E505" s="42" t="n">
        <v>45604.41666666666</v>
      </c>
      <c r="F505" s="43" t="inlineStr">
        <is>
          <t>Popcorn Culture</t>
        </is>
      </c>
      <c r="G505" t="inlineStr">
        <is>
          <t>The Banana King of Reddit | Popcorn Culture</t>
        </is>
      </c>
      <c r="H505" s="44" t="n">
        <v>0.05616898148148148</v>
      </c>
      <c r="I505" s="45" t="n">
        <v>3856</v>
      </c>
      <c r="J505" s="45" t="n">
        <v>172</v>
      </c>
      <c r="K505" s="45" t="n">
        <v>41</v>
      </c>
      <c r="L505" s="46" t="n"/>
      <c r="M505" s="47" t="n"/>
      <c r="N505" s="47" t="inlineStr">
        <is>
          <t>UCHfIbq9thHPC8yrKjAdJgDA</t>
        </is>
      </c>
      <c r="O505" s="48" t="n">
        <v>45604.625</v>
      </c>
      <c r="P505" s="49" t="n">
        <v>45604</v>
      </c>
      <c r="Q505" s="47" t="n">
        <v>2763</v>
      </c>
      <c r="R505" s="47" t="inlineStr">
        <is>
          <t>No Video ID yet</t>
        </is>
      </c>
      <c r="S505" s="49" t="n"/>
      <c r="T505" s="49" t="n"/>
      <c r="U505" s="47" t="inlineStr">
        <is>
          <t>In the 257th episode of the Pop, Ben and J discuss being distracted, trash, H, Reddit, bananas, and how awful Great Wolf Lodge is. Show Notes Ben’s Banana post - *Sad Trombone Noises* Mostly Bags of Trash If I’m Being H A Scathing Review of Great Wolf Lodge 00:00 - Intro, Stress and Trash 28:24 - Roasting Great Wolf Lodge</t>
        </is>
      </c>
      <c r="V505" s="47">
        <f>IF(AND(P505&gt;=Calendar!$K$2,P505&lt;EDATE(Calendar!$K$2,1),OR(Calendar!$K$4="*",N505=Calendar!$K$4)),P505*100+COUNTIFS($P$6:$P$3267,P505,$Q$6:$Q$3267,"&lt;="&amp;Q505,$N$6:$N$3267,Calendar!$K$4),"")</f>
        <v/>
      </c>
      <c r="W505" s="47">
        <f>IF(AND(B505=Queue!$C$4,OR(Queue!$K$4="*",N505=Queue!$K$4)),Q505,"")</f>
        <v/>
      </c>
    </row>
    <row r="506">
      <c r="A506" s="38">
        <f>IF(M506="","",HYPERLINK("https://www.youtube.com/watch?v="&amp;M506,"▶"))</f>
        <v/>
      </c>
      <c r="B506" s="39">
        <f>IF(C506&lt;&gt;"",C506,IF(P506&lt;=IFERROR(INDEX(tblChannels[Watched Through],MATCH(N506,tblChannels[Channel ID],0)),0),"Watched","Unwatched"))</f>
        <v/>
      </c>
      <c r="C506" s="40" t="n"/>
      <c r="D506" s="41" t="n"/>
      <c r="E506" s="42" t="n">
        <v>45602.74097222222</v>
      </c>
      <c r="F506" s="50" t="inlineStr">
        <is>
          <t>Super Carlin Brothers</t>
        </is>
      </c>
      <c r="G506" t="inlineStr">
        <is>
          <t>J Vs Ben: HARDEST Ginny Weasley Harry Potter Trivia BATTLE</t>
        </is>
      </c>
      <c r="H506" s="44" t="n">
        <v>0.02853009259259259</v>
      </c>
      <c r="I506" s="45" t="n">
        <v>91714</v>
      </c>
      <c r="J506" s="45" t="n">
        <v>3815</v>
      </c>
      <c r="K506" s="45" t="n">
        <v>501</v>
      </c>
      <c r="L506" s="46" t="n"/>
      <c r="M506" s="47" t="n"/>
      <c r="N506" s="47" t="inlineStr">
        <is>
          <t>UCKZo4N0lVPccBkSiuyVh4yg</t>
        </is>
      </c>
      <c r="O506" s="48" t="n">
        <v>45602.94930555556</v>
      </c>
      <c r="P506" s="49" t="n">
        <v>45602</v>
      </c>
      <c r="Q506" s="47" t="n">
        <v>2762</v>
      </c>
      <c r="R506" s="47" t="inlineStr">
        <is>
          <t>No Video ID yet</t>
        </is>
      </c>
      <c r="S506" s="49" t="n"/>
      <c r="T506" s="49" t="n"/>
      <c r="U506" s="47" t="inlineStr">
        <is>
          <t>Go to to cancel your unwanted subscriptions with Rocket Money. The fastest card game in the Multiverse. Visit to make a new deck and try MARVEL SNAP for free on Steam, IOS or Android! Today J and Ben face off once more to find out who knows the most about the shoe-lace tying, cookie feeding youngest sibling of the Weasley Family: Ginevra Molly "Ginny" Potter (née Weasley) J's War Machine Deck: # (1) Ghost-Spider # (1) Iron Fist # (1) Ebony Maw # (2) Dagger # (2) Madame Web # (3) Cosmo # (3) Vulture # (4) Storm # (4) War Machine # (5) Legion # (6) Alioth # (6) The Infinaut # QWx0aDYsQ3NtNSxEZ2dyNixFYm5NdzgsR2hzdFNwZHJCLEluZm50OCxMZ242LE1kbVdiOSxTdHJtNSxWbHRyNyxXck1jaG5BLElybkZzdDg= # # To use this deck, copy it to your clipboard and paste it from the deck editing menu in MARVEL SNAP.</t>
        </is>
      </c>
      <c r="V506" s="47">
        <f>IF(AND(P506&gt;=Calendar!$K$2,P506&lt;EDATE(Calendar!$K$2,1),OR(Calendar!$K$4="*",N506=Calendar!$K$4)),P506*100+COUNTIFS($P$6:$P$3267,P506,$Q$6:$Q$3267,"&lt;="&amp;Q506,$N$6:$N$3267,Calendar!$K$4),"")</f>
        <v/>
      </c>
      <c r="W506" s="47">
        <f>IF(AND(B506=Queue!$C$4,OR(Queue!$K$4="*",N506=Queue!$K$4)),Q506,"")</f>
        <v/>
      </c>
    </row>
    <row r="507">
      <c r="A507" s="38">
        <f>IF(M507="","",HYPERLINK("https://www.youtube.com/watch?v="&amp;M507,"▶"))</f>
        <v/>
      </c>
      <c r="B507" s="39">
        <f>IF(C507&lt;&gt;"",C507,IF(P507&lt;=IFERROR(INDEX(tblChannels[Watched Through],MATCH(N507,tblChannels[Channel ID],0)),0),"Watched","Unwatched"))</f>
        <v/>
      </c>
      <c r="C507" s="40" t="n"/>
      <c r="D507" s="41" t="n"/>
      <c r="E507" s="42" t="n">
        <v>45599.41666666666</v>
      </c>
      <c r="F507" s="51" t="inlineStr">
        <is>
          <t>Through The Griffin Door</t>
        </is>
      </c>
      <c r="G507" t="inlineStr">
        <is>
          <t>Chapter 22: Owl Post Again | Prisoner of Azkaban</t>
        </is>
      </c>
      <c r="H507" s="44" t="n">
        <v>0.08111111111111111</v>
      </c>
      <c r="I507" s="45" t="n">
        <v>76753</v>
      </c>
      <c r="J507" s="45" t="n">
        <v>1999</v>
      </c>
      <c r="K507" s="45" t="n">
        <v>699</v>
      </c>
      <c r="L507" s="46" t="n"/>
      <c r="M507" s="47" t="n"/>
      <c r="N507" s="47" t="inlineStr">
        <is>
          <t>UCEscP6ETYXWSSvsNrDHekMQ</t>
        </is>
      </c>
      <c r="O507" s="48" t="n">
        <v>45599.625</v>
      </c>
      <c r="P507" s="49" t="n">
        <v>45599</v>
      </c>
      <c r="Q507" s="47" t="n">
        <v>2761</v>
      </c>
      <c r="R507" s="47" t="inlineStr">
        <is>
          <t>No Video ID yet</t>
        </is>
      </c>
      <c r="S507" s="49" t="n"/>
      <c r="T507" s="49" t="n"/>
      <c r="U507" s="47" t="inlineStr">
        <is>
          <t>Join J and Ben as they dive into Chapter 22 of the Prisoner of Azkaban and discuss getting back to the hospital wing, Dumbledore’s mischief, Hagrid being happy, lycanthropy, Lupin leaving, telling Dumbledore about Trelawney’s prophecy, more time travel details, Dumbledore’s lessons, returning to the Dursleys, and Sirius’s letter. Death Is A DEMENTOR - What if Ron Was in Hufflepuff (Part 1) - Trelawney's Actually ALWAYS Right? - How Time Travel ACTUALLY Works in Harry Potter - 07:17 - Chapter Breakdown 1:19:02 - Closing Thoughts and Review</t>
        </is>
      </c>
      <c r="V507" s="47">
        <f>IF(AND(P507&gt;=Calendar!$K$2,P507&lt;EDATE(Calendar!$K$2,1),OR(Calendar!$K$4="*",N507=Calendar!$K$4)),P507*100+COUNTIFS($P$6:$P$3267,P507,$Q$6:$Q$3267,"&lt;="&amp;Q507,$N$6:$N$3267,Calendar!$K$4),"")</f>
        <v/>
      </c>
      <c r="W507" s="47">
        <f>IF(AND(B507=Queue!$C$4,OR(Queue!$K$4="*",N507=Queue!$K$4)),Q507,"")</f>
        <v/>
      </c>
    </row>
    <row r="508">
      <c r="A508" s="38">
        <f>IF(M508="","",HYPERLINK("https://www.youtube.com/watch?v="&amp;M508,"▶"))</f>
        <v/>
      </c>
      <c r="B508" s="39">
        <f>IF(C508&lt;&gt;"",C508,IF(P508&lt;=IFERROR(INDEX(tblChannels[Watched Through],MATCH(N508,tblChannels[Channel ID],0)),0),"Watched","Unwatched"))</f>
        <v/>
      </c>
      <c r="C508" s="40" t="n"/>
      <c r="D508" s="41" t="n"/>
      <c r="E508" s="42" t="n">
        <v>45597.67430555556</v>
      </c>
      <c r="F508" s="50" t="inlineStr">
        <is>
          <t>Super Carlin Brothers</t>
        </is>
      </c>
      <c r="G508" t="inlineStr">
        <is>
          <t>What If Ron Was In Hufflepuff - The Ring and The Cup | Harry Potter Film Theory</t>
        </is>
      </c>
      <c r="H508" s="44" t="n">
        <v>0.01434027777777778</v>
      </c>
      <c r="I508" s="45" t="n">
        <v>91545</v>
      </c>
      <c r="J508" s="45" t="n">
        <v>4647</v>
      </c>
      <c r="K508" s="45" t="n">
        <v>526</v>
      </c>
      <c r="L508" s="46" t="n"/>
      <c r="M508" s="47" t="n"/>
      <c r="N508" s="47" t="inlineStr">
        <is>
          <t>UCKZo4N0lVPccBkSiuyVh4yg</t>
        </is>
      </c>
      <c r="O508" s="48" t="n">
        <v>45597.84097222222</v>
      </c>
      <c r="P508" s="49" t="n">
        <v>45597</v>
      </c>
      <c r="Q508" s="47" t="n">
        <v>2760</v>
      </c>
      <c r="R508" s="47" t="inlineStr">
        <is>
          <t>No Video ID yet</t>
        </is>
      </c>
      <c r="S508" s="49" t="n"/>
      <c r="T508" s="49" t="n"/>
      <c r="U508" s="47" t="inlineStr">
        <is>
          <t>Go to to get 15% off your next gift. Today Ben returns to the What if World of Ron in Hufflepuff to find out what happens after Ron returns from the maze with the dead body of Lucius Malfoy and proof that Voldemort is back! How does the ministry realizing this change things? How many Death Eaters if Voldemort left with? How will Dumbledore track down the Horcruxes, and will Ron get to come too?</t>
        </is>
      </c>
      <c r="V508" s="47">
        <f>IF(AND(P508&gt;=Calendar!$K$2,P508&lt;EDATE(Calendar!$K$2,1),OR(Calendar!$K$4="*",N508=Calendar!$K$4)),P508*100+COUNTIFS($P$6:$P$3267,P508,$Q$6:$Q$3267,"&lt;="&amp;Q508,$N$6:$N$3267,Calendar!$K$4),"")</f>
        <v/>
      </c>
      <c r="W508" s="47">
        <f>IF(AND(B508=Queue!$C$4,OR(Queue!$K$4="*",N508=Queue!$K$4)),Q508,"")</f>
        <v/>
      </c>
    </row>
    <row r="509">
      <c r="A509" s="38">
        <f>IF(M509="","",HYPERLINK("https://www.youtube.com/watch?v="&amp;M509,"▶"))</f>
        <v/>
      </c>
      <c r="B509" s="39">
        <f>IF(C509&lt;&gt;"",C509,IF(P509&lt;=IFERROR(INDEX(tblChannels[Watched Through],MATCH(N509,tblChannels[Channel ID],0)),0),"Watched","Unwatched"))</f>
        <v/>
      </c>
      <c r="C509" s="40" t="n"/>
      <c r="D509" s="41" t="n"/>
      <c r="E509" s="42" t="n">
        <v>45597.41666666666</v>
      </c>
      <c r="F509" s="43" t="inlineStr">
        <is>
          <t>Popcorn Culture</t>
        </is>
      </c>
      <c r="G509" t="inlineStr">
        <is>
          <t>Post-Spoop Week | Popcorn Culture</t>
        </is>
      </c>
      <c r="H509" s="44" t="n">
        <v>0.04510416666666667</v>
      </c>
      <c r="I509" s="45" t="n">
        <v>3266</v>
      </c>
      <c r="J509" s="45" t="n">
        <v>176</v>
      </c>
      <c r="K509" s="45" t="n">
        <v>19</v>
      </c>
      <c r="L509" s="46" t="n"/>
      <c r="M509" s="47" t="n"/>
      <c r="N509" s="47" t="inlineStr">
        <is>
          <t>UCHfIbq9thHPC8yrKjAdJgDA</t>
        </is>
      </c>
      <c r="O509" s="48" t="n">
        <v>45597.58333333334</v>
      </c>
      <c r="P509" s="49" t="n">
        <v>45597</v>
      </c>
      <c r="Q509" s="47" t="n">
        <v>2759</v>
      </c>
      <c r="R509" s="47" t="inlineStr">
        <is>
          <t>No Video ID yet</t>
        </is>
      </c>
      <c r="S509" s="49" t="n"/>
      <c r="T509" s="49" t="n"/>
      <c r="U509" s="47" t="inlineStr">
        <is>
          <t>In the 256th episode of the Pop, Ben and J discuss a crazy Hail Mary, figuring out what you want to do, anticipatory travel, and big life goals. Post-Spoop Week Importance of Exploration</t>
        </is>
      </c>
      <c r="V509" s="47">
        <f>IF(AND(P509&gt;=Calendar!$K$2,P509&lt;EDATE(Calendar!$K$2,1),OR(Calendar!$K$4="*",N509=Calendar!$K$4)),P509*100+COUNTIFS($P$6:$P$3267,P509,$Q$6:$Q$3267,"&lt;="&amp;Q509,$N$6:$N$3267,Calendar!$K$4),"")</f>
        <v/>
      </c>
      <c r="W509" s="47">
        <f>IF(AND(B509=Queue!$C$4,OR(Queue!$K$4="*",N509=Queue!$K$4)),Q509,"")</f>
        <v/>
      </c>
    </row>
    <row r="510">
      <c r="A510" s="38">
        <f>IF(M510="","",HYPERLINK("https://www.youtube.com/watch?v="&amp;M510,"▶"))</f>
        <v/>
      </c>
      <c r="B510" s="39">
        <f>IF(C510&lt;&gt;"",C510,IF(P510&lt;=IFERROR(INDEX(tblChannels[Watched Through],MATCH(N510,tblChannels[Channel ID],0)),0),"Watched","Unwatched"))</f>
        <v/>
      </c>
      <c r="C510" s="40" t="n"/>
      <c r="D510" s="41" t="n"/>
      <c r="E510" s="42" t="n">
        <v>45596.70833333334</v>
      </c>
      <c r="F510" s="51" t="inlineStr">
        <is>
          <t>Through The Griffin Door</t>
        </is>
      </c>
      <c r="G510" t="inlineStr">
        <is>
          <t>Live In Berkeley - Chapter 21: Hermione's Secret | Prisoner of Azkaban</t>
        </is>
      </c>
      <c r="H510" s="44" t="n">
        <v>0.06121527777777778</v>
      </c>
      <c r="I510" s="45" t="n">
        <v>13647</v>
      </c>
      <c r="J510" s="45" t="n">
        <v>536</v>
      </c>
      <c r="K510" s="45" t="n">
        <v>92</v>
      </c>
      <c r="L510" s="46" t="n"/>
      <c r="M510" s="47" t="n"/>
      <c r="N510" s="47" t="inlineStr">
        <is>
          <t>UCEscP6ETYXWSSvsNrDHekMQ</t>
        </is>
      </c>
      <c r="O510" s="48" t="n">
        <v>45596.875</v>
      </c>
      <c r="P510" s="49" t="n">
        <v>45596</v>
      </c>
      <c r="Q510" s="47" t="n">
        <v>2758</v>
      </c>
      <c r="R510" s="47" t="inlineStr">
        <is>
          <t>No Video ID yet</t>
        </is>
      </c>
      <c r="S510" s="49" t="n"/>
      <c r="T510" s="49" t="n"/>
      <c r="U510" s="47" t="inlineStr">
        <is>
          <t>Join J and Ben as they dive BACK into Chapter 21 of the Prisoner of Azkaban (in BERKELEY!!!) and discuss why Harry can't go grab the cloak, why Harry can't free buckbeak, why Harry can't stop Snape from going into the Shrieking Shack, and why Dumbledore thinks brandy and tea are the same category of beverage. Do YOU want to see us LIVE? We're going back on tour! Tickets are ON SALE NOW for the Southeast leg of Through the Griffin TOUR!!!</t>
        </is>
      </c>
      <c r="V510" s="47">
        <f>IF(AND(P510&gt;=Calendar!$K$2,P510&lt;EDATE(Calendar!$K$2,1),OR(Calendar!$K$4="*",N510=Calendar!$K$4)),P510*100+COUNTIFS($P$6:$P$3267,P510,$Q$6:$Q$3267,"&lt;="&amp;Q510,$N$6:$N$3267,Calendar!$K$4),"")</f>
        <v/>
      </c>
      <c r="W510" s="47">
        <f>IF(AND(B510=Queue!$C$4,OR(Queue!$K$4="*",N510=Queue!$K$4)),Q510,"")</f>
        <v/>
      </c>
    </row>
    <row r="511">
      <c r="A511" s="38">
        <f>IF(M511="","",HYPERLINK("https://www.youtube.com/watch?v="&amp;M511,"▶"))</f>
        <v/>
      </c>
      <c r="B511" s="39">
        <f>IF(C511&lt;&gt;"",C511,IF(P511&lt;=IFERROR(INDEX(tblChannels[Watched Through],MATCH(N511,tblChannels[Channel ID],0)),0),"Watched","Unwatched"))</f>
        <v/>
      </c>
      <c r="C511" s="40" t="n"/>
      <c r="D511" s="41" t="n"/>
      <c r="E511" s="42" t="n">
        <v>45595.74236111111</v>
      </c>
      <c r="F511" s="50" t="inlineStr">
        <is>
          <t>Super Carlin Brothers</t>
        </is>
      </c>
      <c r="G511" t="inlineStr">
        <is>
          <t>How Time Travel ACTUALLY Works in Harry Potter</t>
        </is>
      </c>
      <c r="H511" s="44" t="n">
        <v>0.01216435185185185</v>
      </c>
      <c r="I511" s="45" t="n">
        <v>110165</v>
      </c>
      <c r="J511" s="45" t="n">
        <v>5334</v>
      </c>
      <c r="K511" s="45" t="n">
        <v>799</v>
      </c>
      <c r="L511" s="46" t="n"/>
      <c r="M511" s="47" t="n"/>
      <c r="N511" s="47" t="inlineStr">
        <is>
          <t>UCKZo4N0lVPccBkSiuyVh4yg</t>
        </is>
      </c>
      <c r="O511" s="48" t="n">
        <v>45595.90902777778</v>
      </c>
      <c r="P511" s="49" t="n">
        <v>45595</v>
      </c>
      <c r="Q511" s="47" t="n">
        <v>2757</v>
      </c>
      <c r="R511" s="47" t="inlineStr">
        <is>
          <t>No Video ID yet</t>
        </is>
      </c>
      <c r="S511" s="49" t="n"/>
      <c r="T511" s="49" t="n"/>
      <c r="U511" s="47" t="inlineStr">
        <is>
          <t>The fastest card game in the Multiverse. Visit to make a new deck and try MARVEL SNAP for free on Steam, IOS or Android! Today J dives into the Wizarding World of Harry Potter to explain how Time Travel and Time Turners work. We always say “Whatever happened always happens,” but what does that really mean? Do time turners violate the bootstrap paradox? Does it control your actions? Does it remove free will? J’s Marvel SNAP Deck :: # (1) The Hood # (1) Rocket Raccoon # (1) Silver Sable # (1) Iceman # (1) Nico Minoru # (2) Toxin # (2) Black Swan # (2) Falcon # (2) Agent Venom # (3) Sage # (3) Hit-Monkey # (3) Beast # U2x2clNibEIsQnN0NSxIZDQsU2c0LFJja3RSY2NuRCxGbGNuNixOY01uckEsQmxja1N3bjksSWNtbjYsVHhuNSxBZ250Vm5tQSxIdE1uazk= # # To use this deck, copy it to your clipboard and paste it from the deck editing menu in MARVEL SNAP.</t>
        </is>
      </c>
      <c r="V511" s="47">
        <f>IF(AND(P511&gt;=Calendar!$K$2,P511&lt;EDATE(Calendar!$K$2,1),OR(Calendar!$K$4="*",N511=Calendar!$K$4)),P511*100+COUNTIFS($P$6:$P$3267,P511,$Q$6:$Q$3267,"&lt;="&amp;Q511,$N$6:$N$3267,Calendar!$K$4),"")</f>
        <v/>
      </c>
      <c r="W511" s="47">
        <f>IF(AND(B511=Queue!$C$4,OR(Queue!$K$4="*",N511=Queue!$K$4)),Q511,"")</f>
        <v/>
      </c>
    </row>
    <row r="512">
      <c r="A512" s="38">
        <f>IF(M512="","",HYPERLINK("https://www.youtube.com/watch?v="&amp;M512,"▶"))</f>
        <v/>
      </c>
      <c r="B512" s="39">
        <f>IF(C512&lt;&gt;"",C512,IF(P512&lt;=IFERROR(INDEX(tblChannels[Watched Through],MATCH(N512,tblChannels[Channel ID],0)),0),"Watched","Unwatched"))</f>
        <v/>
      </c>
      <c r="C512" s="40" t="n"/>
      <c r="D512" s="41" t="n"/>
      <c r="E512" s="42" t="n">
        <v>45592.41666666666</v>
      </c>
      <c r="F512" s="51" t="inlineStr">
        <is>
          <t>Through The Griffin Door</t>
        </is>
      </c>
      <c r="G512" t="inlineStr">
        <is>
          <t>Chapter 21: Hermione’s Secret | Prisoner of Azkaban</t>
        </is>
      </c>
      <c r="H512" s="44" t="n">
        <v>0.07684027777777777</v>
      </c>
      <c r="I512" s="45" t="n">
        <v>68319</v>
      </c>
      <c r="J512" s="45" t="n">
        <v>1753</v>
      </c>
      <c r="K512" s="45" t="n">
        <v>625</v>
      </c>
      <c r="L512" s="46" t="n"/>
      <c r="M512" s="47" t="n"/>
      <c r="N512" s="47" t="inlineStr">
        <is>
          <t>UCEscP6ETYXWSSvsNrDHekMQ</t>
        </is>
      </c>
      <c r="O512" s="48" t="n">
        <v>45592.58333333334</v>
      </c>
      <c r="P512" s="49" t="n">
        <v>45592</v>
      </c>
      <c r="Q512" s="47" t="n">
        <v>2756</v>
      </c>
      <c r="R512" s="47" t="inlineStr">
        <is>
          <t>No Video ID yet</t>
        </is>
      </c>
      <c r="S512" s="49" t="n"/>
      <c r="T512" s="49" t="n"/>
      <c r="U512" s="47" t="inlineStr">
        <is>
          <t>Join J and Ben as they dive into Chapter 21 of the Prisoner of Azkaban and discuss Snape and Fudge’s conversation, why Dumbledore believes Sirius, the time turner, saving Buckbeak, the in-between-the-action moments, Harry’s belief that the patronus was cast by his dad, Harry actually casting the patronus, and saving Sirius. Death Is A DEMENTOR - J vs Ben: We Tested EVERY Harry Potter Candy - 04:36 - Chapter Breakdown 1:39:03 - Closing Thoughts and Review</t>
        </is>
      </c>
      <c r="V512" s="47">
        <f>IF(AND(P512&gt;=Calendar!$K$2,P512&lt;EDATE(Calendar!$K$2,1),OR(Calendar!$K$4="*",N512=Calendar!$K$4)),P512*100+COUNTIFS($P$6:$P$3267,P512,$Q$6:$Q$3267,"&lt;="&amp;Q512,$N$6:$N$3267,Calendar!$K$4),"")</f>
        <v/>
      </c>
      <c r="W512" s="47">
        <f>IF(AND(B512=Queue!$C$4,OR(Queue!$K$4="*",N512=Queue!$K$4)),Q512,"")</f>
        <v/>
      </c>
    </row>
    <row r="513">
      <c r="A513" s="38">
        <f>IF(M513="","",HYPERLINK("https://www.youtube.com/watch?v="&amp;M513,"▶"))</f>
        <v/>
      </c>
      <c r="B513" s="39">
        <f>IF(C513&lt;&gt;"",C513,IF(P513&lt;=IFERROR(INDEX(tblChannels[Watched Through],MATCH(N513,tblChannels[Channel ID],0)),0),"Watched","Unwatched"))</f>
        <v/>
      </c>
      <c r="C513" s="40" t="n"/>
      <c r="D513" s="41" t="n"/>
      <c r="E513" s="42" t="n">
        <v>45590.70069444444</v>
      </c>
      <c r="F513" s="50" t="inlineStr">
        <is>
          <t>Super Carlin Brothers</t>
        </is>
      </c>
      <c r="G513" t="inlineStr">
        <is>
          <t>What If Ron Was In Hufflepuff - The Graveyard | Harry Potter Film Theory</t>
        </is>
      </c>
      <c r="H513" s="44" t="n">
        <v>0.01033564814814815</v>
      </c>
      <c r="I513" s="45" t="n">
        <v>82201</v>
      </c>
      <c r="J513" s="45" t="n">
        <v>4430</v>
      </c>
      <c r="K513" s="45" t="n">
        <v>432</v>
      </c>
      <c r="L513" s="46" t="n"/>
      <c r="M513" s="47" t="n"/>
      <c r="N513" s="47" t="inlineStr">
        <is>
          <t>UCKZo4N0lVPccBkSiuyVh4yg</t>
        </is>
      </c>
      <c r="O513" s="48" t="n">
        <v>45590.86736111111</v>
      </c>
      <c r="P513" s="49" t="n">
        <v>45590</v>
      </c>
      <c r="Q513" s="47" t="n">
        <v>2755</v>
      </c>
      <c r="R513" s="47" t="inlineStr">
        <is>
          <t>No Video ID yet</t>
        </is>
      </c>
      <c r="S513" s="49" t="n"/>
      <c r="T513" s="49" t="n"/>
      <c r="U513" s="47" t="inlineStr">
        <is>
          <t>Go to to get 15% off your next gift. Today Ben continues the story of Ron in Hufflepuff! Last we left him Ron had just grabbed the Tri-Wizard Cup and suddenly Vanished… we all know where he’s headed but what is his fate? Will Voldemort return? Can Harry help at all? And what about Barty Crouch Jr.?</t>
        </is>
      </c>
      <c r="V513" s="47">
        <f>IF(AND(P513&gt;=Calendar!$K$2,P513&lt;EDATE(Calendar!$K$2,1),OR(Calendar!$K$4="*",N513=Calendar!$K$4)),P513*100+COUNTIFS($P$6:$P$3267,P513,$Q$6:$Q$3267,"&lt;="&amp;Q513,$N$6:$N$3267,Calendar!$K$4),"")</f>
        <v/>
      </c>
      <c r="W513" s="47">
        <f>IF(AND(B513=Queue!$C$4,OR(Queue!$K$4="*",N513=Queue!$K$4)),Q513,"")</f>
        <v/>
      </c>
    </row>
    <row r="514">
      <c r="A514" s="38">
        <f>IF(M514="","",HYPERLINK("https://www.youtube.com/watch?v="&amp;M514,"▶"))</f>
        <v/>
      </c>
      <c r="B514" s="39">
        <f>IF(C514&lt;&gt;"",C514,IF(P514&lt;=IFERROR(INDEX(tblChannels[Watched Through],MATCH(N514,tblChannels[Channel ID],0)),0),"Watched","Unwatched"))</f>
        <v/>
      </c>
      <c r="C514" s="40" t="n"/>
      <c r="D514" s="41" t="n"/>
      <c r="E514" s="42" t="n">
        <v>45590.41666666666</v>
      </c>
      <c r="F514" s="43" t="inlineStr">
        <is>
          <t>Popcorn Culture</t>
        </is>
      </c>
      <c r="G514" t="inlineStr">
        <is>
          <t>Should I Get a Flamethrower?| Popcorn Culture</t>
        </is>
      </c>
      <c r="H514" s="44" t="n">
        <v>0.04679398148148148</v>
      </c>
      <c r="I514" s="45" t="n">
        <v>3674</v>
      </c>
      <c r="J514" s="45" t="n">
        <v>199</v>
      </c>
      <c r="K514" s="45" t="n">
        <v>16</v>
      </c>
      <c r="L514" s="46" t="n"/>
      <c r="M514" s="47" t="n"/>
      <c r="N514" s="47" t="inlineStr">
        <is>
          <t>UCHfIbq9thHPC8yrKjAdJgDA</t>
        </is>
      </c>
      <c r="O514" s="48" t="n">
        <v>45590.58333333334</v>
      </c>
      <c r="P514" s="49" t="n">
        <v>45590</v>
      </c>
      <c r="Q514" s="47" t="n">
        <v>2754</v>
      </c>
      <c r="R514" s="47" t="inlineStr">
        <is>
          <t>No Video ID yet</t>
        </is>
      </c>
      <c r="S514" s="49" t="n"/>
      <c r="T514" s="49" t="n"/>
      <c r="U514" s="47" t="inlineStr">
        <is>
          <t>In the 255th episode of the Pop, Ben and J discuss beer mile debrief, optimizing Go Fest, caving, skiing, choosing confidence, and flamethrowers. Show Notes A Goofy Movie - Diablo II -</t>
        </is>
      </c>
      <c r="V514" s="47">
        <f>IF(AND(P514&gt;=Calendar!$K$2,P514&lt;EDATE(Calendar!$K$2,1),OR(Calendar!$K$4="*",N514=Calendar!$K$4)),P514*100+COUNTIFS($P$6:$P$3267,P514,$Q$6:$Q$3267,"&lt;="&amp;Q514,$N$6:$N$3267,Calendar!$K$4),"")</f>
        <v/>
      </c>
      <c r="W514" s="47">
        <f>IF(AND(B514=Queue!$C$4,OR(Queue!$K$4="*",N514=Queue!$K$4)),Q514,"")</f>
        <v/>
      </c>
    </row>
    <row r="515">
      <c r="A515" s="38">
        <f>IF(M515="","",HYPERLINK("https://www.youtube.com/watch?v="&amp;M515,"▶"))</f>
        <v/>
      </c>
      <c r="B515" s="39">
        <f>IF(C515&lt;&gt;"",C515,IF(P515&lt;=IFERROR(INDEX(tblChannels[Watched Through],MATCH(N515,tblChannels[Channel ID],0)),0),"Watched","Unwatched"))</f>
        <v/>
      </c>
      <c r="C515" s="40" t="n"/>
      <c r="D515" s="41" t="n"/>
      <c r="E515" s="42" t="n">
        <v>45589.70833333334</v>
      </c>
      <c r="F515" s="51" t="inlineStr">
        <is>
          <t>Through The Griffin Door</t>
        </is>
      </c>
      <c r="G515" t="inlineStr">
        <is>
          <t>Live In Sacramento - Chapter 20: The Dementor's Kiss | Prisoner of Azkaban</t>
        </is>
      </c>
      <c r="H515" s="44" t="n">
        <v>0.04363425925925926</v>
      </c>
      <c r="I515" s="45" t="n">
        <v>12304</v>
      </c>
      <c r="J515" s="45" t="n">
        <v>560</v>
      </c>
      <c r="K515" s="45" t="n">
        <v>146</v>
      </c>
      <c r="L515" s="46" t="n"/>
      <c r="M515" s="47" t="n"/>
      <c r="N515" s="47" t="inlineStr">
        <is>
          <t>UCEscP6ETYXWSSvsNrDHekMQ</t>
        </is>
      </c>
      <c r="O515" s="48" t="n">
        <v>45589.875</v>
      </c>
      <c r="P515" s="49" t="n">
        <v>45589</v>
      </c>
      <c r="Q515" s="47" t="n">
        <v>2753</v>
      </c>
      <c r="R515" s="47" t="inlineStr">
        <is>
          <t>No Video ID yet</t>
        </is>
      </c>
      <c r="S515" s="49" t="n"/>
      <c r="T515" s="49" t="n"/>
      <c r="U515" s="47" t="inlineStr">
        <is>
          <t>Join J and Ben as they dive BACK into Chapter 20 of the Prisoner of Azkaban (in SACRAMENTO!!!) and discuss who could possibly be the mystery person in the chapter art, why Peter needs a wand to transform and Sirius doesn't, and whether or not Snape was the one casting the Prongs-Tronus. Do YOU want to see us LIVE? We're going back on tour! Tickets are ON SALE NOW for the Southeast leg of Through the Griffin TOUR!!!</t>
        </is>
      </c>
      <c r="V515" s="47">
        <f>IF(AND(P515&gt;=Calendar!$K$2,P515&lt;EDATE(Calendar!$K$2,1),OR(Calendar!$K$4="*",N515=Calendar!$K$4)),P515*100+COUNTIFS($P$6:$P$3267,P515,$Q$6:$Q$3267,"&lt;="&amp;Q515,$N$6:$N$3267,Calendar!$K$4),"")</f>
        <v/>
      </c>
      <c r="W515" s="47">
        <f>IF(AND(B515=Queue!$C$4,OR(Queue!$K$4="*",N515=Queue!$K$4)),Q515,"")</f>
        <v/>
      </c>
    </row>
    <row r="516">
      <c r="A516" s="38">
        <f>IF(M516="","",HYPERLINK("https://www.youtube.com/watch?v="&amp;M516,"▶"))</f>
        <v/>
      </c>
      <c r="B516" s="39">
        <f>IF(C516&lt;&gt;"",C516,IF(P516&lt;=IFERROR(INDEX(tblChannels[Watched Through],MATCH(N516,tblChannels[Channel ID],0)),0),"Watched","Unwatched"))</f>
        <v/>
      </c>
      <c r="C516" s="40" t="n"/>
      <c r="D516" s="41" t="n"/>
      <c r="E516" s="42" t="n">
        <v>45588.69583333333</v>
      </c>
      <c r="F516" s="50" t="inlineStr">
        <is>
          <t>Super Carlin Brothers</t>
        </is>
      </c>
      <c r="G516" t="inlineStr">
        <is>
          <t>Worst Harry Potter Candy EVER?!</t>
        </is>
      </c>
      <c r="H516" s="44" t="n">
        <v>0.02387731481481482</v>
      </c>
      <c r="I516" s="45" t="n">
        <v>131909</v>
      </c>
      <c r="J516" s="45" t="n">
        <v>5030</v>
      </c>
      <c r="K516" s="45" t="n">
        <v>547</v>
      </c>
      <c r="L516" s="46" t="n"/>
      <c r="M516" s="47" t="n"/>
      <c r="N516" s="47" t="inlineStr">
        <is>
          <t>UCKZo4N0lVPccBkSiuyVh4yg</t>
        </is>
      </c>
      <c r="O516" s="48" t="n">
        <v>45588.8625</v>
      </c>
      <c r="P516" s="49" t="n">
        <v>45588</v>
      </c>
      <c r="Q516" s="47" t="n">
        <v>2752</v>
      </c>
      <c r="R516" s="47" t="inlineStr">
        <is>
          <t>No Video ID yet</t>
        </is>
      </c>
      <c r="S516" s="49" t="n"/>
      <c r="T516" s="49" t="n"/>
      <c r="U516" s="47" t="inlineStr">
        <is>
          <t>Go to to get 20% off your first order and free shipping. Today J and Ben try EVERY bit of Wizarding World Candy available on HarryPotter shop. We’ve got it all from Chocolate Frogs to Butter Beer to Bertie Bott’s Every Flavour Beans (and they MEAN every flavor!) Make your own tier list :: Not a sponsor but if you wanna try the candy for yourself :: #supercarlinbrothers #HarryPotter #jvsben</t>
        </is>
      </c>
      <c r="V516" s="47">
        <f>IF(AND(P516&gt;=Calendar!$K$2,P516&lt;EDATE(Calendar!$K$2,1),OR(Calendar!$K$4="*",N516=Calendar!$K$4)),P516*100+COUNTIFS($P$6:$P$3267,P516,$Q$6:$Q$3267,"&lt;="&amp;Q516,$N$6:$N$3267,Calendar!$K$4),"")</f>
        <v/>
      </c>
      <c r="W516" s="47">
        <f>IF(AND(B516=Queue!$C$4,OR(Queue!$K$4="*",N516=Queue!$K$4)),Q516,"")</f>
        <v/>
      </c>
    </row>
    <row r="517">
      <c r="A517" s="38">
        <f>IF(M517="","",HYPERLINK("https://www.youtube.com/watch?v="&amp;M517,"▶"))</f>
        <v/>
      </c>
      <c r="B517" s="39">
        <f>IF(C517&lt;&gt;"",C517,IF(P517&lt;=IFERROR(INDEX(tblChannels[Watched Through],MATCH(N517,tblChannels[Channel ID],0)),0),"Watched","Unwatched"))</f>
        <v/>
      </c>
      <c r="C517" s="40" t="n"/>
      <c r="D517" s="41" t="n"/>
      <c r="E517" s="42" t="n">
        <v>45587.5</v>
      </c>
      <c r="F517" s="43" t="inlineStr">
        <is>
          <t>Popcorn Culture</t>
        </is>
      </c>
      <c r="G517" t="inlineStr">
        <is>
          <t>THROUGH THE GRIFFIN TOUR - SOUTHEAST!</t>
        </is>
      </c>
      <c r="H517" s="44" t="n">
        <v>0.0007407407407407407</v>
      </c>
      <c r="I517" s="45" t="n">
        <v>496</v>
      </c>
      <c r="J517" s="45" t="n">
        <v>40</v>
      </c>
      <c r="K517" s="45" t="n">
        <v>6</v>
      </c>
      <c r="L517" s="46" t="n"/>
      <c r="M517" s="47" t="n"/>
      <c r="N517" s="47" t="inlineStr">
        <is>
          <t>UCHfIbq9thHPC8yrKjAdJgDA</t>
        </is>
      </c>
      <c r="O517" s="48" t="n">
        <v>45587.66666666666</v>
      </c>
      <c r="P517" s="49" t="n">
        <v>45587</v>
      </c>
      <c r="Q517" s="47" t="n">
        <v>2751</v>
      </c>
      <c r="R517" s="47" t="inlineStr">
        <is>
          <t>No Video ID yet</t>
        </is>
      </c>
      <c r="S517" s="49" t="n"/>
      <c r="T517" s="49" t="n"/>
      <c r="U517" s="47" t="inlineStr">
        <is>
          <t>We are so excited to announce that we will be continuing the Through the Griffin TOUR in the Southeast this February! Tickets go on sale THIS FRIDAY, October 25th at 10:00am ET. Charlotte, NC - 02/11/2025 - Orlando, FL - 02/13/2025 - Tampa, FL - 02/14/2025 - Jacksonville, FL - 02/16/2025 - Atlanta, GA - 02/18/2025 - Nashville, TN - 02/19/2025 - VIP tickets will be available yet again for this tour as well for an additional $50! Again, you can get your tickets here: on Friday, October 25th at 10:00am ET. We can’t wait to see you in real life, brother!</t>
        </is>
      </c>
      <c r="V517" s="47">
        <f>IF(AND(P517&gt;=Calendar!$K$2,P517&lt;EDATE(Calendar!$K$2,1),OR(Calendar!$K$4="*",N517=Calendar!$K$4)),P517*100+COUNTIFS($P$6:$P$3267,P517,$Q$6:$Q$3267,"&lt;="&amp;Q517,$N$6:$N$3267,Calendar!$K$4),"")</f>
        <v/>
      </c>
      <c r="W517" s="47">
        <f>IF(AND(B517=Queue!$C$4,OR(Queue!$K$4="*",N517=Queue!$K$4)),Q517,"")</f>
        <v/>
      </c>
    </row>
    <row r="518">
      <c r="A518" s="38">
        <f>IF(M518="","",HYPERLINK("https://www.youtube.com/watch?v="&amp;M518,"▶"))</f>
        <v/>
      </c>
      <c r="B518" s="39">
        <f>IF(C518&lt;&gt;"",C518,IF(P518&lt;=IFERROR(INDEX(tblChannels[Watched Through],MATCH(N518,tblChannels[Channel ID],0)),0),"Watched","Unwatched"))</f>
        <v/>
      </c>
      <c r="C518" s="40" t="n"/>
      <c r="D518" s="41" t="n"/>
      <c r="E518" s="42" t="n">
        <v>45587.5</v>
      </c>
      <c r="F518" s="51" t="inlineStr">
        <is>
          <t>Through The Griffin Door</t>
        </is>
      </c>
      <c r="G518" t="inlineStr">
        <is>
          <t>THROUGH THE GRIFFIN TOUR - SOUTHEAST!</t>
        </is>
      </c>
      <c r="H518" s="44" t="n">
        <v>0.001597222222222222</v>
      </c>
      <c r="I518" s="45" t="n">
        <v>3445</v>
      </c>
      <c r="J518" s="45" t="n">
        <v>232</v>
      </c>
      <c r="K518" s="45" t="n">
        <v>85</v>
      </c>
      <c r="L518" s="46" t="n"/>
      <c r="M518" s="47" t="n"/>
      <c r="N518" s="47" t="inlineStr">
        <is>
          <t>UCEscP6ETYXWSSvsNrDHekMQ</t>
        </is>
      </c>
      <c r="O518" s="48" t="n">
        <v>45587.66666666666</v>
      </c>
      <c r="P518" s="49" t="n">
        <v>45587</v>
      </c>
      <c r="Q518" s="47" t="n">
        <v>2750</v>
      </c>
      <c r="R518" s="47" t="inlineStr">
        <is>
          <t>No Video ID yet</t>
        </is>
      </c>
      <c r="S518" s="49" t="n"/>
      <c r="T518" s="49" t="n"/>
      <c r="U518" s="47" t="inlineStr">
        <is>
          <t>We are so excited to announce that we will be continuing the Through the Griffin TOUR in the Southeast this February! Tickets go on sale THIS FRIDAY, October 25th at 10:00am ET. Charlotte, NC - 02/11/2025 - Orlando, FL - 02/13/2025 - Tampa, FL - 02/14/2025 - Jacksonville, FL - 02/16/2025 - Atlanta, GA - 02/18/2025 - Nashville, TN - 02/19/2025 - VIP tickets will be available yet again for this tour as well for an additional $50! Again, you can get your tickets here: on Friday, October 25th at 10:00am ET. We can’t wait to see you in real life, brother!</t>
        </is>
      </c>
      <c r="V518" s="47">
        <f>IF(AND(P518&gt;=Calendar!$K$2,P518&lt;EDATE(Calendar!$K$2,1),OR(Calendar!$K$4="*",N518=Calendar!$K$4)),P518*100+COUNTIFS($P$6:$P$3267,P518,$Q$6:$Q$3267,"&lt;="&amp;Q518,$N$6:$N$3267,Calendar!$K$4),"")</f>
        <v/>
      </c>
      <c r="W518" s="47">
        <f>IF(AND(B518=Queue!$C$4,OR(Queue!$K$4="*",N518=Queue!$K$4)),Q518,"")</f>
        <v/>
      </c>
    </row>
    <row r="519">
      <c r="A519" s="38">
        <f>IF(M519="","",HYPERLINK("https://www.youtube.com/watch?v="&amp;M519,"▶"))</f>
        <v/>
      </c>
      <c r="B519" s="39">
        <f>IF(C519&lt;&gt;"",C519,IF(P519&lt;=IFERROR(INDEX(tblChannels[Watched Through],MATCH(N519,tblChannels[Channel ID],0)),0),"Watched","Unwatched"))</f>
        <v/>
      </c>
      <c r="C519" s="40" t="n"/>
      <c r="D519" s="41" t="n"/>
      <c r="E519" s="42" t="n">
        <v>45587.5</v>
      </c>
      <c r="F519" s="50" t="inlineStr">
        <is>
          <t>Super Carlin Brothers</t>
        </is>
      </c>
      <c r="G519" t="inlineStr">
        <is>
          <t>THROUGH THE GRIFFIN TOUR - SOUTHEAST!</t>
        </is>
      </c>
      <c r="H519" s="44" t="n">
        <v>0.001539351851851852</v>
      </c>
      <c r="I519" s="45" t="n">
        <v>7607</v>
      </c>
      <c r="J519" s="45" t="n">
        <v>394</v>
      </c>
      <c r="K519" s="45" t="n">
        <v>97</v>
      </c>
      <c r="L519" s="46" t="n"/>
      <c r="M519" s="47" t="n"/>
      <c r="N519" s="47" t="inlineStr">
        <is>
          <t>UCKZo4N0lVPccBkSiuyVh4yg</t>
        </is>
      </c>
      <c r="O519" s="48" t="n">
        <v>45587.66666666666</v>
      </c>
      <c r="P519" s="49" t="n">
        <v>45587</v>
      </c>
      <c r="Q519" s="47" t="n">
        <v>2749</v>
      </c>
      <c r="R519" s="47" t="inlineStr">
        <is>
          <t>No Video ID yet</t>
        </is>
      </c>
      <c r="S519" s="49" t="n"/>
      <c r="T519" s="49" t="n"/>
      <c r="U519" s="47" t="inlineStr">
        <is>
          <t>We are so excited to announce that we will be continuing the Through the Griffin TOUR in the Southeast this February! Tickets go on sale THIS FRIDAY, October 25th at 10:00am ET. Charlotte, NC - 02/11/2025 - Orlando, FL - 02/13/2025 - Tampa, FL - 02/14/2025 - Jacksonville, FL - 02/16/2025 - Atlanta, GA - 02/18/2025 - Nashville, TN - 02/19/2025 - VIP tickets will be available yet again for this tour as well for an additional $50! Again, you can get your tickets here: on Friday, October 25th at 10:00am ET. We can’t wait to see you in real life, brother!</t>
        </is>
      </c>
      <c r="V519" s="47">
        <f>IF(AND(P519&gt;=Calendar!$K$2,P519&lt;EDATE(Calendar!$K$2,1),OR(Calendar!$K$4="*",N519=Calendar!$K$4)),P519*100+COUNTIFS($P$6:$P$3267,P519,$Q$6:$Q$3267,"&lt;="&amp;Q519,$N$6:$N$3267,Calendar!$K$4),"")</f>
        <v/>
      </c>
      <c r="W519" s="47">
        <f>IF(AND(B519=Queue!$C$4,OR(Queue!$K$4="*",N519=Queue!$K$4)),Q519,"")</f>
        <v/>
      </c>
    </row>
    <row r="520">
      <c r="A520" s="38">
        <f>IF(M520="","",HYPERLINK("https://www.youtube.com/watch?v="&amp;M520,"▶"))</f>
        <v/>
      </c>
      <c r="B520" s="39">
        <f>IF(C520&lt;&gt;"",C520,IF(P520&lt;=IFERROR(INDEX(tblChannels[Watched Through],MATCH(N520,tblChannels[Channel ID],0)),0),"Watched","Unwatched"))</f>
        <v/>
      </c>
      <c r="C520" s="40" t="n"/>
      <c r="D520" s="41" t="n"/>
      <c r="E520" s="42" t="n">
        <v>45585.41666666666</v>
      </c>
      <c r="F520" s="51" t="inlineStr">
        <is>
          <t>Through The Griffin Door</t>
        </is>
      </c>
      <c r="G520" t="inlineStr">
        <is>
          <t>Chapter 20: The Dementor’s Kiss | Prisoner of Azkaban</t>
        </is>
      </c>
      <c r="H520" s="44" t="n">
        <v>0.05365740740740741</v>
      </c>
      <c r="I520" s="45" t="n">
        <v>52622</v>
      </c>
      <c r="J520" s="45" t="n">
        <v>1664</v>
      </c>
      <c r="K520" s="45" t="n">
        <v>502</v>
      </c>
      <c r="L520" s="46" t="n"/>
      <c r="M520" s="47" t="n"/>
      <c r="N520" s="47" t="inlineStr">
        <is>
          <t>UCEscP6ETYXWSSvsNrDHekMQ</t>
        </is>
      </c>
      <c r="O520" s="48" t="n">
        <v>45585.58333333334</v>
      </c>
      <c r="P520" s="49" t="n">
        <v>45585</v>
      </c>
      <c r="Q520" s="47" t="n">
        <v>2748</v>
      </c>
      <c r="R520" s="47" t="inlineStr">
        <is>
          <t>No Video ID yet</t>
        </is>
      </c>
      <c r="S520" s="49" t="n"/>
      <c r="T520" s="49" t="n"/>
      <c r="U520" s="47" t="inlineStr">
        <is>
          <t>Join J and Ben as they dive into Chapter 20 of the Prisoner of Azkaban and discuss Flints, Sirius’ offer for Harry to live with him, Lupin’s transformation, Peter’s escape, Sirius’ love for Harry, the dementors, and various wacky theories. 08:23 - Chapter Breakdown 1:10:23 - Closing Thoughts and Review</t>
        </is>
      </c>
      <c r="V520" s="47">
        <f>IF(AND(P520&gt;=Calendar!$K$2,P520&lt;EDATE(Calendar!$K$2,1),OR(Calendar!$K$4="*",N520=Calendar!$K$4)),P520*100+COUNTIFS($P$6:$P$3267,P520,$Q$6:$Q$3267,"&lt;="&amp;Q520,$N$6:$N$3267,Calendar!$K$4),"")</f>
        <v/>
      </c>
      <c r="W520" s="47">
        <f>IF(AND(B520=Queue!$C$4,OR(Queue!$K$4="*",N520=Queue!$K$4)),Q520,"")</f>
        <v/>
      </c>
    </row>
    <row r="521">
      <c r="A521" s="38">
        <f>IF(M521="","",HYPERLINK("https://www.youtube.com/watch?v="&amp;M521,"▶"))</f>
        <v/>
      </c>
      <c r="B521" s="39">
        <f>IF(C521&lt;&gt;"",C521,IF(P521&lt;=IFERROR(INDEX(tblChannels[Watched Through],MATCH(N521,tblChannels[Channel ID],0)),0),"Watched","Unwatched"))</f>
        <v/>
      </c>
      <c r="C521" s="40" t="n"/>
      <c r="D521" s="41" t="n"/>
      <c r="E521" s="42" t="n">
        <v>45584.41666666666</v>
      </c>
      <c r="F521" s="50" t="inlineStr">
        <is>
          <t>Super Carlin Brothers</t>
        </is>
      </c>
      <c r="G521" t="inlineStr">
        <is>
          <t>Through the Griffin Door Supercut: Prisoner of Azkaban Chapters 16-18</t>
        </is>
      </c>
      <c r="H521" s="44" t="n">
        <v>0.1883564814814815</v>
      </c>
      <c r="I521" s="45" t="n">
        <v>23996</v>
      </c>
      <c r="J521" s="45" t="n">
        <v>416</v>
      </c>
      <c r="K521" s="45" t="n">
        <v>70</v>
      </c>
      <c r="L521" s="46" t="n"/>
      <c r="M521" s="47" t="n"/>
      <c r="N521" s="47" t="inlineStr">
        <is>
          <t>UCKZo4N0lVPccBkSiuyVh4yg</t>
        </is>
      </c>
      <c r="O521" s="48" t="n">
        <v>45584.58333333334</v>
      </c>
      <c r="P521" s="49" t="n">
        <v>45584</v>
      </c>
      <c r="Q521" s="47" t="n">
        <v>2747</v>
      </c>
      <c r="R521" s="47" t="inlineStr">
        <is>
          <t>No Video ID yet</t>
        </is>
      </c>
      <c r="S521" s="49" t="n"/>
      <c r="T521" s="49" t="n"/>
      <c r="U521" s="47" t="n"/>
      <c r="V521" s="47">
        <f>IF(AND(P521&gt;=Calendar!$K$2,P521&lt;EDATE(Calendar!$K$2,1),OR(Calendar!$K$4="*",N521=Calendar!$K$4)),P521*100+COUNTIFS($P$6:$P$3267,P521,$Q$6:$Q$3267,"&lt;="&amp;Q521,$N$6:$N$3267,Calendar!$K$4),"")</f>
        <v/>
      </c>
      <c r="W521" s="47">
        <f>IF(AND(B521=Queue!$C$4,OR(Queue!$K$4="*",N521=Queue!$K$4)),Q521,"")</f>
        <v/>
      </c>
    </row>
    <row r="522">
      <c r="A522" s="38">
        <f>IF(M522="","",HYPERLINK("https://www.youtube.com/watch?v="&amp;M522,"▶"))</f>
        <v/>
      </c>
      <c r="B522" s="39">
        <f>IF(C522&lt;&gt;"",C522,IF(P522&lt;=IFERROR(INDEX(tblChannels[Watched Through],MATCH(N522,tblChannels[Channel ID],0)),0),"Watched","Unwatched"))</f>
        <v/>
      </c>
      <c r="C522" s="40" t="n"/>
      <c r="D522" s="41" t="n"/>
      <c r="E522" s="42" t="n">
        <v>45584.22222222222</v>
      </c>
      <c r="F522" s="52" t="inlineStr">
        <is>
          <t>Super Carlin Gaming</t>
        </is>
      </c>
      <c r="G522" t="inlineStr">
        <is>
          <t>Pokemon Box Breakers FINALE LIVE! OCTOBER 18, 2024</t>
        </is>
      </c>
      <c r="H522" s="44" t="n">
        <v>0.1255902777777778</v>
      </c>
      <c r="I522" s="45" t="n">
        <v>1196</v>
      </c>
      <c r="J522" s="45" t="n">
        <v>43</v>
      </c>
      <c r="K522" s="45" t="n">
        <v>3</v>
      </c>
      <c r="L522" s="46" t="n"/>
      <c r="M522" s="47" t="n"/>
      <c r="N522" s="47" t="inlineStr">
        <is>
          <t>UCor_9jRnNNZVzTuQ92PKsaQ</t>
        </is>
      </c>
      <c r="O522" s="48" t="n">
        <v>45584.38888888889</v>
      </c>
      <c r="P522" s="49" t="n">
        <v>45584</v>
      </c>
      <c r="Q522" s="47" t="n">
        <v>2746</v>
      </c>
      <c r="R522" s="47" t="inlineStr">
        <is>
          <t>No Video ID yet</t>
        </is>
      </c>
      <c r="S522" s="49" t="n"/>
      <c r="T522" s="49" t="n"/>
      <c r="U522" s="47" t="n"/>
      <c r="V522" s="47">
        <f>IF(AND(P522&gt;=Calendar!$K$2,P522&lt;EDATE(Calendar!$K$2,1),OR(Calendar!$K$4="*",N522=Calendar!$K$4)),P522*100+COUNTIFS($P$6:$P$3267,P522,$Q$6:$Q$3267,"&lt;="&amp;Q522,$N$6:$N$3267,Calendar!$K$4),"")</f>
        <v/>
      </c>
      <c r="W522" s="47">
        <f>IF(AND(B522=Queue!$C$4,OR(Queue!$K$4="*",N522=Queue!$K$4)),Q522,"")</f>
        <v/>
      </c>
    </row>
    <row r="523">
      <c r="A523" s="38">
        <f>IF(M523="","",HYPERLINK("https://www.youtube.com/watch?v="&amp;M523,"▶"))</f>
        <v/>
      </c>
      <c r="B523" s="39">
        <f>IF(C523&lt;&gt;"",C523,IF(P523&lt;=IFERROR(INDEX(tblChannels[Watched Through],MATCH(N523,tblChannels[Channel ID],0)),0),"Watched","Unwatched"))</f>
        <v/>
      </c>
      <c r="C523" s="40" t="n"/>
      <c r="D523" s="41" t="n"/>
      <c r="E523" s="42" t="n">
        <v>45583.67847222222</v>
      </c>
      <c r="F523" s="50" t="inlineStr">
        <is>
          <t>Super Carlin Brothers</t>
        </is>
      </c>
      <c r="G523" t="inlineStr">
        <is>
          <t>What If Ron Was In Hufflepuff - The Tri-Wizard Tournament | Harry Potter Film Theory</t>
        </is>
      </c>
      <c r="H523" s="44" t="n">
        <v>0.01313657407407407</v>
      </c>
      <c r="I523" s="45" t="n">
        <v>91769</v>
      </c>
      <c r="J523" s="45" t="n">
        <v>4492</v>
      </c>
      <c r="K523" s="45" t="n">
        <v>710</v>
      </c>
      <c r="L523" s="46" t="n"/>
      <c r="M523" s="47" t="n"/>
      <c r="N523" s="47" t="inlineStr">
        <is>
          <t>UCKZo4N0lVPccBkSiuyVh4yg</t>
        </is>
      </c>
      <c r="O523" s="48" t="n">
        <v>45583.84513888889</v>
      </c>
      <c r="P523" s="49" t="n">
        <v>45583</v>
      </c>
      <c r="Q523" s="47" t="n">
        <v>2745</v>
      </c>
      <c r="R523" s="47" t="inlineStr">
        <is>
          <t>No Video ID yet</t>
        </is>
      </c>
      <c r="S523" s="49" t="n"/>
      <c r="T523" s="49" t="n"/>
      <c r="U523" s="47" t="inlineStr">
        <is>
          <t>This episode is sponsored by Shopify — Go to to sign up for a $1-per-month trial period. Today Ben returns to the ongoing story of What If Ron Weasley had been sorted into Hufflepuff instead of Gryffindor! This week Harry and Ron take on the Yule Ball and the 2nd and 3rd tasks! Who will they take to the dance? Who will be captive at the bottom of the lake? Who will win the Tri-Wizard Tournament!? And Will Voldemort still return?</t>
        </is>
      </c>
      <c r="V523" s="47">
        <f>IF(AND(P523&gt;=Calendar!$K$2,P523&lt;EDATE(Calendar!$K$2,1),OR(Calendar!$K$4="*",N523=Calendar!$K$4)),P523*100+COUNTIFS($P$6:$P$3267,P523,$Q$6:$Q$3267,"&lt;="&amp;Q523,$N$6:$N$3267,Calendar!$K$4),"")</f>
        <v/>
      </c>
      <c r="W523" s="47">
        <f>IF(AND(B523=Queue!$C$4,OR(Queue!$K$4="*",N523=Queue!$K$4)),Q523,"")</f>
        <v/>
      </c>
    </row>
    <row r="524">
      <c r="A524" s="38">
        <f>IF(M524="","",HYPERLINK("https://www.youtube.com/watch?v="&amp;M524,"▶"))</f>
        <v/>
      </c>
      <c r="B524" s="39">
        <f>IF(C524&lt;&gt;"",C524,IF(P524&lt;=IFERROR(INDEX(tblChannels[Watched Through],MATCH(N524,tblChannels[Channel ID],0)),0),"Watched","Unwatched"))</f>
        <v/>
      </c>
      <c r="C524" s="40" t="n"/>
      <c r="D524" s="41" t="n"/>
      <c r="E524" s="42" t="n">
        <v>45583.41666666666</v>
      </c>
      <c r="F524" s="43" t="inlineStr">
        <is>
          <t>Popcorn Culture</t>
        </is>
      </c>
      <c r="G524" t="inlineStr">
        <is>
          <t>The Den of Evil | Popcorn Culture</t>
        </is>
      </c>
      <c r="H524" s="44" t="n">
        <v>0.04722222222222222</v>
      </c>
      <c r="I524" s="45" t="n">
        <v>3420</v>
      </c>
      <c r="J524" s="45" t="n">
        <v>176</v>
      </c>
      <c r="K524" s="45" t="n">
        <v>36</v>
      </c>
      <c r="L524" s="46" t="n"/>
      <c r="M524" s="47" t="n"/>
      <c r="N524" s="47" t="inlineStr">
        <is>
          <t>UCHfIbq9thHPC8yrKjAdJgDA</t>
        </is>
      </c>
      <c r="O524" s="48" t="n">
        <v>45583.58333333334</v>
      </c>
      <c r="P524" s="49" t="n">
        <v>45583</v>
      </c>
      <c r="Q524" s="47" t="n">
        <v>2744</v>
      </c>
      <c r="R524" s="47" t="inlineStr">
        <is>
          <t>No Video ID yet</t>
        </is>
      </c>
      <c r="S524" s="49" t="n"/>
      <c r="T524" s="49" t="n"/>
      <c r="U524" s="47" t="inlineStr">
        <is>
          <t>Ben and J discuss pumpkin things, thoughts on Nightmare Before Christmas, the beer mile, Alyce’s seance, Diablo II, and refinding hobbies late in life. Show Notes Nightmare Before Christmas - Diablo II - Carve Out the Time The Man in the Hat The Renaissance of Hobbies 00:00 - Intro, Pumpkins 14:48 - Nightmare Before Christmas 35:04 - Go Fest 43:43 - Diablo II</t>
        </is>
      </c>
      <c r="V524" s="47">
        <f>IF(AND(P524&gt;=Calendar!$K$2,P524&lt;EDATE(Calendar!$K$2,1),OR(Calendar!$K$4="*",N524=Calendar!$K$4)),P524*100+COUNTIFS($P$6:$P$3267,P524,$Q$6:$Q$3267,"&lt;="&amp;Q524,$N$6:$N$3267,Calendar!$K$4),"")</f>
        <v/>
      </c>
      <c r="W524" s="47">
        <f>IF(AND(B524=Queue!$C$4,OR(Queue!$K$4="*",N524=Queue!$K$4)),Q524,"")</f>
        <v/>
      </c>
    </row>
    <row r="525">
      <c r="A525" s="38">
        <f>IF(M525="","",HYPERLINK("https://www.youtube.com/watch?v="&amp;M525,"▶"))</f>
        <v/>
      </c>
      <c r="B525" s="39">
        <f>IF(C525&lt;&gt;"",C525,IF(P525&lt;=IFERROR(INDEX(tblChannels[Watched Through],MATCH(N525,tblChannels[Channel ID],0)),0),"Watched","Unwatched"))</f>
        <v/>
      </c>
      <c r="C525" s="40" t="n"/>
      <c r="D525" s="41" t="n"/>
      <c r="E525" s="42" t="n">
        <v>45582.70833333334</v>
      </c>
      <c r="F525" s="51" t="inlineStr">
        <is>
          <t>Through The Griffin Door</t>
        </is>
      </c>
      <c r="G525" t="inlineStr">
        <is>
          <t>Chapter 19: The Servant Of Lord Voldemort | Prisoner of Azkaban</t>
        </is>
      </c>
      <c r="H525" s="44" t="n">
        <v>0.04809027777777778</v>
      </c>
      <c r="I525" s="45" t="n">
        <v>14581</v>
      </c>
      <c r="J525" s="45" t="n">
        <v>623</v>
      </c>
      <c r="K525" s="45" t="n">
        <v>126</v>
      </c>
      <c r="L525" s="46" t="n"/>
      <c r="M525" s="47" t="n"/>
      <c r="N525" s="47" t="inlineStr">
        <is>
          <t>UCEscP6ETYXWSSvsNrDHekMQ</t>
        </is>
      </c>
      <c r="O525" s="48" t="n">
        <v>45582.875</v>
      </c>
      <c r="P525" s="49" t="n">
        <v>45582</v>
      </c>
      <c r="Q525" s="47" t="n">
        <v>2743</v>
      </c>
      <c r="R525" s="47" t="inlineStr">
        <is>
          <t>No Video ID yet</t>
        </is>
      </c>
      <c r="S525" s="49" t="n"/>
      <c r="T525" s="49" t="n"/>
      <c r="U525" s="47" t="inlineStr">
        <is>
          <t>Join J and Ben as they dive BACK into Chapter 19 of the Prisoner of Azkaban (in PORTLAND!!!) and discuss why everyone continues to be SO vague all the time, whether or not Sirius Black was a jock, and why Snape is intent on letting a childhood grudge put an innocent man back in prison. Do YOU want to see us LIVE? We're going back on tour! Tickets are ON SALE NOW for the Southeast leg of Through the Griffin TOUR!!!</t>
        </is>
      </c>
      <c r="V525" s="47">
        <f>IF(AND(P525&gt;=Calendar!$K$2,P525&lt;EDATE(Calendar!$K$2,1),OR(Calendar!$K$4="*",N525=Calendar!$K$4)),P525*100+COUNTIFS($P$6:$P$3267,P525,$Q$6:$Q$3267,"&lt;="&amp;Q525,$N$6:$N$3267,Calendar!$K$4),"")</f>
        <v/>
      </c>
      <c r="W525" s="47">
        <f>IF(AND(B525=Queue!$C$4,OR(Queue!$K$4="*",N525=Queue!$K$4)),Q525,"")</f>
        <v/>
      </c>
    </row>
    <row r="526">
      <c r="A526" s="38">
        <f>IF(M526="","",HYPERLINK("https://www.youtube.com/watch?v="&amp;M526,"▶"))</f>
        <v/>
      </c>
      <c r="B526" s="39">
        <f>IF(C526&lt;&gt;"",C526,IF(P526&lt;=IFERROR(INDEX(tblChannels[Watched Through],MATCH(N526,tblChannels[Channel ID],0)),0),"Watched","Unwatched"))</f>
        <v/>
      </c>
      <c r="C526" s="40" t="n"/>
      <c r="D526" s="41" t="n"/>
      <c r="E526" s="42" t="n">
        <v>45581.71875</v>
      </c>
      <c r="F526" s="50" t="inlineStr">
        <is>
          <t>Super Carlin Brothers</t>
        </is>
      </c>
      <c r="G526" t="inlineStr">
        <is>
          <t>Sirius' TRAGIC Mistake.. | Harry Potter Film Theory</t>
        </is>
      </c>
      <c r="H526" s="44" t="n">
        <v>0.01207175925925926</v>
      </c>
      <c r="I526" s="45" t="n">
        <v>121053</v>
      </c>
      <c r="J526" s="45" t="n">
        <v>5602</v>
      </c>
      <c r="K526" s="45" t="n">
        <v>616</v>
      </c>
      <c r="L526" s="46" t="n"/>
      <c r="M526" s="47" t="n"/>
      <c r="N526" s="47" t="inlineStr">
        <is>
          <t>UCKZo4N0lVPccBkSiuyVh4yg</t>
        </is>
      </c>
      <c r="O526" s="48" t="n">
        <v>45581.88541666666</v>
      </c>
      <c r="P526" s="49" t="n">
        <v>45581</v>
      </c>
      <c r="Q526" s="47" t="n">
        <v>2742</v>
      </c>
      <c r="R526" s="47" t="inlineStr">
        <is>
          <t>No Video ID yet</t>
        </is>
      </c>
      <c r="S526" s="49" t="n"/>
      <c r="T526" s="49" t="n"/>
      <c r="U526" s="47" t="inlineStr">
        <is>
          <t>Today J dives into the Wizarding World of Harry Potter to find out how the Dementors managed to finally find Sirius Black at JUST the wrong moment in Prisoner of Azkaban</t>
        </is>
      </c>
      <c r="V526" s="47">
        <f>IF(AND(P526&gt;=Calendar!$K$2,P526&lt;EDATE(Calendar!$K$2,1),OR(Calendar!$K$4="*",N526=Calendar!$K$4)),P526*100+COUNTIFS($P$6:$P$3267,P526,$Q$6:$Q$3267,"&lt;="&amp;Q526,$N$6:$N$3267,Calendar!$K$4),"")</f>
        <v/>
      </c>
      <c r="W526" s="47">
        <f>IF(AND(B526=Queue!$C$4,OR(Queue!$K$4="*",N526=Queue!$K$4)),Q526,"")</f>
        <v/>
      </c>
    </row>
    <row r="527">
      <c r="A527" s="38">
        <f>IF(M527="","",HYPERLINK("https://www.youtube.com/watch?v="&amp;M527,"▶"))</f>
        <v/>
      </c>
      <c r="B527" s="39">
        <f>IF(C527&lt;&gt;"",C527,IF(P527&lt;=IFERROR(INDEX(tblChannels[Watched Through],MATCH(N527,tblChannels[Channel ID],0)),0),"Watched","Unwatched"))</f>
        <v/>
      </c>
      <c r="C527" s="40" t="n"/>
      <c r="D527" s="41" t="n"/>
      <c r="E527" s="42" t="n">
        <v>45578.41666666666</v>
      </c>
      <c r="F527" s="51" t="inlineStr">
        <is>
          <t>Through The Griffin Door</t>
        </is>
      </c>
      <c r="G527" t="inlineStr">
        <is>
          <t>Chapter 19: The Servant of Lord Voldemort | Prisoner of Azkaban</t>
        </is>
      </c>
      <c r="H527" s="44" t="n">
        <v>0.07266203703703704</v>
      </c>
      <c r="I527" s="45" t="n">
        <v>70234</v>
      </c>
      <c r="J527" s="45" t="n">
        <v>1935</v>
      </c>
      <c r="K527" s="45" t="n">
        <v>669</v>
      </c>
      <c r="L527" s="46" t="n"/>
      <c r="M527" s="47" t="n"/>
      <c r="N527" s="47" t="inlineStr">
        <is>
          <t>UCEscP6ETYXWSSvsNrDHekMQ</t>
        </is>
      </c>
      <c r="O527" s="48" t="n">
        <v>45578.58333333334</v>
      </c>
      <c r="P527" s="49" t="n">
        <v>45578</v>
      </c>
      <c r="Q527" s="47" t="n">
        <v>2741</v>
      </c>
      <c r="R527" s="47" t="inlineStr">
        <is>
          <t>No Video ID yet</t>
        </is>
      </c>
      <c r="S527" s="49" t="n"/>
      <c r="T527" s="49" t="n"/>
      <c r="U527" s="47" t="inlineStr">
        <is>
          <t>Join J and Ben as they dive into Chapter 19 of the Prisoner of Azkaban and discuss how Snape found his way into the Shrieking Shack, why he won’t listen to reason, and how Peter is just THE BIGGEST coward of all time basically. Chapters 05:38- Chapter Breakdown 1:30:58 - Closing Thoughts and Review</t>
        </is>
      </c>
      <c r="V527" s="47">
        <f>IF(AND(P527&gt;=Calendar!$K$2,P527&lt;EDATE(Calendar!$K$2,1),OR(Calendar!$K$4="*",N527=Calendar!$K$4)),P527*100+COUNTIFS($P$6:$P$3267,P527,$Q$6:$Q$3267,"&lt;="&amp;Q527,$N$6:$N$3267,Calendar!$K$4),"")</f>
        <v/>
      </c>
      <c r="W527" s="47">
        <f>IF(AND(B527=Queue!$C$4,OR(Queue!$K$4="*",N527=Queue!$K$4)),Q527,"")</f>
        <v/>
      </c>
    </row>
    <row r="528">
      <c r="A528" s="38">
        <f>IF(M528="","",HYPERLINK("https://www.youtube.com/watch?v="&amp;M528,"▶"))</f>
        <v/>
      </c>
      <c r="B528" s="39">
        <f>IF(C528&lt;&gt;"",C528,IF(P528&lt;=IFERROR(INDEX(tblChannels[Watched Through],MATCH(N528,tblChannels[Channel ID],0)),0),"Watched","Unwatched"))</f>
        <v/>
      </c>
      <c r="C528" s="40" t="n"/>
      <c r="D528" s="41" t="n"/>
      <c r="E528" s="42" t="n">
        <v>45576.70208333333</v>
      </c>
      <c r="F528" s="50" t="inlineStr">
        <is>
          <t>Super Carlin Brothers</t>
        </is>
      </c>
      <c r="G528" t="inlineStr">
        <is>
          <t>What If Ron Was In Hufflepuff - Goblet of Fire | Harry Potter Film Theory</t>
        </is>
      </c>
      <c r="H528" s="44" t="n">
        <v>0.01690972222222222</v>
      </c>
      <c r="I528" s="45" t="n">
        <v>110400</v>
      </c>
      <c r="J528" s="45" t="n">
        <v>4934</v>
      </c>
      <c r="K528" s="45" t="n">
        <v>539</v>
      </c>
      <c r="L528" s="46" t="n"/>
      <c r="M528" s="47" t="n"/>
      <c r="N528" s="47" t="inlineStr">
        <is>
          <t>UCKZo4N0lVPccBkSiuyVh4yg</t>
        </is>
      </c>
      <c r="O528" s="48" t="n">
        <v>45576.86875</v>
      </c>
      <c r="P528" s="49" t="n">
        <v>45576</v>
      </c>
      <c r="Q528" s="47" t="n">
        <v>2740</v>
      </c>
      <c r="R528" s="47" t="inlineStr">
        <is>
          <t>No Video ID yet</t>
        </is>
      </c>
      <c r="S528" s="49" t="n"/>
      <c r="T528" s="49" t="n"/>
      <c r="U528" s="47" t="inlineStr">
        <is>
          <t>Get 20% off your first order, plus free shipping, when you go to and use promo code super. This episode is sponsored by BetterHelp — go to to get 10% off your first month. Today Ben returns to the WHAT IF Wizarding World of Harry Potter to reveal what happens in Year 4 of Harry and Ron’s time at Hogwarts if Ron is sorted into Hufflepuff instead of Gryffindor? Does Harry go live with Sirius? Does Voldemort still return if Peter doesn’t escape? Does Barty Crouch Jr still infiltrate Hogwarts? And who will the school champions be?</t>
        </is>
      </c>
      <c r="V528" s="47">
        <f>IF(AND(P528&gt;=Calendar!$K$2,P528&lt;EDATE(Calendar!$K$2,1),OR(Calendar!$K$4="*",N528=Calendar!$K$4)),P528*100+COUNTIFS($P$6:$P$3267,P528,$Q$6:$Q$3267,"&lt;="&amp;Q528,$N$6:$N$3267,Calendar!$K$4),"")</f>
        <v/>
      </c>
      <c r="W528" s="47">
        <f>IF(AND(B528=Queue!$C$4,OR(Queue!$K$4="*",N528=Queue!$K$4)),Q528,"")</f>
        <v/>
      </c>
    </row>
    <row r="529">
      <c r="A529" s="38">
        <f>IF(M529="","",HYPERLINK("https://www.youtube.com/watch?v="&amp;M529,"▶"))</f>
        <v/>
      </c>
      <c r="B529" s="39">
        <f>IF(C529&lt;&gt;"",C529,IF(P529&lt;=IFERROR(INDEX(tblChannels[Watched Through],MATCH(N529,tblChannels[Channel ID],0)),0),"Watched","Unwatched"))</f>
        <v/>
      </c>
      <c r="C529" s="40" t="n"/>
      <c r="D529" s="41" t="n"/>
      <c r="E529" s="42" t="n">
        <v>45576.41666666666</v>
      </c>
      <c r="F529" s="43" t="inlineStr">
        <is>
          <t>Popcorn Culture</t>
        </is>
      </c>
      <c r="G529" t="inlineStr">
        <is>
          <t>How to Argue Properly | Popcorn Culture</t>
        </is>
      </c>
      <c r="H529" s="44" t="n">
        <v>0.04783564814814815</v>
      </c>
      <c r="I529" s="45" t="n">
        <v>3683</v>
      </c>
      <c r="J529" s="45" t="n">
        <v>192</v>
      </c>
      <c r="K529" s="45" t="n">
        <v>27</v>
      </c>
      <c r="L529" s="46" t="n"/>
      <c r="M529" s="47" t="n"/>
      <c r="N529" s="47" t="inlineStr">
        <is>
          <t>UCHfIbq9thHPC8yrKjAdJgDA</t>
        </is>
      </c>
      <c r="O529" s="48" t="n">
        <v>45576.58333333334</v>
      </c>
      <c r="P529" s="49" t="n">
        <v>45576</v>
      </c>
      <c r="Q529" s="47" t="n">
        <v>2739</v>
      </c>
      <c r="R529" s="47" t="inlineStr">
        <is>
          <t>No Video ID yet</t>
        </is>
      </c>
      <c r="S529" s="49" t="n"/>
      <c r="T529" s="49" t="n"/>
      <c r="U529" s="47" t="inlineStr">
        <is>
          <t>In the 253rd episode of the Pop, Ben and J discuss massages, arguing well, recess, unfiltered people, compliments, and the Washington Commanders. Are You Unfiltered? 00:00 - Intro, Recovery 05:21 - How to Argue Effectively 24:08 - Are You Unfiltered? 54:42 - The Washington Football Team</t>
        </is>
      </c>
      <c r="V529" s="47">
        <f>IF(AND(P529&gt;=Calendar!$K$2,P529&lt;EDATE(Calendar!$K$2,1),OR(Calendar!$K$4="*",N529=Calendar!$K$4)),P529*100+COUNTIFS($P$6:$P$3267,P529,$Q$6:$Q$3267,"&lt;="&amp;Q529,$N$6:$N$3267,Calendar!$K$4),"")</f>
        <v/>
      </c>
      <c r="W529" s="47">
        <f>IF(AND(B529=Queue!$C$4,OR(Queue!$K$4="*",N529=Queue!$K$4)),Q529,"")</f>
        <v/>
      </c>
    </row>
    <row r="530">
      <c r="A530" s="38">
        <f>IF(M530="","",HYPERLINK("https://www.youtube.com/watch?v="&amp;M530,"▶"))</f>
        <v/>
      </c>
      <c r="B530" s="39">
        <f>IF(C530&lt;&gt;"",C530,IF(P530&lt;=IFERROR(INDEX(tblChannels[Watched Through],MATCH(N530,tblChannels[Channel ID],0)),0),"Watched","Unwatched"))</f>
        <v/>
      </c>
      <c r="C530" s="40" t="n"/>
      <c r="D530" s="41" t="n"/>
      <c r="E530" s="42" t="n">
        <v>45575.70833333334</v>
      </c>
      <c r="F530" s="51" t="inlineStr">
        <is>
          <t>Through The Griffin Door</t>
        </is>
      </c>
      <c r="G530" t="inlineStr">
        <is>
          <t>Live In Seattle - Chapter 18: Moony, Wormtail, Padfoot and Prongs | Prisoner of Azkaban</t>
        </is>
      </c>
      <c r="H530" s="44" t="n">
        <v>0.03482638888888889</v>
      </c>
      <c r="I530" s="45" t="n">
        <v>13812</v>
      </c>
      <c r="J530" s="45" t="n">
        <v>674</v>
      </c>
      <c r="K530" s="45" t="n">
        <v>117</v>
      </c>
      <c r="L530" s="46" t="n"/>
      <c r="M530" s="47" t="n"/>
      <c r="N530" s="47" t="inlineStr">
        <is>
          <t>UCEscP6ETYXWSSvsNrDHekMQ</t>
        </is>
      </c>
      <c r="O530" s="48" t="n">
        <v>45575.875</v>
      </c>
      <c r="P530" s="49" t="n">
        <v>45575</v>
      </c>
      <c r="Q530" s="47" t="n">
        <v>2738</v>
      </c>
      <c r="R530" s="47" t="inlineStr">
        <is>
          <t>No Video ID yet</t>
        </is>
      </c>
      <c r="S530" s="49" t="n"/>
      <c r="T530" s="49" t="n"/>
      <c r="U530" s="47" t="inlineStr">
        <is>
          <t>Join J and Ben as they dive BACK into Chapter 18 of the Prisoner of Azkaban (in SEATTLE!!!) and discuss Larry Lupin: The Kid Who Wasn't Bitten, Sirius Black's desire to commit ALL the murders he was blamed for, and whether or not Snape was hated James for being good at Qudditch. Do YOU want to see us LIVE? We're going back on tour! Tickets are ON SALE NOW for the Southeast leg of Through the Griffin TOUR!!!</t>
        </is>
      </c>
      <c r="V530" s="47">
        <f>IF(AND(P530&gt;=Calendar!$K$2,P530&lt;EDATE(Calendar!$K$2,1),OR(Calendar!$K$4="*",N530=Calendar!$K$4)),P530*100+COUNTIFS($P$6:$P$3267,P530,$Q$6:$Q$3267,"&lt;="&amp;Q530,$N$6:$N$3267,Calendar!$K$4),"")</f>
        <v/>
      </c>
      <c r="W530" s="47">
        <f>IF(AND(B530=Queue!$C$4,OR(Queue!$K$4="*",N530=Queue!$K$4)),Q530,"")</f>
        <v/>
      </c>
    </row>
    <row r="531">
      <c r="A531" s="38">
        <f>IF(M531="","",HYPERLINK("https://www.youtube.com/watch?v="&amp;M531,"▶"))</f>
        <v/>
      </c>
      <c r="B531" s="39">
        <f>IF(C531&lt;&gt;"",C531,IF(P531&lt;=IFERROR(INDEX(tblChannels[Watched Through],MATCH(N531,tblChannels[Channel ID],0)),0),"Watched","Unwatched"))</f>
        <v/>
      </c>
      <c r="C531" s="40" t="n"/>
      <c r="D531" s="41" t="n"/>
      <c r="E531" s="42" t="n">
        <v>45574.71041666667</v>
      </c>
      <c r="F531" s="50" t="inlineStr">
        <is>
          <t>Super Carlin Brothers</t>
        </is>
      </c>
      <c r="G531" t="inlineStr">
        <is>
          <t>Hogwarts Brain Brawl: J vs Ben vs MagicByMikaila | Harry Potter Trivia</t>
        </is>
      </c>
      <c r="H531" s="44" t="n">
        <v>0.03280092592592593</v>
      </c>
      <c r="I531" s="45" t="n">
        <v>129371</v>
      </c>
      <c r="J531" s="45" t="n">
        <v>4871</v>
      </c>
      <c r="K531" s="45" t="n">
        <v>790</v>
      </c>
      <c r="L531" s="46" t="n"/>
      <c r="M531" s="47" t="n"/>
      <c r="N531" s="47" t="inlineStr">
        <is>
          <t>UCKZo4N0lVPccBkSiuyVh4yg</t>
        </is>
      </c>
      <c r="O531" s="48" t="n">
        <v>45574.87708333333</v>
      </c>
      <c r="P531" s="49" t="n">
        <v>45574</v>
      </c>
      <c r="Q531" s="47" t="n">
        <v>2737</v>
      </c>
      <c r="R531" s="47" t="inlineStr">
        <is>
          <t>No Video ID yet</t>
        </is>
      </c>
      <c r="S531" s="49" t="n"/>
      <c r="T531" s="49" t="n"/>
      <c r="U531" s="47" t="inlineStr">
        <is>
          <t>Today J and Ben face off with MagicByMikaila to find out once more who knows the most about the Wizarding World of Harry Potter! What is Dumbledore’s favorite flavor of Jam? What is Hermione’s Patronus? Who BLABS on the DA!? Check out Mikaila :: Play Along With Us ::</t>
        </is>
      </c>
      <c r="V531" s="47">
        <f>IF(AND(P531&gt;=Calendar!$K$2,P531&lt;EDATE(Calendar!$K$2,1),OR(Calendar!$K$4="*",N531=Calendar!$K$4)),P531*100+COUNTIFS($P$6:$P$3267,P531,$Q$6:$Q$3267,"&lt;="&amp;Q531,$N$6:$N$3267,Calendar!$K$4),"")</f>
        <v/>
      </c>
      <c r="W531" s="47">
        <f>IF(AND(B531=Queue!$C$4,OR(Queue!$K$4="*",N531=Queue!$K$4)),Q531,"")</f>
        <v/>
      </c>
    </row>
    <row r="532">
      <c r="A532" s="38">
        <f>IF(M532="","",HYPERLINK("https://www.youtube.com/watch?v="&amp;M532,"▶"))</f>
        <v/>
      </c>
      <c r="B532" s="39">
        <f>IF(C532&lt;&gt;"",C532,IF(P532&lt;=IFERROR(INDEX(tblChannels[Watched Through],MATCH(N532,tblChannels[Channel ID],0)),0),"Watched","Unwatched"))</f>
        <v/>
      </c>
      <c r="C532" s="40" t="n"/>
      <c r="D532" s="41" t="n"/>
      <c r="E532" s="42" t="n">
        <v>45571.41666666666</v>
      </c>
      <c r="F532" s="51" t="inlineStr">
        <is>
          <t>Through The Griffin Door</t>
        </is>
      </c>
      <c r="G532" t="inlineStr">
        <is>
          <t>Chapter 18: Moony, Wormtail, Padfoot and Prongs | Prisoner of Azkaban</t>
        </is>
      </c>
      <c r="H532" s="44" t="n">
        <v>0.05701388888888889</v>
      </c>
      <c r="I532" s="45" t="n">
        <v>56985</v>
      </c>
      <c r="J532" s="45" t="n">
        <v>1869</v>
      </c>
      <c r="K532" s="45" t="n">
        <v>540</v>
      </c>
      <c r="L532" s="46" t="n"/>
      <c r="M532" s="47" t="n"/>
      <c r="N532" s="47" t="inlineStr">
        <is>
          <t>UCEscP6ETYXWSSvsNrDHekMQ</t>
        </is>
      </c>
      <c r="O532" s="48" t="n">
        <v>45571.58333333334</v>
      </c>
      <c r="P532" s="49" t="n">
        <v>45571</v>
      </c>
      <c r="Q532" s="47" t="n">
        <v>2736</v>
      </c>
      <c r="R532" s="47" t="inlineStr">
        <is>
          <t>No Video ID yet</t>
        </is>
      </c>
      <c r="S532" s="49" t="n"/>
      <c r="T532" s="49" t="n"/>
      <c r="U532" s="47" t="inlineStr">
        <is>
          <t>Join J and Ben as they dive into Chapter 18 of the Prisoner of Azkaban and discuss whether or not Snape accompanied Lupin to the Shrieking Shack, why nobody in Hogsmeade ever complained about being attacked by a werewolf and also a dog and also a deer and also a rat, and no one ever tells Harry what his dad's animagus form was.</t>
        </is>
      </c>
      <c r="V532" s="47">
        <f>IF(AND(P532&gt;=Calendar!$K$2,P532&lt;EDATE(Calendar!$K$2,1),OR(Calendar!$K$4="*",N532=Calendar!$K$4)),P532*100+COUNTIFS($P$6:$P$3267,P532,$Q$6:$Q$3267,"&lt;="&amp;Q532,$N$6:$N$3267,Calendar!$K$4),"")</f>
        <v/>
      </c>
      <c r="W532" s="47">
        <f>IF(AND(B532=Queue!$C$4,OR(Queue!$K$4="*",N532=Queue!$K$4)),Q532,"")</f>
        <v/>
      </c>
    </row>
    <row r="533">
      <c r="A533" s="38">
        <f>IF(M533="","",HYPERLINK("https://www.youtube.com/watch?v="&amp;M533,"▶"))</f>
        <v/>
      </c>
      <c r="B533" s="39">
        <f>IF(C533&lt;&gt;"",C533,IF(P533&lt;=IFERROR(INDEX(tblChannels[Watched Through],MATCH(N533,tblChannels[Channel ID],0)),0),"Watched","Unwatched"))</f>
        <v/>
      </c>
      <c r="C533" s="40" t="n"/>
      <c r="D533" s="41" t="n"/>
      <c r="E533" s="42" t="n">
        <v>45570.41666666666</v>
      </c>
      <c r="F533" s="43" t="inlineStr">
        <is>
          <t>Popcorn Culture</t>
        </is>
      </c>
      <c r="G533" t="inlineStr">
        <is>
          <t>Griffin Tour in a Nutshell | Popcorn Culture</t>
        </is>
      </c>
      <c r="H533" s="44" t="n">
        <v>0.05318287037037037</v>
      </c>
      <c r="I533" s="45" t="n">
        <v>3891</v>
      </c>
      <c r="J533" s="45" t="n">
        <v>220</v>
      </c>
      <c r="K533" s="45" t="n">
        <v>31</v>
      </c>
      <c r="L533" s="46" t="n"/>
      <c r="M533" s="47" t="n"/>
      <c r="N533" s="47" t="inlineStr">
        <is>
          <t>UCHfIbq9thHPC8yrKjAdJgDA</t>
        </is>
      </c>
      <c r="O533" s="48" t="n">
        <v>45570.58333333334</v>
      </c>
      <c r="P533" s="49" t="n">
        <v>45570</v>
      </c>
      <c r="Q533" s="47" t="n">
        <v>2735</v>
      </c>
      <c r="R533" s="47" t="inlineStr">
        <is>
          <t>No Video ID yet</t>
        </is>
      </c>
      <c r="S533" s="49" t="n"/>
      <c r="T533" s="49" t="n"/>
      <c r="U533" s="47" t="inlineStr">
        <is>
          <t>In the 252nd episode of the Pop, Ben and J discuss all things West Coast Tour!! The exhaustion, the Sea Hawkes game, the Space Needle, the crazy long drive, the Portland Rose Garden, Portland's unique greenroom, Top Golf, Old Sac, the Golden Gate Bridge, the manatee shows, the New Zealand restaurant, the wives show, Little Tokyo, the LA finale, the Mythical Studio, Disneyland, and pin trading. Magicbymikaila- Dunedin - Good Mythical Morning - The Seahawkes are Loud Bungee Off the Needle Type 2 Fun The Demon Toilet We’re Golf Guys Now Pin Success</t>
        </is>
      </c>
      <c r="V533" s="47">
        <f>IF(AND(P533&gt;=Calendar!$K$2,P533&lt;EDATE(Calendar!$K$2,1),OR(Calendar!$K$4="*",N533=Calendar!$K$4)),P533*100+COUNTIFS($P$6:$P$3267,P533,$Q$6:$Q$3267,"&lt;="&amp;Q533,$N$6:$N$3267,Calendar!$K$4),"")</f>
        <v/>
      </c>
      <c r="W533" s="47">
        <f>IF(AND(B533=Queue!$C$4,OR(Queue!$K$4="*",N533=Queue!$K$4)),Q533,"")</f>
        <v/>
      </c>
    </row>
    <row r="534">
      <c r="A534" s="38">
        <f>IF(M534="","",HYPERLINK("https://www.youtube.com/watch?v="&amp;M534,"▶"))</f>
        <v/>
      </c>
      <c r="B534" s="39">
        <f>IF(C534&lt;&gt;"",C534,IF(P534&lt;=IFERROR(INDEX(tblChannels[Watched Through],MATCH(N534,tblChannels[Channel ID],0)),0),"Watched","Unwatched"))</f>
        <v/>
      </c>
      <c r="C534" s="40" t="n"/>
      <c r="D534" s="41" t="n"/>
      <c r="E534" s="42" t="n">
        <v>45569.68819444445</v>
      </c>
      <c r="F534" s="50" t="inlineStr">
        <is>
          <t>Super Carlin Brothers</t>
        </is>
      </c>
      <c r="G534" t="inlineStr">
        <is>
          <t>Death Is A DEMENTOR | Harry Potter Film Theory</t>
        </is>
      </c>
      <c r="H534" s="44" t="n">
        <v>0.01138888888888889</v>
      </c>
      <c r="I534" s="45" t="n">
        <v>182659</v>
      </c>
      <c r="J534" s="45" t="n">
        <v>7868</v>
      </c>
      <c r="K534" s="45" t="n">
        <v>849</v>
      </c>
      <c r="L534" s="46" t="n"/>
      <c r="M534" s="47" t="n"/>
      <c r="N534" s="47" t="inlineStr">
        <is>
          <t>UCKZo4N0lVPccBkSiuyVh4yg</t>
        </is>
      </c>
      <c r="O534" s="48" t="n">
        <v>45569.85486111111</v>
      </c>
      <c r="P534" s="49" t="n">
        <v>45569</v>
      </c>
      <c r="Q534" s="47" t="n">
        <v>2734</v>
      </c>
      <c r="R534" s="47" t="inlineStr">
        <is>
          <t>No Video ID yet</t>
        </is>
      </c>
      <c r="S534" s="49" t="n"/>
      <c r="T534" s="49" t="n"/>
      <c r="U534" s="47" t="inlineStr">
        <is>
          <t>Go to to get 15% off your next gift. Today J dives into the Wizarding World of Harry Potter to try and uncover the origins of DEATH from the Tale of the Three Brothers.. Did he start out as something else.. A Dementor?</t>
        </is>
      </c>
      <c r="V534" s="47">
        <f>IF(AND(P534&gt;=Calendar!$K$2,P534&lt;EDATE(Calendar!$K$2,1),OR(Calendar!$K$4="*",N534=Calendar!$K$4)),P534*100+COUNTIFS($P$6:$P$3267,P534,$Q$6:$Q$3267,"&lt;="&amp;Q534,$N$6:$N$3267,Calendar!$K$4),"")</f>
        <v/>
      </c>
      <c r="W534" s="47">
        <f>IF(AND(B534=Queue!$C$4,OR(Queue!$K$4="*",N534=Queue!$K$4)),Q534,"")</f>
        <v/>
      </c>
    </row>
    <row r="535">
      <c r="A535" s="38">
        <f>IF(M535="","",HYPERLINK("https://www.youtube.com/watch?v="&amp;M535,"▶"))</f>
        <v/>
      </c>
      <c r="B535" s="39">
        <f>IF(C535&lt;&gt;"",C535,IF(P535&lt;=IFERROR(INDEX(tblChannels[Watched Through],MATCH(N535,tblChannels[Channel ID],0)),0),"Watched","Unwatched"))</f>
        <v/>
      </c>
      <c r="C535" s="40" t="n"/>
      <c r="D535" s="41" t="n"/>
      <c r="E535" s="42" t="n">
        <v>45568.775</v>
      </c>
      <c r="F535" s="50" t="inlineStr">
        <is>
          <t>Super Carlin Brothers</t>
        </is>
      </c>
      <c r="G535" t="inlineStr">
        <is>
          <t>We Rank EVERY Harry Potter Hero | Harry Potter Film Theory</t>
        </is>
      </c>
      <c r="H535" s="44" t="n">
        <v>0.0574537037037037</v>
      </c>
      <c r="I535" s="45" t="n">
        <v>232404</v>
      </c>
      <c r="J535" s="45" t="n">
        <v>5137</v>
      </c>
      <c r="K535" s="45" t="n">
        <v>1056</v>
      </c>
      <c r="L535" s="46" t="n"/>
      <c r="M535" s="47" t="n"/>
      <c r="N535" s="47" t="inlineStr">
        <is>
          <t>UCKZo4N0lVPccBkSiuyVh4yg</t>
        </is>
      </c>
      <c r="O535" s="48" t="n">
        <v>45568.94166666667</v>
      </c>
      <c r="P535" s="49" t="n">
        <v>45568</v>
      </c>
      <c r="Q535" s="47" t="n">
        <v>2733</v>
      </c>
      <c r="R535" s="47" t="inlineStr">
        <is>
          <t>No Video ID yet</t>
        </is>
      </c>
      <c r="S535" s="49" t="n"/>
      <c r="T535" s="49" t="n"/>
      <c r="U535" s="47" t="inlineStr">
        <is>
          <t>This episode is sponsored by BetterHelp — go to to get 10% off your first month. Today J and Ben dive into the Wizarding World of Harry Potter to Rank Every Hero in Harry Potter (by mention in books) on a Tier List from O to T (Thats Outstanding to Troll for you muggles) Make your own Tier list :: Characters by mention:: #supercarlinbrothers #HarryPotter #TierList</t>
        </is>
      </c>
      <c r="V535" s="47">
        <f>IF(AND(P535&gt;=Calendar!$K$2,P535&lt;EDATE(Calendar!$K$2,1),OR(Calendar!$K$4="*",N535=Calendar!$K$4)),P535*100+COUNTIFS($P$6:$P$3267,P535,$Q$6:$Q$3267,"&lt;="&amp;Q535,$N$6:$N$3267,Calendar!$K$4),"")</f>
        <v/>
      </c>
      <c r="W535" s="47">
        <f>IF(AND(B535=Queue!$C$4,OR(Queue!$K$4="*",N535=Queue!$K$4)),Q535,"")</f>
        <v/>
      </c>
    </row>
    <row r="536">
      <c r="A536" s="38">
        <f>IF(M536="","",HYPERLINK("https://www.youtube.com/watch?v="&amp;M536,"▶"))</f>
        <v/>
      </c>
      <c r="B536" s="39">
        <f>IF(C536&lt;&gt;"",C536,IF(P536&lt;=IFERROR(INDEX(tblChannels[Watched Through],MATCH(N536,tblChannels[Channel ID],0)),0),"Watched","Unwatched"))</f>
        <v/>
      </c>
      <c r="C536" s="40" t="n"/>
      <c r="D536" s="41" t="n"/>
      <c r="E536" s="42" t="n">
        <v>45568.625</v>
      </c>
      <c r="F536" s="51" t="inlineStr">
        <is>
          <t>Through The Griffin Door</t>
        </is>
      </c>
      <c r="G536" t="inlineStr">
        <is>
          <t>LIVE IN SEATTLE - Chapter 17: Cat, Rat and Dog | Prisoner of Azkaban</t>
        </is>
      </c>
      <c r="H536" s="44" t="n">
        <v>0.04017361111111111</v>
      </c>
      <c r="I536" s="45" t="n">
        <v>21339</v>
      </c>
      <c r="J536" s="45" t="n">
        <v>1029</v>
      </c>
      <c r="K536" s="45" t="n">
        <v>186</v>
      </c>
      <c r="L536" s="46" t="n"/>
      <c r="M536" s="47" t="n"/>
      <c r="N536" s="47" t="inlineStr">
        <is>
          <t>UCEscP6ETYXWSSvsNrDHekMQ</t>
        </is>
      </c>
      <c r="O536" s="48" t="n">
        <v>45568.79166666666</v>
      </c>
      <c r="P536" s="49" t="n">
        <v>45568</v>
      </c>
      <c r="Q536" s="47" t="n">
        <v>2732</v>
      </c>
      <c r="R536" s="47" t="inlineStr">
        <is>
          <t>No Video ID yet</t>
        </is>
      </c>
      <c r="S536" s="49" t="n"/>
      <c r="T536" s="49" t="n"/>
      <c r="U536" s="47" t="inlineStr">
        <is>
          <t>Join J and Ben as they dive BACK into Chapter 17 of the Prisoner of Azkaban (in SEATTLE!!!) and discuss Ron's dedication to holding onto his rat, Sirius's dedication to being as vague as possible, and Gilderoy Lockhart's dedication to end up being mentioned in every single episode of this podcast. Do YOU want to see us LIVE? We're going back on tour! Tickets are ON SALE NOW for the Southeast leg of Through the Griffin TOUR!!!</t>
        </is>
      </c>
      <c r="V536" s="47">
        <f>IF(AND(P536&gt;=Calendar!$K$2,P536&lt;EDATE(Calendar!$K$2,1),OR(Calendar!$K$4="*",N536=Calendar!$K$4)),P536*100+COUNTIFS($P$6:$P$3267,P536,$Q$6:$Q$3267,"&lt;="&amp;Q536,$N$6:$N$3267,Calendar!$K$4),"")</f>
        <v/>
      </c>
      <c r="W536" s="47">
        <f>IF(AND(B536=Queue!$C$4,OR(Queue!$K$4="*",N536=Queue!$K$4)),Q536,"")</f>
        <v/>
      </c>
    </row>
    <row r="537">
      <c r="A537" s="38">
        <f>IF(M537="","",HYPERLINK("https://www.youtube.com/watch?v="&amp;M537,"▶"))</f>
        <v/>
      </c>
      <c r="B537" s="39">
        <f>IF(C537&lt;&gt;"",C537,IF(P537&lt;=IFERROR(INDEX(tblChannels[Watched Through],MATCH(N537,tblChannels[Channel ID],0)),0),"Watched","Unwatched"))</f>
        <v/>
      </c>
      <c r="C537" s="40" t="n"/>
      <c r="D537" s="41" t="n"/>
      <c r="E537" s="42" t="n">
        <v>45564.41666666666</v>
      </c>
      <c r="F537" s="51" t="inlineStr">
        <is>
          <t>Through The Griffin Door</t>
        </is>
      </c>
      <c r="G537" t="inlineStr">
        <is>
          <t>Chapter 17: Cat, Rat and Dog | Prisoner of Azkaban</t>
        </is>
      </c>
      <c r="H537" s="44" t="n">
        <v>0.05689814814814815</v>
      </c>
      <c r="I537" s="45" t="n">
        <v>58767</v>
      </c>
      <c r="J537" s="45" t="n">
        <v>1823</v>
      </c>
      <c r="K537" s="45" t="n">
        <v>558</v>
      </c>
      <c r="L537" s="46" t="n"/>
      <c r="M537" s="47" t="n"/>
      <c r="N537" s="47" t="inlineStr">
        <is>
          <t>UCEscP6ETYXWSSvsNrDHekMQ</t>
        </is>
      </c>
      <c r="O537" s="48" t="n">
        <v>45564.58333333334</v>
      </c>
      <c r="P537" s="49" t="n">
        <v>45564</v>
      </c>
      <c r="Q537" s="47" t="n">
        <v>2731</v>
      </c>
      <c r="R537" s="47" t="inlineStr">
        <is>
          <t>No Video ID yet</t>
        </is>
      </c>
      <c r="S537" s="49" t="n"/>
      <c r="T537" s="49" t="n"/>
      <c r="U537" s="47" t="inlineStr">
        <is>
          <t>Join J and Ben as they dive into Chapter 17 of the Prisoner of Azkaban and discuss the sunset imagery, Scabbers trying to escape, Sirius getting Ron, the Whomping Willow, Nox, the rampant vaguery, Harry wanting to kill Harry, Lupin bursting in and figuring out the plot, and the Peter reveal. 06:40 - Chapter Breakdown 1:06:49 - Closing Thoughts and Review</t>
        </is>
      </c>
      <c r="V537" s="47">
        <f>IF(AND(P537&gt;=Calendar!$K$2,P537&lt;EDATE(Calendar!$K$2,1),OR(Calendar!$K$4="*",N537=Calendar!$K$4)),P537*100+COUNTIFS($P$6:$P$3267,P537,$Q$6:$Q$3267,"&lt;="&amp;Q537,$N$6:$N$3267,Calendar!$K$4),"")</f>
        <v/>
      </c>
      <c r="W537" s="47">
        <f>IF(AND(B537=Queue!$C$4,OR(Queue!$K$4="*",N537=Queue!$K$4)),Q537,"")</f>
        <v/>
      </c>
    </row>
    <row r="538">
      <c r="A538" s="38">
        <f>IF(M538="","",HYPERLINK("https://www.youtube.com/watch?v="&amp;M538,"▶"))</f>
        <v/>
      </c>
      <c r="B538" s="39">
        <f>IF(C538&lt;&gt;"",C538,IF(P538&lt;=IFERROR(INDEX(tblChannels[Watched Through],MATCH(N538,tblChannels[Channel ID],0)),0),"Watched","Unwatched"))</f>
        <v/>
      </c>
      <c r="C538" s="40" t="n"/>
      <c r="D538" s="41" t="n"/>
      <c r="E538" s="42" t="n">
        <v>45562.62569444445</v>
      </c>
      <c r="F538" s="50" t="inlineStr">
        <is>
          <t>Super Carlin Brothers</t>
        </is>
      </c>
      <c r="G538" t="inlineStr">
        <is>
          <t>The SECRET Origin Of The Diary | Harry Potter Film Theory</t>
        </is>
      </c>
      <c r="H538" s="44" t="n">
        <v>0.01033564814814815</v>
      </c>
      <c r="I538" s="45" t="n">
        <v>106791</v>
      </c>
      <c r="J538" s="45" t="n">
        <v>5457</v>
      </c>
      <c r="K538" s="45" t="n">
        <v>594</v>
      </c>
      <c r="L538" s="46" t="n"/>
      <c r="M538" s="47" t="n"/>
      <c r="N538" s="47" t="inlineStr">
        <is>
          <t>UCKZo4N0lVPccBkSiuyVh4yg</t>
        </is>
      </c>
      <c r="O538" s="48" t="n">
        <v>45562.79236111111</v>
      </c>
      <c r="P538" s="49" t="n">
        <v>45562</v>
      </c>
      <c r="Q538" s="47" t="n">
        <v>2730</v>
      </c>
      <c r="R538" s="47" t="inlineStr">
        <is>
          <t>No Video ID yet</t>
        </is>
      </c>
      <c r="S538" s="49" t="n"/>
      <c r="T538" s="49" t="n"/>
      <c r="U538" s="47" t="inlineStr">
        <is>
          <t>Today J dives into the Wizarding World of Harry Potter to reveal the Secret origin of Voldemorts Diary Horcrux and reveal why and how it was actually</t>
        </is>
      </c>
      <c r="V538" s="47">
        <f>IF(AND(P538&gt;=Calendar!$K$2,P538&lt;EDATE(Calendar!$K$2,1),OR(Calendar!$K$4="*",N538=Calendar!$K$4)),P538*100+COUNTIFS($P$6:$P$3267,P538,$Q$6:$Q$3267,"&lt;="&amp;Q538,$N$6:$N$3267,Calendar!$K$4),"")</f>
        <v/>
      </c>
      <c r="W538" s="47">
        <f>IF(AND(B538=Queue!$C$4,OR(Queue!$K$4="*",N538=Queue!$K$4)),Q538,"")</f>
        <v/>
      </c>
    </row>
    <row r="539">
      <c r="A539" s="38">
        <f>IF(M539="","",HYPERLINK("https://www.youtube.com/watch?v="&amp;M539,"▶"))</f>
        <v/>
      </c>
      <c r="B539" s="39">
        <f>IF(C539&lt;&gt;"",C539,IF(P539&lt;=IFERROR(INDEX(tblChannels[Watched Through],MATCH(N539,tblChannels[Channel ID],0)),0),"Watched","Unwatched"))</f>
        <v/>
      </c>
      <c r="C539" s="40" t="n"/>
      <c r="D539" s="41" t="n"/>
      <c r="E539" s="42" t="n">
        <v>45562.41666666666</v>
      </c>
      <c r="F539" s="43" t="inlineStr">
        <is>
          <t>Popcorn Culture</t>
        </is>
      </c>
      <c r="G539" t="inlineStr">
        <is>
          <t>The Nuances of Air Quotes | Popcorn Culture</t>
        </is>
      </c>
      <c r="H539" s="44" t="n">
        <v>0.0502662037037037</v>
      </c>
      <c r="I539" s="45" t="n">
        <v>3633</v>
      </c>
      <c r="J539" s="45" t="n">
        <v>189</v>
      </c>
      <c r="K539" s="45" t="n">
        <v>28</v>
      </c>
      <c r="L539" s="46" t="n"/>
      <c r="M539" s="47" t="n"/>
      <c r="N539" s="47" t="inlineStr">
        <is>
          <t>UCHfIbq9thHPC8yrKjAdJgDA</t>
        </is>
      </c>
      <c r="O539" s="48" t="n">
        <v>45562.58333333334</v>
      </c>
      <c r="P539" s="49" t="n">
        <v>45562</v>
      </c>
      <c r="Q539" s="47" t="n">
        <v>2729</v>
      </c>
      <c r="R539" s="47" t="inlineStr">
        <is>
          <t>No Video ID yet</t>
        </is>
      </c>
      <c r="S539" s="49" t="n"/>
      <c r="T539" s="49" t="n"/>
      <c r="U539" s="47" t="inlineStr">
        <is>
          <t>In the 251st episode of the Pop, Ben and J discuss the pantomimes, party tricks, seeing the world as we are, Luke’s first podcast, our latest SCB series, taking care of yourself, upcoming tour, getting shots, restorative activities, and passage of time. Friends - How I Met Your Mother - Love Island - Nightmare Before Christmas - Miles the Brave - A Planet of Information 00:00 - Intro, Air Quotes 10:30 - Party Tricks 27:08 - Luke’s First Podcast 34:20 - Ron in Hufflepuff 53:30 - Vaccines</t>
        </is>
      </c>
      <c r="V539" s="47">
        <f>IF(AND(P539&gt;=Calendar!$K$2,P539&lt;EDATE(Calendar!$K$2,1),OR(Calendar!$K$4="*",N539=Calendar!$K$4)),P539*100+COUNTIFS($P$6:$P$3267,P539,$Q$6:$Q$3267,"&lt;="&amp;Q539,$N$6:$N$3267,Calendar!$K$4),"")</f>
        <v/>
      </c>
      <c r="W539" s="47">
        <f>IF(AND(B539=Queue!$C$4,OR(Queue!$K$4="*",N539=Queue!$K$4)),Q539,"")</f>
        <v/>
      </c>
    </row>
    <row r="540">
      <c r="A540" s="38">
        <f>IF(M540="","",HYPERLINK("https://www.youtube.com/watch?v="&amp;M540,"▶"))</f>
        <v/>
      </c>
      <c r="B540" s="39">
        <f>IF(C540&lt;&gt;"",C540,IF(P540&lt;=IFERROR(INDEX(tblChannels[Watched Through],MATCH(N540,tblChannels[Channel ID],0)),0),"Watched","Unwatched"))</f>
        <v/>
      </c>
      <c r="C540" s="40" t="n"/>
      <c r="D540" s="41" t="n"/>
      <c r="E540" s="42" t="n">
        <v>45560.625</v>
      </c>
      <c r="F540" s="50" t="inlineStr">
        <is>
          <t>Super Carlin Brothers</t>
        </is>
      </c>
      <c r="G540" t="inlineStr">
        <is>
          <t>J vs Ben: We FACE OFF in the HARDEST Harry Potter Dobby TRIVIA Quiz</t>
        </is>
      </c>
      <c r="H540" s="44" t="n">
        <v>0.03009259259259259</v>
      </c>
      <c r="I540" s="45" t="n">
        <v>140326</v>
      </c>
      <c r="J540" s="45" t="n">
        <v>4652</v>
      </c>
      <c r="K540" s="45" t="n">
        <v>745</v>
      </c>
      <c r="L540" s="46" t="n"/>
      <c r="M540" s="47" t="n"/>
      <c r="N540" s="47" t="inlineStr">
        <is>
          <t>UCKZo4N0lVPccBkSiuyVh4yg</t>
        </is>
      </c>
      <c r="O540" s="48" t="n">
        <v>45560.79166666666</v>
      </c>
      <c r="P540" s="49" t="n">
        <v>45560</v>
      </c>
      <c r="Q540" s="47" t="n">
        <v>2728</v>
      </c>
      <c r="R540" s="47" t="inlineStr">
        <is>
          <t>No Video ID yet</t>
        </is>
      </c>
      <c r="S540" s="49" t="n"/>
      <c r="T540" s="49" t="n"/>
      <c r="U540" s="47" t="inlineStr">
        <is>
          <t>Go to to get 20% off your first order and free shipping. Today J and Ben face off to find out which of them knows more about everyone's favorite chaotic house elf DOBBY aka Sir Dobbert aka DOBBY IS A FREE ELF aka OK wow hit him with a knife right at the end thats FINE geez maybe I’ll recover someday.</t>
        </is>
      </c>
      <c r="V540" s="47">
        <f>IF(AND(P540&gt;=Calendar!$K$2,P540&lt;EDATE(Calendar!$K$2,1),OR(Calendar!$K$4="*",N540=Calendar!$K$4)),P540*100+COUNTIFS($P$6:$P$3267,P540,$Q$6:$Q$3267,"&lt;="&amp;Q540,$N$6:$N$3267,Calendar!$K$4),"")</f>
        <v/>
      </c>
      <c r="W540" s="47">
        <f>IF(AND(B540=Queue!$C$4,OR(Queue!$K$4="*",N540=Queue!$K$4)),Q540,"")</f>
        <v/>
      </c>
    </row>
    <row r="541">
      <c r="A541" s="38">
        <f>IF(M541="","",HYPERLINK("https://www.youtube.com/watch?v="&amp;M541,"▶"))</f>
        <v/>
      </c>
      <c r="B541" s="39">
        <f>IF(C541&lt;&gt;"",C541,IF(P541&lt;=IFERROR(INDEX(tblChannels[Watched Through],MATCH(N541,tblChannels[Channel ID],0)),0),"Watched","Unwatched"))</f>
        <v/>
      </c>
      <c r="C541" s="40" t="n"/>
      <c r="D541" s="41" t="n"/>
      <c r="E541" s="42" t="n">
        <v>45557.41666666666</v>
      </c>
      <c r="F541" s="51" t="inlineStr">
        <is>
          <t>Through The Griffin Door</t>
        </is>
      </c>
      <c r="G541" t="inlineStr">
        <is>
          <t>Chapter 16: Professor Trelawney’s Prediction | Prisoner of Azkaban</t>
        </is>
      </c>
      <c r="H541" s="44" t="n">
        <v>0.07467592592592592</v>
      </c>
      <c r="I541" s="45" t="n">
        <v>68058</v>
      </c>
      <c r="J541" s="45" t="n">
        <v>1865</v>
      </c>
      <c r="K541" s="45" t="n">
        <v>670</v>
      </c>
      <c r="L541" s="46" t="n"/>
      <c r="M541" s="47" t="n"/>
      <c r="N541" s="47" t="inlineStr">
        <is>
          <t>UCEscP6ETYXWSSvsNrDHekMQ</t>
        </is>
      </c>
      <c r="O541" s="48" t="n">
        <v>45557.58333333334</v>
      </c>
      <c r="P541" s="49" t="n">
        <v>45557</v>
      </c>
      <c r="Q541" s="47" t="n">
        <v>2727</v>
      </c>
      <c r="R541" s="47" t="inlineStr">
        <is>
          <t>No Video ID yet</t>
        </is>
      </c>
      <c r="S541" s="49" t="n"/>
      <c r="T541" s="49" t="n"/>
      <c r="U541" s="47" t="inlineStr">
        <is>
          <t>Join J and Ben as they dive into Chapter 16 of the Prisoner of Azkaban and discuss exams, Hermione’s impossible schedule, Buckbeak’s appeal, Parvati’s seeing abilities, Trelawney’s genuine prediction, going to Hagrid’s, wombly time, finding Scabbers, and Buckbeak’s NOT execution. 02:46 - Chapter Breakdown 1:29:42 - Closing Thoughts and Review</t>
        </is>
      </c>
      <c r="V541" s="47">
        <f>IF(AND(P541&gt;=Calendar!$K$2,P541&lt;EDATE(Calendar!$K$2,1),OR(Calendar!$K$4="*",N541=Calendar!$K$4)),P541*100+COUNTIFS($P$6:$P$3267,P541,$Q$6:$Q$3267,"&lt;="&amp;Q541,$N$6:$N$3267,Calendar!$K$4),"")</f>
        <v/>
      </c>
      <c r="W541" s="47">
        <f>IF(AND(B541=Queue!$C$4,OR(Queue!$K$4="*",N541=Queue!$K$4)),Q541,"")</f>
        <v/>
      </c>
    </row>
    <row r="542">
      <c r="A542" s="38">
        <f>IF(M542="","",HYPERLINK("https://www.youtube.com/watch?v="&amp;M542,"▶"))</f>
        <v/>
      </c>
      <c r="B542" s="39">
        <f>IF(C542&lt;&gt;"",C542,IF(P542&lt;=IFERROR(INDEX(tblChannels[Watched Through],MATCH(N542,tblChannels[Channel ID],0)),0),"Watched","Unwatched"))</f>
        <v/>
      </c>
      <c r="C542" s="40" t="n"/>
      <c r="D542" s="41" t="n"/>
      <c r="E542" s="42" t="n">
        <v>45556.41666666666</v>
      </c>
      <c r="F542" s="50" t="inlineStr">
        <is>
          <t>Super Carlin Brothers</t>
        </is>
      </c>
      <c r="G542" t="inlineStr">
        <is>
          <t>Through the Griffin Door Supercut: Prisoner of Azkaban Chapters 13-15</t>
        </is>
      </c>
      <c r="H542" s="44" t="n">
        <v>0.2022106481481482</v>
      </c>
      <c r="I542" s="45" t="n">
        <v>27992</v>
      </c>
      <c r="J542" s="45" t="n">
        <v>470</v>
      </c>
      <c r="K542" s="45" t="n">
        <v>108</v>
      </c>
      <c r="L542" s="46" t="n"/>
      <c r="M542" s="47" t="n"/>
      <c r="N542" s="47" t="inlineStr">
        <is>
          <t>UCKZo4N0lVPccBkSiuyVh4yg</t>
        </is>
      </c>
      <c r="O542" s="48" t="n">
        <v>45556.58333333334</v>
      </c>
      <c r="P542" s="49" t="n">
        <v>45556</v>
      </c>
      <c r="Q542" s="47" t="n">
        <v>2726</v>
      </c>
      <c r="R542" s="47" t="inlineStr">
        <is>
          <t>No Video ID yet</t>
        </is>
      </c>
      <c r="S542" s="49" t="n"/>
      <c r="T542" s="49" t="n"/>
      <c r="U542" s="47" t="n"/>
      <c r="V542" s="47">
        <f>IF(AND(P542&gt;=Calendar!$K$2,P542&lt;EDATE(Calendar!$K$2,1),OR(Calendar!$K$4="*",N542=Calendar!$K$4)),P542*100+COUNTIFS($P$6:$P$3267,P542,$Q$6:$Q$3267,"&lt;="&amp;Q542,$N$6:$N$3267,Calendar!$K$4),"")</f>
        <v/>
      </c>
      <c r="W542" s="47">
        <f>IF(AND(B542=Queue!$C$4,OR(Queue!$K$4="*",N542=Queue!$K$4)),Q542,"")</f>
        <v/>
      </c>
    </row>
    <row r="543">
      <c r="A543" s="38">
        <f>IF(M543="","",HYPERLINK("https://www.youtube.com/watch?v="&amp;M543,"▶"))</f>
        <v/>
      </c>
      <c r="B543" s="39">
        <f>IF(C543&lt;&gt;"",C543,IF(P543&lt;=IFERROR(INDEX(tblChannels[Watched Through],MATCH(N543,tblChannels[Channel ID],0)),0),"Watched","Unwatched"))</f>
        <v/>
      </c>
      <c r="C543" s="40" t="n"/>
      <c r="D543" s="41" t="n"/>
      <c r="E543" s="42" t="n">
        <v>45555.625</v>
      </c>
      <c r="F543" s="50" t="inlineStr">
        <is>
          <t>Super Carlin Brothers</t>
        </is>
      </c>
      <c r="G543" t="inlineStr">
        <is>
          <t>What if Ron Was In Hufflepuff? - Prisoner of Azkaban Part 4 | Harry Potter Film Theory</t>
        </is>
      </c>
      <c r="H543" s="44" t="n">
        <v>0.01613425925925926</v>
      </c>
      <c r="I543" s="45" t="n">
        <v>110985</v>
      </c>
      <c r="J543" s="45" t="n">
        <v>5222</v>
      </c>
      <c r="K543" s="45" t="n">
        <v>424</v>
      </c>
      <c r="L543" s="46" t="n"/>
      <c r="M543" s="47" t="n"/>
      <c r="N543" s="47" t="inlineStr">
        <is>
          <t>UCKZo4N0lVPccBkSiuyVh4yg</t>
        </is>
      </c>
      <c r="O543" s="48" t="n">
        <v>45555.79166666666</v>
      </c>
      <c r="P543" s="49" t="n">
        <v>45555</v>
      </c>
      <c r="Q543" s="47" t="n">
        <v>2725</v>
      </c>
      <c r="R543" s="47" t="inlineStr">
        <is>
          <t>No Video ID yet</t>
        </is>
      </c>
      <c r="S543" s="49" t="n"/>
      <c r="T543" s="49" t="n"/>
      <c r="U543" s="47" t="inlineStr">
        <is>
          <t>Go to to sign up for a $1-per-month trial period. Today Ben dives back into What if Ron Weasley Was in Hufflepuff? As we enter the back half of year 3 Ron has turned in Harry for the Firebolt! How will it affect the brothers relationship? Can Ron make it up to Harry? Does he care about Sirius Black or is just a ploy to win at Quidditch? And What happens if Ron gets to go on the Time Turner adventure?</t>
        </is>
      </c>
      <c r="V543" s="47">
        <f>IF(AND(P543&gt;=Calendar!$K$2,P543&lt;EDATE(Calendar!$K$2,1),OR(Calendar!$K$4="*",N543=Calendar!$K$4)),P543*100+COUNTIFS($P$6:$P$3267,P543,$Q$6:$Q$3267,"&lt;="&amp;Q543,$N$6:$N$3267,Calendar!$K$4),"")</f>
        <v/>
      </c>
      <c r="W543" s="47">
        <f>IF(AND(B543=Queue!$C$4,OR(Queue!$K$4="*",N543=Queue!$K$4)),Q543,"")</f>
        <v/>
      </c>
    </row>
    <row r="544">
      <c r="A544" s="38">
        <f>IF(M544="","",HYPERLINK("https://www.youtube.com/watch?v="&amp;M544,"▶"))</f>
        <v/>
      </c>
      <c r="B544" s="39">
        <f>IF(C544&lt;&gt;"",C544,IF(P544&lt;=IFERROR(INDEX(tblChannels[Watched Through],MATCH(N544,tblChannels[Channel ID],0)),0),"Watched","Unwatched"))</f>
        <v/>
      </c>
      <c r="C544" s="40" t="n"/>
      <c r="D544" s="41" t="n"/>
      <c r="E544" s="42" t="n">
        <v>45555.41666666666</v>
      </c>
      <c r="F544" s="43" t="inlineStr">
        <is>
          <t>Popcorn Culture</t>
        </is>
      </c>
      <c r="G544" t="inlineStr">
        <is>
          <t>Our Worst Argument Ever! | Popcorn Culture</t>
        </is>
      </c>
      <c r="H544" s="44" t="n">
        <v>0.046875</v>
      </c>
      <c r="I544" s="45" t="n">
        <v>3787</v>
      </c>
      <c r="J544" s="45" t="n">
        <v>225</v>
      </c>
      <c r="K544" s="45" t="n">
        <v>49</v>
      </c>
      <c r="L544" s="46" t="n"/>
      <c r="M544" s="47" t="n"/>
      <c r="N544" s="47" t="inlineStr">
        <is>
          <t>UCHfIbq9thHPC8yrKjAdJgDA</t>
        </is>
      </c>
      <c r="O544" s="48" t="n">
        <v>45555.58333333334</v>
      </c>
      <c r="P544" s="49" t="n">
        <v>45555</v>
      </c>
      <c r="Q544" s="47" t="n">
        <v>2724</v>
      </c>
      <c r="R544" s="47" t="inlineStr">
        <is>
          <t>No Video ID yet</t>
        </is>
      </c>
      <c r="S544" s="49" t="n"/>
      <c r="T544" s="49" t="n"/>
      <c r="U544" s="47" t="inlineStr">
        <is>
          <t>In the 250th (!!!) Episode of the Pop, Ben and J answer all your questions (from under water) and discuss their favorite potatoes and eggs, disagreements, cross country, technical specialties, Bluey theories and How I Met Your Mother. Bluey - How I Met Your Mother - How I Met Your Father - Good About the Bad 00:00 - Disclaimer, Intro 03:44 - Potatoes! 11:00 - Eggs! 20:55 - Conflict 33:01 - High School Sports 39:33 - Aquariums and Pokemon 46:19 - Bluey</t>
        </is>
      </c>
      <c r="V544" s="47">
        <f>IF(AND(P544&gt;=Calendar!$K$2,P544&lt;EDATE(Calendar!$K$2,1),OR(Calendar!$K$4="*",N544=Calendar!$K$4)),P544*100+COUNTIFS($P$6:$P$3267,P544,$Q$6:$Q$3267,"&lt;="&amp;Q544,$N$6:$N$3267,Calendar!$K$4),"")</f>
        <v/>
      </c>
      <c r="W544" s="47">
        <f>IF(AND(B544=Queue!$C$4,OR(Queue!$K$4="*",N544=Queue!$K$4)),Q544,"")</f>
        <v/>
      </c>
    </row>
    <row r="545">
      <c r="A545" s="38">
        <f>IF(M545="","",HYPERLINK("https://www.youtube.com/watch?v="&amp;M545,"▶"))</f>
        <v/>
      </c>
      <c r="B545" s="39">
        <f>IF(C545&lt;&gt;"",C545,IF(P545&lt;=IFERROR(INDEX(tblChannels[Watched Through],MATCH(N545,tblChannels[Channel ID],0)),0),"Watched","Unwatched"))</f>
        <v/>
      </c>
      <c r="C545" s="40" t="n"/>
      <c r="D545" s="41" t="n"/>
      <c r="E545" s="42" t="n">
        <v>45553.76388888889</v>
      </c>
      <c r="F545" s="50" t="inlineStr">
        <is>
          <t>Super Carlin Brothers</t>
        </is>
      </c>
      <c r="G545" t="inlineStr">
        <is>
          <t>We Ranked ALL 7 Harry Potter Books Best to Worst | Harry Potter Film Theory</t>
        </is>
      </c>
      <c r="H545" s="44" t="n">
        <v>0.06098379629629629</v>
      </c>
      <c r="I545" s="45" t="n">
        <v>505578</v>
      </c>
      <c r="J545" s="45" t="n">
        <v>10040</v>
      </c>
      <c r="K545" s="45" t="n">
        <v>1790</v>
      </c>
      <c r="L545" s="46" t="n"/>
      <c r="M545" s="47" t="n"/>
      <c r="N545" s="47" t="inlineStr">
        <is>
          <t>UCKZo4N0lVPccBkSiuyVh4yg</t>
        </is>
      </c>
      <c r="O545" s="48" t="n">
        <v>45553.93055555555</v>
      </c>
      <c r="P545" s="49" t="n">
        <v>45553</v>
      </c>
      <c r="Q545" s="47" t="n">
        <v>2723</v>
      </c>
      <c r="R545" s="47" t="inlineStr">
        <is>
          <t>No Video ID yet</t>
        </is>
      </c>
      <c r="S545" s="49" t="n"/>
      <c r="T545" s="49" t="n"/>
      <c r="U545" s="47" t="inlineStr">
        <is>
          <t>Today at LONG last J and Ben give their FULL Rankings of every Harry Potter Book from Philosopher’s Stone to Deathly Hallows! Which is your favorite?</t>
        </is>
      </c>
      <c r="V545" s="47">
        <f>IF(AND(P545&gt;=Calendar!$K$2,P545&lt;EDATE(Calendar!$K$2,1),OR(Calendar!$K$4="*",N545=Calendar!$K$4)),P545*100+COUNTIFS($P$6:$P$3267,P545,$Q$6:$Q$3267,"&lt;="&amp;Q545,$N$6:$N$3267,Calendar!$K$4),"")</f>
        <v/>
      </c>
      <c r="W545" s="47">
        <f>IF(AND(B545=Queue!$C$4,OR(Queue!$K$4="*",N545=Queue!$K$4)),Q545,"")</f>
        <v/>
      </c>
    </row>
    <row r="546">
      <c r="A546" s="38">
        <f>IF(M546="","",HYPERLINK("https://www.youtube.com/watch?v="&amp;M546,"▶"))</f>
        <v/>
      </c>
      <c r="B546" s="39">
        <f>IF(C546&lt;&gt;"",C546,IF(P546&lt;=IFERROR(INDEX(tblChannels[Watched Through],MATCH(N546,tblChannels[Channel ID],0)),0),"Watched","Unwatched"))</f>
        <v/>
      </c>
      <c r="C546" s="40" t="n"/>
      <c r="D546" s="41" t="n"/>
      <c r="E546" s="42" t="n">
        <v>45550.41666666666</v>
      </c>
      <c r="F546" s="51" t="inlineStr">
        <is>
          <t>Through The Griffin Door</t>
        </is>
      </c>
      <c r="G546" t="inlineStr">
        <is>
          <t>Chapter 15: The Quidditch Final | Prisoner of Azkaban</t>
        </is>
      </c>
      <c r="H546" s="44" t="n">
        <v>0.06370370370370371</v>
      </c>
      <c r="I546" s="45" t="n">
        <v>64820</v>
      </c>
      <c r="J546" s="45" t="n">
        <v>1874</v>
      </c>
      <c r="K546" s="45" t="n">
        <v>517</v>
      </c>
      <c r="L546" s="46" t="n"/>
      <c r="M546" s="47" t="n"/>
      <c r="N546" s="47" t="inlineStr">
        <is>
          <t>UCEscP6ETYXWSSvsNrDHekMQ</t>
        </is>
      </c>
      <c r="O546" s="48" t="n">
        <v>45550.58333333334</v>
      </c>
      <c r="P546" s="49" t="n">
        <v>45550</v>
      </c>
      <c r="Q546" s="47" t="n">
        <v>2722</v>
      </c>
      <c r="R546" s="47" t="inlineStr">
        <is>
          <t>No Video ID yet</t>
        </is>
      </c>
      <c r="S546" s="49" t="n"/>
      <c r="T546" s="49" t="n"/>
      <c r="U546" s="47" t="inlineStr">
        <is>
          <t>Join J and Ben as they dive into Chapter 15 of the Prisoner of Azkaban and discuss the letter from Hagrid, the Draco slap, Hermione missing Charms, the drama of the match, seeing Sirius and Crookshanks, population numbers, and Harry winning the game! 10:37 - Chapter Breakdown 1:22:58 - Closing Thoughts and Review</t>
        </is>
      </c>
      <c r="V546" s="47">
        <f>IF(AND(P546&gt;=Calendar!$K$2,P546&lt;EDATE(Calendar!$K$2,1),OR(Calendar!$K$4="*",N546=Calendar!$K$4)),P546*100+COUNTIFS($P$6:$P$3267,P546,$Q$6:$Q$3267,"&lt;="&amp;Q546,$N$6:$N$3267,Calendar!$K$4),"")</f>
        <v/>
      </c>
      <c r="W546" s="47">
        <f>IF(AND(B546=Queue!$C$4,OR(Queue!$K$4="*",N546=Queue!$K$4)),Q546,"")</f>
        <v/>
      </c>
    </row>
    <row r="547">
      <c r="A547" s="38">
        <f>IF(M547="","",HYPERLINK("https://www.youtube.com/watch?v="&amp;M547,"▶"))</f>
        <v/>
      </c>
      <c r="B547" s="39">
        <f>IF(C547&lt;&gt;"",C547,IF(P547&lt;=IFERROR(INDEX(tblChannels[Watched Through],MATCH(N547,tblChannels[Channel ID],0)),0),"Watched","Unwatched"))</f>
        <v/>
      </c>
      <c r="C547" s="40" t="n"/>
      <c r="D547" s="41" t="n"/>
      <c r="E547" s="42" t="n">
        <v>45549.24097222222</v>
      </c>
      <c r="F547" s="52" t="inlineStr">
        <is>
          <t>Super Carlin Gaming</t>
        </is>
      </c>
      <c r="G547" t="inlineStr">
        <is>
          <t>Pokemon Box Breakers LIVE! SEPTEMBER 13, 2024</t>
        </is>
      </c>
      <c r="H547" s="44" t="n">
        <v>0.1275694444444445</v>
      </c>
      <c r="I547" s="45" t="n">
        <v>1378</v>
      </c>
      <c r="J547" s="45" t="n">
        <v>56</v>
      </c>
      <c r="K547" s="45" t="n">
        <v>10</v>
      </c>
      <c r="L547" s="46" t="n"/>
      <c r="M547" s="47" t="n"/>
      <c r="N547" s="47" t="inlineStr">
        <is>
          <t>UCor_9jRnNNZVzTuQ92PKsaQ</t>
        </is>
      </c>
      <c r="O547" s="48" t="n">
        <v>45549.40763888889</v>
      </c>
      <c r="P547" s="49" t="n">
        <v>45549</v>
      </c>
      <c r="Q547" s="47" t="n">
        <v>2721</v>
      </c>
      <c r="R547" s="47" t="inlineStr">
        <is>
          <t>No Video ID yet</t>
        </is>
      </c>
      <c r="S547" s="49" t="n"/>
      <c r="T547" s="49" t="n"/>
      <c r="U547" s="47" t="n"/>
      <c r="V547" s="47">
        <f>IF(AND(P547&gt;=Calendar!$K$2,P547&lt;EDATE(Calendar!$K$2,1),OR(Calendar!$K$4="*",N547=Calendar!$K$4)),P547*100+COUNTIFS($P$6:$P$3267,P547,$Q$6:$Q$3267,"&lt;="&amp;Q547,$N$6:$N$3267,Calendar!$K$4),"")</f>
        <v/>
      </c>
      <c r="W547" s="47">
        <f>IF(AND(B547=Queue!$C$4,OR(Queue!$K$4="*",N547=Queue!$K$4)),Q547,"")</f>
        <v/>
      </c>
    </row>
    <row r="548">
      <c r="A548" s="38">
        <f>IF(M548="","",HYPERLINK("https://www.youtube.com/watch?v="&amp;M548,"▶"))</f>
        <v/>
      </c>
      <c r="B548" s="39">
        <f>IF(C548&lt;&gt;"",C548,IF(P548&lt;=IFERROR(INDEX(tblChannels[Watched Through],MATCH(N548,tblChannels[Channel ID],0)),0),"Watched","Unwatched"))</f>
        <v/>
      </c>
      <c r="C548" s="40" t="n"/>
      <c r="D548" s="41" t="n"/>
      <c r="E548" s="42" t="n">
        <v>45548.71666666667</v>
      </c>
      <c r="F548" s="50" t="inlineStr">
        <is>
          <t>Super Carlin Brothers</t>
        </is>
      </c>
      <c r="G548" t="inlineStr">
        <is>
          <t>What If Ron Was In Hufflepuff - Prisoner of Azkaban | Harry Potter Film Theory</t>
        </is>
      </c>
      <c r="H548" s="44" t="n">
        <v>0.01616898148148148</v>
      </c>
      <c r="I548" s="45" t="n">
        <v>122377</v>
      </c>
      <c r="J548" s="45" t="n">
        <v>5023</v>
      </c>
      <c r="K548" s="45" t="n">
        <v>399</v>
      </c>
      <c r="L548" s="46" t="n"/>
      <c r="M548" s="47" t="n"/>
      <c r="N548" s="47" t="inlineStr">
        <is>
          <t>UCKZo4N0lVPccBkSiuyVh4yg</t>
        </is>
      </c>
      <c r="O548" s="48" t="n">
        <v>45548.88333333333</v>
      </c>
      <c r="P548" s="49" t="n">
        <v>45548</v>
      </c>
      <c r="Q548" s="47" t="n">
        <v>2720</v>
      </c>
      <c r="R548" s="47" t="inlineStr">
        <is>
          <t>No Video ID yet</t>
        </is>
      </c>
      <c r="S548" s="49" t="n"/>
      <c r="T548" s="49" t="n"/>
      <c r="U548" s="47" t="inlineStr">
        <is>
          <t>Go to to get 20% off your first order plus free shipping. Today Ben returns to the Wizarding World of: What If Ron was in Hufflepuff? How does year 3 play out if Ron isn’t in Gryffindor? Does he try out for Quidditch? Do Fred and George still give Harry the map? Is Ron allowed into Hogsmeade?</t>
        </is>
      </c>
      <c r="V548" s="47">
        <f>IF(AND(P548&gt;=Calendar!$K$2,P548&lt;EDATE(Calendar!$K$2,1),OR(Calendar!$K$4="*",N548=Calendar!$K$4)),P548*100+COUNTIFS($P$6:$P$3267,P548,$Q$6:$Q$3267,"&lt;="&amp;Q548,$N$6:$N$3267,Calendar!$K$4),"")</f>
        <v/>
      </c>
      <c r="W548" s="47">
        <f>IF(AND(B548=Queue!$C$4,OR(Queue!$K$4="*",N548=Queue!$K$4)),Q548,"")</f>
        <v/>
      </c>
    </row>
    <row r="549">
      <c r="A549" s="38">
        <f>IF(M549="","",HYPERLINK("https://www.youtube.com/watch?v="&amp;M549,"▶"))</f>
        <v/>
      </c>
      <c r="B549" s="39">
        <f>IF(C549&lt;&gt;"",C549,IF(P549&lt;=IFERROR(INDEX(tblChannels[Watched Through],MATCH(N549,tblChannels[Channel ID],0)),0),"Watched","Unwatched"))</f>
        <v/>
      </c>
      <c r="C549" s="40" t="n"/>
      <c r="D549" s="41" t="n"/>
      <c r="E549" s="42" t="n">
        <v>45548.41666666666</v>
      </c>
      <c r="F549" s="43" t="inlineStr">
        <is>
          <t>Popcorn Culture</t>
        </is>
      </c>
      <c r="G549" t="inlineStr">
        <is>
          <t>J’s Most Unhinged Episode | Popcorn Culture</t>
        </is>
      </c>
      <c r="H549" s="44" t="n">
        <v>0.0377662037037037</v>
      </c>
      <c r="I549" s="45" t="n">
        <v>3772</v>
      </c>
      <c r="J549" s="45" t="n">
        <v>207</v>
      </c>
      <c r="K549" s="45" t="n">
        <v>33</v>
      </c>
      <c r="L549" s="46" t="n"/>
      <c r="M549" s="47" t="n"/>
      <c r="N549" s="47" t="inlineStr">
        <is>
          <t>UCHfIbq9thHPC8yrKjAdJgDA</t>
        </is>
      </c>
      <c r="O549" s="48" t="n">
        <v>45548.58333333334</v>
      </c>
      <c r="P549" s="49" t="n">
        <v>45548</v>
      </c>
      <c r="Q549" s="47" t="n">
        <v>2719</v>
      </c>
      <c r="R549" s="47" t="inlineStr">
        <is>
          <t>No Video ID yet</t>
        </is>
      </c>
      <c r="S549" s="49" t="n"/>
      <c r="T549" s="49" t="n"/>
      <c r="U549" s="47" t="inlineStr">
        <is>
          <t>In the 249th episode of the Pop, Ben and J discuss the sunflower festival, giving your kids spending-money, action figures, not knowing when the last time is coming, birdwatching, and the upcoming Go-Fest. Feather Snap - Coff at the Waff Sour Skittle Center Birdwatching: Pokemon in Real Life Hermit Crab the Cardinal 00:00 - Intro, Sunflower Festival 06:08 - Children Managing Money 35:31 - Birdwatching 45:56 - The Beer Mile</t>
        </is>
      </c>
      <c r="V549" s="47">
        <f>IF(AND(P549&gt;=Calendar!$K$2,P549&lt;EDATE(Calendar!$K$2,1),OR(Calendar!$K$4="*",N549=Calendar!$K$4)),P549*100+COUNTIFS($P$6:$P$3267,P549,$Q$6:$Q$3267,"&lt;="&amp;Q549,$N$6:$N$3267,Calendar!$K$4),"")</f>
        <v/>
      </c>
      <c r="W549" s="47">
        <f>IF(AND(B549=Queue!$C$4,OR(Queue!$K$4="*",N549=Queue!$K$4)),Q549,"")</f>
        <v/>
      </c>
    </row>
    <row r="550">
      <c r="A550" s="38">
        <f>IF(M550="","",HYPERLINK("https://www.youtube.com/watch?v="&amp;M550,"▶"))</f>
        <v/>
      </c>
      <c r="B550" s="39">
        <f>IF(C550&lt;&gt;"",C550,IF(P550&lt;=IFERROR(INDEX(tblChannels[Watched Through],MATCH(N550,tblChannels[Channel ID],0)),0),"Watched","Unwatched"))</f>
        <v/>
      </c>
      <c r="C550" s="40" t="n"/>
      <c r="D550" s="41" t="n"/>
      <c r="E550" s="42" t="n">
        <v>45546.71666666667</v>
      </c>
      <c r="F550" s="50" t="inlineStr">
        <is>
          <t>Super Carlin Brothers</t>
        </is>
      </c>
      <c r="G550" t="inlineStr">
        <is>
          <t>J vs Ben: VICIOUS Voldemort Harry Potter Trivia Quiz Feat. MovieFlame</t>
        </is>
      </c>
      <c r="H550" s="44" t="n">
        <v>0.03520833333333333</v>
      </c>
      <c r="I550" s="45" t="n">
        <v>227473</v>
      </c>
      <c r="J550" s="45" t="n">
        <v>7068</v>
      </c>
      <c r="K550" s="45" t="n">
        <v>931</v>
      </c>
      <c r="L550" s="46" t="n"/>
      <c r="M550" s="47" t="n"/>
      <c r="N550" s="47" t="inlineStr">
        <is>
          <t>UCKZo4N0lVPccBkSiuyVh4yg</t>
        </is>
      </c>
      <c r="O550" s="48" t="n">
        <v>45546.88333333333</v>
      </c>
      <c r="P550" s="49" t="n">
        <v>45546</v>
      </c>
      <c r="Q550" s="47" t="n">
        <v>2718</v>
      </c>
      <c r="R550" s="47" t="inlineStr">
        <is>
          <t>No Video ID yet</t>
        </is>
      </c>
      <c r="S550" s="49" t="n"/>
      <c r="T550" s="49" t="n"/>
      <c r="U550" s="47" t="inlineStr">
        <is>
          <t>Go to to cancel your unwanted subscriptions with Rocket Money. Today J and Ben face off once more to find out who knows more about the Dark Lord Voldemort and are joined by Morgan from MovieFlame!! Check out Morgan’s Channel :: 03:38 - Q1: Where did Voldemort meet Quirrell 05:25 - Q2: Who tried to destroy the locket Horcrux before Harry? 07:41 - Q3: Who did Voldemort duel in the Great Hall? 13:06 - Q4: Which member of the Order did Voldemort kill? 15:08 - Q5: Which horcrux location does Voldemort check first? 17:22 - Q6: What was the date in Tom Riddle's diary? 19:39 - Q7: What info did Voldemort want from Gregorovitch? 21:43 - Q8: What deadline did Voldemort give Hogwarts to bring Potter to him? 24:01 - Q9: Which Death Eater did Voldemort use crucio on in the graveyard? 31:04 - Q10: What is the second ingredient in the resurrection potion? 33:32 - Q11: Which death eater helps Voldemort up after the big Avada Kedavra? 36:26 - Q12: Who did Voldemort send to the Department of Mysteries? 39:19 - Q13: What does Dumbledore say about the maimed creature in King's Cross? 42:08 - Q14: Who made the entrance to the chamber a sink? 45:22 - Q15: How old is Voldemort when he attacks the Potters</t>
        </is>
      </c>
      <c r="V550" s="47">
        <f>IF(AND(P550&gt;=Calendar!$K$2,P550&lt;EDATE(Calendar!$K$2,1),OR(Calendar!$K$4="*",N550=Calendar!$K$4)),P550*100+COUNTIFS($P$6:$P$3267,P550,$Q$6:$Q$3267,"&lt;="&amp;Q550,$N$6:$N$3267,Calendar!$K$4),"")</f>
        <v/>
      </c>
      <c r="W550" s="47">
        <f>IF(AND(B550=Queue!$C$4,OR(Queue!$K$4="*",N550=Queue!$K$4)),Q550,"")</f>
        <v/>
      </c>
    </row>
    <row r="551">
      <c r="A551" s="38">
        <f>IF(M551="","",HYPERLINK("https://www.youtube.com/watch?v="&amp;M551,"▶"))</f>
        <v/>
      </c>
      <c r="B551" s="39">
        <f>IF(C551&lt;&gt;"",C551,IF(P551&lt;=IFERROR(INDEX(tblChannels[Watched Through],MATCH(N551,tblChannels[Channel ID],0)),0),"Watched","Unwatched"))</f>
        <v/>
      </c>
      <c r="C551" s="40" t="n"/>
      <c r="D551" s="41" t="n"/>
      <c r="E551" s="42" t="n">
        <v>45543.41666666666</v>
      </c>
      <c r="F551" s="51" t="inlineStr">
        <is>
          <t>Through The Griffin Door</t>
        </is>
      </c>
      <c r="G551" t="inlineStr">
        <is>
          <t>Chapter 14: Snape’s Grudge | Prisoner of Azkaban</t>
        </is>
      </c>
      <c r="H551" s="44" t="n">
        <v>0.06611111111111111</v>
      </c>
      <c r="I551" s="45" t="n">
        <v>57355</v>
      </c>
      <c r="J551" s="45" t="n">
        <v>1759</v>
      </c>
      <c r="K551" s="45" t="n">
        <v>532</v>
      </c>
      <c r="L551" s="46" t="n"/>
      <c r="M551" s="47" t="n"/>
      <c r="N551" s="47" t="inlineStr">
        <is>
          <t>UCEscP6ETYXWSSvsNrDHekMQ</t>
        </is>
      </c>
      <c r="O551" s="48" t="n">
        <v>45543.58333333334</v>
      </c>
      <c r="P551" s="49" t="n">
        <v>45543</v>
      </c>
      <c r="Q551" s="47" t="n">
        <v>2717</v>
      </c>
      <c r="R551" s="47" t="inlineStr">
        <is>
          <t>No Video ID yet</t>
        </is>
      </c>
      <c r="S551" s="49" t="n"/>
      <c r="T551" s="49" t="n"/>
      <c r="U551" s="47" t="inlineStr">
        <is>
          <t>Join J and Ben as they dive into Chapter 14 of the Prisoner of Azkaban and discuss Harry’s usage of the map, not prioritizing safety, Neville’s hardship, visiting Hagrid, Hermione being totally right, stupidly going to Hogsmeade, almost getting caught, the map insulting Snape and Lupin talking to Harry. Knight Bus is a Zouwu - Snape is a Vampire - Tasting Hogsmeade Candy - 07:16 - Chapter Breakdown 1:21:32 - Closing Thoughts and Review</t>
        </is>
      </c>
      <c r="V551" s="47">
        <f>IF(AND(P551&gt;=Calendar!$K$2,P551&lt;EDATE(Calendar!$K$2,1),OR(Calendar!$K$4="*",N551=Calendar!$K$4)),P551*100+COUNTIFS($P$6:$P$3267,P551,$Q$6:$Q$3267,"&lt;="&amp;Q551,$N$6:$N$3267,Calendar!$K$4),"")</f>
        <v/>
      </c>
      <c r="W551" s="47">
        <f>IF(AND(B551=Queue!$C$4,OR(Queue!$K$4="*",N551=Queue!$K$4)),Q551,"")</f>
        <v/>
      </c>
    </row>
    <row r="552">
      <c r="A552" s="38">
        <f>IF(M552="","",HYPERLINK("https://www.youtube.com/watch?v="&amp;M552,"▶"))</f>
        <v/>
      </c>
      <c r="B552" s="39">
        <f>IF(C552&lt;&gt;"",C552,IF(P552&lt;=IFERROR(INDEX(tblChannels[Watched Through],MATCH(N552,tblChannels[Channel ID],0)),0),"Watched","Unwatched"))</f>
        <v/>
      </c>
      <c r="C552" s="40" t="n"/>
      <c r="D552" s="41" t="n"/>
      <c r="E552" s="42" t="n">
        <v>45541.62291666667</v>
      </c>
      <c r="F552" s="50" t="inlineStr">
        <is>
          <t>Super Carlin Brothers</t>
        </is>
      </c>
      <c r="G552" t="inlineStr">
        <is>
          <t>The Weasley’s WEALTH Explained | Harry Potter Film Theory</t>
        </is>
      </c>
      <c r="H552" s="44" t="n">
        <v>0.01009259259259259</v>
      </c>
      <c r="I552" s="45" t="n">
        <v>137849</v>
      </c>
      <c r="J552" s="45" t="n">
        <v>6569</v>
      </c>
      <c r="K552" s="45" t="n">
        <v>441</v>
      </c>
      <c r="L552" s="46" t="n"/>
      <c r="M552" s="47" t="n"/>
      <c r="N552" s="47" t="inlineStr">
        <is>
          <t>UCKZo4N0lVPccBkSiuyVh4yg</t>
        </is>
      </c>
      <c r="O552" s="48" t="n">
        <v>45541.78958333333</v>
      </c>
      <c r="P552" s="49" t="n">
        <v>45541</v>
      </c>
      <c r="Q552" s="47" t="n">
        <v>2716</v>
      </c>
      <c r="R552" s="47" t="inlineStr">
        <is>
          <t>No Video ID yet</t>
        </is>
      </c>
      <c r="S552" s="49" t="n"/>
      <c r="T552" s="49" t="n"/>
      <c r="U552" s="47" t="inlineStr">
        <is>
          <t>Today Ben dives into the Wizarding World to discuss the Weasley Family’s wealth and how they are actually much richer than you realize</t>
        </is>
      </c>
      <c r="V552" s="47">
        <f>IF(AND(P552&gt;=Calendar!$K$2,P552&lt;EDATE(Calendar!$K$2,1),OR(Calendar!$K$4="*",N552=Calendar!$K$4)),P552*100+COUNTIFS($P$6:$P$3267,P552,$Q$6:$Q$3267,"&lt;="&amp;Q552,$N$6:$N$3267,Calendar!$K$4),"")</f>
        <v/>
      </c>
      <c r="W552" s="47">
        <f>IF(AND(B552=Queue!$C$4,OR(Queue!$K$4="*",N552=Queue!$K$4)),Q552,"")</f>
        <v/>
      </c>
    </row>
    <row r="553">
      <c r="A553" s="38">
        <f>IF(M553="","",HYPERLINK("https://www.youtube.com/watch?v="&amp;M553,"▶"))</f>
        <v/>
      </c>
      <c r="B553" s="39">
        <f>IF(C553&lt;&gt;"",C553,IF(P553&lt;=IFERROR(INDEX(tblChannels[Watched Through],MATCH(N553,tblChannels[Channel ID],0)),0),"Watched","Unwatched"))</f>
        <v/>
      </c>
      <c r="C553" s="40" t="n"/>
      <c r="D553" s="41" t="n"/>
      <c r="E553" s="42" t="n">
        <v>45541.41666666666</v>
      </c>
      <c r="F553" s="43" t="inlineStr">
        <is>
          <t>Popcorn Culture</t>
        </is>
      </c>
      <c r="G553" t="inlineStr">
        <is>
          <t>The Beef with Gelato | Popcorn Culture</t>
        </is>
      </c>
      <c r="H553" s="44" t="n">
        <v>0.04944444444444444</v>
      </c>
      <c r="I553" s="45" t="n">
        <v>3318</v>
      </c>
      <c r="J553" s="45" t="n">
        <v>183</v>
      </c>
      <c r="K553" s="45" t="n">
        <v>28</v>
      </c>
      <c r="L553" s="46" t="n"/>
      <c r="M553" s="47" t="n"/>
      <c r="N553" s="47" t="inlineStr">
        <is>
          <t>UCHfIbq9thHPC8yrKjAdJgDA</t>
        </is>
      </c>
      <c r="O553" s="48" t="n">
        <v>45541.58333333334</v>
      </c>
      <c r="P553" s="49" t="n">
        <v>45541</v>
      </c>
      <c r="Q553" s="47" t="n">
        <v>2715</v>
      </c>
      <c r="R553" s="47" t="inlineStr">
        <is>
          <t>No Video ID yet</t>
        </is>
      </c>
      <c r="S553" s="49" t="n"/>
      <c r="T553" s="49" t="n"/>
      <c r="U553" s="47" t="inlineStr">
        <is>
          <t>In the 248th episode of the Pop, Ben and J discuss forgetting your pants, ice luges, junk journaling, TCG, board games, unconfirmed love languages, frozen desserts, poll results and echo chambers.</t>
        </is>
      </c>
      <c r="V553" s="47">
        <f>IF(AND(P553&gt;=Calendar!$K$2,P553&lt;EDATE(Calendar!$K$2,1),OR(Calendar!$K$4="*",N553=Calendar!$K$4)),P553*100+COUNTIFS($P$6:$P$3267,P553,$Q$6:$Q$3267,"&lt;="&amp;Q553,$N$6:$N$3267,Calendar!$K$4),"")</f>
        <v/>
      </c>
      <c r="W553" s="47">
        <f>IF(AND(B553=Queue!$C$4,OR(Queue!$K$4="*",N553=Queue!$K$4)),Q553,"")</f>
        <v/>
      </c>
    </row>
    <row r="554">
      <c r="A554" s="38">
        <f>IF(M554="","",HYPERLINK("https://www.youtube.com/watch?v="&amp;M554,"▶"))</f>
        <v/>
      </c>
      <c r="B554" s="39">
        <f>IF(C554&lt;&gt;"",C554,IF(P554&lt;=IFERROR(INDEX(tblChannels[Watched Through],MATCH(N554,tblChannels[Channel ID],0)),0),"Watched","Unwatched"))</f>
        <v/>
      </c>
      <c r="C554" s="40" t="n"/>
      <c r="D554" s="41" t="n"/>
      <c r="E554" s="42" t="n">
        <v>45539.68888888889</v>
      </c>
      <c r="F554" s="50" t="inlineStr">
        <is>
          <t>Super Carlin Brothers</t>
        </is>
      </c>
      <c r="G554" t="inlineStr">
        <is>
          <t>What If Ron Was In Hufflepuff - Chamber of Secrets | Harry Potter Film Theory</t>
        </is>
      </c>
      <c r="H554" s="44" t="n">
        <v>0.01732638888888889</v>
      </c>
      <c r="I554" s="45" t="n">
        <v>141451</v>
      </c>
      <c r="J554" s="45" t="n">
        <v>6139</v>
      </c>
      <c r="K554" s="45" t="n">
        <v>562</v>
      </c>
      <c r="L554" s="46" t="n"/>
      <c r="M554" s="47" t="n"/>
      <c r="N554" s="47" t="inlineStr">
        <is>
          <t>UCKZo4N0lVPccBkSiuyVh4yg</t>
        </is>
      </c>
      <c r="O554" s="48" t="n">
        <v>45539.85555555556</v>
      </c>
      <c r="P554" s="49" t="n">
        <v>45539</v>
      </c>
      <c r="Q554" s="47" t="n">
        <v>2714</v>
      </c>
      <c r="R554" s="47" t="inlineStr">
        <is>
          <t>No Video ID yet</t>
        </is>
      </c>
      <c r="S554" s="49" t="n"/>
      <c r="T554" s="49" t="n"/>
      <c r="U554" s="47" t="inlineStr">
        <is>
          <t>Today Ben dives back into the Wizarding World of Harry Potter to find out what happens in year 2 at Hogwarts if Ron Weasely was sorted into Hufflepuff instead of Gryffindor. Do he and Harry still fly the car? How does he handle Justin Finch Fletchly (aka JFF aka JeFF) getting attacks? Do they both save Ginny from the Chamber? FIND OUT TODAY!</t>
        </is>
      </c>
      <c r="V554" s="47">
        <f>IF(AND(P554&gt;=Calendar!$K$2,P554&lt;EDATE(Calendar!$K$2,1),OR(Calendar!$K$4="*",N554=Calendar!$K$4)),P554*100+COUNTIFS($P$6:$P$3267,P554,$Q$6:$Q$3267,"&lt;="&amp;Q554,$N$6:$N$3267,Calendar!$K$4),"")</f>
        <v/>
      </c>
      <c r="W554" s="47">
        <f>IF(AND(B554=Queue!$C$4,OR(Queue!$K$4="*",N554=Queue!$K$4)),Q554,"")</f>
        <v/>
      </c>
    </row>
    <row r="555">
      <c r="A555" s="38">
        <f>IF(M555="","",HYPERLINK("https://www.youtube.com/watch?v="&amp;M555,"▶"))</f>
        <v/>
      </c>
      <c r="B555" s="39">
        <f>IF(C555&lt;&gt;"",C555,IF(P555&lt;=IFERROR(INDEX(tblChannels[Watched Through],MATCH(N555,tblChannels[Channel ID],0)),0),"Watched","Unwatched"))</f>
        <v/>
      </c>
      <c r="C555" s="40" t="n"/>
      <c r="D555" s="41" t="n"/>
      <c r="E555" s="42" t="n">
        <v>45536.41666666666</v>
      </c>
      <c r="F555" s="51" t="inlineStr">
        <is>
          <t>Through The Griffin Door</t>
        </is>
      </c>
      <c r="G555" t="inlineStr">
        <is>
          <t>Chapter 13: Gryffindor Versus Ravenclaw | Prisoner of Azkaban</t>
        </is>
      </c>
      <c r="H555" s="44" t="n">
        <v>0.07377314814814814</v>
      </c>
      <c r="I555" s="45" t="n">
        <v>71101</v>
      </c>
      <c r="J555" s="45" t="n">
        <v>1873</v>
      </c>
      <c r="K555" s="45" t="n">
        <v>781</v>
      </c>
      <c r="L555" s="46" t="n"/>
      <c r="M555" s="47" t="n"/>
      <c r="N555" s="47" t="inlineStr">
        <is>
          <t>UCEscP6ETYXWSSvsNrDHekMQ</t>
        </is>
      </c>
      <c r="O555" s="48" t="n">
        <v>45536.58333333334</v>
      </c>
      <c r="P555" s="49" t="n">
        <v>45536</v>
      </c>
      <c r="Q555" s="47" t="n">
        <v>2713</v>
      </c>
      <c r="R555" s="47" t="inlineStr">
        <is>
          <t>No Video ID yet</t>
        </is>
      </c>
      <c r="S555" s="49" t="n"/>
      <c r="T555" s="49" t="n"/>
      <c r="U555" s="47" t="inlineStr">
        <is>
          <t>Check out Rocket Money: rocketmoney.com/GRIFFIN Join J and Ben as they dive into Chapter 13 of the Prisoner of Azkaban and discuss Hermione and Ron’s relationship, flying on the Firebolt, Wampus Cats, Harry spotting Sirius in the bushes, betting, the match, Malfoy’s prank, and Sirius’s break in 11:17 - Chapter Breakdown 1:27:05 - Closing Thoughts and Review</t>
        </is>
      </c>
      <c r="V555" s="47">
        <f>IF(AND(P555&gt;=Calendar!$K$2,P555&lt;EDATE(Calendar!$K$2,1),OR(Calendar!$K$4="*",N555=Calendar!$K$4)),P555*100+COUNTIFS($P$6:$P$3267,P555,$Q$6:$Q$3267,"&lt;="&amp;Q555,$N$6:$N$3267,Calendar!$K$4),"")</f>
        <v/>
      </c>
      <c r="W555" s="47">
        <f>IF(AND(B555=Queue!$C$4,OR(Queue!$K$4="*",N555=Queue!$K$4)),Q555,"")</f>
        <v/>
      </c>
    </row>
    <row r="556">
      <c r="A556" s="38">
        <f>IF(M556="","",HYPERLINK("https://www.youtube.com/watch?v="&amp;M556,"▶"))</f>
        <v/>
      </c>
      <c r="B556" s="39">
        <f>IF(C556&lt;&gt;"",C556,IF(P556&lt;=IFERROR(INDEX(tblChannels[Watched Through],MATCH(N556,tblChannels[Channel ID],0)),0),"Watched","Unwatched"))</f>
        <v/>
      </c>
      <c r="C556" s="40" t="n"/>
      <c r="D556" s="41" t="n"/>
      <c r="E556" s="42" t="n">
        <v>45535.41666666666</v>
      </c>
      <c r="F556" s="50" t="inlineStr">
        <is>
          <t>Super Carlin Brothers</t>
        </is>
      </c>
      <c r="G556" t="inlineStr">
        <is>
          <t>Through the Griffin Door Supercut: Prisoner of Azkaban Chapters 10-12</t>
        </is>
      </c>
      <c r="H556" s="44" t="n">
        <v>0.2281481481481482</v>
      </c>
      <c r="I556" s="45" t="n">
        <v>32599</v>
      </c>
      <c r="J556" s="45" t="n">
        <v>494</v>
      </c>
      <c r="K556" s="45" t="n">
        <v>134</v>
      </c>
      <c r="L556" s="46" t="n"/>
      <c r="M556" s="47" t="n"/>
      <c r="N556" s="47" t="inlineStr">
        <is>
          <t>UCKZo4N0lVPccBkSiuyVh4yg</t>
        </is>
      </c>
      <c r="O556" s="48" t="n">
        <v>45535.58333333334</v>
      </c>
      <c r="P556" s="49" t="n">
        <v>45535</v>
      </c>
      <c r="Q556" s="47" t="n">
        <v>2712</v>
      </c>
      <c r="R556" s="47" t="inlineStr">
        <is>
          <t>No Video ID yet</t>
        </is>
      </c>
      <c r="S556" s="49" t="n"/>
      <c r="T556" s="49" t="n"/>
      <c r="U556" s="47" t="inlineStr">
        <is>
          <t>00:00:00 - Chapter 10: The Marauder's Map 02:02:35 - Chapter 11: The Firebolt 03:53:57 - Chapter 12: The Patronus</t>
        </is>
      </c>
      <c r="V556" s="47">
        <f>IF(AND(P556&gt;=Calendar!$K$2,P556&lt;EDATE(Calendar!$K$2,1),OR(Calendar!$K$4="*",N556=Calendar!$K$4)),P556*100+COUNTIFS($P$6:$P$3267,P556,$Q$6:$Q$3267,"&lt;="&amp;Q556,$N$6:$N$3267,Calendar!$K$4),"")</f>
        <v/>
      </c>
      <c r="W556" s="47">
        <f>IF(AND(B556=Queue!$C$4,OR(Queue!$K$4="*",N556=Queue!$K$4)),Q556,"")</f>
        <v/>
      </c>
    </row>
    <row r="557">
      <c r="A557" s="38">
        <f>IF(M557="","",HYPERLINK("https://www.youtube.com/watch?v="&amp;M557,"▶"))</f>
        <v/>
      </c>
      <c r="B557" s="39">
        <f>IF(C557&lt;&gt;"",C557,IF(P557&lt;=IFERROR(INDEX(tblChannels[Watched Through],MATCH(N557,tblChannels[Channel ID],0)),0),"Watched","Unwatched"))</f>
        <v/>
      </c>
      <c r="C557" s="40" t="n"/>
      <c r="D557" s="41" t="n"/>
      <c r="E557" s="42" t="n">
        <v>45534.66666666666</v>
      </c>
      <c r="F557" s="50" t="inlineStr">
        <is>
          <t>Super Carlin Brothers</t>
        </is>
      </c>
      <c r="G557" t="inlineStr">
        <is>
          <t>What If Ron Was In Hufflepuff | Harry Potter Film Theory</t>
        </is>
      </c>
      <c r="H557" s="44" t="n">
        <v>0.01373842592592593</v>
      </c>
      <c r="I557" s="45" t="n">
        <v>183549</v>
      </c>
      <c r="J557" s="45" t="n">
        <v>8135</v>
      </c>
      <c r="K557" s="45" t="n">
        <v>867</v>
      </c>
      <c r="L557" s="46" t="n"/>
      <c r="M557" s="47" t="n"/>
      <c r="N557" s="47" t="inlineStr">
        <is>
          <t>UCKZo4N0lVPccBkSiuyVh4yg</t>
        </is>
      </c>
      <c r="O557" s="48" t="n">
        <v>45534.83333333334</v>
      </c>
      <c r="P557" s="49" t="n">
        <v>45534</v>
      </c>
      <c r="Q557" s="47" t="n">
        <v>2711</v>
      </c>
      <c r="R557" s="47" t="inlineStr">
        <is>
          <t>No Video ID yet</t>
        </is>
      </c>
      <c r="S557" s="49" t="n"/>
      <c r="T557" s="49" t="n"/>
      <c r="U557" s="47" t="inlineStr">
        <is>
          <t>Today Ben dives into the Wizarding World of Harry Potter to answer an age old question: What if Ron Was in Hufflepuff? What would need to play out for Ron to make this decision? Will Harry make it through year 1 without Ron’s expertise? Or does it all come down to a decision by Dumbledore years earlier.. the night Harry’s parents were attacked by Voldemort. Join us as we explore… WHAT IF?</t>
        </is>
      </c>
      <c r="V557" s="47">
        <f>IF(AND(P557&gt;=Calendar!$K$2,P557&lt;EDATE(Calendar!$K$2,1),OR(Calendar!$K$4="*",N557=Calendar!$K$4)),P557*100+COUNTIFS($P$6:$P$3267,P557,$Q$6:$Q$3267,"&lt;="&amp;Q557,$N$6:$N$3267,Calendar!$K$4),"")</f>
        <v/>
      </c>
      <c r="W557" s="47">
        <f>IF(AND(B557=Queue!$C$4,OR(Queue!$K$4="*",N557=Queue!$K$4)),Q557,"")</f>
        <v/>
      </c>
    </row>
    <row r="558">
      <c r="A558" s="38">
        <f>IF(M558="","",HYPERLINK("https://www.youtube.com/watch?v="&amp;M558,"▶"))</f>
        <v/>
      </c>
      <c r="B558" s="39">
        <f>IF(C558&lt;&gt;"",C558,IF(P558&lt;=IFERROR(INDEX(tblChannels[Watched Through],MATCH(N558,tblChannels[Channel ID],0)),0),"Watched","Unwatched"))</f>
        <v/>
      </c>
      <c r="C558" s="40" t="n"/>
      <c r="D558" s="41" t="n"/>
      <c r="E558" s="42" t="n">
        <v>45534.41666666666</v>
      </c>
      <c r="F558" s="43" t="inlineStr">
        <is>
          <t>Popcorn Culture</t>
        </is>
      </c>
      <c r="G558" t="inlineStr">
        <is>
          <t>Weird and Lumpy | Popcorn Culture</t>
        </is>
      </c>
      <c r="H558" s="44" t="n">
        <v>0.05474537037037037</v>
      </c>
      <c r="I558" s="45" t="n">
        <v>3895</v>
      </c>
      <c r="J558" s="45" t="n">
        <v>188</v>
      </c>
      <c r="K558" s="45" t="n">
        <v>54</v>
      </c>
      <c r="L558" s="46" t="n"/>
      <c r="M558" s="47" t="n"/>
      <c r="N558" s="47" t="inlineStr">
        <is>
          <t>UCHfIbq9thHPC8yrKjAdJgDA</t>
        </is>
      </c>
      <c r="O558" s="48" t="n">
        <v>45534.58333333334</v>
      </c>
      <c r="P558" s="49" t="n">
        <v>45534</v>
      </c>
      <c r="Q558" s="47" t="n">
        <v>2710</v>
      </c>
      <c r="R558" s="47" t="inlineStr">
        <is>
          <t>No Video ID yet</t>
        </is>
      </c>
      <c r="S558" s="49" t="n"/>
      <c r="T558" s="49" t="n"/>
      <c r="U558" s="47" t="inlineStr">
        <is>
          <t>In the 247th episode of the Pop, Ben and J discuss Addy’s first day of preschool, Ben’s psych assessment, April O’Neil, Power Rangers, appropriate time to arrive at a party, Myspace top 8, movie theater popcorn, s’mores, and slingshots. VOTE IN THE POLL BEFORE CLICKING ANY OF THESE LINKS - April O’Neil - Teenage Mutant Ninja Turtles - Mighty Morphin Power Rangers - Never Back Down - Fast and Furious Tokyo Drift - Materials used for the homemade movie theater popcorn - Incredibles 2 - The Emoji Movie - Boss Baby - A Misty Morning Ooze is a Great Ninja Turtles Word 00:00 - Intro, Hostmanship 01:53 - Misty Morning 23:41 - TMNT 39:16 - Party Arrivals 55:14 - How Movie Theater Popcorn is Made</t>
        </is>
      </c>
      <c r="V558" s="47">
        <f>IF(AND(P558&gt;=Calendar!$K$2,P558&lt;EDATE(Calendar!$K$2,1),OR(Calendar!$K$4="*",N558=Calendar!$K$4)),P558*100+COUNTIFS($P$6:$P$3267,P558,$Q$6:$Q$3267,"&lt;="&amp;Q558,$N$6:$N$3267,Calendar!$K$4),"")</f>
        <v/>
      </c>
      <c r="W558" s="47">
        <f>IF(AND(B558=Queue!$C$4,OR(Queue!$K$4="*",N558=Queue!$K$4)),Q558,"")</f>
        <v/>
      </c>
    </row>
    <row r="559">
      <c r="A559" s="38">
        <f>IF(M559="","",HYPERLINK("https://www.youtube.com/watch?v="&amp;M559,"▶"))</f>
        <v/>
      </c>
      <c r="B559" s="39">
        <f>IF(C559&lt;&gt;"",C559,IF(P559&lt;=IFERROR(INDEX(tblChannels[Watched Through],MATCH(N559,tblChannels[Channel ID],0)),0),"Watched","Unwatched"))</f>
        <v/>
      </c>
      <c r="C559" s="40" t="n"/>
      <c r="D559" s="41" t="n"/>
      <c r="E559" s="42" t="n">
        <v>45532.71805555555</v>
      </c>
      <c r="F559" s="50" t="inlineStr">
        <is>
          <t>Super Carlin Brothers</t>
        </is>
      </c>
      <c r="G559" t="inlineStr">
        <is>
          <t>J vs Ben: A SIRIUSLY Difficult Sirius Black Harry Potter TRIVIA Quiz</t>
        </is>
      </c>
      <c r="H559" s="44" t="n">
        <v>0.02350694444444444</v>
      </c>
      <c r="I559" s="45" t="n">
        <v>137206</v>
      </c>
      <c r="J559" s="45" t="n">
        <v>5157</v>
      </c>
      <c r="K559" s="45" t="n">
        <v>628</v>
      </c>
      <c r="L559" s="46" t="n"/>
      <c r="M559" s="47" t="n"/>
      <c r="N559" s="47" t="inlineStr">
        <is>
          <t>UCKZo4N0lVPccBkSiuyVh4yg</t>
        </is>
      </c>
      <c r="O559" s="48" t="n">
        <v>45532.88472222222</v>
      </c>
      <c r="P559" s="49" t="n">
        <v>45532</v>
      </c>
      <c r="Q559" s="47" t="n">
        <v>2709</v>
      </c>
      <c r="R559" s="47" t="inlineStr">
        <is>
          <t>No Video ID yet</t>
        </is>
      </c>
      <c r="S559" s="49" t="n"/>
      <c r="T559" s="49" t="n"/>
      <c r="U559" s="47" t="inlineStr">
        <is>
          <t>Go to and use code JVSB to get 20% off and free shipping Today J and Ben face off once more to find out who knows more about Harry Potter’s Godfather: Sirius Black! What are his aliases? Where did he first encounter Harry? HOW LONG WAS HE IN AZKABAN?!</t>
        </is>
      </c>
      <c r="V559" s="47">
        <f>IF(AND(P559&gt;=Calendar!$K$2,P559&lt;EDATE(Calendar!$K$2,1),OR(Calendar!$K$4="*",N559=Calendar!$K$4)),P559*100+COUNTIFS($P$6:$P$3267,P559,$Q$6:$Q$3267,"&lt;="&amp;Q559,$N$6:$N$3267,Calendar!$K$4),"")</f>
        <v/>
      </c>
      <c r="W559" s="47">
        <f>IF(AND(B559=Queue!$C$4,OR(Queue!$K$4="*",N559=Queue!$K$4)),Q559,"")</f>
        <v/>
      </c>
    </row>
    <row r="560">
      <c r="A560" s="38">
        <f>IF(M560="","",HYPERLINK("https://www.youtube.com/watch?v="&amp;M560,"▶"))</f>
        <v/>
      </c>
      <c r="B560" s="39">
        <f>IF(C560&lt;&gt;"",C560,IF(P560&lt;=IFERROR(INDEX(tblChannels[Watched Through],MATCH(N560,tblChannels[Channel ID],0)),0),"Watched","Unwatched"))</f>
        <v/>
      </c>
      <c r="C560" s="40" t="n"/>
      <c r="D560" s="41" t="n"/>
      <c r="E560" s="42" t="n">
        <v>45531.65069444444</v>
      </c>
      <c r="F560" s="50" t="inlineStr">
        <is>
          <t>Super Carlin Brothers</t>
        </is>
      </c>
      <c r="G560" t="inlineStr">
        <is>
          <t>Lucius Tells Voldemort About the Diary #hogwarts #harrypotter #shorts #voldemort</t>
        </is>
      </c>
      <c r="H560" s="44" t="n">
        <v>0.0006944444444444445</v>
      </c>
      <c r="I560" s="45" t="n">
        <v>261890</v>
      </c>
      <c r="J560" s="45" t="n">
        <v>15505</v>
      </c>
      <c r="K560" s="45" t="n">
        <v>251</v>
      </c>
      <c r="L560" s="46" t="n"/>
      <c r="M560" s="47" t="n"/>
      <c r="N560" s="47" t="inlineStr">
        <is>
          <t>UCKZo4N0lVPccBkSiuyVh4yg</t>
        </is>
      </c>
      <c r="O560" s="48" t="n">
        <v>45531.81736111111</v>
      </c>
      <c r="P560" s="49" t="n">
        <v>45531</v>
      </c>
      <c r="Q560" s="47" t="n">
        <v>2708</v>
      </c>
      <c r="R560" s="47" t="inlineStr">
        <is>
          <t>No Video ID yet</t>
        </is>
      </c>
      <c r="S560" s="49" t="n"/>
      <c r="T560" s="49" t="n"/>
      <c r="U560" s="47" t="n"/>
      <c r="V560" s="47">
        <f>IF(AND(P560&gt;=Calendar!$K$2,P560&lt;EDATE(Calendar!$K$2,1),OR(Calendar!$K$4="*",N560=Calendar!$K$4)),P560*100+COUNTIFS($P$6:$P$3267,P560,$Q$6:$Q$3267,"&lt;="&amp;Q560,$N$6:$N$3267,Calendar!$K$4),"")</f>
        <v/>
      </c>
      <c r="W560" s="47">
        <f>IF(AND(B560=Queue!$C$4,OR(Queue!$K$4="*",N560=Queue!$K$4)),Q560,"")</f>
        <v/>
      </c>
    </row>
    <row r="561">
      <c r="A561" s="38">
        <f>IF(M561="","",HYPERLINK("https://www.youtube.com/watch?v="&amp;M561,"▶"))</f>
        <v/>
      </c>
      <c r="B561" s="39">
        <f>IF(C561&lt;&gt;"",C561,IF(P561&lt;=IFERROR(INDEX(tblChannels[Watched Through],MATCH(N561,tblChannels[Channel ID],0)),0),"Watched","Unwatched"))</f>
        <v/>
      </c>
      <c r="C561" s="40" t="n"/>
      <c r="D561" s="41" t="n"/>
      <c r="E561" s="42" t="n">
        <v>45529.41666666666</v>
      </c>
      <c r="F561" s="51" t="inlineStr">
        <is>
          <t>Through The Griffin Door</t>
        </is>
      </c>
      <c r="G561" t="inlineStr">
        <is>
          <t>Chapter 12: The Patronus | Prisoner of Azkaban</t>
        </is>
      </c>
      <c r="H561" s="44" t="n">
        <v>0.06568287037037036</v>
      </c>
      <c r="I561" s="45" t="n">
        <v>71736</v>
      </c>
      <c r="J561" s="45" t="n">
        <v>1840</v>
      </c>
      <c r="K561" s="45" t="n">
        <v>573</v>
      </c>
      <c r="L561" s="46" t="n"/>
      <c r="M561" s="47" t="n"/>
      <c r="N561" s="47" t="inlineStr">
        <is>
          <t>UCEscP6ETYXWSSvsNrDHekMQ</t>
        </is>
      </c>
      <c r="O561" s="48" t="n">
        <v>45529.58333333334</v>
      </c>
      <c r="P561" s="49" t="n">
        <v>45529</v>
      </c>
      <c r="Q561" s="47" t="n">
        <v>2707</v>
      </c>
      <c r="R561" s="47" t="inlineStr">
        <is>
          <t>No Video ID yet</t>
        </is>
      </c>
      <c r="S561" s="49" t="n"/>
      <c r="T561" s="49" t="n"/>
      <c r="U561" s="47" t="inlineStr">
        <is>
          <t>Join J and Ben as they dive into Chapter 12 of the Prisoner of Azkaban and discuss Harry missing the Firebolt, Oliver Wood’s villany, Sirius getting the broom, Fire Salamanders, the Patronus lesson, James and Lupins’ friendship, Harry’s understanding of death, The Dementor’s Kiss, and the trio ALMOST making up. Soul - 05:05 - Chapter Breakdown 1:20:27 - Closing Thoughts and Review</t>
        </is>
      </c>
      <c r="V561" s="47">
        <f>IF(AND(P561&gt;=Calendar!$K$2,P561&lt;EDATE(Calendar!$K$2,1),OR(Calendar!$K$4="*",N561=Calendar!$K$4)),P561*100+COUNTIFS($P$6:$P$3267,P561,$Q$6:$Q$3267,"&lt;="&amp;Q561,$N$6:$N$3267,Calendar!$K$4),"")</f>
        <v/>
      </c>
      <c r="W561" s="47">
        <f>IF(AND(B561=Queue!$C$4,OR(Queue!$K$4="*",N561=Queue!$K$4)),Q561,"")</f>
        <v/>
      </c>
    </row>
    <row r="562">
      <c r="A562" s="38">
        <f>IF(M562="","",HYPERLINK("https://www.youtube.com/watch?v="&amp;M562,"▶"))</f>
        <v/>
      </c>
      <c r="B562" s="39">
        <f>IF(C562&lt;&gt;"",C562,IF(P562&lt;=IFERROR(INDEX(tblChannels[Watched Through],MATCH(N562,tblChannels[Channel ID],0)),0),"Watched","Unwatched"))</f>
        <v/>
      </c>
      <c r="C562" s="40" t="n"/>
      <c r="D562" s="41" t="n"/>
      <c r="E562" s="42" t="n">
        <v>45527.69305555556</v>
      </c>
      <c r="F562" s="50" t="inlineStr">
        <is>
          <t>Super Carlin Brothers</t>
        </is>
      </c>
      <c r="G562" t="inlineStr">
        <is>
          <t>A SCATHING Review of Oliver Wood | Harry Potter Film Theory</t>
        </is>
      </c>
      <c r="H562" s="44" t="n">
        <v>0.01104166666666667</v>
      </c>
      <c r="I562" s="45" t="n">
        <v>141162</v>
      </c>
      <c r="J562" s="45" t="n">
        <v>6527</v>
      </c>
      <c r="K562" s="45" t="n">
        <v>710</v>
      </c>
      <c r="L562" s="46" t="n"/>
      <c r="M562" s="47" t="n"/>
      <c r="N562" s="47" t="inlineStr">
        <is>
          <t>UCKZo4N0lVPccBkSiuyVh4yg</t>
        </is>
      </c>
      <c r="O562" s="48" t="n">
        <v>45527.85972222222</v>
      </c>
      <c r="P562" s="49" t="n">
        <v>45527</v>
      </c>
      <c r="Q562" s="47" t="n">
        <v>2706</v>
      </c>
      <c r="R562" s="47" t="inlineStr">
        <is>
          <t>No Video ID yet</t>
        </is>
      </c>
      <c r="S562" s="49" t="n"/>
      <c r="T562" s="49" t="n"/>
      <c r="U562" s="47" t="inlineStr">
        <is>
          <t>Today J deep dives the famous or now INFAMOUS Gryffindor Quidditch Captain Oliver Wood and reveals his toxic competitiveness, poor captaining choices and sub-par keeping skills - WELCOME TO THE HOT SEAT OLIVER WOOD! PREPARE FOR A SCATHING REVIEW</t>
        </is>
      </c>
      <c r="V562" s="47">
        <f>IF(AND(P562&gt;=Calendar!$K$2,P562&lt;EDATE(Calendar!$K$2,1),OR(Calendar!$K$4="*",N562=Calendar!$K$4)),P562*100+COUNTIFS($P$6:$P$3267,P562,$Q$6:$Q$3267,"&lt;="&amp;Q562,$N$6:$N$3267,Calendar!$K$4),"")</f>
        <v/>
      </c>
      <c r="W562" s="47">
        <f>IF(AND(B562=Queue!$C$4,OR(Queue!$K$4="*",N562=Queue!$K$4)),Q562,"")</f>
        <v/>
      </c>
    </row>
    <row r="563">
      <c r="A563" s="38">
        <f>IF(M563="","",HYPERLINK("https://www.youtube.com/watch?v="&amp;M563,"▶"))</f>
        <v/>
      </c>
      <c r="B563" s="39">
        <f>IF(C563&lt;&gt;"",C563,IF(P563&lt;=IFERROR(INDEX(tblChannels[Watched Through],MATCH(N563,tblChannels[Channel ID],0)),0),"Watched","Unwatched"))</f>
        <v/>
      </c>
      <c r="C563" s="40" t="n"/>
      <c r="D563" s="41" t="n"/>
      <c r="E563" s="42" t="n">
        <v>45527.41666666666</v>
      </c>
      <c r="F563" s="43" t="inlineStr">
        <is>
          <t>Popcorn Culture</t>
        </is>
      </c>
      <c r="G563" t="inlineStr">
        <is>
          <t>Ben Joins a Cult | Popcorn Culture</t>
        </is>
      </c>
      <c r="H563" s="44" t="n">
        <v>0.04918981481481482</v>
      </c>
      <c r="I563" s="45" t="n">
        <v>4345</v>
      </c>
      <c r="J563" s="45" t="n">
        <v>208</v>
      </c>
      <c r="K563" s="45" t="n">
        <v>31</v>
      </c>
      <c r="L563" s="46" t="n"/>
      <c r="M563" s="47" t="n"/>
      <c r="N563" s="47" t="inlineStr">
        <is>
          <t>UCHfIbq9thHPC8yrKjAdJgDA</t>
        </is>
      </c>
      <c r="O563" s="48" t="n">
        <v>45527.58333333334</v>
      </c>
      <c r="P563" s="49" t="n">
        <v>45527</v>
      </c>
      <c r="Q563" s="47" t="n">
        <v>2705</v>
      </c>
      <c r="R563" s="47" t="inlineStr">
        <is>
          <t>No Video ID yet</t>
        </is>
      </c>
      <c r="S563" s="49" t="n"/>
      <c r="T563" s="49" t="n"/>
      <c r="U563" s="47" t="inlineStr">
        <is>
          <t>In the 246th episode of the Pop, Ben and J discuss facial expressions, jumping pics, olympics showmanship, surprisingly nerdy famous people, hypnosis, The Carousel of Progress, self-actualization, and fruit cakes. Noah Lyles - The Prestige - Exodia the Forbidden One - New Earth by Eckhart Tolle - Carousel of Progress - The Quest! 00:00 - Cold Open, Intro, Thumbnailingtons 24:34 - Hypnosis</t>
        </is>
      </c>
      <c r="V563" s="47">
        <f>IF(AND(P563&gt;=Calendar!$K$2,P563&lt;EDATE(Calendar!$K$2,1),OR(Calendar!$K$4="*",N563=Calendar!$K$4)),P563*100+COUNTIFS($P$6:$P$3267,P563,$Q$6:$Q$3267,"&lt;="&amp;Q563,$N$6:$N$3267,Calendar!$K$4),"")</f>
        <v/>
      </c>
      <c r="W563" s="47">
        <f>IF(AND(B563=Queue!$C$4,OR(Queue!$K$4="*",N563=Queue!$K$4)),Q563,"")</f>
        <v/>
      </c>
    </row>
    <row r="564">
      <c r="A564" s="38">
        <f>IF(M564="","",HYPERLINK("https://www.youtube.com/watch?v="&amp;M564,"▶"))</f>
        <v/>
      </c>
      <c r="B564" s="39">
        <f>IF(C564&lt;&gt;"",C564,IF(P564&lt;=IFERROR(INDEX(tblChannels[Watched Through],MATCH(N564,tblChannels[Channel ID],0)),0),"Watched","Unwatched"))</f>
        <v/>
      </c>
      <c r="C564" s="40" t="n"/>
      <c r="D564" s="41" t="n"/>
      <c r="E564" s="42" t="n">
        <v>45526.39027777778</v>
      </c>
      <c r="F564" s="50" t="inlineStr">
        <is>
          <t>Super Carlin Brothers</t>
        </is>
      </c>
      <c r="G564" t="inlineStr">
        <is>
          <t>Voldemort’s SECRET Final Horcrux | Harry Potter Film Theory</t>
        </is>
      </c>
      <c r="H564" s="44" t="n">
        <v>0.01074074074074074</v>
      </c>
      <c r="I564" s="45" t="n">
        <v>162047</v>
      </c>
      <c r="J564" s="45" t="n">
        <v>7174</v>
      </c>
      <c r="K564" s="45" t="n">
        <v>755</v>
      </c>
      <c r="L564" s="46" t="n"/>
      <c r="M564" s="47" t="n"/>
      <c r="N564" s="47" t="inlineStr">
        <is>
          <t>UCKZo4N0lVPccBkSiuyVh4yg</t>
        </is>
      </c>
      <c r="O564" s="48" t="n">
        <v>45526.55694444444</v>
      </c>
      <c r="P564" s="49" t="n">
        <v>45526</v>
      </c>
      <c r="Q564" s="47" t="n">
        <v>2704</v>
      </c>
      <c r="R564" s="47" t="inlineStr">
        <is>
          <t>No Video ID yet</t>
        </is>
      </c>
      <c r="S564" s="49" t="n"/>
      <c r="T564" s="49" t="n"/>
      <c r="U564" s="47" t="inlineStr">
        <is>
          <t>Today J does some Horcrux Math and realizes that Voldemort SHOULD have been trying to make another Horcrux… or maybe he actually did? What could it have been and how could Harry have destroyed it!?</t>
        </is>
      </c>
      <c r="V564" s="47">
        <f>IF(AND(P564&gt;=Calendar!$K$2,P564&lt;EDATE(Calendar!$K$2,1),OR(Calendar!$K$4="*",N564=Calendar!$K$4)),P564*100+COUNTIFS($P$6:$P$3267,P564,$Q$6:$Q$3267,"&lt;="&amp;Q564,$N$6:$N$3267,Calendar!$K$4),"")</f>
        <v/>
      </c>
      <c r="W564" s="47">
        <f>IF(AND(B564=Queue!$C$4,OR(Queue!$K$4="*",N564=Queue!$K$4)),Q564,"")</f>
        <v/>
      </c>
    </row>
    <row r="565">
      <c r="A565" s="38">
        <f>IF(M565="","",HYPERLINK("https://www.youtube.com/watch?v="&amp;M565,"▶"))</f>
        <v/>
      </c>
      <c r="B565" s="39">
        <f>IF(C565&lt;&gt;"",C565,IF(P565&lt;=IFERROR(INDEX(tblChannels[Watched Through],MATCH(N565,tblChannels[Channel ID],0)),0),"Watched","Unwatched"))</f>
        <v/>
      </c>
      <c r="C565" s="40" t="n"/>
      <c r="D565" s="41" t="n"/>
      <c r="E565" s="42" t="n">
        <v>45522.41666666666</v>
      </c>
      <c r="F565" s="51" t="inlineStr">
        <is>
          <t>Through The Griffin Door</t>
        </is>
      </c>
      <c r="G565" t="inlineStr">
        <is>
          <t>Chapter 11: The Firebolt | Prisoner of Azkaban</t>
        </is>
      </c>
      <c r="H565" s="44" t="n">
        <v>0.07744212962962962</v>
      </c>
      <c r="I565" s="45" t="n">
        <v>67112</v>
      </c>
      <c r="J565" s="45" t="n">
        <v>1949</v>
      </c>
      <c r="K565" s="45" t="n">
        <v>681</v>
      </c>
      <c r="L565" s="46" t="n"/>
      <c r="M565" s="47" t="n"/>
      <c r="N565" s="47" t="inlineStr">
        <is>
          <t>UCEscP6ETYXWSSvsNrDHekMQ</t>
        </is>
      </c>
      <c r="O565" s="48" t="n">
        <v>45522.58333333334</v>
      </c>
      <c r="P565" s="49" t="n">
        <v>45522</v>
      </c>
      <c r="Q565" s="47" t="n">
        <v>2703</v>
      </c>
      <c r="R565" s="47" t="inlineStr">
        <is>
          <t>No Video ID yet</t>
        </is>
      </c>
      <c r="S565" s="49" t="n"/>
      <c r="T565" s="49" t="n"/>
      <c r="U565" s="47" t="inlineStr">
        <is>
          <t>Join J and Ben as they dive into Chapter 11 of the Prisoner of Azkaban and discuss Lily’s maid of honor, the Marauders = Trio parallel, Harry’s anger, visiting Hagrid, Christmas presents, the Christmas meal, and McGonagall taking the Firebolt. Why Luna Is Actually Snape - 06:40 - Chapter Breakdown 1:37:28 - Closing Thoughts and Review</t>
        </is>
      </c>
      <c r="V565" s="47">
        <f>IF(AND(P565&gt;=Calendar!$K$2,P565&lt;EDATE(Calendar!$K$2,1),OR(Calendar!$K$4="*",N565=Calendar!$K$4)),P565*100+COUNTIFS($P$6:$P$3267,P565,$Q$6:$Q$3267,"&lt;="&amp;Q565,$N$6:$N$3267,Calendar!$K$4),"")</f>
        <v/>
      </c>
      <c r="W565" s="47">
        <f>IF(AND(B565=Queue!$C$4,OR(Queue!$K$4="*",N565=Queue!$K$4)),Q565,"")</f>
        <v/>
      </c>
    </row>
    <row r="566">
      <c r="A566" s="38">
        <f>IF(M566="","",HYPERLINK("https://www.youtube.com/watch?v="&amp;M566,"▶"))</f>
        <v/>
      </c>
      <c r="B566" s="39">
        <f>IF(C566&lt;&gt;"",C566,IF(P566&lt;=IFERROR(INDEX(tblChannels[Watched Through],MATCH(N566,tblChannels[Channel ID],0)),0),"Watched","Unwatched"))</f>
        <v/>
      </c>
      <c r="C566" s="40" t="n"/>
      <c r="D566" s="41" t="n"/>
      <c r="E566" s="42" t="n">
        <v>45521.21597222222</v>
      </c>
      <c r="F566" s="52" t="inlineStr">
        <is>
          <t>Super Carlin Gaming</t>
        </is>
      </c>
      <c r="G566" t="inlineStr">
        <is>
          <t>Pokemon Box Breakers LIVE! August 16, 2024</t>
        </is>
      </c>
      <c r="H566" s="44" t="n">
        <v>0.1219444444444444</v>
      </c>
      <c r="I566" s="45" t="n">
        <v>1770</v>
      </c>
      <c r="J566" s="45" t="n">
        <v>78</v>
      </c>
      <c r="K566" s="45" t="n">
        <v>0</v>
      </c>
      <c r="L566" s="46" t="n"/>
      <c r="M566" s="47" t="n"/>
      <c r="N566" s="47" t="inlineStr">
        <is>
          <t>UCor_9jRnNNZVzTuQ92PKsaQ</t>
        </is>
      </c>
      <c r="O566" s="48" t="n">
        <v>45521.38263888889</v>
      </c>
      <c r="P566" s="49" t="n">
        <v>45521</v>
      </c>
      <c r="Q566" s="47" t="n">
        <v>2702</v>
      </c>
      <c r="R566" s="47" t="inlineStr">
        <is>
          <t>No Video ID yet</t>
        </is>
      </c>
      <c r="S566" s="49" t="n"/>
      <c r="T566" s="49" t="n"/>
      <c r="U566" s="47" t="n"/>
      <c r="V566" s="47">
        <f>IF(AND(P566&gt;=Calendar!$K$2,P566&lt;EDATE(Calendar!$K$2,1),OR(Calendar!$K$4="*",N566=Calendar!$K$4)),P566*100+COUNTIFS($P$6:$P$3267,P566,$Q$6:$Q$3267,"&lt;="&amp;Q566,$N$6:$N$3267,Calendar!$K$4),"")</f>
        <v/>
      </c>
      <c r="W566" s="47">
        <f>IF(AND(B566=Queue!$C$4,OR(Queue!$K$4="*",N566=Queue!$K$4)),Q566,"")</f>
        <v/>
      </c>
    </row>
    <row r="567">
      <c r="A567" s="38">
        <f>IF(M567="","",HYPERLINK("https://www.youtube.com/watch?v="&amp;M567,"▶"))</f>
        <v/>
      </c>
      <c r="B567" s="39">
        <f>IF(C567&lt;&gt;"",C567,IF(P567&lt;=IFERROR(INDEX(tblChannels[Watched Through],MATCH(N567,tblChannels[Channel ID],0)),0),"Watched","Unwatched"))</f>
        <v/>
      </c>
      <c r="C567" s="40" t="n"/>
      <c r="D567" s="41" t="n"/>
      <c r="E567" s="42" t="n">
        <v>45520.7125</v>
      </c>
      <c r="F567" s="50" t="inlineStr">
        <is>
          <t>Super Carlin Brothers</t>
        </is>
      </c>
      <c r="G567" t="inlineStr">
        <is>
          <t>J vs Ben: IMPOSSIBLE McGonagall Harry Potter Trivia Quiz</t>
        </is>
      </c>
      <c r="H567" s="44" t="n">
        <v>0.02590277777777778</v>
      </c>
      <c r="I567" s="45" t="n">
        <v>139902</v>
      </c>
      <c r="J567" s="45" t="n">
        <v>4958</v>
      </c>
      <c r="K567" s="45" t="n">
        <v>465</v>
      </c>
      <c r="L567" s="46" t="n"/>
      <c r="M567" s="47" t="n"/>
      <c r="N567" s="47" t="inlineStr">
        <is>
          <t>UCKZo4N0lVPccBkSiuyVh4yg</t>
        </is>
      </c>
      <c r="O567" s="48" t="n">
        <v>45520.87916666667</v>
      </c>
      <c r="P567" s="49" t="n">
        <v>45520</v>
      </c>
      <c r="Q567" s="47" t="n">
        <v>2701</v>
      </c>
      <c r="R567" s="47" t="inlineStr">
        <is>
          <t>No Video ID yet</t>
        </is>
      </c>
      <c r="S567" s="49" t="n"/>
      <c r="T567" s="49" t="n"/>
      <c r="U567" s="47" t="inlineStr">
        <is>
          <t>Go to to get 20% off your first order and free shipping. Go to to cancel your unwanted subscriptions with Rocket Money. Today Ben and J face off once more to find out who really wanted to do that spell more and who knows Minerva McGonagall the most! LET’S DO SOME HARRY POTTER TRIVIA YALL!</t>
        </is>
      </c>
      <c r="V567" s="47">
        <f>IF(AND(P567&gt;=Calendar!$K$2,P567&lt;EDATE(Calendar!$K$2,1),OR(Calendar!$K$4="*",N567=Calendar!$K$4)),P567*100+COUNTIFS($P$6:$P$3267,P567,$Q$6:$Q$3267,"&lt;="&amp;Q567,$N$6:$N$3267,Calendar!$K$4),"")</f>
        <v/>
      </c>
      <c r="W567" s="47">
        <f>IF(AND(B567=Queue!$C$4,OR(Queue!$K$4="*",N567=Queue!$K$4)),Q567,"")</f>
        <v/>
      </c>
    </row>
    <row r="568">
      <c r="A568" s="38">
        <f>IF(M568="","",HYPERLINK("https://www.youtube.com/watch?v="&amp;M568,"▶"))</f>
        <v/>
      </c>
      <c r="B568" s="39">
        <f>IF(C568&lt;&gt;"",C568,IF(P568&lt;=IFERROR(INDEX(tblChannels[Watched Through],MATCH(N568,tblChannels[Channel ID],0)),0),"Watched","Unwatched"))</f>
        <v/>
      </c>
      <c r="C568" s="40" t="n"/>
      <c r="D568" s="41" t="n"/>
      <c r="E568" s="42" t="n">
        <v>45520.41666666666</v>
      </c>
      <c r="F568" s="43" t="inlineStr">
        <is>
          <t>Popcorn Culture</t>
        </is>
      </c>
      <c r="G568" t="inlineStr">
        <is>
          <t>ALL THE D23 REACTIONS | Popcorn Culture</t>
        </is>
      </c>
      <c r="H568" s="44" t="n">
        <v>0.04461805555555556</v>
      </c>
      <c r="I568" s="45" t="n">
        <v>4613</v>
      </c>
      <c r="J568" s="45" t="n">
        <v>219</v>
      </c>
      <c r="K568" s="45" t="n">
        <v>41</v>
      </c>
      <c r="L568" s="46" t="n"/>
      <c r="M568" s="47" t="n"/>
      <c r="N568" s="47" t="inlineStr">
        <is>
          <t>UCHfIbq9thHPC8yrKjAdJgDA</t>
        </is>
      </c>
      <c r="O568" s="48" t="n">
        <v>45520.58333333334</v>
      </c>
      <c r="P568" s="49" t="n">
        <v>45520</v>
      </c>
      <c r="Q568" s="47" t="n">
        <v>2700</v>
      </c>
      <c r="R568" s="47" t="inlineStr">
        <is>
          <t>No Video ID yet</t>
        </is>
      </c>
      <c r="S568" s="49" t="n"/>
      <c r="T568" s="49" t="n"/>
      <c r="U568" s="47" t="inlineStr">
        <is>
          <t>In the 245th episode of the Pop, Ben and J discuss prepping for the beer mile, and all the D23 things (seriously, that’s all they talk about). All the D23 Announcements - Self Infused Pain 00:00 - Intro, Beer Mile Training 12:15 - D23</t>
        </is>
      </c>
      <c r="V568" s="47">
        <f>IF(AND(P568&gt;=Calendar!$K$2,P568&lt;EDATE(Calendar!$K$2,1),OR(Calendar!$K$4="*",N568=Calendar!$K$4)),P568*100+COUNTIFS($P$6:$P$3267,P568,$Q$6:$Q$3267,"&lt;="&amp;Q568,$N$6:$N$3267,Calendar!$K$4),"")</f>
        <v/>
      </c>
      <c r="W568" s="47">
        <f>IF(AND(B568=Queue!$C$4,OR(Queue!$K$4="*",N568=Queue!$K$4)),Q568,"")</f>
        <v/>
      </c>
    </row>
    <row r="569">
      <c r="A569" s="38">
        <f>IF(M569="","",HYPERLINK("https://www.youtube.com/watch?v="&amp;M569,"▶"))</f>
        <v/>
      </c>
      <c r="B569" s="39">
        <f>IF(C569&lt;&gt;"",C569,IF(P569&lt;=IFERROR(INDEX(tblChannels[Watched Through],MATCH(N569,tblChannels[Channel ID],0)),0),"Watched","Unwatched"))</f>
        <v/>
      </c>
      <c r="C569" s="40" t="n"/>
      <c r="D569" s="41" t="n"/>
      <c r="E569" s="42" t="n">
        <v>45519.75972222222</v>
      </c>
      <c r="F569" s="51" t="inlineStr">
        <is>
          <t>Through The Griffin Door</t>
        </is>
      </c>
      <c r="G569" t="inlineStr">
        <is>
          <t>LIVE: SIGNING BOOK PAGES AND HANGING OUT!</t>
        </is>
      </c>
      <c r="H569" s="44" t="n">
        <v>0.08368055555555555</v>
      </c>
      <c r="I569" s="45" t="n">
        <v>10315</v>
      </c>
      <c r="J569" s="45" t="n">
        <v>476</v>
      </c>
      <c r="K569" s="45" t="n">
        <v>62</v>
      </c>
      <c r="L569" s="46" t="n"/>
      <c r="M569" s="47" t="n"/>
      <c r="N569" s="47" t="inlineStr">
        <is>
          <t>UCEscP6ETYXWSSvsNrDHekMQ</t>
        </is>
      </c>
      <c r="O569" s="48" t="n">
        <v>45519.92638888889</v>
      </c>
      <c r="P569" s="49" t="n">
        <v>45519</v>
      </c>
      <c r="Q569" s="47" t="n">
        <v>2699</v>
      </c>
      <c r="R569" s="47" t="inlineStr">
        <is>
          <t>No Video ID yet</t>
        </is>
      </c>
      <c r="S569" s="49" t="n"/>
      <c r="T569" s="49" t="n"/>
      <c r="U569" s="47" t="inlineStr">
        <is>
          <t>Want a Signed page? Sign up for any annual membership on Patreon to receive your own! Https://www.patreon.com/ThroughTheGriffinDoor</t>
        </is>
      </c>
      <c r="V569" s="47">
        <f>IF(AND(P569&gt;=Calendar!$K$2,P569&lt;EDATE(Calendar!$K$2,1),OR(Calendar!$K$4="*",N569=Calendar!$K$4)),P569*100+COUNTIFS($P$6:$P$3267,P569,$Q$6:$Q$3267,"&lt;="&amp;Q569,$N$6:$N$3267,Calendar!$K$4),"")</f>
        <v/>
      </c>
      <c r="W569" s="47">
        <f>IF(AND(B569=Queue!$C$4,OR(Queue!$K$4="*",N569=Queue!$K$4)),Q569,"")</f>
        <v/>
      </c>
    </row>
    <row r="570">
      <c r="A570" s="38">
        <f>IF(M570="","",HYPERLINK("https://www.youtube.com/watch?v="&amp;M570,"▶"))</f>
        <v/>
      </c>
      <c r="B570" s="39">
        <f>IF(C570&lt;&gt;"",C570,IF(P570&lt;=IFERROR(INDEX(tblChannels[Watched Through],MATCH(N570,tblChannels[Channel ID],0)),0),"Watched","Unwatched"))</f>
        <v/>
      </c>
      <c r="C570" s="40" t="n"/>
      <c r="D570" s="41" t="n"/>
      <c r="E570" s="42" t="n">
        <v>45518.71666666667</v>
      </c>
      <c r="F570" s="50" t="inlineStr">
        <is>
          <t>Super Carlin Brothers</t>
        </is>
      </c>
      <c r="G570" t="inlineStr">
        <is>
          <t>Every Wizard Sport BESIDES Quidditch  | Harry Potter Film Theory</t>
        </is>
      </c>
      <c r="H570" s="44" t="n">
        <v>0.01106481481481482</v>
      </c>
      <c r="I570" s="45" t="n">
        <v>88162</v>
      </c>
      <c r="J570" s="45" t="n">
        <v>4736</v>
      </c>
      <c r="K570" s="45" t="n">
        <v>566</v>
      </c>
      <c r="L570" s="46" t="n"/>
      <c r="M570" s="47" t="n"/>
      <c r="N570" s="47" t="inlineStr">
        <is>
          <t>UCKZo4N0lVPccBkSiuyVh4yg</t>
        </is>
      </c>
      <c r="O570" s="48" t="n">
        <v>45518.88333333333</v>
      </c>
      <c r="P570" s="49" t="n">
        <v>45518</v>
      </c>
      <c r="Q570" s="47" t="n">
        <v>2698</v>
      </c>
      <c r="R570" s="47" t="inlineStr">
        <is>
          <t>No Video ID yet</t>
        </is>
      </c>
      <c r="S570" s="49" t="n"/>
      <c r="T570" s="49" t="n"/>
      <c r="U570" s="47" t="inlineStr">
        <is>
          <t>Go to to sign up for a $1 per month trial period. Today J dives into the Wizarding World of Harry Potter to discuss every OTHER sport and game in the wizarding world besides quidditch. From Chess to Shunt Bumps - We cover them all!</t>
        </is>
      </c>
      <c r="V570" s="47">
        <f>IF(AND(P570&gt;=Calendar!$K$2,P570&lt;EDATE(Calendar!$K$2,1),OR(Calendar!$K$4="*",N570=Calendar!$K$4)),P570*100+COUNTIFS($P$6:$P$3267,P570,$Q$6:$Q$3267,"&lt;="&amp;Q570,$N$6:$N$3267,Calendar!$K$4),"")</f>
        <v/>
      </c>
      <c r="W570" s="47">
        <f>IF(AND(B570=Queue!$C$4,OR(Queue!$K$4="*",N570=Queue!$K$4)),Q570,"")</f>
        <v/>
      </c>
    </row>
    <row r="571">
      <c r="A571" s="38">
        <f>IF(M571="","",HYPERLINK("https://www.youtube.com/watch?v="&amp;M571,"▶"))</f>
        <v/>
      </c>
      <c r="B571" s="39">
        <f>IF(C571&lt;&gt;"",C571,IF(P571&lt;=IFERROR(INDEX(tblChannels[Watched Through],MATCH(N571,tblChannels[Channel ID],0)),0),"Watched","Unwatched"))</f>
        <v/>
      </c>
      <c r="C571" s="40" t="n"/>
      <c r="D571" s="41" t="n"/>
      <c r="E571" s="42" t="n">
        <v>45517.77083333334</v>
      </c>
      <c r="F571" s="52" t="inlineStr">
        <is>
          <t>Super Carlin Gaming</t>
        </is>
      </c>
      <c r="G571" t="inlineStr">
        <is>
          <t>THE FINALE | Carlin Brothers Box Breakers S11E12</t>
        </is>
      </c>
      <c r="H571" s="44" t="n">
        <v>0.03613425925925926</v>
      </c>
      <c r="I571" s="45" t="n">
        <v>2124</v>
      </c>
      <c r="J571" s="45" t="n">
        <v>77</v>
      </c>
      <c r="K571" s="45" t="n">
        <v>17</v>
      </c>
      <c r="L571" s="46" t="n"/>
      <c r="M571" s="47" t="n"/>
      <c r="N571" s="47" t="inlineStr">
        <is>
          <t>UCor_9jRnNNZVzTuQ92PKsaQ</t>
        </is>
      </c>
      <c r="O571" s="48" t="n">
        <v>45517.9375</v>
      </c>
      <c r="P571" s="49" t="n">
        <v>45517</v>
      </c>
      <c r="Q571" s="47" t="n">
        <v>2697</v>
      </c>
      <c r="R571" s="47" t="inlineStr">
        <is>
          <t>No Video ID yet</t>
        </is>
      </c>
      <c r="S571" s="49" t="n"/>
      <c r="T571" s="49" t="n"/>
      <c r="U571" s="47" t="inlineStr">
        <is>
          <t>THIS WEEK WE BRING SEASON 11 TO AN END</t>
        </is>
      </c>
      <c r="V571" s="47">
        <f>IF(AND(P571&gt;=Calendar!$K$2,P571&lt;EDATE(Calendar!$K$2,1),OR(Calendar!$K$4="*",N571=Calendar!$K$4)),P571*100+COUNTIFS($P$6:$P$3267,P571,$Q$6:$Q$3267,"&lt;="&amp;Q571,$N$6:$N$3267,Calendar!$K$4),"")</f>
        <v/>
      </c>
      <c r="W571" s="47">
        <f>IF(AND(B571=Queue!$C$4,OR(Queue!$K$4="*",N571=Queue!$K$4)),Q571,"")</f>
        <v/>
      </c>
    </row>
    <row r="572">
      <c r="A572" s="38">
        <f>IF(M572="","",HYPERLINK("https://www.youtube.com/watch?v="&amp;M572,"▶"))</f>
        <v/>
      </c>
      <c r="B572" s="39">
        <f>IF(C572&lt;&gt;"",C572,IF(P572&lt;=IFERROR(INDEX(tblChannels[Watched Through],MATCH(N572,tblChannels[Channel ID],0)),0),"Watched","Unwatched"))</f>
        <v/>
      </c>
      <c r="C572" s="40" t="n"/>
      <c r="D572" s="41" t="n"/>
      <c r="E572" s="42" t="n">
        <v>45515.41666666666</v>
      </c>
      <c r="F572" s="51" t="inlineStr">
        <is>
          <t>Through The Griffin Door</t>
        </is>
      </c>
      <c r="G572" t="inlineStr">
        <is>
          <t>Chapter 10: The Marauder’s Map | Prisoner of Azkaban</t>
        </is>
      </c>
      <c r="H572" s="44" t="n">
        <v>0.08523148148148148</v>
      </c>
      <c r="I572" s="45" t="n">
        <v>93217</v>
      </c>
      <c r="J572" s="45" t="n">
        <v>2196</v>
      </c>
      <c r="K572" s="45" t="n">
        <v>608</v>
      </c>
      <c r="L572" s="46" t="n"/>
      <c r="M572" s="47" t="n"/>
      <c r="N572" s="47" t="inlineStr">
        <is>
          <t>UCEscP6ETYXWSSvsNrDHekMQ</t>
        </is>
      </c>
      <c r="O572" s="48" t="n">
        <v>45515.58333333334</v>
      </c>
      <c r="P572" s="49" t="n">
        <v>45515</v>
      </c>
      <c r="Q572" s="47" t="n">
        <v>2696</v>
      </c>
      <c r="R572" s="47" t="inlineStr">
        <is>
          <t>No Video ID yet</t>
        </is>
      </c>
      <c r="S572" s="49" t="n"/>
      <c r="T572" s="49" t="n"/>
      <c r="U572" s="47" t="inlineStr">
        <is>
          <t>Join J, Ben and Mike as they dive into Chapter 10 of the Prisoner of Azkaban and discuss the shattered Nimbus, only Harry collapsing, DADA class, Davey Gudgeon, dental floss, the map, the secret passages, Honeydukes, Harry eavesdropping in the Three Broomsticks, Peter’s intro, Seattle Matinee - 9/21 Seattle - 9/21 (SOLD OUT) San Diego Matinee - 9/28 San Diego - 9/28 (SOLD OUT) Do Broomsticks Have Magical Cores? - The REAL History of Magic - How Fred and George Solved The Marauders Map - We Try EVERY Harry Potter Candy from Honeydukes - World’s BEST Butterbeer Latte - What If Sirius Took Harry As A Baby? - 06:29 - Chapter Breakdown 1:50:46 - Closing Thoughts and Review</t>
        </is>
      </c>
      <c r="V572" s="47">
        <f>IF(AND(P572&gt;=Calendar!$K$2,P572&lt;EDATE(Calendar!$K$2,1),OR(Calendar!$K$4="*",N572=Calendar!$K$4)),P572*100+COUNTIFS($P$6:$P$3267,P572,$Q$6:$Q$3267,"&lt;="&amp;Q572,$N$6:$N$3267,Calendar!$K$4),"")</f>
        <v/>
      </c>
      <c r="W572" s="47">
        <f>IF(AND(B572=Queue!$C$4,OR(Queue!$K$4="*",N572=Queue!$K$4)),Q572,"")</f>
        <v/>
      </c>
    </row>
    <row r="573">
      <c r="A573" s="38">
        <f>IF(M573="","",HYPERLINK("https://www.youtube.com/watch?v="&amp;M573,"▶"))</f>
        <v/>
      </c>
      <c r="B573" s="39">
        <f>IF(C573&lt;&gt;"",C573,IF(P573&lt;=IFERROR(INDEX(tblChannels[Watched Through],MATCH(N573,tblChannels[Channel ID],0)),0),"Watched","Unwatched"))</f>
        <v/>
      </c>
      <c r="C573" s="40" t="n"/>
      <c r="D573" s="41" t="n"/>
      <c r="E573" s="42" t="n">
        <v>45514.41666666666</v>
      </c>
      <c r="F573" s="50" t="inlineStr">
        <is>
          <t>Super Carlin Brothers</t>
        </is>
      </c>
      <c r="G573" t="inlineStr">
        <is>
          <t>Through the Griffin Door Supercut: Prisoner of Azkaban Chapters 7-9</t>
        </is>
      </c>
      <c r="H573" s="44" t="n">
        <v>0.1859490740740741</v>
      </c>
      <c r="I573" s="45" t="n">
        <v>30553</v>
      </c>
      <c r="J573" s="45" t="n">
        <v>536</v>
      </c>
      <c r="K573" s="45" t="n">
        <v>109</v>
      </c>
      <c r="L573" s="46" t="n"/>
      <c r="M573" s="47" t="n"/>
      <c r="N573" s="47" t="inlineStr">
        <is>
          <t>UCKZo4N0lVPccBkSiuyVh4yg</t>
        </is>
      </c>
      <c r="O573" s="48" t="n">
        <v>45514.58333333334</v>
      </c>
      <c r="P573" s="49" t="n">
        <v>45514</v>
      </c>
      <c r="Q573" s="47" t="n">
        <v>2695</v>
      </c>
      <c r="R573" s="47" t="inlineStr">
        <is>
          <t>No Video ID yet</t>
        </is>
      </c>
      <c r="S573" s="49" t="n"/>
      <c r="T573" s="49" t="n"/>
      <c r="U573" s="47" t="inlineStr">
        <is>
          <t>00:00:00 - Chapter 7: The Boggart in the Wardrobe 1:29:13 - Chapter 8: Flight of the Fat Lady 02:55:34 - Chapter 9: Grim Defeat</t>
        </is>
      </c>
      <c r="V573" s="47">
        <f>IF(AND(P573&gt;=Calendar!$K$2,P573&lt;EDATE(Calendar!$K$2,1),OR(Calendar!$K$4="*",N573=Calendar!$K$4)),P573*100+COUNTIFS($P$6:$P$3267,P573,$Q$6:$Q$3267,"&lt;="&amp;Q573,$N$6:$N$3267,Calendar!$K$4),"")</f>
        <v/>
      </c>
      <c r="W573" s="47">
        <f>IF(AND(B573=Queue!$C$4,OR(Queue!$K$4="*",N573=Queue!$K$4)),Q573,"")</f>
        <v/>
      </c>
    </row>
    <row r="574">
      <c r="A574" s="38">
        <f>IF(M574="","",HYPERLINK("https://www.youtube.com/watch?v="&amp;M574,"▶"))</f>
        <v/>
      </c>
      <c r="B574" s="39">
        <f>IF(C574&lt;&gt;"",C574,IF(P574&lt;=IFERROR(INDEX(tblChannels[Watched Through],MATCH(N574,tblChannels[Channel ID],0)),0),"Watched","Unwatched"))</f>
        <v/>
      </c>
      <c r="C574" s="40" t="n"/>
      <c r="D574" s="41" t="n"/>
      <c r="E574" s="42" t="n">
        <v>45513.65416666667</v>
      </c>
      <c r="F574" s="50" t="inlineStr">
        <is>
          <t>Super Carlin Brothers</t>
        </is>
      </c>
      <c r="G574" t="inlineStr">
        <is>
          <t>How The Deathly Hallows Were Made | Harry Potter Film Theory</t>
        </is>
      </c>
      <c r="H574" s="44" t="n">
        <v>0.01377314814814815</v>
      </c>
      <c r="I574" s="45" t="n">
        <v>210897</v>
      </c>
      <c r="J574" s="45" t="n">
        <v>7849</v>
      </c>
      <c r="K574" s="45" t="n">
        <v>499</v>
      </c>
      <c r="L574" s="46" t="n"/>
      <c r="M574" s="47" t="n"/>
      <c r="N574" s="47" t="inlineStr">
        <is>
          <t>UCKZo4N0lVPccBkSiuyVh4yg</t>
        </is>
      </c>
      <c r="O574" s="48" t="n">
        <v>45513.82083333333</v>
      </c>
      <c r="P574" s="49" t="n">
        <v>45513</v>
      </c>
      <c r="Q574" s="47" t="n">
        <v>2694</v>
      </c>
      <c r="R574" s="47" t="inlineStr">
        <is>
          <t>No Video ID yet</t>
        </is>
      </c>
      <c r="S574" s="49" t="n"/>
      <c r="T574" s="49" t="n"/>
      <c r="U574" s="47" t="inlineStr">
        <is>
          <t>Go to to get 20% off your first order and free shipping. Today Ben dives into the Wizarding World of Harry Potter to uncover HOW the Deathly Hallows were made by the Peverell Brothers! What did they actually do to make the Elder Wand, Resurrection Stone and Invisibility Cloak?! Edited by :: Ethan Edghill &amp; Isybelle Christley</t>
        </is>
      </c>
      <c r="V574" s="47">
        <f>IF(AND(P574&gt;=Calendar!$K$2,P574&lt;EDATE(Calendar!$K$2,1),OR(Calendar!$K$4="*",N574=Calendar!$K$4)),P574*100+COUNTIFS($P$6:$P$3267,P574,$Q$6:$Q$3267,"&lt;="&amp;Q574,$N$6:$N$3267,Calendar!$K$4),"")</f>
        <v/>
      </c>
      <c r="W574" s="47">
        <f>IF(AND(B574=Queue!$C$4,OR(Queue!$K$4="*",N574=Queue!$K$4)),Q574,"")</f>
        <v/>
      </c>
    </row>
    <row r="575">
      <c r="A575" s="38">
        <f>IF(M575="","",HYPERLINK("https://www.youtube.com/watch?v="&amp;M575,"▶"))</f>
        <v/>
      </c>
      <c r="B575" s="39">
        <f>IF(C575&lt;&gt;"",C575,IF(P575&lt;=IFERROR(INDEX(tblChannels[Watched Through],MATCH(N575,tblChannels[Channel ID],0)),0),"Watched","Unwatched"))</f>
        <v/>
      </c>
      <c r="C575" s="40" t="n"/>
      <c r="D575" s="41" t="n"/>
      <c r="E575" s="42" t="n">
        <v>45513.41666666666</v>
      </c>
      <c r="F575" s="43" t="inlineStr">
        <is>
          <t>Popcorn Culture</t>
        </is>
      </c>
      <c r="G575" t="inlineStr">
        <is>
          <t>Plenty of Tomatoes on the Vine | Popcorn Culture</t>
        </is>
      </c>
      <c r="H575" s="44" t="n">
        <v>0.04834490740740741</v>
      </c>
      <c r="I575" s="45" t="n">
        <v>3442</v>
      </c>
      <c r="J575" s="45" t="n">
        <v>195</v>
      </c>
      <c r="K575" s="45" t="n">
        <v>42</v>
      </c>
      <c r="L575" s="46" t="n"/>
      <c r="M575" s="47" t="n"/>
      <c r="N575" s="47" t="inlineStr">
        <is>
          <t>UCHfIbq9thHPC8yrKjAdJgDA</t>
        </is>
      </c>
      <c r="O575" s="48" t="n">
        <v>45513.58333333334</v>
      </c>
      <c r="P575" s="49" t="n">
        <v>45513</v>
      </c>
      <c r="Q575" s="47" t="n">
        <v>2693</v>
      </c>
      <c r="R575" s="47" t="inlineStr">
        <is>
          <t>No Video ID yet</t>
        </is>
      </c>
      <c r="S575" s="49" t="n"/>
      <c r="T575" s="49" t="n"/>
      <c r="U575" s="47" t="inlineStr">
        <is>
          <t>In the 244th episode of the Pop, Ben and J discuss mustache life, the GMA sticker game, J’s famous sunflowers, GoFest this year, adding salt to coffee, and stroller skis! Diners Drive Ins and Dives - Beer Mile Vlog - Hair Lip J’s Garden Heartbreak Stroller Skis!! 00:00 - Intro, Mustache Life 14:29 - GMA Sticker Game 24:01 - J’s Garden woes 34:57 - Beer Mile 43:23 - Salted Coffee 53:41 - Stroller Skis</t>
        </is>
      </c>
      <c r="V575" s="47">
        <f>IF(AND(P575&gt;=Calendar!$K$2,P575&lt;EDATE(Calendar!$K$2,1),OR(Calendar!$K$4="*",N575=Calendar!$K$4)),P575*100+COUNTIFS($P$6:$P$3267,P575,$Q$6:$Q$3267,"&lt;="&amp;Q575,$N$6:$N$3267,Calendar!$K$4),"")</f>
        <v/>
      </c>
      <c r="W575" s="47">
        <f>IF(AND(B575=Queue!$C$4,OR(Queue!$K$4="*",N575=Queue!$K$4)),Q575,"")</f>
        <v/>
      </c>
    </row>
    <row r="576">
      <c r="A576" s="38">
        <f>IF(M576="","",HYPERLINK("https://www.youtube.com/watch?v="&amp;M576,"▶"))</f>
        <v/>
      </c>
      <c r="B576" s="39">
        <f>IF(C576&lt;&gt;"",C576,IF(P576&lt;=IFERROR(INDEX(tblChannels[Watched Through],MATCH(N576,tblChannels[Channel ID],0)),0),"Watched","Unwatched"))</f>
        <v/>
      </c>
      <c r="C576" s="40" t="n"/>
      <c r="D576" s="41" t="n"/>
      <c r="E576" s="42" t="n">
        <v>45511.70694444444</v>
      </c>
      <c r="F576" s="50" t="inlineStr">
        <is>
          <t>Super Carlin Brothers</t>
        </is>
      </c>
      <c r="G576" t="inlineStr">
        <is>
          <t>What If Snape Made A HORCRUX | Harry Potter Film Theory</t>
        </is>
      </c>
      <c r="H576" s="44" t="n">
        <v>0.01158564814814815</v>
      </c>
      <c r="I576" s="45" t="n">
        <v>182811</v>
      </c>
      <c r="J576" s="45" t="n">
        <v>7131</v>
      </c>
      <c r="K576" s="45" t="n">
        <v>724</v>
      </c>
      <c r="L576" s="46" t="n"/>
      <c r="M576" s="47" t="n"/>
      <c r="N576" s="47" t="inlineStr">
        <is>
          <t>UCKZo4N0lVPccBkSiuyVh4yg</t>
        </is>
      </c>
      <c r="O576" s="48" t="n">
        <v>45511.87361111111</v>
      </c>
      <c r="P576" s="49" t="n">
        <v>45511</v>
      </c>
      <c r="Q576" s="47" t="n">
        <v>2692</v>
      </c>
      <c r="R576" s="47" t="inlineStr">
        <is>
          <t>No Video ID yet</t>
        </is>
      </c>
      <c r="S576" s="49" t="n"/>
      <c r="T576" s="49" t="n"/>
      <c r="U576" s="47" t="inlineStr">
        <is>
          <t>Today J dives into the Wizarding World of Harry Potter to find out what would have happened if Snape had made a Horcrux out of Dumbledore’s death? What would it have been? Would it help him survive to the end? Would it turn him evil?</t>
        </is>
      </c>
      <c r="V576" s="47">
        <f>IF(AND(P576&gt;=Calendar!$K$2,P576&lt;EDATE(Calendar!$K$2,1),OR(Calendar!$K$4="*",N576=Calendar!$K$4)),P576*100+COUNTIFS($P$6:$P$3267,P576,$Q$6:$Q$3267,"&lt;="&amp;Q576,$N$6:$N$3267,Calendar!$K$4),"")</f>
        <v/>
      </c>
      <c r="W576" s="47">
        <f>IF(AND(B576=Queue!$C$4,OR(Queue!$K$4="*",N576=Queue!$K$4)),Q576,"")</f>
        <v/>
      </c>
    </row>
    <row r="577">
      <c r="A577" s="38">
        <f>IF(M577="","",HYPERLINK("https://www.youtube.com/watch?v="&amp;M577,"▶"))</f>
        <v/>
      </c>
      <c r="B577" s="39">
        <f>IF(C577&lt;&gt;"",C577,IF(P577&lt;=IFERROR(INDEX(tblChannels[Watched Through],MATCH(N577,tblChannels[Channel ID],0)),0),"Watched","Unwatched"))</f>
        <v/>
      </c>
      <c r="C577" s="40" t="n"/>
      <c r="D577" s="41" t="n"/>
      <c r="E577" s="42" t="n">
        <v>45508.41666666666</v>
      </c>
      <c r="F577" s="51" t="inlineStr">
        <is>
          <t>Through The Griffin Door</t>
        </is>
      </c>
      <c r="G577" t="inlineStr">
        <is>
          <t>Chapter 9: Grim Defeat | Prisoner of Azkaban (feat. Mike Schubert)</t>
        </is>
      </c>
      <c r="H577" s="44" t="n">
        <v>0.06648148148148147</v>
      </c>
      <c r="I577" s="45" t="n">
        <v>72236</v>
      </c>
      <c r="J577" s="45" t="n">
        <v>2222</v>
      </c>
      <c r="K577" s="45" t="n">
        <v>706</v>
      </c>
      <c r="L577" s="46" t="n"/>
      <c r="M577" s="47" t="n"/>
      <c r="N577" s="47" t="inlineStr">
        <is>
          <t>UCEscP6ETYXWSSvsNrDHekMQ</t>
        </is>
      </c>
      <c r="O577" s="48" t="n">
        <v>45508.58333333334</v>
      </c>
      <c r="P577" s="49" t="n">
        <v>45508</v>
      </c>
      <c r="Q577" s="47" t="n">
        <v>2691</v>
      </c>
      <c r="R577" s="47" t="inlineStr">
        <is>
          <t>No Video ID yet</t>
        </is>
      </c>
      <c r="S577" s="49" t="n"/>
      <c r="T577" s="49" t="n"/>
      <c r="U577" s="47" t="inlineStr">
        <is>
          <t>Don't forget to check out Shopify: shopify.com/GRIFFIN Be sure to check out Rocket Money: rocketmoney.com/GRIFFIN Join J, Ben and Mike as they dive into Chapter 9 of the Prisoner of Azkaban and discuss the slumber party, Sirius’ disguise, Snape and Dumby’s “sneaky” convo, who the Fat Lady was, the Quidditch strategies, Snape teaching DADA, magical food, Lucius being a golf guy, and Dementors. Seattle Matinee - 9/21 Seattle - 9/21 (SOLD OUT) San Diego Matinee - 9/28 San Diego - 9/28 (SOLD OUT) Check out all things Mike Schubert here - Who Was Crookshanks Original Owner? - Potter Puppet Pals Wizard Swears - 05:48 - Chapter Breakdown 1:32:32 - Closing Thoughts and Review</t>
        </is>
      </c>
      <c r="V577" s="47">
        <f>IF(AND(P577&gt;=Calendar!$K$2,P577&lt;EDATE(Calendar!$K$2,1),OR(Calendar!$K$4="*",N577=Calendar!$K$4)),P577*100+COUNTIFS($P$6:$P$3267,P577,$Q$6:$Q$3267,"&lt;="&amp;Q577,$N$6:$N$3267,Calendar!$K$4),"")</f>
        <v/>
      </c>
      <c r="W577" s="47">
        <f>IF(AND(B577=Queue!$C$4,OR(Queue!$K$4="*",N577=Queue!$K$4)),Q577,"")</f>
        <v/>
      </c>
    </row>
    <row r="578">
      <c r="A578" s="38">
        <f>IF(M578="","",HYPERLINK("https://www.youtube.com/watch?v="&amp;M578,"▶"))</f>
        <v/>
      </c>
      <c r="B578" s="39">
        <f>IF(C578&lt;&gt;"",C578,IF(P578&lt;=IFERROR(INDEX(tblChannels[Watched Through],MATCH(N578,tblChannels[Channel ID],0)),0),"Watched","Unwatched"))</f>
        <v/>
      </c>
      <c r="C578" s="40" t="n"/>
      <c r="D578" s="41" t="n"/>
      <c r="E578" s="42" t="n">
        <v>45506.70694444444</v>
      </c>
      <c r="F578" s="50" t="inlineStr">
        <is>
          <t>Super Carlin Brothers</t>
        </is>
      </c>
      <c r="G578" t="inlineStr">
        <is>
          <t>How Harry Potter SHOULD Have Ended | Harry Potter Film Theory</t>
        </is>
      </c>
      <c r="H578" s="44" t="n">
        <v>0.01125</v>
      </c>
      <c r="I578" s="45" t="n">
        <v>226126</v>
      </c>
      <c r="J578" s="45" t="n">
        <v>9306</v>
      </c>
      <c r="K578" s="45" t="n">
        <v>1205</v>
      </c>
      <c r="L578" s="46" t="n"/>
      <c r="M578" s="47" t="n"/>
      <c r="N578" s="47" t="inlineStr">
        <is>
          <t>UCKZo4N0lVPccBkSiuyVh4yg</t>
        </is>
      </c>
      <c r="O578" s="48" t="n">
        <v>45506.87361111111</v>
      </c>
      <c r="P578" s="49" t="n">
        <v>45506</v>
      </c>
      <c r="Q578" s="47" t="n">
        <v>2690</v>
      </c>
      <c r="R578" s="47" t="inlineStr">
        <is>
          <t>No Video ID yet</t>
        </is>
      </c>
      <c r="S578" s="49" t="n"/>
      <c r="T578" s="49" t="n"/>
      <c r="U578" s="47" t="inlineStr">
        <is>
          <t>Today J dives into the Wizarding World of Harry Potter to determine how the story should have actually ended! What job Harry SHOULD have had! Who Neville SHOULD have married! And WHAT SHOULD HAVE HAPPENED TO UMBRIDGE! Animation by: Isybelle Christley</t>
        </is>
      </c>
      <c r="V578" s="47">
        <f>IF(AND(P578&gt;=Calendar!$K$2,P578&lt;EDATE(Calendar!$K$2,1),OR(Calendar!$K$4="*",N578=Calendar!$K$4)),P578*100+COUNTIFS($P$6:$P$3267,P578,$Q$6:$Q$3267,"&lt;="&amp;Q578,$N$6:$N$3267,Calendar!$K$4),"")</f>
        <v/>
      </c>
      <c r="W578" s="47">
        <f>IF(AND(B578=Queue!$C$4,OR(Queue!$K$4="*",N578=Queue!$K$4)),Q578,"")</f>
        <v/>
      </c>
    </row>
    <row r="579">
      <c r="A579" s="38">
        <f>IF(M579="","",HYPERLINK("https://www.youtube.com/watch?v="&amp;M579,"▶"))</f>
        <v/>
      </c>
      <c r="B579" s="39">
        <f>IF(C579&lt;&gt;"",C579,IF(P579&lt;=IFERROR(INDEX(tblChannels[Watched Through],MATCH(N579,tblChannels[Channel ID],0)),0),"Watched","Unwatched"))</f>
        <v/>
      </c>
      <c r="C579" s="40" t="n"/>
      <c r="D579" s="41" t="n"/>
      <c r="E579" s="42" t="n">
        <v>45506.41666666666</v>
      </c>
      <c r="F579" s="43" t="inlineStr">
        <is>
          <t>Popcorn Culture</t>
        </is>
      </c>
      <c r="G579" t="inlineStr">
        <is>
          <t>Olympic Spoilers are THE WORST | Popcorn Culture</t>
        </is>
      </c>
      <c r="H579" s="44" t="n">
        <v>0.04685185185185185</v>
      </c>
      <c r="I579" s="45" t="n">
        <v>3688</v>
      </c>
      <c r="J579" s="45" t="n">
        <v>189</v>
      </c>
      <c r="K579" s="45" t="n">
        <v>23</v>
      </c>
      <c r="L579" s="46" t="n"/>
      <c r="M579" s="47" t="n"/>
      <c r="N579" s="47" t="inlineStr">
        <is>
          <t>UCHfIbq9thHPC8yrKjAdJgDA</t>
        </is>
      </c>
      <c r="O579" s="48" t="n">
        <v>45506.58333333334</v>
      </c>
      <c r="P579" s="49" t="n">
        <v>45506</v>
      </c>
      <c r="Q579" s="47" t="n">
        <v>2689</v>
      </c>
      <c r="R579" s="47" t="inlineStr">
        <is>
          <t>No Video ID yet</t>
        </is>
      </c>
      <c r="S579" s="49" t="n"/>
      <c r="T579" s="49" t="n"/>
      <c r="U579" s="47" t="inlineStr">
        <is>
          <t>In the 243rd episode of the Pop, Ben and J discuss the Olympics, running shoes, confusing calendars, boat mechanics, and big Marvel stuff! Deadpool &amp; Wolverine - Deadpool Google Autofill - Our Deadpool Review - SDCC Announcements - Calendar Math Launchin’ tha BOAT! BIG Marvel Weekend 00:00 - Intro, The Olympics 28:43 - Calendar Math 37:17 - Boat Mechanics 50:41 - Marvel Stuff</t>
        </is>
      </c>
      <c r="V579" s="47">
        <f>IF(AND(P579&gt;=Calendar!$K$2,P579&lt;EDATE(Calendar!$K$2,1),OR(Calendar!$K$4="*",N579=Calendar!$K$4)),P579*100+COUNTIFS($P$6:$P$3267,P579,$Q$6:$Q$3267,"&lt;="&amp;Q579,$N$6:$N$3267,Calendar!$K$4),"")</f>
        <v/>
      </c>
      <c r="W579" s="47">
        <f>IF(AND(B579=Queue!$C$4,OR(Queue!$K$4="*",N579=Queue!$K$4)),Q579,"")</f>
        <v/>
      </c>
    </row>
    <row r="580">
      <c r="A580" s="38">
        <f>IF(M580="","",HYPERLINK("https://www.youtube.com/watch?v="&amp;M580,"▶"))</f>
        <v/>
      </c>
      <c r="B580" s="39">
        <f>IF(C580&lt;&gt;"",C580,IF(P580&lt;=IFERROR(INDEX(tblChannels[Watched Through],MATCH(N580,tblChannels[Channel ID],0)),0),"Watched","Unwatched"))</f>
        <v/>
      </c>
      <c r="C580" s="40" t="n"/>
      <c r="D580" s="41" t="n"/>
      <c r="E580" s="42" t="n">
        <v>45505.77083333334</v>
      </c>
      <c r="F580" s="52" t="inlineStr">
        <is>
          <t>Super Carlin Gaming</t>
        </is>
      </c>
      <c r="G580" t="inlineStr">
        <is>
          <t>A Legion Of Drampas | Carlin Brothers Box Breakers S11E11</t>
        </is>
      </c>
      <c r="H580" s="44" t="n">
        <v>0.03049768518518519</v>
      </c>
      <c r="I580" s="45" t="n">
        <v>1062</v>
      </c>
      <c r="J580" s="45" t="n">
        <v>52</v>
      </c>
      <c r="K580" s="45" t="n">
        <v>7</v>
      </c>
      <c r="L580" s="46" t="n"/>
      <c r="M580" s="47" t="n"/>
      <c r="N580" s="47" t="inlineStr">
        <is>
          <t>UCor_9jRnNNZVzTuQ92PKsaQ</t>
        </is>
      </c>
      <c r="O580" s="48" t="n">
        <v>45505.9375</v>
      </c>
      <c r="P580" s="49" t="n">
        <v>45505</v>
      </c>
      <c r="Q580" s="47" t="n">
        <v>2688</v>
      </c>
      <c r="R580" s="47" t="inlineStr">
        <is>
          <t>No Video ID yet</t>
        </is>
      </c>
      <c r="S580" s="49" t="n"/>
      <c r="T580" s="49" t="n"/>
      <c r="U580" s="47" t="inlineStr">
        <is>
          <t>You'll never guess what kind of cards we pulled this week!</t>
        </is>
      </c>
      <c r="V580" s="47">
        <f>IF(AND(P580&gt;=Calendar!$K$2,P580&lt;EDATE(Calendar!$K$2,1),OR(Calendar!$K$4="*",N580=Calendar!$K$4)),P580*100+COUNTIFS($P$6:$P$3267,P580,$Q$6:$Q$3267,"&lt;="&amp;Q580,$N$6:$N$3267,Calendar!$K$4),"")</f>
        <v/>
      </c>
      <c r="W580" s="47">
        <f>IF(AND(B580=Queue!$C$4,OR(Queue!$K$4="*",N580=Queue!$K$4)),Q580,"")</f>
        <v/>
      </c>
    </row>
    <row r="581">
      <c r="A581" s="38">
        <f>IF(M581="","",HYPERLINK("https://www.youtube.com/watch?v="&amp;M581,"▶"))</f>
        <v/>
      </c>
      <c r="B581" s="39">
        <f>IF(C581&lt;&gt;"",C581,IF(P581&lt;=IFERROR(INDEX(tblChannels[Watched Through],MATCH(N581,tblChannels[Channel ID],0)),0),"Watched","Unwatched"))</f>
        <v/>
      </c>
      <c r="C581" s="40" t="n"/>
      <c r="D581" s="41" t="n"/>
      <c r="E581" s="42" t="n">
        <v>45504.70138888889</v>
      </c>
      <c r="F581" s="50" t="inlineStr">
        <is>
          <t>Super Carlin Brothers</t>
        </is>
      </c>
      <c r="G581" t="inlineStr">
        <is>
          <t>J vs Ben: Who Wants To Be A Galleonaire | Harry Potter TRIVIA</t>
        </is>
      </c>
      <c r="H581" s="44" t="n">
        <v>0.02739583333333333</v>
      </c>
      <c r="I581" s="45" t="n">
        <v>225771</v>
      </c>
      <c r="J581" s="45" t="n">
        <v>8092</v>
      </c>
      <c r="K581" s="45" t="n">
        <v>707</v>
      </c>
      <c r="L581" s="46" t="n"/>
      <c r="M581" s="47" t="n"/>
      <c r="N581" s="47" t="inlineStr">
        <is>
          <t>UCKZo4N0lVPccBkSiuyVh4yg</t>
        </is>
      </c>
      <c r="O581" s="48" t="n">
        <v>45504.86805555555</v>
      </c>
      <c r="P581" s="49" t="n">
        <v>45504</v>
      </c>
      <c r="Q581" s="47" t="n">
        <v>2687</v>
      </c>
      <c r="R581" s="47" t="inlineStr">
        <is>
          <t>No Video ID yet</t>
        </is>
      </c>
      <c r="S581" s="49" t="n"/>
      <c r="T581" s="49" t="n"/>
      <c r="U581" s="47" t="inlineStr">
        <is>
          <t>Go to to get 10% off your first purchase. Go to to see the new softside luggage from Away Today J and Ben face off in a brand new show: Who Wants to be a Galleonaire! Each must answer as many questions as possible without getting anything wrong. They each have three life lines: Poll the Audience (live on Instagram), Phone a Wife, and 50/50.</t>
        </is>
      </c>
      <c r="V581" s="47">
        <f>IF(AND(P581&gt;=Calendar!$K$2,P581&lt;EDATE(Calendar!$K$2,1),OR(Calendar!$K$4="*",N581=Calendar!$K$4)),P581*100+COUNTIFS($P$6:$P$3267,P581,$Q$6:$Q$3267,"&lt;="&amp;Q581,$N$6:$N$3267,Calendar!$K$4),"")</f>
        <v/>
      </c>
      <c r="W581" s="47">
        <f>IF(AND(B581=Queue!$C$4,OR(Queue!$K$4="*",N581=Queue!$K$4)),Q581,"")</f>
        <v/>
      </c>
    </row>
    <row r="582">
      <c r="A582" s="38">
        <f>IF(M582="","",HYPERLINK("https://www.youtube.com/watch?v="&amp;M582,"▶"))</f>
        <v/>
      </c>
      <c r="B582" s="39">
        <f>IF(C582&lt;&gt;"",C582,IF(P582&lt;=IFERROR(INDEX(tblChannels[Watched Through],MATCH(N582,tblChannels[Channel ID],0)),0),"Watched","Unwatched"))</f>
        <v/>
      </c>
      <c r="C582" s="40" t="n"/>
      <c r="D582" s="41" t="n"/>
      <c r="E582" s="42" t="n">
        <v>45502.59513888889</v>
      </c>
      <c r="F582" s="51" t="inlineStr">
        <is>
          <t>Through The Griffin Door</t>
        </is>
      </c>
      <c r="G582" t="inlineStr">
        <is>
          <t>We added matinee shows to the Through the Griffin Tour!</t>
        </is>
      </c>
      <c r="H582" s="44" t="n">
        <v>0.000462962962962963</v>
      </c>
      <c r="I582" s="45" t="n">
        <v>10535</v>
      </c>
      <c r="J582" s="45" t="n">
        <v>518</v>
      </c>
      <c r="K582" s="45" t="n">
        <v>36</v>
      </c>
      <c r="L582" s="46" t="n"/>
      <c r="M582" s="47" t="n"/>
      <c r="N582" s="47" t="inlineStr">
        <is>
          <t>UCEscP6ETYXWSSvsNrDHekMQ</t>
        </is>
      </c>
      <c r="O582" s="48" t="n">
        <v>45502.76180555556</v>
      </c>
      <c r="P582" s="49" t="n">
        <v>45502</v>
      </c>
      <c r="Q582" s="47" t="n">
        <v>2686</v>
      </c>
      <c r="R582" s="47" t="inlineStr">
        <is>
          <t>No Video ID yet</t>
        </is>
      </c>
      <c r="S582" s="49" t="n"/>
      <c r="T582" s="49" t="n"/>
      <c r="U582" s="47" t="n"/>
      <c r="V582" s="47">
        <f>IF(AND(P582&gt;=Calendar!$K$2,P582&lt;EDATE(Calendar!$K$2,1),OR(Calendar!$K$4="*",N582=Calendar!$K$4)),P582*100+COUNTIFS($P$6:$P$3267,P582,$Q$6:$Q$3267,"&lt;="&amp;Q582,$N$6:$N$3267,Calendar!$K$4),"")</f>
        <v/>
      </c>
      <c r="W582" s="47">
        <f>IF(AND(B582=Queue!$C$4,OR(Queue!$K$4="*",N582=Queue!$K$4)),Q582,"")</f>
        <v/>
      </c>
    </row>
    <row r="583">
      <c r="A583" s="38">
        <f>IF(M583="","",HYPERLINK("https://www.youtube.com/watch?v="&amp;M583,"▶"))</f>
        <v/>
      </c>
      <c r="B583" s="39">
        <f>IF(C583&lt;&gt;"",C583,IF(P583&lt;=IFERROR(INDEX(tblChannels[Watched Through],MATCH(N583,tblChannels[Channel ID],0)),0),"Watched","Unwatched"))</f>
        <v/>
      </c>
      <c r="C583" s="40" t="n"/>
      <c r="D583" s="41" t="n"/>
      <c r="E583" s="42" t="n">
        <v>45501.41666666666</v>
      </c>
      <c r="F583" s="51" t="inlineStr">
        <is>
          <t>Through The Griffin Door</t>
        </is>
      </c>
      <c r="G583" t="inlineStr">
        <is>
          <t>Chapter 8: Flight of the Fat Lady | Prisoner of Azkaban</t>
        </is>
      </c>
      <c r="H583" s="44" t="n">
        <v>0.05997685185185185</v>
      </c>
      <c r="I583" s="45" t="n">
        <v>71074</v>
      </c>
      <c r="J583" s="45" t="n">
        <v>1918</v>
      </c>
      <c r="K583" s="45" t="n">
        <v>569</v>
      </c>
      <c r="L583" s="46" t="n"/>
      <c r="M583" s="47" t="n"/>
      <c r="N583" s="47" t="inlineStr">
        <is>
          <t>UCEscP6ETYXWSSvsNrDHekMQ</t>
        </is>
      </c>
      <c r="O583" s="48" t="n">
        <v>45501.58333333334</v>
      </c>
      <c r="P583" s="49" t="n">
        <v>45501</v>
      </c>
      <c r="Q583" s="47" t="n">
        <v>2685</v>
      </c>
      <c r="R583" s="47" t="inlineStr">
        <is>
          <t>No Video ID yet</t>
        </is>
      </c>
      <c r="S583" s="49" t="n"/>
      <c r="T583" s="49" t="n"/>
      <c r="U583" s="47" t="inlineStr">
        <is>
          <t>Join J and Ben as they dive into Chapter 8 of the Prisoner of Azkaban and discuss Lupin always teaching, Snapes mood, Oliver Wood’s last year of quidditch, Hogsmede, Scabbers vs Crookshanks, the wolfsbane potion, Seattle Matinee - 9/21 Seattle - 9/21 (SOLD OUT) San Diego Matinee - 9/28 San Diego - 9/28 (SOLD OUT) Trelawney's Actually ALWAYS Right? - 06:36 - Chapter Breakdown 1:19:14 - Closing Thoughts and Review</t>
        </is>
      </c>
      <c r="V583" s="47">
        <f>IF(AND(P583&gt;=Calendar!$K$2,P583&lt;EDATE(Calendar!$K$2,1),OR(Calendar!$K$4="*",N583=Calendar!$K$4)),P583*100+COUNTIFS($P$6:$P$3267,P583,$Q$6:$Q$3267,"&lt;="&amp;Q583,$N$6:$N$3267,Calendar!$K$4),"")</f>
        <v/>
      </c>
      <c r="W583" s="47">
        <f>IF(AND(B583=Queue!$C$4,OR(Queue!$K$4="*",N583=Queue!$K$4)),Q583,"")</f>
        <v/>
      </c>
    </row>
    <row r="584">
      <c r="A584" s="38">
        <f>IF(M584="","",HYPERLINK("https://www.youtube.com/watch?v="&amp;M584,"▶"))</f>
        <v/>
      </c>
      <c r="B584" s="39">
        <f>IF(C584&lt;&gt;"",C584,IF(P584&lt;=IFERROR(INDEX(tblChannels[Watched Through],MATCH(N584,tblChannels[Channel ID],0)),0),"Watched","Unwatched"))</f>
        <v/>
      </c>
      <c r="C584" s="40" t="n"/>
      <c r="D584" s="41" t="n"/>
      <c r="E584" s="42" t="n">
        <v>45500.41666666666</v>
      </c>
      <c r="F584" s="50" t="inlineStr">
        <is>
          <t>Super Carlin Brothers</t>
        </is>
      </c>
      <c r="G584" t="inlineStr">
        <is>
          <t>Did Deadpool And Wolverine SAVE the MCU?! | Marvel REVIEW</t>
        </is>
      </c>
      <c r="H584" s="44" t="n">
        <v>0.03395833333333333</v>
      </c>
      <c r="I584" s="45" t="n">
        <v>57194</v>
      </c>
      <c r="J584" s="45" t="n">
        <v>2841</v>
      </c>
      <c r="K584" s="45" t="n">
        <v>402</v>
      </c>
      <c r="L584" s="46" t="n"/>
      <c r="M584" s="47" t="n"/>
      <c r="N584" s="47" t="inlineStr">
        <is>
          <t>UCKZo4N0lVPccBkSiuyVh4yg</t>
        </is>
      </c>
      <c r="O584" s="48" t="n">
        <v>45500.58333333334</v>
      </c>
      <c r="P584" s="49" t="n">
        <v>45500</v>
      </c>
      <c r="Q584" s="47" t="n">
        <v>2684</v>
      </c>
      <c r="R584" s="47" t="inlineStr">
        <is>
          <t>No Video ID yet</t>
        </is>
      </c>
      <c r="S584" s="49" t="n"/>
      <c r="T584" s="49" t="n"/>
      <c r="U584" s="47" t="inlineStr">
        <is>
          <t>Today J and Ben dive into the MCU, Fox, the void, the TVA, and nostalgia in general to give their full spoiler review of Marvel’s latest movie: Deadpool and Wolverine. #supercarlinbrothers #Marvel #DeadpoolAndWolverine</t>
        </is>
      </c>
      <c r="V584" s="47">
        <f>IF(AND(P584&gt;=Calendar!$K$2,P584&lt;EDATE(Calendar!$K$2,1),OR(Calendar!$K$4="*",N584=Calendar!$K$4)),P584*100+COUNTIFS($P$6:$P$3267,P584,$Q$6:$Q$3267,"&lt;="&amp;Q584,$N$6:$N$3267,Calendar!$K$4),"")</f>
        <v/>
      </c>
      <c r="W584" s="47">
        <f>IF(AND(B584=Queue!$C$4,OR(Queue!$K$4="*",N584=Queue!$K$4)),Q584,"")</f>
        <v/>
      </c>
    </row>
    <row r="585">
      <c r="A585" s="38">
        <f>IF(M585="","",HYPERLINK("https://www.youtube.com/watch?v="&amp;M585,"▶"))</f>
        <v/>
      </c>
      <c r="B585" s="39">
        <f>IF(C585&lt;&gt;"",C585,IF(P585&lt;=IFERROR(INDEX(tblChannels[Watched Through],MATCH(N585,tblChannels[Channel ID],0)),0),"Watched","Unwatched"))</f>
        <v/>
      </c>
      <c r="C585" s="40" t="n"/>
      <c r="D585" s="41" t="n"/>
      <c r="E585" s="42" t="n">
        <v>45500.25555555556</v>
      </c>
      <c r="F585" s="52" t="inlineStr">
        <is>
          <t>Super Carlin Gaming</t>
        </is>
      </c>
      <c r="G585" t="inlineStr">
        <is>
          <t>Pokemon Box Breakers LIVE!</t>
        </is>
      </c>
      <c r="H585" s="44" t="n">
        <v>0.1070138888888889</v>
      </c>
      <c r="I585" s="45" t="n">
        <v>1391</v>
      </c>
      <c r="J585" s="45" t="n">
        <v>65</v>
      </c>
      <c r="K585" s="45" t="n">
        <v>9</v>
      </c>
      <c r="L585" s="46" t="n"/>
      <c r="M585" s="47" t="n"/>
      <c r="N585" s="47" t="inlineStr">
        <is>
          <t>UCor_9jRnNNZVzTuQ92PKsaQ</t>
        </is>
      </c>
      <c r="O585" s="48" t="n">
        <v>45500.42222222222</v>
      </c>
      <c r="P585" s="49" t="n">
        <v>45500</v>
      </c>
      <c r="Q585" s="47" t="n">
        <v>2683</v>
      </c>
      <c r="R585" s="47" t="inlineStr">
        <is>
          <t>No Video ID yet</t>
        </is>
      </c>
      <c r="S585" s="49" t="n"/>
      <c r="T585" s="49" t="n"/>
      <c r="U585" s="47" t="n"/>
      <c r="V585" s="47">
        <f>IF(AND(P585&gt;=Calendar!$K$2,P585&lt;EDATE(Calendar!$K$2,1),OR(Calendar!$K$4="*",N585=Calendar!$K$4)),P585*100+COUNTIFS($P$6:$P$3267,P585,$Q$6:$Q$3267,"&lt;="&amp;Q585,$N$6:$N$3267,Calendar!$K$4),"")</f>
        <v/>
      </c>
      <c r="W585" s="47">
        <f>IF(AND(B585=Queue!$C$4,OR(Queue!$K$4="*",N585=Queue!$K$4)),Q585,"")</f>
        <v/>
      </c>
    </row>
    <row r="586">
      <c r="A586" s="38">
        <f>IF(M586="","",HYPERLINK("https://www.youtube.com/watch?v="&amp;M586,"▶"))</f>
        <v/>
      </c>
      <c r="B586" s="39">
        <f>IF(C586&lt;&gt;"",C586,IF(P586&lt;=IFERROR(INDEX(tblChannels[Watched Through],MATCH(N586,tblChannels[Channel ID],0)),0),"Watched","Unwatched"))</f>
        <v/>
      </c>
      <c r="C586" s="40" t="n"/>
      <c r="D586" s="41" t="n"/>
      <c r="E586" s="42" t="n">
        <v>45499.79166666666</v>
      </c>
      <c r="F586" s="52" t="inlineStr">
        <is>
          <t>Super Carlin Gaming</t>
        </is>
      </c>
      <c r="G586" t="inlineStr">
        <is>
          <t>Holy Feraligatr Batman!! | Carlin Brother Box Breakers S11E10</t>
        </is>
      </c>
      <c r="H586" s="44" t="n">
        <v>0.03482638888888889</v>
      </c>
      <c r="I586" s="45" t="n">
        <v>1010</v>
      </c>
      <c r="J586" s="45" t="n">
        <v>55</v>
      </c>
      <c r="K586" s="45" t="n">
        <v>8</v>
      </c>
      <c r="L586" s="46" t="n"/>
      <c r="M586" s="47" t="n"/>
      <c r="N586" s="47" t="inlineStr">
        <is>
          <t>UCor_9jRnNNZVzTuQ92PKsaQ</t>
        </is>
      </c>
      <c r="O586" s="48" t="n">
        <v>45499.95833333334</v>
      </c>
      <c r="P586" s="49" t="n">
        <v>45499</v>
      </c>
      <c r="Q586" s="47" t="n">
        <v>2682</v>
      </c>
      <c r="R586" s="47" t="inlineStr">
        <is>
          <t>No Video ID yet</t>
        </is>
      </c>
      <c r="S586" s="49" t="n"/>
      <c r="T586" s="49" t="n"/>
      <c r="U586" s="47" t="inlineStr">
        <is>
          <t>This week J draws on like... a lot of cards.</t>
        </is>
      </c>
      <c r="V586" s="47">
        <f>IF(AND(P586&gt;=Calendar!$K$2,P586&lt;EDATE(Calendar!$K$2,1),OR(Calendar!$K$4="*",N586=Calendar!$K$4)),P586*100+COUNTIFS($P$6:$P$3267,P586,$Q$6:$Q$3267,"&lt;="&amp;Q586,$N$6:$N$3267,Calendar!$K$4),"")</f>
        <v/>
      </c>
      <c r="W586" s="47">
        <f>IF(AND(B586=Queue!$C$4,OR(Queue!$K$4="*",N586=Queue!$K$4)),Q586,"")</f>
        <v/>
      </c>
    </row>
    <row r="587">
      <c r="A587" s="38">
        <f>IF(M587="","",HYPERLINK("https://www.youtube.com/watch?v="&amp;M587,"▶"))</f>
        <v/>
      </c>
      <c r="B587" s="39">
        <f>IF(C587&lt;&gt;"",C587,IF(P587&lt;=IFERROR(INDEX(tblChannels[Watched Through],MATCH(N587,tblChannels[Channel ID],0)),0),"Watched","Unwatched"))</f>
        <v/>
      </c>
      <c r="C587" s="40" t="n"/>
      <c r="D587" s="41" t="n"/>
      <c r="E587" s="42" t="n">
        <v>45499.69722222222</v>
      </c>
      <c r="F587" s="50" t="inlineStr">
        <is>
          <t>Super Carlin Brothers</t>
        </is>
      </c>
      <c r="G587" t="inlineStr">
        <is>
          <t>How Did Sirius Get His Wand Back | Harry Potter Film Theory</t>
        </is>
      </c>
      <c r="H587" s="44" t="n">
        <v>0.01081018518518518</v>
      </c>
      <c r="I587" s="45" t="n">
        <v>148341</v>
      </c>
      <c r="J587" s="45" t="n">
        <v>6555</v>
      </c>
      <c r="K587" s="45" t="n">
        <v>822</v>
      </c>
      <c r="L587" s="46" t="n"/>
      <c r="M587" s="47" t="n"/>
      <c r="N587" s="47" t="inlineStr">
        <is>
          <t>UCKZo4N0lVPccBkSiuyVh4yg</t>
        </is>
      </c>
      <c r="O587" s="48" t="n">
        <v>45499.86388888889</v>
      </c>
      <c r="P587" s="49" t="n">
        <v>45499</v>
      </c>
      <c r="Q587" s="47" t="n">
        <v>2681</v>
      </c>
      <c r="R587" s="47" t="inlineStr">
        <is>
          <t>No Video ID yet</t>
        </is>
      </c>
      <c r="S587" s="49" t="n"/>
      <c r="T587" s="49" t="n"/>
      <c r="U587" s="47" t="inlineStr">
        <is>
          <t>Go to and enter code super at checkout to get 15% off your first monthly box! Today Ben Dives into the Wizarding World of Harry Potter to find out How Sirius Black got his original wand back after being sent to Azkaban Prison… like what they didn’t destroy it? Nooo but Hagrid, is accused of killing a girl with a spider… that guy needs a good wand snapping!</t>
        </is>
      </c>
      <c r="V587" s="47">
        <f>IF(AND(P587&gt;=Calendar!$K$2,P587&lt;EDATE(Calendar!$K$2,1),OR(Calendar!$K$4="*",N587=Calendar!$K$4)),P587*100+COUNTIFS($P$6:$P$3267,P587,$Q$6:$Q$3267,"&lt;="&amp;Q587,$N$6:$N$3267,Calendar!$K$4),"")</f>
        <v/>
      </c>
      <c r="W587" s="47">
        <f>IF(AND(B587=Queue!$C$4,OR(Queue!$K$4="*",N587=Queue!$K$4)),Q587,"")</f>
        <v/>
      </c>
    </row>
    <row r="588">
      <c r="A588" s="38">
        <f>IF(M588="","",HYPERLINK("https://www.youtube.com/watch?v="&amp;M588,"▶"))</f>
        <v/>
      </c>
      <c r="B588" s="39">
        <f>IF(C588&lt;&gt;"",C588,IF(P588&lt;=IFERROR(INDEX(tblChannels[Watched Through],MATCH(N588,tblChannels[Channel ID],0)),0),"Watched","Unwatched"))</f>
        <v/>
      </c>
      <c r="C588" s="40" t="n"/>
      <c r="D588" s="41" t="n"/>
      <c r="E588" s="42" t="n">
        <v>45499.41666666666</v>
      </c>
      <c r="F588" s="43" t="inlineStr">
        <is>
          <t>Popcorn Culture</t>
        </is>
      </c>
      <c r="G588" t="inlineStr">
        <is>
          <t>*insert laugh track*| Popcorn Culture</t>
        </is>
      </c>
      <c r="H588" s="44" t="n">
        <v>0.04859953703703704</v>
      </c>
      <c r="I588" s="45" t="n">
        <v>3680</v>
      </c>
      <c r="J588" s="45" t="n">
        <v>204</v>
      </c>
      <c r="K588" s="45" t="n">
        <v>22</v>
      </c>
      <c r="L588" s="46" t="n"/>
      <c r="M588" s="47" t="n"/>
      <c r="N588" s="47" t="inlineStr">
        <is>
          <t>UCHfIbq9thHPC8yrKjAdJgDA</t>
        </is>
      </c>
      <c r="O588" s="48" t="n">
        <v>45499.58333333334</v>
      </c>
      <c r="P588" s="49" t="n">
        <v>45499</v>
      </c>
      <c r="Q588" s="47" t="n">
        <v>2680</v>
      </c>
      <c r="R588" s="47" t="inlineStr">
        <is>
          <t>No Video ID yet</t>
        </is>
      </c>
      <c r="S588" s="49" t="n"/>
      <c r="T588" s="49" t="n"/>
      <c r="U588" s="47" t="inlineStr">
        <is>
          <t>In the 242nd episode of the Pop, Ben and J discuss the set coffee table, handling summer break with youngins, Ben’s projects while Alyce is gone, and how other people think. Alternate Title: Front Seat Dibs Ben Discovers the Soundboard Coffee Table Coin Flip 00:00 - Cold Open 07:17 - Intro, J’s Mic 12:40 - Summer Break 39:25 - Ben’s Projects 48:20 - Thinking Like Others</t>
        </is>
      </c>
      <c r="V588" s="47">
        <f>IF(AND(P588&gt;=Calendar!$K$2,P588&lt;EDATE(Calendar!$K$2,1),OR(Calendar!$K$4="*",N588=Calendar!$K$4)),P588*100+COUNTIFS($P$6:$P$3267,P588,$Q$6:$Q$3267,"&lt;="&amp;Q588,$N$6:$N$3267,Calendar!$K$4),"")</f>
        <v/>
      </c>
      <c r="W588" s="47">
        <f>IF(AND(B588=Queue!$C$4,OR(Queue!$K$4="*",N588=Queue!$K$4)),Q588,"")</f>
        <v/>
      </c>
    </row>
    <row r="589">
      <c r="A589" s="38">
        <f>IF(M589="","",HYPERLINK("https://www.youtube.com/watch?v="&amp;M589,"▶"))</f>
        <v/>
      </c>
      <c r="B589" s="39">
        <f>IF(C589&lt;&gt;"",C589,IF(P589&lt;=IFERROR(INDEX(tblChannels[Watched Through],MATCH(N589,tblChannels[Channel ID],0)),0),"Watched","Unwatched"))</f>
        <v/>
      </c>
      <c r="C589" s="40" t="n"/>
      <c r="D589" s="41" t="n"/>
      <c r="E589" s="42" t="n">
        <v>45497.77291666667</v>
      </c>
      <c r="F589" s="50" t="inlineStr">
        <is>
          <t>Super Carlin Brothers</t>
        </is>
      </c>
      <c r="G589" t="inlineStr">
        <is>
          <t>Is Deadpool IMMORTAL Google Autofill | Marvel Film Theory</t>
        </is>
      </c>
      <c r="H589" s="44" t="n">
        <v>0.009050925925925926</v>
      </c>
      <c r="I589" s="45" t="n">
        <v>33414</v>
      </c>
      <c r="J589" s="45" t="n">
        <v>1982</v>
      </c>
      <c r="K589" s="45" t="n">
        <v>241</v>
      </c>
      <c r="L589" s="46" t="n"/>
      <c r="M589" s="47" t="n"/>
      <c r="N589" s="47" t="inlineStr">
        <is>
          <t>UCKZo4N0lVPccBkSiuyVh4yg</t>
        </is>
      </c>
      <c r="O589" s="48" t="n">
        <v>45497.93958333333</v>
      </c>
      <c r="P589" s="49" t="n">
        <v>45497</v>
      </c>
      <c r="Q589" s="47" t="n">
        <v>2679</v>
      </c>
      <c r="R589" s="47" t="inlineStr">
        <is>
          <t>No Video ID yet</t>
        </is>
      </c>
      <c r="S589" s="49" t="n"/>
      <c r="T589" s="49" t="n"/>
      <c r="U589" s="47" t="inlineStr">
        <is>
          <t>Today J dives into the whacky and wild multiverse of Marvel’s Cinematic Universe and the even crazier mind of the Merc with a Mouth: Deadpool to find out all of Google’s most answered questions about him and Wolverine! #supercarlinbrothers #Marvel #Deadpool Deadpool played by : Ethan Edghill</t>
        </is>
      </c>
      <c r="V589" s="47">
        <f>IF(AND(P589&gt;=Calendar!$K$2,P589&lt;EDATE(Calendar!$K$2,1),OR(Calendar!$K$4="*",N589=Calendar!$K$4)),P589*100+COUNTIFS($P$6:$P$3267,P589,$Q$6:$Q$3267,"&lt;="&amp;Q589,$N$6:$N$3267,Calendar!$K$4),"")</f>
        <v/>
      </c>
      <c r="W589" s="47">
        <f>IF(AND(B589=Queue!$C$4,OR(Queue!$K$4="*",N589=Queue!$K$4)),Q589,"")</f>
        <v/>
      </c>
    </row>
    <row r="590">
      <c r="A590" s="38">
        <f>IF(M590="","",HYPERLINK("https://www.youtube.com/watch?v="&amp;M590,"▶"))</f>
        <v/>
      </c>
      <c r="B590" s="39">
        <f>IF(C590&lt;&gt;"",C590,IF(P590&lt;=IFERROR(INDEX(tblChannels[Watched Through],MATCH(N590,tblChannels[Channel ID],0)),0),"Watched","Unwatched"))</f>
        <v/>
      </c>
      <c r="C590" s="40" t="n"/>
      <c r="D590" s="41" t="n"/>
      <c r="E590" s="42" t="n">
        <v>45494.41666666666</v>
      </c>
      <c r="F590" s="50" t="inlineStr">
        <is>
          <t>Super Carlin Brothers</t>
        </is>
      </c>
      <c r="G590" t="inlineStr">
        <is>
          <t>Through the Griffin Door Supercut: Prisoner of Azkaban Chapters 4-6</t>
        </is>
      </c>
      <c r="H590" s="44" t="n">
        <v>0.1754282407407407</v>
      </c>
      <c r="I590" s="45" t="n">
        <v>30083</v>
      </c>
      <c r="J590" s="45" t="n">
        <v>500</v>
      </c>
      <c r="K590" s="45" t="n">
        <v>123</v>
      </c>
      <c r="L590" s="46" t="n"/>
      <c r="M590" s="47" t="n"/>
      <c r="N590" s="47" t="inlineStr">
        <is>
          <t>UCKZo4N0lVPccBkSiuyVh4yg</t>
        </is>
      </c>
      <c r="O590" s="48" t="n">
        <v>45494.58333333334</v>
      </c>
      <c r="P590" s="49" t="n">
        <v>45494</v>
      </c>
      <c r="Q590" s="47" t="n">
        <v>2678</v>
      </c>
      <c r="R590" s="47" t="inlineStr">
        <is>
          <t>No Video ID yet</t>
        </is>
      </c>
      <c r="S590" s="49" t="n"/>
      <c r="T590" s="49" t="n"/>
      <c r="U590" s="47" t="inlineStr">
        <is>
          <t>00:00:00 - Chapter 4: The Leaky Cauldron 01:04:49 - Chapter 5: The Dementor 02:04:08 - Chapter 6: Talons and Tea Leaves</t>
        </is>
      </c>
      <c r="V590" s="47">
        <f>IF(AND(P590&gt;=Calendar!$K$2,P590&lt;EDATE(Calendar!$K$2,1),OR(Calendar!$K$4="*",N590=Calendar!$K$4)),P590*100+COUNTIFS($P$6:$P$3267,P590,$Q$6:$Q$3267,"&lt;="&amp;Q590,$N$6:$N$3267,Calendar!$K$4),"")</f>
        <v/>
      </c>
      <c r="W590" s="47">
        <f>IF(AND(B590=Queue!$C$4,OR(Queue!$K$4="*",N590=Queue!$K$4)),Q590,"")</f>
        <v/>
      </c>
    </row>
    <row r="591">
      <c r="A591" s="38">
        <f>IF(M591="","",HYPERLINK("https://www.youtube.com/watch?v="&amp;M591,"▶"))</f>
        <v/>
      </c>
      <c r="B591" s="39">
        <f>IF(C591&lt;&gt;"",C591,IF(P591&lt;=IFERROR(INDEX(tblChannels[Watched Through],MATCH(N591,tblChannels[Channel ID],0)),0),"Watched","Unwatched"))</f>
        <v/>
      </c>
      <c r="C591" s="40" t="n"/>
      <c r="D591" s="41" t="n"/>
      <c r="E591" s="42" t="n">
        <v>45494.41666666666</v>
      </c>
      <c r="F591" s="51" t="inlineStr">
        <is>
          <t>Through The Griffin Door</t>
        </is>
      </c>
      <c r="G591" t="inlineStr">
        <is>
          <t>Chapter 7: The Boggart in the Wardrobe | Prisoner of Azkaban</t>
        </is>
      </c>
      <c r="H591" s="44" t="n">
        <v>0.06196759259259259</v>
      </c>
      <c r="I591" s="45" t="n">
        <v>73568</v>
      </c>
      <c r="J591" s="45" t="n">
        <v>2002</v>
      </c>
      <c r="K591" s="45" t="n">
        <v>551</v>
      </c>
      <c r="L591" s="46" t="n"/>
      <c r="M591" s="47" t="n"/>
      <c r="N591" s="47" t="inlineStr">
        <is>
          <t>UCEscP6ETYXWSSvsNrDHekMQ</t>
        </is>
      </c>
      <c r="O591" s="48" t="n">
        <v>45494.58333333334</v>
      </c>
      <c r="P591" s="49" t="n">
        <v>45494</v>
      </c>
      <c r="Q591" s="47" t="n">
        <v>2677</v>
      </c>
      <c r="R591" s="47" t="inlineStr">
        <is>
          <t>No Video ID yet</t>
        </is>
      </c>
      <c r="S591" s="49" t="n"/>
      <c r="T591" s="49" t="n"/>
      <c r="U591" s="47" t="inlineStr">
        <is>
          <t>Want to join our brand new Patreon? Go to patreon.com/ThroughtheGriffinDoor and sign up for either tier! Join J and Ben as they dive into Chapter 7 of the Prisoner of Azkaban and discuss Malfoy being dramatic, double potions, shrivelfigs, more scheduling shenanigans, waddiwasi Lupin being the best, the boggart lesson and everyone’s fears. Seattle - 9/21 (SOLD OUT) 09:25 - Chapter Breakdown 1:17:38 - Closing Thoughts and Review</t>
        </is>
      </c>
      <c r="V591" s="47">
        <f>IF(AND(P591&gt;=Calendar!$K$2,P591&lt;EDATE(Calendar!$K$2,1),OR(Calendar!$K$4="*",N591=Calendar!$K$4)),P591*100+COUNTIFS($P$6:$P$3267,P591,$Q$6:$Q$3267,"&lt;="&amp;Q591,$N$6:$N$3267,Calendar!$K$4),"")</f>
        <v/>
      </c>
      <c r="W591" s="47">
        <f>IF(AND(B591=Queue!$C$4,OR(Queue!$K$4="*",N591=Queue!$K$4)),Q591,"")</f>
        <v/>
      </c>
    </row>
    <row r="592">
      <c r="A592" s="38">
        <f>IF(M592="","",HYPERLINK("https://www.youtube.com/watch?v="&amp;M592,"▶"))</f>
        <v/>
      </c>
      <c r="B592" s="39">
        <f>IF(C592&lt;&gt;"",C592,IF(P592&lt;=IFERROR(INDEX(tblChannels[Watched Through],MATCH(N592,tblChannels[Channel ID],0)),0),"Watched","Unwatched"))</f>
        <v/>
      </c>
      <c r="C592" s="40" t="n"/>
      <c r="D592" s="41" t="n"/>
      <c r="E592" s="42" t="n">
        <v>45493.77083333334</v>
      </c>
      <c r="F592" s="52" t="inlineStr">
        <is>
          <t>Super Carlin Gaming</t>
        </is>
      </c>
      <c r="G592" t="inlineStr">
        <is>
          <t>A Truly Haunting Episode | Carlin Brothers Box Breakers S11E9</t>
        </is>
      </c>
      <c r="H592" s="44" t="n">
        <v>0.03394675925925926</v>
      </c>
      <c r="I592" s="45" t="n">
        <v>1274</v>
      </c>
      <c r="J592" s="45" t="n">
        <v>71</v>
      </c>
      <c r="K592" s="45" t="n">
        <v>11</v>
      </c>
      <c r="L592" s="46" t="n"/>
      <c r="M592" s="47" t="n"/>
      <c r="N592" s="47" t="inlineStr">
        <is>
          <t>UCor_9jRnNNZVzTuQ92PKsaQ</t>
        </is>
      </c>
      <c r="O592" s="48" t="n">
        <v>45493.9375</v>
      </c>
      <c r="P592" s="49" t="n">
        <v>45493</v>
      </c>
      <c r="Q592" s="47" t="n">
        <v>2676</v>
      </c>
      <c r="R592" s="47" t="inlineStr">
        <is>
          <t>No Video ID yet</t>
        </is>
      </c>
      <c r="S592" s="49" t="n"/>
      <c r="T592" s="49" t="n"/>
      <c r="U592" s="47" t="inlineStr">
        <is>
          <t>This Week We Really Get Into The SPIRIT Of The Game</t>
        </is>
      </c>
      <c r="V592" s="47">
        <f>IF(AND(P592&gt;=Calendar!$K$2,P592&lt;EDATE(Calendar!$K$2,1),OR(Calendar!$K$4="*",N592=Calendar!$K$4)),P592*100+COUNTIFS($P$6:$P$3267,P592,$Q$6:$Q$3267,"&lt;="&amp;Q592,$N$6:$N$3267,Calendar!$K$4),"")</f>
        <v/>
      </c>
      <c r="W592" s="47">
        <f>IF(AND(B592=Queue!$C$4,OR(Queue!$K$4="*",N592=Queue!$K$4)),Q592,"")</f>
        <v/>
      </c>
    </row>
    <row r="593">
      <c r="A593" s="38">
        <f>IF(M593="","",HYPERLINK("https://www.youtube.com/watch?v="&amp;M593,"▶"))</f>
        <v/>
      </c>
      <c r="B593" s="39">
        <f>IF(C593&lt;&gt;"",C593,IF(P593&lt;=IFERROR(INDEX(tblChannels[Watched Through],MATCH(N593,tblChannels[Channel ID],0)),0),"Watched","Unwatched"))</f>
        <v/>
      </c>
      <c r="C593" s="40" t="n"/>
      <c r="D593" s="41" t="n"/>
      <c r="E593" s="42" t="n">
        <v>45492.68402777778</v>
      </c>
      <c r="F593" s="50" t="inlineStr">
        <is>
          <t>Super Carlin Brothers</t>
        </is>
      </c>
      <c r="G593" t="inlineStr">
        <is>
          <t>Hogwarts WEIRD Population EXPLAINED | Harry Potter Film Theory</t>
        </is>
      </c>
      <c r="H593" s="44" t="n">
        <v>0.0106712962962963</v>
      </c>
      <c r="I593" s="45" t="n">
        <v>192332</v>
      </c>
      <c r="J593" s="45" t="n">
        <v>8329</v>
      </c>
      <c r="K593" s="45" t="n">
        <v>929</v>
      </c>
      <c r="L593" s="46" t="n"/>
      <c r="M593" s="47" t="n"/>
      <c r="N593" s="47" t="inlineStr">
        <is>
          <t>UCKZo4N0lVPccBkSiuyVh4yg</t>
        </is>
      </c>
      <c r="O593" s="48" t="n">
        <v>45492.85069444445</v>
      </c>
      <c r="P593" s="49" t="n">
        <v>45492</v>
      </c>
      <c r="Q593" s="47" t="n">
        <v>2675</v>
      </c>
      <c r="R593" s="47" t="inlineStr">
        <is>
          <t>No Video ID yet</t>
        </is>
      </c>
      <c r="S593" s="49" t="n"/>
      <c r="T593" s="49" t="n"/>
      <c r="U593" s="47" t="inlineStr">
        <is>
          <t>Head on over to to sign up for a $1 per month trial period. Today Ben dives into the Wizarding World of Harry Potter to try and explain why there are so few students at Hogwarts while Harry is attending school there and what other ramifications this has had on the rest of the Wizarding World.</t>
        </is>
      </c>
      <c r="V593" s="47">
        <f>IF(AND(P593&gt;=Calendar!$K$2,P593&lt;EDATE(Calendar!$K$2,1),OR(Calendar!$K$4="*",N593=Calendar!$K$4)),P593*100+COUNTIFS($P$6:$P$3267,P593,$Q$6:$Q$3267,"&lt;="&amp;Q593,$N$6:$N$3267,Calendar!$K$4),"")</f>
        <v/>
      </c>
      <c r="W593" s="47">
        <f>IF(AND(B593=Queue!$C$4,OR(Queue!$K$4="*",N593=Queue!$K$4)),Q593,"")</f>
        <v/>
      </c>
    </row>
    <row r="594">
      <c r="A594" s="38">
        <f>IF(M594="","",HYPERLINK("https://www.youtube.com/watch?v="&amp;M594,"▶"))</f>
        <v/>
      </c>
      <c r="B594" s="39">
        <f>IF(C594&lt;&gt;"",C594,IF(P594&lt;=IFERROR(INDEX(tblChannels[Watched Through],MATCH(N594,tblChannels[Channel ID],0)),0),"Watched","Unwatched"))</f>
        <v/>
      </c>
      <c r="C594" s="40" t="n"/>
      <c r="D594" s="41" t="n"/>
      <c r="E594" s="42" t="n">
        <v>45492.41666666666</v>
      </c>
      <c r="F594" s="43" t="inlineStr">
        <is>
          <t>Popcorn Culture</t>
        </is>
      </c>
      <c r="G594" t="inlineStr">
        <is>
          <t>673 Mustaches | Popcorn Culture</t>
        </is>
      </c>
      <c r="H594" s="44" t="n">
        <v>0.05694444444444444</v>
      </c>
      <c r="I594" s="45" t="n">
        <v>4043</v>
      </c>
      <c r="J594" s="45" t="n">
        <v>189</v>
      </c>
      <c r="K594" s="45" t="n">
        <v>40</v>
      </c>
      <c r="L594" s="46" t="n"/>
      <c r="M594" s="47" t="n"/>
      <c r="N594" s="47" t="inlineStr">
        <is>
          <t>UCHfIbq9thHPC8yrKjAdJgDA</t>
        </is>
      </c>
      <c r="O594" s="48" t="n">
        <v>45492.58333333334</v>
      </c>
      <c r="P594" s="49" t="n">
        <v>45492</v>
      </c>
      <c r="Q594" s="47" t="n">
        <v>2674</v>
      </c>
      <c r="R594" s="47" t="inlineStr">
        <is>
          <t>No Video ID yet</t>
        </is>
      </c>
      <c r="S594" s="49" t="n"/>
      <c r="T594" s="49" t="n"/>
      <c r="U594" s="47" t="inlineStr">
        <is>
          <t>In the 241st episode of the Pop, Ben and J discuss reconfiguring the SCB set, couches, Roanoke’s crappy movie theaters, social media bios, actors who look alike, alien abductions, mustache growth, and multiverses. Despicable Me 4 - Steve Prefontaine - Without Limits - Donald Sutherland - Keifer Sutherland - Designated Survivor - Alternate Title: I Have Been Productivity In Couch Limbo Underusing Vacuum Tubes 00:00 - Intro, Re-Doing the Set 20:22 - Movie Theaters 34:51 - Related Actors 45:04 - Mustache Growth and Multiverses</t>
        </is>
      </c>
      <c r="V594" s="47">
        <f>IF(AND(P594&gt;=Calendar!$K$2,P594&lt;EDATE(Calendar!$K$2,1),OR(Calendar!$K$4="*",N594=Calendar!$K$4)),P594*100+COUNTIFS($P$6:$P$3267,P594,$Q$6:$Q$3267,"&lt;="&amp;Q594,$N$6:$N$3267,Calendar!$K$4),"")</f>
        <v/>
      </c>
      <c r="W594" s="47">
        <f>IF(AND(B594=Queue!$C$4,OR(Queue!$K$4="*",N594=Queue!$K$4)),Q594,"")</f>
        <v/>
      </c>
    </row>
    <row r="595">
      <c r="A595" s="38">
        <f>IF(M595="","",HYPERLINK("https://www.youtube.com/watch?v="&amp;M595,"▶"))</f>
        <v/>
      </c>
      <c r="B595" s="39">
        <f>IF(C595&lt;&gt;"",C595,IF(P595&lt;=IFERROR(INDEX(tblChannels[Watched Through],MATCH(N595,tblChannels[Channel ID],0)),0),"Watched","Unwatched"))</f>
        <v/>
      </c>
      <c r="C595" s="40" t="n"/>
      <c r="D595" s="41" t="n"/>
      <c r="E595" s="42" t="n">
        <v>45490.71944444445</v>
      </c>
      <c r="F595" s="50" t="inlineStr">
        <is>
          <t>Super Carlin Brothers</t>
        </is>
      </c>
      <c r="G595" t="inlineStr">
        <is>
          <t>J vs Ben: ULTIMATE Lucius Malfoy Harry Potter TRIVIA Quiz feat. BrettsThoughts</t>
        </is>
      </c>
      <c r="H595" s="44" t="n">
        <v>0.03070601851851852</v>
      </c>
      <c r="I595" s="45" t="n">
        <v>151063</v>
      </c>
      <c r="J595" s="45" t="n">
        <v>5097</v>
      </c>
      <c r="K595" s="45" t="n">
        <v>412</v>
      </c>
      <c r="L595" s="46" t="n"/>
      <c r="M595" s="47" t="n"/>
      <c r="N595" s="47" t="inlineStr">
        <is>
          <t>UCKZo4N0lVPccBkSiuyVh4yg</t>
        </is>
      </c>
      <c r="O595" s="48" t="n">
        <v>45490.88611111111</v>
      </c>
      <c r="P595" s="49" t="n">
        <v>45490</v>
      </c>
      <c r="Q595" s="47" t="n">
        <v>2673</v>
      </c>
      <c r="R595" s="47" t="inlineStr">
        <is>
          <t>No Video ID yet</t>
        </is>
      </c>
      <c r="S595" s="49" t="n"/>
      <c r="T595" s="49" t="n"/>
      <c r="U595" s="47" t="inlineStr">
        <is>
          <t>Go to to get 20% off your first order and free shipping. Go to to cancel your unwanted subscriptions with Rocket Money. You can bet your father will hear about this because today J and Ben invite Brett’sThoughts into another edition of J vs Ben to find out who knows more about Voldemort’s slipperiest friend: Lucius Malfoy! Check out Brett’s Thoughts:: Play Along with us ::</t>
        </is>
      </c>
      <c r="V595" s="47">
        <f>IF(AND(P595&gt;=Calendar!$K$2,P595&lt;EDATE(Calendar!$K$2,1),OR(Calendar!$K$4="*",N595=Calendar!$K$4)),P595*100+COUNTIFS($P$6:$P$3267,P595,$Q$6:$Q$3267,"&lt;="&amp;Q595,$N$6:$N$3267,Calendar!$K$4),"")</f>
        <v/>
      </c>
      <c r="W595" s="47">
        <f>IF(AND(B595=Queue!$C$4,OR(Queue!$K$4="*",N595=Queue!$K$4)),Q595,"")</f>
        <v/>
      </c>
    </row>
    <row r="596">
      <c r="A596" s="38">
        <f>IF(M596="","",HYPERLINK("https://www.youtube.com/watch?v="&amp;M596,"▶"))</f>
        <v/>
      </c>
      <c r="B596" s="39">
        <f>IF(C596&lt;&gt;"",C596,IF(P596&lt;=IFERROR(INDEX(tblChannels[Watched Through],MATCH(N596,tblChannels[Channel ID],0)),0),"Watched","Unwatched"))</f>
        <v/>
      </c>
      <c r="C596" s="40" t="n"/>
      <c r="D596" s="41" t="n"/>
      <c r="E596" s="42" t="n">
        <v>45487.41666666666</v>
      </c>
      <c r="F596" s="51" t="inlineStr">
        <is>
          <t>Through The Griffin Door</t>
        </is>
      </c>
      <c r="G596" t="inlineStr">
        <is>
          <t>Chapter 6: Talons and Tea Leaves | Prisoner of Azkaban</t>
        </is>
      </c>
      <c r="H596" s="44" t="n">
        <v>0.06679398148148148</v>
      </c>
      <c r="I596" s="45" t="n">
        <v>77907</v>
      </c>
      <c r="J596" s="45" t="n">
        <v>2114</v>
      </c>
      <c r="K596" s="45" t="n">
        <v>615</v>
      </c>
      <c r="L596" s="46" t="n"/>
      <c r="M596" s="47" t="n"/>
      <c r="N596" s="47" t="inlineStr">
        <is>
          <t>UCEscP6ETYXWSSvsNrDHekMQ</t>
        </is>
      </c>
      <c r="O596" s="48" t="n">
        <v>45487.58333333334</v>
      </c>
      <c r="P596" s="49" t="n">
        <v>45487</v>
      </c>
      <c r="Q596" s="47" t="n">
        <v>2672</v>
      </c>
      <c r="R596" s="47" t="inlineStr">
        <is>
          <t>No Video ID yet</t>
        </is>
      </c>
      <c r="S596" s="49" t="n"/>
      <c r="T596" s="49" t="n"/>
      <c r="U596" s="47" t="inlineStr">
        <is>
          <t>Want to join our brand new Patreon? Go to patreon.com/ThroughtheGriffinDoor and sign up for either tier! Join J and Ben as they dive into Chapter 6 of the Prisoner of Azkaban and discuss Trelawney’s predictions, Fred and George’s empathy, the Third Years’ schedules, Sir Cadogan, Divination Class, Transfiguration Class, the Grim, haughtiness, Buckbeak and Malfoy’s interaction, and visiting Hagrid. Seattle - 9/21 (SOLD OUT) (apologies we recorded this before they sold out) Portland - 9/23 (12 tickets left as of Friday!) Trelawney's Actually ALWAYS Right? - Despicable Me - 00:00 - Intro, Announcements and Chapter Art 20:32 - Chapter Breakdown 1:26:47 - Closing Thoughts and Review</t>
        </is>
      </c>
      <c r="V596" s="47">
        <f>IF(AND(P596&gt;=Calendar!$K$2,P596&lt;EDATE(Calendar!$K$2,1),OR(Calendar!$K$4="*",N596=Calendar!$K$4)),P596*100+COUNTIFS($P$6:$P$3267,P596,$Q$6:$Q$3267,"&lt;="&amp;Q596,$N$6:$N$3267,Calendar!$K$4),"")</f>
        <v/>
      </c>
      <c r="W596" s="47">
        <f>IF(AND(B596=Queue!$C$4,OR(Queue!$K$4="*",N596=Queue!$K$4)),Q596,"")</f>
        <v/>
      </c>
    </row>
    <row r="597">
      <c r="A597" s="38">
        <f>IF(M597="","",HYPERLINK("https://www.youtube.com/watch?v="&amp;M597,"▶"))</f>
        <v/>
      </c>
      <c r="B597" s="39">
        <f>IF(C597&lt;&gt;"",C597,IF(P597&lt;=IFERROR(INDEX(tblChannels[Watched Through],MATCH(N597,tblChannels[Channel ID],0)),0),"Watched","Unwatched"))</f>
        <v/>
      </c>
      <c r="C597" s="40" t="n"/>
      <c r="D597" s="41" t="n"/>
      <c r="E597" s="42" t="n">
        <v>45485.70625</v>
      </c>
      <c r="F597" s="50" t="inlineStr">
        <is>
          <t>Super Carlin Brothers</t>
        </is>
      </c>
      <c r="G597" t="inlineStr">
        <is>
          <t>What If Voldemort SURVIVED | Harry Potter Film Theory</t>
        </is>
      </c>
      <c r="H597" s="44" t="n">
        <v>0.01047453703703704</v>
      </c>
      <c r="I597" s="45" t="n">
        <v>134906</v>
      </c>
      <c r="J597" s="45" t="n">
        <v>5870</v>
      </c>
      <c r="K597" s="45" t="n">
        <v>621</v>
      </c>
      <c r="L597" s="46" t="n"/>
      <c r="M597" s="47" t="n"/>
      <c r="N597" s="47" t="inlineStr">
        <is>
          <t>UCKZo4N0lVPccBkSiuyVh4yg</t>
        </is>
      </c>
      <c r="O597" s="48" t="n">
        <v>45485.87291666667</v>
      </c>
      <c r="P597" s="49" t="n">
        <v>45485</v>
      </c>
      <c r="Q597" s="47" t="n">
        <v>2671</v>
      </c>
      <c r="R597" s="47" t="inlineStr">
        <is>
          <t>No Video ID yet</t>
        </is>
      </c>
      <c r="S597" s="49" t="n"/>
      <c r="T597" s="49" t="n"/>
      <c r="U597" s="47" t="inlineStr">
        <is>
          <t>Go to to get 20% off and free shipping. Today Ben Dives into the Wizarding World of Harry Potter to find out What If Voldemort survived the final battle? Defeated but left alive? What would the Wizarding World do? Edited by : Isybelle Christley &amp; Ethan Edghill</t>
        </is>
      </c>
      <c r="V597" s="47">
        <f>IF(AND(P597&gt;=Calendar!$K$2,P597&lt;EDATE(Calendar!$K$2,1),OR(Calendar!$K$4="*",N597=Calendar!$K$4)),P597*100+COUNTIFS($P$6:$P$3267,P597,$Q$6:$Q$3267,"&lt;="&amp;Q597,$N$6:$N$3267,Calendar!$K$4),"")</f>
        <v/>
      </c>
      <c r="W597" s="47">
        <f>IF(AND(B597=Queue!$C$4,OR(Queue!$K$4="*",N597=Queue!$K$4)),Q597,"")</f>
        <v/>
      </c>
    </row>
    <row r="598">
      <c r="A598" s="38">
        <f>IF(M598="","",HYPERLINK("https://www.youtube.com/watch?v="&amp;M598,"▶"))</f>
        <v/>
      </c>
      <c r="B598" s="39">
        <f>IF(C598&lt;&gt;"",C598,IF(P598&lt;=IFERROR(INDEX(tblChannels[Watched Through],MATCH(N598,tblChannels[Channel ID],0)),0),"Watched","Unwatched"))</f>
        <v/>
      </c>
      <c r="C598" s="40" t="n"/>
      <c r="D598" s="41" t="n"/>
      <c r="E598" s="42" t="n">
        <v>45485.41666666666</v>
      </c>
      <c r="F598" s="43" t="inlineStr">
        <is>
          <t>Popcorn Culture</t>
        </is>
      </c>
      <c r="G598" t="inlineStr">
        <is>
          <t>Lunch Date Wingman | Popcorn Culture</t>
        </is>
      </c>
      <c r="H598" s="44" t="n">
        <v>0.05</v>
      </c>
      <c r="I598" s="45" t="n">
        <v>3868</v>
      </c>
      <c r="J598" s="45" t="n">
        <v>199</v>
      </c>
      <c r="K598" s="45" t="n">
        <v>18</v>
      </c>
      <c r="L598" s="46" t="n"/>
      <c r="M598" s="47" t="n"/>
      <c r="N598" s="47" t="inlineStr">
        <is>
          <t>UCHfIbq9thHPC8yrKjAdJgDA</t>
        </is>
      </c>
      <c r="O598" s="48" t="n">
        <v>45485.58333333334</v>
      </c>
      <c r="P598" s="49" t="n">
        <v>45485</v>
      </c>
      <c r="Q598" s="47" t="n">
        <v>2670</v>
      </c>
      <c r="R598" s="47" t="inlineStr">
        <is>
          <t>No Video ID yet</t>
        </is>
      </c>
      <c r="S598" s="49" t="n"/>
      <c r="T598" s="49" t="n"/>
      <c r="U598" s="47" t="inlineStr">
        <is>
          <t>In the 240th episode of the Pop, Ben and J discuss J’s weird quirk, backflips, the “we should get lunch” phenomenon, the but-crack, their lake trip, and Danny Ocean (the deer). What Else Can I Do - Alternate Title: Gainers are Scary The But-Crack The Most Glorious Trip The One That Got Away Our Own Carp Boy 00:00 - Intro, Busted AC 05:25 - Flips 17:14 - Social Media Pruning 31:27 - The Lake Trip 58:56 - J’s Garden</t>
        </is>
      </c>
      <c r="V598" s="47">
        <f>IF(AND(P598&gt;=Calendar!$K$2,P598&lt;EDATE(Calendar!$K$2,1),OR(Calendar!$K$4="*",N598=Calendar!$K$4)),P598*100+COUNTIFS($P$6:$P$3267,P598,$Q$6:$Q$3267,"&lt;="&amp;Q598,$N$6:$N$3267,Calendar!$K$4),"")</f>
        <v/>
      </c>
      <c r="W598" s="47">
        <f>IF(AND(B598=Queue!$C$4,OR(Queue!$K$4="*",N598=Queue!$K$4)),Q598,"")</f>
        <v/>
      </c>
    </row>
    <row r="599">
      <c r="A599" s="38">
        <f>IF(M599="","",HYPERLINK("https://www.youtube.com/watch?v="&amp;M599,"▶"))</f>
        <v/>
      </c>
      <c r="B599" s="39">
        <f>IF(C599&lt;&gt;"",C599,IF(P599&lt;=IFERROR(INDEX(tblChannels[Watched Through],MATCH(N599,tblChannels[Channel ID],0)),0),"Watched","Unwatched"))</f>
        <v/>
      </c>
      <c r="C599" s="40" t="n"/>
      <c r="D599" s="41" t="n"/>
      <c r="E599" s="42" t="n">
        <v>45483.70138888889</v>
      </c>
      <c r="F599" s="50" t="inlineStr">
        <is>
          <t>Super Carlin Brothers</t>
        </is>
      </c>
      <c r="G599" t="inlineStr">
        <is>
          <t>Ron Weasley Is A SEER | Harry Potter Film Theory</t>
        </is>
      </c>
      <c r="H599" s="44" t="n">
        <v>0.01164351851851852</v>
      </c>
      <c r="I599" s="45" t="n">
        <v>278460</v>
      </c>
      <c r="J599" s="45" t="n">
        <v>11551</v>
      </c>
      <c r="K599" s="45" t="n">
        <v>1097</v>
      </c>
      <c r="L599" s="46" t="n"/>
      <c r="M599" s="47" t="n"/>
      <c r="N599" s="47" t="inlineStr">
        <is>
          <t>UCKZo4N0lVPccBkSiuyVh4yg</t>
        </is>
      </c>
      <c r="O599" s="48" t="n">
        <v>45483.86805555555</v>
      </c>
      <c r="P599" s="49" t="n">
        <v>45483</v>
      </c>
      <c r="Q599" s="47" t="n">
        <v>2669</v>
      </c>
      <c r="R599" s="47" t="inlineStr">
        <is>
          <t>No Video ID yet</t>
        </is>
      </c>
      <c r="S599" s="49" t="n"/>
      <c r="T599" s="49" t="n"/>
      <c r="U599" s="47" t="inlineStr">
        <is>
          <t>Today J dives into the future of the Wizarding World of Harry Potter to try and figure out if Ron Weasley is a seer!</t>
        </is>
      </c>
      <c r="V599" s="47">
        <f>IF(AND(P599&gt;=Calendar!$K$2,P599&lt;EDATE(Calendar!$K$2,1),OR(Calendar!$K$4="*",N599=Calendar!$K$4)),P599*100+COUNTIFS($P$6:$P$3267,P599,$Q$6:$Q$3267,"&lt;="&amp;Q599,$N$6:$N$3267,Calendar!$K$4),"")</f>
        <v/>
      </c>
      <c r="W599" s="47">
        <f>IF(AND(B599=Queue!$C$4,OR(Queue!$K$4="*",N599=Queue!$K$4)),Q599,"")</f>
        <v/>
      </c>
    </row>
    <row r="600">
      <c r="A600" s="38">
        <f>IF(M600="","",HYPERLINK("https://www.youtube.com/watch?v="&amp;M600,"▶"))</f>
        <v/>
      </c>
      <c r="B600" s="39">
        <f>IF(C600&lt;&gt;"",C600,IF(P600&lt;=IFERROR(INDEX(tblChannels[Watched Through],MATCH(N600,tblChannels[Channel ID],0)),0),"Watched","Unwatched"))</f>
        <v/>
      </c>
      <c r="C600" s="40" t="n"/>
      <c r="D600" s="41" t="n"/>
      <c r="E600" s="42" t="n">
        <v>45480.41666666666</v>
      </c>
      <c r="F600" s="51" t="inlineStr">
        <is>
          <t>Through The Griffin Door</t>
        </is>
      </c>
      <c r="G600" t="inlineStr">
        <is>
          <t>Chapter 5: The Dementor | Prisoner of Azkaban</t>
        </is>
      </c>
      <c r="H600" s="44" t="n">
        <v>0.06896990740740741</v>
      </c>
      <c r="I600" s="45" t="n">
        <v>82420</v>
      </c>
      <c r="J600" s="45" t="n">
        <v>2229</v>
      </c>
      <c r="K600" s="45" t="n">
        <v>756</v>
      </c>
      <c r="L600" s="46" t="n"/>
      <c r="M600" s="47" t="n"/>
      <c r="N600" s="47" t="inlineStr">
        <is>
          <t>UCEscP6ETYXWSSvsNrDHekMQ</t>
        </is>
      </c>
      <c r="O600" s="48" t="n">
        <v>45480.58333333334</v>
      </c>
      <c r="P600" s="49" t="n">
        <v>45480</v>
      </c>
      <c r="Q600" s="47" t="n">
        <v>2668</v>
      </c>
      <c r="R600" s="47" t="inlineStr">
        <is>
          <t>No Video ID yet</t>
        </is>
      </c>
      <c r="S600" s="49" t="n"/>
      <c r="T600" s="49" t="n"/>
      <c r="U600" s="47" t="inlineStr">
        <is>
          <t>Want to join our brand new Patreon? Go to patreon.com/ThroughtheGriffinDoor and sign up for either tier! Join J and Ben as they dive into Chapter 5 of the Prisoner of Azkaban and discuss love potions, getting the kids on the train, Harry’s conversation with Mr. Weasley, Lupin on the train, the sneakoscope, the Hogsmeade description, the Dementor, and the start of year feast. 12:58 - Chapter Breakdown 1:30:42- Closing Thoughts and Review</t>
        </is>
      </c>
      <c r="V600" s="47">
        <f>IF(AND(P600&gt;=Calendar!$K$2,P600&lt;EDATE(Calendar!$K$2,1),OR(Calendar!$K$4="*",N600=Calendar!$K$4)),P600*100+COUNTIFS($P$6:$P$3267,P600,$Q$6:$Q$3267,"&lt;="&amp;Q600,$N$6:$N$3267,Calendar!$K$4),"")</f>
        <v/>
      </c>
      <c r="W600" s="47">
        <f>IF(AND(B600=Queue!$C$4,OR(Queue!$K$4="*",N600=Queue!$K$4)),Q600,"")</f>
        <v/>
      </c>
    </row>
    <row r="601">
      <c r="A601" s="38">
        <f>IF(M601="","",HYPERLINK("https://www.youtube.com/watch?v="&amp;M601,"▶"))</f>
        <v/>
      </c>
      <c r="B601" s="39">
        <f>IF(C601&lt;&gt;"",C601,IF(P601&lt;=IFERROR(INDEX(tblChannels[Watched Through],MATCH(N601,tblChannels[Channel ID],0)),0),"Watched","Unwatched"))</f>
        <v/>
      </c>
      <c r="C601" s="40" t="n"/>
      <c r="D601" s="41" t="n"/>
      <c r="E601" s="42" t="n">
        <v>45478.58333333334</v>
      </c>
      <c r="F601" s="50" t="inlineStr">
        <is>
          <t>Super Carlin Brothers</t>
        </is>
      </c>
      <c r="G601" t="inlineStr">
        <is>
          <t>J vs Ben: Brother Knows BEST</t>
        </is>
      </c>
      <c r="H601" s="44" t="n">
        <v>0.02212962962962963</v>
      </c>
      <c r="I601" s="45" t="n">
        <v>99163</v>
      </c>
      <c r="J601" s="45" t="n">
        <v>4883</v>
      </c>
      <c r="K601" s="45" t="n">
        <v>436</v>
      </c>
      <c r="L601" s="46" t="n"/>
      <c r="M601" s="47" t="n"/>
      <c r="N601" s="47" t="inlineStr">
        <is>
          <t>UCKZo4N0lVPccBkSiuyVh4yg</t>
        </is>
      </c>
      <c r="O601" s="48" t="n">
        <v>45478.75</v>
      </c>
      <c r="P601" s="49" t="n">
        <v>45478</v>
      </c>
      <c r="Q601" s="47" t="n">
        <v>2667</v>
      </c>
      <c r="R601" s="47" t="inlineStr">
        <is>
          <t>No Video ID yet</t>
        </is>
      </c>
      <c r="S601" s="49" t="n"/>
      <c r="T601" s="49" t="n"/>
      <c r="U601" s="47" t="inlineStr">
        <is>
          <t>Today J and Ben face off once more to find out who knows the other brother better! Yea we are playing the newly wed game FANDOM STYLE! Which fictional world would you want to live in? Which celebrity would you want to have lunch with? #SuperCarlinBrothers #JvsBen</t>
        </is>
      </c>
      <c r="V601" s="47">
        <f>IF(AND(P601&gt;=Calendar!$K$2,P601&lt;EDATE(Calendar!$K$2,1),OR(Calendar!$K$4="*",N601=Calendar!$K$4)),P601*100+COUNTIFS($P$6:$P$3267,P601,$Q$6:$Q$3267,"&lt;="&amp;Q601,$N$6:$N$3267,Calendar!$K$4),"")</f>
        <v/>
      </c>
      <c r="W601" s="47">
        <f>IF(AND(B601=Queue!$C$4,OR(Queue!$K$4="*",N601=Queue!$K$4)),Q601,"")</f>
        <v/>
      </c>
    </row>
    <row r="602">
      <c r="A602" s="38">
        <f>IF(M602="","",HYPERLINK("https://www.youtube.com/watch?v="&amp;M602,"▶"))</f>
        <v/>
      </c>
      <c r="B602" s="39">
        <f>IF(C602&lt;&gt;"",C602,IF(P602&lt;=IFERROR(INDEX(tblChannels[Watched Through],MATCH(N602,tblChannels[Channel ID],0)),0),"Watched","Unwatched"))</f>
        <v/>
      </c>
      <c r="C602" s="40" t="n"/>
      <c r="D602" s="41" t="n"/>
      <c r="E602" s="42" t="n">
        <v>45478.41666666666</v>
      </c>
      <c r="F602" s="43" t="inlineStr">
        <is>
          <t>Popcorn Culture</t>
        </is>
      </c>
      <c r="G602" t="inlineStr">
        <is>
          <t>The OutSTANDING Q+A | Popcorn Culture</t>
        </is>
      </c>
      <c r="H602" s="44" t="n">
        <v>0.04438657407407407</v>
      </c>
      <c r="I602" s="45" t="n">
        <v>4037</v>
      </c>
      <c r="J602" s="45" t="n">
        <v>238</v>
      </c>
      <c r="K602" s="45" t="n">
        <v>39</v>
      </c>
      <c r="L602" s="46" t="n"/>
      <c r="M602" s="47" t="n"/>
      <c r="N602" s="47" t="inlineStr">
        <is>
          <t>UCHfIbq9thHPC8yrKjAdJgDA</t>
        </is>
      </c>
      <c r="O602" s="48" t="n">
        <v>45478.58333333334</v>
      </c>
      <c r="P602" s="49" t="n">
        <v>45478</v>
      </c>
      <c r="Q602" s="47" t="n">
        <v>2666</v>
      </c>
      <c r="R602" s="47" t="inlineStr">
        <is>
          <t>No Video ID yet</t>
        </is>
      </c>
      <c r="S602" s="49" t="n"/>
      <c r="T602" s="49" t="n"/>
      <c r="U602" s="47" t="inlineStr">
        <is>
          <t>In the 239th episode of the Pop, Ben and J ANSWER MORE QUESTIONS… STANDING! They discuss J’s injury, his garden, guilty displeasures, things that catch us off guard, graduating college, not being divisive, favorite Olympic events, and HP characters. Oceans 11 - Simone Biles - Alternate Title: Guilty Displeasures The Wheel of Luck What Stories Are Made Of 00:00 - Intro, J’s Injury 08:27 - Q1: Guilty Displeasures 23:20 - Q2: Work/Life Balance 32:10 - Q3: The Real World 41:36 - Q4: Divisive Topics 48:51 - Q5: The Olympics 57:59 - Q6: Harry Potter Characters</t>
        </is>
      </c>
      <c r="V602" s="47">
        <f>IF(AND(P602&gt;=Calendar!$K$2,P602&lt;EDATE(Calendar!$K$2,1),OR(Calendar!$K$4="*",N602=Calendar!$K$4)),P602*100+COUNTIFS($P$6:$P$3267,P602,$Q$6:$Q$3267,"&lt;="&amp;Q602,$N$6:$N$3267,Calendar!$K$4),"")</f>
        <v/>
      </c>
      <c r="W602" s="47">
        <f>IF(AND(B602=Queue!$C$4,OR(Queue!$K$4="*",N602=Queue!$K$4)),Q602,"")</f>
        <v/>
      </c>
    </row>
    <row r="603">
      <c r="A603" s="38">
        <f>IF(M603="","",HYPERLINK("https://www.youtube.com/watch?v="&amp;M603,"▶"))</f>
        <v/>
      </c>
      <c r="B603" s="39">
        <f>IF(C603&lt;&gt;"",C603,IF(P603&lt;=IFERROR(INDEX(tblChannels[Watched Through],MATCH(N603,tblChannels[Channel ID],0)),0),"Watched","Unwatched"))</f>
        <v/>
      </c>
      <c r="C603" s="40" t="n"/>
      <c r="D603" s="41" t="n"/>
      <c r="E603" s="42" t="n">
        <v>45476.58333333334</v>
      </c>
      <c r="F603" s="50" t="inlineStr">
        <is>
          <t>Super Carlin Brothers</t>
        </is>
      </c>
      <c r="G603" t="inlineStr">
        <is>
          <t>Inside Out 2 REVIEW | Disney Pixar</t>
        </is>
      </c>
      <c r="H603" s="44" t="n">
        <v>0.04342592592592592</v>
      </c>
      <c r="I603" s="45" t="n">
        <v>62222</v>
      </c>
      <c r="J603" s="45" t="n">
        <v>2488</v>
      </c>
      <c r="K603" s="45" t="n">
        <v>384</v>
      </c>
      <c r="L603" s="46" t="n"/>
      <c r="M603" s="47" t="n"/>
      <c r="N603" s="47" t="inlineStr">
        <is>
          <t>UCKZo4N0lVPccBkSiuyVh4yg</t>
        </is>
      </c>
      <c r="O603" s="48" t="n">
        <v>45476.75</v>
      </c>
      <c r="P603" s="49" t="n">
        <v>45476</v>
      </c>
      <c r="Q603" s="47" t="n">
        <v>2665</v>
      </c>
      <c r="R603" s="47" t="inlineStr">
        <is>
          <t>No Video ID yet</t>
        </is>
      </c>
      <c r="S603" s="49" t="n"/>
      <c r="T603" s="49" t="n"/>
      <c r="U603" s="47" t="inlineStr">
        <is>
          <t>Today J and Ben dive into the Pixarverse to give their full spoiler review of Pixar’s latest movie: Inside Out 2. #supercarlinbrothers #Pixar #InsideOut2</t>
        </is>
      </c>
      <c r="V603" s="47">
        <f>IF(AND(P603&gt;=Calendar!$K$2,P603&lt;EDATE(Calendar!$K$2,1),OR(Calendar!$K$4="*",N603=Calendar!$K$4)),P603*100+COUNTIFS($P$6:$P$3267,P603,$Q$6:$Q$3267,"&lt;="&amp;Q603,$N$6:$N$3267,Calendar!$K$4),"")</f>
        <v/>
      </c>
      <c r="W603" s="47">
        <f>IF(AND(B603=Queue!$C$4,OR(Queue!$K$4="*",N603=Queue!$K$4)),Q603,"")</f>
        <v/>
      </c>
    </row>
    <row r="604">
      <c r="A604" s="38">
        <f>IF(M604="","",HYPERLINK("https://www.youtube.com/watch?v="&amp;M604,"▶"))</f>
        <v/>
      </c>
      <c r="B604" s="39">
        <f>IF(C604&lt;&gt;"",C604,IF(P604&lt;=IFERROR(INDEX(tblChannels[Watched Through],MATCH(N604,tblChannels[Channel ID],0)),0),"Watched","Unwatched"))</f>
        <v/>
      </c>
      <c r="C604" s="40" t="n"/>
      <c r="D604" s="41" t="n"/>
      <c r="E604" s="42" t="n">
        <v>45473.41666666666</v>
      </c>
      <c r="F604" s="51" t="inlineStr">
        <is>
          <t>Through The Griffin Door</t>
        </is>
      </c>
      <c r="G604" t="inlineStr">
        <is>
          <t>Chapter 4: The Leaky Cauldron | Prisoner of Azkaban</t>
        </is>
      </c>
      <c r="H604" s="44" t="n">
        <v>0.04565972222222222</v>
      </c>
      <c r="I604" s="45" t="n">
        <v>67105</v>
      </c>
      <c r="J604" s="45" t="n">
        <v>2091</v>
      </c>
      <c r="K604" s="45" t="n">
        <v>755</v>
      </c>
      <c r="L604" s="46" t="n"/>
      <c r="M604" s="47" t="n"/>
      <c r="N604" s="47" t="inlineStr">
        <is>
          <t>UCEscP6ETYXWSSvsNrDHekMQ</t>
        </is>
      </c>
      <c r="O604" s="48" t="n">
        <v>45473.58333333334</v>
      </c>
      <c r="P604" s="49" t="n">
        <v>45473</v>
      </c>
      <c r="Q604" s="47" t="n">
        <v>2664</v>
      </c>
      <c r="R604" s="47" t="inlineStr">
        <is>
          <t>No Video ID yet</t>
        </is>
      </c>
      <c r="S604" s="49" t="n"/>
      <c r="T604" s="49" t="n"/>
      <c r="U604" s="47" t="inlineStr">
        <is>
          <t>Join J and Ben as they dive into Chapter 4 of the Prisoner of Azkaban (in D.C.!!!) and discuss Harry’s carefree weeks, ice cream, the Firebolt, Flourish and Blotts, reuniting with Hermione and Ron, Scabbers hints, Crookshanks, Fred and George mocking Percy, and Harry’s instincts. 04:13 - Chapter Breakdown 1:04:27 - Closing Thoughts and Review</t>
        </is>
      </c>
      <c r="V604" s="47">
        <f>IF(AND(P604&gt;=Calendar!$K$2,P604&lt;EDATE(Calendar!$K$2,1),OR(Calendar!$K$4="*",N604=Calendar!$K$4)),P604*100+COUNTIFS($P$6:$P$3267,P604,$Q$6:$Q$3267,"&lt;="&amp;Q604,$N$6:$N$3267,Calendar!$K$4),"")</f>
        <v/>
      </c>
      <c r="W604" s="47">
        <f>IF(AND(B604=Queue!$C$4,OR(Queue!$K$4="*",N604=Queue!$K$4)),Q604,"")</f>
        <v/>
      </c>
    </row>
    <row r="605">
      <c r="A605" s="38">
        <f>IF(M605="","",HYPERLINK("https://www.youtube.com/watch?v="&amp;M605,"▶"))</f>
        <v/>
      </c>
      <c r="B605" s="39">
        <f>IF(C605&lt;&gt;"",C605,IF(P605&lt;=IFERROR(INDEX(tblChannels[Watched Through],MATCH(N605,tblChannels[Channel ID],0)),0),"Watched","Unwatched"))</f>
        <v/>
      </c>
      <c r="C605" s="40" t="n"/>
      <c r="D605" s="41" t="n"/>
      <c r="E605" s="42" t="n">
        <v>45472.41666666666</v>
      </c>
      <c r="F605" s="50" t="inlineStr">
        <is>
          <t>Super Carlin Brothers</t>
        </is>
      </c>
      <c r="G605" t="inlineStr">
        <is>
          <t>Through the Griffin Door Supercut: Prisoner of Azkaban Chapters 1-3</t>
        </is>
      </c>
      <c r="H605" s="44" t="n">
        <v>0.1247453703703704</v>
      </c>
      <c r="I605" s="45" t="n">
        <v>49889</v>
      </c>
      <c r="J605" s="45" t="n">
        <v>729</v>
      </c>
      <c r="K605" s="45" t="n">
        <v>118</v>
      </c>
      <c r="L605" s="46" t="n"/>
      <c r="M605" s="47" t="n"/>
      <c r="N605" s="47" t="inlineStr">
        <is>
          <t>UCKZo4N0lVPccBkSiuyVh4yg</t>
        </is>
      </c>
      <c r="O605" s="48" t="n">
        <v>45472.58333333334</v>
      </c>
      <c r="P605" s="49" t="n">
        <v>45472</v>
      </c>
      <c r="Q605" s="47" t="n">
        <v>2663</v>
      </c>
      <c r="R605" s="47" t="inlineStr">
        <is>
          <t>No Video ID yet</t>
        </is>
      </c>
      <c r="S605" s="49" t="n"/>
      <c r="T605" s="49" t="n"/>
      <c r="U605" s="47" t="inlineStr">
        <is>
          <t>00:00:00 - Chapter 1: Owl Post 01:17:57 - Chapter 2: Aunt Marge's Big Mistake 02:04:08 - Chapter 3: The Knight Bus</t>
        </is>
      </c>
      <c r="V605" s="47">
        <f>IF(AND(P605&gt;=Calendar!$K$2,P605&lt;EDATE(Calendar!$K$2,1),OR(Calendar!$K$4="*",N605=Calendar!$K$4)),P605*100+COUNTIFS($P$6:$P$3267,P605,$Q$6:$Q$3267,"&lt;="&amp;Q605,$N$6:$N$3267,Calendar!$K$4),"")</f>
        <v/>
      </c>
      <c r="W605" s="47">
        <f>IF(AND(B605=Queue!$C$4,OR(Queue!$K$4="*",N605=Queue!$K$4)),Q605,"")</f>
        <v/>
      </c>
    </row>
    <row r="606">
      <c r="A606" s="38">
        <f>IF(M606="","",HYPERLINK("https://www.youtube.com/watch?v="&amp;M606,"▶"))</f>
        <v/>
      </c>
      <c r="B606" s="39">
        <f>IF(C606&lt;&gt;"",C606,IF(P606&lt;=IFERROR(INDEX(tblChannels[Watched Through],MATCH(N606,tblChannels[Channel ID],0)),0),"Watched","Unwatched"))</f>
        <v/>
      </c>
      <c r="C606" s="40" t="n"/>
      <c r="D606" s="41" t="n"/>
      <c r="E606" s="42" t="n">
        <v>45471.69097222222</v>
      </c>
      <c r="F606" s="50" t="inlineStr">
        <is>
          <t>Super Carlin Brothers</t>
        </is>
      </c>
      <c r="G606" t="inlineStr">
        <is>
          <t>What We NEED From A Harry Potter TV Show | Harry Potter Film Theory</t>
        </is>
      </c>
      <c r="H606" s="44" t="n">
        <v>0.009976851851851851</v>
      </c>
      <c r="I606" s="45" t="n">
        <v>93049</v>
      </c>
      <c r="J606" s="45" t="n">
        <v>5082</v>
      </c>
      <c r="K606" s="45" t="n">
        <v>811</v>
      </c>
      <c r="L606" s="46" t="n"/>
      <c r="M606" s="47" t="n"/>
      <c r="N606" s="47" t="inlineStr">
        <is>
          <t>UCKZo4N0lVPccBkSiuyVh4yg</t>
        </is>
      </c>
      <c r="O606" s="48" t="n">
        <v>45471.85763888889</v>
      </c>
      <c r="P606" s="49" t="n">
        <v>45471</v>
      </c>
      <c r="Q606" s="47" t="n">
        <v>2662</v>
      </c>
      <c r="R606" s="47" t="inlineStr">
        <is>
          <t>No Video ID yet</t>
        </is>
      </c>
      <c r="S606" s="49" t="n"/>
      <c r="T606" s="49" t="n"/>
      <c r="U606" s="47" t="inlineStr">
        <is>
          <t>Get a free Mystery Gift with your first monthly shipment when you sign up at Today Ben dives into the future of the Wizarding World to pitch his reasoning for WHY WE NEED a What If Harry Potter show!</t>
        </is>
      </c>
      <c r="V606" s="47">
        <f>IF(AND(P606&gt;=Calendar!$K$2,P606&lt;EDATE(Calendar!$K$2,1),OR(Calendar!$K$4="*",N606=Calendar!$K$4)),P606*100+COUNTIFS($P$6:$P$3267,P606,$Q$6:$Q$3267,"&lt;="&amp;Q606,$N$6:$N$3267,Calendar!$K$4),"")</f>
        <v/>
      </c>
      <c r="W606" s="47">
        <f>IF(AND(B606=Queue!$C$4,OR(Queue!$K$4="*",N606=Queue!$K$4)),Q606,"")</f>
        <v/>
      </c>
    </row>
    <row r="607">
      <c r="A607" s="38">
        <f>IF(M607="","",HYPERLINK("https://www.youtube.com/watch?v="&amp;M607,"▶"))</f>
        <v/>
      </c>
      <c r="B607" s="39">
        <f>IF(C607&lt;&gt;"",C607,IF(P607&lt;=IFERROR(INDEX(tblChannels[Watched Through],MATCH(N607,tblChannels[Channel ID],0)),0),"Watched","Unwatched"))</f>
        <v/>
      </c>
      <c r="C607" s="40" t="n"/>
      <c r="D607" s="41" t="n"/>
      <c r="E607" s="42" t="n">
        <v>45471.41666666666</v>
      </c>
      <c r="F607" s="43" t="inlineStr">
        <is>
          <t>Popcorn Culture</t>
        </is>
      </c>
      <c r="G607" t="inlineStr">
        <is>
          <t>Koozies vs. Huggers | Popcorn Culture</t>
        </is>
      </c>
      <c r="H607" s="44" t="n">
        <v>0.04920138888888889</v>
      </c>
      <c r="I607" s="45" t="n">
        <v>4149</v>
      </c>
      <c r="J607" s="45" t="n">
        <v>203</v>
      </c>
      <c r="K607" s="45" t="n">
        <v>27</v>
      </c>
      <c r="L607" s="46" t="n"/>
      <c r="M607" s="47" t="n"/>
      <c r="N607" s="47" t="inlineStr">
        <is>
          <t>UCHfIbq9thHPC8yrKjAdJgDA</t>
        </is>
      </c>
      <c r="O607" s="48" t="n">
        <v>45471.58333333334</v>
      </c>
      <c r="P607" s="49" t="n">
        <v>45471</v>
      </c>
      <c r="Q607" s="47" t="n">
        <v>2661</v>
      </c>
      <c r="R607" s="47" t="inlineStr">
        <is>
          <t>No Video ID yet</t>
        </is>
      </c>
      <c r="S607" s="49" t="n"/>
      <c r="T607" s="49" t="n"/>
      <c r="U607" s="47" t="inlineStr">
        <is>
          <t>In the 238th episode of the Pop, Ben and J discuss if they could do an episode just by themselves, J’s mustache, a weirdly named restaurant, various koozies, nostalgia burn out, and what’s next for pop culture. Alternate Title: And Yet The Mustache PERSISTS! 00:00 - Intro, Solo Episodes 06:00 - J’s Mustache 20:41 - Amos Mosquitos 39:04 - An Interesting Bit of Feedback</t>
        </is>
      </c>
      <c r="V607" s="47">
        <f>IF(AND(P607&gt;=Calendar!$K$2,P607&lt;EDATE(Calendar!$K$2,1),OR(Calendar!$K$4="*",N607=Calendar!$K$4)),P607*100+COUNTIFS($P$6:$P$3267,P607,$Q$6:$Q$3267,"&lt;="&amp;Q607,$N$6:$N$3267,Calendar!$K$4),"")</f>
        <v/>
      </c>
      <c r="W607" s="47">
        <f>IF(AND(B607=Queue!$C$4,OR(Queue!$K$4="*",N607=Queue!$K$4)),Q607,"")</f>
        <v/>
      </c>
    </row>
    <row r="608">
      <c r="A608" s="38">
        <f>IF(M608="","",HYPERLINK("https://www.youtube.com/watch?v="&amp;M608,"▶"))</f>
        <v/>
      </c>
      <c r="B608" s="39">
        <f>IF(C608&lt;&gt;"",C608,IF(P608&lt;=IFERROR(INDEX(tblChannels[Watched Through],MATCH(N608,tblChannels[Channel ID],0)),0),"Watched","Unwatched"))</f>
        <v/>
      </c>
      <c r="C608" s="40" t="n"/>
      <c r="D608" s="41" t="n"/>
      <c r="E608" s="42" t="n">
        <v>45469.70347222222</v>
      </c>
      <c r="F608" s="50" t="inlineStr">
        <is>
          <t>Super Carlin Brothers</t>
        </is>
      </c>
      <c r="G608" t="inlineStr">
        <is>
          <t>Snape’s DARKEST Creation: The Drink of Despair | Harry Potter Film Theory</t>
        </is>
      </c>
      <c r="H608" s="44" t="n">
        <v>0.01238425925925926</v>
      </c>
      <c r="I608" s="45" t="n">
        <v>293838</v>
      </c>
      <c r="J608" s="45" t="n">
        <v>10361</v>
      </c>
      <c r="K608" s="45" t="n">
        <v>1054</v>
      </c>
      <c r="L608" s="46" t="n"/>
      <c r="M608" s="47" t="n"/>
      <c r="N608" s="47" t="inlineStr">
        <is>
          <t>UCKZo4N0lVPccBkSiuyVh4yg</t>
        </is>
      </c>
      <c r="O608" s="48" t="n">
        <v>45469.87013888889</v>
      </c>
      <c r="P608" s="49" t="n">
        <v>45469</v>
      </c>
      <c r="Q608" s="47" t="n">
        <v>2660</v>
      </c>
      <c r="R608" s="47" t="inlineStr">
        <is>
          <t>No Video ID yet</t>
        </is>
      </c>
      <c r="S608" s="49" t="n"/>
      <c r="T608" s="49" t="n"/>
      <c r="U608" s="47" t="inlineStr">
        <is>
          <t>Did Snape create the Drink of Despair, the dastardly potion protecting Slytherin's locket in the cave? Today J dives into the Wizarding World of Harry Potter (but tries to avoid the water of the lake in the cave) to discuss Severus Snape’s DARKEST creation and possibly worst secret. Check out Brett’s Thoughts :: #supercarlinbrothers #HarryPotter #theories</t>
        </is>
      </c>
      <c r="V608" s="47">
        <f>IF(AND(P608&gt;=Calendar!$K$2,P608&lt;EDATE(Calendar!$K$2,1),OR(Calendar!$K$4="*",N608=Calendar!$K$4)),P608*100+COUNTIFS($P$6:$P$3267,P608,$Q$6:$Q$3267,"&lt;="&amp;Q608,$N$6:$N$3267,Calendar!$K$4),"")</f>
        <v/>
      </c>
      <c r="W608" s="47">
        <f>IF(AND(B608=Queue!$C$4,OR(Queue!$K$4="*",N608=Queue!$K$4)),Q608,"")</f>
        <v/>
      </c>
    </row>
    <row r="609">
      <c r="A609" s="38">
        <f>IF(M609="","",HYPERLINK("https://www.youtube.com/watch?v="&amp;M609,"▶"))</f>
        <v/>
      </c>
      <c r="B609" s="39">
        <f>IF(C609&lt;&gt;"",C609,IF(P609&lt;=IFERROR(INDEX(tblChannels[Watched Through],MATCH(N609,tblChannels[Channel ID],0)),0),"Watched","Unwatched"))</f>
        <v/>
      </c>
      <c r="C609" s="40" t="n"/>
      <c r="D609" s="41" t="n"/>
      <c r="E609" s="42" t="n">
        <v>45466.41666666666</v>
      </c>
      <c r="F609" s="51" t="inlineStr">
        <is>
          <t>Through The Griffin Door</t>
        </is>
      </c>
      <c r="G609" t="inlineStr">
        <is>
          <t>Chapter 3: The Knight Bus | Prisoner of Azkaban</t>
        </is>
      </c>
      <c r="H609" s="44" t="n">
        <v>0.03854166666666667</v>
      </c>
      <c r="I609" s="45" t="n">
        <v>64103</v>
      </c>
      <c r="J609" s="45" t="n">
        <v>2189</v>
      </c>
      <c r="K609" s="45" t="n">
        <v>434</v>
      </c>
      <c r="L609" s="46" t="n"/>
      <c r="M609" s="47" t="n"/>
      <c r="N609" s="47" t="inlineStr">
        <is>
          <t>UCEscP6ETYXWSSvsNrDHekMQ</t>
        </is>
      </c>
      <c r="O609" s="48" t="n">
        <v>45466.58333333334</v>
      </c>
      <c r="P609" s="49" t="n">
        <v>45466</v>
      </c>
      <c r="Q609" s="47" t="n">
        <v>2659</v>
      </c>
      <c r="R609" s="47" t="inlineStr">
        <is>
          <t>No Video ID yet</t>
        </is>
      </c>
      <c r="S609" s="49" t="n"/>
      <c r="T609" s="49" t="n"/>
      <c r="U609" s="47" t="inlineStr">
        <is>
          <t>Join J and Ben as they dive into Chapter 3 of the Prisoner of Azkaban (in Philly!!!) and discuss Harry’s "worse" fixes, seeing Sirius for the first time, the interaction with Stan Shunpike, the mechanics of the Knight Bus, Fudge flustering, and Hedwig being the best. The Knight Bus's BIG SECRET - What If Neville Was the Chosen One - 05:34 - Chapter Breakdown 51:57 - Closing Thoughts and Review</t>
        </is>
      </c>
      <c r="V609" s="47">
        <f>IF(AND(P609&gt;=Calendar!$K$2,P609&lt;EDATE(Calendar!$K$2,1),OR(Calendar!$K$4="*",N609=Calendar!$K$4)),P609*100+COUNTIFS($P$6:$P$3267,P609,$Q$6:$Q$3267,"&lt;="&amp;Q609,$N$6:$N$3267,Calendar!$K$4),"")</f>
        <v/>
      </c>
      <c r="W609" s="47">
        <f>IF(AND(B609=Queue!$C$4,OR(Queue!$K$4="*",N609=Queue!$K$4)),Q609,"")</f>
        <v/>
      </c>
    </row>
    <row r="610">
      <c r="A610" s="38">
        <f>IF(M610="","",HYPERLINK("https://www.youtube.com/watch?v="&amp;M610,"▶"))</f>
        <v/>
      </c>
      <c r="B610" s="39">
        <f>IF(C610&lt;&gt;"",C610,IF(P610&lt;=IFERROR(INDEX(tblChannels[Watched Through],MATCH(N610,tblChannels[Channel ID],0)),0),"Watched","Unwatched"))</f>
        <v/>
      </c>
      <c r="C610" s="40" t="n"/>
      <c r="D610" s="41" t="n"/>
      <c r="E610" s="42" t="n">
        <v>45464.675</v>
      </c>
      <c r="F610" s="50" t="inlineStr">
        <is>
          <t>Super Carlin Brothers</t>
        </is>
      </c>
      <c r="G610" t="inlineStr">
        <is>
          <t>J vs Ben: IMPOSSIBLE Neville Longbottom Harry Potter TRIVIA Quiz</t>
        </is>
      </c>
      <c r="H610" s="44" t="n">
        <v>0.03221064814814815</v>
      </c>
      <c r="I610" s="45" t="n">
        <v>212582</v>
      </c>
      <c r="J610" s="45" t="n">
        <v>5422</v>
      </c>
      <c r="K610" s="45" t="n">
        <v>582</v>
      </c>
      <c r="L610" s="46" t="n"/>
      <c r="M610" s="47" t="n"/>
      <c r="N610" s="47" t="inlineStr">
        <is>
          <t>UCKZo4N0lVPccBkSiuyVh4yg</t>
        </is>
      </c>
      <c r="O610" s="48" t="n">
        <v>45464.84166666667</v>
      </c>
      <c r="P610" s="49" t="n">
        <v>45464</v>
      </c>
      <c r="Q610" s="47" t="n">
        <v>2658</v>
      </c>
      <c r="R610" s="47" t="inlineStr">
        <is>
          <t>No Video ID yet</t>
        </is>
      </c>
      <c r="S610" s="49" t="n"/>
      <c r="T610" s="49" t="n"/>
      <c r="U610" s="47" t="inlineStr">
        <is>
          <t>Go to to get 20% off your first order and free shipping. Go to to get 10% off your first purchase. Today J and Ben face off once more to find out who knows more about the Wizarding World of Harry Potter’s most famous loser of toads: Neville Longbottom! Can you keep up with the ULTIMATE Neville Longbottom Harry Potter TRIVIA Quiz? 02:35 - Q1: What did Neville lose? 04:14 - Q2: What creature hung Neville from a chandelier? 06:18 - Q3: What was Neville's second wand made of? 09:16 - Q4: What painting did Neville travel through? 11:07 - Q5: What did Neville break when he fell off the broom? 12:49 - Q6: Who does Neville take to the Yule ball? 14:53 - Q7: How many teacups does Neville break? 17:30 - Q8: What spell does Ginny use to clean up Stinksap from Neville's plant? 24:14 - Q9: Which NEWT subject did Neville's grandma not want him to take? 26:48- Q10: What did Moody make Neville do under the Imperius Curse? 28:42 - Q11: Who was Neville partnered with for the first DA meeting? 30:20 - Q12: What password did Neville forget the night of the Midnight Duel? 34:11 - Q13: What grade did Neville get on his Transfiguration O.W.L.? 37:55 - Q14: What detention did Snape give Neville in his 4th</t>
        </is>
      </c>
      <c r="V610" s="47">
        <f>IF(AND(P610&gt;=Calendar!$K$2,P610&lt;EDATE(Calendar!$K$2,1),OR(Calendar!$K$4="*",N610=Calendar!$K$4)),P610*100+COUNTIFS($P$6:$P$3267,P610,$Q$6:$Q$3267,"&lt;="&amp;Q610,$N$6:$N$3267,Calendar!$K$4),"")</f>
        <v/>
      </c>
      <c r="W610" s="47">
        <f>IF(AND(B610=Queue!$C$4,OR(Queue!$K$4="*",N610=Queue!$K$4)),Q610,"")</f>
        <v/>
      </c>
    </row>
    <row r="611">
      <c r="A611" s="38">
        <f>IF(M611="","",HYPERLINK("https://www.youtube.com/watch?v="&amp;M611,"▶"))</f>
        <v/>
      </c>
      <c r="B611" s="39">
        <f>IF(C611&lt;&gt;"",C611,IF(P611&lt;=IFERROR(INDEX(tblChannels[Watched Through],MATCH(N611,tblChannels[Channel ID],0)),0),"Watched","Unwatched"))</f>
        <v/>
      </c>
      <c r="C611" s="40" t="n"/>
      <c r="D611" s="41" t="n"/>
      <c r="E611" s="42" t="n">
        <v>45464.41666666666</v>
      </c>
      <c r="F611" s="43" t="inlineStr">
        <is>
          <t>Popcorn Culture</t>
        </is>
      </c>
      <c r="G611" t="inlineStr">
        <is>
          <t>Ask Me About My Compost | Popcorn Culture</t>
        </is>
      </c>
      <c r="H611" s="44" t="n">
        <v>0.05119212962962963</v>
      </c>
      <c r="I611" s="45" t="n">
        <v>4413</v>
      </c>
      <c r="J611" s="45" t="n">
        <v>201</v>
      </c>
      <c r="K611" s="45" t="n">
        <v>25</v>
      </c>
      <c r="L611" s="46" t="n"/>
      <c r="M611" s="47" t="n"/>
      <c r="N611" s="47" t="inlineStr">
        <is>
          <t>UCHfIbq9thHPC8yrKjAdJgDA</t>
        </is>
      </c>
      <c r="O611" s="48" t="n">
        <v>45464.58333333334</v>
      </c>
      <c r="P611" s="49" t="n">
        <v>45464</v>
      </c>
      <c r="Q611" s="47" t="n">
        <v>2657</v>
      </c>
      <c r="R611" s="47" t="inlineStr">
        <is>
          <t>No Video ID yet</t>
        </is>
      </c>
      <c r="S611" s="49" t="n"/>
      <c r="T611" s="49" t="n"/>
      <c r="U611" s="47" t="inlineStr">
        <is>
          <t>In the 237th episode of the Pop, Ben and J discuss mundane tasks, anxiety reactions, their love languages, Father’s Day, cliff jumping, composting, Bigfoot people, and pecan trees. GET YOUR THROUGH THE GRIFFIN TOUR TICKETS HERE (after 1:00pm EDT on Friday the 21st): Alternate Title: Anxiety: The Worst Fight, Flight, Freeze or FAWN J’s Bigfoot Lovely and Delicious Pecans 00:00 - THROUGH THE GRIFFIN TOUR WEST COAST! 01:10 - Intro, To-Do Lists 10:00 - Fight or Flight 26:33 - Love Languages 31:22 - Fathers Day 58:32 - J’s Bigfoots</t>
        </is>
      </c>
      <c r="V611" s="47">
        <f>IF(AND(P611&gt;=Calendar!$K$2,P611&lt;EDATE(Calendar!$K$2,1),OR(Calendar!$K$4="*",N611=Calendar!$K$4)),P611*100+COUNTIFS($P$6:$P$3267,P611,$Q$6:$Q$3267,"&lt;="&amp;Q611,$N$6:$N$3267,Calendar!$K$4),"")</f>
        <v/>
      </c>
      <c r="W611" s="47">
        <f>IF(AND(B611=Queue!$C$4,OR(Queue!$K$4="*",N611=Queue!$K$4)),Q611,"")</f>
        <v/>
      </c>
    </row>
    <row r="612">
      <c r="A612" s="38">
        <f>IF(M612="","",HYPERLINK("https://www.youtube.com/watch?v="&amp;M612,"▶"))</f>
        <v/>
      </c>
      <c r="B612" s="39">
        <f>IF(C612&lt;&gt;"",C612,IF(P612&lt;=IFERROR(INDEX(tblChannels[Watched Through],MATCH(N612,tblChannels[Channel ID],0)),0),"Watched","Unwatched"))</f>
        <v/>
      </c>
      <c r="C612" s="40" t="n"/>
      <c r="D612" s="41" t="n"/>
      <c r="E612" s="42" t="n">
        <v>45462.71597222222</v>
      </c>
      <c r="F612" s="50" t="inlineStr">
        <is>
          <t>Super Carlin Brothers</t>
        </is>
      </c>
      <c r="G612" t="inlineStr">
        <is>
          <t>How Inside Out 2 Fits Into The Pixar Theory</t>
        </is>
      </c>
      <c r="H612" s="44" t="n">
        <v>0.01163194444444444</v>
      </c>
      <c r="I612" s="45" t="n">
        <v>132947</v>
      </c>
      <c r="J612" s="45" t="n">
        <v>5795</v>
      </c>
      <c r="K612" s="45" t="n">
        <v>624</v>
      </c>
      <c r="L612" s="46" t="n"/>
      <c r="M612" s="47" t="n"/>
      <c r="N612" s="47" t="inlineStr">
        <is>
          <t>UCKZo4N0lVPccBkSiuyVh4yg</t>
        </is>
      </c>
      <c r="O612" s="48" t="n">
        <v>45462.88263888889</v>
      </c>
      <c r="P612" s="49" t="n">
        <v>45462</v>
      </c>
      <c r="Q612" s="47" t="n">
        <v>2656</v>
      </c>
      <c r="R612" s="47" t="inlineStr">
        <is>
          <t>No Video ID yet</t>
        </is>
      </c>
      <c r="S612" s="49" t="n"/>
      <c r="T612" s="49" t="n"/>
      <c r="U612" s="47" t="inlineStr">
        <is>
          <t>Today J dives into the every growing world of the Pixar Theory to reveal how Inside Out 2 fits into the greater Pixar-verse and how it explains the source of MAGIC within Pixar! The Original Pixar Theory by Jon Negroni :: The Pixar Theory Song :: #supercarlinbrothers #Pixar #insideout2</t>
        </is>
      </c>
      <c r="V612" s="47">
        <f>IF(AND(P612&gt;=Calendar!$K$2,P612&lt;EDATE(Calendar!$K$2,1),OR(Calendar!$K$4="*",N612=Calendar!$K$4)),P612*100+COUNTIFS($P$6:$P$3267,P612,$Q$6:$Q$3267,"&lt;="&amp;Q612,$N$6:$N$3267,Calendar!$K$4),"")</f>
        <v/>
      </c>
      <c r="W612" s="47">
        <f>IF(AND(B612=Queue!$C$4,OR(Queue!$K$4="*",N612=Queue!$K$4)),Q612,"")</f>
        <v/>
      </c>
    </row>
    <row r="613">
      <c r="A613" s="38">
        <f>IF(M613="","",HYPERLINK("https://www.youtube.com/watch?v="&amp;M613,"▶"))</f>
        <v/>
      </c>
      <c r="B613" s="39">
        <f>IF(C613&lt;&gt;"",C613,IF(P613&lt;=IFERROR(INDEX(tblChannels[Watched Through],MATCH(N613,tblChannels[Channel ID],0)),0),"Watched","Unwatched"))</f>
        <v/>
      </c>
      <c r="C613" s="40" t="n"/>
      <c r="D613" s="41" t="n"/>
      <c r="E613" s="42" t="n">
        <v>45461.54166666666</v>
      </c>
      <c r="F613" s="43" t="inlineStr">
        <is>
          <t>Popcorn Culture</t>
        </is>
      </c>
      <c r="G613" t="inlineStr">
        <is>
          <t>THROUGH THE GRIFFIN TOUR - WEST COAST!</t>
        </is>
      </c>
      <c r="H613" s="44" t="n">
        <v>0.003009259259259259</v>
      </c>
      <c r="I613" s="45" t="n">
        <v>816</v>
      </c>
      <c r="J613" s="45" t="n">
        <v>89</v>
      </c>
      <c r="K613" s="45" t="n">
        <v>27</v>
      </c>
      <c r="L613" s="46" t="n"/>
      <c r="M613" s="47" t="n"/>
      <c r="N613" s="47" t="inlineStr">
        <is>
          <t>UCHfIbq9thHPC8yrKjAdJgDA</t>
        </is>
      </c>
      <c r="O613" s="48" t="n">
        <v>45461.70833333334</v>
      </c>
      <c r="P613" s="49" t="n">
        <v>45461</v>
      </c>
      <c r="Q613" s="47" t="n">
        <v>2655</v>
      </c>
      <c r="R613" s="47" t="inlineStr">
        <is>
          <t>No Video ID yet</t>
        </is>
      </c>
      <c r="S613" s="49" t="n"/>
      <c r="T613" s="49" t="n"/>
      <c r="U613" s="47" t="inlineStr">
        <is>
          <t>BIG ANNOUNCEMENT - WE'RE GOING ON TOUR... AGAIN! After the huge success of Through the Griffin TOUR here on the East Coast, we're now coming out to the West Coast! We'll be visiting 6 cities in September: Tickets go on sale THIS FRIDAY, June 21st at 10:00am PDT (1:00pm EDT). You can follow the links on our website: Be sure to set your alarms and mark your calendars cause tickets will go FAST! We can't wait to see you there!</t>
        </is>
      </c>
      <c r="V613" s="47">
        <f>IF(AND(P613&gt;=Calendar!$K$2,P613&lt;EDATE(Calendar!$K$2,1),OR(Calendar!$K$4="*",N613=Calendar!$K$4)),P613*100+COUNTIFS($P$6:$P$3267,P613,$Q$6:$Q$3267,"&lt;="&amp;Q613,$N$6:$N$3267,Calendar!$K$4),"")</f>
        <v/>
      </c>
      <c r="W613" s="47">
        <f>IF(AND(B613=Queue!$C$4,OR(Queue!$K$4="*",N613=Queue!$K$4)),Q613,"")</f>
        <v/>
      </c>
    </row>
    <row r="614">
      <c r="A614" s="38">
        <f>IF(M614="","",HYPERLINK("https://www.youtube.com/watch?v="&amp;M614,"▶"))</f>
        <v/>
      </c>
      <c r="B614" s="39">
        <f>IF(C614&lt;&gt;"",C614,IF(P614&lt;=IFERROR(INDEX(tblChannels[Watched Through],MATCH(N614,tblChannels[Channel ID],0)),0),"Watched","Unwatched"))</f>
        <v/>
      </c>
      <c r="C614" s="40" t="n"/>
      <c r="D614" s="41" t="n"/>
      <c r="E614" s="42" t="n">
        <v>45461.54166666666</v>
      </c>
      <c r="F614" s="51" t="inlineStr">
        <is>
          <t>Through The Griffin Door</t>
        </is>
      </c>
      <c r="G614" t="inlineStr">
        <is>
          <t>THROUGH THE GRIFFIN TOUR - WEST COAST!</t>
        </is>
      </c>
      <c r="H614" s="44" t="n">
        <v>0.003009259259259259</v>
      </c>
      <c r="I614" s="45" t="n">
        <v>8180</v>
      </c>
      <c r="J614" s="45" t="n">
        <v>526</v>
      </c>
      <c r="K614" s="45" t="n">
        <v>210</v>
      </c>
      <c r="L614" s="46" t="n"/>
      <c r="M614" s="47" t="n"/>
      <c r="N614" s="47" t="inlineStr">
        <is>
          <t>UCEscP6ETYXWSSvsNrDHekMQ</t>
        </is>
      </c>
      <c r="O614" s="48" t="n">
        <v>45461.70833333334</v>
      </c>
      <c r="P614" s="49" t="n">
        <v>45461</v>
      </c>
      <c r="Q614" s="47" t="n">
        <v>2654</v>
      </c>
      <c r="R614" s="47" t="inlineStr">
        <is>
          <t>No Video ID yet</t>
        </is>
      </c>
      <c r="S614" s="49" t="n"/>
      <c r="T614" s="49" t="n"/>
      <c r="U614" s="47" t="inlineStr">
        <is>
          <t>BIG ANNOUNCEMENT - WE'RE GOING ON TOUR... AGAIN! After the huge success of Through the Griffin TOUR here on the East Coast, we're now coming out to the West Coast! We'll be visiting 6 cities in September: Tickets go on sale THIS FRIDAY, June 21st at 10:00am PDT (1:00pm EDT). You can follow the links on our website: Be sure to set your alarms and mark your calendars cause tickets will go FAST! We can't wait to see you there!</t>
        </is>
      </c>
      <c r="V614" s="47">
        <f>IF(AND(P614&gt;=Calendar!$K$2,P614&lt;EDATE(Calendar!$K$2,1),OR(Calendar!$K$4="*",N614=Calendar!$K$4)),P614*100+COUNTIFS($P$6:$P$3267,P614,$Q$6:$Q$3267,"&lt;="&amp;Q614,$N$6:$N$3267,Calendar!$K$4),"")</f>
        <v/>
      </c>
      <c r="W614" s="47">
        <f>IF(AND(B614=Queue!$C$4,OR(Queue!$K$4="*",N614=Queue!$K$4)),Q614,"")</f>
        <v/>
      </c>
    </row>
    <row r="615">
      <c r="A615" s="38">
        <f>IF(M615="","",HYPERLINK("https://www.youtube.com/watch?v="&amp;M615,"▶"))</f>
        <v/>
      </c>
      <c r="B615" s="39">
        <f>IF(C615&lt;&gt;"",C615,IF(P615&lt;=IFERROR(INDEX(tblChannels[Watched Through],MATCH(N615,tblChannels[Channel ID],0)),0),"Watched","Unwatched"))</f>
        <v/>
      </c>
      <c r="C615" s="40" t="n"/>
      <c r="D615" s="41" t="n"/>
      <c r="E615" s="42" t="n">
        <v>45461.54166666666</v>
      </c>
      <c r="F615" s="50" t="inlineStr">
        <is>
          <t>Super Carlin Brothers</t>
        </is>
      </c>
      <c r="G615" t="inlineStr">
        <is>
          <t>THROUGH THE GRIFFIN TOUR - WEST COAST!</t>
        </is>
      </c>
      <c r="H615" s="44" t="n">
        <v>0.001481481481481481</v>
      </c>
      <c r="I615" s="45" t="n">
        <v>11229</v>
      </c>
      <c r="J615" s="45" t="n">
        <v>494</v>
      </c>
      <c r="K615" s="45" t="n">
        <v>193</v>
      </c>
      <c r="L615" s="46" t="n"/>
      <c r="M615" s="47" t="n"/>
      <c r="N615" s="47" t="inlineStr">
        <is>
          <t>UCKZo4N0lVPccBkSiuyVh4yg</t>
        </is>
      </c>
      <c r="O615" s="48" t="n">
        <v>45461.70833333334</v>
      </c>
      <c r="P615" s="49" t="n">
        <v>45461</v>
      </c>
      <c r="Q615" s="47" t="n">
        <v>2653</v>
      </c>
      <c r="R615" s="47" t="inlineStr">
        <is>
          <t>No Video ID yet</t>
        </is>
      </c>
      <c r="S615" s="49" t="n"/>
      <c r="T615" s="49" t="n"/>
      <c r="U615" s="47" t="inlineStr">
        <is>
          <t>BIG ANNOUNCEMENT - WE'RE GOING ON TOUR... AGAIN! After the huge success of Through the Griffin TOUR here on the East Coast, we're now coming out to the West Coast! We'll be visiting 6 cities in September: Tickets go on sale THIS FRIDAY, June 21st at 10:00am PDT (1:00pm EDT). You can follow the links on our website: Be sure to set your alarms and mark your calendars cause tickets will go FAST! We can't wait to see you there!</t>
        </is>
      </c>
      <c r="V615" s="47">
        <f>IF(AND(P615&gt;=Calendar!$K$2,P615&lt;EDATE(Calendar!$K$2,1),OR(Calendar!$K$4="*",N615=Calendar!$K$4)),P615*100+COUNTIFS($P$6:$P$3267,P615,$Q$6:$Q$3267,"&lt;="&amp;Q615,$N$6:$N$3267,Calendar!$K$4),"")</f>
        <v/>
      </c>
      <c r="W615" s="47">
        <f>IF(AND(B615=Queue!$C$4,OR(Queue!$K$4="*",N615=Queue!$K$4)),Q615,"")</f>
        <v/>
      </c>
    </row>
    <row r="616">
      <c r="A616" s="38">
        <f>IF(M616="","",HYPERLINK("https://www.youtube.com/watch?v="&amp;M616,"▶"))</f>
        <v/>
      </c>
      <c r="B616" s="39">
        <f>IF(C616&lt;&gt;"",C616,IF(P616&lt;=IFERROR(INDEX(tblChannels[Watched Through],MATCH(N616,tblChannels[Channel ID],0)),0),"Watched","Unwatched"))</f>
        <v/>
      </c>
      <c r="C616" s="40" t="n"/>
      <c r="D616" s="41" t="n"/>
      <c r="E616" s="42" t="n">
        <v>45459.41666666666</v>
      </c>
      <c r="F616" s="51" t="inlineStr">
        <is>
          <t>Through The Griffin Door</t>
        </is>
      </c>
      <c r="G616" t="inlineStr">
        <is>
          <t>Chapter 2: Aunt Marge’s Big Mistake | Prisoner of Azkaban</t>
        </is>
      </c>
      <c r="H616" s="44" t="n">
        <v>0.03207175925925926</v>
      </c>
      <c r="I616" s="45" t="n">
        <v>61918</v>
      </c>
      <c r="J616" s="45" t="n">
        <v>2340</v>
      </c>
      <c r="K616" s="45" t="n">
        <v>408</v>
      </c>
      <c r="L616" s="46" t="n"/>
      <c r="M616" s="47" t="n"/>
      <c r="N616" s="47" t="inlineStr">
        <is>
          <t>UCEscP6ETYXWSSvsNrDHekMQ</t>
        </is>
      </c>
      <c r="O616" s="48" t="n">
        <v>45459.58333333334</v>
      </c>
      <c r="P616" s="49" t="n">
        <v>45459</v>
      </c>
      <c r="Q616" s="47" t="n">
        <v>2652</v>
      </c>
      <c r="R616" s="47" t="inlineStr">
        <is>
          <t>No Video ID yet</t>
        </is>
      </c>
      <c r="S616" s="49" t="n"/>
      <c r="T616" s="49" t="n"/>
      <c r="U616" s="47" t="inlineStr">
        <is>
          <t>Join J and Ben as they dive into Chapter 2 of the Prisoner of Azkaban (in NYC!!!) and discuss Aunt Marge’s visit, Sirius on the muggle news, Petunia not liking Marge, and Colonel Fubster. 02:52 - Chapter Breakdown 40:01 - Closing Thoughts and Review</t>
        </is>
      </c>
      <c r="V616" s="47">
        <f>IF(AND(P616&gt;=Calendar!$K$2,P616&lt;EDATE(Calendar!$K$2,1),OR(Calendar!$K$4="*",N616=Calendar!$K$4)),P616*100+COUNTIFS($P$6:$P$3267,P616,$Q$6:$Q$3267,"&lt;="&amp;Q616,$N$6:$N$3267,Calendar!$K$4),"")</f>
        <v/>
      </c>
      <c r="W616" s="47">
        <f>IF(AND(B616=Queue!$C$4,OR(Queue!$K$4="*",N616=Queue!$K$4)),Q616,"")</f>
        <v/>
      </c>
    </row>
    <row r="617">
      <c r="A617" s="38">
        <f>IF(M617="","",HYPERLINK("https://www.youtube.com/watch?v="&amp;M617,"▶"))</f>
        <v/>
      </c>
      <c r="B617" s="39">
        <f>IF(C617&lt;&gt;"",C617,IF(P617&lt;=IFERROR(INDEX(tblChannels[Watched Through],MATCH(N617,tblChannels[Channel ID],0)),0),"Watched","Unwatched"))</f>
        <v/>
      </c>
      <c r="C617" s="40" t="n"/>
      <c r="D617" s="41" t="n"/>
      <c r="E617" s="42" t="n">
        <v>45457.58333333334</v>
      </c>
      <c r="F617" s="50" t="inlineStr">
        <is>
          <t>Super Carlin Brothers</t>
        </is>
      </c>
      <c r="G617" t="inlineStr">
        <is>
          <t>Lockhart’s STOLE Quirrell’s Memory | Harry Potter Film Theory</t>
        </is>
      </c>
      <c r="H617" s="44" t="n">
        <v>0.008969907407407407</v>
      </c>
      <c r="I617" s="45" t="n">
        <v>184096</v>
      </c>
      <c r="J617" s="45" t="n">
        <v>7810</v>
      </c>
      <c r="K617" s="45" t="n">
        <v>530</v>
      </c>
      <c r="L617" s="46" t="n"/>
      <c r="M617" s="47" t="n"/>
      <c r="N617" s="47" t="inlineStr">
        <is>
          <t>UCKZo4N0lVPccBkSiuyVh4yg</t>
        </is>
      </c>
      <c r="O617" s="48" t="n">
        <v>45457.75</v>
      </c>
      <c r="P617" s="49" t="n">
        <v>45457</v>
      </c>
      <c r="Q617" s="47" t="n">
        <v>2651</v>
      </c>
      <c r="R617" s="47" t="inlineStr">
        <is>
          <t>No Video ID yet</t>
        </is>
      </c>
      <c r="S617" s="49" t="n"/>
      <c r="T617" s="49" t="n"/>
      <c r="U617" s="47" t="inlineStr">
        <is>
          <t>Go to to get 20% off your first order plus free shipping! Today Ben dives into the Wizarding World of Harry Potter to try and figure out who Lockhart may have stolen memories from including one of Harry’s friends mom’s AND Professor Quirrell?</t>
        </is>
      </c>
      <c r="V617" s="47">
        <f>IF(AND(P617&gt;=Calendar!$K$2,P617&lt;EDATE(Calendar!$K$2,1),OR(Calendar!$K$4="*",N617=Calendar!$K$4)),P617*100+COUNTIFS($P$6:$P$3267,P617,$Q$6:$Q$3267,"&lt;="&amp;Q617,$N$6:$N$3267,Calendar!$K$4),"")</f>
        <v/>
      </c>
      <c r="W617" s="47">
        <f>IF(AND(B617=Queue!$C$4,OR(Queue!$K$4="*",N617=Queue!$K$4)),Q617,"")</f>
        <v/>
      </c>
    </row>
    <row r="618">
      <c r="A618" s="38">
        <f>IF(M618="","",HYPERLINK("https://www.youtube.com/watch?v="&amp;M618,"▶"))</f>
        <v/>
      </c>
      <c r="B618" s="39">
        <f>IF(C618&lt;&gt;"",C618,IF(P618&lt;=IFERROR(INDEX(tblChannels[Watched Through],MATCH(N618,tblChannels[Channel ID],0)),0),"Watched","Unwatched"))</f>
        <v/>
      </c>
      <c r="C618" s="40" t="n"/>
      <c r="D618" s="41" t="n"/>
      <c r="E618" s="42" t="n">
        <v>45457.41666666666</v>
      </c>
      <c r="F618" s="43" t="inlineStr">
        <is>
          <t>Popcorn Culture</t>
        </is>
      </c>
      <c r="G618" t="inlineStr">
        <is>
          <t>WE WENT ON TOUR! | Popcorn Culture</t>
        </is>
      </c>
      <c r="H618" s="44" t="n">
        <v>0.04457175925925926</v>
      </c>
      <c r="I618" s="45" t="n">
        <v>4690</v>
      </c>
      <c r="J618" s="45" t="n">
        <v>239</v>
      </c>
      <c r="K618" s="45" t="n">
        <v>32</v>
      </c>
      <c r="L618" s="46" t="n"/>
      <c r="M618" s="47" t="n"/>
      <c r="N618" s="47" t="inlineStr">
        <is>
          <t>UCHfIbq9thHPC8yrKjAdJgDA</t>
        </is>
      </c>
      <c r="O618" s="48" t="n">
        <v>45457.58333333334</v>
      </c>
      <c r="P618" s="49" t="n">
        <v>45457</v>
      </c>
      <c r="Q618" s="47" t="n">
        <v>2650</v>
      </c>
      <c r="R618" s="47" t="inlineStr">
        <is>
          <t>No Video ID yet</t>
        </is>
      </c>
      <c r="S618" s="49" t="n"/>
      <c r="T618" s="49" t="n"/>
      <c r="U618" s="47" t="inlineStr">
        <is>
          <t>In the 236th episode of the Pop, Ben and J discuss nerves, writing, high school teachers, tour details, street performers, and the Tour of Mythicality. Boston Celtics - Inglourious Basterds - Wet and Wild Emerald Pointe - Hadestown - Good Mythical Morning - Mythical Kitchen - Alternate Title: My Regular Old Face Boston Keltics The Daredevil Drop My Brother, My Brother and the Naked Cowgirl 00:00 - Cold Open, Intro 01:50 - Getting Nervous 27:07 - Tour Recap</t>
        </is>
      </c>
      <c r="V618" s="47">
        <f>IF(AND(P618&gt;=Calendar!$K$2,P618&lt;EDATE(Calendar!$K$2,1),OR(Calendar!$K$4="*",N618=Calendar!$K$4)),P618*100+COUNTIFS($P$6:$P$3267,P618,$Q$6:$Q$3267,"&lt;="&amp;Q618,$N$6:$N$3267,Calendar!$K$4),"")</f>
        <v/>
      </c>
      <c r="W618" s="47">
        <f>IF(AND(B618=Queue!$C$4,OR(Queue!$K$4="*",N618=Queue!$K$4)),Q618,"")</f>
        <v/>
      </c>
    </row>
    <row r="619">
      <c r="A619" s="38">
        <f>IF(M619="","",HYPERLINK("https://www.youtube.com/watch?v="&amp;M619,"▶"))</f>
        <v/>
      </c>
      <c r="B619" s="39">
        <f>IF(C619&lt;&gt;"",C619,IF(P619&lt;=IFERROR(INDEX(tblChannels[Watched Through],MATCH(N619,tblChannels[Channel ID],0)),0),"Watched","Unwatched"))</f>
        <v/>
      </c>
      <c r="C619" s="40" t="n"/>
      <c r="D619" s="41" t="n"/>
      <c r="E619" s="42" t="n">
        <v>45455.55069444444</v>
      </c>
      <c r="F619" s="50" t="inlineStr">
        <is>
          <t>Super Carlin Brothers</t>
        </is>
      </c>
      <c r="G619" t="inlineStr">
        <is>
          <t>Slytherin’s Wife BECAME The Basilisk | Harry Potter Film Theory</t>
        </is>
      </c>
      <c r="H619" s="44" t="n">
        <v>0.01070601851851852</v>
      </c>
      <c r="I619" s="45" t="n">
        <v>166737</v>
      </c>
      <c r="J619" s="45" t="n">
        <v>7843</v>
      </c>
      <c r="K619" s="45" t="n">
        <v>1040</v>
      </c>
      <c r="L619" s="46" t="n"/>
      <c r="M619" s="47" t="n"/>
      <c r="N619" s="47" t="inlineStr">
        <is>
          <t>UCKZo4N0lVPccBkSiuyVh4yg</t>
        </is>
      </c>
      <c r="O619" s="48" t="n">
        <v>45455.71736111111</v>
      </c>
      <c r="P619" s="49" t="n">
        <v>45455</v>
      </c>
      <c r="Q619" s="47" t="n">
        <v>2649</v>
      </c>
      <c r="R619" s="47" t="inlineStr">
        <is>
          <t>No Video ID yet</t>
        </is>
      </c>
      <c r="S619" s="49" t="n"/>
      <c r="T619" s="49" t="n"/>
      <c r="U619" s="47" t="inlineStr">
        <is>
          <t>Go to to sign up for a $1 per month trial period. Today J dives into the Wizarding World of Harry Potter to try and uncover the truth about the Basilisk in the Chamber of Secrets. We know Slytherin had an heir, but who was his wife? Is it possible we’ve known her all along as the victim of a terrible Maledictus Curse? #supercarlinbrothers #HarryPotter #theories</t>
        </is>
      </c>
      <c r="V619" s="47">
        <f>IF(AND(P619&gt;=Calendar!$K$2,P619&lt;EDATE(Calendar!$K$2,1),OR(Calendar!$K$4="*",N619=Calendar!$K$4)),P619*100+COUNTIFS($P$6:$P$3267,P619,$Q$6:$Q$3267,"&lt;="&amp;Q619,$N$6:$N$3267,Calendar!$K$4),"")</f>
        <v/>
      </c>
      <c r="W619" s="47">
        <f>IF(AND(B619=Queue!$C$4,OR(Queue!$K$4="*",N619=Queue!$K$4)),Q619,"")</f>
        <v/>
      </c>
    </row>
    <row r="620">
      <c r="A620" s="38">
        <f>IF(M620="","",HYPERLINK("https://www.youtube.com/watch?v="&amp;M620,"▶"))</f>
        <v/>
      </c>
      <c r="B620" s="39">
        <f>IF(C620&lt;&gt;"",C620,IF(P620&lt;=IFERROR(INDEX(tblChannels[Watched Through],MATCH(N620,tblChannels[Channel ID],0)),0),"Watched","Unwatched"))</f>
        <v/>
      </c>
      <c r="C620" s="40" t="n"/>
      <c r="D620" s="41" t="n"/>
      <c r="E620" s="42" t="n">
        <v>45453.70208333333</v>
      </c>
      <c r="F620" s="51" t="inlineStr">
        <is>
          <t>Through The Griffin Door</t>
        </is>
      </c>
      <c r="G620" t="inlineStr">
        <is>
          <t>Chapter 1: Owl Post | Prisoner of Azkaban</t>
        </is>
      </c>
      <c r="H620" s="44" t="n">
        <v>0.05408564814814815</v>
      </c>
      <c r="I620" s="45" t="n">
        <v>93440</v>
      </c>
      <c r="J620" s="45" t="n">
        <v>2670</v>
      </c>
      <c r="K620" s="45" t="n">
        <v>565</v>
      </c>
      <c r="L620" s="46" t="n"/>
      <c r="M620" s="47" t="n"/>
      <c r="N620" s="47" t="inlineStr">
        <is>
          <t>UCEscP6ETYXWSSvsNrDHekMQ</t>
        </is>
      </c>
      <c r="O620" s="48" t="n">
        <v>45453.86875</v>
      </c>
      <c r="P620" s="49" t="n">
        <v>45453</v>
      </c>
      <c r="Q620" s="47" t="n">
        <v>2648</v>
      </c>
      <c r="R620" s="47" t="inlineStr">
        <is>
          <t>No Video ID yet</t>
        </is>
      </c>
      <c r="S620" s="49" t="n"/>
      <c r="T620" s="49" t="n"/>
      <c r="U620" s="47" t="inlineStr">
        <is>
          <t>Join J and Ben as they dive into Chapter 1 of the Prisoner of Azkaban (unfortunately not in Boston) and discuss the Dursleys' cruelty, witch burning essay, Harry’s birthday gifts and letters, the Weasley’s trip to Egypt, and the Monster Book of Monsters. 08:08 - Chapter Breakdown 1:09:55 - Closing Thoughts and Review</t>
        </is>
      </c>
      <c r="V620" s="47">
        <f>IF(AND(P620&gt;=Calendar!$K$2,P620&lt;EDATE(Calendar!$K$2,1),OR(Calendar!$K$4="*",N620=Calendar!$K$4)),P620*100+COUNTIFS($P$6:$P$3267,P620,$Q$6:$Q$3267,"&lt;="&amp;Q620,$N$6:$N$3267,Calendar!$K$4),"")</f>
        <v/>
      </c>
      <c r="W620" s="47">
        <f>IF(AND(B620=Queue!$C$4,OR(Queue!$K$4="*",N620=Queue!$K$4)),Q620,"")</f>
        <v/>
      </c>
    </row>
    <row r="621">
      <c r="A621" s="38">
        <f>IF(M621="","",HYPERLINK("https://www.youtube.com/watch?v="&amp;M621,"▶"))</f>
        <v/>
      </c>
      <c r="B621" s="39">
        <f>IF(C621&lt;&gt;"",C621,IF(P621&lt;=IFERROR(INDEX(tblChannels[Watched Through],MATCH(N621,tblChannels[Channel ID],0)),0),"Watched","Unwatched"))</f>
        <v/>
      </c>
      <c r="C621" s="40" t="n"/>
      <c r="D621" s="41" t="n"/>
      <c r="E621" s="42" t="n">
        <v>45451.41666666666</v>
      </c>
      <c r="F621" s="50" t="inlineStr">
        <is>
          <t>Super Carlin Brothers</t>
        </is>
      </c>
      <c r="G621" t="inlineStr">
        <is>
          <t>Through the Griffin Door Supercut: Chamber of Secrets BONUS EPISODES</t>
        </is>
      </c>
      <c r="H621" s="44" t="n">
        <v>0.09317129629629629</v>
      </c>
      <c r="I621" s="45" t="n">
        <v>48029</v>
      </c>
      <c r="J621" s="45" t="n">
        <v>1009</v>
      </c>
      <c r="K621" s="45" t="n">
        <v>201</v>
      </c>
      <c r="L621" s="46" t="n"/>
      <c r="M621" s="47" t="n"/>
      <c r="N621" s="47" t="inlineStr">
        <is>
          <t>UCKZo4N0lVPccBkSiuyVh4yg</t>
        </is>
      </c>
      <c r="O621" s="48" t="n">
        <v>45451.58333333334</v>
      </c>
      <c r="P621" s="49" t="n">
        <v>45451</v>
      </c>
      <c r="Q621" s="47" t="n">
        <v>2647</v>
      </c>
      <c r="R621" s="47" t="inlineStr">
        <is>
          <t>No Video ID yet</t>
        </is>
      </c>
      <c r="S621" s="49" t="n"/>
      <c r="T621" s="49" t="n"/>
      <c r="U621" s="47" t="inlineStr">
        <is>
          <t>00:00:00 - Dumbledore's Big Plan: Chamber of Secrets Edition 1:02:18 - Q+A with Ben and J!</t>
        </is>
      </c>
      <c r="V621" s="47">
        <f>IF(AND(P621&gt;=Calendar!$K$2,P621&lt;EDATE(Calendar!$K$2,1),OR(Calendar!$K$4="*",N621=Calendar!$K$4)),P621*100+COUNTIFS($P$6:$P$3267,P621,$Q$6:$Q$3267,"&lt;="&amp;Q621,$N$6:$N$3267,Calendar!$K$4),"")</f>
        <v/>
      </c>
      <c r="W621" s="47">
        <f>IF(AND(B621=Queue!$C$4,OR(Queue!$K$4="*",N621=Queue!$K$4)),Q621,"")</f>
        <v/>
      </c>
    </row>
    <row r="622">
      <c r="A622" s="38">
        <f>IF(M622="","",HYPERLINK("https://www.youtube.com/watch?v="&amp;M622,"▶"))</f>
        <v/>
      </c>
      <c r="B622" s="39">
        <f>IF(C622&lt;&gt;"",C622,IF(P622&lt;=IFERROR(INDEX(tblChannels[Watched Through],MATCH(N622,tblChannels[Channel ID],0)),0),"Watched","Unwatched"))</f>
        <v/>
      </c>
      <c r="C622" s="40" t="n"/>
      <c r="D622" s="41" t="n"/>
      <c r="E622" s="42" t="n">
        <v>45450.58333333334</v>
      </c>
      <c r="F622" s="50" t="inlineStr">
        <is>
          <t>Super Carlin Brothers</t>
        </is>
      </c>
      <c r="G622" t="inlineStr">
        <is>
          <t>Why Lupin NEEDED To Die | Harry Potter Film Theory</t>
        </is>
      </c>
      <c r="H622" s="44" t="n">
        <v>0.0103587962962963</v>
      </c>
      <c r="I622" s="45" t="n">
        <v>201637</v>
      </c>
      <c r="J622" s="45" t="n">
        <v>7840</v>
      </c>
      <c r="K622" s="45" t="n">
        <v>618</v>
      </c>
      <c r="L622" s="46" t="n"/>
      <c r="M622" s="47" t="n"/>
      <c r="N622" s="47" t="inlineStr">
        <is>
          <t>UCKZo4N0lVPccBkSiuyVh4yg</t>
        </is>
      </c>
      <c r="O622" s="48" t="n">
        <v>45450.75</v>
      </c>
      <c r="P622" s="49" t="n">
        <v>45450</v>
      </c>
      <c r="Q622" s="47" t="n">
        <v>2646</v>
      </c>
      <c r="R622" s="47" t="inlineStr">
        <is>
          <t>No Video ID yet</t>
        </is>
      </c>
      <c r="S622" s="49" t="n"/>
      <c r="T622" s="49" t="n"/>
      <c r="U622" s="47" t="inlineStr">
        <is>
          <t>Today Ben dives into the Wizarding World of Harry Potter to discuss why Remus John Lupin had to die in the battle of Hogwarts. Why his death was essential for Harry’s journey and how it thematically ties into the passing of the torch to the next generation Join the Wizarding Candle Club and get magical new scents delivered every month! #supercarlinbrothers #HarryPotter #theories</t>
        </is>
      </c>
      <c r="V622" s="47">
        <f>IF(AND(P622&gt;=Calendar!$K$2,P622&lt;EDATE(Calendar!$K$2,1),OR(Calendar!$K$4="*",N622=Calendar!$K$4)),P622*100+COUNTIFS($P$6:$P$3267,P622,$Q$6:$Q$3267,"&lt;="&amp;Q622,$N$6:$N$3267,Calendar!$K$4),"")</f>
        <v/>
      </c>
      <c r="W622" s="47">
        <f>IF(AND(B622=Queue!$C$4,OR(Queue!$K$4="*",N622=Queue!$K$4)),Q622,"")</f>
        <v/>
      </c>
    </row>
    <row r="623">
      <c r="A623" s="38">
        <f>IF(M623="","",HYPERLINK("https://www.youtube.com/watch?v="&amp;M623,"▶"))</f>
        <v/>
      </c>
      <c r="B623" s="39">
        <f>IF(C623&lt;&gt;"",C623,IF(P623&lt;=IFERROR(INDEX(tblChannels[Watched Through],MATCH(N623,tblChannels[Channel ID],0)),0),"Watched","Unwatched"))</f>
        <v/>
      </c>
      <c r="C623" s="40" t="n"/>
      <c r="D623" s="41" t="n"/>
      <c r="E623" s="42" t="n">
        <v>45450.41666666666</v>
      </c>
      <c r="F623" s="43" t="inlineStr">
        <is>
          <t>Popcorn Culture</t>
        </is>
      </c>
      <c r="G623" t="inlineStr">
        <is>
          <t>FUN WITH CHEESE! | Popcorn Culture</t>
        </is>
      </c>
      <c r="H623" s="44" t="n">
        <v>0.04699074074074074</v>
      </c>
      <c r="I623" s="45" t="n">
        <v>4275</v>
      </c>
      <c r="J623" s="45" t="n">
        <v>190</v>
      </c>
      <c r="K623" s="45" t="n">
        <v>28</v>
      </c>
      <c r="L623" s="46" t="n"/>
      <c r="M623" s="47" t="n"/>
      <c r="N623" s="47" t="inlineStr">
        <is>
          <t>UCHfIbq9thHPC8yrKjAdJgDA</t>
        </is>
      </c>
      <c r="O623" s="48" t="n">
        <v>45450.58333333334</v>
      </c>
      <c r="P623" s="49" t="n">
        <v>45450</v>
      </c>
      <c r="Q623" s="47" t="n">
        <v>2645</v>
      </c>
      <c r="R623" s="47" t="inlineStr">
        <is>
          <t>No Video ID yet</t>
        </is>
      </c>
      <c r="S623" s="49" t="n"/>
      <c r="T623" s="49" t="n"/>
      <c r="U623" s="47" t="inlineStr">
        <is>
          <t>In the 235th episode of the Pop, Ben and J discuss the upcoming tour, Hot Topic pins, Ben’s pierced ears, art collecting, CW shows, Ryan Reynolds and Blake Lively, and their excellent weekend. Nightmare Before Christmas - Gossip Girl - Arrow - The Flash - Alternate Title: Possibly Perfect Weekend Planting Decisions War on Weeds 00:00 - Intro, Impending Tour 02:02 - Hot Topic 16:18 - Moving and Home Decor 25:32 - The Perfect Weekend</t>
        </is>
      </c>
      <c r="V623" s="47">
        <f>IF(AND(P623&gt;=Calendar!$K$2,P623&lt;EDATE(Calendar!$K$2,1),OR(Calendar!$K$4="*",N623=Calendar!$K$4)),P623*100+COUNTIFS($P$6:$P$3267,P623,$Q$6:$Q$3267,"&lt;="&amp;Q623,$N$6:$N$3267,Calendar!$K$4),"")</f>
        <v/>
      </c>
      <c r="W623" s="47">
        <f>IF(AND(B623=Queue!$C$4,OR(Queue!$K$4="*",N623=Queue!$K$4)),Q623,"")</f>
        <v/>
      </c>
    </row>
    <row r="624">
      <c r="A624" s="38">
        <f>IF(M624="","",HYPERLINK("https://www.youtube.com/watch?v="&amp;M624,"▶"))</f>
        <v/>
      </c>
      <c r="B624" s="39">
        <f>IF(C624&lt;&gt;"",C624,IF(P624&lt;=IFERROR(INDEX(tblChannels[Watched Through],MATCH(N624,tblChannels[Channel ID],0)),0),"Watched","Unwatched"))</f>
        <v/>
      </c>
      <c r="C624" s="40" t="n"/>
      <c r="D624" s="41" t="n"/>
      <c r="E624" s="42" t="n">
        <v>45448.58333333334</v>
      </c>
      <c r="F624" s="50" t="inlineStr">
        <is>
          <t>Super Carlin Brothers</t>
        </is>
      </c>
      <c r="G624" t="inlineStr">
        <is>
          <t>J vs Ben: HARDEST Severus Snape Harry Potter TRIVIA Quiz Ever</t>
        </is>
      </c>
      <c r="H624" s="44" t="n">
        <v>0.0258912037037037</v>
      </c>
      <c r="I624" s="45" t="n">
        <v>157704</v>
      </c>
      <c r="J624" s="45" t="n">
        <v>4960</v>
      </c>
      <c r="K624" s="45" t="n">
        <v>623</v>
      </c>
      <c r="L624" s="46" t="n"/>
      <c r="M624" s="47" t="n"/>
      <c r="N624" s="47" t="inlineStr">
        <is>
          <t>UCKZo4N0lVPccBkSiuyVh4yg</t>
        </is>
      </c>
      <c r="O624" s="48" t="n">
        <v>45448.75</v>
      </c>
      <c r="P624" s="49" t="n">
        <v>45448</v>
      </c>
      <c r="Q624" s="47" t="n">
        <v>2644</v>
      </c>
      <c r="R624" s="47" t="inlineStr">
        <is>
          <t>No Video ID yet</t>
        </is>
      </c>
      <c r="S624" s="49" t="n"/>
      <c r="T624" s="49" t="n"/>
      <c r="U624" s="47" t="inlineStr">
        <is>
          <t>Go to and use code jvsb50 to get 50% off your first box plus 20% off your next month. Check out the new Shell Cottage Candle at :: Today the J vs Ben battle rages on as the guys take on the HARDEST Severus Snape quiz to find out who knows more about Hogwarts most infamous potions master! Where is his classroom? What potion does he make Lupin? What’s he teaching when Umbridge inspects his class? Play along with us! :: 04:22 - Q1: Where is Snape’s classroom? 05:07 - Q2: What potion does Snape give Lupin? 05:58 - Q3: What was the Headmaster Office password for Snape? 09:46 - Q4: What spell does Snape use on Lockhart first? 10:40 - Q5: What was Harry’s cover for Occlumency lessons? 12:38 - Q6: Who was Snape’s prefect in his first year? 14:42 - Q7: Why did Snape take points from Harry in his first lesson? 17:11 - Q8: What are Snape’s parents’ names? 19:17 - Q9: What drink does Snape make Wormtail bring him? 23:40 - Q10: What does Dumbledore ask Snape to do after knocking out fake Mad-Eye 25:28 - Q11: What potion was Snape teaching the day Umbridge sat in on his class? 29:08 - Q12: Who hit Snape with a bludger? 30:04 - Q13: Who was Snape trying to protect when he hit Fred with Sectumsemp</t>
        </is>
      </c>
      <c r="V624" s="47">
        <f>IF(AND(P624&gt;=Calendar!$K$2,P624&lt;EDATE(Calendar!$K$2,1),OR(Calendar!$K$4="*",N624=Calendar!$K$4)),P624*100+COUNTIFS($P$6:$P$3267,P624,$Q$6:$Q$3267,"&lt;="&amp;Q624,$N$6:$N$3267,Calendar!$K$4),"")</f>
        <v/>
      </c>
      <c r="W624" s="47">
        <f>IF(AND(B624=Queue!$C$4,OR(Queue!$K$4="*",N624=Queue!$K$4)),Q624,"")</f>
        <v/>
      </c>
    </row>
    <row r="625">
      <c r="A625" s="38">
        <f>IF(M625="","",HYPERLINK("https://www.youtube.com/watch?v="&amp;M625,"▶"))</f>
        <v/>
      </c>
      <c r="B625" s="39">
        <f>IF(C625&lt;&gt;"",C625,IF(P625&lt;=IFERROR(INDEX(tblChannels[Watched Through],MATCH(N625,tblChannels[Channel ID],0)),0),"Watched","Unwatched"))</f>
        <v/>
      </c>
      <c r="C625" s="40" t="n"/>
      <c r="D625" s="41" t="n"/>
      <c r="E625" s="42" t="n">
        <v>45445.41666666666</v>
      </c>
      <c r="F625" s="51" t="inlineStr">
        <is>
          <t>Through The Griffin Door</t>
        </is>
      </c>
      <c r="G625" t="inlineStr">
        <is>
          <t>Can Squibs Perform ANY Magic? | Q&amp;A with Ben and J!</t>
        </is>
      </c>
      <c r="H625" s="44" t="n">
        <v>0.04981481481481481</v>
      </c>
      <c r="I625" s="45" t="n">
        <v>63808</v>
      </c>
      <c r="J625" s="45" t="n">
        <v>2028</v>
      </c>
      <c r="K625" s="45" t="n">
        <v>547</v>
      </c>
      <c r="L625" s="46" t="n"/>
      <c r="M625" s="47" t="n"/>
      <c r="N625" s="47" t="inlineStr">
        <is>
          <t>UCEscP6ETYXWSSvsNrDHekMQ</t>
        </is>
      </c>
      <c r="O625" s="48" t="n">
        <v>45445.58333333334</v>
      </c>
      <c r="P625" s="49" t="n">
        <v>45445</v>
      </c>
      <c r="Q625" s="47" t="n">
        <v>2643</v>
      </c>
      <c r="R625" s="47" t="inlineStr">
        <is>
          <t>No Video ID yet</t>
        </is>
      </c>
      <c r="S625" s="49" t="n"/>
      <c r="T625" s="49" t="n"/>
      <c r="U625" s="47" t="inlineStr">
        <is>
          <t>Be sure to check out Shopify: shopify.com/GRIFFIN Join J and Ben as they answer your most burning Harry Potter questions! New York City - 6/3 (SOLD OUT) Washington, D.C. - 6/13 (SOLD OUT) 01:53 - Q1: Are Squibs Binary? 12:10 - Q2: Hand Me Down Wands 18:46 - Q3: The Dark Mark 27:19 - Ad Break 29:02 - Q4: Blood Status Math 33:52 - Q5: Imperius Curse 39:25 - Q6: Harry’s Protected Blood 42:29 - Q7: Why Doesn’t the Diary Burn? 57:41 - Q8: Room of Requirement 1:03:16 - Q9: Deluminator 1:10:22 - Closing Thoughts</t>
        </is>
      </c>
      <c r="V625" s="47">
        <f>IF(AND(P625&gt;=Calendar!$K$2,P625&lt;EDATE(Calendar!$K$2,1),OR(Calendar!$K$4="*",N625=Calendar!$K$4)),P625*100+COUNTIFS($P$6:$P$3267,P625,$Q$6:$Q$3267,"&lt;="&amp;Q625,$N$6:$N$3267,Calendar!$K$4),"")</f>
        <v/>
      </c>
      <c r="W625" s="47">
        <f>IF(AND(B625=Queue!$C$4,OR(Queue!$K$4="*",N625=Queue!$K$4)),Q625,"")</f>
        <v/>
      </c>
    </row>
    <row r="626">
      <c r="A626" s="38">
        <f>IF(M626="","",HYPERLINK("https://www.youtube.com/watch?v="&amp;M626,"▶"))</f>
        <v/>
      </c>
      <c r="B626" s="39">
        <f>IF(C626&lt;&gt;"",C626,IF(P626&lt;=IFERROR(INDEX(tblChannels[Watched Through],MATCH(N626,tblChannels[Channel ID],0)),0),"Watched","Unwatched"))</f>
        <v/>
      </c>
      <c r="C626" s="40" t="n"/>
      <c r="D626" s="41" t="n"/>
      <c r="E626" s="42" t="n">
        <v>45443.64583333334</v>
      </c>
      <c r="F626" s="52" t="inlineStr">
        <is>
          <t>Super Carlin Gaming</t>
        </is>
      </c>
      <c r="G626" t="inlineStr">
        <is>
          <t>It's Getting Close At The Top | Carlin Brothers Box Breakers S11E8</t>
        </is>
      </c>
      <c r="H626" s="44" t="n">
        <v>0.0306712962962963</v>
      </c>
      <c r="I626" s="45" t="n">
        <v>1314</v>
      </c>
      <c r="J626" s="45" t="n">
        <v>64</v>
      </c>
      <c r="K626" s="45" t="n">
        <v>10</v>
      </c>
      <c r="L626" s="46" t="n"/>
      <c r="M626" s="47" t="n"/>
      <c r="N626" s="47" t="inlineStr">
        <is>
          <t>UCor_9jRnNNZVzTuQ92PKsaQ</t>
        </is>
      </c>
      <c r="O626" s="48" t="n">
        <v>45443.8125</v>
      </c>
      <c r="P626" s="49" t="n">
        <v>45443</v>
      </c>
      <c r="Q626" s="47" t="n">
        <v>2642</v>
      </c>
      <c r="R626" s="47" t="inlineStr">
        <is>
          <t>No Video ID yet</t>
        </is>
      </c>
      <c r="S626" s="49" t="n"/>
      <c r="T626" s="49" t="n"/>
      <c r="U626" s="47" t="inlineStr">
        <is>
          <t>This week ends the second month and things are looking PRETTY SPICY here at Box Breakers!</t>
        </is>
      </c>
      <c r="V626" s="47">
        <f>IF(AND(P626&gt;=Calendar!$K$2,P626&lt;EDATE(Calendar!$K$2,1),OR(Calendar!$K$4="*",N626=Calendar!$K$4)),P626*100+COUNTIFS($P$6:$P$3267,P626,$Q$6:$Q$3267,"&lt;="&amp;Q626,$N$6:$N$3267,Calendar!$K$4),"")</f>
        <v/>
      </c>
      <c r="W626" s="47">
        <f>IF(AND(B626=Queue!$C$4,OR(Queue!$K$4="*",N626=Queue!$K$4)),Q626,"")</f>
        <v/>
      </c>
    </row>
    <row r="627">
      <c r="A627" s="38">
        <f>IF(M627="","",HYPERLINK("https://www.youtube.com/watch?v="&amp;M627,"▶"))</f>
        <v/>
      </c>
      <c r="B627" s="39">
        <f>IF(C627&lt;&gt;"",C627,IF(P627&lt;=IFERROR(INDEX(tblChannels[Watched Through],MATCH(N627,tblChannels[Channel ID],0)),0),"Watched","Unwatched"))</f>
        <v/>
      </c>
      <c r="C627" s="40" t="n"/>
      <c r="D627" s="41" t="n"/>
      <c r="E627" s="42" t="n">
        <v>45443.58333333334</v>
      </c>
      <c r="F627" s="50" t="inlineStr">
        <is>
          <t>Super Carlin Brothers</t>
        </is>
      </c>
      <c r="G627" t="inlineStr">
        <is>
          <t>The TOP 5 Lord Voldemort Theories | Harry Potter Film Theory</t>
        </is>
      </c>
      <c r="H627" s="44" t="n">
        <v>0.05052083333333333</v>
      </c>
      <c r="I627" s="45" t="n">
        <v>620109</v>
      </c>
      <c r="J627" s="45" t="n">
        <v>9974</v>
      </c>
      <c r="K627" s="45" t="n">
        <v>1139</v>
      </c>
      <c r="L627" s="46" t="n"/>
      <c r="M627" s="47" t="n"/>
      <c r="N627" s="47" t="inlineStr">
        <is>
          <t>UCKZo4N0lVPccBkSiuyVh4yg</t>
        </is>
      </c>
      <c r="O627" s="48" t="n">
        <v>45443.75</v>
      </c>
      <c r="P627" s="49" t="n">
        <v>45443</v>
      </c>
      <c r="Q627" s="47" t="n">
        <v>2641</v>
      </c>
      <c r="R627" s="47" t="inlineStr">
        <is>
          <t>No Video ID yet</t>
        </is>
      </c>
      <c r="S627" s="49" t="n"/>
      <c r="T627" s="49" t="n"/>
      <c r="U627" s="47" t="inlineStr">
        <is>
          <t>We’ve been talking a LOT about good ole Voldemort lately and decided it might be nice to compile a list of some of our BEST Lord Voldemort Theories for your convenience! Enjoy! Join the Wizarding Candle Club and get magical new scents delivered every month! #supercarlinbrothers #HarryPotter #theories Edited by : Ethan Edghill &amp; Isybelle Christley</t>
        </is>
      </c>
      <c r="V627" s="47">
        <f>IF(AND(P627&gt;=Calendar!$K$2,P627&lt;EDATE(Calendar!$K$2,1),OR(Calendar!$K$4="*",N627=Calendar!$K$4)),P627*100+COUNTIFS($P$6:$P$3267,P627,$Q$6:$Q$3267,"&lt;="&amp;Q627,$N$6:$N$3267,Calendar!$K$4),"")</f>
        <v/>
      </c>
      <c r="W627" s="47">
        <f>IF(AND(B627=Queue!$C$4,OR(Queue!$K$4="*",N627=Queue!$K$4)),Q627,"")</f>
        <v/>
      </c>
    </row>
    <row r="628">
      <c r="A628" s="38">
        <f>IF(M628="","",HYPERLINK("https://www.youtube.com/watch?v="&amp;M628,"▶"))</f>
        <v/>
      </c>
      <c r="B628" s="39">
        <f>IF(C628&lt;&gt;"",C628,IF(P628&lt;=IFERROR(INDEX(tblChannels[Watched Through],MATCH(N628,tblChannels[Channel ID],0)),0),"Watched","Unwatched"))</f>
        <v/>
      </c>
      <c r="C628" s="40" t="n"/>
      <c r="D628" s="41" t="n"/>
      <c r="E628" s="42" t="n">
        <v>45443.41666666666</v>
      </c>
      <c r="F628" s="43" t="inlineStr">
        <is>
          <t>Popcorn Culture</t>
        </is>
      </c>
      <c r="G628" t="inlineStr">
        <is>
          <t>The Q+A SPECIAL | Popcorn Culture</t>
        </is>
      </c>
      <c r="H628" s="44" t="n">
        <v>0.07299768518518518</v>
      </c>
      <c r="I628" s="45" t="n">
        <v>6084</v>
      </c>
      <c r="J628" s="45" t="n">
        <v>262</v>
      </c>
      <c r="K628" s="45" t="n">
        <v>37</v>
      </c>
      <c r="L628" s="46" t="n"/>
      <c r="M628" s="47" t="n"/>
      <c r="N628" s="47" t="inlineStr">
        <is>
          <t>UCHfIbq9thHPC8yrKjAdJgDA</t>
        </is>
      </c>
      <c r="O628" s="48" t="n">
        <v>45443.58333333334</v>
      </c>
      <c r="P628" s="49" t="n">
        <v>45443</v>
      </c>
      <c r="Q628" s="47" t="n">
        <v>2640</v>
      </c>
      <c r="R628" s="47" t="inlineStr">
        <is>
          <t>No Video ID yet</t>
        </is>
      </c>
      <c r="S628" s="49" t="n"/>
      <c r="T628" s="49" t="n"/>
      <c r="U628" s="47" t="inlineStr">
        <is>
          <t>In the 234th episode of the Pop, Ben and J answer all your burning questions!!! They discuss egg consumption, social media, time management, The Pixar Theory, graduating college, the evolution of the Pop, adult vs. kids Disney trip, a book prompt, bitcoin, Ben’s weekend in jail, streaming, Name of the Wind theories, current show obsessions, and challenges. New York City - 6/3 (SOLD OUT) Washington, D.C. - 6/13 (SOLD OUT) Gaston’s Song - Dopamine Nation - The Pixar Theory - New Rockstars Video - How Onward Fits into the Pixar Theory - Inside Out 2 Trailer - Reddit Thread - F1 Drive to Survive - Clarkson’s Farm - X-Men 97 - Dragon Ball Z Kai - 02:28 - Q1: Eggs 09:28 - Q2: Social Media 22:51 - Q3: Parent Quality Time 28:41 - Q4: Pixar Movies 34:29 - Q5: Graduation 40:17 - Q6: The Pop Overall 48:40 - Q7: Disney Trips 55:23 - Q8: Book Prompt 1:02:24 - Q9: Note for Past Self 1:09:52 - Q10: Streaming 1:15:51 - Q11: NOTW Theory 1:25:41 - Q12: Current Shows 1:35:18 - Q13: Challenges</t>
        </is>
      </c>
      <c r="V628" s="47">
        <f>IF(AND(P628&gt;=Calendar!$K$2,P628&lt;EDATE(Calendar!$K$2,1),OR(Calendar!$K$4="*",N628=Calendar!$K$4)),P628*100+COUNTIFS($P$6:$P$3267,P628,$Q$6:$Q$3267,"&lt;="&amp;Q628,$N$6:$N$3267,Calendar!$K$4),"")</f>
        <v/>
      </c>
      <c r="W628" s="47">
        <f>IF(AND(B628=Queue!$C$4,OR(Queue!$K$4="*",N628=Queue!$K$4)),Q628,"")</f>
        <v/>
      </c>
    </row>
    <row r="629">
      <c r="A629" s="38">
        <f>IF(M629="","",HYPERLINK("https://www.youtube.com/watch?v="&amp;M629,"▶"))</f>
        <v/>
      </c>
      <c r="B629" s="39">
        <f>IF(C629&lt;&gt;"",C629,IF(P629&lt;=IFERROR(INDEX(tblChannels[Watched Through],MATCH(N629,tblChannels[Channel ID],0)),0),"Watched","Unwatched"))</f>
        <v/>
      </c>
      <c r="C629" s="40" t="n"/>
      <c r="D629" s="41" t="n"/>
      <c r="E629" s="42" t="n">
        <v>45441.61805555555</v>
      </c>
      <c r="F629" s="50" t="inlineStr">
        <is>
          <t>Super Carlin Brothers</t>
        </is>
      </c>
      <c r="G629" t="inlineStr">
        <is>
          <t>Why Didn’t Quirrell Just KILL Fluffy | Harry Potter Film Theory</t>
        </is>
      </c>
      <c r="H629" s="44" t="n">
        <v>0.009675925925925926</v>
      </c>
      <c r="I629" s="45" t="n">
        <v>164242</v>
      </c>
      <c r="J629" s="45" t="n">
        <v>7008</v>
      </c>
      <c r="K629" s="45" t="n">
        <v>899</v>
      </c>
      <c r="L629" s="46" t="n"/>
      <c r="M629" s="47" t="n"/>
      <c r="N629" s="47" t="inlineStr">
        <is>
          <t>UCKZo4N0lVPccBkSiuyVh4yg</t>
        </is>
      </c>
      <c r="O629" s="48" t="n">
        <v>45441.78472222222</v>
      </c>
      <c r="P629" s="49" t="n">
        <v>45441</v>
      </c>
      <c r="Q629" s="47" t="n">
        <v>2639</v>
      </c>
      <c r="R629" s="47" t="inlineStr">
        <is>
          <t>No Video ID yet</t>
        </is>
      </c>
      <c r="S629" s="49" t="n"/>
      <c r="T629" s="49" t="n"/>
      <c r="U629" s="47" t="inlineStr">
        <is>
          <t>Today J dives into the Wizarding World of Harry Potter to answer one of the oldest questions in the series… Why didn’t Quirrell just kill Fluffy to try and steal the Sorcerer’s Stone!? Voldemort’s main solution for things is killing them.. And yet he’s stalled out by this dog for 9 months? Make J Grow a Mustache in May Follow in Instagram :: Sign up for our Newsletter :: Donate to Stop Sarcoidosis :: New York City - 6/3 (SOLD OUT) Washington, D.C. - 6/13 (SOLD OUT!) #supercarlinbrothers #HarryPotter #theories</t>
        </is>
      </c>
      <c r="V629" s="47">
        <f>IF(AND(P629&gt;=Calendar!$K$2,P629&lt;EDATE(Calendar!$K$2,1),OR(Calendar!$K$4="*",N629=Calendar!$K$4)),P629*100+COUNTIFS($P$6:$P$3267,P629,$Q$6:$Q$3267,"&lt;="&amp;Q629,$N$6:$N$3267,Calendar!$K$4),"")</f>
        <v/>
      </c>
      <c r="W629" s="47">
        <f>IF(AND(B629=Queue!$C$4,OR(Queue!$K$4="*",N629=Queue!$K$4)),Q629,"")</f>
        <v/>
      </c>
    </row>
    <row r="630">
      <c r="A630" s="38">
        <f>IF(M630="","",HYPERLINK("https://www.youtube.com/watch?v="&amp;M630,"▶"))</f>
        <v/>
      </c>
      <c r="B630" s="39">
        <f>IF(C630&lt;&gt;"",C630,IF(P630&lt;=IFERROR(INDEX(tblChannels[Watched Through],MATCH(N630,tblChannels[Channel ID],0)),0),"Watched","Unwatched"))</f>
        <v/>
      </c>
      <c r="C630" s="40" t="n"/>
      <c r="D630" s="41" t="n"/>
      <c r="E630" s="42" t="n">
        <v>45438.41666666666</v>
      </c>
      <c r="F630" s="51" t="inlineStr">
        <is>
          <t>Through The Griffin Door</t>
        </is>
      </c>
      <c r="G630" t="inlineStr">
        <is>
          <t>Dumbledore’s Big Plan: Chamber of Secrets Edition</t>
        </is>
      </c>
      <c r="H630" s="44" t="n">
        <v>0.0447337962962963</v>
      </c>
      <c r="I630" s="45" t="n">
        <v>49737</v>
      </c>
      <c r="J630" s="45" t="n">
        <v>1594</v>
      </c>
      <c r="K630" s="45" t="n">
        <v>312</v>
      </c>
      <c r="L630" s="46" t="n"/>
      <c r="M630" s="47" t="n"/>
      <c r="N630" s="47" t="inlineStr">
        <is>
          <t>UCEscP6ETYXWSSvsNrDHekMQ</t>
        </is>
      </c>
      <c r="O630" s="48" t="n">
        <v>45438.58333333334</v>
      </c>
      <c r="P630" s="49" t="n">
        <v>45438</v>
      </c>
      <c r="Q630" s="47" t="n">
        <v>2638</v>
      </c>
      <c r="R630" s="47" t="inlineStr">
        <is>
          <t>No Video ID yet</t>
        </is>
      </c>
      <c r="S630" s="49" t="n"/>
      <c r="T630" s="49" t="n"/>
      <c r="U630" s="47" t="inlineStr">
        <is>
          <t>Be sure to check out Pair Eyewear: paireyewear.com/GRIFFIN Join J and Ben as they dive into how Dumbledore’s Big Plan fits into the Chamber of Secrets. IF YOU’RE COMING TO THE SHOW Submit a J vs. Ben Question - Submit a regular question for Q+A - New York City - 6/3 (SOLD OUT) Washington, D.C. - 6/13 (SOLD OUT) Q+A Form for Upcoming Episode - 00:00 - Intro and Recap 09:10 - Dumbledore’s 3 Lessons 54:03 - Closing Thoughts and Review Edited by :: isybelle Christley</t>
        </is>
      </c>
      <c r="V630" s="47">
        <f>IF(AND(P630&gt;=Calendar!$K$2,P630&lt;EDATE(Calendar!$K$2,1),OR(Calendar!$K$4="*",N630=Calendar!$K$4)),P630*100+COUNTIFS($P$6:$P$3267,P630,$Q$6:$Q$3267,"&lt;="&amp;Q630,$N$6:$N$3267,Calendar!$K$4),"")</f>
        <v/>
      </c>
      <c r="W630" s="47">
        <f>IF(AND(B630=Queue!$C$4,OR(Queue!$K$4="*",N630=Queue!$K$4)),Q630,"")</f>
        <v/>
      </c>
    </row>
    <row r="631">
      <c r="A631" s="38">
        <f>IF(M631="","",HYPERLINK("https://www.youtube.com/watch?v="&amp;M631,"▶"))</f>
        <v/>
      </c>
      <c r="B631" s="39">
        <f>IF(C631&lt;&gt;"",C631,IF(P631&lt;=IFERROR(INDEX(tblChannels[Watched Through],MATCH(N631,tblChannels[Channel ID],0)),0),"Watched","Unwatched"))</f>
        <v/>
      </c>
      <c r="C631" s="40" t="n"/>
      <c r="D631" s="41" t="n"/>
      <c r="E631" s="42" t="n">
        <v>45437.41666666666</v>
      </c>
      <c r="F631" s="50" t="inlineStr">
        <is>
          <t>Super Carlin Brothers</t>
        </is>
      </c>
      <c r="G631" t="inlineStr">
        <is>
          <t>Through the Griffin Door Supercut: Chamber of Secrets Chapters 16-18</t>
        </is>
      </c>
      <c r="H631" s="44" t="n">
        <v>0.1845023148148148</v>
      </c>
      <c r="I631" s="45" t="n">
        <v>32543</v>
      </c>
      <c r="J631" s="45" t="n">
        <v>576</v>
      </c>
      <c r="K631" s="45" t="n">
        <v>140</v>
      </c>
      <c r="L631" s="46" t="n"/>
      <c r="M631" s="47" t="n"/>
      <c r="N631" s="47" t="inlineStr">
        <is>
          <t>UCKZo4N0lVPccBkSiuyVh4yg</t>
        </is>
      </c>
      <c r="O631" s="48" t="n">
        <v>45437.58333333334</v>
      </c>
      <c r="P631" s="49" t="n">
        <v>45437</v>
      </c>
      <c r="Q631" s="47" t="n">
        <v>2637</v>
      </c>
      <c r="R631" s="47" t="inlineStr">
        <is>
          <t>No Video ID yet</t>
        </is>
      </c>
      <c r="S631" s="49" t="n"/>
      <c r="T631" s="49" t="n"/>
      <c r="U631" s="47" t="inlineStr">
        <is>
          <t>00:00:00 - Chapter 16: The Chamber of Secrets 1:27:30 - Chapter 17: The Heir of Slytherin 2:53:23 - Chapter 18: Dobby's Reward</t>
        </is>
      </c>
      <c r="V631" s="47">
        <f>IF(AND(P631&gt;=Calendar!$K$2,P631&lt;EDATE(Calendar!$K$2,1),OR(Calendar!$K$4="*",N631=Calendar!$K$4)),P631*100+COUNTIFS($P$6:$P$3267,P631,$Q$6:$Q$3267,"&lt;="&amp;Q631,$N$6:$N$3267,Calendar!$K$4),"")</f>
        <v/>
      </c>
      <c r="W631" s="47">
        <f>IF(AND(B631=Queue!$C$4,OR(Queue!$K$4="*",N631=Queue!$K$4)),Q631,"")</f>
        <v/>
      </c>
    </row>
    <row r="632">
      <c r="A632" s="38">
        <f>IF(M632="","",HYPERLINK("https://www.youtube.com/watch?v="&amp;M632,"▶"))</f>
        <v/>
      </c>
      <c r="B632" s="39">
        <f>IF(C632&lt;&gt;"",C632,IF(P632&lt;=IFERROR(INDEX(tblChannels[Watched Through],MATCH(N632,tblChannels[Channel ID],0)),0),"Watched","Unwatched"))</f>
        <v/>
      </c>
      <c r="C632" s="40" t="n"/>
      <c r="D632" s="41" t="n"/>
      <c r="E632" s="42" t="n">
        <v>45436.56666666667</v>
      </c>
      <c r="F632" s="50" t="inlineStr">
        <is>
          <t>Super Carlin Brothers</t>
        </is>
      </c>
      <c r="G632" t="inlineStr">
        <is>
          <t>How The HECK Do You Petrify A Ghost?! | Harry Potter Film Theory</t>
        </is>
      </c>
      <c r="H632" s="44" t="n">
        <v>0.00986111111111111</v>
      </c>
      <c r="I632" s="45" t="n">
        <v>99790</v>
      </c>
      <c r="J632" s="45" t="n">
        <v>5383</v>
      </c>
      <c r="K632" s="45" t="n">
        <v>622</v>
      </c>
      <c r="L632" s="46" t="n"/>
      <c r="M632" s="47" t="n"/>
      <c r="N632" s="47" t="inlineStr">
        <is>
          <t>UCKZo4N0lVPccBkSiuyVh4yg</t>
        </is>
      </c>
      <c r="O632" s="48" t="n">
        <v>45436.73333333333</v>
      </c>
      <c r="P632" s="49" t="n">
        <v>45436</v>
      </c>
      <c r="Q632" s="47" t="n">
        <v>2636</v>
      </c>
      <c r="R632" s="47" t="inlineStr">
        <is>
          <t>No Video ID yet</t>
        </is>
      </c>
      <c r="S632" s="49" t="n"/>
      <c r="T632" s="49" t="n"/>
      <c r="U632" s="47" t="inlineStr">
        <is>
          <t>Get a free Mystery Gift with your first monthly shipment when you sign up at Today Ben dives into the Wizarding World of Harry Potter to do some soul math and reveal how the Basilisk is able to petrify Nearly Headless Nick in Chamber of Secrets Make J Grow a Mustache in May Follow in Instagram :: Sign up for our Newsletter :: Donate to Stop Sarcoidosis :: New York City - 6/3 (SOLD OUT) Washington, D.C. - 6/13 (SOLD OUT!)</t>
        </is>
      </c>
      <c r="V632" s="47">
        <f>IF(AND(P632&gt;=Calendar!$K$2,P632&lt;EDATE(Calendar!$K$2,1),OR(Calendar!$K$4="*",N632=Calendar!$K$4)),P632*100+COUNTIFS($P$6:$P$3267,P632,$Q$6:$Q$3267,"&lt;="&amp;Q632,$N$6:$N$3267,Calendar!$K$4),"")</f>
        <v/>
      </c>
      <c r="W632" s="47">
        <f>IF(AND(B632=Queue!$C$4,OR(Queue!$K$4="*",N632=Queue!$K$4)),Q632,"")</f>
        <v/>
      </c>
    </row>
    <row r="633">
      <c r="A633" s="38">
        <f>IF(M633="","",HYPERLINK("https://www.youtube.com/watch?v="&amp;M633,"▶"))</f>
        <v/>
      </c>
      <c r="B633" s="39">
        <f>IF(C633&lt;&gt;"",C633,IF(P633&lt;=IFERROR(INDEX(tblChannels[Watched Through],MATCH(N633,tblChannels[Channel ID],0)),0),"Watched","Unwatched"))</f>
        <v/>
      </c>
      <c r="C633" s="40" t="n"/>
      <c r="D633" s="41" t="n"/>
      <c r="E633" s="42" t="n">
        <v>45436.41666666666</v>
      </c>
      <c r="F633" s="43" t="inlineStr">
        <is>
          <t>Popcorn Culture</t>
        </is>
      </c>
      <c r="G633" t="inlineStr">
        <is>
          <t>Ben’s Calamitous Weekend  | Popcorn Culture</t>
        </is>
      </c>
      <c r="H633" s="44" t="n">
        <v>0.04831018518518519</v>
      </c>
      <c r="I633" s="45" t="n">
        <v>4653</v>
      </c>
      <c r="J633" s="45" t="n">
        <v>226</v>
      </c>
      <c r="K633" s="45" t="n">
        <v>36</v>
      </c>
      <c r="L633" s="46" t="n"/>
      <c r="M633" s="47" t="n"/>
      <c r="N633" s="47" t="inlineStr">
        <is>
          <t>UCHfIbq9thHPC8yrKjAdJgDA</t>
        </is>
      </c>
      <c r="O633" s="48" t="n">
        <v>45436.58333333334</v>
      </c>
      <c r="P633" s="49" t="n">
        <v>45436</v>
      </c>
      <c r="Q633" s="47" t="n">
        <v>2635</v>
      </c>
      <c r="R633" s="47" t="inlineStr">
        <is>
          <t>No Video ID yet</t>
        </is>
      </c>
      <c r="S633" s="49" t="n"/>
      <c r="T633" s="49" t="n"/>
      <c r="U633" s="47" t="inlineStr">
        <is>
          <t>In the 233rd episode of the Pop, Ben and J discuss Ben’s most recent near death experiences, Ben’s bad car detail, niche appliance parts, the New York Knicks exposure, Air Bud, 90s Rom Coms, tomatoes, and new hobby growth curves. Make J Grow a Mustache in May: Follow J on Instagram - Donate Here to help stop Sarcoidosis - Sign up for our Newsletter here - Air Bud - How to Lose a Guy in 10 Days - 10 Things I Hate About You - Not OSHA Approved Hardware Store Tomato Options Super Garden Brothers 00:00 - Intro, Ben’s Near Death Experiences 32:17 - The New York Knicks 45:24 - Hardware Store Tomatoes</t>
        </is>
      </c>
      <c r="V633" s="47">
        <f>IF(AND(P633&gt;=Calendar!$K$2,P633&lt;EDATE(Calendar!$K$2,1),OR(Calendar!$K$4="*",N633=Calendar!$K$4)),P633*100+COUNTIFS($P$6:$P$3267,P633,$Q$6:$Q$3267,"&lt;="&amp;Q633,$N$6:$N$3267,Calendar!$K$4),"")</f>
        <v/>
      </c>
      <c r="W633" s="47">
        <f>IF(AND(B633=Queue!$C$4,OR(Queue!$K$4="*",N633=Queue!$K$4)),Q633,"")</f>
        <v/>
      </c>
    </row>
    <row r="634">
      <c r="A634" s="38">
        <f>IF(M634="","",HYPERLINK("https://www.youtube.com/watch?v="&amp;M634,"▶"))</f>
        <v/>
      </c>
      <c r="B634" s="39">
        <f>IF(C634&lt;&gt;"",C634,IF(P634&lt;=IFERROR(INDEX(tblChannels[Watched Through],MATCH(N634,tblChannels[Channel ID],0)),0),"Watched","Unwatched"))</f>
        <v/>
      </c>
      <c r="C634" s="40" t="n"/>
      <c r="D634" s="41" t="n"/>
      <c r="E634" s="42" t="n">
        <v>45435.77083333334</v>
      </c>
      <c r="F634" s="52" t="inlineStr">
        <is>
          <t>Super Carlin Gaming</t>
        </is>
      </c>
      <c r="G634" t="inlineStr">
        <is>
          <t>You Won't Believe The Pull | Carlin Brothers Box Breakers S11E7</t>
        </is>
      </c>
      <c r="H634" s="44" t="n">
        <v>0.03103009259259259</v>
      </c>
      <c r="I634" s="45" t="n">
        <v>1421</v>
      </c>
      <c r="J634" s="45" t="n">
        <v>75</v>
      </c>
      <c r="K634" s="45" t="n">
        <v>7</v>
      </c>
      <c r="L634" s="46" t="n"/>
      <c r="M634" s="47" t="n"/>
      <c r="N634" s="47" t="inlineStr">
        <is>
          <t>UCor_9jRnNNZVzTuQ92PKsaQ</t>
        </is>
      </c>
      <c r="O634" s="48" t="n">
        <v>45435.9375</v>
      </c>
      <c r="P634" s="49" t="n">
        <v>45435</v>
      </c>
      <c r="Q634" s="47" t="n">
        <v>2634</v>
      </c>
      <c r="R634" s="47" t="inlineStr">
        <is>
          <t>No Video ID yet</t>
        </is>
      </c>
      <c r="S634" s="49" t="n"/>
      <c r="T634" s="49" t="n"/>
      <c r="U634" s="47" t="inlineStr">
        <is>
          <t>WOW there's som BIG PULLS IN THIS ONE</t>
        </is>
      </c>
      <c r="V634" s="47">
        <f>IF(AND(P634&gt;=Calendar!$K$2,P634&lt;EDATE(Calendar!$K$2,1),OR(Calendar!$K$4="*",N634=Calendar!$K$4)),P634*100+COUNTIFS($P$6:$P$3267,P634,$Q$6:$Q$3267,"&lt;="&amp;Q634,$N$6:$N$3267,Calendar!$K$4),"")</f>
        <v/>
      </c>
      <c r="W634" s="47">
        <f>IF(AND(B634=Queue!$C$4,OR(Queue!$K$4="*",N634=Queue!$K$4)),Q634,"")</f>
        <v/>
      </c>
    </row>
    <row r="635">
      <c r="A635" s="38">
        <f>IF(M635="","",HYPERLINK("https://www.youtube.com/watch?v="&amp;M635,"▶"))</f>
        <v/>
      </c>
      <c r="B635" s="39">
        <f>IF(C635&lt;&gt;"",C635,IF(P635&lt;=IFERROR(INDEX(tblChannels[Watched Through],MATCH(N635,tblChannels[Channel ID],0)),0),"Watched","Unwatched"))</f>
        <v/>
      </c>
      <c r="C635" s="40" t="n"/>
      <c r="D635" s="41" t="n"/>
      <c r="E635" s="42" t="n">
        <v>45434.69513888889</v>
      </c>
      <c r="F635" s="50" t="inlineStr">
        <is>
          <t>Super Carlin Brothers</t>
        </is>
      </c>
      <c r="G635" t="inlineStr">
        <is>
          <t>J vs Ben: HARDEST Albus Dumbledore Harry Potter TRIVIA Quiz EVER</t>
        </is>
      </c>
      <c r="H635" s="44" t="n">
        <v>0.02615740740740741</v>
      </c>
      <c r="I635" s="45" t="n">
        <v>172962</v>
      </c>
      <c r="J635" s="45" t="n">
        <v>4988</v>
      </c>
      <c r="K635" s="45" t="n">
        <v>633</v>
      </c>
      <c r="L635" s="46" t="n"/>
      <c r="M635" s="47" t="n"/>
      <c r="N635" s="47" t="inlineStr">
        <is>
          <t>UCKZo4N0lVPccBkSiuyVh4yg</t>
        </is>
      </c>
      <c r="O635" s="48" t="n">
        <v>45434.86180555556</v>
      </c>
      <c r="P635" s="49" t="n">
        <v>45434</v>
      </c>
      <c r="Q635" s="47" t="n">
        <v>2633</v>
      </c>
      <c r="R635" s="47" t="inlineStr">
        <is>
          <t>No Video ID yet</t>
        </is>
      </c>
      <c r="S635" s="49" t="n"/>
      <c r="T635" s="49" t="n"/>
      <c r="U635" s="47" t="inlineStr">
        <is>
          <t>Go to for 20% off and free shipping. Today J and Ben face off once more to find out who knows more about the Wizarding World as they take on the HARDEST Albus Dumbledore Harry Potter TRIVIA Quiz EVER Play Along with us :: Make J Grow a Mustache in May Follow in Instagram :: Sign up for our Newsletter :: Donate to Stop Sarcoidosis :: New York City - 6/3 (SOLD OUT) Washington, D.C. - 6/13 (SOLD OUT!) 03:57 - Q1: What job does Dumbledore not want? 04:34 - Q2: How many times does Dumbledore say to turn the time turner? 05:26 - Q3: What does Dumbledore tell Dobby to call him? 07:09 - Q4: Why was Dumbledore avoiding Harry? 08:38 - Q5: Which member of the Gaunt family did Dumbledore talk to? 09:46 - Q6: How many goblets of the cave potion does Dumbledore drink? 14:00 - Q7: Who wrote Dumbledore's obituary? 15:51 - Q8: What is the only accolade Dumbledore cared about keeping? 17:55 - Q9: What Quidditch team did Dumbledore predict would place bottom of the league? 21:54 - Q10: How does Dumbledore protect the Goblet of Fire from tricks? 23:47 - Q11: What bad flavor of bean did Dumbledore eat as a youth? 29:15 - Q12: What did Dumbledore order for dinner at the Yule Ball? 30:03 - Q13: Where was</t>
        </is>
      </c>
      <c r="V635" s="47">
        <f>IF(AND(P635&gt;=Calendar!$K$2,P635&lt;EDATE(Calendar!$K$2,1),OR(Calendar!$K$4="*",N635=Calendar!$K$4)),P635*100+COUNTIFS($P$6:$P$3267,P635,$Q$6:$Q$3267,"&lt;="&amp;Q635,$N$6:$N$3267,Calendar!$K$4),"")</f>
        <v/>
      </c>
      <c r="W635" s="47">
        <f>IF(AND(B635=Queue!$C$4,OR(Queue!$K$4="*",N635=Queue!$K$4)),Q635,"")</f>
        <v/>
      </c>
    </row>
    <row r="636">
      <c r="A636" s="38">
        <f>IF(M636="","",HYPERLINK("https://www.youtube.com/watch?v="&amp;M636,"▶"))</f>
        <v/>
      </c>
      <c r="B636" s="39">
        <f>IF(C636&lt;&gt;"",C636,IF(P636&lt;=IFERROR(INDEX(tblChannels[Watched Through],MATCH(N636,tblChannels[Channel ID],0)),0),"Watched","Unwatched"))</f>
        <v/>
      </c>
      <c r="C636" s="40" t="n"/>
      <c r="D636" s="41" t="n"/>
      <c r="E636" s="42" t="n">
        <v>45431.41666666666</v>
      </c>
      <c r="F636" s="51" t="inlineStr">
        <is>
          <t>Through The Griffin Door</t>
        </is>
      </c>
      <c r="G636" t="inlineStr">
        <is>
          <t>Chapter 18: Dobby’s Reward | Chamber of Secrets</t>
        </is>
      </c>
      <c r="H636" s="44" t="n">
        <v>0.06408564814814814</v>
      </c>
      <c r="I636" s="45" t="n">
        <v>82015</v>
      </c>
      <c r="J636" s="45" t="n">
        <v>2286</v>
      </c>
      <c r="K636" s="45" t="n">
        <v>605</v>
      </c>
      <c r="L636" s="46" t="n"/>
      <c r="M636" s="47" t="n"/>
      <c r="N636" s="47" t="inlineStr">
        <is>
          <t>UCEscP6ETYXWSSvsNrDHekMQ</t>
        </is>
      </c>
      <c r="O636" s="48" t="n">
        <v>45431.58333333334</v>
      </c>
      <c r="P636" s="49" t="n">
        <v>45431</v>
      </c>
      <c r="Q636" s="47" t="n">
        <v>2632</v>
      </c>
      <c r="R636" s="47" t="inlineStr">
        <is>
          <t>No Video ID yet</t>
        </is>
      </c>
      <c r="S636" s="49" t="n"/>
      <c r="T636" s="49" t="n"/>
      <c r="U636" s="47" t="inlineStr">
        <is>
          <t>Join J and Ben as they dive into Chapter 18 of the Chamber of Secrets and discuss floo powder, more getting expelled fear, horcrux setup, Harry’s imposter syndrome, the properties of the Sword of Gryffindor, the DADA position, Lucius Malfoy, Harry’s signature spell and snogging. IF YOU’RE COMING TO THE SHOW Submit a J vs. Ben Question - Submit a regular question for Q+A - Washington, D.C. (SOLD OUT) - 6/13 Q+A Form for Upcoming Episode - We did make “The Most Important Line in Harry Potter” into a vide - 09:52 - Chapter Breakdown 1:22:56 - Closing Thoughts and Review</t>
        </is>
      </c>
      <c r="V636" s="47">
        <f>IF(AND(P636&gt;=Calendar!$K$2,P636&lt;EDATE(Calendar!$K$2,1),OR(Calendar!$K$4="*",N636=Calendar!$K$4)),P636*100+COUNTIFS($P$6:$P$3267,P636,$Q$6:$Q$3267,"&lt;="&amp;Q636,$N$6:$N$3267,Calendar!$K$4),"")</f>
        <v/>
      </c>
      <c r="W636" s="47">
        <f>IF(AND(B636=Queue!$C$4,OR(Queue!$K$4="*",N636=Queue!$K$4)),Q636,"")</f>
        <v/>
      </c>
    </row>
    <row r="637">
      <c r="A637" s="38">
        <f>IF(M637="","",HYPERLINK("https://www.youtube.com/watch?v="&amp;M637,"▶"))</f>
        <v/>
      </c>
      <c r="B637" s="39">
        <f>IF(C637&lt;&gt;"",C637,IF(P637&lt;=IFERROR(INDEX(tblChannels[Watched Through],MATCH(N637,tblChannels[Channel ID],0)),0),"Watched","Unwatched"))</f>
        <v/>
      </c>
      <c r="C637" s="40" t="n"/>
      <c r="D637" s="41" t="n"/>
      <c r="E637" s="42" t="n">
        <v>45429.56666666667</v>
      </c>
      <c r="F637" s="50" t="inlineStr">
        <is>
          <t>Super Carlin Brothers</t>
        </is>
      </c>
      <c r="G637" t="inlineStr">
        <is>
          <t>The Single Most Important Line in ALL of Harry Potter | Harry Potter Film Theory</t>
        </is>
      </c>
      <c r="H637" s="44" t="n">
        <v>0.01034722222222222</v>
      </c>
      <c r="I637" s="45" t="n">
        <v>199673</v>
      </c>
      <c r="J637" s="45" t="n">
        <v>8106</v>
      </c>
      <c r="K637" s="45" t="n">
        <v>821</v>
      </c>
      <c r="L637" s="46" t="n"/>
      <c r="M637" s="47" t="n"/>
      <c r="N637" s="47" t="inlineStr">
        <is>
          <t>UCKZo4N0lVPccBkSiuyVh4yg</t>
        </is>
      </c>
      <c r="O637" s="48" t="n">
        <v>45429.73333333333</v>
      </c>
      <c r="P637" s="49" t="n">
        <v>45429</v>
      </c>
      <c r="Q637" s="47" t="n">
        <v>2631</v>
      </c>
      <c r="R637" s="47" t="inlineStr">
        <is>
          <t>No Video ID yet</t>
        </is>
      </c>
      <c r="S637" s="49" t="n"/>
      <c r="T637" s="49" t="n"/>
      <c r="U637" s="47" t="inlineStr">
        <is>
          <t>Go to for 20% off your first order and free shipping. Today Ben dives into the Wizarding World of Harry Potter to reveal and discuss the single most important line in all of Harry Potter. Not just for Harry and the story but also for you the reader - the moment that changed everything! Make J Grow a Mustache in May Follow in Instagram :: Sign up for our Newsletter :: Donate to Stop Sarcoidosis :: Washington, D.C. - 6/13 (SOLD OUT!)</t>
        </is>
      </c>
      <c r="V637" s="47">
        <f>IF(AND(P637&gt;=Calendar!$K$2,P637&lt;EDATE(Calendar!$K$2,1),OR(Calendar!$K$4="*",N637=Calendar!$K$4)),P637*100+COUNTIFS($P$6:$P$3267,P637,$Q$6:$Q$3267,"&lt;="&amp;Q637,$N$6:$N$3267,Calendar!$K$4),"")</f>
        <v/>
      </c>
      <c r="W637" s="47">
        <f>IF(AND(B637=Queue!$C$4,OR(Queue!$K$4="*",N637=Queue!$K$4)),Q637,"")</f>
        <v/>
      </c>
    </row>
    <row r="638">
      <c r="A638" s="38">
        <f>IF(M638="","",HYPERLINK("https://www.youtube.com/watch?v="&amp;M638,"▶"))</f>
        <v/>
      </c>
      <c r="B638" s="39">
        <f>IF(C638&lt;&gt;"",C638,IF(P638&lt;=IFERROR(INDEX(tblChannels[Watched Through],MATCH(N638,tblChannels[Channel ID],0)),0),"Watched","Unwatched"))</f>
        <v/>
      </c>
      <c r="C638" s="40" t="n"/>
      <c r="D638" s="41" t="n"/>
      <c r="E638" s="42" t="n">
        <v>45429.41666666666</v>
      </c>
      <c r="F638" s="43" t="inlineStr">
        <is>
          <t>Popcorn Culture</t>
        </is>
      </c>
      <c r="G638" t="inlineStr">
        <is>
          <t>J’s Guilty Pleasure | Popcorn Culture</t>
        </is>
      </c>
      <c r="H638" s="44" t="n">
        <v>0.04328703703703703</v>
      </c>
      <c r="I638" s="45" t="n">
        <v>4188</v>
      </c>
      <c r="J638" s="45" t="n">
        <v>204</v>
      </c>
      <c r="K638" s="45" t="n">
        <v>18</v>
      </c>
      <c r="L638" s="46" t="n"/>
      <c r="M638" s="47" t="n"/>
      <c r="N638" s="47" t="inlineStr">
        <is>
          <t>UCHfIbq9thHPC8yrKjAdJgDA</t>
        </is>
      </c>
      <c r="O638" s="48" t="n">
        <v>45429.58333333334</v>
      </c>
      <c r="P638" s="49" t="n">
        <v>45429</v>
      </c>
      <c r="Q638" s="47" t="n">
        <v>2630</v>
      </c>
      <c r="R638" s="47" t="inlineStr">
        <is>
          <t>No Video ID yet</t>
        </is>
      </c>
      <c r="S638" s="49" t="n"/>
      <c r="T638" s="49" t="n"/>
      <c r="U638" s="47" t="inlineStr">
        <is>
          <t>In the 232nd episode of the Pop, Ben and J discuss J’s mustache matching his clothes, potty training Addy, pecan trees, pronunciation of things, mountain vs road bikes, and their silent auction experience. Make J Grow a Mustache in May: Follow J on Instagram - Donate Here to help stop Sarcoidosis - Sign up for our Newsletter here - Pecan vs Pecan Half Understandings J Shouldn’t Go to Silent Auctions 00:00 - Intro, J’s Mustache Update 08:53 - Potty Training Addy 25:45 - Half Understandings 35:34 - Paws for Applause</t>
        </is>
      </c>
      <c r="V638" s="47">
        <f>IF(AND(P638&gt;=Calendar!$K$2,P638&lt;EDATE(Calendar!$K$2,1),OR(Calendar!$K$4="*",N638=Calendar!$K$4)),P638*100+COUNTIFS($P$6:$P$3267,P638,$Q$6:$Q$3267,"&lt;="&amp;Q638,$N$6:$N$3267,Calendar!$K$4),"")</f>
        <v/>
      </c>
      <c r="W638" s="47">
        <f>IF(AND(B638=Queue!$C$4,OR(Queue!$K$4="*",N638=Queue!$K$4)),Q638,"")</f>
        <v/>
      </c>
    </row>
    <row r="639">
      <c r="A639" s="38">
        <f>IF(M639="","",HYPERLINK("https://www.youtube.com/watch?v="&amp;M639,"▶"))</f>
        <v/>
      </c>
      <c r="B639" s="39">
        <f>IF(C639&lt;&gt;"",C639,IF(P639&lt;=IFERROR(INDEX(tblChannels[Watched Through],MATCH(N639,tblChannels[Channel ID],0)),0),"Watched","Unwatched"))</f>
        <v/>
      </c>
      <c r="C639" s="40" t="n"/>
      <c r="D639" s="41" t="n"/>
      <c r="E639" s="42" t="n">
        <v>45428.77083333334</v>
      </c>
      <c r="F639" s="52" t="inlineStr">
        <is>
          <t>Super Carlin Gaming</t>
        </is>
      </c>
      <c r="G639" t="inlineStr">
        <is>
          <t>A Day For Rookies | Carlin Brothers Box Breakers S11E6</t>
        </is>
      </c>
      <c r="H639" s="44" t="n">
        <v>0.0308912037037037</v>
      </c>
      <c r="I639" s="45" t="n">
        <v>1238</v>
      </c>
      <c r="J639" s="45" t="n">
        <v>68</v>
      </c>
      <c r="K639" s="45" t="n">
        <v>10</v>
      </c>
      <c r="L639" s="46" t="n"/>
      <c r="M639" s="47" t="n"/>
      <c r="N639" s="47" t="inlineStr">
        <is>
          <t>UCor_9jRnNNZVzTuQ92PKsaQ</t>
        </is>
      </c>
      <c r="O639" s="48" t="n">
        <v>45428.9375</v>
      </c>
      <c r="P639" s="49" t="n">
        <v>45428</v>
      </c>
      <c r="Q639" s="47" t="n">
        <v>2629</v>
      </c>
      <c r="R639" s="47" t="inlineStr">
        <is>
          <t>No Video ID yet</t>
        </is>
      </c>
      <c r="S639" s="49" t="n"/>
      <c r="T639" s="49" t="n"/>
      <c r="U639" s="47" t="inlineStr">
        <is>
          <t>This week the rookies really STEP IT UP</t>
        </is>
      </c>
      <c r="V639" s="47">
        <f>IF(AND(P639&gt;=Calendar!$K$2,P639&lt;EDATE(Calendar!$K$2,1),OR(Calendar!$K$4="*",N639=Calendar!$K$4)),P639*100+COUNTIFS($P$6:$P$3267,P639,$Q$6:$Q$3267,"&lt;="&amp;Q639,$N$6:$N$3267,Calendar!$K$4),"")</f>
        <v/>
      </c>
      <c r="W639" s="47">
        <f>IF(AND(B639=Queue!$C$4,OR(Queue!$K$4="*",N639=Queue!$K$4)),Q639,"")</f>
        <v/>
      </c>
    </row>
    <row r="640">
      <c r="A640" s="38">
        <f>IF(M640="","",HYPERLINK("https://www.youtube.com/watch?v="&amp;M640,"▶"))</f>
        <v/>
      </c>
      <c r="B640" s="39">
        <f>IF(C640&lt;&gt;"",C640,IF(P640&lt;=IFERROR(INDEX(tblChannels[Watched Through],MATCH(N640,tblChannels[Channel ID],0)),0),"Watched","Unwatched"))</f>
        <v/>
      </c>
      <c r="C640" s="40" t="n"/>
      <c r="D640" s="41" t="n"/>
      <c r="E640" s="42" t="n">
        <v>45427.71527777778</v>
      </c>
      <c r="F640" s="50" t="inlineStr">
        <is>
          <t>Super Carlin Brothers</t>
        </is>
      </c>
      <c r="G640" t="inlineStr">
        <is>
          <t>Why Does Hermione Google Autofill | Harry Potter Film Theory</t>
        </is>
      </c>
      <c r="H640" s="44" t="n">
        <v>0.01398148148148148</v>
      </c>
      <c r="I640" s="45" t="n">
        <v>156935</v>
      </c>
      <c r="J640" s="45" t="n">
        <v>6319</v>
      </c>
      <c r="K640" s="45" t="n">
        <v>570</v>
      </c>
      <c r="L640" s="46" t="n"/>
      <c r="M640" s="47" t="n"/>
      <c r="N640" s="47" t="inlineStr">
        <is>
          <t>UCKZo4N0lVPccBkSiuyVh4yg</t>
        </is>
      </c>
      <c r="O640" s="48" t="n">
        <v>45427.88194444445</v>
      </c>
      <c r="P640" s="49" t="n">
        <v>45427</v>
      </c>
      <c r="Q640" s="47" t="n">
        <v>2628</v>
      </c>
      <c r="R640" s="47" t="inlineStr">
        <is>
          <t>No Video ID yet</t>
        </is>
      </c>
      <c r="S640" s="49" t="n"/>
      <c r="T640" s="49" t="n"/>
      <c r="U640" s="47" t="inlineStr">
        <is>
          <t>Today J dives into the Wizarding World of Harry Potter to answer all of Google most asked questions about Hogwarts brightest student: Hermione Granger! Make J Grow a Mustache in May Follow in Instagram :: Sign up for our Newsletter :: Donate to Stop Sarcoidosis :: Washington, D.C. - 6/13 (SOLD OUT!)</t>
        </is>
      </c>
      <c r="V640" s="47">
        <f>IF(AND(P640&gt;=Calendar!$K$2,P640&lt;EDATE(Calendar!$K$2,1),OR(Calendar!$K$4="*",N640=Calendar!$K$4)),P640*100+COUNTIFS($P$6:$P$3267,P640,$Q$6:$Q$3267,"&lt;="&amp;Q640,$N$6:$N$3267,Calendar!$K$4),"")</f>
        <v/>
      </c>
      <c r="W640" s="47">
        <f>IF(AND(B640=Queue!$C$4,OR(Queue!$K$4="*",N640=Queue!$K$4)),Q640,"")</f>
        <v/>
      </c>
    </row>
    <row r="641">
      <c r="A641" s="38">
        <f>IF(M641="","",HYPERLINK("https://www.youtube.com/watch?v="&amp;M641,"▶"))</f>
        <v/>
      </c>
      <c r="B641" s="39">
        <f>IF(C641&lt;&gt;"",C641,IF(P641&lt;=IFERROR(INDEX(tblChannels[Watched Through],MATCH(N641,tblChannels[Channel ID],0)),0),"Watched","Unwatched"))</f>
        <v/>
      </c>
      <c r="C641" s="40" t="n"/>
      <c r="D641" s="41" t="n"/>
      <c r="E641" s="42" t="n">
        <v>45424.41666666666</v>
      </c>
      <c r="F641" s="51" t="inlineStr">
        <is>
          <t>Through The Griffin Door</t>
        </is>
      </c>
      <c r="G641" t="inlineStr">
        <is>
          <t>Chapter 17: The Heir of Slytherin | Chamber of Secrets</t>
        </is>
      </c>
      <c r="H641" s="44" t="n">
        <v>0.05975694444444445</v>
      </c>
      <c r="I641" s="45" t="n">
        <v>75854</v>
      </c>
      <c r="J641" s="45" t="n">
        <v>2175</v>
      </c>
      <c r="K641" s="45" t="n">
        <v>696</v>
      </c>
      <c r="L641" s="46" t="n"/>
      <c r="M641" s="47" t="n"/>
      <c r="N641" s="47" t="inlineStr">
        <is>
          <t>UCEscP6ETYXWSSvsNrDHekMQ</t>
        </is>
      </c>
      <c r="O641" s="48" t="n">
        <v>45424.58333333334</v>
      </c>
      <c r="P641" s="49" t="n">
        <v>45424</v>
      </c>
      <c r="Q641" s="47" t="n">
        <v>2627</v>
      </c>
      <c r="R641" s="47" t="inlineStr">
        <is>
          <t>No Video ID yet</t>
        </is>
      </c>
      <c r="S641" s="49" t="n"/>
      <c r="T641" s="49" t="n"/>
      <c r="U641" s="47" t="inlineStr">
        <is>
          <t>Join J and Ben as they dive into Chapter 17 of the Chamber of Secrets and discuss the appearance of the Chamber, the founders, not realizing Tom is the bad guy, Ginny’s possession, anagrams, Fawkes, the Basilisk fight, Ginny’s explanation, and escaping the Chamber. Washington, D.C. (SOLD OUT) - 6/13 Salazar Slytherin Is STILL Alive?! - 04:33 - Chapter Breakdown 1:20:05 - Closing Thoughts and Review</t>
        </is>
      </c>
      <c r="V641" s="47">
        <f>IF(AND(P641&gt;=Calendar!$K$2,P641&lt;EDATE(Calendar!$K$2,1),OR(Calendar!$K$4="*",N641=Calendar!$K$4)),P641*100+COUNTIFS($P$6:$P$3267,P641,$Q$6:$Q$3267,"&lt;="&amp;Q641,$N$6:$N$3267,Calendar!$K$4),"")</f>
        <v/>
      </c>
      <c r="W641" s="47">
        <f>IF(AND(B641=Queue!$C$4,OR(Queue!$K$4="*",N641=Queue!$K$4)),Q641,"")</f>
        <v/>
      </c>
    </row>
    <row r="642">
      <c r="A642" s="38">
        <f>IF(M642="","",HYPERLINK("https://www.youtube.com/watch?v="&amp;M642,"▶"))</f>
        <v/>
      </c>
      <c r="B642" s="39">
        <f>IF(C642&lt;&gt;"",C642,IF(P642&lt;=IFERROR(INDEX(tblChannels[Watched Through],MATCH(N642,tblChannels[Channel ID],0)),0),"Watched","Unwatched"))</f>
        <v/>
      </c>
      <c r="C642" s="40" t="n"/>
      <c r="D642" s="41" t="n"/>
      <c r="E642" s="42" t="n">
        <v>45422.77083333334</v>
      </c>
      <c r="F642" s="52" t="inlineStr">
        <is>
          <t>Super Carlin Gaming</t>
        </is>
      </c>
      <c r="G642" t="inlineStr">
        <is>
          <t>The Multiplier Hits Again | Carlin Brothers Box Breakers S11E5</t>
        </is>
      </c>
      <c r="H642" s="44" t="n">
        <v>0.03430555555555555</v>
      </c>
      <c r="I642" s="45" t="n">
        <v>1375</v>
      </c>
      <c r="J642" s="45" t="n">
        <v>69</v>
      </c>
      <c r="K642" s="45" t="n">
        <v>16</v>
      </c>
      <c r="L642" s="46" t="n"/>
      <c r="M642" s="47" t="n"/>
      <c r="N642" s="47" t="inlineStr">
        <is>
          <t>UCor_9jRnNNZVzTuQ92PKsaQ</t>
        </is>
      </c>
      <c r="O642" s="48" t="n">
        <v>45422.9375</v>
      </c>
      <c r="P642" s="49" t="n">
        <v>45422</v>
      </c>
      <c r="Q642" s="47" t="n">
        <v>2626</v>
      </c>
      <c r="R642" s="47" t="inlineStr">
        <is>
          <t>No Video ID yet</t>
        </is>
      </c>
      <c r="S642" s="49" t="n"/>
      <c r="T642" s="49" t="n"/>
      <c r="U642" s="47" t="inlineStr">
        <is>
          <t>The first Month Two we've had in a few seasons delivers on the multipliers!</t>
        </is>
      </c>
      <c r="V642" s="47">
        <f>IF(AND(P642&gt;=Calendar!$K$2,P642&lt;EDATE(Calendar!$K$2,1),OR(Calendar!$K$4="*",N642=Calendar!$K$4)),P642*100+COUNTIFS($P$6:$P$3267,P642,$Q$6:$Q$3267,"&lt;="&amp;Q642,$N$6:$N$3267,Calendar!$K$4),"")</f>
        <v/>
      </c>
      <c r="W642" s="47">
        <f>IF(AND(B642=Queue!$C$4,OR(Queue!$K$4="*",N642=Queue!$K$4)),Q642,"")</f>
        <v/>
      </c>
    </row>
    <row r="643">
      <c r="A643" s="38">
        <f>IF(M643="","",HYPERLINK("https://www.youtube.com/watch?v="&amp;M643,"▶"))</f>
        <v/>
      </c>
      <c r="B643" s="39">
        <f>IF(C643&lt;&gt;"",C643,IF(P643&lt;=IFERROR(INDEX(tblChannels[Watched Through],MATCH(N643,tblChannels[Channel ID],0)),0),"Watched","Unwatched"))</f>
        <v/>
      </c>
      <c r="C643" s="40" t="n"/>
      <c r="D643" s="41" t="n"/>
      <c r="E643" s="42" t="n">
        <v>45422.65625</v>
      </c>
      <c r="F643" s="50" t="inlineStr">
        <is>
          <t>Super Carlin Brothers</t>
        </is>
      </c>
      <c r="G643" t="inlineStr">
        <is>
          <t>The Basilisk's Secret Power.. | Harry Potter #harrypotter</t>
        </is>
      </c>
      <c r="H643" s="44" t="n">
        <v>0.0006944444444444445</v>
      </c>
      <c r="I643" s="45" t="n">
        <v>115455</v>
      </c>
      <c r="J643" s="45" t="n">
        <v>6353</v>
      </c>
      <c r="K643" s="45" t="n">
        <v>183</v>
      </c>
      <c r="L643" s="46" t="n"/>
      <c r="M643" s="47" t="n"/>
      <c r="N643" s="47" t="inlineStr">
        <is>
          <t>UCKZo4N0lVPccBkSiuyVh4yg</t>
        </is>
      </c>
      <c r="O643" s="48" t="n">
        <v>45422.82291666666</v>
      </c>
      <c r="P643" s="49" t="n">
        <v>45422</v>
      </c>
      <c r="Q643" s="47" t="n">
        <v>2625</v>
      </c>
      <c r="R643" s="47" t="inlineStr">
        <is>
          <t>No Video ID yet</t>
        </is>
      </c>
      <c r="S643" s="49" t="n"/>
      <c r="T643" s="49" t="n"/>
      <c r="U643" s="47" t="inlineStr">
        <is>
          <t>As if the Basilisk isn't Dangerous enough.. have you ever noticed that there are scorch marks, burning things and smoke left behind wherever it attacks? Just saying.</t>
        </is>
      </c>
      <c r="V643" s="47">
        <f>IF(AND(P643&gt;=Calendar!$K$2,P643&lt;EDATE(Calendar!$K$2,1),OR(Calendar!$K$4="*",N643=Calendar!$K$4)),P643*100+COUNTIFS($P$6:$P$3267,P643,$Q$6:$Q$3267,"&lt;="&amp;Q643,$N$6:$N$3267,Calendar!$K$4),"")</f>
        <v/>
      </c>
      <c r="W643" s="47">
        <f>IF(AND(B643=Queue!$C$4,OR(Queue!$K$4="*",N643=Queue!$K$4)),Q643,"")</f>
        <v/>
      </c>
    </row>
    <row r="644">
      <c r="A644" s="38">
        <f>IF(M644="","",HYPERLINK("https://www.youtube.com/watch?v="&amp;M644,"▶"))</f>
        <v/>
      </c>
      <c r="B644" s="39">
        <f>IF(C644&lt;&gt;"",C644,IF(P644&lt;=IFERROR(INDEX(tblChannels[Watched Through],MATCH(N644,tblChannels[Channel ID],0)),0),"Watched","Unwatched"))</f>
        <v/>
      </c>
      <c r="C644" s="40" t="n"/>
      <c r="D644" s="41" t="n"/>
      <c r="E644" s="42" t="n">
        <v>45422.625</v>
      </c>
      <c r="F644" s="43" t="inlineStr">
        <is>
          <t>Popcorn Culture</t>
        </is>
      </c>
      <c r="G644" t="inlineStr">
        <is>
          <t>Pancakes VS Waffles | Popcorn Culture</t>
        </is>
      </c>
      <c r="H644" s="44" t="n">
        <v>0.002766203703703704</v>
      </c>
      <c r="I644" s="45" t="n">
        <v>2208</v>
      </c>
      <c r="J644" s="45" t="n">
        <v>282</v>
      </c>
      <c r="K644" s="45" t="n">
        <v>65</v>
      </c>
      <c r="L644" s="46" t="n"/>
      <c r="M644" s="47" t="n"/>
      <c r="N644" s="47" t="inlineStr">
        <is>
          <t>UCHfIbq9thHPC8yrKjAdJgDA</t>
        </is>
      </c>
      <c r="O644" s="48" t="n">
        <v>45422.79166666666</v>
      </c>
      <c r="P644" s="49" t="n">
        <v>45422</v>
      </c>
      <c r="Q644" s="47" t="n">
        <v>2624</v>
      </c>
      <c r="R644" s="47" t="inlineStr">
        <is>
          <t>No Video ID yet</t>
        </is>
      </c>
      <c r="S644" s="49" t="n"/>
      <c r="T644" s="49" t="n"/>
      <c r="U644" s="47" t="inlineStr">
        <is>
          <t>It's the age old question... Pancakes VS Waffles Watch the full discussion :: Animated by: Isybelle Christley</t>
        </is>
      </c>
      <c r="V644" s="47">
        <f>IF(AND(P644&gt;=Calendar!$K$2,P644&lt;EDATE(Calendar!$K$2,1),OR(Calendar!$K$4="*",N644=Calendar!$K$4)),P644*100+COUNTIFS($P$6:$P$3267,P644,$Q$6:$Q$3267,"&lt;="&amp;Q644,$N$6:$N$3267,Calendar!$K$4),"")</f>
        <v/>
      </c>
      <c r="W644" s="47">
        <f>IF(AND(B644=Queue!$C$4,OR(Queue!$K$4="*",N644=Queue!$K$4)),Q644,"")</f>
        <v/>
      </c>
    </row>
    <row r="645">
      <c r="A645" s="38">
        <f>IF(M645="","",HYPERLINK("https://www.youtube.com/watch?v="&amp;M645,"▶"))</f>
        <v/>
      </c>
      <c r="B645" s="39">
        <f>IF(C645&lt;&gt;"",C645,IF(P645&lt;=IFERROR(INDEX(tblChannels[Watched Through],MATCH(N645,tblChannels[Channel ID],0)),0),"Watched","Unwatched"))</f>
        <v/>
      </c>
      <c r="C645" s="40" t="n"/>
      <c r="D645" s="41" t="n"/>
      <c r="E645" s="42" t="n">
        <v>45422.57916666667</v>
      </c>
      <c r="F645" s="50" t="inlineStr">
        <is>
          <t>Super Carlin Brothers</t>
        </is>
      </c>
      <c r="G645" t="inlineStr">
        <is>
          <t>Voldemort’s HUGE Mistake | Harry Potter Film Theory</t>
        </is>
      </c>
      <c r="H645" s="44" t="n">
        <v>0.01054398148148148</v>
      </c>
      <c r="I645" s="45" t="n">
        <v>191841</v>
      </c>
      <c r="J645" s="45" t="n">
        <v>7521</v>
      </c>
      <c r="K645" s="45" t="n">
        <v>864</v>
      </c>
      <c r="L645" s="46" t="n"/>
      <c r="M645" s="47" t="n"/>
      <c r="N645" s="47" t="inlineStr">
        <is>
          <t>UCKZo4N0lVPccBkSiuyVh4yg</t>
        </is>
      </c>
      <c r="O645" s="48" t="n">
        <v>45422.74583333333</v>
      </c>
      <c r="P645" s="49" t="n">
        <v>45422</v>
      </c>
      <c r="Q645" s="47" t="n">
        <v>2623</v>
      </c>
      <c r="R645" s="47" t="inlineStr">
        <is>
          <t>No Video ID yet</t>
        </is>
      </c>
      <c r="S645" s="49" t="n"/>
      <c r="T645" s="49" t="n"/>
      <c r="U645" s="47" t="inlineStr">
        <is>
          <t>Go to to sign up for a $1 per month trial period! Today Ben dives or well SLIDES into the Chamber of Secrets and the Wizarding World of Harry Potter to uncover the secret truth about Tom Riddles Diary and how Voldemort never intended to make it in the first place. Washington, D.C. - 6/13 (SOLD OUT!)</t>
        </is>
      </c>
      <c r="V645" s="47">
        <f>IF(AND(P645&gt;=Calendar!$K$2,P645&lt;EDATE(Calendar!$K$2,1),OR(Calendar!$K$4="*",N645=Calendar!$K$4)),P645*100+COUNTIFS($P$6:$P$3267,P645,$Q$6:$Q$3267,"&lt;="&amp;Q645,$N$6:$N$3267,Calendar!$K$4),"")</f>
        <v/>
      </c>
      <c r="W645" s="47">
        <f>IF(AND(B645=Queue!$C$4,OR(Queue!$K$4="*",N645=Queue!$K$4)),Q645,"")</f>
        <v/>
      </c>
    </row>
    <row r="646">
      <c r="A646" s="38">
        <f>IF(M646="","",HYPERLINK("https://www.youtube.com/watch?v="&amp;M646,"▶"))</f>
        <v/>
      </c>
      <c r="B646" s="39">
        <f>IF(C646&lt;&gt;"",C646,IF(P646&lt;=IFERROR(INDEX(tblChannels[Watched Through],MATCH(N646,tblChannels[Channel ID],0)),0),"Watched","Unwatched"))</f>
        <v/>
      </c>
      <c r="C646" s="40" t="n"/>
      <c r="D646" s="41" t="n"/>
      <c r="E646" s="42" t="n">
        <v>45422.41666666666</v>
      </c>
      <c r="F646" s="43" t="inlineStr">
        <is>
          <t>Popcorn Culture</t>
        </is>
      </c>
      <c r="G646" t="inlineStr">
        <is>
          <t>Ben Took Off His Pants in a Bar | Popcorn Culture</t>
        </is>
      </c>
      <c r="H646" s="44" t="n">
        <v>0.05171296296296296</v>
      </c>
      <c r="I646" s="45" t="n">
        <v>3870</v>
      </c>
      <c r="J646" s="45" t="n">
        <v>193</v>
      </c>
      <c r="K646" s="45" t="n">
        <v>21</v>
      </c>
      <c r="L646" s="46" t="n"/>
      <c r="M646" s="47" t="n"/>
      <c r="N646" s="47" t="inlineStr">
        <is>
          <t>UCHfIbq9thHPC8yrKjAdJgDA</t>
        </is>
      </c>
      <c r="O646" s="48" t="n">
        <v>45422.58333333334</v>
      </c>
      <c r="P646" s="49" t="n">
        <v>45422</v>
      </c>
      <c r="Q646" s="47" t="n">
        <v>2622</v>
      </c>
      <c r="R646" s="47" t="inlineStr">
        <is>
          <t>No Video ID yet</t>
        </is>
      </c>
      <c r="S646" s="49" t="n"/>
      <c r="T646" s="49" t="n"/>
      <c r="U646" s="47" t="inlineStr">
        <is>
          <t>In the 231st episode of the Pop, Ben and J discuss the time Ben took his pants off in a bar, the Triple Crown, encountering wild animals, putting too much pressure on yourself, weight lifting, not peaking too early, tiny head starts, the Carousel of Progress, and a Needless World. Make J Grow a Mustache in May: Follow J on Instagram - Donate Here to help stop Sarcoidosis - Sign up for our Newsletter here - The Carousel of Progress - Final Fantasy X - Pantsless Bar Hurricane Mode Mechanical Bull Tiny Head Starts 00:00 - Intro, Ben’s Crazy Bar Story 14:23 - J’s Triple Crown Hike 42:44 - Peaking Early</t>
        </is>
      </c>
      <c r="V646" s="47">
        <f>IF(AND(P646&gt;=Calendar!$K$2,P646&lt;EDATE(Calendar!$K$2,1),OR(Calendar!$K$4="*",N646=Calendar!$K$4)),P646*100+COUNTIFS($P$6:$P$3267,P646,$Q$6:$Q$3267,"&lt;="&amp;Q646,$N$6:$N$3267,Calendar!$K$4),"")</f>
        <v/>
      </c>
      <c r="W646" s="47">
        <f>IF(AND(B646=Queue!$C$4,OR(Queue!$K$4="*",N646=Queue!$K$4)),Q646,"")</f>
        <v/>
      </c>
    </row>
    <row r="647">
      <c r="A647" s="38">
        <f>IF(M647="","",HYPERLINK("https://www.youtube.com/watch?v="&amp;M647,"▶"))</f>
        <v/>
      </c>
      <c r="B647" s="39">
        <f>IF(C647&lt;&gt;"",C647,IF(P647&lt;=IFERROR(INDEX(tblChannels[Watched Through],MATCH(N647,tblChannels[Channel ID],0)),0),"Watched","Unwatched"))</f>
        <v/>
      </c>
      <c r="C647" s="40" t="n"/>
      <c r="D647" s="41" t="n"/>
      <c r="E647" s="42" t="n">
        <v>45420.72361111111</v>
      </c>
      <c r="F647" s="50" t="inlineStr">
        <is>
          <t>Super Carlin Brothers</t>
        </is>
      </c>
      <c r="G647" t="inlineStr">
        <is>
          <t>J vs Ben: ULTIMATE Dursley Harry Potter TRIVIA Quiz</t>
        </is>
      </c>
      <c r="H647" s="44" t="n">
        <v>0.02761574074074074</v>
      </c>
      <c r="I647" s="45" t="n">
        <v>154427</v>
      </c>
      <c r="J647" s="45" t="n">
        <v>4975</v>
      </c>
      <c r="K647" s="45" t="n">
        <v>540</v>
      </c>
      <c r="L647" s="46" t="n"/>
      <c r="M647" s="47" t="n"/>
      <c r="N647" s="47" t="inlineStr">
        <is>
          <t>UCKZo4N0lVPccBkSiuyVh4yg</t>
        </is>
      </c>
      <c r="O647" s="48" t="n">
        <v>45420.89027777778</v>
      </c>
      <c r="P647" s="49" t="n">
        <v>45420</v>
      </c>
      <c r="Q647" s="47" t="n">
        <v>2621</v>
      </c>
      <c r="R647" s="47" t="inlineStr">
        <is>
          <t>No Video ID yet</t>
        </is>
      </c>
      <c r="S647" s="49" t="n"/>
      <c r="T647" s="49" t="n"/>
      <c r="U647" s="47" t="inlineStr">
        <is>
          <t>Go to and use code jvsb50 to get 50% off your first box plus 20% off your next month. Go to to get 10% off your first purchase. Today J and Ben face off once more to find out who knows more about the most muggly muggles that ever muggled: THE DURSLEYS! What is there full address, just how horrible is Aunt Marge? What are they afraid Sirius is going to turn them into? PRIDE SHIRTS :: Make J Grow a Mustache in May Follow on Instagram :: Sign Up for Newsletter :: DONATE :: Washington, D.C. - 6/13 (SOLD OUT!) 02:08 - Q1: What did the Dursleys tell Harry about his parents? 03:27 - Q2: What is the Dursleys address? 04:29 - Q3: What is the first thing Vernon noticed the day after Voldemort attacked? 05:53 - Q4: Why was Dudley on a diet? 07:39 - Q5: What school did they tell Aunt Marge Harry goes to? 10:48 - Q6: What are the Dursleys afraid Sirius will turn them into? 13:57 - Q7: How does Aunt Petunia know about Dementors? 15:34 - Q8: How long was Harry at the Dursleys after his 5th year? 17:32 - Q9: Where does the Ministry find Aunt Marge? 22:34 - Q10: What was for dinner the night the Masons came over? 25:54 - Q11: What Order members collected the Dursleys in book 7? 28:17 - Q12: How man</t>
        </is>
      </c>
      <c r="V647" s="47">
        <f>IF(AND(P647&gt;=Calendar!$K$2,P647&lt;EDATE(Calendar!$K$2,1),OR(Calendar!$K$4="*",N647=Calendar!$K$4)),P647*100+COUNTIFS($P$6:$P$3267,P647,$Q$6:$Q$3267,"&lt;="&amp;Q647,$N$6:$N$3267,Calendar!$K$4),"")</f>
        <v/>
      </c>
      <c r="W647" s="47">
        <f>IF(AND(B647=Queue!$C$4,OR(Queue!$K$4="*",N647=Queue!$K$4)),Q647,"")</f>
        <v/>
      </c>
    </row>
    <row r="648">
      <c r="A648" s="38">
        <f>IF(M648="","",HYPERLINK("https://www.youtube.com/watch?v="&amp;M648,"▶"))</f>
        <v/>
      </c>
      <c r="B648" s="39">
        <f>IF(C648&lt;&gt;"",C648,IF(P648&lt;=IFERROR(INDEX(tblChannels[Watched Through],MATCH(N648,tblChannels[Channel ID],0)),0),"Watched","Unwatched"))</f>
        <v/>
      </c>
      <c r="C648" s="40" t="n"/>
      <c r="D648" s="41" t="n"/>
      <c r="E648" s="42" t="n">
        <v>45417.41666666666</v>
      </c>
      <c r="F648" s="51" t="inlineStr">
        <is>
          <t>Through The Griffin Door</t>
        </is>
      </c>
      <c r="G648" t="inlineStr">
        <is>
          <t>Chapter 16: The Chamber of Secrets | Chamber of Secrets</t>
        </is>
      </c>
      <c r="H648" s="44" t="n">
        <v>0.06260416666666667</v>
      </c>
      <c r="I648" s="45" t="n">
        <v>75800</v>
      </c>
      <c r="J648" s="45" t="n">
        <v>2111</v>
      </c>
      <c r="K648" s="45" t="n">
        <v>583</v>
      </c>
      <c r="L648" s="46" t="n"/>
      <c r="M648" s="47" t="n"/>
      <c r="N648" s="47" t="inlineStr">
        <is>
          <t>UCEscP6ETYXWSSvsNrDHekMQ</t>
        </is>
      </c>
      <c r="O648" s="48" t="n">
        <v>45417.58333333334</v>
      </c>
      <c r="P648" s="49" t="n">
        <v>45417</v>
      </c>
      <c r="Q648" s="47" t="n">
        <v>2620</v>
      </c>
      <c r="R648" s="47" t="inlineStr">
        <is>
          <t>No Video ID yet</t>
        </is>
      </c>
      <c r="S648" s="49" t="n"/>
      <c r="T648" s="49" t="n"/>
      <c r="U648" s="47" t="inlineStr">
        <is>
          <t>Join J and Ben as they dive into Chapter 16 of the Chamber of Secrets and discuss various coincidences, Ron’s wand, Ginny’s almost confession, teachers escorting, Gilderoy’s “help”, Harry’s genuine skill, Myrtle’s death story, down the slide, Parseltongue, and the fancy door. 05:17 - Chapter Breakdown 1:20:46 - Closing Thoughts and Review</t>
        </is>
      </c>
      <c r="V648" s="47">
        <f>IF(AND(P648&gt;=Calendar!$K$2,P648&lt;EDATE(Calendar!$K$2,1),OR(Calendar!$K$4="*",N648=Calendar!$K$4)),P648*100+COUNTIFS($P$6:$P$3267,P648,$Q$6:$Q$3267,"&lt;="&amp;Q648,$N$6:$N$3267,Calendar!$K$4),"")</f>
        <v/>
      </c>
      <c r="W648" s="47">
        <f>IF(AND(B648=Queue!$C$4,OR(Queue!$K$4="*",N648=Queue!$K$4)),Q648,"")</f>
        <v/>
      </c>
    </row>
    <row r="649">
      <c r="A649" s="38">
        <f>IF(M649="","",HYPERLINK("https://www.youtube.com/watch?v="&amp;M649,"▶"))</f>
        <v/>
      </c>
      <c r="B649" s="39">
        <f>IF(C649&lt;&gt;"",C649,IF(P649&lt;=IFERROR(INDEX(tblChannels[Watched Through],MATCH(N649,tblChannels[Channel ID],0)),0),"Watched","Unwatched"))</f>
        <v/>
      </c>
      <c r="C649" s="40" t="n"/>
      <c r="D649" s="41" t="n"/>
      <c r="E649" s="42" t="n">
        <v>45416.41666666666</v>
      </c>
      <c r="F649" s="50" t="inlineStr">
        <is>
          <t>Super Carlin Brothers</t>
        </is>
      </c>
      <c r="G649" t="inlineStr">
        <is>
          <t>Through the Griffin Door Supercut: Chamber of Secrets Chapters 13-15</t>
        </is>
      </c>
      <c r="H649" s="44" t="n">
        <v>0.1643981481481482</v>
      </c>
      <c r="I649" s="45" t="n">
        <v>106446</v>
      </c>
      <c r="J649" s="45" t="n">
        <v>768</v>
      </c>
      <c r="K649" s="45" t="n">
        <v>138</v>
      </c>
      <c r="L649" s="46" t="n"/>
      <c r="M649" s="47" t="n"/>
      <c r="N649" s="47" t="inlineStr">
        <is>
          <t>UCKZo4N0lVPccBkSiuyVh4yg</t>
        </is>
      </c>
      <c r="O649" s="48" t="n">
        <v>45416.58333333334</v>
      </c>
      <c r="P649" s="49" t="n">
        <v>45416</v>
      </c>
      <c r="Q649" s="47" t="n">
        <v>2619</v>
      </c>
      <c r="R649" s="47" t="inlineStr">
        <is>
          <t>No Video ID yet</t>
        </is>
      </c>
      <c r="S649" s="49" t="n"/>
      <c r="T649" s="49" t="n"/>
      <c r="U649" s="47" t="inlineStr">
        <is>
          <t>00:00:00 - Chapter 13: The Very Secret Diary 01:33:41 - Chapter 14: Cornelius Fudge 02:42:11 - Chapter 15: Aragog</t>
        </is>
      </c>
      <c r="V649" s="47">
        <f>IF(AND(P649&gt;=Calendar!$K$2,P649&lt;EDATE(Calendar!$K$2,1),OR(Calendar!$K$4="*",N649=Calendar!$K$4)),P649*100+COUNTIFS($P$6:$P$3267,P649,$Q$6:$Q$3267,"&lt;="&amp;Q649,$N$6:$N$3267,Calendar!$K$4),"")</f>
        <v/>
      </c>
      <c r="W649" s="47">
        <f>IF(AND(B649=Queue!$C$4,OR(Queue!$K$4="*",N649=Queue!$K$4)),Q649,"")</f>
        <v/>
      </c>
    </row>
    <row r="650">
      <c r="A650" s="38">
        <f>IF(M650="","",HYPERLINK("https://www.youtube.com/watch?v="&amp;M650,"▶"))</f>
        <v/>
      </c>
      <c r="B650" s="39">
        <f>IF(C650&lt;&gt;"",C650,IF(P650&lt;=IFERROR(INDEX(tblChannels[Watched Through],MATCH(N650,tblChannels[Channel ID],0)),0),"Watched","Unwatched"))</f>
        <v/>
      </c>
      <c r="C650" s="40" t="n"/>
      <c r="D650" s="41" t="n"/>
      <c r="E650" s="42" t="n">
        <v>45415.64583333334</v>
      </c>
      <c r="F650" s="50" t="inlineStr">
        <is>
          <t>Super Carlin Brothers</t>
        </is>
      </c>
      <c r="G650" t="inlineStr">
        <is>
          <t>How Voldemort ACTUALLY Found The Chamber of Secrets | Harry Potter Film Theory</t>
        </is>
      </c>
      <c r="H650" s="44" t="n">
        <v>0.009907407407407408</v>
      </c>
      <c r="I650" s="45" t="n">
        <v>299841</v>
      </c>
      <c r="J650" s="45" t="n">
        <v>9834</v>
      </c>
      <c r="K650" s="45" t="n">
        <v>761</v>
      </c>
      <c r="L650" s="46" t="n"/>
      <c r="M650" s="47" t="n"/>
      <c r="N650" s="47" t="inlineStr">
        <is>
          <t>UCKZo4N0lVPccBkSiuyVh4yg</t>
        </is>
      </c>
      <c r="O650" s="48" t="n">
        <v>45415.8125</v>
      </c>
      <c r="P650" s="49" t="n">
        <v>45415</v>
      </c>
      <c r="Q650" s="47" t="n">
        <v>2618</v>
      </c>
      <c r="R650" s="47" t="inlineStr">
        <is>
          <t>No Video ID yet</t>
        </is>
      </c>
      <c r="S650" s="49" t="n"/>
      <c r="T650" s="49" t="n"/>
      <c r="U650" s="47" t="inlineStr">
        <is>
          <t>Today Ben dives deep into the Wizarding World of Harry Potter to reveal how Voldemort actually discovered the Chamber of Secrets and what it means for the his horcruxes. Make J Grow a Mustache in May Follow on Instagram :: Sign Up for Newsletter :: DONATE :: Washington, D.C. - 6/13 (SOLD OUT!)</t>
        </is>
      </c>
      <c r="V650" s="47">
        <f>IF(AND(P650&gt;=Calendar!$K$2,P650&lt;EDATE(Calendar!$K$2,1),OR(Calendar!$K$4="*",N650=Calendar!$K$4)),P650*100+COUNTIFS($P$6:$P$3267,P650,$Q$6:$Q$3267,"&lt;="&amp;Q650,$N$6:$N$3267,Calendar!$K$4),"")</f>
        <v/>
      </c>
      <c r="W650" s="47">
        <f>IF(AND(B650=Queue!$C$4,OR(Queue!$K$4="*",N650=Queue!$K$4)),Q650,"")</f>
        <v/>
      </c>
    </row>
    <row r="651">
      <c r="A651" s="38">
        <f>IF(M651="","",HYPERLINK("https://www.youtube.com/watch?v="&amp;M651,"▶"))</f>
        <v/>
      </c>
      <c r="B651" s="39">
        <f>IF(C651&lt;&gt;"",C651,IF(P651&lt;=IFERROR(INDEX(tblChannels[Watched Through],MATCH(N651,tblChannels[Channel ID],0)),0),"Watched","Unwatched"))</f>
        <v/>
      </c>
      <c r="C651" s="40" t="n"/>
      <c r="D651" s="41" t="n"/>
      <c r="E651" s="42" t="n">
        <v>45415.41666666666</v>
      </c>
      <c r="F651" s="43" t="inlineStr">
        <is>
          <t>Popcorn Culture</t>
        </is>
      </c>
      <c r="G651" t="inlineStr">
        <is>
          <t>Make J Grow A Mustache in May! | Popcorn Culture</t>
        </is>
      </c>
      <c r="H651" s="44" t="n">
        <v>0.04682870370370371</v>
      </c>
      <c r="I651" s="45" t="n">
        <v>3722</v>
      </c>
      <c r="J651" s="45" t="n">
        <v>185</v>
      </c>
      <c r="K651" s="45" t="n">
        <v>30</v>
      </c>
      <c r="L651" s="46" t="n"/>
      <c r="M651" s="47" t="n"/>
      <c r="N651" s="47" t="inlineStr">
        <is>
          <t>UCHfIbq9thHPC8yrKjAdJgDA</t>
        </is>
      </c>
      <c r="O651" s="48" t="n">
        <v>45415.58333333334</v>
      </c>
      <c r="P651" s="49" t="n">
        <v>45415</v>
      </c>
      <c r="Q651" s="47" t="n">
        <v>2617</v>
      </c>
      <c r="R651" s="47" t="inlineStr">
        <is>
          <t>No Video ID yet</t>
        </is>
      </c>
      <c r="S651" s="49" t="n"/>
      <c r="T651" s="49" t="n"/>
      <c r="U651" s="47" t="inlineStr">
        <is>
          <t>In the 230th episode of the Pop, Ben and J discuss matching drinks to your environment, J growing a mustache in May, 100s of Beavers, independent 2 year old, lunch boxes, tree climbing and dangerous jumping Follow J on Instagram - Donate Here to help stop Sarcoidosis - Sign up for our Newsletter here - 100s of Beavers Trailer - Margarita Vibes I Have Do It 00:00 - Intro, Libations 14:56 - MUSTACHE MAY! 27:29 - Wick of the Peek 32:25 - Parenting Addy</t>
        </is>
      </c>
      <c r="V651" s="47">
        <f>IF(AND(P651&gt;=Calendar!$K$2,P651&lt;EDATE(Calendar!$K$2,1),OR(Calendar!$K$4="*",N651=Calendar!$K$4)),P651*100+COUNTIFS($P$6:$P$3267,P651,$Q$6:$Q$3267,"&lt;="&amp;Q651,$N$6:$N$3267,Calendar!$K$4),"")</f>
        <v/>
      </c>
      <c r="W651" s="47">
        <f>IF(AND(B651=Queue!$C$4,OR(Queue!$K$4="*",N651=Queue!$K$4)),Q651,"")</f>
        <v/>
      </c>
    </row>
    <row r="652">
      <c r="A652" s="38">
        <f>IF(M652="","",HYPERLINK("https://www.youtube.com/watch?v="&amp;M652,"▶"))</f>
        <v/>
      </c>
      <c r="B652" s="39">
        <f>IF(C652&lt;&gt;"",C652,IF(P652&lt;=IFERROR(INDEX(tblChannels[Watched Through],MATCH(N652,tblChannels[Channel ID],0)),0),"Watched","Unwatched"))</f>
        <v/>
      </c>
      <c r="C652" s="40" t="n"/>
      <c r="D652" s="41" t="n"/>
      <c r="E652" s="42" t="n">
        <v>45413.68541666667</v>
      </c>
      <c r="F652" s="50" t="inlineStr">
        <is>
          <t>Super Carlin Brothers</t>
        </is>
      </c>
      <c r="G652" t="inlineStr">
        <is>
          <t>What Dumbledore ACTUALLY Taught Harry | Harry Potter Film Theory</t>
        </is>
      </c>
      <c r="H652" s="44" t="n">
        <v>0.01230324074074074</v>
      </c>
      <c r="I652" s="45" t="n">
        <v>153025</v>
      </c>
      <c r="J652" s="45" t="n">
        <v>6907</v>
      </c>
      <c r="K652" s="45" t="n">
        <v>462</v>
      </c>
      <c r="L652" s="46" t="n"/>
      <c r="M652" s="47" t="n"/>
      <c r="N652" s="47" t="inlineStr">
        <is>
          <t>UCKZo4N0lVPccBkSiuyVh4yg</t>
        </is>
      </c>
      <c r="O652" s="48" t="n">
        <v>45413.85208333333</v>
      </c>
      <c r="P652" s="49" t="n">
        <v>45413</v>
      </c>
      <c r="Q652" s="47" t="n">
        <v>2616</v>
      </c>
      <c r="R652" s="47" t="inlineStr">
        <is>
          <t>No Video ID yet</t>
        </is>
      </c>
      <c r="S652" s="49" t="n"/>
      <c r="T652" s="49" t="n"/>
      <c r="U652" s="47" t="inlineStr">
        <is>
          <t>Make J Grow a Mustache in May Follow on Instagram :: Sign Up for Newsletter :: DONATE :: Today J dives deep into the Wizarding World of Harry Potter to discuss exactly what Dumbledore taught Harry. Harry seems to think he was the best teacher, but when did he do any teaching? Turns out he has a very hands-off approach! Washington, D.C. - 6/13 (SOLD OUT!)</t>
        </is>
      </c>
      <c r="V652" s="47">
        <f>IF(AND(P652&gt;=Calendar!$K$2,P652&lt;EDATE(Calendar!$K$2,1),OR(Calendar!$K$4="*",N652=Calendar!$K$4)),P652*100+COUNTIFS($P$6:$P$3267,P652,$Q$6:$Q$3267,"&lt;="&amp;Q652,$N$6:$N$3267,Calendar!$K$4),"")</f>
        <v/>
      </c>
      <c r="W652" s="47">
        <f>IF(AND(B652=Queue!$C$4,OR(Queue!$K$4="*",N652=Queue!$K$4)),Q652,"")</f>
        <v/>
      </c>
    </row>
    <row r="653">
      <c r="A653" s="38">
        <f>IF(M653="","",HYPERLINK("https://www.youtube.com/watch?v="&amp;M653,"▶"))</f>
        <v/>
      </c>
      <c r="B653" s="39">
        <f>IF(C653&lt;&gt;"",C653,IF(P653&lt;=IFERROR(INDEX(tblChannels[Watched Through],MATCH(N653,tblChannels[Channel ID],0)),0),"Watched","Unwatched"))</f>
        <v/>
      </c>
      <c r="C653" s="40" t="n"/>
      <c r="D653" s="41" t="n"/>
      <c r="E653" s="42" t="n">
        <v>45412.77083333334</v>
      </c>
      <c r="F653" s="52" t="inlineStr">
        <is>
          <t>Super Carlin Gaming</t>
        </is>
      </c>
      <c r="G653" t="inlineStr">
        <is>
          <t>New Challenger Approaches | Carlin Brothers Box Breakers S11E4</t>
        </is>
      </c>
      <c r="H653" s="44" t="n">
        <v>0.02688657407407407</v>
      </c>
      <c r="I653" s="45" t="n">
        <v>1234</v>
      </c>
      <c r="J653" s="45" t="n">
        <v>69</v>
      </c>
      <c r="K653" s="45" t="n">
        <v>11</v>
      </c>
      <c r="L653" s="46" t="n"/>
      <c r="M653" s="47" t="n"/>
      <c r="N653" s="47" t="inlineStr">
        <is>
          <t>UCor_9jRnNNZVzTuQ92PKsaQ</t>
        </is>
      </c>
      <c r="O653" s="48" t="n">
        <v>45412.9375</v>
      </c>
      <c r="P653" s="49" t="n">
        <v>45412</v>
      </c>
      <c r="Q653" s="47" t="n">
        <v>2615</v>
      </c>
      <c r="R653" s="47" t="inlineStr">
        <is>
          <t>No Video ID yet</t>
        </is>
      </c>
      <c r="S653" s="49" t="n"/>
      <c r="T653" s="49" t="n"/>
      <c r="U653" s="47" t="inlineStr">
        <is>
          <t>Things get a little spicy near the top today!</t>
        </is>
      </c>
      <c r="V653" s="47">
        <f>IF(AND(P653&gt;=Calendar!$K$2,P653&lt;EDATE(Calendar!$K$2,1),OR(Calendar!$K$4="*",N653=Calendar!$K$4)),P653*100+COUNTIFS($P$6:$P$3267,P653,$Q$6:$Q$3267,"&lt;="&amp;Q653,$N$6:$N$3267,Calendar!$K$4),"")</f>
        <v/>
      </c>
      <c r="W653" s="47">
        <f>IF(AND(B653=Queue!$C$4,OR(Queue!$K$4="*",N653=Queue!$K$4)),Q653,"")</f>
        <v/>
      </c>
    </row>
    <row r="654">
      <c r="A654" s="38">
        <f>IF(M654="","",HYPERLINK("https://www.youtube.com/watch?v="&amp;M654,"▶"))</f>
        <v/>
      </c>
      <c r="B654" s="39">
        <f>IF(C654&lt;&gt;"",C654,IF(P654&lt;=IFERROR(INDEX(tblChannels[Watched Through],MATCH(N654,tblChannels[Channel ID],0)),0),"Watched","Unwatched"))</f>
        <v/>
      </c>
      <c r="C654" s="40" t="n"/>
      <c r="D654" s="41" t="n"/>
      <c r="E654" s="42" t="n">
        <v>45410.41666666666</v>
      </c>
      <c r="F654" s="51" t="inlineStr">
        <is>
          <t>Through The Griffin Door</t>
        </is>
      </c>
      <c r="G654" t="inlineStr">
        <is>
          <t>Chapter 15: Aragog | Chamber of Secrets</t>
        </is>
      </c>
      <c r="H654" s="44" t="n">
        <v>0.05177083333333334</v>
      </c>
      <c r="I654" s="45" t="n">
        <v>69529</v>
      </c>
      <c r="J654" s="45" t="n">
        <v>1991</v>
      </c>
      <c r="K654" s="45" t="n">
        <v>422</v>
      </c>
      <c r="L654" s="46" t="n"/>
      <c r="M654" s="47" t="n"/>
      <c r="N654" s="47" t="inlineStr">
        <is>
          <t>UCEscP6ETYXWSSvsNrDHekMQ</t>
        </is>
      </c>
      <c r="O654" s="48" t="n">
        <v>45410.58333333334</v>
      </c>
      <c r="P654" s="49" t="n">
        <v>45410</v>
      </c>
      <c r="Q654" s="47" t="n">
        <v>2614</v>
      </c>
      <c r="R654" s="47" t="inlineStr">
        <is>
          <t>No Video ID yet</t>
        </is>
      </c>
      <c r="S654" s="49" t="n"/>
      <c r="T654" s="49" t="n"/>
      <c r="U654" s="47" t="inlineStr">
        <is>
          <t>Join J and Ben as they dive into Chapter 15 of the Chamber of Secrets and discuss spiders, Hermione’s vitalness, Snape’s sneaky goodness, werewolves in the forest, the Ford Anglia, quest symbology, and the worst scene ever. The Knight Bus's BIG SECRET - Chamber of Secrets Alternate Covers - 14:07 - Chapter Breakdown 1:08:37- Closing Thoughts and Review</t>
        </is>
      </c>
      <c r="V654" s="47">
        <f>IF(AND(P654&gt;=Calendar!$K$2,P654&lt;EDATE(Calendar!$K$2,1),OR(Calendar!$K$4="*",N654=Calendar!$K$4)),P654*100+COUNTIFS($P$6:$P$3267,P654,$Q$6:$Q$3267,"&lt;="&amp;Q654,$N$6:$N$3267,Calendar!$K$4),"")</f>
        <v/>
      </c>
      <c r="W654" s="47">
        <f>IF(AND(B654=Queue!$C$4,OR(Queue!$K$4="*",N654=Queue!$K$4)),Q654,"")</f>
        <v/>
      </c>
    </row>
    <row r="655">
      <c r="A655" s="38">
        <f>IF(M655="","",HYPERLINK("https://www.youtube.com/watch?v="&amp;M655,"▶"))</f>
        <v/>
      </c>
      <c r="B655" s="39">
        <f>IF(C655&lt;&gt;"",C655,IF(P655&lt;=IFERROR(INDEX(tblChannels[Watched Through],MATCH(N655,tblChannels[Channel ID],0)),0),"Watched","Unwatched"))</f>
        <v/>
      </c>
      <c r="C655" s="40" t="n"/>
      <c r="D655" s="41" t="n"/>
      <c r="E655" s="42" t="n">
        <v>45408.77083333334</v>
      </c>
      <c r="F655" s="52" t="inlineStr">
        <is>
          <t>Super Carlin Gaming</t>
        </is>
      </c>
      <c r="G655" t="inlineStr">
        <is>
          <t>Multipliers Are EVERYTHING | Carlin Brothers Box Breakers S11E3</t>
        </is>
      </c>
      <c r="H655" s="44" t="n">
        <v>0.03115740740740741</v>
      </c>
      <c r="I655" s="45" t="n">
        <v>1331</v>
      </c>
      <c r="J655" s="45" t="n">
        <v>76</v>
      </c>
      <c r="K655" s="45" t="n">
        <v>7</v>
      </c>
      <c r="L655" s="46" t="n"/>
      <c r="M655" s="47" t="n"/>
      <c r="N655" s="47" t="inlineStr">
        <is>
          <t>UCor_9jRnNNZVzTuQ92PKsaQ</t>
        </is>
      </c>
      <c r="O655" s="48" t="n">
        <v>45408.9375</v>
      </c>
      <c r="P655" s="49" t="n">
        <v>45408</v>
      </c>
      <c r="Q655" s="47" t="n">
        <v>2613</v>
      </c>
      <c r="R655" s="47" t="inlineStr">
        <is>
          <t>No Video ID yet</t>
        </is>
      </c>
      <c r="S655" s="49" t="n"/>
      <c r="T655" s="49" t="n"/>
      <c r="U655" s="47" t="inlineStr">
        <is>
          <t>This week Temporal Forces gets A LITTLE CRAZY</t>
        </is>
      </c>
      <c r="V655" s="47">
        <f>IF(AND(P655&gt;=Calendar!$K$2,P655&lt;EDATE(Calendar!$K$2,1),OR(Calendar!$K$4="*",N655=Calendar!$K$4)),P655*100+COUNTIFS($P$6:$P$3267,P655,$Q$6:$Q$3267,"&lt;="&amp;Q655,$N$6:$N$3267,Calendar!$K$4),"")</f>
        <v/>
      </c>
      <c r="W655" s="47">
        <f>IF(AND(B655=Queue!$C$4,OR(Queue!$K$4="*",N655=Queue!$K$4)),Q655,"")</f>
        <v/>
      </c>
    </row>
    <row r="656">
      <c r="A656" s="38">
        <f>IF(M656="","",HYPERLINK("https://www.youtube.com/watch?v="&amp;M656,"▶"))</f>
        <v/>
      </c>
      <c r="B656" s="39">
        <f>IF(C656&lt;&gt;"",C656,IF(P656&lt;=IFERROR(INDEX(tblChannels[Watched Through],MATCH(N656,tblChannels[Channel ID],0)),0),"Watched","Unwatched"))</f>
        <v/>
      </c>
      <c r="C656" s="40" t="n"/>
      <c r="D656" s="41" t="n"/>
      <c r="E656" s="42" t="n">
        <v>45408.7125</v>
      </c>
      <c r="F656" s="50" t="inlineStr">
        <is>
          <t>Super Carlin Brothers</t>
        </is>
      </c>
      <c r="G656" t="inlineStr">
        <is>
          <t>How Voldemort Got His ORIGINAL Wand Back | Harry Potter Film Theory</t>
        </is>
      </c>
      <c r="H656" s="44" t="n">
        <v>0.009965277777777778</v>
      </c>
      <c r="I656" s="45" t="n">
        <v>129507</v>
      </c>
      <c r="J656" s="45" t="n">
        <v>5863</v>
      </c>
      <c r="K656" s="45" t="n">
        <v>871</v>
      </c>
      <c r="L656" s="46" t="n"/>
      <c r="M656" s="47" t="n"/>
      <c r="N656" s="47" t="inlineStr">
        <is>
          <t>UCKZo4N0lVPccBkSiuyVh4yg</t>
        </is>
      </c>
      <c r="O656" s="48" t="n">
        <v>45408.87916666667</v>
      </c>
      <c r="P656" s="49" t="n">
        <v>45408</v>
      </c>
      <c r="Q656" s="47" t="n">
        <v>2612</v>
      </c>
      <c r="R656" s="47" t="inlineStr">
        <is>
          <t>No Video ID yet</t>
        </is>
      </c>
      <c r="S656" s="49" t="n"/>
      <c r="T656" s="49" t="n"/>
      <c r="U656" s="47" t="inlineStr">
        <is>
          <t>Go to for 20% off your first order and free shipping. Today J dives deep into the Wizarding World of Harry Potter to uncover how Voldemort got his original wand back after the perilous night of the Potter’s plight! Washington, D.C. - 6/13 (SOLD OUT!)</t>
        </is>
      </c>
      <c r="V656" s="47">
        <f>IF(AND(P656&gt;=Calendar!$K$2,P656&lt;EDATE(Calendar!$K$2,1),OR(Calendar!$K$4="*",N656=Calendar!$K$4)),P656*100+COUNTIFS($P$6:$P$3267,P656,$Q$6:$Q$3267,"&lt;="&amp;Q656,$N$6:$N$3267,Calendar!$K$4),"")</f>
        <v/>
      </c>
      <c r="W656" s="47">
        <f>IF(AND(B656=Queue!$C$4,OR(Queue!$K$4="*",N656=Queue!$K$4)),Q656,"")</f>
        <v/>
      </c>
    </row>
    <row r="657">
      <c r="A657" s="38">
        <f>IF(M657="","",HYPERLINK("https://www.youtube.com/watch?v="&amp;M657,"▶"))</f>
        <v/>
      </c>
      <c r="B657" s="39">
        <f>IF(C657&lt;&gt;"",C657,IF(P657&lt;=IFERROR(INDEX(tblChannels[Watched Through],MATCH(N657,tblChannels[Channel ID],0)),0),"Watched","Unwatched"))</f>
        <v/>
      </c>
      <c r="C657" s="40" t="n"/>
      <c r="D657" s="41" t="n"/>
      <c r="E657" s="42" t="n">
        <v>45408.41666666666</v>
      </c>
      <c r="F657" s="43" t="inlineStr">
        <is>
          <t>Popcorn Culture</t>
        </is>
      </c>
      <c r="G657" t="inlineStr">
        <is>
          <t>Not-So-Profits | Popcorn Culture</t>
        </is>
      </c>
      <c r="H657" s="44" t="n">
        <v>0.05237268518518518</v>
      </c>
      <c r="I657" s="45" t="n">
        <v>3930</v>
      </c>
      <c r="J657" s="45" t="n">
        <v>190</v>
      </c>
      <c r="K657" s="45" t="n">
        <v>23</v>
      </c>
      <c r="L657" s="46" t="n"/>
      <c r="M657" s="47" t="n"/>
      <c r="N657" s="47" t="inlineStr">
        <is>
          <t>UCHfIbq9thHPC8yrKjAdJgDA</t>
        </is>
      </c>
      <c r="O657" s="48" t="n">
        <v>45408.58333333334</v>
      </c>
      <c r="P657" s="49" t="n">
        <v>45408</v>
      </c>
      <c r="Q657" s="47" t="n">
        <v>2611</v>
      </c>
      <c r="R657" s="47" t="inlineStr">
        <is>
          <t>No Video ID yet</t>
        </is>
      </c>
      <c r="S657" s="49" t="n"/>
      <c r="T657" s="49" t="n"/>
      <c r="U657" s="47" t="inlineStr">
        <is>
          <t>In the 229th episode of the pop, Ben and J discuss tone while typing, tour shirts, showering, Steve Prefontaine, basketball hoops, and not for profit (not non-profit) companies. Without Limits - Miracle - Strikethrough Emoji Dictionary A Big HAH Guy Basketball Hoops 00:00 - Intro, Video Got Borked :( 00:50 - Keyboard Commands 21:23 - Showers and Basketballs 52:21 - Not-So-Profits</t>
        </is>
      </c>
      <c r="V657" s="47">
        <f>IF(AND(P657&gt;=Calendar!$K$2,P657&lt;EDATE(Calendar!$K$2,1),OR(Calendar!$K$4="*",N657=Calendar!$K$4)),P657*100+COUNTIFS($P$6:$P$3267,P657,$Q$6:$Q$3267,"&lt;="&amp;Q657,$N$6:$N$3267,Calendar!$K$4),"")</f>
        <v/>
      </c>
      <c r="W657" s="47">
        <f>IF(AND(B657=Queue!$C$4,OR(Queue!$K$4="*",N657=Queue!$K$4)),Q657,"")</f>
        <v/>
      </c>
    </row>
    <row r="658">
      <c r="A658" s="38">
        <f>IF(M658="","",HYPERLINK("https://www.youtube.com/watch?v="&amp;M658,"▶"))</f>
        <v/>
      </c>
      <c r="B658" s="39">
        <f>IF(C658&lt;&gt;"",C658,IF(P658&lt;=IFERROR(INDEX(tblChannels[Watched Through],MATCH(N658,tblChannels[Channel ID],0)),0),"Watched","Unwatched"))</f>
        <v/>
      </c>
      <c r="C658" s="40" t="n"/>
      <c r="D658" s="41" t="n"/>
      <c r="E658" s="42" t="n">
        <v>45406.71875</v>
      </c>
      <c r="F658" s="50" t="inlineStr">
        <is>
          <t>Super Carlin Brothers</t>
        </is>
      </c>
      <c r="G658" t="inlineStr">
        <is>
          <t>J vs Ben: The BIGGEST Hagrid Harry Potter Trivia Quiz EVER</t>
        </is>
      </c>
      <c r="H658" s="44" t="n">
        <v>0.02921296296296296</v>
      </c>
      <c r="I658" s="45" t="n">
        <v>155686</v>
      </c>
      <c r="J658" s="45" t="n">
        <v>4983</v>
      </c>
      <c r="K658" s="45" t="n">
        <v>517</v>
      </c>
      <c r="L658" s="46" t="n"/>
      <c r="M658" s="47" t="n"/>
      <c r="N658" s="47" t="inlineStr">
        <is>
          <t>UCKZo4N0lVPccBkSiuyVh4yg</t>
        </is>
      </c>
      <c r="O658" s="48" t="n">
        <v>45406.88541666666</v>
      </c>
      <c r="P658" s="49" t="n">
        <v>45406</v>
      </c>
      <c r="Q658" s="47" t="n">
        <v>2610</v>
      </c>
      <c r="R658" s="47" t="inlineStr">
        <is>
          <t>No Video ID yet</t>
        </is>
      </c>
      <c r="S658" s="49" t="n"/>
      <c r="T658" s="49" t="n"/>
      <c r="U658" s="47" t="inlineStr">
        <is>
          <t>Go to to find out how you can get 3 months free. Go to for 20% off your first order and free shipping. Today J and Ben face off once more to find out who knows more about everyone’s favorite Half-Giant: Rubeus Hagrid! What is Hagrid's Mom’s name? Who had his job before Hagrid? What color tie does Hagrid wear to the Yule Ball?! Washington, D.C. - 6/13 (SOLD OUT!) 02:12 - Q1: What did Hagrid carry into Dumbledore's office? 03:22 - Q2: What does Hagrid teach after Hippogriffs? 04:34 - Q3: Who was the gamekeeper at Hogwarts before Hagrid? 05:55 - Q4: How did Hagrid get to Harry? 08:02 - Q5: What was Hagrid's cryptic advice? 09:43 - Q6: When were Hagrid and Harry supposed to arrive at the Burrow? 10:41 - Q7: How many seats did Hagrid crush at the wedding? 15:01 - Q8: Which bike modification did Hagrid suggest? 17:00 - Q9: What two gifts did Hagrid give to the giants? 24:22 - Q10: What time of day did Hagrid bury Aragog? 26:08 - Q11: How many times does Hagrid say "I shouldn't have said that"? 27:36 - Q12: What was Hagrid's tie pattern? 30:36 - Q13: What's Hagrid's mother's name? 35:07 - Q14: Where did Hagrid and Olympe run into trolls? 37:19 - Q15: What do Hagrid's eyes glint like?</t>
        </is>
      </c>
      <c r="V658" s="47">
        <f>IF(AND(P658&gt;=Calendar!$K$2,P658&lt;EDATE(Calendar!$K$2,1),OR(Calendar!$K$4="*",N658=Calendar!$K$4)),P658*100+COUNTIFS($P$6:$P$3267,P658,$Q$6:$Q$3267,"&lt;="&amp;Q658,$N$6:$N$3267,Calendar!$K$4),"")</f>
        <v/>
      </c>
      <c r="W658" s="47">
        <f>IF(AND(B658=Queue!$C$4,OR(Queue!$K$4="*",N658=Queue!$K$4)),Q658,"")</f>
        <v/>
      </c>
    </row>
    <row r="659">
      <c r="A659" s="38">
        <f>IF(M659="","",HYPERLINK("https://www.youtube.com/watch?v="&amp;M659,"▶"))</f>
        <v/>
      </c>
      <c r="B659" s="39">
        <f>IF(C659&lt;&gt;"",C659,IF(P659&lt;=IFERROR(INDEX(tblChannels[Watched Through],MATCH(N659,tblChannels[Channel ID],0)),0),"Watched","Unwatched"))</f>
        <v/>
      </c>
      <c r="C659" s="40" t="n"/>
      <c r="D659" s="41" t="n"/>
      <c r="E659" s="42" t="n">
        <v>45403.41666666666</v>
      </c>
      <c r="F659" s="51" t="inlineStr">
        <is>
          <t>Through The Griffin Door</t>
        </is>
      </c>
      <c r="G659" t="inlineStr">
        <is>
          <t>Chapter 14: Cornelius Fudge | Chamber of Secrets</t>
        </is>
      </c>
      <c r="H659" s="44" t="n">
        <v>0.04768518518518518</v>
      </c>
      <c r="I659" s="45" t="n">
        <v>70177</v>
      </c>
      <c r="J659" s="45" t="n">
        <v>2120</v>
      </c>
      <c r="K659" s="45" t="n">
        <v>407</v>
      </c>
      <c r="L659" s="46" t="n"/>
      <c r="M659" s="47" t="n"/>
      <c r="N659" s="47" t="inlineStr">
        <is>
          <t>UCEscP6ETYXWSSvsNrDHekMQ</t>
        </is>
      </c>
      <c r="O659" s="48" t="n">
        <v>45403.58333333334</v>
      </c>
      <c r="P659" s="49" t="n">
        <v>45403</v>
      </c>
      <c r="Q659" s="47" t="n">
        <v>2609</v>
      </c>
      <c r="R659" s="47" t="inlineStr">
        <is>
          <t>No Video ID yet</t>
        </is>
      </c>
      <c r="S659" s="49" t="n"/>
      <c r="T659" s="49" t="n"/>
      <c r="U659" s="47" t="inlineStr">
        <is>
          <t>Join J and Ben as they dive into Chapter 14 of the Chamber of Secrets and discuss Hogwarts monsters, 3rd year classes, Ginny stealing the Diary, McGonagall canceling quidditch, visiting Hagrid’s hut, Dumbledore’s animagus is a phoenix, and cryptic messages. Dumbledore Is A Phoenix - 09:55 - Chapter Breakdown 57:16 - Closing Thoughts and Review</t>
        </is>
      </c>
      <c r="V659" s="47">
        <f>IF(AND(P659&gt;=Calendar!$K$2,P659&lt;EDATE(Calendar!$K$2,1),OR(Calendar!$K$4="*",N659=Calendar!$K$4)),P659*100+COUNTIFS($P$6:$P$3267,P659,$Q$6:$Q$3267,"&lt;="&amp;Q659,$N$6:$N$3267,Calendar!$K$4),"")</f>
        <v/>
      </c>
      <c r="W659" s="47">
        <f>IF(AND(B659=Queue!$C$4,OR(Queue!$K$4="*",N659=Queue!$K$4)),Q659,"")</f>
        <v/>
      </c>
    </row>
    <row r="660">
      <c r="A660" s="38">
        <f>IF(M660="","",HYPERLINK("https://www.youtube.com/watch?v="&amp;M660,"▶"))</f>
        <v/>
      </c>
      <c r="B660" s="39">
        <f>IF(C660&lt;&gt;"",C660,IF(P660&lt;=IFERROR(INDEX(tblChannels[Watched Through],MATCH(N660,tblChannels[Channel ID],0)),0),"Watched","Unwatched"))</f>
        <v/>
      </c>
      <c r="C660" s="40" t="n"/>
      <c r="D660" s="41" t="n"/>
      <c r="E660" s="42" t="n">
        <v>45401.72291666667</v>
      </c>
      <c r="F660" s="50" t="inlineStr">
        <is>
          <t>Super Carlin Brothers</t>
        </is>
      </c>
      <c r="G660" t="inlineStr">
        <is>
          <t>Bluey’s “The Sign” Might Be the Best Episode of TV. Ever.</t>
        </is>
      </c>
      <c r="H660" s="44" t="n">
        <v>0.01695601851851852</v>
      </c>
      <c r="I660" s="45" t="n">
        <v>86307</v>
      </c>
      <c r="J660" s="45" t="n">
        <v>5839</v>
      </c>
      <c r="K660" s="45" t="n">
        <v>1085</v>
      </c>
      <c r="L660" s="46" t="n"/>
      <c r="M660" s="47" t="n"/>
      <c r="N660" s="47" t="inlineStr">
        <is>
          <t>UCKZo4N0lVPccBkSiuyVh4yg</t>
        </is>
      </c>
      <c r="O660" s="48" t="n">
        <v>45401.88958333333</v>
      </c>
      <c r="P660" s="49" t="n">
        <v>45401</v>
      </c>
      <c r="Q660" s="47" t="n">
        <v>2608</v>
      </c>
      <c r="R660" s="47" t="inlineStr">
        <is>
          <t>No Video ID yet</t>
        </is>
      </c>
      <c r="S660" s="49" t="n"/>
      <c r="T660" s="49" t="n"/>
      <c r="U660" s="47" t="inlineStr">
        <is>
          <t>Get a free Mystery Gift with your first monthly shipment when you sign up at Today J breaks down the latest episode of Bluey, The Sign, and reveals every easter egg, hidden plot, things you missed, and just gushes about how Bluey is the perfect show. JUG RECIPE: 1. Get yourself a large JUG like the one featured in the video, but any will do. Ingredients: 2. Fill 1/3 with spirit of choice - (I would recommend Vodka or Rum) 3. Fill rest with water 4. Mix in the appropriate amount of Crystal Light per size of your JUG. ANY flavor is fine (I like raspberry lemonade) 5. Top with Fresca! 6. DON'T put Ice in your JUG it will dilute the mixture, add ice to your cup afterwards 7. Enjoy responsibly! Washington, D.C. - 6/13 (SOLD OUT!) #supercarlinbrothers #Bluey Edited by : Ethan Edghill &amp; Isybelle Christley</t>
        </is>
      </c>
      <c r="V660" s="47">
        <f>IF(AND(P660&gt;=Calendar!$K$2,P660&lt;EDATE(Calendar!$K$2,1),OR(Calendar!$K$4="*",N660=Calendar!$K$4)),P660*100+COUNTIFS($P$6:$P$3267,P660,$Q$6:$Q$3267,"&lt;="&amp;Q660,$N$6:$N$3267,Calendar!$K$4),"")</f>
        <v/>
      </c>
      <c r="W660" s="47">
        <f>IF(AND(B660=Queue!$C$4,OR(Queue!$K$4="*",N660=Queue!$K$4)),Q660,"")</f>
        <v/>
      </c>
    </row>
    <row r="661">
      <c r="A661" s="38">
        <f>IF(M661="","",HYPERLINK("https://www.youtube.com/watch?v="&amp;M661,"▶"))</f>
        <v/>
      </c>
      <c r="B661" s="39">
        <f>IF(C661&lt;&gt;"",C661,IF(P661&lt;=IFERROR(INDEX(tblChannels[Watched Through],MATCH(N661,tblChannels[Channel ID],0)),0),"Watched","Unwatched"))</f>
        <v/>
      </c>
      <c r="C661" s="40" t="n"/>
      <c r="D661" s="41" t="n"/>
      <c r="E661" s="42" t="n">
        <v>45401.41666666666</v>
      </c>
      <c r="F661" s="43" t="inlineStr">
        <is>
          <t>Popcorn Culture</t>
        </is>
      </c>
      <c r="G661" t="inlineStr">
        <is>
          <t>The Railsplitter | Popcorn Culture</t>
        </is>
      </c>
      <c r="H661" s="44" t="n">
        <v>0.05648148148148148</v>
      </c>
      <c r="I661" s="45" t="n">
        <v>4554</v>
      </c>
      <c r="J661" s="45" t="n">
        <v>188</v>
      </c>
      <c r="K661" s="45" t="n">
        <v>24</v>
      </c>
      <c r="L661" s="46" t="n"/>
      <c r="M661" s="47" t="n"/>
      <c r="N661" s="47" t="inlineStr">
        <is>
          <t>UCHfIbq9thHPC8yrKjAdJgDA</t>
        </is>
      </c>
      <c r="O661" s="48" t="n">
        <v>45401.58333333334</v>
      </c>
      <c r="P661" s="49" t="n">
        <v>45401</v>
      </c>
      <c r="Q661" s="47" t="n">
        <v>2607</v>
      </c>
      <c r="R661" s="47" t="inlineStr">
        <is>
          <t>No Video ID yet</t>
        </is>
      </c>
      <c r="S661" s="49" t="n"/>
      <c r="T661" s="49" t="n"/>
      <c r="U661" s="47" t="inlineStr">
        <is>
          <t>In the 228th episode of the Pop, Ben and J discuss our latest D&amp;D one shot, arrogance vs. confidence, The Masters, Jurassic Quest, original quotes, Avatar the Last Airbender, a reemergence of the Abe Lincoln and Coyote Fun Facts, and crossword puzzles. Formula 1: Drive to Survive - The Masters - Avatar the Last Airbender - Remember the Titans - Miracle - Quiet Confidence The Customer’s Always Right 00:00 - Intro, A Corny Joke! 01:46 - Julian Clockfart 28:22 - Wifeless Weekend 47:17 - “The Customer’s Always Right” 1:05:24 - Abe Lincoln! 1:12:53 - Crosswords</t>
        </is>
      </c>
      <c r="V661" s="47">
        <f>IF(AND(P661&gt;=Calendar!$K$2,P661&lt;EDATE(Calendar!$K$2,1),OR(Calendar!$K$4="*",N661=Calendar!$K$4)),P661*100+COUNTIFS($P$6:$P$3267,P661,$Q$6:$Q$3267,"&lt;="&amp;Q661,$N$6:$N$3267,Calendar!$K$4),"")</f>
        <v/>
      </c>
      <c r="W661" s="47">
        <f>IF(AND(B661=Queue!$C$4,OR(Queue!$K$4="*",N661=Queue!$K$4)),Q661,"")</f>
        <v/>
      </c>
    </row>
    <row r="662">
      <c r="A662" s="38">
        <f>IF(M662="","",HYPERLINK("https://www.youtube.com/watch?v="&amp;M662,"▶"))</f>
        <v/>
      </c>
      <c r="B662" s="39">
        <f>IF(C662&lt;&gt;"",C662,IF(P662&lt;=IFERROR(INDEX(tblChannels[Watched Through],MATCH(N662,tblChannels[Channel ID],0)),0),"Watched","Unwatched"))</f>
        <v/>
      </c>
      <c r="C662" s="40" t="n"/>
      <c r="D662" s="41" t="n"/>
      <c r="E662" s="42" t="n">
        <v>45399.70486111111</v>
      </c>
      <c r="F662" s="50" t="inlineStr">
        <is>
          <t>Super Carlin Brothers</t>
        </is>
      </c>
      <c r="G662" t="inlineStr">
        <is>
          <t>The TRUE Origin of Mad-Eye’s Eye | Harry Potter Film Theory</t>
        </is>
      </c>
      <c r="H662" s="44" t="n">
        <v>0.01100694444444444</v>
      </c>
      <c r="I662" s="45" t="n">
        <v>189326</v>
      </c>
      <c r="J662" s="45" t="n">
        <v>7809</v>
      </c>
      <c r="K662" s="45" t="n">
        <v>541</v>
      </c>
      <c r="L662" s="46" t="n"/>
      <c r="M662" s="47" t="n"/>
      <c r="N662" s="47" t="inlineStr">
        <is>
          <t>UCKZo4N0lVPccBkSiuyVh4yg</t>
        </is>
      </c>
      <c r="O662" s="48" t="n">
        <v>45399.87152777778</v>
      </c>
      <c r="P662" s="49" t="n">
        <v>45399</v>
      </c>
      <c r="Q662" s="47" t="n">
        <v>2606</v>
      </c>
      <c r="R662" s="47" t="inlineStr">
        <is>
          <t>No Video ID yet</t>
        </is>
      </c>
      <c r="S662" s="49" t="n"/>
      <c r="T662" s="49" t="n"/>
      <c r="U662" s="47" t="inlineStr">
        <is>
          <t>Today Ben dives into the Wizarding World of Harry Potter to find out where Mad-Eye Moody’s Eye came from, who created, why he needed it and WHY it can see through Harry’s invisibility cloak!? Washington, D.C. - 6/13 (SOLD OUT!)</t>
        </is>
      </c>
      <c r="V662" s="47">
        <f>IF(AND(P662&gt;=Calendar!$K$2,P662&lt;EDATE(Calendar!$K$2,1),OR(Calendar!$K$4="*",N662=Calendar!$K$4)),P662*100+COUNTIFS($P$6:$P$3267,P662,$Q$6:$Q$3267,"&lt;="&amp;Q662,$N$6:$N$3267,Calendar!$K$4),"")</f>
        <v/>
      </c>
      <c r="W662" s="47">
        <f>IF(AND(B662=Queue!$C$4,OR(Queue!$K$4="*",N662=Queue!$K$4)),Q662,"")</f>
        <v/>
      </c>
    </row>
    <row r="663">
      <c r="A663" s="38">
        <f>IF(M663="","",HYPERLINK("https://www.youtube.com/watch?v="&amp;M663,"▶"))</f>
        <v/>
      </c>
      <c r="B663" s="39">
        <f>IF(C663&lt;&gt;"",C663,IF(P663&lt;=IFERROR(INDEX(tblChannels[Watched Through],MATCH(N663,tblChannels[Channel ID],0)),0),"Watched","Unwatched"))</f>
        <v/>
      </c>
      <c r="C663" s="40" t="n"/>
      <c r="D663" s="41" t="n"/>
      <c r="E663" s="42" t="n">
        <v>45397.58402777778</v>
      </c>
      <c r="F663" s="50" t="inlineStr">
        <is>
          <t>Super Carlin Brothers</t>
        </is>
      </c>
      <c r="G663" t="inlineStr">
        <is>
          <t>Through the Griffin Door Supercut: Chamber of Secrets Chapters 10-12</t>
        </is>
      </c>
      <c r="H663" s="44" t="n">
        <v>0.1800810185185185</v>
      </c>
      <c r="I663" s="45" t="n">
        <v>38059</v>
      </c>
      <c r="J663" s="45" t="n">
        <v>644</v>
      </c>
      <c r="K663" s="45" t="n">
        <v>152</v>
      </c>
      <c r="L663" s="46" t="n"/>
      <c r="M663" s="47" t="n"/>
      <c r="N663" s="47" t="inlineStr">
        <is>
          <t>UCKZo4N0lVPccBkSiuyVh4yg</t>
        </is>
      </c>
      <c r="O663" s="48" t="n">
        <v>45397.75069444445</v>
      </c>
      <c r="P663" s="49" t="n">
        <v>45397</v>
      </c>
      <c r="Q663" s="47" t="n">
        <v>2605</v>
      </c>
      <c r="R663" s="47" t="inlineStr">
        <is>
          <t>No Video ID yet</t>
        </is>
      </c>
      <c r="S663" s="49" t="n"/>
      <c r="T663" s="49" t="n"/>
      <c r="U663" s="47" t="inlineStr">
        <is>
          <t>00:00:00 - Chapter 10: The Rogue Bludger 01:14:16 - Chapter 11: The Dueling Club 02:33:34 - Chapter 12: The Polyjuice Potion</t>
        </is>
      </c>
      <c r="V663" s="47">
        <f>IF(AND(P663&gt;=Calendar!$K$2,P663&lt;EDATE(Calendar!$K$2,1),OR(Calendar!$K$4="*",N663=Calendar!$K$4)),P663*100+COUNTIFS($P$6:$P$3267,P663,$Q$6:$Q$3267,"&lt;="&amp;Q663,$N$6:$N$3267,Calendar!$K$4),"")</f>
        <v/>
      </c>
      <c r="W663" s="47">
        <f>IF(AND(B663=Queue!$C$4,OR(Queue!$K$4="*",N663=Queue!$K$4)),Q663,"")</f>
        <v/>
      </c>
    </row>
    <row r="664">
      <c r="A664" s="38">
        <f>IF(M664="","",HYPERLINK("https://www.youtube.com/watch?v="&amp;M664,"▶"))</f>
        <v/>
      </c>
      <c r="B664" s="39">
        <f>IF(C664&lt;&gt;"",C664,IF(P664&lt;=IFERROR(INDEX(tblChannels[Watched Through],MATCH(N664,tblChannels[Channel ID],0)),0),"Watched","Unwatched"))</f>
        <v/>
      </c>
      <c r="C664" s="40" t="n"/>
      <c r="D664" s="41" t="n"/>
      <c r="E664" s="42" t="n">
        <v>45396.41666666666</v>
      </c>
      <c r="F664" s="51" t="inlineStr">
        <is>
          <t>Through The Griffin Door</t>
        </is>
      </c>
      <c r="G664" t="inlineStr">
        <is>
          <t>Chapter 13: The Very Secret Diary | Chamber of Secrets</t>
        </is>
      </c>
      <c r="H664" s="44" t="n">
        <v>0.06516203703703703</v>
      </c>
      <c r="I664" s="45" t="n">
        <v>85137</v>
      </c>
      <c r="J664" s="45" t="n">
        <v>2136</v>
      </c>
      <c r="K664" s="45" t="n">
        <v>625</v>
      </c>
      <c r="L664" s="46" t="n"/>
      <c r="M664" s="47" t="n"/>
      <c r="N664" s="47" t="inlineStr">
        <is>
          <t>UCEscP6ETYXWSSvsNrDHekMQ</t>
        </is>
      </c>
      <c r="O664" s="48" t="n">
        <v>45396.58333333334</v>
      </c>
      <c r="P664" s="49" t="n">
        <v>45396</v>
      </c>
      <c r="Q664" s="47" t="n">
        <v>2604</v>
      </c>
      <c r="R664" s="47" t="inlineStr">
        <is>
          <t>No Video ID yet</t>
        </is>
      </c>
      <c r="S664" s="49" t="n"/>
      <c r="T664" s="49" t="n"/>
      <c r="U664" s="47" t="inlineStr">
        <is>
          <t>Join J and Ben as they dive into Chapter 13 of the Chamber of Secrets and discuss Ron’s instincts, Lockhart’s signature, ghosts’ lack of solidity, the details of the Diary, the trophy room, who sent Harry the Valentine, Harry writing in the Diary, Riddle’s manipulation of the truth, and the details of the memory. Percy Weasley Had A Time Turner - 11:40 - Chapter Breakdown 1:25:41 - Closing Thoughts and Review</t>
        </is>
      </c>
      <c r="V664" s="47">
        <f>IF(AND(P664&gt;=Calendar!$K$2,P664&lt;EDATE(Calendar!$K$2,1),OR(Calendar!$K$4="*",N664=Calendar!$K$4)),P664*100+COUNTIFS($P$6:$P$3267,P664,$Q$6:$Q$3267,"&lt;="&amp;Q664,$N$6:$N$3267,Calendar!$K$4),"")</f>
        <v/>
      </c>
      <c r="W664" s="47">
        <f>IF(AND(B664=Queue!$C$4,OR(Queue!$K$4="*",N664=Queue!$K$4)),Q664,"")</f>
        <v/>
      </c>
    </row>
    <row r="665">
      <c r="A665" s="38">
        <f>IF(M665="","",HYPERLINK("https://www.youtube.com/watch?v="&amp;M665,"▶"))</f>
        <v/>
      </c>
      <c r="B665" s="39">
        <f>IF(C665&lt;&gt;"",C665,IF(P665&lt;=IFERROR(INDEX(tblChannels[Watched Through],MATCH(N665,tblChannels[Channel ID],0)),0),"Watched","Unwatched"))</f>
        <v/>
      </c>
      <c r="C665" s="40" t="n"/>
      <c r="D665" s="41" t="n"/>
      <c r="E665" s="42" t="n">
        <v>45394.68055555555</v>
      </c>
      <c r="F665" s="50" t="inlineStr">
        <is>
          <t>Super Carlin Brothers</t>
        </is>
      </c>
      <c r="G665" t="inlineStr">
        <is>
          <t>Why Does Voldemort GOOGLE AUTOFILL</t>
        </is>
      </c>
      <c r="H665" s="44" t="n">
        <v>0.01498842592592593</v>
      </c>
      <c r="I665" s="45" t="n">
        <v>153808</v>
      </c>
      <c r="J665" s="45" t="n">
        <v>6177</v>
      </c>
      <c r="K665" s="45" t="n">
        <v>625</v>
      </c>
      <c r="L665" s="46" t="n"/>
      <c r="M665" s="47" t="n"/>
      <c r="N665" s="47" t="inlineStr">
        <is>
          <t>UCKZo4N0lVPccBkSiuyVh4yg</t>
        </is>
      </c>
      <c r="O665" s="48" t="n">
        <v>45394.84722222222</v>
      </c>
      <c r="P665" s="49" t="n">
        <v>45394</v>
      </c>
      <c r="Q665" s="47" t="n">
        <v>2603</v>
      </c>
      <c r="R665" s="47" t="inlineStr">
        <is>
          <t>No Video ID yet</t>
        </is>
      </c>
      <c r="S665" s="49" t="n"/>
      <c r="T665" s="49" t="n"/>
      <c r="U665" s="47" t="inlineStr">
        <is>
          <t>Go to for 20% off your first order plus free shipping. Today J dives into the Wizarding World of Harry Potter to answer all of Google’s Most Burning questions about the Dark Lord Voldemort! Why does he call Peter Wormtail? Why does Voldemort fear Dumbledore, and most importantly WHY DOES HE KEEP STEALING MY SHAMPOO! Washington, D.C. - 6/13 (SOLD OUT!)</t>
        </is>
      </c>
      <c r="V665" s="47">
        <f>IF(AND(P665&gt;=Calendar!$K$2,P665&lt;EDATE(Calendar!$K$2,1),OR(Calendar!$K$4="*",N665=Calendar!$K$4)),P665*100+COUNTIFS($P$6:$P$3267,P665,$Q$6:$Q$3267,"&lt;="&amp;Q665,$N$6:$N$3267,Calendar!$K$4),"")</f>
        <v/>
      </c>
      <c r="W665" s="47">
        <f>IF(AND(B665=Queue!$C$4,OR(Queue!$K$4="*",N665=Queue!$K$4)),Q665,"")</f>
        <v/>
      </c>
    </row>
    <row r="666">
      <c r="A666" s="38">
        <f>IF(M666="","",HYPERLINK("https://www.youtube.com/watch?v="&amp;M666,"▶"))</f>
        <v/>
      </c>
      <c r="B666" s="39">
        <f>IF(C666&lt;&gt;"",C666,IF(P666&lt;=IFERROR(INDEX(tblChannels[Watched Through],MATCH(N666,tblChannels[Channel ID],0)),0),"Watched","Unwatched"))</f>
        <v/>
      </c>
      <c r="C666" s="40" t="n"/>
      <c r="D666" s="41" t="n"/>
      <c r="E666" s="42" t="n">
        <v>45394.41666666666</v>
      </c>
      <c r="F666" s="43" t="inlineStr">
        <is>
          <t>Popcorn Culture</t>
        </is>
      </c>
      <c r="G666" t="inlineStr">
        <is>
          <t>Proud Survivors of Quicksand (Probably) | Popcorn Culture</t>
        </is>
      </c>
      <c r="H666" s="44" t="n">
        <v>0.04736111111111111</v>
      </c>
      <c r="I666" s="45" t="n">
        <v>3879</v>
      </c>
      <c r="J666" s="45" t="n">
        <v>202</v>
      </c>
      <c r="K666" s="45" t="n">
        <v>37</v>
      </c>
      <c r="L666" s="46" t="n"/>
      <c r="M666" s="47" t="n"/>
      <c r="N666" s="47" t="inlineStr">
        <is>
          <t>UCHfIbq9thHPC8yrKjAdJgDA</t>
        </is>
      </c>
      <c r="O666" s="48" t="n">
        <v>45394.58333333334</v>
      </c>
      <c r="P666" s="49" t="n">
        <v>45394</v>
      </c>
      <c r="Q666" s="47" t="n">
        <v>2602</v>
      </c>
      <c r="R666" s="47" t="inlineStr">
        <is>
          <t>No Video ID yet</t>
        </is>
      </c>
      <c r="S666" s="49" t="n"/>
      <c r="T666" s="49" t="n"/>
      <c r="U666" s="47" t="inlineStr">
        <is>
          <t>In the 227th episode of the Pop, Ben and J discuss steaks, the Shout, corn silos and quicksand, banana stories, cereal, single parent weekends, magna tiles, mowing lawns, and faith in humanity. Shout! Cubed Watermelon The Banana of the Doubt 00:00 - Intro, A Corny Joke! 05:04 - Corn Silos and Quicksand 13:31 - Bananas 37:09 - Single Parent Weekends 48:55 - Faith in Humanity</t>
        </is>
      </c>
      <c r="V666" s="47">
        <f>IF(AND(P666&gt;=Calendar!$K$2,P666&lt;EDATE(Calendar!$K$2,1),OR(Calendar!$K$4="*",N666=Calendar!$K$4)),P666*100+COUNTIFS($P$6:$P$3267,P666,$Q$6:$Q$3267,"&lt;="&amp;Q666,$N$6:$N$3267,Calendar!$K$4),"")</f>
        <v/>
      </c>
      <c r="W666" s="47">
        <f>IF(AND(B666=Queue!$C$4,OR(Queue!$K$4="*",N666=Queue!$K$4)),Q666,"")</f>
        <v/>
      </c>
    </row>
    <row r="667">
      <c r="A667" s="38">
        <f>IF(M667="","",HYPERLINK("https://www.youtube.com/watch?v="&amp;M667,"▶"))</f>
        <v/>
      </c>
      <c r="B667" s="39">
        <f>IF(C667&lt;&gt;"",C667,IF(P667&lt;=IFERROR(INDEX(tblChannels[Watched Through],MATCH(N667,tblChannels[Channel ID],0)),0),"Watched","Unwatched"))</f>
        <v/>
      </c>
      <c r="C667" s="40" t="n"/>
      <c r="D667" s="41" t="n"/>
      <c r="E667" s="42" t="n">
        <v>45392.77083333334</v>
      </c>
      <c r="F667" s="52" t="inlineStr">
        <is>
          <t>Super Carlin Gaming</t>
        </is>
      </c>
      <c r="G667" t="inlineStr">
        <is>
          <t>Ace Spec COMES TO PLAY | Carlin Brothers Box Breakers S11E2</t>
        </is>
      </c>
      <c r="H667" s="44" t="n">
        <v>0.02896990740740741</v>
      </c>
      <c r="I667" s="45" t="n">
        <v>1396</v>
      </c>
      <c r="J667" s="45" t="n">
        <v>78</v>
      </c>
      <c r="K667" s="45" t="n">
        <v>7</v>
      </c>
      <c r="L667" s="46" t="n"/>
      <c r="M667" s="47" t="n"/>
      <c r="N667" s="47" t="inlineStr">
        <is>
          <t>UCor_9jRnNNZVzTuQ92PKsaQ</t>
        </is>
      </c>
      <c r="O667" s="48" t="n">
        <v>45392.9375</v>
      </c>
      <c r="P667" s="49" t="n">
        <v>45392</v>
      </c>
      <c r="Q667" s="47" t="n">
        <v>2601</v>
      </c>
      <c r="R667" s="47" t="inlineStr">
        <is>
          <t>No Video ID yet</t>
        </is>
      </c>
      <c r="S667" s="49" t="n"/>
      <c r="T667" s="49" t="n"/>
      <c r="U667" s="47" t="inlineStr">
        <is>
          <t>This week Temporal Forces delivers RIGHT at the end</t>
        </is>
      </c>
      <c r="V667" s="47">
        <f>IF(AND(P667&gt;=Calendar!$K$2,P667&lt;EDATE(Calendar!$K$2,1),OR(Calendar!$K$4="*",N667=Calendar!$K$4)),P667*100+COUNTIFS($P$6:$P$3267,P667,$Q$6:$Q$3267,"&lt;="&amp;Q667,$N$6:$N$3267,Calendar!$K$4),"")</f>
        <v/>
      </c>
      <c r="W667" s="47">
        <f>IF(AND(B667=Queue!$C$4,OR(Queue!$K$4="*",N667=Queue!$K$4)),Q667,"")</f>
        <v/>
      </c>
    </row>
    <row r="668">
      <c r="A668" s="38">
        <f>IF(M668="","",HYPERLINK("https://www.youtube.com/watch?v="&amp;M668,"▶"))</f>
        <v/>
      </c>
      <c r="B668" s="39">
        <f>IF(C668&lt;&gt;"",C668,IF(P668&lt;=IFERROR(INDEX(tblChannels[Watched Through],MATCH(N668,tblChannels[Channel ID],0)),0),"Watched","Unwatched"))</f>
        <v/>
      </c>
      <c r="C668" s="40" t="n"/>
      <c r="D668" s="41" t="n"/>
      <c r="E668" s="42" t="n">
        <v>45392.72638888889</v>
      </c>
      <c r="F668" s="50" t="inlineStr">
        <is>
          <t>Super Carlin Brothers</t>
        </is>
      </c>
      <c r="G668" t="inlineStr">
        <is>
          <t>J vs Ben: ULTIMATE Tom Riddle Harry Potter Trivia Quiz</t>
        </is>
      </c>
      <c r="H668" s="44" t="n">
        <v>0.02524305555555556</v>
      </c>
      <c r="I668" s="45" t="n">
        <v>158490</v>
      </c>
      <c r="J668" s="45" t="n">
        <v>5387</v>
      </c>
      <c r="K668" s="45" t="n">
        <v>636</v>
      </c>
      <c r="L668" s="46" t="n"/>
      <c r="M668" s="47" t="n"/>
      <c r="N668" s="47" t="inlineStr">
        <is>
          <t>UCKZo4N0lVPccBkSiuyVh4yg</t>
        </is>
      </c>
      <c r="O668" s="48" t="n">
        <v>45392.89305555556</v>
      </c>
      <c r="P668" s="49" t="n">
        <v>45392</v>
      </c>
      <c r="Q668" s="47" t="n">
        <v>2600</v>
      </c>
      <c r="R668" s="47" t="inlineStr">
        <is>
          <t>No Video ID yet</t>
        </is>
      </c>
      <c r="S668" s="49" t="n"/>
      <c r="T668" s="49" t="n"/>
      <c r="U668" s="47" t="inlineStr">
        <is>
          <t>Wizarding Candle Club :: Today J and Ben face off once more to find out who knows more about the Dark Lord: Tom Riddle or ya know.. “He-Who-Must-Not-Be-Named,” “You-Know-Who,” “VOLDEMORT!” Play Along with us :: Washington, D.C. - 6/13 (SOLD OUT!) 03:31 - Q1: What is Tom Riddle's mother's name? 04:26 - Q2: Who did Tom frame for Myrtle's death? 06:52 - Q3: Where did Tom buy the diary? 11:24 - Q4: What did Tom take from Morfin? 12:36 - Q5: Where was the prophecy given? 14:45 - Q6: Which horcrux did Tom make when he killed the homeless muggle? 16:32 - Q7: What does Voldemort make Harry do first in the graveyard duel? 18:10 - Q8: How did Tom kill Hepzibah Smith? 22:48 - Q9: What nickname does Lee Jordan call Tom on Potterwatch? 23:53 - Q10: Who's rabbit did Tom kill? 27:11 - Q11: Which professor's retirement did Tom ask Slughorn about? 28:30 - Q12: How many years after Hepzibah's death did Tom return to Hogwarts? 30:14 - Q13: What did Dumbledore use to protect Harry against Voldemort in the MoM? 31:16 - Q14: What were Voldemort's last words? 33:33 - Q15: What did Voldemort see James doing through the window?</t>
        </is>
      </c>
      <c r="V668" s="47">
        <f>IF(AND(P668&gt;=Calendar!$K$2,P668&lt;EDATE(Calendar!$K$2,1),OR(Calendar!$K$4="*",N668=Calendar!$K$4)),P668*100+COUNTIFS($P$6:$P$3267,P668,$Q$6:$Q$3267,"&lt;="&amp;Q668,$N$6:$N$3267,Calendar!$K$4),"")</f>
        <v/>
      </c>
      <c r="W668" s="47">
        <f>IF(AND(B668=Queue!$C$4,OR(Queue!$K$4="*",N668=Queue!$K$4)),Q668,"")</f>
        <v/>
      </c>
    </row>
    <row r="669">
      <c r="A669" s="38">
        <f>IF(M669="","",HYPERLINK("https://www.youtube.com/watch?v="&amp;M669,"▶"))</f>
        <v/>
      </c>
      <c r="B669" s="39">
        <f>IF(C669&lt;&gt;"",C669,IF(P669&lt;=IFERROR(INDEX(tblChannels[Watched Through],MATCH(N669,tblChannels[Channel ID],0)),0),"Watched","Unwatched"))</f>
        <v/>
      </c>
      <c r="C669" s="40" t="n"/>
      <c r="D669" s="41" t="n"/>
      <c r="E669" s="42" t="n">
        <v>45389.41666666666</v>
      </c>
      <c r="F669" s="51" t="inlineStr">
        <is>
          <t>Through The Griffin Door</t>
        </is>
      </c>
      <c r="G669" t="inlineStr">
        <is>
          <t>Chapter 12: The Polyjuice Potion | Chamber of Secrets</t>
        </is>
      </c>
      <c r="H669" s="44" t="n">
        <v>0.0734375</v>
      </c>
      <c r="I669" s="45" t="n">
        <v>91206</v>
      </c>
      <c r="J669" s="45" t="n">
        <v>2246</v>
      </c>
      <c r="K669" s="45" t="n">
        <v>715</v>
      </c>
      <c r="L669" s="46" t="n"/>
      <c r="M669" s="47" t="n"/>
      <c r="N669" s="47" t="inlineStr">
        <is>
          <t>UCEscP6ETYXWSSvsNrDHekMQ</t>
        </is>
      </c>
      <c r="O669" s="48" t="n">
        <v>45389.58333333334</v>
      </c>
      <c r="P669" s="49" t="n">
        <v>45389</v>
      </c>
      <c r="Q669" s="47" t="n">
        <v>2599</v>
      </c>
      <c r="R669" s="47" t="inlineStr">
        <is>
          <t>No Video ID yet</t>
        </is>
      </c>
      <c r="S669" s="49" t="n"/>
      <c r="T669" s="49" t="n"/>
      <c r="U669" s="47" t="inlineStr">
        <is>
          <t>Join J and Ben as they dive into Chapter 12 of the Chamber of Secrets and discuss Harry’s conversations with the Sorting Hat and Dumbledore, the faithfulness of Fawkes, more Ginny and Percy herrings, Malfoy staying for Christmas, the Christmas feast, the Slytherin Common Room, Draco being a bad person, how Hagrid could’ve been a Slytherin, and spend a long time working out the answer to a question that just ended up being Friday’s SCB video. The TRUE Origins of the Hogwarts Houses - Which House Was Hagrid In? - 06:39 - Chapter Breakdown 1:28:17- Closing Thoughts and Review</t>
        </is>
      </c>
      <c r="V669" s="47">
        <f>IF(AND(P669&gt;=Calendar!$K$2,P669&lt;EDATE(Calendar!$K$2,1),OR(Calendar!$K$4="*",N669=Calendar!$K$4)),P669*100+COUNTIFS($P$6:$P$3267,P669,$Q$6:$Q$3267,"&lt;="&amp;Q669,$N$6:$N$3267,Calendar!$K$4),"")</f>
        <v/>
      </c>
      <c r="W669" s="47">
        <f>IF(AND(B669=Queue!$C$4,OR(Queue!$K$4="*",N669=Queue!$K$4)),Q669,"")</f>
        <v/>
      </c>
    </row>
    <row r="670">
      <c r="A670" s="38">
        <f>IF(M670="","",HYPERLINK("https://www.youtube.com/watch?v="&amp;M670,"▶"))</f>
        <v/>
      </c>
      <c r="B670" s="39">
        <f>IF(C670&lt;&gt;"",C670,IF(P670&lt;=IFERROR(INDEX(tblChannels[Watched Through],MATCH(N670,tblChannels[Channel ID],0)),0),"Watched","Unwatched"))</f>
        <v/>
      </c>
      <c r="C670" s="40" t="n"/>
      <c r="D670" s="41" t="n"/>
      <c r="E670" s="42" t="n">
        <v>45387.67291666667</v>
      </c>
      <c r="F670" s="50" t="inlineStr">
        <is>
          <t>Super Carlin Brothers</t>
        </is>
      </c>
      <c r="G670" t="inlineStr">
        <is>
          <t>Would a Horcrux Show Up on the Marauder's Map? | Harry Potter Film Theory</t>
        </is>
      </c>
      <c r="H670" s="44" t="n">
        <v>0.01010416666666667</v>
      </c>
      <c r="I670" s="45" t="n">
        <v>179353</v>
      </c>
      <c r="J670" s="45" t="n">
        <v>7261</v>
      </c>
      <c r="K670" s="45" t="n">
        <v>844</v>
      </c>
      <c r="L670" s="46" t="n"/>
      <c r="M670" s="47" t="n"/>
      <c r="N670" s="47" t="inlineStr">
        <is>
          <t>UCKZo4N0lVPccBkSiuyVh4yg</t>
        </is>
      </c>
      <c r="O670" s="48" t="n">
        <v>45387.83958333333</v>
      </c>
      <c r="P670" s="49" t="n">
        <v>45387</v>
      </c>
      <c r="Q670" s="47" t="n">
        <v>2598</v>
      </c>
      <c r="R670" s="47" t="inlineStr">
        <is>
          <t>No Video ID yet</t>
        </is>
      </c>
      <c r="S670" s="49" t="n"/>
      <c r="T670" s="49" t="n"/>
      <c r="U670" s="47" t="inlineStr">
        <is>
          <t>Head on over to to sign up for a $1 per month trial period. Today Ben dives into Marauder’s Map lore: Could it have helped the Golden Trio in their hunt for Horcruxes?! There’s so much to consider: Why does anyone or anything show up on the map? If we can understand why ghosts appear, does that help us to better understand if the fragment of soul inside of a horcrux could be enough? And even if it is: does it make a difference! Shoutout to: NerdyNerd29 for submitting this question! Washington, D.C. - 6/13 SOLD OUT!</t>
        </is>
      </c>
      <c r="V670" s="47">
        <f>IF(AND(P670&gt;=Calendar!$K$2,P670&lt;EDATE(Calendar!$K$2,1),OR(Calendar!$K$4="*",N670=Calendar!$K$4)),P670*100+COUNTIFS($P$6:$P$3267,P670,$Q$6:$Q$3267,"&lt;="&amp;Q670,$N$6:$N$3267,Calendar!$K$4),"")</f>
        <v/>
      </c>
      <c r="W670" s="47">
        <f>IF(AND(B670=Queue!$C$4,OR(Queue!$K$4="*",N670=Queue!$K$4)),Q670,"")</f>
        <v/>
      </c>
    </row>
    <row r="671">
      <c r="A671" s="38">
        <f>IF(M671="","",HYPERLINK("https://www.youtube.com/watch?v="&amp;M671,"▶"))</f>
        <v/>
      </c>
      <c r="B671" s="39">
        <f>IF(C671&lt;&gt;"",C671,IF(P671&lt;=IFERROR(INDEX(tblChannels[Watched Through],MATCH(N671,tblChannels[Channel ID],0)),0),"Watched","Unwatched"))</f>
        <v/>
      </c>
      <c r="C671" s="40" t="n"/>
      <c r="D671" s="41" t="n"/>
      <c r="E671" s="42" t="n">
        <v>45387.41666666666</v>
      </c>
      <c r="F671" s="43" t="inlineStr">
        <is>
          <t>Popcorn Culture</t>
        </is>
      </c>
      <c r="G671" t="inlineStr">
        <is>
          <t>BEN GOT A BOAT… AGAIN! | Popcorn Culture</t>
        </is>
      </c>
      <c r="H671" s="44" t="n">
        <v>0.05236111111111111</v>
      </c>
      <c r="I671" s="45" t="n">
        <v>4359</v>
      </c>
      <c r="J671" s="45" t="n">
        <v>202</v>
      </c>
      <c r="K671" s="45" t="n">
        <v>21</v>
      </c>
      <c r="L671" s="46" t="n"/>
      <c r="M671" s="47" t="n"/>
      <c r="N671" s="47" t="inlineStr">
        <is>
          <t>UCHfIbq9thHPC8yrKjAdJgDA</t>
        </is>
      </c>
      <c r="O671" s="48" t="n">
        <v>45387.58333333334</v>
      </c>
      <c r="P671" s="49" t="n">
        <v>45387</v>
      </c>
      <c r="Q671" s="47" t="n">
        <v>2597</v>
      </c>
      <c r="R671" s="47" t="inlineStr">
        <is>
          <t>No Video ID yet</t>
        </is>
      </c>
      <c r="S671" s="49" t="n"/>
      <c r="T671" s="49" t="n"/>
      <c r="U671" s="47" t="inlineStr">
        <is>
          <t>In the 226th episode of the Pop, Ben and J discuss obnoxious phrases, April Fools pranks, a weird social interaction, self fulfilling prophecies/manifestation, trash TV, first trip out on Ben’s boat, mountain biking, and expectation hangovers. Ben Quit - Black Mirror Episode - Love Is Blind - 00:00 - Intro, April Fools 06:42 - Aquariums vs. YouTube 24:30 - Manifesting 48:18 - Ben’s Boat!</t>
        </is>
      </c>
      <c r="V671" s="47">
        <f>IF(AND(P671&gt;=Calendar!$K$2,P671&lt;EDATE(Calendar!$K$2,1),OR(Calendar!$K$4="*",N671=Calendar!$K$4)),P671*100+COUNTIFS($P$6:$P$3267,P671,$Q$6:$Q$3267,"&lt;="&amp;Q671,$N$6:$N$3267,Calendar!$K$4),"")</f>
        <v/>
      </c>
      <c r="W671" s="47">
        <f>IF(AND(B671=Queue!$C$4,OR(Queue!$K$4="*",N671=Queue!$K$4)),Q671,"")</f>
        <v/>
      </c>
    </row>
    <row r="672">
      <c r="A672" s="38">
        <f>IF(M672="","",HYPERLINK("https://www.youtube.com/watch?v="&amp;M672,"▶"))</f>
        <v/>
      </c>
      <c r="B672" s="39">
        <f>IF(C672&lt;&gt;"",C672,IF(P672&lt;=IFERROR(INDEX(tblChannels[Watched Through],MATCH(N672,tblChannels[Channel ID],0)),0),"Watched","Unwatched"))</f>
        <v/>
      </c>
      <c r="C672" s="40" t="n"/>
      <c r="D672" s="41" t="n"/>
      <c r="E672" s="42" t="n">
        <v>45385.69513888889</v>
      </c>
      <c r="F672" s="50" t="inlineStr">
        <is>
          <t>Super Carlin Brothers</t>
        </is>
      </c>
      <c r="G672" t="inlineStr">
        <is>
          <t>The TRUE Origins of the Hogwarts Houses | Harry Potter Film Theory</t>
        </is>
      </c>
      <c r="H672" s="44" t="n">
        <v>0.01017361111111111</v>
      </c>
      <c r="I672" s="45" t="n">
        <v>109314</v>
      </c>
      <c r="J672" s="45" t="n">
        <v>5288</v>
      </c>
      <c r="K672" s="45" t="n">
        <v>657</v>
      </c>
      <c r="L672" s="46" t="n"/>
      <c r="M672" s="47" t="n"/>
      <c r="N672" s="47" t="inlineStr">
        <is>
          <t>UCKZo4N0lVPccBkSiuyVh4yg</t>
        </is>
      </c>
      <c r="O672" s="48" t="n">
        <v>45385.86180555556</v>
      </c>
      <c r="P672" s="49" t="n">
        <v>45385</v>
      </c>
      <c r="Q672" s="47" t="n">
        <v>2596</v>
      </c>
      <c r="R672" s="47" t="inlineStr">
        <is>
          <t>No Video ID yet</t>
        </is>
      </c>
      <c r="S672" s="49" t="n"/>
      <c r="T672" s="49" t="n"/>
      <c r="U672" s="47" t="inlineStr">
        <is>
          <t>Today J dives into biblical times to discover the inspiration for the story of the four Hogwarts houses in Harry Potter and reveal their true origin. Is the tale of Salazar Slytherin abandoning Gryffindor, Hufflepuff and Ravenclaw older than Hogwarts? And where else does it show up? Avatar the Last Airbender? Brave? Narnia? The Bible? #supercarlinbrothers #Pixar #ThePixarTheory</t>
        </is>
      </c>
      <c r="V672" s="47">
        <f>IF(AND(P672&gt;=Calendar!$K$2,P672&lt;EDATE(Calendar!$K$2,1),OR(Calendar!$K$4="*",N672=Calendar!$K$4)),P672*100+COUNTIFS($P$6:$P$3267,P672,$Q$6:$Q$3267,"&lt;="&amp;Q672,$N$6:$N$3267,Calendar!$K$4),"")</f>
        <v/>
      </c>
      <c r="W672" s="47">
        <f>IF(AND(B672=Queue!$C$4,OR(Queue!$K$4="*",N672=Queue!$K$4)),Q672,"")</f>
        <v/>
      </c>
    </row>
    <row r="673">
      <c r="A673" s="38">
        <f>IF(M673="","",HYPERLINK("https://www.youtube.com/watch?v="&amp;M673,"▶"))</f>
        <v/>
      </c>
      <c r="B673" s="39">
        <f>IF(C673&lt;&gt;"",C673,IF(P673&lt;=IFERROR(INDEX(tblChannels[Watched Through],MATCH(N673,tblChannels[Channel ID],0)),0),"Watched","Unwatched"))</f>
        <v/>
      </c>
      <c r="C673" s="40" t="n"/>
      <c r="D673" s="41" t="n"/>
      <c r="E673" s="42" t="n">
        <v>45384.77083333334</v>
      </c>
      <c r="F673" s="52" t="inlineStr">
        <is>
          <t>Super Carlin Gaming</t>
        </is>
      </c>
      <c r="G673" t="inlineStr">
        <is>
          <t>Temporal Forces Begins | Carlin Brothers Box Breakers S11E1</t>
        </is>
      </c>
      <c r="H673" s="44" t="n">
        <v>0.0366087962962963</v>
      </c>
      <c r="I673" s="45" t="n">
        <v>1734</v>
      </c>
      <c r="J673" s="45" t="n">
        <v>88</v>
      </c>
      <c r="K673" s="45" t="n">
        <v>11</v>
      </c>
      <c r="L673" s="46" t="n"/>
      <c r="M673" s="47" t="n"/>
      <c r="N673" s="47" t="inlineStr">
        <is>
          <t>UCor_9jRnNNZVzTuQ92PKsaQ</t>
        </is>
      </c>
      <c r="O673" s="48" t="n">
        <v>45384.9375</v>
      </c>
      <c r="P673" s="49" t="n">
        <v>45384</v>
      </c>
      <c r="Q673" s="47" t="n">
        <v>2595</v>
      </c>
      <c r="R673" s="47" t="inlineStr">
        <is>
          <t>No Video ID yet</t>
        </is>
      </c>
      <c r="S673" s="49" t="n"/>
      <c r="T673" s="49" t="n"/>
      <c r="U673" s="47" t="inlineStr">
        <is>
          <t>This week a NEW SEASON BEGINS as we unbox our first Temporal Forces cards</t>
        </is>
      </c>
      <c r="V673" s="47">
        <f>IF(AND(P673&gt;=Calendar!$K$2,P673&lt;EDATE(Calendar!$K$2,1),OR(Calendar!$K$4="*",N673=Calendar!$K$4)),P673*100+COUNTIFS($P$6:$P$3267,P673,$Q$6:$Q$3267,"&lt;="&amp;Q673,$N$6:$N$3267,Calendar!$K$4),"")</f>
        <v/>
      </c>
      <c r="W673" s="47">
        <f>IF(AND(B673=Queue!$C$4,OR(Queue!$K$4="*",N673=Queue!$K$4)),Q673,"")</f>
        <v/>
      </c>
    </row>
    <row r="674">
      <c r="A674" s="38">
        <f>IF(M674="","",HYPERLINK("https://www.youtube.com/watch?v="&amp;M674,"▶"))</f>
        <v/>
      </c>
      <c r="B674" s="39">
        <f>IF(C674&lt;&gt;"",C674,IF(P674&lt;=IFERROR(INDEX(tblChannels[Watched Through],MATCH(N674,tblChannels[Channel ID],0)),0),"Watched","Unwatched"))</f>
        <v/>
      </c>
      <c r="C674" s="40" t="n"/>
      <c r="D674" s="41" t="n"/>
      <c r="E674" s="42" t="n">
        <v>45382.41666666666</v>
      </c>
      <c r="F674" s="51" t="inlineStr">
        <is>
          <t>Through The Griffin Door</t>
        </is>
      </c>
      <c r="G674" t="inlineStr">
        <is>
          <t>Chapter 11: The Dueling Club | Chamber of Secrets</t>
        </is>
      </c>
      <c r="H674" s="44" t="n">
        <v>0.05517361111111111</v>
      </c>
      <c r="I674" s="45" t="n">
        <v>76336</v>
      </c>
      <c r="J674" s="45" t="n">
        <v>2351</v>
      </c>
      <c r="K674" s="45" t="n">
        <v>465</v>
      </c>
      <c r="L674" s="46" t="n"/>
      <c r="M674" s="47" t="n"/>
      <c r="N674" s="47" t="inlineStr">
        <is>
          <t>UCEscP6ETYXWSSvsNrDHekMQ</t>
        </is>
      </c>
      <c r="O674" s="48" t="n">
        <v>45382.58333333334</v>
      </c>
      <c r="P674" s="49" t="n">
        <v>45382</v>
      </c>
      <c r="Q674" s="47" t="n">
        <v>2594</v>
      </c>
      <c r="R674" s="47" t="inlineStr">
        <is>
          <t>No Video ID yet</t>
        </is>
      </c>
      <c r="S674" s="49" t="n"/>
      <c r="T674" s="49" t="n"/>
      <c r="U674" s="47" t="inlineStr">
        <is>
          <t>Join J and Ben as they dive into Chapter 11 of the Chamber of Secrets and discuss quidditch point logistics, gossip, wizard plumbing, the dueling club and Dumbledore’s potential involvement, very vs. pretty, tickle fights and dance battles, Harry talking to snakes, and Harry at the scene of the crime. Snape is a Vampire - 05:26 - Chapter Breakdown 1:13:02 - Closing Thoughts and Review</t>
        </is>
      </c>
      <c r="V674" s="47">
        <f>IF(AND(P674&gt;=Calendar!$K$2,P674&lt;EDATE(Calendar!$K$2,1),OR(Calendar!$K$4="*",N674=Calendar!$K$4)),P674*100+COUNTIFS($P$6:$P$3267,P674,$Q$6:$Q$3267,"&lt;="&amp;Q674,$N$6:$N$3267,Calendar!$K$4),"")</f>
        <v/>
      </c>
      <c r="W674" s="47">
        <f>IF(AND(B674=Queue!$C$4,OR(Queue!$K$4="*",N674=Queue!$K$4)),Q674,"")</f>
        <v/>
      </c>
    </row>
    <row r="675">
      <c r="A675" s="38">
        <f>IF(M675="","",HYPERLINK("https://www.youtube.com/watch?v="&amp;M675,"▶"))</f>
        <v/>
      </c>
      <c r="B675" s="39">
        <f>IF(C675&lt;&gt;"",C675,IF(P675&lt;=IFERROR(INDEX(tblChannels[Watched Through],MATCH(N675,tblChannels[Channel ID],0)),0),"Watched","Unwatched"))</f>
        <v/>
      </c>
      <c r="C675" s="40" t="n"/>
      <c r="D675" s="41" t="n"/>
      <c r="E675" s="42" t="n">
        <v>45381.41666666666</v>
      </c>
      <c r="F675" s="50" t="inlineStr">
        <is>
          <t>Super Carlin Brothers</t>
        </is>
      </c>
      <c r="G675" t="inlineStr">
        <is>
          <t>What If James Kept The Invisibility Cloak - FULL STORY 1-5 | Harry Potter Film Theory</t>
        </is>
      </c>
      <c r="H675" s="44" t="n">
        <v>0.05841435185185185</v>
      </c>
      <c r="I675" s="45" t="n">
        <v>435410</v>
      </c>
      <c r="J675" s="45" t="n">
        <v>6742</v>
      </c>
      <c r="K675" s="45" t="n">
        <v>606</v>
      </c>
      <c r="L675" s="46" t="n"/>
      <c r="M675" s="47" t="n"/>
      <c r="N675" s="47" t="inlineStr">
        <is>
          <t>UCKZo4N0lVPccBkSiuyVh4yg</t>
        </is>
      </c>
      <c r="O675" s="48" t="n">
        <v>45381.58333333334</v>
      </c>
      <c r="P675" s="49" t="n">
        <v>45381</v>
      </c>
      <c r="Q675" s="47" t="n">
        <v>2593</v>
      </c>
      <c r="R675" s="47" t="inlineStr">
        <is>
          <t>No Video ID yet</t>
        </is>
      </c>
      <c r="S675" s="49" t="n"/>
      <c r="T675" s="49" t="n"/>
      <c r="U675" s="47" t="inlineStr">
        <is>
          <t>What if James Potter had kept the Invisibility Cloak instead of lending it to Dumbledore? Would it have helped the Potters survive the night Voldemort attacked? Would Harry still become the chosen one? Does Voldemort win or does he ever fall at all? Edited by : Isybelle Christley &amp; Ethan Edghill</t>
        </is>
      </c>
      <c r="V675" s="47">
        <f>IF(AND(P675&gt;=Calendar!$K$2,P675&lt;EDATE(Calendar!$K$2,1),OR(Calendar!$K$4="*",N675=Calendar!$K$4)),P675*100+COUNTIFS($P$6:$P$3267,P675,$Q$6:$Q$3267,"&lt;="&amp;Q675,$N$6:$N$3267,Calendar!$K$4),"")</f>
        <v/>
      </c>
      <c r="W675" s="47">
        <f>IF(AND(B675=Queue!$C$4,OR(Queue!$K$4="*",N675=Queue!$K$4)),Q675,"")</f>
        <v/>
      </c>
    </row>
    <row r="676">
      <c r="A676" s="38">
        <f>IF(M676="","",HYPERLINK("https://www.youtube.com/watch?v="&amp;M676,"▶"))</f>
        <v/>
      </c>
      <c r="B676" s="39">
        <f>IF(C676&lt;&gt;"",C676,IF(P676&lt;=IFERROR(INDEX(tblChannels[Watched Through],MATCH(N676,tblChannels[Channel ID],0)),0),"Watched","Unwatched"))</f>
        <v/>
      </c>
      <c r="C676" s="40" t="n"/>
      <c r="D676" s="41" t="n"/>
      <c r="E676" s="42" t="n">
        <v>45381.41666666666</v>
      </c>
      <c r="F676" s="50" t="inlineStr">
        <is>
          <t>Super Carlin Brothers</t>
        </is>
      </c>
      <c r="G676" t="inlineStr">
        <is>
          <t>FAQs: What if James Had Kept the Invisibility Cloak?</t>
        </is>
      </c>
      <c r="H676" s="44" t="n">
        <v>0.02961805555555556</v>
      </c>
      <c r="I676" s="45" t="n">
        <v>90399</v>
      </c>
      <c r="J676" s="45" t="n">
        <v>3153</v>
      </c>
      <c r="K676" s="45" t="n">
        <v>417</v>
      </c>
      <c r="L676" s="46" t="n"/>
      <c r="M676" s="47" t="n"/>
      <c r="N676" s="47" t="inlineStr">
        <is>
          <t>UCKZo4N0lVPccBkSiuyVh4yg</t>
        </is>
      </c>
      <c r="O676" s="48" t="n">
        <v>45381.58333333334</v>
      </c>
      <c r="P676" s="49" t="n">
        <v>45381</v>
      </c>
      <c r="Q676" s="47" t="n">
        <v>2592</v>
      </c>
      <c r="R676" s="47" t="inlineStr">
        <is>
          <t>No Video ID yet</t>
        </is>
      </c>
      <c r="S676" s="49" t="n"/>
      <c r="T676" s="49" t="n"/>
      <c r="U676" s="47" t="inlineStr">
        <is>
          <t>What if James had Kept the Invisibility Cloak is one of our favorite What If's EVER and writing it week to week was a blast! Turns out you guys still had a bunch of questions about the series as a whole so we decided to make a video answer all of your most common ones! Why couldn't James and Lily Hide Under the cloak too? Did Harry end up with Fleur in the end? What did the twin cores STILL choose Harry? How did Avada Kedavra kill the horcrux in the sword?! We answer them all and more!</t>
        </is>
      </c>
      <c r="V676" s="47">
        <f>IF(AND(P676&gt;=Calendar!$K$2,P676&lt;EDATE(Calendar!$K$2,1),OR(Calendar!$K$4="*",N676=Calendar!$K$4)),P676*100+COUNTIFS($P$6:$P$3267,P676,$Q$6:$Q$3267,"&lt;="&amp;Q676,$N$6:$N$3267,Calendar!$K$4),"")</f>
        <v/>
      </c>
      <c r="W676" s="47">
        <f>IF(AND(B676=Queue!$C$4,OR(Queue!$K$4="*",N676=Queue!$K$4)),Q676,"")</f>
        <v/>
      </c>
    </row>
    <row r="677">
      <c r="A677" s="38">
        <f>IF(M677="","",HYPERLINK("https://www.youtube.com/watch?v="&amp;M677,"▶"))</f>
        <v/>
      </c>
      <c r="B677" s="39">
        <f>IF(C677&lt;&gt;"",C677,IF(P677&lt;=IFERROR(INDEX(tblChannels[Watched Through],MATCH(N677,tblChannels[Channel ID],0)),0),"Watched","Unwatched"))</f>
        <v/>
      </c>
      <c r="C677" s="40" t="n"/>
      <c r="D677" s="41" t="n"/>
      <c r="E677" s="42" t="n">
        <v>45380.77083333334</v>
      </c>
      <c r="F677" s="52" t="inlineStr">
        <is>
          <t>Super Carlin Gaming</t>
        </is>
      </c>
      <c r="G677" t="inlineStr">
        <is>
          <t>Obsidian Flames Burns Out | Carlin Brothers Box Breakers S10E4</t>
        </is>
      </c>
      <c r="H677" s="44" t="n">
        <v>0.04461805555555556</v>
      </c>
      <c r="I677" s="45" t="n">
        <v>1442</v>
      </c>
      <c r="J677" s="45" t="n">
        <v>79</v>
      </c>
      <c r="K677" s="45" t="n">
        <v>14</v>
      </c>
      <c r="L677" s="46" t="n"/>
      <c r="M677" s="47" t="n"/>
      <c r="N677" s="47" t="inlineStr">
        <is>
          <t>UCor_9jRnNNZVzTuQ92PKsaQ</t>
        </is>
      </c>
      <c r="O677" s="48" t="n">
        <v>45380.9375</v>
      </c>
      <c r="P677" s="49" t="n">
        <v>45380</v>
      </c>
      <c r="Q677" s="47" t="n">
        <v>2591</v>
      </c>
      <c r="R677" s="47" t="inlineStr">
        <is>
          <t>No Video ID yet</t>
        </is>
      </c>
      <c r="S677" s="49" t="n"/>
      <c r="T677" s="49" t="n"/>
      <c r="U677" s="47" t="inlineStr">
        <is>
          <t>THIS IS THE FINALE! PLUS A LITTLE SUDDEN DEATH!</t>
        </is>
      </c>
      <c r="V677" s="47">
        <f>IF(AND(P677&gt;=Calendar!$K$2,P677&lt;EDATE(Calendar!$K$2,1),OR(Calendar!$K$4="*",N677=Calendar!$K$4)),P677*100+COUNTIFS($P$6:$P$3267,P677,$Q$6:$Q$3267,"&lt;="&amp;Q677,$N$6:$N$3267,Calendar!$K$4),"")</f>
        <v/>
      </c>
      <c r="W677" s="47">
        <f>IF(AND(B677=Queue!$C$4,OR(Queue!$K$4="*",N677=Queue!$K$4)),Q677,"")</f>
        <v/>
      </c>
    </row>
    <row r="678">
      <c r="A678" s="38">
        <f>IF(M678="","",HYPERLINK("https://www.youtube.com/watch?v="&amp;M678,"▶"))</f>
        <v/>
      </c>
      <c r="B678" s="39">
        <f>IF(C678&lt;&gt;"",C678,IF(P678&lt;=IFERROR(INDEX(tblChannels[Watched Through],MATCH(N678,tblChannels[Channel ID],0)),0),"Watched","Unwatched"))</f>
        <v/>
      </c>
      <c r="C678" s="40" t="n"/>
      <c r="D678" s="41" t="n"/>
      <c r="E678" s="42" t="n">
        <v>45380.61666666667</v>
      </c>
      <c r="F678" s="50" t="inlineStr">
        <is>
          <t>Super Carlin Brothers</t>
        </is>
      </c>
      <c r="G678" t="inlineStr">
        <is>
          <t>The MOST Important Movies to The Pixar Theory</t>
        </is>
      </c>
      <c r="H678" s="44" t="n">
        <v>0.01038194444444444</v>
      </c>
      <c r="I678" s="45" t="n">
        <v>63195</v>
      </c>
      <c r="J678" s="45" t="n">
        <v>3351</v>
      </c>
      <c r="K678" s="45" t="n">
        <v>212</v>
      </c>
      <c r="L678" s="46" t="n"/>
      <c r="M678" s="47" t="n"/>
      <c r="N678" s="47" t="inlineStr">
        <is>
          <t>UCKZo4N0lVPccBkSiuyVh4yg</t>
        </is>
      </c>
      <c r="O678" s="48" t="n">
        <v>45380.78333333333</v>
      </c>
      <c r="P678" s="49" t="n">
        <v>45380</v>
      </c>
      <c r="Q678" s="47" t="n">
        <v>2590</v>
      </c>
      <c r="R678" s="47" t="inlineStr">
        <is>
          <t>No Video ID yet</t>
        </is>
      </c>
      <c r="S678" s="49" t="n"/>
      <c r="T678" s="49" t="n"/>
      <c r="U678" s="47" t="inlineStr">
        <is>
          <t>Go to and use code super50 to get 50% off. With 27 Pixar Movies out there it can be really hard to remember how every single movie fits into The Pixar Theory so today Ben dives into the vast Pixar Universe to provide a more abridged version of the Pixar Theory that will help explain it to your friends with out you needing to remember exactly what the ants in a bugs life did. The Pixar Theory Song :: #supercarlinbrothers #Pixar #ThePixarTheory</t>
        </is>
      </c>
      <c r="V678" s="47">
        <f>IF(AND(P678&gt;=Calendar!$K$2,P678&lt;EDATE(Calendar!$K$2,1),OR(Calendar!$K$4="*",N678=Calendar!$K$4)),P678*100+COUNTIFS($P$6:$P$3267,P678,$Q$6:$Q$3267,"&lt;="&amp;Q678,$N$6:$N$3267,Calendar!$K$4),"")</f>
        <v/>
      </c>
      <c r="W678" s="47">
        <f>IF(AND(B678=Queue!$C$4,OR(Queue!$K$4="*",N678=Queue!$K$4)),Q678,"")</f>
        <v/>
      </c>
    </row>
    <row r="679">
      <c r="A679" s="38">
        <f>IF(M679="","",HYPERLINK("https://www.youtube.com/watch?v="&amp;M679,"▶"))</f>
        <v/>
      </c>
      <c r="B679" s="39">
        <f>IF(C679&lt;&gt;"",C679,IF(P679&lt;=IFERROR(INDEX(tblChannels[Watched Through],MATCH(N679,tblChannels[Channel ID],0)),0),"Watched","Unwatched"))</f>
        <v/>
      </c>
      <c r="C679" s="40" t="n"/>
      <c r="D679" s="41" t="n"/>
      <c r="E679" s="42" t="n">
        <v>45380.41666666666</v>
      </c>
      <c r="F679" s="43" t="inlineStr">
        <is>
          <t>Popcorn Culture</t>
        </is>
      </c>
      <c r="G679" t="inlineStr">
        <is>
          <t>Hot Wheels Officiant | Popcorn Culture</t>
        </is>
      </c>
      <c r="H679" s="44" t="n">
        <v>0.04260416666666667</v>
      </c>
      <c r="I679" s="45" t="n">
        <v>3642</v>
      </c>
      <c r="J679" s="45" t="n">
        <v>209</v>
      </c>
      <c r="K679" s="45" t="n">
        <v>14</v>
      </c>
      <c r="L679" s="46" t="n"/>
      <c r="M679" s="47" t="n"/>
      <c r="N679" s="47" t="inlineStr">
        <is>
          <t>UCHfIbq9thHPC8yrKjAdJgDA</t>
        </is>
      </c>
      <c r="O679" s="48" t="n">
        <v>45380.58333333334</v>
      </c>
      <c r="P679" s="49" t="n">
        <v>45380</v>
      </c>
      <c r="Q679" s="47" t="n">
        <v>2589</v>
      </c>
      <c r="R679" s="47" t="inlineStr">
        <is>
          <t>No Video ID yet</t>
        </is>
      </c>
      <c r="S679" s="49" t="n"/>
      <c r="T679" s="49" t="n"/>
      <c r="U679" s="47" t="inlineStr">
        <is>
          <t>In the 225th episode of the Pop, Ben and J discuss Hot Wheels, elementary school fundraisers, March Madness, general anxiety disorder, The Pinewood Derby, Beanie Babies, pin trading, and the Dorito Theory. NapTimeKitchen - Hot Wheels Let’s Race - Immortals by Fall Out Boy - Hot Wheels Let’s Race Theme Song - Maple Bear Beanie Baby - The Dorito Theory -</t>
        </is>
      </c>
      <c r="V679" s="47">
        <f>IF(AND(P679&gt;=Calendar!$K$2,P679&lt;EDATE(Calendar!$K$2,1),OR(Calendar!$K$4="*",N679=Calendar!$K$4)),P679*100+COUNTIFS($P$6:$P$3267,P679,$Q$6:$Q$3267,"&lt;="&amp;Q679,$N$6:$N$3267,Calendar!$K$4),"")</f>
        <v/>
      </c>
      <c r="W679" s="47">
        <f>IF(AND(B679=Queue!$C$4,OR(Queue!$K$4="*",N679=Queue!$K$4)),Q679,"")</f>
        <v/>
      </c>
    </row>
    <row r="680">
      <c r="A680" s="38">
        <f>IF(M680="","",HYPERLINK("https://www.youtube.com/watch?v="&amp;M680,"▶"))</f>
        <v/>
      </c>
      <c r="B680" s="39">
        <f>IF(C680&lt;&gt;"",C680,IF(P680&lt;=IFERROR(INDEX(tblChannels[Watched Through],MATCH(N680,tblChannels[Channel ID],0)),0),"Watched","Unwatched"))</f>
        <v/>
      </c>
      <c r="C680" s="40" t="n"/>
      <c r="D680" s="41" t="n"/>
      <c r="E680" s="42" t="n">
        <v>45378.74652777778</v>
      </c>
      <c r="F680" s="50" t="inlineStr">
        <is>
          <t>Super Carlin Brothers</t>
        </is>
      </c>
      <c r="G680" t="inlineStr">
        <is>
          <t>J vs Ben: The CLEVEREST Hermione Granger Harry Potter Trivia Quiz EVER</t>
        </is>
      </c>
      <c r="H680" s="44" t="n">
        <v>0.029375</v>
      </c>
      <c r="I680" s="45" t="n">
        <v>193405</v>
      </c>
      <c r="J680" s="45" t="n">
        <v>5772</v>
      </c>
      <c r="K680" s="45" t="n">
        <v>829</v>
      </c>
      <c r="L680" s="46" t="n"/>
      <c r="M680" s="47" t="n"/>
      <c r="N680" s="47" t="inlineStr">
        <is>
          <t>UCKZo4N0lVPccBkSiuyVh4yg</t>
        </is>
      </c>
      <c r="O680" s="48" t="n">
        <v>45378.91319444445</v>
      </c>
      <c r="P680" s="49" t="n">
        <v>45378</v>
      </c>
      <c r="Q680" s="47" t="n">
        <v>2588</v>
      </c>
      <c r="R680" s="47" t="inlineStr">
        <is>
          <t>No Video ID yet</t>
        </is>
      </c>
      <c r="S680" s="49" t="n"/>
      <c r="T680" s="49" t="n"/>
      <c r="U680" s="47" t="inlineStr">
        <is>
          <t>Go to to get 20% off your first order and free shipping. Today J and Ben face off once more to find out whos is most clever about the cleverest witch of her age: Hermione Granger. 01:53 - Q1: Why was Hermione petrified? 04:17 - Q2: What does S.P.E.W. stand for? 06:20 - Q3: What spell grew Hermione's teeth? 07:39 - Q4: How many classes did Hermione take in year 3? 10:20 - Q5: Why did Hermione want to go to Godric's Hollow? 13:51 - Q6: What book had info on the Basilisk? 15:52 - Q7: What does Hermione's amortentia smell like? 18:36 - Q8: What did Hermione change her parents names to? 25:29 - Q9: Where does Hermione vacation? 28:39 - Q10: What did Hermione get in her hate mail? 30:16 - Q11: Which number Minister for Magic was Hermione? 32:13 - Q12: What spell broke Harry's wand in Godric's Hollow? 33:57 - Q13: Which bottle solved the riddle? 36:33 - Q14: What charm is Terry Boot impressed Hermione can do? 37:27 - Q15: What quill does Hermione buy in her 5th year?</t>
        </is>
      </c>
      <c r="V680" s="47">
        <f>IF(AND(P680&gt;=Calendar!$K$2,P680&lt;EDATE(Calendar!$K$2,1),OR(Calendar!$K$4="*",N680=Calendar!$K$4)),P680*100+COUNTIFS($P$6:$P$3267,P680,$Q$6:$Q$3267,"&lt;="&amp;Q680,$N$6:$N$3267,Calendar!$K$4),"")</f>
        <v/>
      </c>
      <c r="W680" s="47">
        <f>IF(AND(B680=Queue!$C$4,OR(Queue!$K$4="*",N680=Queue!$K$4)),Q680,"")</f>
        <v/>
      </c>
    </row>
    <row r="681">
      <c r="A681" s="38">
        <f>IF(M681="","",HYPERLINK("https://www.youtube.com/watch?v="&amp;M681,"▶"))</f>
        <v/>
      </c>
      <c r="B681" s="39">
        <f>IF(C681&lt;&gt;"",C681,IF(P681&lt;=IFERROR(INDEX(tblChannels[Watched Through],MATCH(N681,tblChannels[Channel ID],0)),0),"Watched","Unwatched"))</f>
        <v/>
      </c>
      <c r="C681" s="40" t="n"/>
      <c r="D681" s="41" t="n"/>
      <c r="E681" s="42" t="n">
        <v>45377.77083333334</v>
      </c>
      <c r="F681" s="52" t="inlineStr">
        <is>
          <t>Super Carlin Gaming</t>
        </is>
      </c>
      <c r="G681" t="inlineStr">
        <is>
          <t>ANOTHER HUGE CHARIZARD | Carlin Brothers Box Breakers S10E3</t>
        </is>
      </c>
      <c r="H681" s="44" t="n">
        <v>0.03077546296296296</v>
      </c>
      <c r="I681" s="45" t="n">
        <v>1328</v>
      </c>
      <c r="J681" s="45" t="n">
        <v>74</v>
      </c>
      <c r="K681" s="45" t="n">
        <v>8</v>
      </c>
      <c r="L681" s="46" t="n"/>
      <c r="M681" s="47" t="n"/>
      <c r="N681" s="47" t="inlineStr">
        <is>
          <t>UCor_9jRnNNZVzTuQ92PKsaQ</t>
        </is>
      </c>
      <c r="O681" s="48" t="n">
        <v>45377.9375</v>
      </c>
      <c r="P681" s="49" t="n">
        <v>45377</v>
      </c>
      <c r="Q681" s="47" t="n">
        <v>2587</v>
      </c>
      <c r="R681" s="47" t="inlineStr">
        <is>
          <t>No Video ID yet</t>
        </is>
      </c>
      <c r="S681" s="49" t="n"/>
      <c r="T681" s="49" t="n"/>
      <c r="U681" s="47" t="inlineStr">
        <is>
          <t>This week Obsidian Flames does what it says on the box and FIRES UP</t>
        </is>
      </c>
      <c r="V681" s="47">
        <f>IF(AND(P681&gt;=Calendar!$K$2,P681&lt;EDATE(Calendar!$K$2,1),OR(Calendar!$K$4="*",N681=Calendar!$K$4)),P681*100+COUNTIFS($P$6:$P$3267,P681,$Q$6:$Q$3267,"&lt;="&amp;Q681,$N$6:$N$3267,Calendar!$K$4),"")</f>
        <v/>
      </c>
      <c r="W681" s="47">
        <f>IF(AND(B681=Queue!$C$4,OR(Queue!$K$4="*",N681=Queue!$K$4)),Q681,"")</f>
        <v/>
      </c>
    </row>
    <row r="682">
      <c r="A682" s="38">
        <f>IF(M682="","",HYPERLINK("https://www.youtube.com/watch?v="&amp;M682,"▶"))</f>
        <v/>
      </c>
      <c r="B682" s="39">
        <f>IF(C682&lt;&gt;"",C682,IF(P682&lt;=IFERROR(INDEX(tblChannels[Watched Through],MATCH(N682,tblChannels[Channel ID],0)),0),"Watched","Unwatched"))</f>
        <v/>
      </c>
      <c r="C682" s="40" t="n"/>
      <c r="D682" s="41" t="n"/>
      <c r="E682" s="42" t="n">
        <v>45375.41666666666</v>
      </c>
      <c r="F682" s="51" t="inlineStr">
        <is>
          <t>Through The Griffin Door</t>
        </is>
      </c>
      <c r="G682" t="inlineStr">
        <is>
          <t>Chapter 10: The Rogue Bludger | Chamber of Secrets</t>
        </is>
      </c>
      <c r="H682" s="44" t="n">
        <v>0.05237268518518518</v>
      </c>
      <c r="I682" s="45" t="n">
        <v>75977</v>
      </c>
      <c r="J682" s="45" t="n">
        <v>2259</v>
      </c>
      <c r="K682" s="45" t="n">
        <v>525</v>
      </c>
      <c r="L682" s="46" t="n"/>
      <c r="M682" s="47" t="n"/>
      <c r="N682" s="47" t="inlineStr">
        <is>
          <t>UCEscP6ETYXWSSvsNrDHekMQ</t>
        </is>
      </c>
      <c r="O682" s="48" t="n">
        <v>45375.58333333334</v>
      </c>
      <c r="P682" s="49" t="n">
        <v>45375</v>
      </c>
      <c r="Q682" s="47" t="n">
        <v>2586</v>
      </c>
      <c r="R682" s="47" t="inlineStr">
        <is>
          <t>No Video ID yet</t>
        </is>
      </c>
      <c r="S682" s="49" t="n"/>
      <c r="T682" s="49" t="n"/>
      <c r="U682" s="47" t="inlineStr">
        <is>
          <t>Join J and Ben as they dive into Chapter 10 of the Chamber of Secrets and discuss Lockhart reenacting stuff, werewolves, ghouls, the library, polyjuice potion, the quidditch match, Harry’s boneless arm, Harry’s hospital wing stay, Dobby’s visit, and Colin and the grapes. The REAL History of Magic - 00:00 - Cold Open: TOUR 01:08 - Intro and Chapter Art 07:49 - Chapter Breakdown 1:10:34 - Closing Thoughts and Review</t>
        </is>
      </c>
      <c r="V682" s="47">
        <f>IF(AND(P682&gt;=Calendar!$K$2,P682&lt;EDATE(Calendar!$K$2,1),OR(Calendar!$K$4="*",N682=Calendar!$K$4)),P682*100+COUNTIFS($P$6:$P$3267,P682,$Q$6:$Q$3267,"&lt;="&amp;Q682,$N$6:$N$3267,Calendar!$K$4),"")</f>
        <v/>
      </c>
      <c r="W682" s="47">
        <f>IF(AND(B682=Queue!$C$4,OR(Queue!$K$4="*",N682=Queue!$K$4)),Q682,"")</f>
        <v/>
      </c>
    </row>
    <row r="683">
      <c r="A683" s="38">
        <f>IF(M683="","",HYPERLINK("https://www.youtube.com/watch?v="&amp;M683,"▶"))</f>
        <v/>
      </c>
      <c r="B683" s="39">
        <f>IF(C683&lt;&gt;"",C683,IF(P683&lt;=IFERROR(INDEX(tblChannels[Watched Through],MATCH(N683,tblChannels[Channel ID],0)),0),"Watched","Unwatched"))</f>
        <v/>
      </c>
      <c r="C683" s="40" t="n"/>
      <c r="D683" s="41" t="n"/>
      <c r="E683" s="42" t="n">
        <v>45374.77083333334</v>
      </c>
      <c r="F683" s="52" t="inlineStr">
        <is>
          <t>Super Carlin Gaming</t>
        </is>
      </c>
      <c r="G683" t="inlineStr">
        <is>
          <t>LAUREN vs. LAUREN | Carlin Brothers Box Breakers S10E2</t>
        </is>
      </c>
      <c r="H683" s="44" t="n">
        <v>0.03305555555555555</v>
      </c>
      <c r="I683" s="45" t="n">
        <v>1289</v>
      </c>
      <c r="J683" s="45" t="n">
        <v>82</v>
      </c>
      <c r="K683" s="45" t="n">
        <v>11</v>
      </c>
      <c r="L683" s="46" t="n"/>
      <c r="M683" s="47" t="n"/>
      <c r="N683" s="47" t="inlineStr">
        <is>
          <t>UCor_9jRnNNZVzTuQ92PKsaQ</t>
        </is>
      </c>
      <c r="O683" s="48" t="n">
        <v>45374.9375</v>
      </c>
      <c r="P683" s="49" t="n">
        <v>45374</v>
      </c>
      <c r="Q683" s="47" t="n">
        <v>2585</v>
      </c>
      <c r="R683" s="47" t="inlineStr">
        <is>
          <t>No Video ID yet</t>
        </is>
      </c>
      <c r="S683" s="49" t="n"/>
      <c r="T683" s="49" t="n"/>
      <c r="U683" s="47" t="inlineStr">
        <is>
          <t>This week gets ICE COLD as Obisidian Flames keeps on delivering the FIRE</t>
        </is>
      </c>
      <c r="V683" s="47">
        <f>IF(AND(P683&gt;=Calendar!$K$2,P683&lt;EDATE(Calendar!$K$2,1),OR(Calendar!$K$4="*",N683=Calendar!$K$4)),P683*100+COUNTIFS($P$6:$P$3267,P683,$Q$6:$Q$3267,"&lt;="&amp;Q683,$N$6:$N$3267,Calendar!$K$4),"")</f>
        <v/>
      </c>
      <c r="W683" s="47">
        <f>IF(AND(B683=Queue!$C$4,OR(Queue!$K$4="*",N683=Queue!$K$4)),Q683,"")</f>
        <v/>
      </c>
    </row>
    <row r="684">
      <c r="A684" s="38">
        <f>IF(M684="","",HYPERLINK("https://www.youtube.com/watch?v="&amp;M684,"▶"))</f>
        <v/>
      </c>
      <c r="B684" s="39">
        <f>IF(C684&lt;&gt;"",C684,IF(P684&lt;=IFERROR(INDEX(tblChannels[Watched Through],MATCH(N684,tblChannels[Channel ID],0)),0),"Watched","Unwatched"))</f>
        <v/>
      </c>
      <c r="C684" s="40" t="n"/>
      <c r="D684" s="41" t="n"/>
      <c r="E684" s="42" t="n">
        <v>45374.41666666666</v>
      </c>
      <c r="F684" s="50" t="inlineStr">
        <is>
          <t>Super Carlin Brothers</t>
        </is>
      </c>
      <c r="G684" t="inlineStr">
        <is>
          <t>Through the Griffin Door Supercut: Chamber of Secrets Chapters 7-9</t>
        </is>
      </c>
      <c r="H684" s="44" t="n">
        <v>0.1507523148148148</v>
      </c>
      <c r="I684" s="45" t="n">
        <v>108878</v>
      </c>
      <c r="J684" s="45" t="n">
        <v>791</v>
      </c>
      <c r="K684" s="45" t="n">
        <v>165</v>
      </c>
      <c r="L684" s="46" t="n"/>
      <c r="M684" s="47" t="n"/>
      <c r="N684" s="47" t="inlineStr">
        <is>
          <t>UCKZo4N0lVPccBkSiuyVh4yg</t>
        </is>
      </c>
      <c r="O684" s="48" t="n">
        <v>45374.58333333334</v>
      </c>
      <c r="P684" s="49" t="n">
        <v>45374</v>
      </c>
      <c r="Q684" s="47" t="n">
        <v>2584</v>
      </c>
      <c r="R684" s="47" t="inlineStr">
        <is>
          <t>No Video ID yet</t>
        </is>
      </c>
      <c r="S684" s="49" t="n"/>
      <c r="T684" s="49" t="n"/>
      <c r="U684" s="47" t="inlineStr">
        <is>
          <t>Join J and Ben as they continue with their newest endeavor: rereading the Harry Potter series in this chapter by chapter recap podcast! We hope you enjoy all the Harry Potter goodness that this podcast will bring. Come along as we go Through the Griffin Door. 00:00:00 - Chapter 7: Mudbloods and Murmurs 01:11:52 - Chapter 8: The Deathday Party 02:24:55 - Chapter 9: The Writing on the Wall</t>
        </is>
      </c>
      <c r="V684" s="47">
        <f>IF(AND(P684&gt;=Calendar!$K$2,P684&lt;EDATE(Calendar!$K$2,1),OR(Calendar!$K$4="*",N684=Calendar!$K$4)),P684*100+COUNTIFS($P$6:$P$3267,P684,$Q$6:$Q$3267,"&lt;="&amp;Q684,$N$6:$N$3267,Calendar!$K$4),"")</f>
        <v/>
      </c>
      <c r="W684" s="47">
        <f>IF(AND(B684=Queue!$C$4,OR(Queue!$K$4="*",N684=Queue!$K$4)),Q684,"")</f>
        <v/>
      </c>
    </row>
    <row r="685">
      <c r="A685" s="38">
        <f>IF(M685="","",HYPERLINK("https://www.youtube.com/watch?v="&amp;M685,"▶"))</f>
        <v/>
      </c>
      <c r="B685" s="39">
        <f>IF(C685&lt;&gt;"",C685,IF(P685&lt;=IFERROR(INDEX(tblChannels[Watched Through],MATCH(N685,tblChannels[Channel ID],0)),0),"Watched","Unwatched"))</f>
        <v/>
      </c>
      <c r="C685" s="40" t="n"/>
      <c r="D685" s="41" t="n"/>
      <c r="E685" s="42" t="n">
        <v>45373.69930555556</v>
      </c>
      <c r="F685" s="50" t="inlineStr">
        <is>
          <t>Super Carlin Brothers</t>
        </is>
      </c>
      <c r="G685" t="inlineStr">
        <is>
          <t>Voldemort’s TRUE Origins | Harry Potter Film Theory</t>
        </is>
      </c>
      <c r="H685" s="44" t="n">
        <v>0.01207175925925926</v>
      </c>
      <c r="I685" s="45" t="n">
        <v>181470</v>
      </c>
      <c r="J685" s="45" t="n">
        <v>7277</v>
      </c>
      <c r="K685" s="45" t="n">
        <v>483</v>
      </c>
      <c r="L685" s="46" t="n"/>
      <c r="M685" s="47" t="n"/>
      <c r="N685" s="47" t="inlineStr">
        <is>
          <t>UCKZo4N0lVPccBkSiuyVh4yg</t>
        </is>
      </c>
      <c r="O685" s="48" t="n">
        <v>45373.86597222222</v>
      </c>
      <c r="P685" s="49" t="n">
        <v>45373</v>
      </c>
      <c r="Q685" s="47" t="n">
        <v>2583</v>
      </c>
      <c r="R685" s="47" t="inlineStr">
        <is>
          <t>No Video ID yet</t>
        </is>
      </c>
      <c r="S685" s="49" t="n"/>
      <c r="T685" s="49" t="n"/>
      <c r="U685" s="47" t="inlineStr">
        <is>
          <t>Get a free Mystery Gift with your first monthly shipment when you sign up at Today Ben dives into the Wizarding World of Harry Potter to uncover the origins of Lord Voldemort, who inspired him and will he ever get that boulder up the hill!?</t>
        </is>
      </c>
      <c r="V685" s="47">
        <f>IF(AND(P685&gt;=Calendar!$K$2,P685&lt;EDATE(Calendar!$K$2,1),OR(Calendar!$K$4="*",N685=Calendar!$K$4)),P685*100+COUNTIFS($P$6:$P$3267,P685,$Q$6:$Q$3267,"&lt;="&amp;Q685,$N$6:$N$3267,Calendar!$K$4),"")</f>
        <v/>
      </c>
      <c r="W685" s="47">
        <f>IF(AND(B685=Queue!$C$4,OR(Queue!$K$4="*",N685=Queue!$K$4)),Q685,"")</f>
        <v/>
      </c>
    </row>
    <row r="686">
      <c r="A686" s="38">
        <f>IF(M686="","",HYPERLINK("https://www.youtube.com/watch?v="&amp;M686,"▶"))</f>
        <v/>
      </c>
      <c r="B686" s="39">
        <f>IF(C686&lt;&gt;"",C686,IF(P686&lt;=IFERROR(INDEX(tblChannels[Watched Through],MATCH(N686,tblChannels[Channel ID],0)),0),"Watched","Unwatched"))</f>
        <v/>
      </c>
      <c r="C686" s="40" t="n"/>
      <c r="D686" s="41" t="n"/>
      <c r="E686" s="42" t="n">
        <v>45373.41666666666</v>
      </c>
      <c r="F686" s="43" t="inlineStr">
        <is>
          <t>Popcorn Culture</t>
        </is>
      </c>
      <c r="G686" t="inlineStr">
        <is>
          <t>224 - Feeling a Certain Type of Way | Popcorn Culture</t>
        </is>
      </c>
      <c r="H686" s="44" t="n">
        <v>0.04734953703703704</v>
      </c>
      <c r="I686" s="45" t="n">
        <v>4233</v>
      </c>
      <c r="J686" s="45" t="n">
        <v>235</v>
      </c>
      <c r="K686" s="45" t="n">
        <v>64</v>
      </c>
      <c r="L686" s="46" t="n"/>
      <c r="M686" s="47" t="n"/>
      <c r="N686" s="47" t="inlineStr">
        <is>
          <t>UCHfIbq9thHPC8yrKjAdJgDA</t>
        </is>
      </c>
      <c r="O686" s="48" t="n">
        <v>45373.58333333334</v>
      </c>
      <c r="P686" s="49" t="n">
        <v>45373</v>
      </c>
      <c r="Q686" s="47" t="n">
        <v>2582</v>
      </c>
      <c r="R686" s="47" t="inlineStr">
        <is>
          <t>No Video ID yet</t>
        </is>
      </c>
      <c r="S686" s="49" t="n"/>
      <c r="T686" s="49" t="n"/>
      <c r="U686" s="47" t="inlineStr">
        <is>
          <t>In the 224th episode of the Pop, Ben and J discuss Ben’s first NBA game, the Olympics, history being made, ice cream vessels, slippery slopes with kids and new lingo. Washington Wizards - Boston Celtics - Fever Pitch - Inside Out - Eating Ice Cream - Full Body Sport 00:00 - Cold Open Crash, Intro 01:10 - DC Trip 33:07 - Ice Cream 52:40 - An Annoying New Phrase</t>
        </is>
      </c>
      <c r="V686" s="47">
        <f>IF(AND(P686&gt;=Calendar!$K$2,P686&lt;EDATE(Calendar!$K$2,1),OR(Calendar!$K$4="*",N686=Calendar!$K$4)),P686*100+COUNTIFS($P$6:$P$3267,P686,$Q$6:$Q$3267,"&lt;="&amp;Q686,$N$6:$N$3267,Calendar!$K$4),"")</f>
        <v/>
      </c>
      <c r="W686" s="47">
        <f>IF(AND(B686=Queue!$C$4,OR(Queue!$K$4="*",N686=Queue!$K$4)),Q686,"")</f>
        <v/>
      </c>
    </row>
    <row r="687">
      <c r="A687" s="38">
        <f>IF(M687="","",HYPERLINK("https://www.youtube.com/watch?v="&amp;M687,"▶"))</f>
        <v/>
      </c>
      <c r="B687" s="39">
        <f>IF(C687&lt;&gt;"",C687,IF(P687&lt;=IFERROR(INDEX(tblChannels[Watched Through],MATCH(N687,tblChannels[Channel ID],0)),0),"Watched","Unwatched"))</f>
        <v/>
      </c>
      <c r="C687" s="40" t="n"/>
      <c r="D687" s="41" t="n"/>
      <c r="E687" s="42" t="n">
        <v>45371.72083333333</v>
      </c>
      <c r="F687" s="50" t="inlineStr">
        <is>
          <t>Super Carlin Brothers</t>
        </is>
      </c>
      <c r="G687" t="inlineStr">
        <is>
          <t>The REAL History of Magic | Harry Potter Film Theory</t>
        </is>
      </c>
      <c r="H687" s="44" t="n">
        <v>0.01265046296296296</v>
      </c>
      <c r="I687" s="45" t="n">
        <v>176012</v>
      </c>
      <c r="J687" s="45" t="n">
        <v>8121</v>
      </c>
      <c r="K687" s="45" t="n">
        <v>609</v>
      </c>
      <c r="L687" s="46" t="n"/>
      <c r="M687" s="47" t="n"/>
      <c r="N687" s="47" t="inlineStr">
        <is>
          <t>UCKZo4N0lVPccBkSiuyVh4yg</t>
        </is>
      </c>
      <c r="O687" s="48" t="n">
        <v>45371.8875</v>
      </c>
      <c r="P687" s="49" t="n">
        <v>45371</v>
      </c>
      <c r="Q687" s="47" t="n">
        <v>2581</v>
      </c>
      <c r="R687" s="47" t="inlineStr">
        <is>
          <t>No Video ID yet</t>
        </is>
      </c>
      <c r="S687" s="49" t="n"/>
      <c r="T687" s="49" t="n"/>
      <c r="U687" s="47" t="inlineStr">
        <is>
          <t>This show is sponsored by BetterHelp – go to to get started today. Today J breaks down the REAL History of Magic in Harry Potter and reveals how many things are inspired from folklore vs were genuine creations of the Wizarding World!</t>
        </is>
      </c>
      <c r="V687" s="47">
        <f>IF(AND(P687&gt;=Calendar!$K$2,P687&lt;EDATE(Calendar!$K$2,1),OR(Calendar!$K$4="*",N687=Calendar!$K$4)),P687*100+COUNTIFS($P$6:$P$3267,P687,$Q$6:$Q$3267,"&lt;="&amp;Q687,$N$6:$N$3267,Calendar!$K$4),"")</f>
        <v/>
      </c>
      <c r="W687" s="47">
        <f>IF(AND(B687=Queue!$C$4,OR(Queue!$K$4="*",N687=Queue!$K$4)),Q687,"")</f>
        <v/>
      </c>
    </row>
    <row r="688">
      <c r="A688" s="38">
        <f>IF(M688="","",HYPERLINK("https://www.youtube.com/watch?v="&amp;M688,"▶"))</f>
        <v/>
      </c>
      <c r="B688" s="39">
        <f>IF(C688&lt;&gt;"",C688,IF(P688&lt;=IFERROR(INDEX(tblChannels[Watched Through],MATCH(N688,tblChannels[Channel ID],0)),0),"Watched","Unwatched"))</f>
        <v/>
      </c>
      <c r="C688" s="40" t="n"/>
      <c r="D688" s="41" t="n"/>
      <c r="E688" s="42" t="n">
        <v>45368.41666666666</v>
      </c>
      <c r="F688" s="51" t="inlineStr">
        <is>
          <t>Through The Griffin Door</t>
        </is>
      </c>
      <c r="G688" t="inlineStr">
        <is>
          <t>Chapter 9: The Writing on the Wall | Chamber of Secrets</t>
        </is>
      </c>
      <c r="H688" s="44" t="n">
        <v>0.05091435185185185</v>
      </c>
      <c r="I688" s="45" t="n">
        <v>71654</v>
      </c>
      <c r="J688" s="45" t="n">
        <v>2142</v>
      </c>
      <c r="K688" s="45" t="n">
        <v>464</v>
      </c>
      <c r="L688" s="46" t="n"/>
      <c r="M688" s="47" t="n"/>
      <c r="N688" s="47" t="inlineStr">
        <is>
          <t>UCEscP6ETYXWSSvsNrDHekMQ</t>
        </is>
      </c>
      <c r="O688" s="48" t="n">
        <v>45368.58333333334</v>
      </c>
      <c r="P688" s="49" t="n">
        <v>45368</v>
      </c>
      <c r="Q688" s="47" t="n">
        <v>2580</v>
      </c>
      <c r="R688" s="47" t="inlineStr">
        <is>
          <t>No Video ID yet</t>
        </is>
      </c>
      <c r="S688" s="49" t="n"/>
      <c r="T688" s="49" t="n"/>
      <c r="U688" s="47" t="inlineStr">
        <is>
          <t>Join J and Ben as they dive into Chapter 9 of the Chamber of Secrets and discuss the scene of the crime, Lockhart’s paintings, Snape and Dumbledore reading Harry’s mind, squibs, Professor Binns, the introduction of the Chamber of Secrets, Slytherin’s locket, prefect points, and Hermione’s rule breaking evolution. TOUR TICKETS: Tickets for Boston on 6/2 - Tickets for New York City on 6/3 - Tickets for Philly on 6/5 - Tickets for Washington, D.C. on 6/13 - Ouagadougou - HOGWARTS IS A DRAGON - 04:52 - Chapter Breakdown 1:08:20 - Closing Thoughts and Review</t>
        </is>
      </c>
      <c r="V688" s="47">
        <f>IF(AND(P688&gt;=Calendar!$K$2,P688&lt;EDATE(Calendar!$K$2,1),OR(Calendar!$K$4="*",N688=Calendar!$K$4)),P688*100+COUNTIFS($P$6:$P$3267,P688,$Q$6:$Q$3267,"&lt;="&amp;Q688,$N$6:$N$3267,Calendar!$K$4),"")</f>
        <v/>
      </c>
      <c r="W688" s="47">
        <f>IF(AND(B688=Queue!$C$4,OR(Queue!$K$4="*",N688=Queue!$K$4)),Q688,"")</f>
        <v/>
      </c>
    </row>
    <row r="689">
      <c r="A689" s="38">
        <f>IF(M689="","",HYPERLINK("https://www.youtube.com/watch?v="&amp;M689,"▶"))</f>
        <v/>
      </c>
      <c r="B689" s="39">
        <f>IF(C689&lt;&gt;"",C689,IF(P689&lt;=IFERROR(INDEX(tblChannels[Watched Through],MATCH(N689,tblChannels[Channel ID],0)),0),"Watched","Unwatched"))</f>
        <v/>
      </c>
      <c r="C689" s="40" t="n"/>
      <c r="D689" s="41" t="n"/>
      <c r="E689" s="42" t="n">
        <v>45366.69652777778</v>
      </c>
      <c r="F689" s="50" t="inlineStr">
        <is>
          <t>Super Carlin Brothers</t>
        </is>
      </c>
      <c r="G689" t="inlineStr">
        <is>
          <t>DESTROYING AI Generated Harry Potter Theories | Harry Potter Film Theory</t>
        </is>
      </c>
      <c r="H689" s="44" t="n">
        <v>0.01380787037037037</v>
      </c>
      <c r="I689" s="45" t="n">
        <v>193379</v>
      </c>
      <c r="J689" s="45" t="n">
        <v>7271</v>
      </c>
      <c r="K689" s="45" t="n">
        <v>647</v>
      </c>
      <c r="L689" s="46" t="n"/>
      <c r="M689" s="47" t="n"/>
      <c r="N689" s="47" t="inlineStr">
        <is>
          <t>UCKZo4N0lVPccBkSiuyVh4yg</t>
        </is>
      </c>
      <c r="O689" s="48" t="n">
        <v>45366.86319444444</v>
      </c>
      <c r="P689" s="49" t="n">
        <v>45366</v>
      </c>
      <c r="Q689" s="47" t="n">
        <v>2579</v>
      </c>
      <c r="R689" s="47" t="inlineStr">
        <is>
          <t>No Video ID yet</t>
        </is>
      </c>
      <c r="S689" s="49" t="n"/>
      <c r="T689" s="49" t="n"/>
      <c r="U689" s="47" t="inlineStr">
        <is>
          <t>This show is sponsored by BetterHelp – go to to get started today. Go to to get 20% off and free shipping. Today J asks ChatGPT to generate some Harry Potter theories and then proceeds to DESTROY THEM. Enjoy!</t>
        </is>
      </c>
      <c r="V689" s="47">
        <f>IF(AND(P689&gt;=Calendar!$K$2,P689&lt;EDATE(Calendar!$K$2,1),OR(Calendar!$K$4="*",N689=Calendar!$K$4)),P689*100+COUNTIFS($P$6:$P$3267,P689,$Q$6:$Q$3267,"&lt;="&amp;Q689,$N$6:$N$3267,Calendar!$K$4),"")</f>
        <v/>
      </c>
      <c r="W689" s="47">
        <f>IF(AND(B689=Queue!$C$4,OR(Queue!$K$4="*",N689=Queue!$K$4)),Q689,"")</f>
        <v/>
      </c>
    </row>
    <row r="690">
      <c r="A690" s="38">
        <f>IF(M690="","",HYPERLINK("https://www.youtube.com/watch?v="&amp;M690,"▶"))</f>
        <v/>
      </c>
      <c r="B690" s="39">
        <f>IF(C690&lt;&gt;"",C690,IF(P690&lt;=IFERROR(INDEX(tblChannels[Watched Through],MATCH(N690,tblChannels[Channel ID],0)),0),"Watched","Unwatched"))</f>
        <v/>
      </c>
      <c r="C690" s="40" t="n"/>
      <c r="D690" s="41" t="n"/>
      <c r="E690" s="42" t="n">
        <v>45366.42708333334</v>
      </c>
      <c r="F690" s="43" t="inlineStr">
        <is>
          <t>Popcorn Culture</t>
        </is>
      </c>
      <c r="G690" t="inlineStr">
        <is>
          <t>Complicated Soup | Popcorn Culture</t>
        </is>
      </c>
      <c r="H690" s="44" t="n">
        <v>0.05467592592592593</v>
      </c>
      <c r="I690" s="45" t="n">
        <v>4640</v>
      </c>
      <c r="J690" s="45" t="n">
        <v>250</v>
      </c>
      <c r="K690" s="45" t="n">
        <v>44</v>
      </c>
      <c r="L690" s="46" t="n"/>
      <c r="M690" s="47" t="n"/>
      <c r="N690" s="47" t="inlineStr">
        <is>
          <t>UCHfIbq9thHPC8yrKjAdJgDA</t>
        </is>
      </c>
      <c r="O690" s="48" t="n">
        <v>45366.59375</v>
      </c>
      <c r="P690" s="49" t="n">
        <v>45366</v>
      </c>
      <c r="Q690" s="47" t="n">
        <v>2578</v>
      </c>
      <c r="R690" s="47" t="inlineStr">
        <is>
          <t>No Video ID yet</t>
        </is>
      </c>
      <c r="S690" s="49" t="n"/>
      <c r="T690" s="49" t="n"/>
      <c r="U690" s="47" t="inlineStr">
        <is>
          <t>In the 223rd episode of the Pop, Ben and J discuss rolling Rs, oatmeal raisin cookies, cliff jumping, niche social anxiety, Halo, LAN parties, getting commended, the nature of complicated things, he said/she said, arguing over text, and burrito theft. Tickets for Boston on 6/2 - Tickets for New York City on 6/3 - Tickets for Philedelphia on 6/5 - Tickets for Washington, D.C. on 6/13 - Elemental - Olaf is Always Right (video with 200 foot drop) - Halo - Jerry Seinfeld - The Bee Movie - *TV Static Noise* Niche Social Anxiety A Maybe Cool Thing? The Destination is the Destination Jerry Seinfeld in a Bee Costume Mystery Burrito 00:00 - Cold Open Announcement! 01:33 - Intro, Oatmeal Raisin Cookies 21:57 - Social Anxiety 35:24 - A Maybe Cool Thing??</t>
        </is>
      </c>
      <c r="V690" s="47">
        <f>IF(AND(P690&gt;=Calendar!$K$2,P690&lt;EDATE(Calendar!$K$2,1),OR(Calendar!$K$4="*",N690=Calendar!$K$4)),P690*100+COUNTIFS($P$6:$P$3267,P690,$Q$6:$Q$3267,"&lt;="&amp;Q690,$N$6:$N$3267,Calendar!$K$4),"")</f>
        <v/>
      </c>
      <c r="W690" s="47">
        <f>IF(AND(B690=Queue!$C$4,OR(Queue!$K$4="*",N690=Queue!$K$4)),Q690,"")</f>
        <v/>
      </c>
    </row>
    <row r="691">
      <c r="A691" s="38">
        <f>IF(M691="","",HYPERLINK("https://www.youtube.com/watch?v="&amp;M691,"▶"))</f>
        <v/>
      </c>
      <c r="B691" s="39">
        <f>IF(C691&lt;&gt;"",C691,IF(P691&lt;=IFERROR(INDEX(tblChannels[Watched Through],MATCH(N691,tblChannels[Channel ID],0)),0),"Watched","Unwatched"))</f>
        <v/>
      </c>
      <c r="C691" s="40" t="n"/>
      <c r="D691" s="41" t="n"/>
      <c r="E691" s="42" t="n">
        <v>45364.74236111111</v>
      </c>
      <c r="F691" s="50" t="inlineStr">
        <is>
          <t>Super Carlin Brothers</t>
        </is>
      </c>
      <c r="G691" t="inlineStr">
        <is>
          <t>J vs Ben: HARDEST Draco Malfoy Harry Potter TRIVIA Quiz Ever</t>
        </is>
      </c>
      <c r="H691" s="44" t="n">
        <v>0.03012731481481482</v>
      </c>
      <c r="I691" s="45" t="n">
        <v>208977</v>
      </c>
      <c r="J691" s="45" t="n">
        <v>6003</v>
      </c>
      <c r="K691" s="45" t="n">
        <v>743</v>
      </c>
      <c r="L691" s="46" t="n"/>
      <c r="M691" s="47" t="n"/>
      <c r="N691" s="47" t="inlineStr">
        <is>
          <t>UCKZo4N0lVPccBkSiuyVh4yg</t>
        </is>
      </c>
      <c r="O691" s="48" t="n">
        <v>45364.90902777778</v>
      </c>
      <c r="P691" s="49" t="n">
        <v>45364</v>
      </c>
      <c r="Q691" s="47" t="n">
        <v>2577</v>
      </c>
      <c r="R691" s="47" t="inlineStr">
        <is>
          <t>No Video ID yet</t>
        </is>
      </c>
      <c r="S691" s="49" t="n"/>
      <c r="T691" s="49" t="n"/>
      <c r="U691" s="47" t="inlineStr">
        <is>
          <t>Go to to get an extra three months. Get 10% off Subscriptions when you head over to Today J and Ben face off once more to find out who knows more about the Wizarding World and take on the HARDEST Draco Malfoy Harry Potter TRIVIA Quiz Ever! Tickets for Through the Griffin TOUR go on sale THIS FRIDAY at 10:00 a.m. EDT. Visit to sign up for the email list and be the first to snag your tickets! Play Along with us ::</t>
        </is>
      </c>
      <c r="V691" s="47">
        <f>IF(AND(P691&gt;=Calendar!$K$2,P691&lt;EDATE(Calendar!$K$2,1),OR(Calendar!$K$4="*",N691=Calendar!$K$4)),P691*100+COUNTIFS($P$6:$P$3267,P691,$Q$6:$Q$3267,"&lt;="&amp;Q691,$N$6:$N$3267,Calendar!$K$4),"")</f>
        <v/>
      </c>
      <c r="W691" s="47">
        <f>IF(AND(B691=Queue!$C$4,OR(Queue!$K$4="*",N691=Queue!$K$4)),Q691,"")</f>
        <v/>
      </c>
    </row>
    <row r="692">
      <c r="A692" s="38">
        <f>IF(M692="","",HYPERLINK("https://www.youtube.com/watch?v="&amp;M692,"▶"))</f>
        <v/>
      </c>
      <c r="B692" s="39">
        <f>IF(C692&lt;&gt;"",C692,IF(P692&lt;=IFERROR(INDEX(tblChannels[Watched Through],MATCH(N692,tblChannels[Channel ID],0)),0),"Watched","Unwatched"))</f>
        <v/>
      </c>
      <c r="C692" s="40" t="n"/>
      <c r="D692" s="41" t="n"/>
      <c r="E692" s="42" t="n">
        <v>45363.68611111111</v>
      </c>
      <c r="F692" s="51" t="inlineStr">
        <is>
          <t>Through The Griffin Door</t>
        </is>
      </c>
      <c r="G692" t="inlineStr">
        <is>
          <t>WE’RE GOING ON TOUR!</t>
        </is>
      </c>
      <c r="H692" s="44" t="n">
        <v>0.002013888888888889</v>
      </c>
      <c r="I692" s="45" t="n">
        <v>8730</v>
      </c>
      <c r="J692" s="45" t="n">
        <v>653</v>
      </c>
      <c r="K692" s="45" t="n">
        <v>140</v>
      </c>
      <c r="L692" s="46" t="n"/>
      <c r="M692" s="47" t="n"/>
      <c r="N692" s="47" t="inlineStr">
        <is>
          <t>UCEscP6ETYXWSSvsNrDHekMQ</t>
        </is>
      </c>
      <c r="O692" s="48" t="n">
        <v>45363.85277777778</v>
      </c>
      <c r="P692" s="49" t="n">
        <v>45363</v>
      </c>
      <c r="Q692" s="47" t="n">
        <v>2576</v>
      </c>
      <c r="R692" s="47" t="inlineStr">
        <is>
          <t>No Video ID yet</t>
        </is>
      </c>
      <c r="S692" s="49" t="n"/>
      <c r="T692" s="49" t="n"/>
      <c r="U692" s="47" t="inlineStr">
        <is>
          <t>WE'RE GOING ON TOUR!!! Tickets for Through the Griffin TOUR go on sale THIS FRIDAY at 10:00 a.m. EDT. Visit to sign up for the email list and be the first to snag your tickets!</t>
        </is>
      </c>
      <c r="V692" s="47">
        <f>IF(AND(P692&gt;=Calendar!$K$2,P692&lt;EDATE(Calendar!$K$2,1),OR(Calendar!$K$4="*",N692=Calendar!$K$4)),P692*100+COUNTIFS($P$6:$P$3267,P692,$Q$6:$Q$3267,"&lt;="&amp;Q692,$N$6:$N$3267,Calendar!$K$4),"")</f>
        <v/>
      </c>
      <c r="W692" s="47">
        <f>IF(AND(B692=Queue!$C$4,OR(Queue!$K$4="*",N692=Queue!$K$4)),Q692,"")</f>
        <v/>
      </c>
    </row>
    <row r="693">
      <c r="A693" s="38">
        <f>IF(M693="","",HYPERLINK("https://www.youtube.com/watch?v="&amp;M693,"▶"))</f>
        <v/>
      </c>
      <c r="B693" s="39">
        <f>IF(C693&lt;&gt;"",C693,IF(P693&lt;=IFERROR(INDEX(tblChannels[Watched Through],MATCH(N693,tblChannels[Channel ID],0)),0),"Watched","Unwatched"))</f>
        <v/>
      </c>
      <c r="C693" s="40" t="n"/>
      <c r="D693" s="41" t="n"/>
      <c r="E693" s="42" t="n">
        <v>45363.66458333333</v>
      </c>
      <c r="F693" s="50" t="inlineStr">
        <is>
          <t>Super Carlin Brothers</t>
        </is>
      </c>
      <c r="G693" t="inlineStr">
        <is>
          <t>WE’RE GOING ON TOUR!</t>
        </is>
      </c>
      <c r="H693" s="44" t="n">
        <v>0.001446759259259259</v>
      </c>
      <c r="I693" s="45" t="n">
        <v>15890</v>
      </c>
      <c r="J693" s="45" t="n">
        <v>1273</v>
      </c>
      <c r="K693" s="45" t="n">
        <v>243</v>
      </c>
      <c r="L693" s="46" t="n"/>
      <c r="M693" s="47" t="n"/>
      <c r="N693" s="47" t="inlineStr">
        <is>
          <t>UCKZo4N0lVPccBkSiuyVh4yg</t>
        </is>
      </c>
      <c r="O693" s="48" t="n">
        <v>45363.83125</v>
      </c>
      <c r="P693" s="49" t="n">
        <v>45363</v>
      </c>
      <c r="Q693" s="47" t="n">
        <v>2575</v>
      </c>
      <c r="R693" s="47" t="inlineStr">
        <is>
          <t>No Video ID yet</t>
        </is>
      </c>
      <c r="S693" s="49" t="n"/>
      <c r="T693" s="49" t="n"/>
      <c r="U693" s="47" t="inlineStr">
        <is>
          <t>WE'RE GOING ON TOUR!!! Tickets for Through the Griffin TOUR go on sale THIS FRIDAY at 10:00 a.m. EDT. Visit to sign up for the email list and be the first to snag your tickets!</t>
        </is>
      </c>
      <c r="V693" s="47">
        <f>IF(AND(P693&gt;=Calendar!$K$2,P693&lt;EDATE(Calendar!$K$2,1),OR(Calendar!$K$4="*",N693=Calendar!$K$4)),P693*100+COUNTIFS($P$6:$P$3267,P693,$Q$6:$Q$3267,"&lt;="&amp;Q693,$N$6:$N$3267,Calendar!$K$4),"")</f>
        <v/>
      </c>
      <c r="W693" s="47">
        <f>IF(AND(B693=Queue!$C$4,OR(Queue!$K$4="*",N693=Queue!$K$4)),Q693,"")</f>
        <v/>
      </c>
    </row>
    <row r="694">
      <c r="A694" s="38">
        <f>IF(M694="","",HYPERLINK("https://www.youtube.com/watch?v="&amp;M694,"▶"))</f>
        <v/>
      </c>
      <c r="B694" s="39">
        <f>IF(C694&lt;&gt;"",C694,IF(P694&lt;=IFERROR(INDEX(tblChannels[Watched Through],MATCH(N694,tblChannels[Channel ID],0)),0),"Watched","Unwatched"))</f>
        <v/>
      </c>
      <c r="C694" s="40" t="n"/>
      <c r="D694" s="41" t="n"/>
      <c r="E694" s="42" t="n">
        <v>45361.41666666666</v>
      </c>
      <c r="F694" s="51" t="inlineStr">
        <is>
          <t>Through The Griffin Door</t>
        </is>
      </c>
      <c r="G694" t="inlineStr">
        <is>
          <t>Chapter 8: The Deathday Party | Chamber of Secrets</t>
        </is>
      </c>
      <c r="H694" s="44" t="n">
        <v>0.05074074074074074</v>
      </c>
      <c r="I694" s="45" t="n">
        <v>75148</v>
      </c>
      <c r="J694" s="45" t="n">
        <v>2063</v>
      </c>
      <c r="K694" s="45" t="n">
        <v>514</v>
      </c>
      <c r="L694" s="46" t="n"/>
      <c r="M694" s="47" t="n"/>
      <c r="N694" s="47" t="inlineStr">
        <is>
          <t>UCEscP6ETYXWSSvsNrDHekMQ</t>
        </is>
      </c>
      <c r="O694" s="48" t="n">
        <v>45361.58333333334</v>
      </c>
      <c r="P694" s="49" t="n">
        <v>45361</v>
      </c>
      <c r="Q694" s="47" t="n">
        <v>2574</v>
      </c>
      <c r="R694" s="47" t="inlineStr">
        <is>
          <t>No Video ID yet</t>
        </is>
      </c>
      <c r="S694" s="49" t="n"/>
      <c r="T694" s="49" t="n"/>
      <c r="U694" s="47" t="inlineStr">
        <is>
          <t>Join J and Ben as they dive into Chapter 8 of the Chamber of Secrets and Halloween recurrences, more evidence that Filch is a poltergeist, the canon timeline, Myrtle wearing glasses, the concept of Death Days, immortality, food at the party, and the basilisk. 12:30 - Chapter Breakdown 1:06:14 - Closing Thoughts and Review</t>
        </is>
      </c>
      <c r="V694" s="47">
        <f>IF(AND(P694&gt;=Calendar!$K$2,P694&lt;EDATE(Calendar!$K$2,1),OR(Calendar!$K$4="*",N694=Calendar!$K$4)),P694*100+COUNTIFS($P$6:$P$3267,P694,$Q$6:$Q$3267,"&lt;="&amp;Q694,$N$6:$N$3267,Calendar!$K$4),"")</f>
        <v/>
      </c>
      <c r="W694" s="47">
        <f>IF(AND(B694=Queue!$C$4,OR(Queue!$K$4="*",N694=Queue!$K$4)),Q694,"")</f>
        <v/>
      </c>
    </row>
    <row r="695">
      <c r="A695" s="38">
        <f>IF(M695="","",HYPERLINK("https://www.youtube.com/watch?v="&amp;M695,"▶"))</f>
        <v/>
      </c>
      <c r="B695" s="39">
        <f>IF(C695&lt;&gt;"",C695,IF(P695&lt;=IFERROR(INDEX(tblChannels[Watched Through],MATCH(N695,tblChannels[Channel ID],0)),0),"Watched","Unwatched"))</f>
        <v/>
      </c>
      <c r="C695" s="40" t="n"/>
      <c r="D695" s="41" t="n"/>
      <c r="E695" s="42" t="n">
        <v>45360.41666666666</v>
      </c>
      <c r="F695" s="50" t="inlineStr">
        <is>
          <t>Super Carlin Brothers</t>
        </is>
      </c>
      <c r="G695" t="inlineStr">
        <is>
          <t>Through the Griffin Door Supercut: Chamber of Secrets Chapters 4-6</t>
        </is>
      </c>
      <c r="H695" s="44" t="n">
        <v>0.1584606481481481</v>
      </c>
      <c r="I695" s="45" t="n">
        <v>153895</v>
      </c>
      <c r="J695" s="45" t="n">
        <v>991</v>
      </c>
      <c r="K695" s="45" t="n">
        <v>152</v>
      </c>
      <c r="L695" s="46" t="n"/>
      <c r="M695" s="47" t="n"/>
      <c r="N695" s="47" t="inlineStr">
        <is>
          <t>UCKZo4N0lVPccBkSiuyVh4yg</t>
        </is>
      </c>
      <c r="O695" s="48" t="n">
        <v>45360.625</v>
      </c>
      <c r="P695" s="49" t="n">
        <v>45360</v>
      </c>
      <c r="Q695" s="47" t="n">
        <v>2573</v>
      </c>
      <c r="R695" s="47" t="inlineStr">
        <is>
          <t>No Video ID yet</t>
        </is>
      </c>
      <c r="S695" s="49" t="n"/>
      <c r="T695" s="49" t="n"/>
      <c r="U695" s="47" t="inlineStr">
        <is>
          <t>Join J and Ben as they continue with their newest endeavor: rereading the Harry Potter series in this chapter by chapter recap podcast! We hope you enjoy all the Harry Potter goodness that this podcast will bring. Come along as we go Through the Griffin Door. 00:00:00 - Chapter 4: At Flourish and Blotts 01:39:58 - Chapter 5: The Whomping Willow 02:35:57 - Chapter 6: Gilderoy Lockhart</t>
        </is>
      </c>
      <c r="V695" s="47">
        <f>IF(AND(P695&gt;=Calendar!$K$2,P695&lt;EDATE(Calendar!$K$2,1),OR(Calendar!$K$4="*",N695=Calendar!$K$4)),P695*100+COUNTIFS($P$6:$P$3267,P695,$Q$6:$Q$3267,"&lt;="&amp;Q695,$N$6:$N$3267,Calendar!$K$4),"")</f>
        <v/>
      </c>
      <c r="W695" s="47">
        <f>IF(AND(B695=Queue!$C$4,OR(Queue!$K$4="*",N695=Queue!$K$4)),Q695,"")</f>
        <v/>
      </c>
    </row>
    <row r="696">
      <c r="A696" s="38">
        <f>IF(M696="","",HYPERLINK("https://www.youtube.com/watch?v="&amp;M696,"▶"))</f>
        <v/>
      </c>
      <c r="B696" s="39">
        <f>IF(C696&lt;&gt;"",C696,IF(P696&lt;=IFERROR(INDEX(tblChannels[Watched Through],MATCH(N696,tblChannels[Channel ID],0)),0),"Watched","Unwatched"))</f>
        <v/>
      </c>
      <c r="C696" s="40" t="n"/>
      <c r="D696" s="41" t="n"/>
      <c r="E696" s="42" t="n">
        <v>45359.77083333334</v>
      </c>
      <c r="F696" s="52" t="inlineStr">
        <is>
          <t>Super Carlin Gaming</t>
        </is>
      </c>
      <c r="G696" t="inlineStr">
        <is>
          <t>LET THE FLAMES BEGIN | Carlin Brothers Box Breakers S10E1</t>
        </is>
      </c>
      <c r="H696" s="44" t="n">
        <v>0.03439814814814815</v>
      </c>
      <c r="I696" s="45" t="n">
        <v>1642</v>
      </c>
      <c r="J696" s="45" t="n">
        <v>86</v>
      </c>
      <c r="K696" s="45" t="n">
        <v>19</v>
      </c>
      <c r="L696" s="46" t="n"/>
      <c r="M696" s="47" t="n"/>
      <c r="N696" s="47" t="inlineStr">
        <is>
          <t>UCor_9jRnNNZVzTuQ92PKsaQ</t>
        </is>
      </c>
      <c r="O696" s="48" t="n">
        <v>45359.97916666666</v>
      </c>
      <c r="P696" s="49" t="n">
        <v>45359</v>
      </c>
      <c r="Q696" s="47" t="n">
        <v>2572</v>
      </c>
      <c r="R696" s="47" t="inlineStr">
        <is>
          <t>No Video ID yet</t>
        </is>
      </c>
      <c r="S696" s="49" t="n"/>
      <c r="T696" s="49" t="n"/>
      <c r="U696" s="47" t="inlineStr">
        <is>
          <t>This week we unbox our first cards from OBSIDIAN FLAMES</t>
        </is>
      </c>
      <c r="V696" s="47">
        <f>IF(AND(P696&gt;=Calendar!$K$2,P696&lt;EDATE(Calendar!$K$2,1),OR(Calendar!$K$4="*",N696=Calendar!$K$4)),P696*100+COUNTIFS($P$6:$P$3267,P696,$Q$6:$Q$3267,"&lt;="&amp;Q696,$N$6:$N$3267,Calendar!$K$4),"")</f>
        <v/>
      </c>
      <c r="W696" s="47">
        <f>IF(AND(B696=Queue!$C$4,OR(Queue!$K$4="*",N696=Queue!$K$4)),Q696,"")</f>
        <v/>
      </c>
    </row>
    <row r="697">
      <c r="A697" s="38">
        <f>IF(M697="","",HYPERLINK("https://www.youtube.com/watch?v="&amp;M697,"▶"))</f>
        <v/>
      </c>
      <c r="B697" s="39">
        <f>IF(C697&lt;&gt;"",C697,IF(P697&lt;=IFERROR(INDEX(tblChannels[Watched Through],MATCH(N697,tblChannels[Channel ID],0)),0),"Watched","Unwatched"))</f>
        <v/>
      </c>
      <c r="C697" s="40" t="n"/>
      <c r="D697" s="41" t="n"/>
      <c r="E697" s="42" t="n">
        <v>45359.61597222222</v>
      </c>
      <c r="F697" s="50" t="inlineStr">
        <is>
          <t>Super Carlin Brothers</t>
        </is>
      </c>
      <c r="G697" t="inlineStr">
        <is>
          <t>Did Harry Potter ACTUALLY Die!? | Harry Potter Film Theory</t>
        </is>
      </c>
      <c r="H697" s="44" t="n">
        <v>0.009444444444444445</v>
      </c>
      <c r="I697" s="45" t="n">
        <v>106212</v>
      </c>
      <c r="J697" s="45" t="n">
        <v>5391</v>
      </c>
      <c r="K697" s="45" t="n">
        <v>414</v>
      </c>
      <c r="L697" s="46" t="n"/>
      <c r="M697" s="47" t="n"/>
      <c r="N697" s="47" t="inlineStr">
        <is>
          <t>UCKZo4N0lVPccBkSiuyVh4yg</t>
        </is>
      </c>
      <c r="O697" s="48" t="n">
        <v>45359.82430555556</v>
      </c>
      <c r="P697" s="49" t="n">
        <v>45359</v>
      </c>
      <c r="Q697" s="47" t="n">
        <v>2571</v>
      </c>
      <c r="R697" s="47" t="inlineStr">
        <is>
          <t>No Video ID yet</t>
        </is>
      </c>
      <c r="S697" s="49" t="n"/>
      <c r="T697" s="49" t="n"/>
      <c r="U697" s="47" t="inlineStr">
        <is>
          <t>Shopify info for description: Go to to sign up for a $1 per month trial period. Today J dives into the Wizarding World of Harry Potter to find out if Harry ACTUALLY died at in the forest when Voldemort hits him with Avada Kedavra or if he only got part of the way there. What do you think?</t>
        </is>
      </c>
      <c r="V697" s="47">
        <f>IF(AND(P697&gt;=Calendar!$K$2,P697&lt;EDATE(Calendar!$K$2,1),OR(Calendar!$K$4="*",N697=Calendar!$K$4)),P697*100+COUNTIFS($P$6:$P$3267,P697,$Q$6:$Q$3267,"&lt;="&amp;Q697,$N$6:$N$3267,Calendar!$K$4),"")</f>
        <v/>
      </c>
      <c r="W697" s="47">
        <f>IF(AND(B697=Queue!$C$4,OR(Queue!$K$4="*",N697=Queue!$K$4)),Q697,"")</f>
        <v/>
      </c>
    </row>
    <row r="698">
      <c r="A698" s="38">
        <f>IF(M698="","",HYPERLINK("https://www.youtube.com/watch?v="&amp;M698,"▶"))</f>
        <v/>
      </c>
      <c r="B698" s="39">
        <f>IF(C698&lt;&gt;"",C698,IF(P698&lt;=IFERROR(INDEX(tblChannels[Watched Through],MATCH(N698,tblChannels[Channel ID],0)),0),"Watched","Unwatched"))</f>
        <v/>
      </c>
      <c r="C698" s="40" t="n"/>
      <c r="D698" s="41" t="n"/>
      <c r="E698" s="42" t="n">
        <v>45359.56180555555</v>
      </c>
      <c r="F698" s="50" t="inlineStr">
        <is>
          <t>Super Carlin Brothers</t>
        </is>
      </c>
      <c r="G698" t="inlineStr">
        <is>
          <t>Our Top 10 MOST Used Harry Potter Clips #shorts  #harrypotter</t>
        </is>
      </c>
      <c r="H698" s="44" t="n">
        <v>0.000625</v>
      </c>
      <c r="I698" s="45" t="n">
        <v>106765</v>
      </c>
      <c r="J698" s="45" t="n">
        <v>6556</v>
      </c>
      <c r="K698" s="45" t="n">
        <v>213</v>
      </c>
      <c r="L698" s="46" t="n"/>
      <c r="M698" s="47" t="n"/>
      <c r="N698" s="47" t="inlineStr">
        <is>
          <t>UCKZo4N0lVPccBkSiuyVh4yg</t>
        </is>
      </c>
      <c r="O698" s="48" t="n">
        <v>45359.77013888889</v>
      </c>
      <c r="P698" s="49" t="n">
        <v>45359</v>
      </c>
      <c r="Q698" s="47" t="n">
        <v>2570</v>
      </c>
      <c r="R698" s="47" t="inlineStr">
        <is>
          <t>No Video ID yet</t>
        </is>
      </c>
      <c r="S698" s="49" t="n"/>
      <c r="T698" s="49" t="n"/>
      <c r="U698" s="47" t="inlineStr">
        <is>
          <t>We've made a lot of Harry Potter videos over the years... these are the top 10 clips we have used most often!</t>
        </is>
      </c>
      <c r="V698" s="47">
        <f>IF(AND(P698&gt;=Calendar!$K$2,P698&lt;EDATE(Calendar!$K$2,1),OR(Calendar!$K$4="*",N698=Calendar!$K$4)),P698*100+COUNTIFS($P$6:$P$3267,P698,$Q$6:$Q$3267,"&lt;="&amp;Q698,$N$6:$N$3267,Calendar!$K$4),"")</f>
        <v/>
      </c>
      <c r="W698" s="47">
        <f>IF(AND(B698=Queue!$C$4,OR(Queue!$K$4="*",N698=Queue!$K$4)),Q698,"")</f>
        <v/>
      </c>
    </row>
    <row r="699">
      <c r="A699" s="38">
        <f>IF(M699="","",HYPERLINK("https://www.youtube.com/watch?v="&amp;M699,"▶"))</f>
        <v/>
      </c>
      <c r="B699" s="39">
        <f>IF(C699&lt;&gt;"",C699,IF(P699&lt;=IFERROR(INDEX(tblChannels[Watched Through],MATCH(N699,tblChannels[Channel ID],0)),0),"Watched","Unwatched"))</f>
        <v/>
      </c>
      <c r="C699" s="40" t="n"/>
      <c r="D699" s="41" t="n"/>
      <c r="E699" s="42" t="n">
        <v>45359.41666666666</v>
      </c>
      <c r="F699" s="43" t="inlineStr">
        <is>
          <t>Popcorn Culture</t>
        </is>
      </c>
      <c r="G699" t="inlineStr">
        <is>
          <t>Little Debra | Popcorn Culture</t>
        </is>
      </c>
      <c r="H699" s="44" t="n">
        <v>0.05046296296296297</v>
      </c>
      <c r="I699" s="45" t="n">
        <v>4353</v>
      </c>
      <c r="J699" s="45" t="n">
        <v>225</v>
      </c>
      <c r="K699" s="45" t="n">
        <v>59</v>
      </c>
      <c r="L699" s="46" t="n"/>
      <c r="M699" s="47" t="n"/>
      <c r="N699" s="47" t="inlineStr">
        <is>
          <t>UCHfIbq9thHPC8yrKjAdJgDA</t>
        </is>
      </c>
      <c r="O699" s="48" t="n">
        <v>45359.625</v>
      </c>
      <c r="P699" s="49" t="n">
        <v>45359</v>
      </c>
      <c r="Q699" s="47" t="n">
        <v>2569</v>
      </c>
      <c r="R699" s="47" t="inlineStr">
        <is>
          <t>No Video ID yet</t>
        </is>
      </c>
      <c r="S699" s="49" t="n"/>
      <c r="T699" s="49" t="n"/>
      <c r="U699" s="47" t="inlineStr">
        <is>
          <t>In the 222nd episode of the Pop, Ben and J discuss Little Debbie Cakes, routines with little kids, anxiety dreams, SodaStream, signs from the universe, pancakes and waffles, and quality of food. Show Notes Inside Out - Good Mythical Morning - Jack Browns Roanoke - What Is This, BROWN WATER? A Hot Cake, If You Will 00:00 - Intro, The Little Debbie Brand 33:06 - Signs 47:44 - Pancakes vs. Waffles</t>
        </is>
      </c>
      <c r="V699" s="47">
        <f>IF(AND(P699&gt;=Calendar!$K$2,P699&lt;EDATE(Calendar!$K$2,1),OR(Calendar!$K$4="*",N699=Calendar!$K$4)),P699*100+COUNTIFS($P$6:$P$3267,P699,$Q$6:$Q$3267,"&lt;="&amp;Q699,$N$6:$N$3267,Calendar!$K$4),"")</f>
        <v/>
      </c>
      <c r="W699" s="47">
        <f>IF(AND(B699=Queue!$C$4,OR(Queue!$K$4="*",N699=Queue!$K$4)),Q699,"")</f>
        <v/>
      </c>
    </row>
    <row r="700">
      <c r="A700" s="38">
        <f>IF(M700="","",HYPERLINK("https://www.youtube.com/watch?v="&amp;M700,"▶"))</f>
        <v/>
      </c>
      <c r="B700" s="39">
        <f>IF(C700&lt;&gt;"",C700,IF(P700&lt;=IFERROR(INDEX(tblChannels[Watched Through],MATCH(N700,tblChannels[Channel ID],0)),0),"Watched","Unwatched"))</f>
        <v/>
      </c>
      <c r="C700" s="40" t="n"/>
      <c r="D700" s="41" t="n"/>
      <c r="E700" s="42" t="n">
        <v>45357.69513888889</v>
      </c>
      <c r="F700" s="50" t="inlineStr">
        <is>
          <t>Super Carlin Brothers</t>
        </is>
      </c>
      <c r="G700" t="inlineStr">
        <is>
          <t>Why Does Aang GOOGLE AUTOFILL | Avatar The Last Airbender</t>
        </is>
      </c>
      <c r="H700" s="44" t="n">
        <v>0.01172453703703704</v>
      </c>
      <c r="I700" s="45" t="n">
        <v>131188</v>
      </c>
      <c r="J700" s="45" t="n">
        <v>5115</v>
      </c>
      <c r="K700" s="45" t="n">
        <v>350</v>
      </c>
      <c r="L700" s="46" t="n"/>
      <c r="M700" s="47" t="n"/>
      <c r="N700" s="47" t="inlineStr">
        <is>
          <t>UCKZo4N0lVPccBkSiuyVh4yg</t>
        </is>
      </c>
      <c r="O700" s="48" t="n">
        <v>45357.90347222222</v>
      </c>
      <c r="P700" s="49" t="n">
        <v>45357</v>
      </c>
      <c r="Q700" s="47" t="n">
        <v>2568</v>
      </c>
      <c r="R700" s="47" t="inlineStr">
        <is>
          <t>No Video ID yet</t>
        </is>
      </c>
      <c r="S700" s="49" t="n"/>
      <c r="T700" s="49" t="n"/>
      <c r="U700" s="47" t="inlineStr">
        <is>
          <t>This show is sponsored by BetterHelp - go to to get 10% off your first month. Today J dives off a sky bison into the world of Avatar The Last Airbender to answer all of Google’s most burning questions about why Aang does anything! #supercarlinbrothers #Atla #AvatarTheLastAirbender</t>
        </is>
      </c>
      <c r="V700" s="47">
        <f>IF(AND(P700&gt;=Calendar!$K$2,P700&lt;EDATE(Calendar!$K$2,1),OR(Calendar!$K$4="*",N700=Calendar!$K$4)),P700*100+COUNTIFS($P$6:$P$3267,P700,$Q$6:$Q$3267,"&lt;="&amp;Q700,$N$6:$N$3267,Calendar!$K$4),"")</f>
        <v/>
      </c>
      <c r="W700" s="47">
        <f>IF(AND(B700=Queue!$C$4,OR(Queue!$K$4="*",N700=Queue!$K$4)),Q700,"")</f>
        <v/>
      </c>
    </row>
    <row r="701">
      <c r="A701" s="38">
        <f>IF(M701="","",HYPERLINK("https://www.youtube.com/watch?v="&amp;M701,"▶"))</f>
        <v/>
      </c>
      <c r="B701" s="39">
        <f>IF(C701&lt;&gt;"",C701,IF(P701&lt;=IFERROR(INDEX(tblChannels[Watched Through],MATCH(N701,tblChannels[Channel ID],0)),0),"Watched","Unwatched"))</f>
        <v/>
      </c>
      <c r="C701" s="40" t="n"/>
      <c r="D701" s="41" t="n"/>
      <c r="E701" s="42" t="n">
        <v>45354.41666666666</v>
      </c>
      <c r="F701" s="51" t="inlineStr">
        <is>
          <t>Through The Griffin Door</t>
        </is>
      </c>
      <c r="G701" t="inlineStr">
        <is>
          <t>Chapter 7: Mudbloods and Murmurs | Chamber of Secrets</t>
        </is>
      </c>
      <c r="H701" s="44" t="n">
        <v>0.04990740740740741</v>
      </c>
      <c r="I701" s="45" t="n">
        <v>78542</v>
      </c>
      <c r="J701" s="45" t="n">
        <v>2182</v>
      </c>
      <c r="K701" s="45" t="n">
        <v>401</v>
      </c>
      <c r="L701" s="46" t="n"/>
      <c r="M701" s="47" t="n"/>
      <c r="N701" s="47" t="inlineStr">
        <is>
          <t>UCEscP6ETYXWSSvsNrDHekMQ</t>
        </is>
      </c>
      <c r="O701" s="48" t="n">
        <v>45354.625</v>
      </c>
      <c r="P701" s="49" t="n">
        <v>45354</v>
      </c>
      <c r="Q701" s="47" t="n">
        <v>2567</v>
      </c>
      <c r="R701" s="47" t="inlineStr">
        <is>
          <t>No Video ID yet</t>
        </is>
      </c>
      <c r="S701" s="49" t="n"/>
      <c r="T701" s="49" t="n"/>
      <c r="U701" s="47" t="inlineStr">
        <is>
          <t>Join J and Ben as they dive into Chapter 7 of the Chamber of Secrets and discuss the copious amount of slugs, Wood’s Quidditch mania, photo agency, the strength of the slug belching curse, the trio going to Hagrid’s hut, good misdirects, detentions, and the voice in the walls. 05:53 - Chapter Breakdown 59:51 - Closing Thoughts and Review</t>
        </is>
      </c>
      <c r="V701" s="47">
        <f>IF(AND(P701&gt;=Calendar!$K$2,P701&lt;EDATE(Calendar!$K$2,1),OR(Calendar!$K$4="*",N701=Calendar!$K$4)),P701*100+COUNTIFS($P$6:$P$3267,P701,$Q$6:$Q$3267,"&lt;="&amp;Q701,$N$6:$N$3267,Calendar!$K$4),"")</f>
        <v/>
      </c>
      <c r="W701" s="47">
        <f>IF(AND(B701=Queue!$C$4,OR(Queue!$K$4="*",N701=Queue!$K$4)),Q701,"")</f>
        <v/>
      </c>
    </row>
    <row r="702">
      <c r="A702" s="38">
        <f>IF(M702="","",HYPERLINK("https://www.youtube.com/watch?v="&amp;M702,"▶"))</f>
        <v/>
      </c>
      <c r="B702" s="39">
        <f>IF(C702&lt;&gt;"",C702,IF(P702&lt;=IFERROR(INDEX(tblChannels[Watched Through],MATCH(N702,tblChannels[Channel ID],0)),0),"Watched","Unwatched"))</f>
        <v/>
      </c>
      <c r="C702" s="40" t="n"/>
      <c r="D702" s="41" t="n"/>
      <c r="E702" s="42" t="n">
        <v>45352.575</v>
      </c>
      <c r="F702" s="50" t="inlineStr">
        <is>
          <t>Super Carlin Brothers</t>
        </is>
      </c>
      <c r="G702" t="inlineStr">
        <is>
          <t>J vs Ben: HARDEST Ron Weasley Harry Potter TRIVIA Quiz Ever</t>
        </is>
      </c>
      <c r="H702" s="44" t="n">
        <v>0.02938657407407408</v>
      </c>
      <c r="I702" s="45" t="n">
        <v>190813</v>
      </c>
      <c r="J702" s="45" t="n">
        <v>5456</v>
      </c>
      <c r="K702" s="45" t="n">
        <v>513</v>
      </c>
      <c r="L702" s="46" t="n"/>
      <c r="M702" s="47" t="n"/>
      <c r="N702" s="47" t="inlineStr">
        <is>
          <t>UCKZo4N0lVPccBkSiuyVh4yg</t>
        </is>
      </c>
      <c r="O702" s="48" t="n">
        <v>45352.78333333333</v>
      </c>
      <c r="P702" s="49" t="n">
        <v>45352</v>
      </c>
      <c r="Q702" s="47" t="n">
        <v>2566</v>
      </c>
      <c r="R702" s="47" t="inlineStr">
        <is>
          <t>No Video ID yet</t>
        </is>
      </c>
      <c r="S702" s="49" t="n"/>
      <c r="T702" s="49" t="n"/>
      <c r="U702" s="47" t="inlineStr">
        <is>
          <t>Go to to cancel your unwanted subscriptions with Rocket Money Go to for 20% off your first order plus free shipping. Today J and Ben dive into the wizarding world of Harry Potter to face off once more to find out who knows the most about Harry’s best friend RON WEASLEY! 02:37 - Q1: Where does Ron fall in the sibling lineup? 04:09 - Q2: What spell does Ron use against the troll? 05:33 - Q3: What is Ron’s wand? 08:20 - Q4: Who did Ron beat for Keeper? 11:28 - Q5: Who’s Polyjuice Potion did Ron take in his 2nd year? 12:51 - Q6: How many times does Ron go to the hospital wing? 16:09 - Q7: Which Unforgivable Curse did Ron know? 17:07 - Q8: What was Ron’s Prefect gift? 18:57 - Q9: Which two chocolate frog cards is Ron missing? 27:19 - Q10: What did Ron accidentally eat on his 17th birthday? 28:48 - Q11: Who does Ron tell the snatchers he is? 30:28 - Q12: Which chaser did Ron successfully block? 33:31 - Q13: What did Ron give Dobby for Christmas? 34:34 - Q14: What tripped Ron up in Lupin’s DADA exam? 37:28 - Q15: What does Ginny joke that Ron has a tattoo of? #supercarlinbrothers #JvsBen #HarryPotter</t>
        </is>
      </c>
      <c r="V702" s="47">
        <f>IF(AND(P702&gt;=Calendar!$K$2,P702&lt;EDATE(Calendar!$K$2,1),OR(Calendar!$K$4="*",N702=Calendar!$K$4)),P702*100+COUNTIFS($P$6:$P$3267,P702,$Q$6:$Q$3267,"&lt;="&amp;Q702,$N$6:$N$3267,Calendar!$K$4),"")</f>
        <v/>
      </c>
      <c r="W702" s="47">
        <f>IF(AND(B702=Queue!$C$4,OR(Queue!$K$4="*",N702=Queue!$K$4)),Q702,"")</f>
        <v/>
      </c>
    </row>
    <row r="703">
      <c r="A703" s="38">
        <f>IF(M703="","",HYPERLINK("https://www.youtube.com/watch?v="&amp;M703,"▶"))</f>
        <v/>
      </c>
      <c r="B703" s="39">
        <f>IF(C703&lt;&gt;"",C703,IF(P703&lt;=IFERROR(INDEX(tblChannels[Watched Through],MATCH(N703,tblChannels[Channel ID],0)),0),"Watched","Unwatched"))</f>
        <v/>
      </c>
      <c r="C703" s="40" t="n"/>
      <c r="D703" s="41" t="n"/>
      <c r="E703" s="42" t="n">
        <v>45352.41666666666</v>
      </c>
      <c r="F703" s="43" t="inlineStr">
        <is>
          <t>Popcorn Culture</t>
        </is>
      </c>
      <c r="G703" t="inlineStr">
        <is>
          <t>NEVER BACK DOWN | Popcorn Culture</t>
        </is>
      </c>
      <c r="H703" s="44" t="n">
        <v>0.05347222222222222</v>
      </c>
      <c r="I703" s="45" t="n">
        <v>4335</v>
      </c>
      <c r="J703" s="45" t="n">
        <v>207</v>
      </c>
      <c r="K703" s="45" t="n">
        <v>39</v>
      </c>
      <c r="L703" s="46" t="n"/>
      <c r="M703" s="47" t="n"/>
      <c r="N703" s="47" t="inlineStr">
        <is>
          <t>UCHfIbq9thHPC8yrKjAdJgDA</t>
        </is>
      </c>
      <c r="O703" s="48" t="n">
        <v>45352.625</v>
      </c>
      <c r="P703" s="49" t="n">
        <v>45352</v>
      </c>
      <c r="Q703" s="47" t="n">
        <v>2565</v>
      </c>
      <c r="R703" s="47" t="inlineStr">
        <is>
          <t>No Video ID yet</t>
        </is>
      </c>
      <c r="S703" s="49" t="n"/>
      <c r="T703" s="49" t="n"/>
      <c r="U703" s="47" t="inlineStr">
        <is>
          <t>In the 221st episode of the Pop, Ben and J discuss football, ethics of gameplay, their position in reviewing films, bad pump up movies and movies that got them. Show Notes Never Back Down - Rocky - Avatar - The Good Dinosaur - The Starbucks Cup in Game of Thrones - Glass Onion Director Breakdown - Knives Out - Glass Onion - Star Wars Franchise - Emperor’s New Groove - The Prestige - Ocean’s Eleven - Shawshank Redemption - Fight Club - Creed Franchise -</t>
        </is>
      </c>
      <c r="V703" s="47">
        <f>IF(AND(P703&gt;=Calendar!$K$2,P703&lt;EDATE(Calendar!$K$2,1),OR(Calendar!$K$4="*",N703=Calendar!$K$4)),P703*100+COUNTIFS($P$6:$P$3267,P703,$Q$6:$Q$3267,"&lt;="&amp;Q703,$N$6:$N$3267,Calendar!$K$4),"")</f>
        <v/>
      </c>
      <c r="W703" s="47">
        <f>IF(AND(B703=Queue!$C$4,OR(Queue!$K$4="*",N703=Queue!$K$4)),Q703,"")</f>
        <v/>
      </c>
    </row>
    <row r="704">
      <c r="A704" s="38">
        <f>IF(M704="","",HYPERLINK("https://www.youtube.com/watch?v="&amp;M704,"▶"))</f>
        <v/>
      </c>
      <c r="B704" s="39">
        <f>IF(C704&lt;&gt;"",C704,IF(P704&lt;=IFERROR(INDEX(tblChannels[Watched Through],MATCH(N704,tblChannels[Channel ID],0)),0),"Watched","Unwatched"))</f>
        <v/>
      </c>
      <c r="C704" s="40" t="n"/>
      <c r="D704" s="41" t="n"/>
      <c r="E704" s="42" t="n">
        <v>45350.77083333334</v>
      </c>
      <c r="F704" s="52" t="inlineStr">
        <is>
          <t>Super Carlin Gaming</t>
        </is>
      </c>
      <c r="G704" t="inlineStr">
        <is>
          <t>In Fate's Hands | Carlin Brothers Box Breakers S9E4</t>
        </is>
      </c>
      <c r="H704" s="44" t="n">
        <v>0.02827546296296296</v>
      </c>
      <c r="I704" s="45" t="n">
        <v>1233</v>
      </c>
      <c r="J704" s="45" t="n">
        <v>79</v>
      </c>
      <c r="K704" s="45" t="n">
        <v>10</v>
      </c>
      <c r="L704" s="46" t="n"/>
      <c r="M704" s="47" t="n"/>
      <c r="N704" s="47" t="inlineStr">
        <is>
          <t>UCor_9jRnNNZVzTuQ92PKsaQ</t>
        </is>
      </c>
      <c r="O704" s="48" t="n">
        <v>45350.97916666666</v>
      </c>
      <c r="P704" s="49" t="n">
        <v>45350</v>
      </c>
      <c r="Q704" s="47" t="n">
        <v>2564</v>
      </c>
      <c r="R704" s="47" t="inlineStr">
        <is>
          <t>No Video ID yet</t>
        </is>
      </c>
      <c r="S704" s="49" t="n"/>
      <c r="T704" s="49" t="n"/>
      <c r="U704" s="47" t="inlineStr">
        <is>
          <t>This Week Paldean Fates Ends</t>
        </is>
      </c>
      <c r="V704" s="47">
        <f>IF(AND(P704&gt;=Calendar!$K$2,P704&lt;EDATE(Calendar!$K$2,1),OR(Calendar!$K$4="*",N704=Calendar!$K$4)),P704*100+COUNTIFS($P$6:$P$3267,P704,$Q$6:$Q$3267,"&lt;="&amp;Q704,$N$6:$N$3267,Calendar!$K$4),"")</f>
        <v/>
      </c>
      <c r="W704" s="47">
        <f>IF(AND(B704=Queue!$C$4,OR(Queue!$K$4="*",N704=Queue!$K$4)),Q704,"")</f>
        <v/>
      </c>
    </row>
    <row r="705">
      <c r="A705" s="38">
        <f>IF(M705="","",HYPERLINK("https://www.youtube.com/watch?v="&amp;M705,"▶"))</f>
        <v/>
      </c>
      <c r="B705" s="39">
        <f>IF(C705&lt;&gt;"",C705,IF(P705&lt;=IFERROR(INDEX(tblChannels[Watched Through],MATCH(N705,tblChannels[Channel ID],0)),0),"Watched","Unwatched"))</f>
        <v/>
      </c>
      <c r="C705" s="40" t="n"/>
      <c r="D705" s="41" t="n"/>
      <c r="E705" s="42" t="n">
        <v>45350.70625</v>
      </c>
      <c r="F705" s="50" t="inlineStr">
        <is>
          <t>Super Carlin Brothers</t>
        </is>
      </c>
      <c r="G705" t="inlineStr">
        <is>
          <t>Who Are Aang’s Parents | Avatar the Last Airbender Film Theory</t>
        </is>
      </c>
      <c r="H705" s="44" t="n">
        <v>0.01150462962962963</v>
      </c>
      <c r="I705" s="45" t="n">
        <v>89665</v>
      </c>
      <c r="J705" s="45" t="n">
        <v>4659</v>
      </c>
      <c r="K705" s="45" t="n">
        <v>358</v>
      </c>
      <c r="L705" s="46" t="n"/>
      <c r="M705" s="47" t="n"/>
      <c r="N705" s="47" t="inlineStr">
        <is>
          <t>UCKZo4N0lVPccBkSiuyVh4yg</t>
        </is>
      </c>
      <c r="O705" s="48" t="n">
        <v>45350.91458333333</v>
      </c>
      <c r="P705" s="49" t="n">
        <v>45350</v>
      </c>
      <c r="Q705" s="47" t="n">
        <v>2563</v>
      </c>
      <c r="R705" s="47" t="inlineStr">
        <is>
          <t>No Video ID yet</t>
        </is>
      </c>
      <c r="S705" s="49" t="n"/>
      <c r="T705" s="49" t="n"/>
      <c r="U705" s="47" t="inlineStr">
        <is>
          <t>Check out our FIRE BENDING-TASTIC Wizarding Candle subscription available now HERE: Today J dives off a sky bison into the world of Avatar the Last Airbender to find out who are Aang’s parents and what happened to them? Did he ever even know them? #supercarlinbrothers #atla #AvatarTheLastAirbender</t>
        </is>
      </c>
      <c r="V705" s="47">
        <f>IF(AND(P705&gt;=Calendar!$K$2,P705&lt;EDATE(Calendar!$K$2,1),OR(Calendar!$K$4="*",N705=Calendar!$K$4)),P705*100+COUNTIFS($P$6:$P$3267,P705,$Q$6:$Q$3267,"&lt;="&amp;Q705,$N$6:$N$3267,Calendar!$K$4),"")</f>
        <v/>
      </c>
      <c r="W705" s="47">
        <f>IF(AND(B705=Queue!$C$4,OR(Queue!$K$4="*",N705=Queue!$K$4)),Q705,"")</f>
        <v/>
      </c>
    </row>
    <row r="706">
      <c r="A706" s="38">
        <f>IF(M706="","",HYPERLINK("https://www.youtube.com/watch?v="&amp;M706,"▶"))</f>
        <v/>
      </c>
      <c r="B706" s="39">
        <f>IF(C706&lt;&gt;"",C706,IF(P706&lt;=IFERROR(INDEX(tblChannels[Watched Through],MATCH(N706,tblChannels[Channel ID],0)),0),"Watched","Unwatched"))</f>
        <v/>
      </c>
      <c r="C706" s="40" t="n"/>
      <c r="D706" s="41" t="n"/>
      <c r="E706" s="42" t="n">
        <v>45347.41666666666</v>
      </c>
      <c r="F706" s="51" t="inlineStr">
        <is>
          <t>Through The Griffin Door</t>
        </is>
      </c>
      <c r="G706" t="inlineStr">
        <is>
          <t>Chapter 6: Gilderoy Lockhart | Chamber of Secrets</t>
        </is>
      </c>
      <c r="H706" s="44" t="n">
        <v>0.05015046296296297</v>
      </c>
      <c r="I706" s="45" t="n">
        <v>79805</v>
      </c>
      <c r="J706" s="45" t="n">
        <v>2788</v>
      </c>
      <c r="K706" s="45" t="n">
        <v>598</v>
      </c>
      <c r="L706" s="46" t="n"/>
      <c r="M706" s="47" t="n"/>
      <c r="N706" s="47" t="inlineStr">
        <is>
          <t>UCEscP6ETYXWSSvsNrDHekMQ</t>
        </is>
      </c>
      <c r="O706" s="48" t="n">
        <v>45347.625</v>
      </c>
      <c r="P706" s="49" t="n">
        <v>45347</v>
      </c>
      <c r="Q706" s="47" t="n">
        <v>2562</v>
      </c>
      <c r="R706" s="47" t="inlineStr">
        <is>
          <t>No Video ID yet</t>
        </is>
      </c>
      <c r="S706" s="49" t="n"/>
      <c r="T706" s="49" t="n"/>
      <c r="U706" s="47" t="inlineStr">
        <is>
          <t>Join J and Ben as they dive into Chapter 6 of the Chamber of Secrets and discuss real mandrakes, Lockhart’s cockiness, Neville’s trauma, the guilt-inducing howler, the mandrake potion, Ron’s broken wand, Colin Creevy and his photos, more of Lockhart smarminess and surprisingly progressive ideals. Sign up for the Wizarding Candle Club! - 10:53 - Chapter Breakdown 1:05:17 - Closing Thoughts and Review</t>
        </is>
      </c>
      <c r="V706" s="47">
        <f>IF(AND(P706&gt;=Calendar!$K$2,P706&lt;EDATE(Calendar!$K$2,1),OR(Calendar!$K$4="*",N706=Calendar!$K$4)),P706*100+COUNTIFS($P$6:$P$3267,P706,$Q$6:$Q$3267,"&lt;="&amp;Q706,$N$6:$N$3267,Calendar!$K$4),"")</f>
        <v/>
      </c>
      <c r="W706" s="47">
        <f>IF(AND(B706=Queue!$C$4,OR(Queue!$K$4="*",N706=Queue!$K$4)),Q706,"")</f>
        <v/>
      </c>
    </row>
    <row r="707">
      <c r="A707" s="38">
        <f>IF(M707="","",HYPERLINK("https://www.youtube.com/watch?v="&amp;M707,"▶"))</f>
        <v/>
      </c>
      <c r="B707" s="39">
        <f>IF(C707&lt;&gt;"",C707,IF(P707&lt;=IFERROR(INDEX(tblChannels[Watched Through],MATCH(N707,tblChannels[Channel ID],0)),0),"Watched","Unwatched"))</f>
        <v/>
      </c>
      <c r="C707" s="40" t="n"/>
      <c r="D707" s="41" t="n"/>
      <c r="E707" s="42" t="n">
        <v>45345.75</v>
      </c>
      <c r="F707" s="50" t="inlineStr">
        <is>
          <t>Super Carlin Brothers</t>
        </is>
      </c>
      <c r="G707" t="inlineStr">
        <is>
          <t>What If James Kept The Invisibility Cloak Part 5 | Harry Potter Film Theory</t>
        </is>
      </c>
      <c r="H707" s="44" t="n">
        <v>0.0172337962962963</v>
      </c>
      <c r="I707" s="45" t="n">
        <v>113264</v>
      </c>
      <c r="J707" s="45" t="n">
        <v>5543</v>
      </c>
      <c r="K707" s="45" t="n">
        <v>558</v>
      </c>
      <c r="L707" s="46" t="n"/>
      <c r="M707" s="47" t="n"/>
      <c r="N707" s="47" t="inlineStr">
        <is>
          <t>UCKZo4N0lVPccBkSiuyVh4yg</t>
        </is>
      </c>
      <c r="O707" s="48" t="n">
        <v>45345.95833333334</v>
      </c>
      <c r="P707" s="49" t="n">
        <v>45345</v>
      </c>
      <c r="Q707" s="47" t="n">
        <v>2561</v>
      </c>
      <c r="R707" s="47" t="inlineStr">
        <is>
          <t>No Video ID yet</t>
        </is>
      </c>
      <c r="S707" s="49" t="n"/>
      <c r="T707" s="49" t="n"/>
      <c r="U707" s="47" t="inlineStr">
        <is>
          <t>Go to to sign up for a $1 per month trial period. Today Ben returns once more to try and answer the question: What If James Kept The Invisibility Cloak! Thus far Harry has found and destroyed the Locket and while he stole the cup he lost the sword which has now become ANOTHER Horcrux! How will it all end? Find out today in the thrilling FINALE! Check out our PRETTY OBVIOUS Wizarding Candle subscription available now HERE: #supercarlinbrothers #harrypotter</t>
        </is>
      </c>
      <c r="V707" s="47">
        <f>IF(AND(P707&gt;=Calendar!$K$2,P707&lt;EDATE(Calendar!$K$2,1),OR(Calendar!$K$4="*",N707=Calendar!$K$4)),P707*100+COUNTIFS($P$6:$P$3267,P707,$Q$6:$Q$3267,"&lt;="&amp;Q707,$N$6:$N$3267,Calendar!$K$4),"")</f>
        <v/>
      </c>
      <c r="W707" s="47">
        <f>IF(AND(B707=Queue!$C$4,OR(Queue!$K$4="*",N707=Queue!$K$4)),Q707,"")</f>
        <v/>
      </c>
    </row>
    <row r="708">
      <c r="A708" s="38">
        <f>IF(M708="","",HYPERLINK("https://www.youtube.com/watch?v="&amp;M708,"▶"))</f>
        <v/>
      </c>
      <c r="B708" s="39">
        <f>IF(C708&lt;&gt;"",C708,IF(P708&lt;=IFERROR(INDEX(tblChannels[Watched Through],MATCH(N708,tblChannels[Channel ID],0)),0),"Watched","Unwatched"))</f>
        <v/>
      </c>
      <c r="C708" s="40" t="n"/>
      <c r="D708" s="41" t="n"/>
      <c r="E708" s="42" t="n">
        <v>45345.41666666666</v>
      </c>
      <c r="F708" s="43" t="inlineStr">
        <is>
          <t>Popcorn Culture</t>
        </is>
      </c>
      <c r="G708" t="inlineStr">
        <is>
          <t>The Flow State | Popcorn Culture</t>
        </is>
      </c>
      <c r="H708" s="44" t="n">
        <v>0.04517361111111111</v>
      </c>
      <c r="I708" s="45" t="n">
        <v>3987</v>
      </c>
      <c r="J708" s="45" t="n">
        <v>216</v>
      </c>
      <c r="K708" s="45" t="n">
        <v>38</v>
      </c>
      <c r="L708" s="46" t="n"/>
      <c r="M708" s="47" t="n"/>
      <c r="N708" s="47" t="inlineStr">
        <is>
          <t>UCHfIbq9thHPC8yrKjAdJgDA</t>
        </is>
      </c>
      <c r="O708" s="48" t="n">
        <v>45345.625</v>
      </c>
      <c r="P708" s="49" t="n">
        <v>45345</v>
      </c>
      <c r="Q708" s="47" t="n">
        <v>2560</v>
      </c>
      <c r="R708" s="47" t="inlineStr">
        <is>
          <t>No Video ID yet</t>
        </is>
      </c>
      <c r="S708" s="49" t="n"/>
      <c r="T708" s="49" t="n"/>
      <c r="U708" s="47" t="inlineStr">
        <is>
          <t>In the 220th episode of the Pop Ben and J discuss: iconic music, the flow state, party dynamics, being too good at things, hedonism vs. nihilism and trampolines. Show Notes Most Iconic Songs List - Smells Like Teen Spirit - Kurt Cobain - Blink 182 - Green Day - American Idiot - Beat Saber - Hedonism vs. Nihilism 00:00 - Intro, Most Iconic Song 16:49 - Flow State 37:43 - Hedonism vs. Nihilism</t>
        </is>
      </c>
      <c r="V708" s="47">
        <f>IF(AND(P708&gt;=Calendar!$K$2,P708&lt;EDATE(Calendar!$K$2,1),OR(Calendar!$K$4="*",N708=Calendar!$K$4)),P708*100+COUNTIFS($P$6:$P$3267,P708,$Q$6:$Q$3267,"&lt;="&amp;Q708,$N$6:$N$3267,Calendar!$K$4),"")</f>
        <v/>
      </c>
      <c r="W708" s="47">
        <f>IF(AND(B708=Queue!$C$4,OR(Queue!$K$4="*",N708=Queue!$K$4)),Q708,"")</f>
        <v/>
      </c>
    </row>
    <row r="709">
      <c r="A709" s="38">
        <f>IF(M709="","",HYPERLINK("https://www.youtube.com/watch?v="&amp;M709,"▶"))</f>
        <v/>
      </c>
      <c r="B709" s="39">
        <f>IF(C709&lt;&gt;"",C709,IF(P709&lt;=IFERROR(INDEX(tblChannels[Watched Through],MATCH(N709,tblChannels[Channel ID],0)),0),"Watched","Unwatched"))</f>
        <v/>
      </c>
      <c r="C709" s="40" t="n"/>
      <c r="D709" s="41" t="n"/>
      <c r="E709" s="42" t="n">
        <v>45344.77083333334</v>
      </c>
      <c r="F709" s="52" t="inlineStr">
        <is>
          <t>Super Carlin Gaming</t>
        </is>
      </c>
      <c r="G709" t="inlineStr">
        <is>
          <t>WE GOT A CHARIZARD | Carlin Brothers Box Breakers S9E3</t>
        </is>
      </c>
      <c r="H709" s="44" t="n">
        <v>0.03003472222222222</v>
      </c>
      <c r="I709" s="45" t="n">
        <v>1439</v>
      </c>
      <c r="J709" s="45" t="n">
        <v>80</v>
      </c>
      <c r="K709" s="45" t="n">
        <v>4</v>
      </c>
      <c r="L709" s="46" t="n"/>
      <c r="M709" s="47" t="n"/>
      <c r="N709" s="47" t="inlineStr">
        <is>
          <t>UCor_9jRnNNZVzTuQ92PKsaQ</t>
        </is>
      </c>
      <c r="O709" s="48" t="n">
        <v>45344.97916666666</v>
      </c>
      <c r="P709" s="49" t="n">
        <v>45344</v>
      </c>
      <c r="Q709" s="47" t="n">
        <v>2559</v>
      </c>
      <c r="R709" s="47" t="inlineStr">
        <is>
          <t>No Video ID yet</t>
        </is>
      </c>
      <c r="S709" s="49" t="n"/>
      <c r="T709" s="49" t="n"/>
      <c r="U709" s="47" t="n"/>
      <c r="V709" s="47">
        <f>IF(AND(P709&gt;=Calendar!$K$2,P709&lt;EDATE(Calendar!$K$2,1),OR(Calendar!$K$4="*",N709=Calendar!$K$4)),P709*100+COUNTIFS($P$6:$P$3267,P709,$Q$6:$Q$3267,"&lt;="&amp;Q709,$N$6:$N$3267,Calendar!$K$4),"")</f>
        <v/>
      </c>
      <c r="W709" s="47">
        <f>IF(AND(B709=Queue!$C$4,OR(Queue!$K$4="*",N709=Queue!$K$4)),Q709,"")</f>
        <v/>
      </c>
    </row>
    <row r="710">
      <c r="A710" s="38">
        <f>IF(M710="","",HYPERLINK("https://www.youtube.com/watch?v="&amp;M710,"▶"))</f>
        <v/>
      </c>
      <c r="B710" s="39">
        <f>IF(C710&lt;&gt;"",C710,IF(P710&lt;=IFERROR(INDEX(tblChannels[Watched Through],MATCH(N710,tblChannels[Channel ID],0)),0),"Watched","Unwatched"))</f>
        <v/>
      </c>
      <c r="C710" s="40" t="n"/>
      <c r="D710" s="41" t="n"/>
      <c r="E710" s="42" t="n">
        <v>45344.65555555555</v>
      </c>
      <c r="F710" s="50" t="inlineStr">
        <is>
          <t>Super Carlin Brothers</t>
        </is>
      </c>
      <c r="G710" t="inlineStr">
        <is>
          <t>The TOP 5 Best Avatar The Last Airbender Theories</t>
        </is>
      </c>
      <c r="H710" s="44" t="n">
        <v>0.04333333333333333</v>
      </c>
      <c r="I710" s="45" t="n">
        <v>252511</v>
      </c>
      <c r="J710" s="45" t="n">
        <v>7008</v>
      </c>
      <c r="K710" s="45" t="n">
        <v>818</v>
      </c>
      <c r="L710" s="46" t="n"/>
      <c r="M710" s="47" t="n"/>
      <c r="N710" s="47" t="inlineStr">
        <is>
          <t>UCKZo4N0lVPccBkSiuyVh4yg</t>
        </is>
      </c>
      <c r="O710" s="48" t="n">
        <v>45344.86388888889</v>
      </c>
      <c r="P710" s="49" t="n">
        <v>45344</v>
      </c>
      <c r="Q710" s="47" t="n">
        <v>2558</v>
      </c>
      <c r="R710" s="47" t="inlineStr">
        <is>
          <t>No Video ID yet</t>
        </is>
      </c>
      <c r="S710" s="49" t="n"/>
      <c r="T710" s="49" t="n"/>
      <c r="U710" s="47" t="inlineStr">
        <is>
          <t>To celebrate the launch of the new Live Action Avatar The Last Airbender series on Netflix we are recapping our TOP 5 BEST Theories! Is Ty Lee is an Air Nomad? Why is Azula's Fire Blue? Why Did the Fire Nation Kill the Dragons? What is The Painted Lady's True Identity? Why did the Fire Nation Killed Katara's Mom? #atla #avatarthelastairbender #supercarlinbrothers</t>
        </is>
      </c>
      <c r="V710" s="47">
        <f>IF(AND(P710&gt;=Calendar!$K$2,P710&lt;EDATE(Calendar!$K$2,1),OR(Calendar!$K$4="*",N710=Calendar!$K$4)),P710*100+COUNTIFS($P$6:$P$3267,P710,$Q$6:$Q$3267,"&lt;="&amp;Q710,$N$6:$N$3267,Calendar!$K$4),"")</f>
        <v/>
      </c>
      <c r="W710" s="47">
        <f>IF(AND(B710=Queue!$C$4,OR(Queue!$K$4="*",N710=Queue!$K$4)),Q710,"")</f>
        <v/>
      </c>
    </row>
    <row r="711">
      <c r="A711" s="38">
        <f>IF(M711="","",HYPERLINK("https://www.youtube.com/watch?v="&amp;M711,"▶"))</f>
        <v/>
      </c>
      <c r="B711" s="39">
        <f>IF(C711&lt;&gt;"",C711,IF(P711&lt;=IFERROR(INDEX(tblChannels[Watched Through],MATCH(N711,tblChannels[Channel ID],0)),0),"Watched","Unwatched"))</f>
        <v/>
      </c>
      <c r="C711" s="40" t="n"/>
      <c r="D711" s="41" t="n"/>
      <c r="E711" s="42" t="n">
        <v>45343.71319444444</v>
      </c>
      <c r="F711" s="50" t="inlineStr">
        <is>
          <t>Super Carlin Brothers</t>
        </is>
      </c>
      <c r="G711" t="inlineStr">
        <is>
          <t>How Do Horcruxes ACTUALLY Work | Harry Potter Film Theory</t>
        </is>
      </c>
      <c r="H711" s="44" t="n">
        <v>0.01163194444444444</v>
      </c>
      <c r="I711" s="45" t="n">
        <v>174413</v>
      </c>
      <c r="J711" s="45" t="n">
        <v>7174</v>
      </c>
      <c r="K711" s="45" t="n">
        <v>823</v>
      </c>
      <c r="L711" s="46" t="n"/>
      <c r="M711" s="47" t="n"/>
      <c r="N711" s="47" t="inlineStr">
        <is>
          <t>UCKZo4N0lVPccBkSiuyVh4yg</t>
        </is>
      </c>
      <c r="O711" s="48" t="n">
        <v>45343.92152777778</v>
      </c>
      <c r="P711" s="49" t="n">
        <v>45343</v>
      </c>
      <c r="Q711" s="47" t="n">
        <v>2557</v>
      </c>
      <c r="R711" s="47" t="inlineStr">
        <is>
          <t>No Video ID yet</t>
        </is>
      </c>
      <c r="S711" s="49" t="n"/>
      <c r="T711" s="49" t="n"/>
      <c r="U711" s="47" t="inlineStr">
        <is>
          <t>Today J dives into the Wizarding World of Harry Potter to give you a comprehensive guide to the most evil of objects: Horcruxes! How are horcruxes made? How do Horcruxes Work? How do you Destroy a Horcrux? Can a Horcrux come back to life? We get to the bottom of it all! Check out our PRETTY OBVIOUS Wizarding Candle subscription available now HERE: #supercarlinbrothers #harrypotter</t>
        </is>
      </c>
      <c r="V711" s="47">
        <f>IF(AND(P711&gt;=Calendar!$K$2,P711&lt;EDATE(Calendar!$K$2,1),OR(Calendar!$K$4="*",N711=Calendar!$K$4)),P711*100+COUNTIFS($P$6:$P$3267,P711,$Q$6:$Q$3267,"&lt;="&amp;Q711,$N$6:$N$3267,Calendar!$K$4),"")</f>
        <v/>
      </c>
      <c r="W711" s="47">
        <f>IF(AND(B711=Queue!$C$4,OR(Queue!$K$4="*",N711=Queue!$K$4)),Q711,"")</f>
        <v/>
      </c>
    </row>
    <row r="712">
      <c r="A712" s="38">
        <f>IF(M712="","",HYPERLINK("https://www.youtube.com/watch?v="&amp;M712,"▶"))</f>
        <v/>
      </c>
      <c r="B712" s="39">
        <f>IF(C712&lt;&gt;"",C712,IF(P712&lt;=IFERROR(INDEX(tblChannels[Watched Through],MATCH(N712,tblChannels[Channel ID],0)),0),"Watched","Unwatched"))</f>
        <v/>
      </c>
      <c r="C712" s="40" t="n"/>
      <c r="D712" s="41" t="n"/>
      <c r="E712" s="42" t="n">
        <v>45341.64583333334</v>
      </c>
      <c r="F712" s="52" t="inlineStr">
        <is>
          <t>Super Carlin Gaming</t>
        </is>
      </c>
      <c r="G712" t="inlineStr">
        <is>
          <t>Grass Still Dominating? | Carlin Brothers Box Breakers S9E2</t>
        </is>
      </c>
      <c r="H712" s="44" t="n">
        <v>0.0347337962962963</v>
      </c>
      <c r="I712" s="45" t="n">
        <v>1426</v>
      </c>
      <c r="J712" s="45" t="n">
        <v>85</v>
      </c>
      <c r="K712" s="45" t="n">
        <v>10</v>
      </c>
      <c r="L712" s="46" t="n"/>
      <c r="M712" s="47" t="n"/>
      <c r="N712" s="47" t="inlineStr">
        <is>
          <t>UCor_9jRnNNZVzTuQ92PKsaQ</t>
        </is>
      </c>
      <c r="O712" s="48" t="n">
        <v>45341.85416666666</v>
      </c>
      <c r="P712" s="49" t="n">
        <v>45341</v>
      </c>
      <c r="Q712" s="47" t="n">
        <v>2556</v>
      </c>
      <c r="R712" s="47" t="inlineStr">
        <is>
          <t>No Video ID yet</t>
        </is>
      </c>
      <c r="S712" s="49" t="n"/>
      <c r="T712" s="49" t="n"/>
      <c r="U712" s="47" t="n"/>
      <c r="V712" s="47">
        <f>IF(AND(P712&gt;=Calendar!$K$2,P712&lt;EDATE(Calendar!$K$2,1),OR(Calendar!$K$4="*",N712=Calendar!$K$4)),P712*100+COUNTIFS($P$6:$P$3267,P712,$Q$6:$Q$3267,"&lt;="&amp;Q712,$N$6:$N$3267,Calendar!$K$4),"")</f>
        <v/>
      </c>
      <c r="W712" s="47">
        <f>IF(AND(B712=Queue!$C$4,OR(Queue!$K$4="*",N712=Queue!$K$4)),Q712,"")</f>
        <v/>
      </c>
    </row>
    <row r="713">
      <c r="A713" s="38">
        <f>IF(M713="","",HYPERLINK("https://www.youtube.com/watch?v="&amp;M713,"▶"))</f>
        <v/>
      </c>
      <c r="B713" s="39">
        <f>IF(C713&lt;&gt;"",C713,IF(P713&lt;=IFERROR(INDEX(tblChannels[Watched Through],MATCH(N713,tblChannels[Channel ID],0)),0),"Watched","Unwatched"))</f>
        <v/>
      </c>
      <c r="C713" s="40" t="n"/>
      <c r="D713" s="41" t="n"/>
      <c r="E713" s="42" t="n">
        <v>45340.41666666666</v>
      </c>
      <c r="F713" s="51" t="inlineStr">
        <is>
          <t>Through The Griffin Door</t>
        </is>
      </c>
      <c r="G713" t="inlineStr">
        <is>
          <t>Chapter 5: The Whomping Willow | Chamber of Secrets</t>
        </is>
      </c>
      <c r="H713" s="44" t="n">
        <v>0.03887731481481482</v>
      </c>
      <c r="I713" s="45" t="n">
        <v>72447</v>
      </c>
      <c r="J713" s="45" t="n">
        <v>2149</v>
      </c>
      <c r="K713" s="45" t="n">
        <v>409</v>
      </c>
      <c r="L713" s="46" t="n"/>
      <c r="M713" s="47" t="n"/>
      <c r="N713" s="47" t="inlineStr">
        <is>
          <t>UCEscP6ETYXWSSvsNrDHekMQ</t>
        </is>
      </c>
      <c r="O713" s="48" t="n">
        <v>45340.625</v>
      </c>
      <c r="P713" s="49" t="n">
        <v>45340</v>
      </c>
      <c r="Q713" s="47" t="n">
        <v>2555</v>
      </c>
      <c r="R713" s="47" t="inlineStr">
        <is>
          <t>No Video ID yet</t>
        </is>
      </c>
      <c r="S713" s="49" t="n"/>
      <c r="T713" s="49" t="n"/>
      <c r="U713" s="47" t="inlineStr">
        <is>
          <t>Join J and Ben as they dive into Chapter 5 of the Chamber of Secrets and discuss the serendipitous Checkov’s guns, wand woods, the last night at the Weasleys, chaos of leaving the Burrow, Arthur’s impact on the twins, taking the car, magical object sentience, and why Dumbledore is actually upset. Home Alone - 09:29 - Chapter Breakdown 53:34 - Closing Thoughts and Review</t>
        </is>
      </c>
      <c r="V713" s="47">
        <f>IF(AND(P713&gt;=Calendar!$K$2,P713&lt;EDATE(Calendar!$K$2,1),OR(Calendar!$K$4="*",N713=Calendar!$K$4)),P713*100+COUNTIFS($P$6:$P$3267,P713,$Q$6:$Q$3267,"&lt;="&amp;Q713,$N$6:$N$3267,Calendar!$K$4),"")</f>
        <v/>
      </c>
      <c r="W713" s="47">
        <f>IF(AND(B713=Queue!$C$4,OR(Queue!$K$4="*",N713=Queue!$K$4)),Q713,"")</f>
        <v/>
      </c>
    </row>
    <row r="714">
      <c r="A714" s="38">
        <f>IF(M714="","",HYPERLINK("https://www.youtube.com/watch?v="&amp;M714,"▶"))</f>
        <v/>
      </c>
      <c r="B714" s="39">
        <f>IF(C714&lt;&gt;"",C714,IF(P714&lt;=IFERROR(INDEX(tblChannels[Watched Through],MATCH(N714,tblChannels[Channel ID],0)),0),"Watched","Unwatched"))</f>
        <v/>
      </c>
      <c r="C714" s="40" t="n"/>
      <c r="D714" s="41" t="n"/>
      <c r="E714" s="42" t="n">
        <v>45338.74375</v>
      </c>
      <c r="F714" s="50" t="inlineStr">
        <is>
          <t>Super Carlin Brothers</t>
        </is>
      </c>
      <c r="G714" t="inlineStr">
        <is>
          <t>What If James Kept The Invisibility Cloak - Part 4 | Harry Potter Film Theory</t>
        </is>
      </c>
      <c r="H714" s="44" t="n">
        <v>0.01686342592592593</v>
      </c>
      <c r="I714" s="45" t="n">
        <v>132290</v>
      </c>
      <c r="J714" s="45" t="n">
        <v>5845</v>
      </c>
      <c r="K714" s="45" t="n">
        <v>574</v>
      </c>
      <c r="L714" s="46" t="n"/>
      <c r="M714" s="47" t="n"/>
      <c r="N714" s="47" t="inlineStr">
        <is>
          <t>UCKZo4N0lVPccBkSiuyVh4yg</t>
        </is>
      </c>
      <c r="O714" s="48" t="n">
        <v>45338.95208333333</v>
      </c>
      <c r="P714" s="49" t="n">
        <v>45338</v>
      </c>
      <c r="Q714" s="47" t="n">
        <v>2554</v>
      </c>
      <c r="R714" s="47" t="inlineStr">
        <is>
          <t>No Video ID yet</t>
        </is>
      </c>
      <c r="S714" s="49" t="n"/>
      <c r="T714" s="49" t="n"/>
      <c r="U714" s="47" t="inlineStr">
        <is>
          <t>Go to for 20% off your first order plus free shipping. Check out our PRETTY OBVIOUS Wizarding Candle subscription available now HERE: #supercarlinbrothers #harrypotter</t>
        </is>
      </c>
      <c r="V714" s="47">
        <f>IF(AND(P714&gt;=Calendar!$K$2,P714&lt;EDATE(Calendar!$K$2,1),OR(Calendar!$K$4="*",N714=Calendar!$K$4)),P714*100+COUNTIFS($P$6:$P$3267,P714,$Q$6:$Q$3267,"&lt;="&amp;Q714,$N$6:$N$3267,Calendar!$K$4),"")</f>
        <v/>
      </c>
      <c r="W714" s="47">
        <f>IF(AND(B714=Queue!$C$4,OR(Queue!$K$4="*",N714=Queue!$K$4)),Q714,"")</f>
        <v/>
      </c>
    </row>
    <row r="715">
      <c r="A715" s="38">
        <f>IF(M715="","",HYPERLINK("https://www.youtube.com/watch?v="&amp;M715,"▶"))</f>
        <v/>
      </c>
      <c r="B715" s="39">
        <f>IF(C715&lt;&gt;"",C715,IF(P715&lt;=IFERROR(INDEX(tblChannels[Watched Through],MATCH(N715,tblChannels[Channel ID],0)),0),"Watched","Unwatched"))</f>
        <v/>
      </c>
      <c r="C715" s="40" t="n"/>
      <c r="D715" s="41" t="n"/>
      <c r="E715" s="42" t="n">
        <v>45338.41666666666</v>
      </c>
      <c r="F715" s="43" t="inlineStr">
        <is>
          <t>Popcorn Culture</t>
        </is>
      </c>
      <c r="G715" t="inlineStr">
        <is>
          <t>Raisins Are an Abomination | Popcorn Culture</t>
        </is>
      </c>
      <c r="H715" s="44" t="n">
        <v>0.04641203703703704</v>
      </c>
      <c r="I715" s="45" t="n">
        <v>4515</v>
      </c>
      <c r="J715" s="45" t="n">
        <v>235</v>
      </c>
      <c r="K715" s="45" t="n">
        <v>53</v>
      </c>
      <c r="L715" s="46" t="n"/>
      <c r="M715" s="47" t="n"/>
      <c r="N715" s="47" t="inlineStr">
        <is>
          <t>UCHfIbq9thHPC8yrKjAdJgDA</t>
        </is>
      </c>
      <c r="O715" s="48" t="n">
        <v>45338.625</v>
      </c>
      <c r="P715" s="49" t="n">
        <v>45338</v>
      </c>
      <c r="Q715" s="47" t="n">
        <v>2553</v>
      </c>
      <c r="R715" s="47" t="inlineStr">
        <is>
          <t>No Video ID yet</t>
        </is>
      </c>
      <c r="S715" s="49" t="n"/>
      <c r="T715" s="49" t="n"/>
      <c r="U715" s="47" t="inlineStr">
        <is>
          <t>In the 219th episode of the Pop, Ben and J discuss their various “ready” phrases, their ski trip with Tyler, scheduling fun, rug on carpet, murphy beds, packing for a dudes trip vs. family trip, onion pizza, cereal and smoothies and have a heated debate about raisins. Show Notes Spongebob Theme Song - Oceans 11- Schitt’s Creek - Danger Dolan - Arrested Development - Lost - Community - The Eternals - Rollin’ Rollin’ Danger Dolan The Thing from the Thing Ankle Roll Zone Culch Free Dander Lands on Top Briefcase Smoothie OR The Smoothie Revolution 00:00 - Intro, Getting Started 07:29 - Ski Trip 22:03 - Chores vs. Fun 36:31 - Dude Trip Packing</t>
        </is>
      </c>
      <c r="V715" s="47">
        <f>IF(AND(P715&gt;=Calendar!$K$2,P715&lt;EDATE(Calendar!$K$2,1),OR(Calendar!$K$4="*",N715=Calendar!$K$4)),P715*100+COUNTIFS($P$6:$P$3267,P715,$Q$6:$Q$3267,"&lt;="&amp;Q715,$N$6:$N$3267,Calendar!$K$4),"")</f>
        <v/>
      </c>
      <c r="W715" s="47">
        <f>IF(AND(B715=Queue!$C$4,OR(Queue!$K$4="*",N715=Queue!$K$4)),Q715,"")</f>
        <v/>
      </c>
    </row>
    <row r="716">
      <c r="A716" s="38">
        <f>IF(M716="","",HYPERLINK("https://www.youtube.com/watch?v="&amp;M716,"▶"))</f>
        <v/>
      </c>
      <c r="B716" s="39">
        <f>IF(C716&lt;&gt;"",C716,IF(P716&lt;=IFERROR(INDEX(tblChannels[Watched Through],MATCH(N716,tblChannels[Channel ID],0)),0),"Watched","Unwatched"))</f>
        <v/>
      </c>
      <c r="C716" s="40" t="n"/>
      <c r="D716" s="41" t="n"/>
      <c r="E716" s="42" t="n">
        <v>45337.67361111111</v>
      </c>
      <c r="F716" s="43" t="inlineStr">
        <is>
          <t>Popcorn Culture</t>
        </is>
      </c>
      <c r="G716" t="inlineStr">
        <is>
          <t>The Great Raisin Debate | Popcorn Culture</t>
        </is>
      </c>
      <c r="H716" s="44" t="n">
        <v>0.001886574074074074</v>
      </c>
      <c r="I716" s="45" t="n">
        <v>2700</v>
      </c>
      <c r="J716" s="45" t="n">
        <v>355</v>
      </c>
      <c r="K716" s="45" t="n">
        <v>101</v>
      </c>
      <c r="L716" s="46" t="n"/>
      <c r="M716" s="47" t="n"/>
      <c r="N716" s="47" t="inlineStr">
        <is>
          <t>UCHfIbq9thHPC8yrKjAdJgDA</t>
        </is>
      </c>
      <c r="O716" s="48" t="n">
        <v>45337.88194444445</v>
      </c>
      <c r="P716" s="49" t="n">
        <v>45337</v>
      </c>
      <c r="Q716" s="47" t="n">
        <v>2552</v>
      </c>
      <c r="R716" s="47" t="inlineStr">
        <is>
          <t>No Video ID yet</t>
        </is>
      </c>
      <c r="S716" s="49" t="n"/>
      <c r="T716" s="49" t="n"/>
      <c r="U716" s="47" t="inlineStr">
        <is>
          <t>Here's a little teaser for tomorrow's episode! Tune in on 2/16 at 10:00am for the premiere! Animated by: Isybelle Christley</t>
        </is>
      </c>
      <c r="V716" s="47">
        <f>IF(AND(P716&gt;=Calendar!$K$2,P716&lt;EDATE(Calendar!$K$2,1),OR(Calendar!$K$4="*",N716=Calendar!$K$4)),P716*100+COUNTIFS($P$6:$P$3267,P716,$Q$6:$Q$3267,"&lt;="&amp;Q716,$N$6:$N$3267,Calendar!$K$4),"")</f>
        <v/>
      </c>
      <c r="W716" s="47">
        <f>IF(AND(B716=Queue!$C$4,OR(Queue!$K$4="*",N716=Queue!$K$4)),Q716,"")</f>
        <v/>
      </c>
    </row>
    <row r="717">
      <c r="A717" s="38">
        <f>IF(M717="","",HYPERLINK("https://www.youtube.com/watch?v="&amp;M717,"▶"))</f>
        <v/>
      </c>
      <c r="B717" s="39">
        <f>IF(C717&lt;&gt;"",C717,IF(P717&lt;=IFERROR(INDEX(tblChannels[Watched Through],MATCH(N717,tblChannels[Channel ID],0)),0),"Watched","Unwatched"))</f>
        <v/>
      </c>
      <c r="C717" s="40" t="n"/>
      <c r="D717" s="41" t="n"/>
      <c r="E717" s="42" t="n">
        <v>45336.69166666667</v>
      </c>
      <c r="F717" s="50" t="inlineStr">
        <is>
          <t>Super Carlin Brothers</t>
        </is>
      </c>
      <c r="G717" t="inlineStr">
        <is>
          <t>J vs Ben: SMARTEST Ravenclaw House Harry Potter TRIVIA Quiz</t>
        </is>
      </c>
      <c r="H717" s="44" t="n">
        <v>0.02287037037037037</v>
      </c>
      <c r="I717" s="45" t="n">
        <v>135394</v>
      </c>
      <c r="J717" s="45" t="n">
        <v>5437</v>
      </c>
      <c r="K717" s="45" t="n">
        <v>933</v>
      </c>
      <c r="L717" s="46" t="n"/>
      <c r="M717" s="47" t="n"/>
      <c r="N717" s="47" t="inlineStr">
        <is>
          <t>UCKZo4N0lVPccBkSiuyVh4yg</t>
        </is>
      </c>
      <c r="O717" s="48" t="n">
        <v>45336.9</v>
      </c>
      <c r="P717" s="49" t="n">
        <v>45336</v>
      </c>
      <c r="Q717" s="47" t="n">
        <v>2551</v>
      </c>
      <c r="R717" s="47" t="inlineStr">
        <is>
          <t>No Video ID yet</t>
        </is>
      </c>
      <c r="S717" s="49" t="n"/>
      <c r="T717" s="49" t="n"/>
      <c r="U717" s="47" t="inlineStr">
        <is>
          <t>Go to to cancel your unwanted subscriptions with Rocket Money Go to and use code super50 to get 50% off. Today J and Ben face off once more to find out who knows the most about the Wizarding World of Harry Potter and Ravneclaw House! How do you enter the common room? What is Cho’s patronus? Where is Rowena Ravenclaw from!? Play Along With Us :: Check out our PRETTY OBVIOUS Wizarding Candle subscription available now HERE: #supercarlinbrothers #harrypotter #jvsben</t>
        </is>
      </c>
      <c r="V717" s="47">
        <f>IF(AND(P717&gt;=Calendar!$K$2,P717&lt;EDATE(Calendar!$K$2,1),OR(Calendar!$K$4="*",N717=Calendar!$K$4)),P717*100+COUNTIFS($P$6:$P$3267,P717,$Q$6:$Q$3267,"&lt;="&amp;Q717,$N$6:$N$3267,Calendar!$K$4),"")</f>
        <v/>
      </c>
      <c r="W717" s="47">
        <f>IF(AND(B717=Queue!$C$4,OR(Queue!$K$4="*",N717=Queue!$K$4)),Q717,"")</f>
        <v/>
      </c>
    </row>
    <row r="718">
      <c r="A718" s="38">
        <f>IF(M718="","",HYPERLINK("https://www.youtube.com/watch?v="&amp;M718,"▶"))</f>
        <v/>
      </c>
      <c r="B718" s="39">
        <f>IF(C718&lt;&gt;"",C718,IF(P718&lt;=IFERROR(INDEX(tblChannels[Watched Through],MATCH(N718,tblChannels[Channel ID],0)),0),"Watched","Unwatched"))</f>
        <v/>
      </c>
      <c r="C718" s="40" t="n"/>
      <c r="D718" s="41" t="n"/>
      <c r="E718" s="42" t="n">
        <v>45334.64652777778</v>
      </c>
      <c r="F718" s="51" t="inlineStr">
        <is>
          <t>Through The Griffin Door</t>
        </is>
      </c>
      <c r="G718" t="inlineStr">
        <is>
          <t>Chapter 4: At Flourish and Blotts | Chamber of Secrets</t>
        </is>
      </c>
      <c r="H718" s="44" t="n">
        <v>0.06943287037037037</v>
      </c>
      <c r="I718" s="45" t="n">
        <v>106042</v>
      </c>
      <c r="J718" s="45" t="n">
        <v>2578</v>
      </c>
      <c r="K718" s="45" t="n">
        <v>671</v>
      </c>
      <c r="L718" s="46" t="n"/>
      <c r="M718" s="47" t="n"/>
      <c r="N718" s="47" t="inlineStr">
        <is>
          <t>UCEscP6ETYXWSSvsNrDHekMQ</t>
        </is>
      </c>
      <c r="O718" s="48" t="n">
        <v>45334.85486111111</v>
      </c>
      <c r="P718" s="49" t="n">
        <v>45334</v>
      </c>
      <c r="Q718" s="47" t="n">
        <v>2550</v>
      </c>
      <c r="R718" s="47" t="inlineStr">
        <is>
          <t>No Video ID yet</t>
        </is>
      </c>
      <c r="S718" s="49" t="n"/>
      <c r="T718" s="49" t="n"/>
      <c r="U718" s="47" t="inlineStr">
        <is>
          <t>Join J and Ben as they dive into Chapter 4 of the Chamber of Secrets and discuss cleanliness, ghouls, electricity, Lockhart’s book list scam, bad brooms, Percy’s OWLs, Floo Powder, wizard economy, Borgin and Burkes Easter eggs, Lucius’s scheming, PB&amp;J, and all the interactions in the bookstore. Tiberian Sun - Goku - Percy Weasley Had A Time Turner - Floo Powder’s SECRET Ingredient - Seamus Gorman - Why Lucius Malfoy Is The Worst Death Eater Ever - 02:50 - Chapter Breakdown 1:31:17 - Closing Thoughts and Review</t>
        </is>
      </c>
      <c r="V718" s="47">
        <f>IF(AND(P718&gt;=Calendar!$K$2,P718&lt;EDATE(Calendar!$K$2,1),OR(Calendar!$K$4="*",N718=Calendar!$K$4)),P718*100+COUNTIFS($P$6:$P$3267,P718,$Q$6:$Q$3267,"&lt;="&amp;Q718,$N$6:$N$3267,Calendar!$K$4),"")</f>
        <v/>
      </c>
      <c r="W718" s="47">
        <f>IF(AND(B718=Queue!$C$4,OR(Queue!$K$4="*",N718=Queue!$K$4)),Q718,"")</f>
        <v/>
      </c>
    </row>
    <row r="719">
      <c r="A719" s="38">
        <f>IF(M719="","",HYPERLINK("https://www.youtube.com/watch?v="&amp;M719,"▶"))</f>
        <v/>
      </c>
      <c r="B719" s="39">
        <f>IF(C719&lt;&gt;"",C719,IF(P719&lt;=IFERROR(INDEX(tblChannels[Watched Through],MATCH(N719,tblChannels[Channel ID],0)),0),"Watched","Unwatched"))</f>
        <v/>
      </c>
      <c r="C719" s="40" t="n"/>
      <c r="D719" s="41" t="n"/>
      <c r="E719" s="42" t="n">
        <v>45332.41666666666</v>
      </c>
      <c r="F719" s="50" t="inlineStr">
        <is>
          <t>Super Carlin Brothers</t>
        </is>
      </c>
      <c r="G719" t="inlineStr">
        <is>
          <t>Through the Griffin Door Supercut: Chamber of Secrets Chapters 1-3</t>
        </is>
      </c>
      <c r="H719" s="44" t="n">
        <v>0.1429166666666667</v>
      </c>
      <c r="I719" s="45" t="n">
        <v>121474</v>
      </c>
      <c r="J719" s="45" t="n">
        <v>1158</v>
      </c>
      <c r="K719" s="45" t="n">
        <v>261</v>
      </c>
      <c r="L719" s="46" t="n"/>
      <c r="M719" s="47" t="n"/>
      <c r="N719" s="47" t="inlineStr">
        <is>
          <t>UCKZo4N0lVPccBkSiuyVh4yg</t>
        </is>
      </c>
      <c r="O719" s="48" t="n">
        <v>45332.625</v>
      </c>
      <c r="P719" s="49" t="n">
        <v>45332</v>
      </c>
      <c r="Q719" s="47" t="n">
        <v>2549</v>
      </c>
      <c r="R719" s="47" t="inlineStr">
        <is>
          <t>No Video ID yet</t>
        </is>
      </c>
      <c r="S719" s="49" t="n"/>
      <c r="T719" s="49" t="n"/>
      <c r="U719" s="47" t="inlineStr">
        <is>
          <t>Join J and Ben as they embark on their newest endeavor: rereading the Harry Potter series in this chapter by chapter recap podcast! We hope you enjoy all the Harry Potter goodness that this podcast will bring. Come along as we go Through the Griffin Door. 00:00:00 Introduction 00:13:33 Chapter 1: The Worst Birthday 01:11:10: Chapter 2: Dobby's Warning 02:10:32: Dumbledore's Big Plan Explained</t>
        </is>
      </c>
      <c r="V719" s="47">
        <f>IF(AND(P719&gt;=Calendar!$K$2,P719&lt;EDATE(Calendar!$K$2,1),OR(Calendar!$K$4="*",N719=Calendar!$K$4)),P719*100+COUNTIFS($P$6:$P$3267,P719,$Q$6:$Q$3267,"&lt;="&amp;Q719,$N$6:$N$3267,Calendar!$K$4),"")</f>
        <v/>
      </c>
      <c r="W719" s="47">
        <f>IF(AND(B719=Queue!$C$4,OR(Queue!$K$4="*",N719=Queue!$K$4)),Q719,"")</f>
        <v/>
      </c>
    </row>
    <row r="720">
      <c r="A720" s="38">
        <f>IF(M720="","",HYPERLINK("https://www.youtube.com/watch?v="&amp;M720,"▶"))</f>
        <v/>
      </c>
      <c r="B720" s="39">
        <f>IF(C720&lt;&gt;"",C720,IF(P720&lt;=IFERROR(INDEX(tblChannels[Watched Through],MATCH(N720,tblChannels[Channel ID],0)),0),"Watched","Unwatched"))</f>
        <v/>
      </c>
      <c r="C720" s="40" t="n"/>
      <c r="D720" s="41" t="n"/>
      <c r="E720" s="42" t="n">
        <v>45331.69930555556</v>
      </c>
      <c r="F720" s="50" t="inlineStr">
        <is>
          <t>Super Carlin Brothers</t>
        </is>
      </c>
      <c r="G720" t="inlineStr">
        <is>
          <t>What If James Kept The Invisibility Cloak - PART 3 | Harry Potter Film Theory</t>
        </is>
      </c>
      <c r="H720" s="44" t="n">
        <v>0.02053240740740741</v>
      </c>
      <c r="I720" s="45" t="n">
        <v>165968</v>
      </c>
      <c r="J720" s="45" t="n">
        <v>6371</v>
      </c>
      <c r="K720" s="45" t="n">
        <v>552</v>
      </c>
      <c r="L720" s="46" t="n"/>
      <c r="M720" s="47" t="n"/>
      <c r="N720" s="47" t="inlineStr">
        <is>
          <t>UCKZo4N0lVPccBkSiuyVh4yg</t>
        </is>
      </c>
      <c r="O720" s="48" t="n">
        <v>45331.90763888889</v>
      </c>
      <c r="P720" s="49" t="n">
        <v>45331</v>
      </c>
      <c r="Q720" s="47" t="n">
        <v>2548</v>
      </c>
      <c r="R720" s="47" t="inlineStr">
        <is>
          <t>No Video ID yet</t>
        </is>
      </c>
      <c r="S720" s="49" t="n"/>
      <c r="T720" s="49" t="n"/>
      <c r="U720" s="47" t="inlineStr">
        <is>
          <t>This show is sponsored by BetterHelp - go to to get 10% off your first month. Today J dives back into the Wizarding World of Harry Potter to continue answering the question: What If James Kept The Invisibility Cloak? Does Voldemort still seek the prophecy? Is the ministry still against Harry? Is UMBRIDGE STILL AROUND? Check out our PRETTY OBVIOUS Wizarding Candle subscription available now HERE: #supercarlinbrothers #harrypotter</t>
        </is>
      </c>
      <c r="V720" s="47">
        <f>IF(AND(P720&gt;=Calendar!$K$2,P720&lt;EDATE(Calendar!$K$2,1),OR(Calendar!$K$4="*",N720=Calendar!$K$4)),P720*100+COUNTIFS($P$6:$P$3267,P720,$Q$6:$Q$3267,"&lt;="&amp;Q720,$N$6:$N$3267,Calendar!$K$4),"")</f>
        <v/>
      </c>
      <c r="W720" s="47">
        <f>IF(AND(B720=Queue!$C$4,OR(Queue!$K$4="*",N720=Queue!$K$4)),Q720,"")</f>
        <v/>
      </c>
    </row>
    <row r="721">
      <c r="A721" s="38">
        <f>IF(M721="","",HYPERLINK("https://www.youtube.com/watch?v="&amp;M721,"▶"))</f>
        <v/>
      </c>
      <c r="B721" s="39">
        <f>IF(C721&lt;&gt;"",C721,IF(P721&lt;=IFERROR(INDEX(tblChannels[Watched Through],MATCH(N721,tblChannels[Channel ID],0)),0),"Watched","Unwatched"))</f>
        <v/>
      </c>
      <c r="C721" s="40" t="n"/>
      <c r="D721" s="41" t="n"/>
      <c r="E721" s="42" t="n">
        <v>45331.41666666666</v>
      </c>
      <c r="F721" s="43" t="inlineStr">
        <is>
          <t>Popcorn Culture</t>
        </is>
      </c>
      <c r="G721" t="inlineStr">
        <is>
          <t>Voice Cracks and Phone Farts | Popcorn Culture</t>
        </is>
      </c>
      <c r="H721" s="44" t="n">
        <v>0.0549074074074074</v>
      </c>
      <c r="I721" s="45" t="n">
        <v>4838</v>
      </c>
      <c r="J721" s="45" t="n">
        <v>218</v>
      </c>
      <c r="K721" s="45" t="n">
        <v>20</v>
      </c>
      <c r="L721" s="46" t="n"/>
      <c r="M721" s="47" t="n"/>
      <c r="N721" s="47" t="inlineStr">
        <is>
          <t>UCHfIbq9thHPC8yrKjAdJgDA</t>
        </is>
      </c>
      <c r="O721" s="48" t="n">
        <v>45331.625</v>
      </c>
      <c r="P721" s="49" t="n">
        <v>45331</v>
      </c>
      <c r="Q721" s="47" t="n">
        <v>2547</v>
      </c>
      <c r="R721" s="47" t="inlineStr">
        <is>
          <t>No Video ID yet</t>
        </is>
      </c>
      <c r="S721" s="49" t="n"/>
      <c r="T721" s="49" t="n"/>
      <c r="U721" s="47" t="inlineStr">
        <is>
          <t>Ben and J discuss: J’s Birthday, adjustment periods, getting out of your comfort zone, little basketball, mountain biking, adventurous food, and classic embarrassing moments. Show Notes Yes Man - Embarrassing or No? Phone Fart 00:00 - Intro, Being 36 20:33 - Broadening Your Horizons 52:20 - Embarrassing Stuff</t>
        </is>
      </c>
      <c r="V721" s="47">
        <f>IF(AND(P721&gt;=Calendar!$K$2,P721&lt;EDATE(Calendar!$K$2,1),OR(Calendar!$K$4="*",N721=Calendar!$K$4)),P721*100+COUNTIFS($P$6:$P$3267,P721,$Q$6:$Q$3267,"&lt;="&amp;Q721,$N$6:$N$3267,Calendar!$K$4),"")</f>
        <v/>
      </c>
      <c r="W721" s="47">
        <f>IF(AND(B721=Queue!$C$4,OR(Queue!$K$4="*",N721=Queue!$K$4)),Q721,"")</f>
        <v/>
      </c>
    </row>
    <row r="722">
      <c r="A722" s="38">
        <f>IF(M722="","",HYPERLINK("https://www.youtube.com/watch?v="&amp;M722,"▶"))</f>
        <v/>
      </c>
      <c r="B722" s="39">
        <f>IF(C722&lt;&gt;"",C722,IF(P722&lt;=IFERROR(INDEX(tblChannels[Watched Through],MATCH(N722,tblChannels[Channel ID],0)),0),"Watched","Unwatched"))</f>
        <v/>
      </c>
      <c r="C722" s="40" t="n"/>
      <c r="D722" s="41" t="n"/>
      <c r="E722" s="42" t="n">
        <v>45329.67361111111</v>
      </c>
      <c r="F722" s="50" t="inlineStr">
        <is>
          <t>Super Carlin Brothers</t>
        </is>
      </c>
      <c r="G722" t="inlineStr">
        <is>
          <t>Every SECRET Bending Style Explained | Avatar The Last Airbender</t>
        </is>
      </c>
      <c r="H722" s="44" t="n">
        <v>0.01105324074074074</v>
      </c>
      <c r="I722" s="45" t="n">
        <v>189431</v>
      </c>
      <c r="J722" s="45" t="n">
        <v>8214</v>
      </c>
      <c r="K722" s="45" t="n">
        <v>1190</v>
      </c>
      <c r="L722" s="46" t="n"/>
      <c r="M722" s="47" t="n"/>
      <c r="N722" s="47" t="inlineStr">
        <is>
          <t>UCKZo4N0lVPccBkSiuyVh4yg</t>
        </is>
      </c>
      <c r="O722" s="48" t="n">
        <v>45329.88194444445</v>
      </c>
      <c r="P722" s="49" t="n">
        <v>45329</v>
      </c>
      <c r="Q722" s="47" t="n">
        <v>2546</v>
      </c>
      <c r="R722" s="47" t="inlineStr">
        <is>
          <t>No Video ID yet</t>
        </is>
      </c>
      <c r="S722" s="49" t="n"/>
      <c r="T722" s="49" t="n"/>
      <c r="U722" s="47" t="inlineStr">
        <is>
          <t>Today J dives off the back of a sky bison into the world of Avatar: The Last Airbender to explain how every secret sub-bending technique works for the 4 elements: Air, Water, Earth, Fire! Check out our PRETTY OBVIOUS Wizarding Candle subscription available now HERE: #supercarlinbrothers #atla #avatar</t>
        </is>
      </c>
      <c r="V722" s="47">
        <f>IF(AND(P722&gt;=Calendar!$K$2,P722&lt;EDATE(Calendar!$K$2,1),OR(Calendar!$K$4="*",N722=Calendar!$K$4)),P722*100+COUNTIFS($P$6:$P$3267,P722,$Q$6:$Q$3267,"&lt;="&amp;Q722,$N$6:$N$3267,Calendar!$K$4),"")</f>
        <v/>
      </c>
      <c r="W722" s="47">
        <f>IF(AND(B722=Queue!$C$4,OR(Queue!$K$4="*",N722=Queue!$K$4)),Q722,"")</f>
        <v/>
      </c>
    </row>
    <row r="723">
      <c r="A723" s="38">
        <f>IF(M723="","",HYPERLINK("https://www.youtube.com/watch?v="&amp;M723,"▶"))</f>
        <v/>
      </c>
      <c r="B723" s="39">
        <f>IF(C723&lt;&gt;"",C723,IF(P723&lt;=IFERROR(INDEX(tblChannels[Watched Through],MATCH(N723,tblChannels[Channel ID],0)),0),"Watched","Unwatched"))</f>
        <v/>
      </c>
      <c r="C723" s="40" t="n"/>
      <c r="D723" s="41" t="n"/>
      <c r="E723" s="42" t="n">
        <v>45329.48958333334</v>
      </c>
      <c r="F723" s="50" t="inlineStr">
        <is>
          <t>Super Carlin Brothers</t>
        </is>
      </c>
      <c r="G723" t="inlineStr">
        <is>
          <t>Why Does Harry Potter Come Back To Life? #harrypotter</t>
        </is>
      </c>
      <c r="H723" s="44" t="n">
        <v>0.0004282407407407408</v>
      </c>
      <c r="I723" s="45" t="n">
        <v>48729</v>
      </c>
      <c r="J723" s="45" t="n">
        <v>2574</v>
      </c>
      <c r="K723" s="45" t="n">
        <v>43</v>
      </c>
      <c r="L723" s="46" t="n"/>
      <c r="M723" s="47" t="n"/>
      <c r="N723" s="47" t="inlineStr">
        <is>
          <t>UCKZo4N0lVPccBkSiuyVh4yg</t>
        </is>
      </c>
      <c r="O723" s="48" t="n">
        <v>45329.69791666666</v>
      </c>
      <c r="P723" s="49" t="n">
        <v>45329</v>
      </c>
      <c r="Q723" s="47" t="n">
        <v>2545</v>
      </c>
      <c r="R723" s="47" t="inlineStr">
        <is>
          <t>No Video ID yet</t>
        </is>
      </c>
      <c r="S723" s="49" t="n"/>
      <c r="T723" s="49" t="n"/>
      <c r="U723" s="47" t="inlineStr">
        <is>
          <t>Join us as we dive into the Wizarding World of Harry Potter to find out: Why does Harry Potter come back to life after Voldemort kills him in the forest in Deathly Hallows? #supercarlinbrothers</t>
        </is>
      </c>
      <c r="V723" s="47">
        <f>IF(AND(P723&gt;=Calendar!$K$2,P723&lt;EDATE(Calendar!$K$2,1),OR(Calendar!$K$4="*",N723=Calendar!$K$4)),P723*100+COUNTIFS($P$6:$P$3267,P723,$Q$6:$Q$3267,"&lt;="&amp;Q723,$N$6:$N$3267,Calendar!$K$4),"")</f>
        <v/>
      </c>
      <c r="W723" s="47">
        <f>IF(AND(B723=Queue!$C$4,OR(Queue!$K$4="*",N723=Queue!$K$4)),Q723,"")</f>
        <v/>
      </c>
    </row>
    <row r="724">
      <c r="A724" s="38">
        <f>IF(M724="","",HYPERLINK("https://www.youtube.com/watch?v="&amp;M724,"▶"))</f>
        <v/>
      </c>
      <c r="B724" s="39">
        <f>IF(C724&lt;&gt;"",C724,IF(P724&lt;=IFERROR(INDEX(tblChannels[Watched Through],MATCH(N724,tblChannels[Channel ID],0)),0),"Watched","Unwatched"))</f>
        <v/>
      </c>
      <c r="C724" s="40" t="n"/>
      <c r="D724" s="41" t="n"/>
      <c r="E724" s="42" t="n">
        <v>45328.77083333334</v>
      </c>
      <c r="F724" s="52" t="inlineStr">
        <is>
          <t>Super Carlin Gaming</t>
        </is>
      </c>
      <c r="G724" t="inlineStr">
        <is>
          <t>PALDEAN FATES HAS ARRIVED | Carlin Brothers Box Breakers S9E1</t>
        </is>
      </c>
      <c r="H724" s="44" t="n">
        <v>0.03815972222222222</v>
      </c>
      <c r="I724" s="45" t="n">
        <v>1722</v>
      </c>
      <c r="J724" s="45" t="n">
        <v>104</v>
      </c>
      <c r="K724" s="45" t="n">
        <v>15</v>
      </c>
      <c r="L724" s="46" t="n"/>
      <c r="M724" s="47" t="n"/>
      <c r="N724" s="47" t="inlineStr">
        <is>
          <t>UCor_9jRnNNZVzTuQ92PKsaQ</t>
        </is>
      </c>
      <c r="O724" s="48" t="n">
        <v>45328.97916666666</v>
      </c>
      <c r="P724" s="49" t="n">
        <v>45328</v>
      </c>
      <c r="Q724" s="47" t="n">
        <v>2544</v>
      </c>
      <c r="R724" s="47" t="inlineStr">
        <is>
          <t>No Video ID yet</t>
        </is>
      </c>
      <c r="S724" s="49" t="n"/>
      <c r="T724" s="49" t="n"/>
      <c r="U724" s="47" t="inlineStr">
        <is>
          <t>This week we get our first unboxing of the BRAND NEW Paldean Fates set</t>
        </is>
      </c>
      <c r="V724" s="47">
        <f>IF(AND(P724&gt;=Calendar!$K$2,P724&lt;EDATE(Calendar!$K$2,1),OR(Calendar!$K$4="*",N724=Calendar!$K$4)),P724*100+COUNTIFS($P$6:$P$3267,P724,$Q$6:$Q$3267,"&lt;="&amp;Q724,$N$6:$N$3267,Calendar!$K$4),"")</f>
        <v/>
      </c>
      <c r="W724" s="47">
        <f>IF(AND(B724=Queue!$C$4,OR(Queue!$K$4="*",N724=Queue!$K$4)),Q724,"")</f>
        <v/>
      </c>
    </row>
    <row r="725">
      <c r="A725" s="38">
        <f>IF(M725="","",HYPERLINK("https://www.youtube.com/watch?v="&amp;M725,"▶"))</f>
        <v/>
      </c>
      <c r="B725" s="39">
        <f>IF(C725&lt;&gt;"",C725,IF(P725&lt;=IFERROR(INDEX(tblChannels[Watched Through],MATCH(N725,tblChannels[Channel ID],0)),0),"Watched","Unwatched"))</f>
        <v/>
      </c>
      <c r="C725" s="40" t="n"/>
      <c r="D725" s="41" t="n"/>
      <c r="E725" s="42" t="n">
        <v>45326.41666666666</v>
      </c>
      <c r="F725" s="51" t="inlineStr">
        <is>
          <t>Through The Griffin Door</t>
        </is>
      </c>
      <c r="G725" t="inlineStr">
        <is>
          <t>Chapter 3: The Burrow | Chamber of Secrets</t>
        </is>
      </c>
      <c r="H725" s="44" t="n">
        <v>0.05228009259259259</v>
      </c>
      <c r="I725" s="45" t="n">
        <v>91078</v>
      </c>
      <c r="J725" s="45" t="n">
        <v>2749</v>
      </c>
      <c r="K725" s="45" t="n">
        <v>848</v>
      </c>
      <c r="L725" s="46" t="n"/>
      <c r="M725" s="47" t="n"/>
      <c r="N725" s="47" t="inlineStr">
        <is>
          <t>UCEscP6ETYXWSSvsNrDHekMQ</t>
        </is>
      </c>
      <c r="O725" s="48" t="n">
        <v>45326.625</v>
      </c>
      <c r="P725" s="49" t="n">
        <v>45326</v>
      </c>
      <c r="Q725" s="47" t="n">
        <v>2543</v>
      </c>
      <c r="R725" s="47" t="inlineStr">
        <is>
          <t>No Video ID yet</t>
        </is>
      </c>
      <c r="S725" s="49" t="n"/>
      <c r="T725" s="49" t="n"/>
      <c r="U725" s="47" t="inlineStr">
        <is>
          <t>Join J and Ben as they dive into Chapter 3 of the Chamber of Secrets and discuss Harry’s letters from Ron’s perspective, more trace ridiculousness, bewitched muggle artifacts, warlocks vs. wizards, the raids, the shape of the Burrow, home names, Mrs. Weasley’s intro, Charmed Cheese, Lockhart’s first mention, degnoming, Arthur Weasley’s intro and Ron’s room. Was Percy Under The Imperius Curse? - Hocus Pocus - 07:23 - Chapter Breakdown 1:12:24 - Closing Thoughts and Review</t>
        </is>
      </c>
      <c r="V725" s="47">
        <f>IF(AND(P725&gt;=Calendar!$K$2,P725&lt;EDATE(Calendar!$K$2,1),OR(Calendar!$K$4="*",N725=Calendar!$K$4)),P725*100+COUNTIFS($P$6:$P$3267,P725,$Q$6:$Q$3267,"&lt;="&amp;Q725,$N$6:$N$3267,Calendar!$K$4),"")</f>
        <v/>
      </c>
      <c r="W725" s="47">
        <f>IF(AND(B725=Queue!$C$4,OR(Queue!$K$4="*",N725=Queue!$K$4)),Q725,"")</f>
        <v/>
      </c>
    </row>
    <row r="726">
      <c r="A726" s="38">
        <f>IF(M726="","",HYPERLINK("https://www.youtube.com/watch?v="&amp;M726,"▶"))</f>
        <v/>
      </c>
      <c r="B726" s="39">
        <f>IF(C726&lt;&gt;"",C726,IF(P726&lt;=IFERROR(INDEX(tblChannels[Watched Through],MATCH(N726,tblChannels[Channel ID],0)),0),"Watched","Unwatched"))</f>
        <v/>
      </c>
      <c r="C726" s="40" t="n"/>
      <c r="D726" s="41" t="n"/>
      <c r="E726" s="42" t="n">
        <v>45324.70208333333</v>
      </c>
      <c r="F726" s="50" t="inlineStr">
        <is>
          <t>Super Carlin Brothers</t>
        </is>
      </c>
      <c r="G726" t="inlineStr">
        <is>
          <t>Tangled Was All A DREAM | Rapunzel Disney Film Theory</t>
        </is>
      </c>
      <c r="H726" s="44" t="n">
        <v>0.01101851851851852</v>
      </c>
      <c r="I726" s="45" t="n">
        <v>89558</v>
      </c>
      <c r="J726" s="45" t="n">
        <v>5215</v>
      </c>
      <c r="K726" s="45" t="n">
        <v>368</v>
      </c>
      <c r="L726" s="46" t="n"/>
      <c r="M726" s="47" t="n"/>
      <c r="N726" s="47" t="inlineStr">
        <is>
          <t>UCKZo4N0lVPccBkSiuyVh4yg</t>
        </is>
      </c>
      <c r="O726" s="48" t="n">
        <v>45324.91041666667</v>
      </c>
      <c r="P726" s="49" t="n">
        <v>45324</v>
      </c>
      <c r="Q726" s="47" t="n">
        <v>2542</v>
      </c>
      <c r="R726" s="47" t="inlineStr">
        <is>
          <t>No Video ID yet</t>
        </is>
      </c>
      <c r="S726" s="49" t="n"/>
      <c r="T726" s="49" t="n"/>
      <c r="U726" s="47" t="inlineStr">
        <is>
          <t>Head on over to to sign up for a $1-per-month trial period. Today J dives into the Tangled world of Disney’s…. Tangled to uncover how almost the entire story is actually a DREAM from baby Rapunzel Check out our PRETTY OBVIOUS Wizarding Candle subscription available now HERE: #supercarlinbrothers #Tangled #Disney</t>
        </is>
      </c>
      <c r="V726" s="47">
        <f>IF(AND(P726&gt;=Calendar!$K$2,P726&lt;EDATE(Calendar!$K$2,1),OR(Calendar!$K$4="*",N726=Calendar!$K$4)),P726*100+COUNTIFS($P$6:$P$3267,P726,$Q$6:$Q$3267,"&lt;="&amp;Q726,$N$6:$N$3267,Calendar!$K$4),"")</f>
        <v/>
      </c>
      <c r="W726" s="47">
        <f>IF(AND(B726=Queue!$C$4,OR(Queue!$K$4="*",N726=Queue!$K$4)),Q726,"")</f>
        <v/>
      </c>
    </row>
    <row r="727">
      <c r="A727" s="38">
        <f>IF(M727="","",HYPERLINK("https://www.youtube.com/watch?v="&amp;M727,"▶"))</f>
        <v/>
      </c>
      <c r="B727" s="39">
        <f>IF(C727&lt;&gt;"",C727,IF(P727&lt;=IFERROR(INDEX(tblChannels[Watched Through],MATCH(N727,tblChannels[Channel ID],0)),0),"Watched","Unwatched"))</f>
        <v/>
      </c>
      <c r="C727" s="40" t="n"/>
      <c r="D727" s="41" t="n"/>
      <c r="E727" s="42" t="n">
        <v>45324.41666666666</v>
      </c>
      <c r="F727" s="43" t="inlineStr">
        <is>
          <t>Popcorn Culture</t>
        </is>
      </c>
      <c r="G727" t="inlineStr">
        <is>
          <t>OUR FIRST CRUISE! | Popcorn Culture</t>
        </is>
      </c>
      <c r="H727" s="44" t="n">
        <v>0.04806712962962963</v>
      </c>
      <c r="I727" s="45" t="n">
        <v>4649</v>
      </c>
      <c r="J727" s="45" t="n">
        <v>247</v>
      </c>
      <c r="K727" s="45" t="n">
        <v>21</v>
      </c>
      <c r="L727" s="46" t="n"/>
      <c r="M727" s="47" t="n"/>
      <c r="N727" s="47" t="inlineStr">
        <is>
          <t>UCHfIbq9thHPC8yrKjAdJgDA</t>
        </is>
      </c>
      <c r="O727" s="48" t="n">
        <v>45324.625</v>
      </c>
      <c r="P727" s="49" t="n">
        <v>45324</v>
      </c>
      <c r="Q727" s="47" t="n">
        <v>2541</v>
      </c>
      <c r="R727" s="47" t="inlineStr">
        <is>
          <t>No Video ID yet</t>
        </is>
      </c>
      <c r="S727" s="49" t="n"/>
      <c r="T727" s="49" t="n"/>
      <c r="U727" s="47" t="inlineStr">
        <is>
          <t>In the 217th episode of the Pop, Ben and J discuss their first cruise, character interactions, Carlin family pin mania, special popcorn, and lost luggage. Pin Mania 00:00 - Intro, Recap of First Cruise 22:38 - Pin Mania and Lost Luggage</t>
        </is>
      </c>
      <c r="V727" s="47">
        <f>IF(AND(P727&gt;=Calendar!$K$2,P727&lt;EDATE(Calendar!$K$2,1),OR(Calendar!$K$4="*",N727=Calendar!$K$4)),P727*100+COUNTIFS($P$6:$P$3267,P727,$Q$6:$Q$3267,"&lt;="&amp;Q727,$N$6:$N$3267,Calendar!$K$4),"")</f>
        <v/>
      </c>
      <c r="W727" s="47">
        <f>IF(AND(B727=Queue!$C$4,OR(Queue!$K$4="*",N727=Queue!$K$4)),Q727,"")</f>
        <v/>
      </c>
    </row>
    <row r="728">
      <c r="A728" s="38">
        <f>IF(M728="","",HYPERLINK("https://www.youtube.com/watch?v="&amp;M728,"▶"))</f>
        <v/>
      </c>
      <c r="B728" s="39">
        <f>IF(C728&lt;&gt;"",C728,IF(P728&lt;=IFERROR(INDEX(tblChannels[Watched Through],MATCH(N728,tblChannels[Channel ID],0)),0),"Watched","Unwatched"))</f>
        <v/>
      </c>
      <c r="C728" s="40" t="n"/>
      <c r="D728" s="41" t="n"/>
      <c r="E728" s="42" t="n">
        <v>45322.74305555555</v>
      </c>
      <c r="F728" s="50" t="inlineStr">
        <is>
          <t>Super Carlin Brothers</t>
        </is>
      </c>
      <c r="G728" t="inlineStr">
        <is>
          <t>J vs Ben: FLUFFIEST Hufflepuff House Harry Potter TRIVIA Quiz</t>
        </is>
      </c>
      <c r="H728" s="44" t="n">
        <v>0.02765046296296296</v>
      </c>
      <c r="I728" s="45" t="n">
        <v>183679</v>
      </c>
      <c r="J728" s="45" t="n">
        <v>6179</v>
      </c>
      <c r="K728" s="45" t="n">
        <v>843</v>
      </c>
      <c r="L728" s="46" t="n"/>
      <c r="M728" s="47" t="n"/>
      <c r="N728" s="47" t="inlineStr">
        <is>
          <t>UCKZo4N0lVPccBkSiuyVh4yg</t>
        </is>
      </c>
      <c r="O728" s="48" t="n">
        <v>45322.95138888889</v>
      </c>
      <c r="P728" s="49" t="n">
        <v>45322</v>
      </c>
      <c r="Q728" s="47" t="n">
        <v>2540</v>
      </c>
      <c r="R728" s="47" t="inlineStr">
        <is>
          <t>No Video ID yet</t>
        </is>
      </c>
      <c r="S728" s="49" t="n"/>
      <c r="T728" s="49" t="n"/>
      <c r="U728" s="47" t="inlineStr">
        <is>
          <t>Go to for 20% off your first order plus free shipping. Check out our PRETTY OBVIOUS Wizarding Candle subscription available now HERE: Today J and Ben continue the 2024 J vs Ben season with the FLUFFIEST Hufflepuff House Quiz! Which Hufflepuffs show up to Dumbledore’s Army? How many times do they win the House cup? WHERE IS HELGA FROM?! Check out our PRETTY OBVIOUS Wizarding Candle subscription available now HERE:</t>
        </is>
      </c>
      <c r="V728" s="47">
        <f>IF(AND(P728&gt;=Calendar!$K$2,P728&lt;EDATE(Calendar!$K$2,1),OR(Calendar!$K$4="*",N728=Calendar!$K$4)),P728*100+COUNTIFS($P$6:$P$3267,P728,$Q$6:$Q$3267,"&lt;="&amp;Q728,$N$6:$N$3267,Calendar!$K$4),"")</f>
        <v/>
      </c>
      <c r="W728" s="47">
        <f>IF(AND(B728=Queue!$C$4,OR(Queue!$K$4="*",N728=Queue!$K$4)),Q728,"")</f>
        <v/>
      </c>
    </row>
    <row r="729">
      <c r="A729" s="38">
        <f>IF(M729="","",HYPERLINK("https://www.youtube.com/watch?v="&amp;M729,"▶"))</f>
        <v/>
      </c>
      <c r="B729" s="39">
        <f>IF(C729&lt;&gt;"",C729,IF(P729&lt;=IFERROR(INDEX(tblChannels[Watched Through],MATCH(N729,tblChannels[Channel ID],0)),0),"Watched","Unwatched"))</f>
        <v/>
      </c>
      <c r="C729" s="40" t="n"/>
      <c r="D729" s="41" t="n"/>
      <c r="E729" s="42" t="n">
        <v>45322.43958333333</v>
      </c>
      <c r="F729" s="50" t="inlineStr">
        <is>
          <t>Super Carlin Brothers</t>
        </is>
      </c>
      <c r="G729" t="inlineStr">
        <is>
          <t>Why Harry Potter Makes Me So Happy #shorts  #harrypotter</t>
        </is>
      </c>
      <c r="H729" s="44" t="n">
        <v>0.0007060185185185185</v>
      </c>
      <c r="I729" s="45" t="n">
        <v>53225</v>
      </c>
      <c r="J729" s="45" t="n">
        <v>3758</v>
      </c>
      <c r="K729" s="45" t="n">
        <v>104</v>
      </c>
      <c r="L729" s="46" t="n"/>
      <c r="M729" s="47" t="n"/>
      <c r="N729" s="47" t="inlineStr">
        <is>
          <t>UCKZo4N0lVPccBkSiuyVh4yg</t>
        </is>
      </c>
      <c r="O729" s="48" t="n">
        <v>45322.64791666667</v>
      </c>
      <c r="P729" s="49" t="n">
        <v>45322</v>
      </c>
      <c r="Q729" s="47" t="n">
        <v>2539</v>
      </c>
      <c r="R729" s="47" t="inlineStr">
        <is>
          <t>No Video ID yet</t>
        </is>
      </c>
      <c r="S729" s="49" t="n"/>
      <c r="T729" s="49" t="n"/>
      <c r="U729" s="47" t="inlineStr">
        <is>
          <t>Why does Harry Potter make me so Happy? Well, it's a long story.. #shorts #harrypotter #supercarlinbrothers</t>
        </is>
      </c>
      <c r="V729" s="47">
        <f>IF(AND(P729&gt;=Calendar!$K$2,P729&lt;EDATE(Calendar!$K$2,1),OR(Calendar!$K$4="*",N729=Calendar!$K$4)),P729*100+COUNTIFS($P$6:$P$3267,P729,$Q$6:$Q$3267,"&lt;="&amp;Q729,$N$6:$N$3267,Calendar!$K$4),"")</f>
        <v/>
      </c>
      <c r="W729" s="47">
        <f>IF(AND(B729=Queue!$C$4,OR(Queue!$K$4="*",N729=Queue!$K$4)),Q729,"")</f>
        <v/>
      </c>
    </row>
    <row r="730">
      <c r="A730" s="38">
        <f>IF(M730="","",HYPERLINK("https://www.youtube.com/watch?v="&amp;M730,"▶"))</f>
        <v/>
      </c>
      <c r="B730" s="39">
        <f>IF(C730&lt;&gt;"",C730,IF(P730&lt;=IFERROR(INDEX(tblChannels[Watched Through],MATCH(N730,tblChannels[Channel ID],0)),0),"Watched","Unwatched"))</f>
        <v/>
      </c>
      <c r="C730" s="40" t="n"/>
      <c r="D730" s="41" t="n"/>
      <c r="E730" s="42" t="n">
        <v>45321.77083333334</v>
      </c>
      <c r="F730" s="52" t="inlineStr">
        <is>
          <t>Super Carlin Gaming</t>
        </is>
      </c>
      <c r="G730" t="inlineStr">
        <is>
          <t>The Paradox Rift Closes | Carlin Brothers Box Breakers S8E12</t>
        </is>
      </c>
      <c r="H730" s="44" t="n">
        <v>0.02747685185185185</v>
      </c>
      <c r="I730" s="45" t="n">
        <v>1174</v>
      </c>
      <c r="J730" s="45" t="n">
        <v>84</v>
      </c>
      <c r="K730" s="45" t="n">
        <v>9</v>
      </c>
      <c r="L730" s="46" t="n"/>
      <c r="M730" s="47" t="n"/>
      <c r="N730" s="47" t="inlineStr">
        <is>
          <t>UCor_9jRnNNZVzTuQ92PKsaQ</t>
        </is>
      </c>
      <c r="O730" s="48" t="n">
        <v>45321.97916666666</v>
      </c>
      <c r="P730" s="49" t="n">
        <v>45321</v>
      </c>
      <c r="Q730" s="47" t="n">
        <v>2538</v>
      </c>
      <c r="R730" s="47" t="inlineStr">
        <is>
          <t>No Video ID yet</t>
        </is>
      </c>
      <c r="S730" s="49" t="n"/>
      <c r="T730" s="49" t="n"/>
      <c r="U730" s="47" t="inlineStr">
        <is>
          <t>This week we crown a PARADOX RIFT CHAMPION</t>
        </is>
      </c>
      <c r="V730" s="47">
        <f>IF(AND(P730&gt;=Calendar!$K$2,P730&lt;EDATE(Calendar!$K$2,1),OR(Calendar!$K$4="*",N730=Calendar!$K$4)),P730*100+COUNTIFS($P$6:$P$3267,P730,$Q$6:$Q$3267,"&lt;="&amp;Q730,$N$6:$N$3267,Calendar!$K$4),"")</f>
        <v/>
      </c>
      <c r="W730" s="47">
        <f>IF(AND(B730=Queue!$C$4,OR(Queue!$K$4="*",N730=Queue!$K$4)),Q730,"")</f>
        <v/>
      </c>
    </row>
    <row r="731">
      <c r="A731" s="38">
        <f>IF(M731="","",HYPERLINK("https://www.youtube.com/watch?v="&amp;M731,"▶"))</f>
        <v/>
      </c>
      <c r="B731" s="39">
        <f>IF(C731&lt;&gt;"",C731,IF(P731&lt;=IFERROR(INDEX(tblChannels[Watched Through],MATCH(N731,tblChannels[Channel ID],0)),0),"Watched","Unwatched"))</f>
        <v/>
      </c>
      <c r="C731" s="40" t="n"/>
      <c r="D731" s="41" t="n"/>
      <c r="E731" s="42" t="n">
        <v>45319.41666666666</v>
      </c>
      <c r="F731" s="51" t="inlineStr">
        <is>
          <t>Through The Griffin Door</t>
        </is>
      </c>
      <c r="G731" t="inlineStr">
        <is>
          <t>Chapter 2: Dobby’s Warning | Chamber of Secrets</t>
        </is>
      </c>
      <c r="H731" s="44" t="n">
        <v>0.04122685185185185</v>
      </c>
      <c r="I731" s="45" t="n">
        <v>77749</v>
      </c>
      <c r="J731" s="45" t="n">
        <v>2423</v>
      </c>
      <c r="K731" s="45" t="n">
        <v>491</v>
      </c>
      <c r="L731" s="46" t="n"/>
      <c r="M731" s="47" t="n"/>
      <c r="N731" s="47" t="inlineStr">
        <is>
          <t>UCEscP6ETYXWSSvsNrDHekMQ</t>
        </is>
      </c>
      <c r="O731" s="48" t="n">
        <v>45319.625</v>
      </c>
      <c r="P731" s="49" t="n">
        <v>45319</v>
      </c>
      <c r="Q731" s="47" t="n">
        <v>2537</v>
      </c>
      <c r="R731" s="47" t="inlineStr">
        <is>
          <t>No Video ID yet</t>
        </is>
      </c>
      <c r="S731" s="49" t="n"/>
      <c r="T731" s="49" t="n"/>
      <c r="U731" s="47" t="inlineStr">
        <is>
          <t>Join J and Ben as they dive into Chapter 2 of the Chamber of Secrets and discuss the origin of “Dobby”, Harry’s innate politeness, elves breaking rules, Lucius planning everything, magically giving your word, Mrs. Mason’s fear of birds, and the ridiculous age restriction laws. We ended up answering the question at the end here - 05:21 - Chapter Breakdown 47:52 - Closing Thoughts and Review</t>
        </is>
      </c>
      <c r="V731" s="47">
        <f>IF(AND(P731&gt;=Calendar!$K$2,P731&lt;EDATE(Calendar!$K$2,1),OR(Calendar!$K$4="*",N731=Calendar!$K$4)),P731*100+COUNTIFS($P$6:$P$3267,P731,$Q$6:$Q$3267,"&lt;="&amp;Q731,$N$6:$N$3267,Calendar!$K$4),"")</f>
        <v/>
      </c>
      <c r="W731" s="47">
        <f>IF(AND(B731=Queue!$C$4,OR(Queue!$K$4="*",N731=Queue!$K$4)),Q731,"")</f>
        <v/>
      </c>
    </row>
    <row r="732">
      <c r="A732" s="38">
        <f>IF(M732="","",HYPERLINK("https://www.youtube.com/watch?v="&amp;M732,"▶"))</f>
        <v/>
      </c>
      <c r="B732" s="39">
        <f>IF(C732&lt;&gt;"",C732,IF(P732&lt;=IFERROR(INDEX(tblChannels[Watched Through],MATCH(N732,tblChannels[Channel ID],0)),0),"Watched","Unwatched"))</f>
        <v/>
      </c>
      <c r="C732" s="40" t="n"/>
      <c r="D732" s="41" t="n"/>
      <c r="E732" s="42" t="n">
        <v>45317.68819444445</v>
      </c>
      <c r="F732" s="50" t="inlineStr">
        <is>
          <t>Super Carlin Brothers</t>
        </is>
      </c>
      <c r="G732" t="inlineStr">
        <is>
          <t>J vs Ben: ULTIMATE Slytherin House Harry Potter TRIVIA Quiz</t>
        </is>
      </c>
      <c r="H732" s="44" t="n">
        <v>0.02275462962962963</v>
      </c>
      <c r="I732" s="45" t="n">
        <v>157100</v>
      </c>
      <c r="J732" s="45" t="n">
        <v>5489</v>
      </c>
      <c r="K732" s="45" t="n">
        <v>516</v>
      </c>
      <c r="L732" s="46" t="n"/>
      <c r="M732" s="47" t="n"/>
      <c r="N732" s="47" t="inlineStr">
        <is>
          <t>UCKZo4N0lVPccBkSiuyVh4yg</t>
        </is>
      </c>
      <c r="O732" s="48" t="n">
        <v>45317.89652777778</v>
      </c>
      <c r="P732" s="49" t="n">
        <v>45317</v>
      </c>
      <c r="Q732" s="47" t="n">
        <v>2536</v>
      </c>
      <c r="R732" s="47" t="inlineStr">
        <is>
          <t>No Video ID yet</t>
        </is>
      </c>
      <c r="S732" s="49" t="n"/>
      <c r="T732" s="49" t="n"/>
      <c r="U732" s="47" t="inlineStr">
        <is>
          <t>Check out our PRETTY OBVIOUS Wizarding Candle subscription available now HERE: Today J and Ben continue their epic trivia battle by finding out who know’s more about the ever cunning, sly and ambitious SLYTHERIN HOUSE! What was Salazar Slytherin’s Wand made from? Where is the Slytherin Common Room and who was the first Slytherin to be sorted in Harry’s year? 02:11 - Q1: What’s the founder’s name? 03:23 - Q2: What’s the points gem? 04:25 - Q3: Where is Slytherin from? 06:18 - Q4: What’s the common room entrance? 08:11 - Q5: Who was sorted first? 10:05 - Q6: How long did Slughorn work at Hogwarts? 12:38 - Q7: Who did the Bloody Baron love? 13:26 - Q8: What did Draco’s father send him? 15:27 - Q9: What subject did Amycus Carrow teach? 16:17 - Q10: How often is the password changed? 18:24 - Q11: Who founded Ilvermorny? 19:32 - Q12: Who is the Slytherin Seeker in Philosopher’s Stone? 21:54 - Q13: Who were the last three Slytherin Heads of House 25:47 - Q14: What was Slytherin’s wand? 29:17 - Q15: What color is the blood on the Baron’s robes? #supercarlinbrothers # #HarryPotter #JvsBen</t>
        </is>
      </c>
      <c r="V732" s="47">
        <f>IF(AND(P732&gt;=Calendar!$K$2,P732&lt;EDATE(Calendar!$K$2,1),OR(Calendar!$K$4="*",N732=Calendar!$K$4)),P732*100+COUNTIFS($P$6:$P$3267,P732,$Q$6:$Q$3267,"&lt;="&amp;Q732,$N$6:$N$3267,Calendar!$K$4),"")</f>
        <v/>
      </c>
      <c r="W732" s="47">
        <f>IF(AND(B732=Queue!$C$4,OR(Queue!$K$4="*",N732=Queue!$K$4)),Q732,"")</f>
        <v/>
      </c>
    </row>
    <row r="733">
      <c r="A733" s="38">
        <f>IF(M733="","",HYPERLINK("https://www.youtube.com/watch?v="&amp;M733,"▶"))</f>
        <v/>
      </c>
      <c r="B733" s="39">
        <f>IF(C733&lt;&gt;"",C733,IF(P733&lt;=IFERROR(INDEX(tblChannels[Watched Through],MATCH(N733,tblChannels[Channel ID],0)),0),"Watched","Unwatched"))</f>
        <v/>
      </c>
      <c r="C733" s="40" t="n"/>
      <c r="D733" s="41" t="n"/>
      <c r="E733" s="42" t="n">
        <v>45317.41666666666</v>
      </c>
      <c r="F733" s="43" t="inlineStr">
        <is>
          <t>Popcorn Culture</t>
        </is>
      </c>
      <c r="G733" t="inlineStr">
        <is>
          <t>Dumpster Holes, Subwoofers and Hot Tubs | Popcorn Culture</t>
        </is>
      </c>
      <c r="H733" s="44" t="n">
        <v>0.05348379629629629</v>
      </c>
      <c r="I733" s="45" t="n">
        <v>4401</v>
      </c>
      <c r="J733" s="45" t="n">
        <v>220</v>
      </c>
      <c r="K733" s="45" t="n">
        <v>21</v>
      </c>
      <c r="L733" s="46" t="n"/>
      <c r="M733" s="47" t="n"/>
      <c r="N733" s="47" t="inlineStr">
        <is>
          <t>UCHfIbq9thHPC8yrKjAdJgDA</t>
        </is>
      </c>
      <c r="O733" s="48" t="n">
        <v>45317.625</v>
      </c>
      <c r="P733" s="49" t="n">
        <v>45317</v>
      </c>
      <c r="Q733" s="47" t="n">
        <v>2535</v>
      </c>
      <c r="R733" s="47" t="inlineStr">
        <is>
          <t>No Video ID yet</t>
        </is>
      </c>
      <c r="S733" s="49" t="n"/>
      <c r="T733" s="49" t="n"/>
      <c r="U733" s="47" t="inlineStr">
        <is>
          <t>In the 216th episode of the Pop, Ben and J discuss their upcoming Disney trip/cruise, pin collecting, social media algorithms, Angry Birds, liking things before they’re popular, J’s recycling center, a Zeigarnik Effect follow up, subwoofers and hot tubs. Angry Birds - (Voting is already over for the Roanoker, whoops sorry!) The Angry Birds Snowball Effect The Life Cycle of a Hipster That’s My Hole, Man! Squeesh it into the Cravassas 00:00 - Intro, Upcoming Disney Trip 07:22 - Pin Collecting and Snowball Effects 37:07 - A Breakdown in Recycling Etiquette 52:12 - Follow Up on Zeigarnik Effect</t>
        </is>
      </c>
      <c r="V733" s="47">
        <f>IF(AND(P733&gt;=Calendar!$K$2,P733&lt;EDATE(Calendar!$K$2,1),OR(Calendar!$K$4="*",N733=Calendar!$K$4)),P733*100+COUNTIFS($P$6:$P$3267,P733,$Q$6:$Q$3267,"&lt;="&amp;Q733,$N$6:$N$3267,Calendar!$K$4),"")</f>
        <v/>
      </c>
      <c r="W733" s="47">
        <f>IF(AND(B733=Queue!$C$4,OR(Queue!$K$4="*",N733=Queue!$K$4)),Q733,"")</f>
        <v/>
      </c>
    </row>
    <row r="734">
      <c r="A734" s="38">
        <f>IF(M734="","",HYPERLINK("https://www.youtube.com/watch?v="&amp;M734,"▶"))</f>
        <v/>
      </c>
      <c r="B734" s="39">
        <f>IF(C734&lt;&gt;"",C734,IF(P734&lt;=IFERROR(INDEX(tblChannels[Watched Through],MATCH(N734,tblChannels[Channel ID],0)),0),"Watched","Unwatched"))</f>
        <v/>
      </c>
      <c r="C734" s="40" t="n"/>
      <c r="D734" s="41" t="n"/>
      <c r="E734" s="42" t="n">
        <v>45315.69236111111</v>
      </c>
      <c r="F734" s="50" t="inlineStr">
        <is>
          <t>Super Carlin Brothers</t>
        </is>
      </c>
      <c r="G734" t="inlineStr">
        <is>
          <t>Why Does Harry Potter GOOGLE AUTOFILL | Harry Potter Film Theory</t>
        </is>
      </c>
      <c r="H734" s="44" t="n">
        <v>0.0147337962962963</v>
      </c>
      <c r="I734" s="45" t="n">
        <v>149429</v>
      </c>
      <c r="J734" s="45" t="n">
        <v>6353</v>
      </c>
      <c r="K734" s="45" t="n">
        <v>667</v>
      </c>
      <c r="L734" s="46" t="n"/>
      <c r="M734" s="47" t="n"/>
      <c r="N734" s="47" t="inlineStr">
        <is>
          <t>UCKZo4N0lVPccBkSiuyVh4yg</t>
        </is>
      </c>
      <c r="O734" s="48" t="n">
        <v>45315.90069444444</v>
      </c>
      <c r="P734" s="49" t="n">
        <v>45315</v>
      </c>
      <c r="Q734" s="47" t="n">
        <v>2534</v>
      </c>
      <c r="R734" s="47" t="inlineStr">
        <is>
          <t>No Video ID yet</t>
        </is>
      </c>
      <c r="S734" s="49" t="n"/>
      <c r="T734" s="49" t="n"/>
      <c r="U734" s="47" t="inlineStr">
        <is>
          <t>Get a free Mystery Gift with your first monthly shipment when you sign up at boxofawesome.com/ and enter code SUPER. Today J dives into the Wizarding World of Harry Potter to answer Google's most asked questions about The Chosen One: Harry Potter! Why does Harry always go back to the Dursleys? Why Does Harry Drop the Resurrection Stone? Why Does Harry Potter always wear the same shirt? And WHY does it make me so happy?? #supercarlinbrothers #HarryPotter #GoogleAutofill</t>
        </is>
      </c>
      <c r="V734" s="47">
        <f>IF(AND(P734&gt;=Calendar!$K$2,P734&lt;EDATE(Calendar!$K$2,1),OR(Calendar!$K$4="*",N734=Calendar!$K$4)),P734*100+COUNTIFS($P$6:$P$3267,P734,$Q$6:$Q$3267,"&lt;="&amp;Q734,$N$6:$N$3267,Calendar!$K$4),"")</f>
        <v/>
      </c>
      <c r="W734" s="47">
        <f>IF(AND(B734=Queue!$C$4,OR(Queue!$K$4="*",N734=Queue!$K$4)),Q734,"")</f>
        <v/>
      </c>
    </row>
    <row r="735">
      <c r="A735" s="38">
        <f>IF(M735="","",HYPERLINK("https://www.youtube.com/watch?v="&amp;M735,"▶"))</f>
        <v/>
      </c>
      <c r="B735" s="39">
        <f>IF(C735&lt;&gt;"",C735,IF(P735&lt;=IFERROR(INDEX(tblChannels[Watched Through],MATCH(N735,tblChannels[Channel ID],0)),0),"Watched","Unwatched"))</f>
        <v/>
      </c>
      <c r="C735" s="40" t="n"/>
      <c r="D735" s="41" t="n"/>
      <c r="E735" s="42" t="n">
        <v>45314.77083333334</v>
      </c>
      <c r="F735" s="52" t="inlineStr">
        <is>
          <t>Super Carlin Gaming</t>
        </is>
      </c>
      <c r="G735" t="inlineStr">
        <is>
          <t>NINE POINTS | Carlin Brothers Box Breakers S8E11</t>
        </is>
      </c>
      <c r="H735" s="44" t="n">
        <v>0.02888888888888889</v>
      </c>
      <c r="I735" s="45" t="n">
        <v>1229</v>
      </c>
      <c r="J735" s="45" t="n">
        <v>77</v>
      </c>
      <c r="K735" s="45" t="n">
        <v>9</v>
      </c>
      <c r="L735" s="46" t="n"/>
      <c r="M735" s="47" t="n"/>
      <c r="N735" s="47" t="inlineStr">
        <is>
          <t>UCor_9jRnNNZVzTuQ92PKsaQ</t>
        </is>
      </c>
      <c r="O735" s="48" t="n">
        <v>45314.97916666666</v>
      </c>
      <c r="P735" s="49" t="n">
        <v>45314</v>
      </c>
      <c r="Q735" s="47" t="n">
        <v>2533</v>
      </c>
      <c r="R735" s="47" t="inlineStr">
        <is>
          <t>No Video ID yet</t>
        </is>
      </c>
      <c r="S735" s="49" t="n"/>
      <c r="T735" s="49" t="n"/>
      <c r="U735" s="47" t="n"/>
      <c r="V735" s="47">
        <f>IF(AND(P735&gt;=Calendar!$K$2,P735&lt;EDATE(Calendar!$K$2,1),OR(Calendar!$K$4="*",N735=Calendar!$K$4)),P735*100+COUNTIFS($P$6:$P$3267,P735,$Q$6:$Q$3267,"&lt;="&amp;Q735,$N$6:$N$3267,Calendar!$K$4),"")</f>
        <v/>
      </c>
      <c r="W735" s="47">
        <f>IF(AND(B735=Queue!$C$4,OR(Queue!$K$4="*",N735=Queue!$K$4)),Q735,"")</f>
        <v/>
      </c>
    </row>
    <row r="736">
      <c r="A736" s="38">
        <f>IF(M736="","",HYPERLINK("https://www.youtube.com/watch?v="&amp;M736,"▶"))</f>
        <v/>
      </c>
      <c r="B736" s="39">
        <f>IF(C736&lt;&gt;"",C736,IF(P736&lt;=IFERROR(INDEX(tblChannels[Watched Through],MATCH(N736,tblChannels[Channel ID],0)),0),"Watched","Unwatched"))</f>
        <v/>
      </c>
      <c r="C736" s="40" t="n"/>
      <c r="D736" s="41" t="n"/>
      <c r="E736" s="42" t="n">
        <v>45312.41666666666</v>
      </c>
      <c r="F736" s="51" t="inlineStr">
        <is>
          <t>Through The Griffin Door</t>
        </is>
      </c>
      <c r="G736" t="inlineStr">
        <is>
          <t>Chapter 1: The Worst Birthday | Chamber of Secrets</t>
        </is>
      </c>
      <c r="H736" s="44" t="n">
        <v>0.0494212962962963</v>
      </c>
      <c r="I736" s="45" t="n">
        <v>103157</v>
      </c>
      <c r="J736" s="45" t="n">
        <v>3097</v>
      </c>
      <c r="K736" s="45" t="n">
        <v>627</v>
      </c>
      <c r="L736" s="46" t="n"/>
      <c r="M736" s="47" t="n"/>
      <c r="N736" s="47" t="inlineStr">
        <is>
          <t>UCEscP6ETYXWSSvsNrDHekMQ</t>
        </is>
      </c>
      <c r="O736" s="48" t="n">
        <v>45312.625</v>
      </c>
      <c r="P736" s="49" t="n">
        <v>45312</v>
      </c>
      <c r="Q736" s="47" t="n">
        <v>2532</v>
      </c>
      <c r="R736" s="47" t="inlineStr">
        <is>
          <t>No Video ID yet</t>
        </is>
      </c>
      <c r="S736" s="49" t="n"/>
      <c r="T736" s="49" t="n"/>
      <c r="U736" s="47" t="inlineStr">
        <is>
          <t>Join J and Ben as they dive into Chapter 1 of the Chamber of Secrets and discuss the other founders rooms, Dobby’s eyes in the bush, intro/outro continuity, the frying pan, ancient magic, Harry’s birthday, Dobby’s efforts, a cringey line, fake magic words and Barty Crouch Jr.’s house. The Hogwarts Founders OTHER Secret Chambers - Chapters 13:33 - Chapter Breakdown 56:54 - Closing Thoughts and Review</t>
        </is>
      </c>
      <c r="V736" s="47">
        <f>IF(AND(P736&gt;=Calendar!$K$2,P736&lt;EDATE(Calendar!$K$2,1),OR(Calendar!$K$4="*",N736=Calendar!$K$4)),P736*100+COUNTIFS($P$6:$P$3267,P736,$Q$6:$Q$3267,"&lt;="&amp;Q736,$N$6:$N$3267,Calendar!$K$4),"")</f>
        <v/>
      </c>
      <c r="W736" s="47">
        <f>IF(AND(B736=Queue!$C$4,OR(Queue!$K$4="*",N736=Queue!$K$4)),Q736,"")</f>
        <v/>
      </c>
    </row>
    <row r="737">
      <c r="A737" s="38">
        <f>IF(M737="","",HYPERLINK("https://www.youtube.com/watch?v="&amp;M737,"▶"))</f>
        <v/>
      </c>
      <c r="B737" s="39">
        <f>IF(C737&lt;&gt;"",C737,IF(P737&lt;=IFERROR(INDEX(tblChannels[Watched Through],MATCH(N737,tblChannels[Channel ID],0)),0),"Watched","Unwatched"))</f>
        <v/>
      </c>
      <c r="C737" s="40" t="n"/>
      <c r="D737" s="41" t="n"/>
      <c r="E737" s="42" t="n">
        <v>45311.41666666666</v>
      </c>
      <c r="F737" s="50" t="inlineStr">
        <is>
          <t>Super Carlin Brothers</t>
        </is>
      </c>
      <c r="G737" t="inlineStr">
        <is>
          <t>Through the Griffin Door Supercut: Chapters 16 &amp; 17 and Dumbledore's Big Plan</t>
        </is>
      </c>
      <c r="H737" s="44" t="n">
        <v>0.1519444444444444</v>
      </c>
      <c r="I737" s="45" t="n">
        <v>104800</v>
      </c>
      <c r="J737" s="45" t="n">
        <v>947</v>
      </c>
      <c r="K737" s="45" t="n">
        <v>154</v>
      </c>
      <c r="L737" s="46" t="n"/>
      <c r="M737" s="47" t="n"/>
      <c r="N737" s="47" t="inlineStr">
        <is>
          <t>UCKZo4N0lVPccBkSiuyVh4yg</t>
        </is>
      </c>
      <c r="O737" s="48" t="n">
        <v>45311.625</v>
      </c>
      <c r="P737" s="49" t="n">
        <v>45311</v>
      </c>
      <c r="Q737" s="47" t="n">
        <v>2531</v>
      </c>
      <c r="R737" s="47" t="inlineStr">
        <is>
          <t>No Video ID yet</t>
        </is>
      </c>
      <c r="S737" s="49" t="n"/>
      <c r="T737" s="49" t="n"/>
      <c r="U737" s="47" t="inlineStr">
        <is>
          <t>Join J and Ben as they embark on their newest endeavor: rereading the Harry Potter series in this chapter by chapter recap podcast! We hope you enjoy all the Harry Potter goodness that this podcast will bring. Come along as we go Through the Griffin Door. 00:00:00 Introduction 00:16:39 Chapter 16: Through the Trap Door 01:23:46: Chapter 17: The Man with Two Faces 02:31:48: Dumbledore's Big Plan Explained #supercarlinbrothers #HarryPotter #ThroughTheGriffinDoor</t>
        </is>
      </c>
      <c r="V737" s="47">
        <f>IF(AND(P737&gt;=Calendar!$K$2,P737&lt;EDATE(Calendar!$K$2,1),OR(Calendar!$K$4="*",N737=Calendar!$K$4)),P737*100+COUNTIFS($P$6:$P$3267,P737,$Q$6:$Q$3267,"&lt;="&amp;Q737,$N$6:$N$3267,Calendar!$K$4),"")</f>
        <v/>
      </c>
      <c r="W737" s="47">
        <f>IF(AND(B737=Queue!$C$4,OR(Queue!$K$4="*",N737=Queue!$K$4)),Q737,"")</f>
        <v/>
      </c>
    </row>
    <row r="738">
      <c r="A738" s="38">
        <f>IF(M738="","",HYPERLINK("https://www.youtube.com/watch?v="&amp;M738,"▶"))</f>
        <v/>
      </c>
      <c r="B738" s="39">
        <f>IF(C738&lt;&gt;"",C738,IF(P738&lt;=IFERROR(INDEX(tblChannels[Watched Through],MATCH(N738,tblChannels[Channel ID],0)),0),"Watched","Unwatched"))</f>
        <v/>
      </c>
      <c r="C738" s="40" t="n"/>
      <c r="D738" s="41" t="n"/>
      <c r="E738" s="42" t="n">
        <v>45310.67916666667</v>
      </c>
      <c r="F738" s="50" t="inlineStr">
        <is>
          <t>Super Carlin Brothers</t>
        </is>
      </c>
      <c r="G738" t="inlineStr">
        <is>
          <t>J vs Ben: ULTIMATE Gryffindor House Harry Potter TRIVIA Quiz</t>
        </is>
      </c>
      <c r="H738" s="44" t="n">
        <v>0.02814814814814815</v>
      </c>
      <c r="I738" s="45" t="n">
        <v>170286</v>
      </c>
      <c r="J738" s="45" t="n">
        <v>5596</v>
      </c>
      <c r="K738" s="45" t="n">
        <v>520</v>
      </c>
      <c r="L738" s="46" t="n"/>
      <c r="M738" s="47" t="n"/>
      <c r="N738" s="47" t="inlineStr">
        <is>
          <t>UCKZo4N0lVPccBkSiuyVh4yg</t>
        </is>
      </c>
      <c r="O738" s="48" t="n">
        <v>45310.8875</v>
      </c>
      <c r="P738" s="49" t="n">
        <v>45310</v>
      </c>
      <c r="Q738" s="47" t="n">
        <v>2530</v>
      </c>
      <c r="R738" s="47" t="inlineStr">
        <is>
          <t>No Video ID yet</t>
        </is>
      </c>
      <c r="S738" s="49" t="n"/>
      <c r="T738" s="49" t="n"/>
      <c r="U738" s="47" t="inlineStr">
        <is>
          <t>Go to and use code jvsb50 to get 50% off. Go to to cancel your unwanted subscriptions with Rocket Money Today J and Ben kick off the 2024 J vs Ben season with the ULTIMATE Gryffindor House Quiz! What color is the Fat Lady’s Dress? What subject did Godric Gryffindor Teach?! Who replaced the Weasley Twins as Beaters?! Check out our PRETTY OBVIOUS Wizarding Candle subscription available now HERE:</t>
        </is>
      </c>
      <c r="V738" s="47">
        <f>IF(AND(P738&gt;=Calendar!$K$2,P738&lt;EDATE(Calendar!$K$2,1),OR(Calendar!$K$4="*",N738=Calendar!$K$4)),P738*100+COUNTIFS($P$6:$P$3267,P738,$Q$6:$Q$3267,"&lt;="&amp;Q738,$N$6:$N$3267,Calendar!$K$4),"")</f>
        <v/>
      </c>
      <c r="W738" s="47">
        <f>IF(AND(B738=Queue!$C$4,OR(Queue!$K$4="*",N738=Queue!$K$4)),Q738,"")</f>
        <v/>
      </c>
    </row>
    <row r="739">
      <c r="A739" s="38">
        <f>IF(M739="","",HYPERLINK("https://www.youtube.com/watch?v="&amp;M739,"▶"))</f>
        <v/>
      </c>
      <c r="B739" s="39">
        <f>IF(C739&lt;&gt;"",C739,IF(P739&lt;=IFERROR(INDEX(tblChannels[Watched Through],MATCH(N739,tblChannels[Channel ID],0)),0),"Watched","Unwatched"))</f>
        <v/>
      </c>
      <c r="C739" s="40" t="n"/>
      <c r="D739" s="41" t="n"/>
      <c r="E739" s="42" t="n">
        <v>45310.41666666666</v>
      </c>
      <c r="F739" s="43" t="inlineStr">
        <is>
          <t>Popcorn Culture</t>
        </is>
      </c>
      <c r="G739" t="inlineStr">
        <is>
          <t>Secret Life of Siblings | Popcorn Culture</t>
        </is>
      </c>
      <c r="H739" s="44" t="n">
        <v>0.04836805555555555</v>
      </c>
      <c r="I739" s="45" t="n">
        <v>6249</v>
      </c>
      <c r="J739" s="45" t="n">
        <v>262</v>
      </c>
      <c r="K739" s="45" t="n">
        <v>27</v>
      </c>
      <c r="L739" s="46" t="n"/>
      <c r="M739" s="47" t="n"/>
      <c r="N739" s="47" t="inlineStr">
        <is>
          <t>UCHfIbq9thHPC8yrKjAdJgDA</t>
        </is>
      </c>
      <c r="O739" s="48" t="n">
        <v>45310.625</v>
      </c>
      <c r="P739" s="49" t="n">
        <v>45310</v>
      </c>
      <c r="Q739" s="47" t="n">
        <v>2529</v>
      </c>
      <c r="R739" s="47" t="inlineStr">
        <is>
          <t>No Video ID yet</t>
        </is>
      </c>
      <c r="S739" s="49" t="n"/>
      <c r="T739" s="49" t="n"/>
      <c r="U739" s="47" t="inlineStr">
        <is>
          <t>In episode 215 of the Pop, Ben and J discuss kids growing up, Luke’ first basketball game, swimming in high school, skiing, pogo sticks, Boy Scout trips, and party tricks. Name Tag Pancakes - Pogo Stick Maybe I Should Go Swim? Random Skills You Could Learn Name Tag Pancakes 00:00 - Intro, The Last Four Years 08:06 - Luke’s First Basketball Game 23:35 - Swim Team 42:10 - Pogo Sticks and Other Skills</t>
        </is>
      </c>
      <c r="V739" s="47">
        <f>IF(AND(P739&gt;=Calendar!$K$2,P739&lt;EDATE(Calendar!$K$2,1),OR(Calendar!$K$4="*",N739=Calendar!$K$4)),P739*100+COUNTIFS($P$6:$P$3267,P739,$Q$6:$Q$3267,"&lt;="&amp;Q739,$N$6:$N$3267,Calendar!$K$4),"")</f>
        <v/>
      </c>
      <c r="W739" s="47">
        <f>IF(AND(B739=Queue!$C$4,OR(Queue!$K$4="*",N739=Queue!$K$4)),Q739,"")</f>
        <v/>
      </c>
    </row>
    <row r="740">
      <c r="A740" s="38">
        <f>IF(M740="","",HYPERLINK("https://www.youtube.com/watch?v="&amp;M740,"▶"))</f>
        <v/>
      </c>
      <c r="B740" s="39">
        <f>IF(C740&lt;&gt;"",C740,IF(P740&lt;=IFERROR(INDEX(tblChannels[Watched Through],MATCH(N740,tblChannels[Channel ID],0)),0),"Watched","Unwatched"))</f>
        <v/>
      </c>
      <c r="C740" s="40" t="n"/>
      <c r="D740" s="41" t="n"/>
      <c r="E740" s="42" t="n">
        <v>45308.77083333334</v>
      </c>
      <c r="F740" s="52" t="inlineStr">
        <is>
          <t>Super Carlin Gaming</t>
        </is>
      </c>
      <c r="G740" t="inlineStr">
        <is>
          <t>The Chase For 8th Heats Up | Carlin Brothers Box Breakers S8E10</t>
        </is>
      </c>
      <c r="H740" s="44" t="n">
        <v>0.02846064814814815</v>
      </c>
      <c r="I740" s="45" t="n">
        <v>1248</v>
      </c>
      <c r="J740" s="45" t="n">
        <v>82</v>
      </c>
      <c r="K740" s="45" t="n">
        <v>8</v>
      </c>
      <c r="L740" s="46" t="n"/>
      <c r="M740" s="47" t="n"/>
      <c r="N740" s="47" t="inlineStr">
        <is>
          <t>UCor_9jRnNNZVzTuQ92PKsaQ</t>
        </is>
      </c>
      <c r="O740" s="48" t="n">
        <v>45308.97916666666</v>
      </c>
      <c r="P740" s="49" t="n">
        <v>45308</v>
      </c>
      <c r="Q740" s="47" t="n">
        <v>2528</v>
      </c>
      <c r="R740" s="47" t="inlineStr">
        <is>
          <t>No Video ID yet</t>
        </is>
      </c>
      <c r="S740" s="49" t="n"/>
      <c r="T740" s="49" t="n"/>
      <c r="U740" s="47" t="n"/>
      <c r="V740" s="47">
        <f>IF(AND(P740&gt;=Calendar!$K$2,P740&lt;EDATE(Calendar!$K$2,1),OR(Calendar!$K$4="*",N740=Calendar!$K$4)),P740*100+COUNTIFS($P$6:$P$3267,P740,$Q$6:$Q$3267,"&lt;="&amp;Q740,$N$6:$N$3267,Calendar!$K$4),"")</f>
        <v/>
      </c>
      <c r="W740" s="47">
        <f>IF(AND(B740=Queue!$C$4,OR(Queue!$K$4="*",N740=Queue!$K$4)),Q740,"")</f>
        <v/>
      </c>
    </row>
    <row r="741">
      <c r="A741" s="38">
        <f>IF(M741="","",HYPERLINK("https://www.youtube.com/watch?v="&amp;M741,"▶"))</f>
        <v/>
      </c>
      <c r="B741" s="39">
        <f>IF(C741&lt;&gt;"",C741,IF(P741&lt;=IFERROR(INDEX(tblChannels[Watched Through],MATCH(N741,tblChannels[Channel ID],0)),0),"Watched","Unwatched"))</f>
        <v/>
      </c>
      <c r="C741" s="40" t="n"/>
      <c r="D741" s="41" t="n"/>
      <c r="E741" s="42" t="n">
        <v>45308.69513888889</v>
      </c>
      <c r="F741" s="50" t="inlineStr">
        <is>
          <t>Super Carlin Brothers</t>
        </is>
      </c>
      <c r="G741" t="inlineStr">
        <is>
          <t>What If James Kept The Invisibility Cloak - Part 2 | Harry Potter Film Theory</t>
        </is>
      </c>
      <c r="H741" s="44" t="n">
        <v>0.01063657407407407</v>
      </c>
      <c r="I741" s="45" t="n">
        <v>190108</v>
      </c>
      <c r="J741" s="45" t="n">
        <v>7514</v>
      </c>
      <c r="K741" s="45" t="n">
        <v>909</v>
      </c>
      <c r="L741" s="46" t="n"/>
      <c r="M741" s="47" t="n"/>
      <c r="N741" s="47" t="inlineStr">
        <is>
          <t>UCKZo4N0lVPccBkSiuyVh4yg</t>
        </is>
      </c>
      <c r="O741" s="48" t="n">
        <v>45308.90347222222</v>
      </c>
      <c r="P741" s="49" t="n">
        <v>45308</v>
      </c>
      <c r="Q741" s="47" t="n">
        <v>2527</v>
      </c>
      <c r="R741" s="47" t="inlineStr">
        <is>
          <t>No Video ID yet</t>
        </is>
      </c>
      <c r="S741" s="49" t="n"/>
      <c r="T741" s="49" t="n"/>
      <c r="U741" s="47" t="inlineStr">
        <is>
          <t>This show is sponsored by BetterHelp - go to to get 10% off your first month. Today Ben dives into the Wizarding World of Harry Potter to continue answering what would have happened if James had KEPT the invisibility cloak! Does Voldemort come back? Does Harry compete in the Tri-Wizard Tournament? Who is his date to the Yule Ball?! Check out our PRETTY OBVIOUS Wizarding Candle subscription available now HERE: #supercarlinbrothers # #HarryPotter #WhatIf Edited by : Isybelle Christley &amp; Ethan Edghill</t>
        </is>
      </c>
      <c r="V741" s="47">
        <f>IF(AND(P741&gt;=Calendar!$K$2,P741&lt;EDATE(Calendar!$K$2,1),OR(Calendar!$K$4="*",N741=Calendar!$K$4)),P741*100+COUNTIFS($P$6:$P$3267,P741,$Q$6:$Q$3267,"&lt;="&amp;Q741,$N$6:$N$3267,Calendar!$K$4),"")</f>
        <v/>
      </c>
      <c r="W741" s="47">
        <f>IF(AND(B741=Queue!$C$4,OR(Queue!$K$4="*",N741=Queue!$K$4)),Q741,"")</f>
        <v/>
      </c>
    </row>
    <row r="742">
      <c r="A742" s="38">
        <f>IF(M742="","",HYPERLINK("https://www.youtube.com/watch?v="&amp;M742,"▶"))</f>
        <v/>
      </c>
      <c r="B742" s="39">
        <f>IF(C742&lt;&gt;"",C742,IF(P742&lt;=IFERROR(INDEX(tblChannels[Watched Through],MATCH(N742,tblChannels[Channel ID],0)),0),"Watched","Unwatched"))</f>
        <v/>
      </c>
      <c r="C742" s="40" t="n"/>
      <c r="D742" s="41" t="n"/>
      <c r="E742" s="42" t="n">
        <v>45305.41666666666</v>
      </c>
      <c r="F742" s="51" t="inlineStr">
        <is>
          <t>Through The Griffin Door</t>
        </is>
      </c>
      <c r="G742" t="inlineStr">
        <is>
          <t>Dumbledore’s Big Plan Explainer Episode</t>
        </is>
      </c>
      <c r="H742" s="44" t="n">
        <v>0.04653935185185185</v>
      </c>
      <c r="I742" s="45" t="n">
        <v>71083</v>
      </c>
      <c r="J742" s="45" t="n">
        <v>2301</v>
      </c>
      <c r="K742" s="45" t="n">
        <v>351</v>
      </c>
      <c r="L742" s="46" t="n"/>
      <c r="M742" s="47" t="n"/>
      <c r="N742" s="47" t="inlineStr">
        <is>
          <t>UCEscP6ETYXWSSvsNrDHekMQ</t>
        </is>
      </c>
      <c r="O742" s="48" t="n">
        <v>45305.625</v>
      </c>
      <c r="P742" s="49" t="n">
        <v>45305</v>
      </c>
      <c r="Q742" s="47" t="n">
        <v>2526</v>
      </c>
      <c r="R742" s="47" t="inlineStr">
        <is>
          <t>No Video ID yet</t>
        </is>
      </c>
      <c r="S742" s="49" t="n"/>
      <c r="T742" s="49" t="n"/>
      <c r="U742" s="47" t="inlineStr">
        <is>
          <t>Join J and Ben as they discuss how Dumbledore is pulling the strings throughout the entire Harry Potter Series. If you want to see the SCB Theory videos click here: Sign up for the Wizarding Candle Club here: 09:18 - Philosopher’s Stone 29:57 - Chamber of Secrets 37:43 - Prisoner of Azkaban 43:50 - Goblet of Fire 51:46 - Order of the Phoenix 56:54 - Half Blood Prince 59:31 - Deathly Hallows 1:03:44 - Closing Thoughts</t>
        </is>
      </c>
      <c r="V742" s="47">
        <f>IF(AND(P742&gt;=Calendar!$K$2,P742&lt;EDATE(Calendar!$K$2,1),OR(Calendar!$K$4="*",N742=Calendar!$K$4)),P742*100+COUNTIFS($P$6:$P$3267,P742,$Q$6:$Q$3267,"&lt;="&amp;Q742,$N$6:$N$3267,Calendar!$K$4),"")</f>
        <v/>
      </c>
      <c r="W742" s="47">
        <f>IF(AND(B742=Queue!$C$4,OR(Queue!$K$4="*",N742=Queue!$K$4)),Q742,"")</f>
        <v/>
      </c>
    </row>
    <row r="743">
      <c r="A743" s="38">
        <f>IF(M743="","",HYPERLINK("https://www.youtube.com/watch?v="&amp;M743,"▶"))</f>
        <v/>
      </c>
      <c r="B743" s="39">
        <f>IF(C743&lt;&gt;"",C743,IF(P743&lt;=IFERROR(INDEX(tblChannels[Watched Through],MATCH(N743,tblChannels[Channel ID],0)),0),"Watched","Unwatched"))</f>
        <v/>
      </c>
      <c r="C743" s="40" t="n"/>
      <c r="D743" s="41" t="n"/>
      <c r="E743" s="42" t="n">
        <v>45303.69861111111</v>
      </c>
      <c r="F743" s="50" t="inlineStr">
        <is>
          <t>Super Carlin Brothers</t>
        </is>
      </c>
      <c r="G743" t="inlineStr">
        <is>
          <t>What If James Kept The Invisibility Cloak | Harry Potter Film Theory</t>
        </is>
      </c>
      <c r="H743" s="44" t="n">
        <v>0.01158564814814815</v>
      </c>
      <c r="I743" s="45" t="n">
        <v>241521</v>
      </c>
      <c r="J743" s="45" t="n">
        <v>9095</v>
      </c>
      <c r="K743" s="45" t="n">
        <v>841</v>
      </c>
      <c r="L743" s="46" t="n"/>
      <c r="M743" s="47" t="n"/>
      <c r="N743" s="47" t="inlineStr">
        <is>
          <t>UCKZo4N0lVPccBkSiuyVh4yg</t>
        </is>
      </c>
      <c r="O743" s="48" t="n">
        <v>45303.90694444445</v>
      </c>
      <c r="P743" s="49" t="n">
        <v>45303</v>
      </c>
      <c r="Q743" s="47" t="n">
        <v>2525</v>
      </c>
      <c r="R743" s="47" t="inlineStr">
        <is>
          <t>No Video ID yet</t>
        </is>
      </c>
      <c r="S743" s="49" t="n"/>
      <c r="T743" s="49" t="n"/>
      <c r="U743" s="47" t="inlineStr">
        <is>
          <t>Go to for 20% off your first order plus free shipping. Today Ben dives into the Wizarding Word of Harry Potter to find out what would have happened if James Potter had never lent Dumbledore his Invisibility Cloak and had it the night Voldemort attacked! Check out our PRETTY OBVIOUS Wizarding Candle subscription available now HERE: #supercarlinbrothers # #HarryPotter</t>
        </is>
      </c>
      <c r="V743" s="47">
        <f>IF(AND(P743&gt;=Calendar!$K$2,P743&lt;EDATE(Calendar!$K$2,1),OR(Calendar!$K$4="*",N743=Calendar!$K$4)),P743*100+COUNTIFS($P$6:$P$3267,P743,$Q$6:$Q$3267,"&lt;="&amp;Q743,$N$6:$N$3267,Calendar!$K$4),"")</f>
        <v/>
      </c>
      <c r="W743" s="47">
        <f>IF(AND(B743=Queue!$C$4,OR(Queue!$K$4="*",N743=Queue!$K$4)),Q743,"")</f>
        <v/>
      </c>
    </row>
    <row r="744">
      <c r="A744" s="38">
        <f>IF(M744="","",HYPERLINK("https://www.youtube.com/watch?v="&amp;M744,"▶"))</f>
        <v/>
      </c>
      <c r="B744" s="39">
        <f>IF(C744&lt;&gt;"",C744,IF(P744&lt;=IFERROR(INDEX(tblChannels[Watched Through],MATCH(N744,tblChannels[Channel ID],0)),0),"Watched","Unwatched"))</f>
        <v/>
      </c>
      <c r="C744" s="40" t="n"/>
      <c r="D744" s="41" t="n"/>
      <c r="E744" s="42" t="n">
        <v>45303.41666666666</v>
      </c>
      <c r="F744" s="43" t="inlineStr">
        <is>
          <t>Popcorn Culture</t>
        </is>
      </c>
      <c r="G744" t="inlineStr">
        <is>
          <t>Google Embarrassment | Popcorn Culture</t>
        </is>
      </c>
      <c r="H744" s="44" t="n">
        <v>0.05267361111111111</v>
      </c>
      <c r="I744" s="45" t="n">
        <v>5750</v>
      </c>
      <c r="J744" s="45" t="n">
        <v>250</v>
      </c>
      <c r="K744" s="45" t="n">
        <v>51</v>
      </c>
      <c r="L744" s="46" t="n"/>
      <c r="M744" s="47" t="n"/>
      <c r="N744" s="47" t="inlineStr">
        <is>
          <t>UCHfIbq9thHPC8yrKjAdJgDA</t>
        </is>
      </c>
      <c r="O744" s="48" t="n">
        <v>45303.625</v>
      </c>
      <c r="P744" s="49" t="n">
        <v>45303</v>
      </c>
      <c r="Q744" s="47" t="n">
        <v>2524</v>
      </c>
      <c r="R744" s="47" t="inlineStr">
        <is>
          <t>No Video ID yet</t>
        </is>
      </c>
      <c r="S744" s="49" t="n"/>
      <c r="T744" s="49" t="n"/>
      <c r="U744" s="47" t="inlineStr">
        <is>
          <t>In the 214th episode of the Pop, Ben and J discuss aftershave, googling things, J’s crazy memory, scarcity mindset, Survivor, the Zeigarnik Effect, the cave experience, J’s weird disconnection with Pokémon this month, and mobile games. Home Alone Face Scene - Survivor - The Zeigarnik Effect - Freakonomics Episode - Mr Beast Solitary Confinement- Marvel Snap - Kingdom Rush - Clash Royale - The Best Breakup The Cave Experience Do You Play Mobile Games? 00:00 - Intro, The Home Alone Face 05:11 - Google Embarrassment 17:19 - The Zeigarnik Effect 43:29 - Unintentional Pokémon Hiatus</t>
        </is>
      </c>
      <c r="V744" s="47">
        <f>IF(AND(P744&gt;=Calendar!$K$2,P744&lt;EDATE(Calendar!$K$2,1),OR(Calendar!$K$4="*",N744=Calendar!$K$4)),P744*100+COUNTIFS($P$6:$P$3267,P744,$Q$6:$Q$3267,"&lt;="&amp;Q744,$N$6:$N$3267,Calendar!$K$4),"")</f>
        <v/>
      </c>
      <c r="W744" s="47">
        <f>IF(AND(B744=Queue!$C$4,OR(Queue!$K$4="*",N744=Queue!$K$4)),Q744,"")</f>
        <v/>
      </c>
    </row>
    <row r="745">
      <c r="A745" s="38">
        <f>IF(M745="","",HYPERLINK("https://www.youtube.com/watch?v="&amp;M745,"▶"))</f>
        <v/>
      </c>
      <c r="B745" s="39">
        <f>IF(C745&lt;&gt;"",C745,IF(P745&lt;=IFERROR(INDEX(tblChannels[Watched Through],MATCH(N745,tblChannels[Channel ID],0)),0),"Watched","Unwatched"))</f>
        <v/>
      </c>
      <c r="C745" s="40" t="n"/>
      <c r="D745" s="41" t="n"/>
      <c r="E745" s="42" t="n">
        <v>45301.70763888889</v>
      </c>
      <c r="F745" s="50" t="inlineStr">
        <is>
          <t>Super Carlin Brothers</t>
        </is>
      </c>
      <c r="G745" t="inlineStr">
        <is>
          <t>Harry Potter is JUST Star Wars | Harry Potter Film Theory</t>
        </is>
      </c>
      <c r="H745" s="44" t="n">
        <v>0.00869212962962963</v>
      </c>
      <c r="I745" s="45" t="n">
        <v>81813</v>
      </c>
      <c r="J745" s="45" t="n">
        <v>4274</v>
      </c>
      <c r="K745" s="45" t="n">
        <v>655</v>
      </c>
      <c r="L745" s="46" t="n"/>
      <c r="M745" s="47" t="n"/>
      <c r="N745" s="47" t="inlineStr">
        <is>
          <t>UCKZo4N0lVPccBkSiuyVh4yg</t>
        </is>
      </c>
      <c r="O745" s="48" t="n">
        <v>45301.91597222222</v>
      </c>
      <c r="P745" s="49" t="n">
        <v>45301</v>
      </c>
      <c r="Q745" s="47" t="n">
        <v>2523</v>
      </c>
      <c r="R745" s="47" t="inlineStr">
        <is>
          <t>No Video ID yet</t>
        </is>
      </c>
      <c r="S745" s="49" t="n"/>
      <c r="T745" s="49" t="n"/>
      <c r="U745" s="47" t="inlineStr">
        <is>
          <t>Today J dives into the Wizarding World of Harry Potter AND the Star Wars Galaxy to figure out: Is Harry Potter just star wars? Are Wands just lightsabers? Is Harry just Luke? An orphan hero who gets left with his school-hating aunt and uncle before being rescued by an older bearded man? PRETTY OBVIOUS CANDLE :: #supercarlinbrothers #StarWars #HarryPotter</t>
        </is>
      </c>
      <c r="V745" s="47">
        <f>IF(AND(P745&gt;=Calendar!$K$2,P745&lt;EDATE(Calendar!$K$2,1),OR(Calendar!$K$4="*",N745=Calendar!$K$4)),P745*100+COUNTIFS($P$6:$P$3267,P745,$Q$6:$Q$3267,"&lt;="&amp;Q745,$N$6:$N$3267,Calendar!$K$4),"")</f>
        <v/>
      </c>
      <c r="W745" s="47">
        <f>IF(AND(B745=Queue!$C$4,OR(Queue!$K$4="*",N745=Queue!$K$4)),Q745,"")</f>
        <v/>
      </c>
    </row>
    <row r="746">
      <c r="A746" s="38">
        <f>IF(M746="","",HYPERLINK("https://www.youtube.com/watch?v="&amp;M746,"▶"))</f>
        <v/>
      </c>
      <c r="B746" s="39">
        <f>IF(C746&lt;&gt;"",C746,IF(P746&lt;=IFERROR(INDEX(tblChannels[Watched Through],MATCH(N746,tblChannels[Channel ID],0)),0),"Watched","Unwatched"))</f>
        <v/>
      </c>
      <c r="C746" s="40" t="n"/>
      <c r="D746" s="41" t="n"/>
      <c r="E746" s="42" t="n">
        <v>45300.77083333334</v>
      </c>
      <c r="F746" s="52" t="inlineStr">
        <is>
          <t>Super Carlin Gaming</t>
        </is>
      </c>
      <c r="G746" t="inlineStr">
        <is>
          <t>A NEW LEADER IS CROWNED | Carlin Brothers Box Breakers S8E9</t>
        </is>
      </c>
      <c r="H746" s="44" t="n">
        <v>0.03354166666666666</v>
      </c>
      <c r="I746" s="45" t="n">
        <v>1528</v>
      </c>
      <c r="J746" s="45" t="n">
        <v>103</v>
      </c>
      <c r="K746" s="45" t="n">
        <v>12</v>
      </c>
      <c r="L746" s="46" t="n"/>
      <c r="M746" s="47" t="n"/>
      <c r="N746" s="47" t="inlineStr">
        <is>
          <t>UCor_9jRnNNZVzTuQ92PKsaQ</t>
        </is>
      </c>
      <c r="O746" s="48" t="n">
        <v>45300.97916666666</v>
      </c>
      <c r="P746" s="49" t="n">
        <v>45300</v>
      </c>
      <c r="Q746" s="47" t="n">
        <v>2522</v>
      </c>
      <c r="R746" s="47" t="inlineStr">
        <is>
          <t>No Video ID yet</t>
        </is>
      </c>
      <c r="S746" s="49" t="n"/>
      <c r="T746" s="49" t="n"/>
      <c r="U746" s="47" t="inlineStr">
        <is>
          <t>This week someone takes a HUGE lead</t>
        </is>
      </c>
      <c r="V746" s="47">
        <f>IF(AND(P746&gt;=Calendar!$K$2,P746&lt;EDATE(Calendar!$K$2,1),OR(Calendar!$K$4="*",N746=Calendar!$K$4)),P746*100+COUNTIFS($P$6:$P$3267,P746,$Q$6:$Q$3267,"&lt;="&amp;Q746,$N$6:$N$3267,Calendar!$K$4),"")</f>
        <v/>
      </c>
      <c r="W746" s="47">
        <f>IF(AND(B746=Queue!$C$4,OR(Queue!$K$4="*",N746=Queue!$K$4)),Q746,"")</f>
        <v/>
      </c>
    </row>
    <row r="747">
      <c r="A747" s="38">
        <f>IF(M747="","",HYPERLINK("https://www.youtube.com/watch?v="&amp;M747,"▶"))</f>
        <v/>
      </c>
      <c r="B747" s="39">
        <f>IF(C747&lt;&gt;"",C747,IF(P747&lt;=IFERROR(INDEX(tblChannels[Watched Through],MATCH(N747,tblChannels[Channel ID],0)),0),"Watched","Unwatched"))</f>
        <v/>
      </c>
      <c r="C747" s="40" t="n"/>
      <c r="D747" s="41" t="n"/>
      <c r="E747" s="42" t="n">
        <v>45298.41666666666</v>
      </c>
      <c r="F747" s="51" t="inlineStr">
        <is>
          <t>Through The Griffin Door</t>
        </is>
      </c>
      <c r="G747" t="inlineStr">
        <is>
          <t>Chapter 17: The Man with Two Faces | Philosopher's Stone</t>
        </is>
      </c>
      <c r="H747" s="44" t="n">
        <v>0.04724537037037037</v>
      </c>
      <c r="I747" s="45" t="n">
        <v>76562</v>
      </c>
      <c r="J747" s="45" t="n">
        <v>2579</v>
      </c>
      <c r="K747" s="45" t="n">
        <v>457</v>
      </c>
      <c r="L747" s="46" t="n"/>
      <c r="M747" s="47" t="n"/>
      <c r="N747" s="47" t="inlineStr">
        <is>
          <t>UCEscP6ETYXWSSvsNrDHekMQ</t>
        </is>
      </c>
      <c r="O747" s="48" t="n">
        <v>45298.625</v>
      </c>
      <c r="P747" s="49" t="n">
        <v>45298</v>
      </c>
      <c r="Q747" s="47" t="n">
        <v>2521</v>
      </c>
      <c r="R747" s="47" t="inlineStr">
        <is>
          <t>No Video ID yet</t>
        </is>
      </c>
      <c r="S747" s="49" t="n"/>
      <c r="T747" s="49" t="n"/>
      <c r="U747" s="47" t="inlineStr">
        <is>
          <t>Join J and Ben as they dive into Chapter 17 of the Philosopher’s Stone and discuss how concise this chapter is, an actual “Dumbledore’s Big Plan” breakdown, the details of Harry and Quirrell’s confrontation, Dumbledore trailing behind the trio, what Voldemort would look like if the Stone revived him, how Quirrell actually died, and the House Cup. Check Out the Wizarding Candle Subscription! How The Centaurs Predicted Harry’s Death -</t>
        </is>
      </c>
      <c r="V747" s="47">
        <f>IF(AND(P747&gt;=Calendar!$K$2,P747&lt;EDATE(Calendar!$K$2,1),OR(Calendar!$K$4="*",N747=Calendar!$K$4)),P747*100+COUNTIFS($P$6:$P$3267,P747,$Q$6:$Q$3267,"&lt;="&amp;Q747,$N$6:$N$3267,Calendar!$K$4),"")</f>
        <v/>
      </c>
      <c r="W747" s="47">
        <f>IF(AND(B747=Queue!$C$4,OR(Queue!$K$4="*",N747=Queue!$K$4)),Q747,"")</f>
        <v/>
      </c>
    </row>
    <row r="748">
      <c r="A748" s="38">
        <f>IF(M748="","",HYPERLINK("https://www.youtube.com/watch?v="&amp;M748,"▶"))</f>
        <v/>
      </c>
      <c r="B748" s="39">
        <f>IF(C748&lt;&gt;"",C748,IF(P748&lt;=IFERROR(INDEX(tblChannels[Watched Through],MATCH(N748,tblChannels[Channel ID],0)),0),"Watched","Unwatched"))</f>
        <v/>
      </c>
      <c r="C748" s="40" t="n"/>
      <c r="D748" s="41" t="n"/>
      <c r="E748" s="42" t="n">
        <v>45296.67291666667</v>
      </c>
      <c r="F748" s="50" t="inlineStr">
        <is>
          <t>Super Carlin Brothers</t>
        </is>
      </c>
      <c r="G748" t="inlineStr">
        <is>
          <t>Why Voldemort ACTUALLY Fears Dumbledore | Harry Potter Film Theory</t>
        </is>
      </c>
      <c r="H748" s="44" t="n">
        <v>0.009722222222222222</v>
      </c>
      <c r="I748" s="45" t="n">
        <v>385567</v>
      </c>
      <c r="J748" s="45" t="n">
        <v>13260</v>
      </c>
      <c r="K748" s="45" t="n">
        <v>865</v>
      </c>
      <c r="L748" s="46" t="n"/>
      <c r="M748" s="47" t="n"/>
      <c r="N748" s="47" t="inlineStr">
        <is>
          <t>UCKZo4N0lVPccBkSiuyVh4yg</t>
        </is>
      </c>
      <c r="O748" s="48" t="n">
        <v>45296.88125</v>
      </c>
      <c r="P748" s="49" t="n">
        <v>45296</v>
      </c>
      <c r="Q748" s="47" t="n">
        <v>2520</v>
      </c>
      <c r="R748" s="47" t="inlineStr">
        <is>
          <t>No Video ID yet</t>
        </is>
      </c>
      <c r="S748" s="49" t="n"/>
      <c r="T748" s="49" t="n"/>
      <c r="U748" s="47" t="inlineStr">
        <is>
          <t>Today J dives into the Wizarding World of Harry Potter to find out Why Voldemort actually fears Dumbledore even though he cant die and knows Harry is the only one who can defeat him.</t>
        </is>
      </c>
      <c r="V748" s="47">
        <f>IF(AND(P748&gt;=Calendar!$K$2,P748&lt;EDATE(Calendar!$K$2,1),OR(Calendar!$K$4="*",N748=Calendar!$K$4)),P748*100+COUNTIFS($P$6:$P$3267,P748,$Q$6:$Q$3267,"&lt;="&amp;Q748,$N$6:$N$3267,Calendar!$K$4),"")</f>
        <v/>
      </c>
      <c r="W748" s="47">
        <f>IF(AND(B748=Queue!$C$4,OR(Queue!$K$4="*",N748=Queue!$K$4)),Q748,"")</f>
        <v/>
      </c>
    </row>
    <row r="749">
      <c r="A749" s="38">
        <f>IF(M749="","",HYPERLINK("https://www.youtube.com/watch?v="&amp;M749,"▶"))</f>
        <v/>
      </c>
      <c r="B749" s="39">
        <f>IF(C749&lt;&gt;"",C749,IF(P749&lt;=IFERROR(INDEX(tblChannels[Watched Through],MATCH(N749,tblChannels[Channel ID],0)),0),"Watched","Unwatched"))</f>
        <v/>
      </c>
      <c r="C749" s="40" t="n"/>
      <c r="D749" s="41" t="n"/>
      <c r="E749" s="42" t="n">
        <v>45296.41666666666</v>
      </c>
      <c r="F749" s="43" t="inlineStr">
        <is>
          <t>Popcorn Culture</t>
        </is>
      </c>
      <c r="G749" t="inlineStr">
        <is>
          <t>Smoothies are Cheating | Popcorn Culture</t>
        </is>
      </c>
      <c r="H749" s="44" t="n">
        <v>0.05251157407407407</v>
      </c>
      <c r="I749" s="45" t="n">
        <v>5340</v>
      </c>
      <c r="J749" s="45" t="n">
        <v>256</v>
      </c>
      <c r="K749" s="45" t="n">
        <v>34</v>
      </c>
      <c r="L749" s="46" t="n"/>
      <c r="M749" s="47" t="n"/>
      <c r="N749" s="47" t="inlineStr">
        <is>
          <t>UCHfIbq9thHPC8yrKjAdJgDA</t>
        </is>
      </c>
      <c r="O749" s="48" t="n">
        <v>45296.625</v>
      </c>
      <c r="P749" s="49" t="n">
        <v>45296</v>
      </c>
      <c r="Q749" s="47" t="n">
        <v>2519</v>
      </c>
      <c r="R749" s="47" t="inlineStr">
        <is>
          <t>No Video ID yet</t>
        </is>
      </c>
      <c r="S749" s="49" t="n"/>
      <c r="T749" s="49" t="n"/>
      <c r="U749" s="47" t="inlineStr">
        <is>
          <t>In the 213th episode of the Pop, Ben and J discuss New Year's resolutions, ordering salads, smoothies, Cliff bars, small household faults, pavlova, sourdough, Christmas gifts and activities. How Often Do You Eat Fruit - Bluey S3E17: Pavlova - Guilty Salads Feel Bad Less Futzing Up 00:00 - Intro, New Year! 28:48 - The Household Faults Competition 40:11 - Baking 51:54 - Carlin Family Christmas</t>
        </is>
      </c>
      <c r="V749" s="47">
        <f>IF(AND(P749&gt;=Calendar!$K$2,P749&lt;EDATE(Calendar!$K$2,1),OR(Calendar!$K$4="*",N749=Calendar!$K$4)),P749*100+COUNTIFS($P$6:$P$3267,P749,$Q$6:$Q$3267,"&lt;="&amp;Q749,$N$6:$N$3267,Calendar!$K$4),"")</f>
        <v/>
      </c>
      <c r="W749" s="47">
        <f>IF(AND(B749=Queue!$C$4,OR(Queue!$K$4="*",N749=Queue!$K$4)),Q749,"")</f>
        <v/>
      </c>
    </row>
    <row r="750">
      <c r="A750" s="38">
        <f>IF(M750="","",HYPERLINK("https://www.youtube.com/watch?v="&amp;M750,"▶"))</f>
        <v/>
      </c>
      <c r="B750" s="39">
        <f>IF(C750&lt;&gt;"",C750,IF(P750&lt;=IFERROR(INDEX(tblChannels[Watched Through],MATCH(N750,tblChannels[Channel ID],0)),0),"Watched","Unwatched"))</f>
        <v/>
      </c>
      <c r="C750" s="40" t="n"/>
      <c r="D750" s="41" t="n"/>
      <c r="E750" s="42" t="n">
        <v>45294.71736111111</v>
      </c>
      <c r="F750" s="50" t="inlineStr">
        <is>
          <t>Super Carlin Brothers</t>
        </is>
      </c>
      <c r="G750" t="inlineStr">
        <is>
          <t>J vs Ben: Getting SORTED Into Hogwarts Houses By YOU</t>
        </is>
      </c>
      <c r="H750" s="44" t="n">
        <v>0.03972222222222222</v>
      </c>
      <c r="I750" s="45" t="n">
        <v>139819</v>
      </c>
      <c r="J750" s="45" t="n">
        <v>5045</v>
      </c>
      <c r="K750" s="45" t="n">
        <v>534</v>
      </c>
      <c r="L750" s="46" t="n"/>
      <c r="M750" s="47" t="n"/>
      <c r="N750" s="47" t="inlineStr">
        <is>
          <t>UCKZo4N0lVPccBkSiuyVh4yg</t>
        </is>
      </c>
      <c r="O750" s="48" t="n">
        <v>45294.92569444444</v>
      </c>
      <c r="P750" s="49" t="n">
        <v>45294</v>
      </c>
      <c r="Q750" s="47" t="n">
        <v>2518</v>
      </c>
      <c r="R750" s="47" t="inlineStr">
        <is>
          <t>No Video ID yet</t>
        </is>
      </c>
      <c r="S750" s="49" t="n"/>
      <c r="T750" s="49" t="n"/>
      <c r="U750" s="47" t="inlineStr">
        <is>
          <t>Go to to cancel your unwanted subscriptions with Rocket Money Go to to get 3 extra months of ExpressVPN free We’ve sorted ourselves and each other into our Harry Potter Hogwarst Houses, but THIS YEAR we put the power in YOUR hands and got sorted by our viewers! How well do you know us? And will it affect what house we are in!? PRETTY OBVIOUS CANDLE :: 02:19 - Q1: Hate people calling them 05:00 - Q2: How people remember them 06:44 - Q3: Known to history 09:03 - Q4: Invent a potion 12:15 - Q5: Scent attraction 14:53 - Q6: Which goblet 18:50 - Q7: Favorite instrument 25:35 - Q8: Enchanted garden 28:07 - Q9: Most looking forward to at Hogwarts 31:00 - Q10: Most difficult to deal with 33:56 - Q11: Bridge troll 38:20 - Q12: Which power 42:38 - Q13: Muggle confrontation 45:13 - Q14: Scariest nightmare 47:11 - Q15: Most tempting road #supercarlinbrothers #Hogwarts #harrypotter</t>
        </is>
      </c>
      <c r="V750" s="47">
        <f>IF(AND(P750&gt;=Calendar!$K$2,P750&lt;EDATE(Calendar!$K$2,1),OR(Calendar!$K$4="*",N750=Calendar!$K$4)),P750*100+COUNTIFS($P$6:$P$3267,P750,$Q$6:$Q$3267,"&lt;="&amp;Q750,$N$6:$N$3267,Calendar!$K$4),"")</f>
        <v/>
      </c>
      <c r="W750" s="47">
        <f>IF(AND(B750=Queue!$C$4,OR(Queue!$K$4="*",N750=Queue!$K$4)),Q750,"")</f>
        <v/>
      </c>
    </row>
    <row r="751">
      <c r="A751" s="38">
        <f>IF(M751="","",HYPERLINK("https://www.youtube.com/watch?v="&amp;M751,"▶"))</f>
        <v/>
      </c>
      <c r="B751" s="39">
        <f>IF(C751&lt;&gt;"",C751,IF(P751&lt;=IFERROR(INDEX(tblChannels[Watched Through],MATCH(N751,tblChannels[Channel ID],0)),0),"Watched","Unwatched"))</f>
        <v/>
      </c>
      <c r="C751" s="40" t="n"/>
      <c r="D751" s="41" t="n"/>
      <c r="E751" s="42" t="n">
        <v>45291.41666666666</v>
      </c>
      <c r="F751" s="51" t="inlineStr">
        <is>
          <t>Through The Griffin Door</t>
        </is>
      </c>
      <c r="G751" t="inlineStr">
        <is>
          <t>Chapter 16: Through the Trap Door | Philosopher's Stone</t>
        </is>
      </c>
      <c r="H751" s="44" t="n">
        <v>0.05818287037037037</v>
      </c>
      <c r="I751" s="45" t="n">
        <v>82394</v>
      </c>
      <c r="J751" s="45" t="n">
        <v>2442</v>
      </c>
      <c r="K751" s="45" t="n">
        <v>461</v>
      </c>
      <c r="L751" s="46" t="n"/>
      <c r="M751" s="47" t="n"/>
      <c r="N751" s="47" t="inlineStr">
        <is>
          <t>UCEscP6ETYXWSSvsNrDHekMQ</t>
        </is>
      </c>
      <c r="O751" s="48" t="n">
        <v>45291.625</v>
      </c>
      <c r="P751" s="49" t="n">
        <v>45291</v>
      </c>
      <c r="Q751" s="47" t="n">
        <v>2517</v>
      </c>
      <c r="R751" s="47" t="inlineStr">
        <is>
          <t>No Video ID yet</t>
        </is>
      </c>
      <c r="S751" s="49" t="n"/>
      <c r="T751" s="49" t="n"/>
      <c r="U751" s="47" t="inlineStr">
        <is>
          <t>Join J and Ben as they dive into Chapter 16 of the Philosopher’s Stone and discuss, Fluffy, lots of Dumbledore’s Big Plan details, exams, werewolves mating, the Hog’s Head, Snape trying to be a good guy, the trio’s strong bonds of friendship, Neville standing up to them, Peeves, the distance of the trap door, the other obstacles. Did Philosopher’s Stone Predict EVERYTHING? - Olaf Is Always Right?! - Carlin Brothers Candles - 16:39 - Chapter Breakdown 1:19:02 - Closing Thoughts and Review</t>
        </is>
      </c>
      <c r="V751" s="47">
        <f>IF(AND(P751&gt;=Calendar!$K$2,P751&lt;EDATE(Calendar!$K$2,1),OR(Calendar!$K$4="*",N751=Calendar!$K$4)),P751*100+COUNTIFS($P$6:$P$3267,P751,$Q$6:$Q$3267,"&lt;="&amp;Q751,$N$6:$N$3267,Calendar!$K$4),"")</f>
        <v/>
      </c>
      <c r="W751" s="47">
        <f>IF(AND(B751=Queue!$C$4,OR(Queue!$K$4="*",N751=Queue!$K$4)),Q751,"")</f>
        <v/>
      </c>
    </row>
    <row r="752">
      <c r="A752" s="38">
        <f>IF(M752="","",HYPERLINK("https://www.youtube.com/watch?v="&amp;M752,"▶"))</f>
        <v/>
      </c>
      <c r="B752" s="39">
        <f>IF(C752&lt;&gt;"",C752,IF(P752&lt;=IFERROR(INDEX(tblChannels[Watched Through],MATCH(N752,tblChannels[Channel ID],0)),0),"Watched","Unwatched"))</f>
        <v/>
      </c>
      <c r="C752" s="40" t="n"/>
      <c r="D752" s="41" t="n"/>
      <c r="E752" s="42" t="n">
        <v>45290.41666666666</v>
      </c>
      <c r="F752" s="50" t="inlineStr">
        <is>
          <t>Super Carlin Brothers</t>
        </is>
      </c>
      <c r="G752" t="inlineStr">
        <is>
          <t>Through the Griffin Door Supercut: Chapters 13-15 | Philosopher’s Stone Supercut</t>
        </is>
      </c>
      <c r="H752" s="44" t="n">
        <v>0.1395833333333333</v>
      </c>
      <c r="I752" s="45" t="n">
        <v>115394</v>
      </c>
      <c r="J752" s="45" t="n">
        <v>1211</v>
      </c>
      <c r="K752" s="45" t="n">
        <v>159</v>
      </c>
      <c r="L752" s="46" t="n"/>
      <c r="M752" s="47" t="n"/>
      <c r="N752" s="47" t="inlineStr">
        <is>
          <t>UCKZo4N0lVPccBkSiuyVh4yg</t>
        </is>
      </c>
      <c r="O752" s="48" t="n">
        <v>45290.625</v>
      </c>
      <c r="P752" s="49" t="n">
        <v>45290</v>
      </c>
      <c r="Q752" s="47" t="n">
        <v>2516</v>
      </c>
      <c r="R752" s="47" t="inlineStr">
        <is>
          <t>No Video ID yet</t>
        </is>
      </c>
      <c r="S752" s="49" t="n"/>
      <c r="T752" s="49" t="n"/>
      <c r="U752" s="47" t="inlineStr">
        <is>
          <t>Join J and Ben as they embark on their newest endeavor: rereading the Harry Potter series in this chapter by chapter recap podcast! We hope you enjoy all the Harry Potter goodness that this podcast will bring. Come along as we go Through the Griffin Door. 00:00:00 Introduction 00:11:10 Chapter 13: Nicolas Flamel 01:10:36 Chapter 14: Norbert the Norwegian Ridgeback 02:06:38 Chapter 15 The Forbidden Forest #supercarlinbrothers #HarryPotter #ThroughTheGriffinDoor</t>
        </is>
      </c>
      <c r="V752" s="47">
        <f>IF(AND(P752&gt;=Calendar!$K$2,P752&lt;EDATE(Calendar!$K$2,1),OR(Calendar!$K$4="*",N752=Calendar!$K$4)),P752*100+COUNTIFS($P$6:$P$3267,P752,$Q$6:$Q$3267,"&lt;="&amp;Q752,$N$6:$N$3267,Calendar!$K$4),"")</f>
        <v/>
      </c>
      <c r="W752" s="47">
        <f>IF(AND(B752=Queue!$C$4,OR(Queue!$K$4="*",N752=Queue!$K$4)),Q752,"")</f>
        <v/>
      </c>
    </row>
    <row r="753">
      <c r="A753" s="38">
        <f>IF(M753="","",HYPERLINK("https://www.youtube.com/watch?v="&amp;M753,"▶"))</f>
        <v/>
      </c>
      <c r="B753" s="39">
        <f>IF(C753&lt;&gt;"",C753,IF(P753&lt;=IFERROR(INDEX(tblChannels[Watched Through],MATCH(N753,tblChannels[Channel ID],0)),0),"Watched","Unwatched"))</f>
        <v/>
      </c>
      <c r="C753" s="40" t="n"/>
      <c r="D753" s="41" t="n"/>
      <c r="E753" s="42" t="n">
        <v>45289.625</v>
      </c>
      <c r="F753" s="52" t="inlineStr">
        <is>
          <t>Super Carlin Gaming</t>
        </is>
      </c>
      <c r="G753" t="inlineStr">
        <is>
          <t>No One In Last?? | Carlin Brothers Box Breakers S8E8</t>
        </is>
      </c>
      <c r="H753" s="44" t="n">
        <v>0.02503472222222222</v>
      </c>
      <c r="I753" s="45" t="n">
        <v>1334</v>
      </c>
      <c r="J753" s="45" t="n">
        <v>87</v>
      </c>
      <c r="K753" s="45" t="n">
        <v>5</v>
      </c>
      <c r="L753" s="46" t="n"/>
      <c r="M753" s="47" t="n"/>
      <c r="N753" s="47" t="inlineStr">
        <is>
          <t>UCor_9jRnNNZVzTuQ92PKsaQ</t>
        </is>
      </c>
      <c r="O753" s="48" t="n">
        <v>45289.83333333334</v>
      </c>
      <c r="P753" s="49" t="n">
        <v>45289</v>
      </c>
      <c r="Q753" s="47" t="n">
        <v>2515</v>
      </c>
      <c r="R753" s="47" t="inlineStr">
        <is>
          <t>No Video ID yet</t>
        </is>
      </c>
      <c r="S753" s="49" t="n"/>
      <c r="T753" s="49" t="n"/>
      <c r="U753" s="47" t="n"/>
      <c r="V753" s="47">
        <f>IF(AND(P753&gt;=Calendar!$K$2,P753&lt;EDATE(Calendar!$K$2,1),OR(Calendar!$K$4="*",N753=Calendar!$K$4)),P753*100+COUNTIFS($P$6:$P$3267,P753,$Q$6:$Q$3267,"&lt;="&amp;Q753,$N$6:$N$3267,Calendar!$K$4),"")</f>
        <v/>
      </c>
      <c r="W753" s="47">
        <f>IF(AND(B753=Queue!$C$4,OR(Queue!$K$4="*",N753=Queue!$K$4)),Q753,"")</f>
        <v/>
      </c>
    </row>
    <row r="754">
      <c r="A754" s="38">
        <f>IF(M754="","",HYPERLINK("https://www.youtube.com/watch?v="&amp;M754,"▶"))</f>
        <v/>
      </c>
      <c r="B754" s="39">
        <f>IF(C754&lt;&gt;"",C754,IF(P754&lt;=IFERROR(INDEX(tblChannels[Watched Through],MATCH(N754,tblChannels[Channel ID],0)),0),"Watched","Unwatched"))</f>
        <v/>
      </c>
      <c r="C754" s="40" t="n"/>
      <c r="D754" s="41" t="n"/>
      <c r="E754" s="42" t="n">
        <v>45289.41666666666</v>
      </c>
      <c r="F754" s="43" t="inlineStr">
        <is>
          <t>Popcorn Culture</t>
        </is>
      </c>
      <c r="G754" t="inlineStr">
        <is>
          <t>Pringle Poisoning  | Popcorn Culture</t>
        </is>
      </c>
      <c r="H754" s="44" t="n">
        <v>0.04869212962962963</v>
      </c>
      <c r="I754" s="45" t="n">
        <v>4738</v>
      </c>
      <c r="J754" s="45" t="n">
        <v>240</v>
      </c>
      <c r="K754" s="45" t="n">
        <v>34</v>
      </c>
      <c r="L754" s="46" t="n"/>
      <c r="M754" s="47" t="n"/>
      <c r="N754" s="47" t="inlineStr">
        <is>
          <t>UCHfIbq9thHPC8yrKjAdJgDA</t>
        </is>
      </c>
      <c r="O754" s="48" t="n">
        <v>45289.625</v>
      </c>
      <c r="P754" s="49" t="n">
        <v>45289</v>
      </c>
      <c r="Q754" s="47" t="n">
        <v>2514</v>
      </c>
      <c r="R754" s="47" t="inlineStr">
        <is>
          <t>No Video ID yet</t>
        </is>
      </c>
      <c r="S754" s="49" t="n"/>
      <c r="T754" s="49" t="n"/>
      <c r="U754" s="47" t="inlineStr">
        <is>
          <t>In the 212th episode of the Pop, Ben and J discuss stuffication, the Pixar Theory Song, if they met their 2023 new year's resolutions and more for this year, update on the Sled Situation, the Pringles Challenge, catching food in your mouth, pirates and treasure hunts. The Pixar Theory Song - National Treasure - Our Flag Means Death - Blackbeard (the actual person) - Stede Bonnet (the actual person) - One Piece - Olivier Levasseur - My Pants Pile Cheese Quackers Get Your Breath Off the Declaration of Independence Schrodinger’s Treasure 00:00 - Intro, Revisiting Stuffication 11:05 - The Pixar Theory Song 19:36 - Resolution Recaps 27:27 - Sled Update 42:58 - Treasure!</t>
        </is>
      </c>
      <c r="V754" s="47">
        <f>IF(AND(P754&gt;=Calendar!$K$2,P754&lt;EDATE(Calendar!$K$2,1),OR(Calendar!$K$4="*",N754=Calendar!$K$4)),P754*100+COUNTIFS($P$6:$P$3267,P754,$Q$6:$Q$3267,"&lt;="&amp;Q754,$N$6:$N$3267,Calendar!$K$4),"")</f>
        <v/>
      </c>
      <c r="W754" s="47">
        <f>IF(AND(B754=Queue!$C$4,OR(Queue!$K$4="*",N754=Queue!$K$4)),Q754,"")</f>
        <v/>
      </c>
    </row>
    <row r="755">
      <c r="A755" s="38">
        <f>IF(M755="","",HYPERLINK("https://www.youtube.com/watch?v="&amp;M755,"▶"))</f>
        <v/>
      </c>
      <c r="B755" s="39">
        <f>IF(C755&lt;&gt;"",C755,IF(P755&lt;=IFERROR(INDEX(tblChannels[Watched Through],MATCH(N755,tblChannels[Channel ID],0)),0),"Watched","Unwatched"))</f>
        <v/>
      </c>
      <c r="C755" s="40" t="n"/>
      <c r="D755" s="41" t="n"/>
      <c r="E755" s="42" t="n">
        <v>45285.5</v>
      </c>
      <c r="F755" s="50" t="inlineStr">
        <is>
          <t>Super Carlin Brothers</t>
        </is>
      </c>
      <c r="G755" t="inlineStr">
        <is>
          <t>J vs Ben: FULL YEAR SHOWDOWN - Who is the Ultimate Champion of 2023?</t>
        </is>
      </c>
      <c r="H755" s="44" t="n">
        <v>0.4996412037037037</v>
      </c>
      <c r="I755" s="45" t="n">
        <v>282679</v>
      </c>
      <c r="J755" s="45" t="n">
        <v>4863</v>
      </c>
      <c r="K755" s="45" t="n">
        <v>816</v>
      </c>
      <c r="L755" s="46" t="n"/>
      <c r="M755" s="47" t="n"/>
      <c r="N755" s="47" t="inlineStr">
        <is>
          <t>UCKZo4N0lVPccBkSiuyVh4yg</t>
        </is>
      </c>
      <c r="O755" s="48" t="n">
        <v>45285.70833333334</v>
      </c>
      <c r="P755" s="49" t="n">
        <v>45285</v>
      </c>
      <c r="Q755" s="47" t="n">
        <v>2513</v>
      </c>
      <c r="R755" s="47" t="inlineStr">
        <is>
          <t>No Video ID yet</t>
        </is>
      </c>
      <c r="S755" s="49" t="n"/>
      <c r="T755" s="49" t="n"/>
      <c r="U755" s="47" t="inlineStr">
        <is>
          <t>Thanks so much for watching Super Carlin Brothers this year and playing along with all of our J vs Bens! To end the year we decided to edit together EVERY J vs Ben from 2023, drop all the ads and focus on the trivia to find out who the FULL YEAR Champion was! Huge shout out to all of our Quiz Masters as well for you constant support and amazing questions - You guys always blow it out of the water and deliver the BEST questions! Oh and here's that coffee 😂 Wanna play along? J vs Ben: ULTIMATE Half-Blood Prince Harry Potter TRIVIA Quiz: J vs Ben: ULTIMATE Deathly Hallows Harry Potter TRIVIA Quiz: J vs Ben: ULTIMATE Weasley Burrow Harry Potter TRIVIA Quiz: J vs Ben: ULTIMATE Toy Story TRIVIA Quiz feat. Seamus Gorman: J vs Ben: ULTIMATE Encanto Trivia Quiz [VERY HARD]: J vs Ben: We FAILED Even More Harry Potter Trivia - REDEMPTION Quiz: J vs Ben: HAPPIEST Harry Potter TRIVIA Quiz Ever: J vs Ben ULTIMATE Department of Mysteries Harry Potter TRIVIA Quiz: J vs Ben: ULTIMATE Harry Potter Magical Transportation TRIVIA Quiz: J vs Ben: ULTIMATE Harry Potter Prank Trivia Quiz | WHEEL OF PUNISHMENT: J vs Ben: HARDEST Harry Potter Families Trivia Quiz EVER: J vs Ben: Which WEASLEY Said What - HA</t>
        </is>
      </c>
      <c r="V755" s="47">
        <f>IF(AND(P755&gt;=Calendar!$K$2,P755&lt;EDATE(Calendar!$K$2,1),OR(Calendar!$K$4="*",N755=Calendar!$K$4)),P755*100+COUNTIFS($P$6:$P$3267,P755,$Q$6:$Q$3267,"&lt;="&amp;Q755,$N$6:$N$3267,Calendar!$K$4),"")</f>
        <v/>
      </c>
      <c r="W755" s="47">
        <f>IF(AND(B755=Queue!$C$4,OR(Queue!$K$4="*",N755=Queue!$K$4)),Q755,"")</f>
        <v/>
      </c>
    </row>
    <row r="756">
      <c r="A756" s="38">
        <f>IF(M756="","",HYPERLINK("https://www.youtube.com/watch?v="&amp;M756,"▶"))</f>
        <v/>
      </c>
      <c r="B756" s="39">
        <f>IF(C756&lt;&gt;"",C756,IF(P756&lt;=IFERROR(INDEX(tblChannels[Watched Through],MATCH(N756,tblChannels[Channel ID],0)),0),"Watched","Unwatched"))</f>
        <v/>
      </c>
      <c r="C756" s="40" t="n"/>
      <c r="D756" s="41" t="n"/>
      <c r="E756" s="42" t="n">
        <v>45284.41666666666</v>
      </c>
      <c r="F756" s="51" t="inlineStr">
        <is>
          <t>Through The Griffin Door</t>
        </is>
      </c>
      <c r="G756" t="inlineStr">
        <is>
          <t>Chapter 15: The Forbidden Forest | Philosopher's Stone</t>
        </is>
      </c>
      <c r="H756" s="44" t="n">
        <v>0.05164351851851852</v>
      </c>
      <c r="I756" s="45" t="n">
        <v>74383</v>
      </c>
      <c r="J756" s="45" t="n">
        <v>2529</v>
      </c>
      <c r="K756" s="45" t="n">
        <v>359</v>
      </c>
      <c r="L756" s="46" t="n"/>
      <c r="M756" s="47" t="n"/>
      <c r="N756" s="47" t="inlineStr">
        <is>
          <t>UCEscP6ETYXWSSvsNrDHekMQ</t>
        </is>
      </c>
      <c r="O756" s="48" t="n">
        <v>45284.625</v>
      </c>
      <c r="P756" s="49" t="n">
        <v>45284</v>
      </c>
      <c r="Q756" s="47" t="n">
        <v>2512</v>
      </c>
      <c r="R756" s="47" t="inlineStr">
        <is>
          <t>No Video ID yet</t>
        </is>
      </c>
      <c r="S756" s="49" t="n"/>
      <c r="T756" s="49" t="n"/>
      <c r="U756" s="47" t="inlineStr">
        <is>
          <t>Join J and Ben as they dive into Chapter 15 of the Philosopher’s Stone and discuss the ridiculousness of serving detention at night for being caught AT NIGHT, Neville’s impact, Filch’s weird obsession with torture, unicorn blood, werewolves, foretelling in the stars, and Peeves and the Bloody Baron. The Good Place - 08:14 - Chapter Breakdown 1:04:39 - Closing Thoughts and Review</t>
        </is>
      </c>
      <c r="V756" s="47">
        <f>IF(AND(P756&gt;=Calendar!$K$2,P756&lt;EDATE(Calendar!$K$2,1),OR(Calendar!$K$4="*",N756=Calendar!$K$4)),P756*100+COUNTIFS($P$6:$P$3267,P756,$Q$6:$Q$3267,"&lt;="&amp;Q756,$N$6:$N$3267,Calendar!$K$4),"")</f>
        <v/>
      </c>
      <c r="W756" s="47">
        <f>IF(AND(B756=Queue!$C$4,OR(Queue!$K$4="*",N756=Queue!$K$4)),Q756,"")</f>
        <v/>
      </c>
    </row>
    <row r="757">
      <c r="A757" s="38">
        <f>IF(M757="","",HYPERLINK("https://www.youtube.com/watch?v="&amp;M757,"▶"))</f>
        <v/>
      </c>
      <c r="B757" s="39">
        <f>IF(C757&lt;&gt;"",C757,IF(P757&lt;=IFERROR(INDEX(tblChannels[Watched Through],MATCH(N757,tblChannels[Channel ID],0)),0),"Watched","Unwatched"))</f>
        <v/>
      </c>
      <c r="C757" s="40" t="n"/>
      <c r="D757" s="41" t="n"/>
      <c r="E757" s="42" t="n">
        <v>45282.77083333334</v>
      </c>
      <c r="F757" s="52" t="inlineStr">
        <is>
          <t>Super Carlin Gaming</t>
        </is>
      </c>
      <c r="G757" t="inlineStr">
        <is>
          <t>It's Moving Day! | Carlin Brothers Box Breakers S8E7</t>
        </is>
      </c>
      <c r="H757" s="44" t="n">
        <v>0.02709490740740741</v>
      </c>
      <c r="I757" s="45" t="n">
        <v>1413</v>
      </c>
      <c r="J757" s="45" t="n">
        <v>85</v>
      </c>
      <c r="K757" s="45" t="n">
        <v>10</v>
      </c>
      <c r="L757" s="46" t="n"/>
      <c r="M757" s="47" t="n"/>
      <c r="N757" s="47" t="inlineStr">
        <is>
          <t>UCor_9jRnNNZVzTuQ92PKsaQ</t>
        </is>
      </c>
      <c r="O757" s="48" t="n">
        <v>45282.97916666666</v>
      </c>
      <c r="P757" s="49" t="n">
        <v>45282</v>
      </c>
      <c r="Q757" s="47" t="n">
        <v>2511</v>
      </c>
      <c r="R757" s="47" t="inlineStr">
        <is>
          <t>No Video ID yet</t>
        </is>
      </c>
      <c r="S757" s="49" t="n"/>
      <c r="T757" s="49" t="n"/>
      <c r="U757" s="47" t="n"/>
      <c r="V757" s="47">
        <f>IF(AND(P757&gt;=Calendar!$K$2,P757&lt;EDATE(Calendar!$K$2,1),OR(Calendar!$K$4="*",N757=Calendar!$K$4)),P757*100+COUNTIFS($P$6:$P$3267,P757,$Q$6:$Q$3267,"&lt;="&amp;Q757,$N$6:$N$3267,Calendar!$K$4),"")</f>
        <v/>
      </c>
      <c r="W757" s="47">
        <f>IF(AND(B757=Queue!$C$4,OR(Queue!$K$4="*",N757=Queue!$K$4)),Q757,"")</f>
        <v/>
      </c>
    </row>
    <row r="758">
      <c r="A758" s="38">
        <f>IF(M758="","",HYPERLINK("https://www.youtube.com/watch?v="&amp;M758,"▶"))</f>
        <v/>
      </c>
      <c r="B758" s="39">
        <f>IF(C758&lt;&gt;"",C758,IF(P758&lt;=IFERROR(INDEX(tblChannels[Watched Through],MATCH(N758,tblChannels[Channel ID],0)),0),"Watched","Unwatched"))</f>
        <v/>
      </c>
      <c r="C758" s="40" t="n"/>
      <c r="D758" s="41" t="n"/>
      <c r="E758" s="42" t="n">
        <v>45282.58125</v>
      </c>
      <c r="F758" s="50" t="inlineStr">
        <is>
          <t>Super Carlin Brothers</t>
        </is>
      </c>
      <c r="G758" t="inlineStr">
        <is>
          <t>Kristoff’s SECRET Magic Power Revealed | Frozen Disney Film Theory</t>
        </is>
      </c>
      <c r="H758" s="44" t="n">
        <v>0.00798611111111111</v>
      </c>
      <c r="I758" s="45" t="n">
        <v>50060</v>
      </c>
      <c r="J758" s="45" t="n">
        <v>2945</v>
      </c>
      <c r="K758" s="45" t="n">
        <v>156</v>
      </c>
      <c r="L758" s="46" t="n"/>
      <c r="M758" s="47" t="n"/>
      <c r="N758" s="47" t="inlineStr">
        <is>
          <t>UCKZo4N0lVPccBkSiuyVh4yg</t>
        </is>
      </c>
      <c r="O758" s="48" t="n">
        <v>45282.78958333333</v>
      </c>
      <c r="P758" s="49" t="n">
        <v>45282</v>
      </c>
      <c r="Q758" s="47" t="n">
        <v>2510</v>
      </c>
      <c r="R758" s="47" t="inlineStr">
        <is>
          <t>No Video ID yet</t>
        </is>
      </c>
      <c r="S758" s="49" t="n"/>
      <c r="T758" s="49" t="n"/>
      <c r="U758" s="47" t="inlineStr">
        <is>
          <t>We all know Kristoff likes to speak for the reindeer… but what if there is more to it than just being good friends? Does he have a real magic power? #supercarlinbrothers #Frozen #disney</t>
        </is>
      </c>
      <c r="V758" s="47">
        <f>IF(AND(P758&gt;=Calendar!$K$2,P758&lt;EDATE(Calendar!$K$2,1),OR(Calendar!$K$4="*",N758=Calendar!$K$4)),P758*100+COUNTIFS($P$6:$P$3267,P758,$Q$6:$Q$3267,"&lt;="&amp;Q758,$N$6:$N$3267,Calendar!$K$4),"")</f>
        <v/>
      </c>
      <c r="W758" s="47">
        <f>IF(AND(B758=Queue!$C$4,OR(Queue!$K$4="*",N758=Queue!$K$4)),Q758,"")</f>
        <v/>
      </c>
    </row>
    <row r="759">
      <c r="A759" s="38">
        <f>IF(M759="","",HYPERLINK("https://www.youtube.com/watch?v="&amp;M759,"▶"))</f>
        <v/>
      </c>
      <c r="B759" s="39">
        <f>IF(C759&lt;&gt;"",C759,IF(P759&lt;=IFERROR(INDEX(tblChannels[Watched Through],MATCH(N759,tblChannels[Channel ID],0)),0),"Watched","Unwatched"))</f>
        <v/>
      </c>
      <c r="C759" s="40" t="n"/>
      <c r="D759" s="41" t="n"/>
      <c r="E759" s="42" t="n">
        <v>45282.41666666666</v>
      </c>
      <c r="F759" s="43" t="inlineStr">
        <is>
          <t>Popcorn Culture</t>
        </is>
      </c>
      <c r="G759" t="inlineStr">
        <is>
          <t>Huck A Kid | Popcorn Culture</t>
        </is>
      </c>
      <c r="H759" s="44" t="n">
        <v>0.04890046296296297</v>
      </c>
      <c r="I759" s="45" t="n">
        <v>4869</v>
      </c>
      <c r="J759" s="45" t="n">
        <v>234</v>
      </c>
      <c r="K759" s="45" t="n">
        <v>25</v>
      </c>
      <c r="L759" s="46" t="n"/>
      <c r="M759" s="47" t="n"/>
      <c r="N759" s="47" t="inlineStr">
        <is>
          <t>UCHfIbq9thHPC8yrKjAdJgDA</t>
        </is>
      </c>
      <c r="O759" s="48" t="n">
        <v>45282.625</v>
      </c>
      <c r="P759" s="49" t="n">
        <v>45282</v>
      </c>
      <c r="Q759" s="47" t="n">
        <v>2509</v>
      </c>
      <c r="R759" s="47" t="inlineStr">
        <is>
          <t>No Video ID yet</t>
        </is>
      </c>
      <c r="S759" s="49" t="n"/>
      <c r="T759" s="49" t="n"/>
      <c r="U759" s="47" t="inlineStr">
        <is>
          <t>In the 211th episode of the Pop, Ben and J discuss funny faces, emojis, an early Christmas gift (that could die), bread, ideal White Elephant gift exchange items, treasure, and a new game at J’s house. Jim Carrey: Popcorn Bucket Emoji K Clickbait My Brother The Jim Carrey of Bread Faces The Lost Treasure of Roanoke 00:00 - Intro, Funny Faces 19:28 - Early Christmas Gift 32:18 - White Elephant 54:23 - Gears</t>
        </is>
      </c>
      <c r="V759" s="47">
        <f>IF(AND(P759&gt;=Calendar!$K$2,P759&lt;EDATE(Calendar!$K$2,1),OR(Calendar!$K$4="*",N759=Calendar!$K$4)),P759*100+COUNTIFS($P$6:$P$3267,P759,$Q$6:$Q$3267,"&lt;="&amp;Q759,$N$6:$N$3267,Calendar!$K$4),"")</f>
        <v/>
      </c>
      <c r="W759" s="47">
        <f>IF(AND(B759=Queue!$C$4,OR(Queue!$K$4="*",N759=Queue!$K$4)),Q759,"")</f>
        <v/>
      </c>
    </row>
    <row r="760">
      <c r="A760" s="38">
        <f>IF(M760="","",HYPERLINK("https://www.youtube.com/watch?v="&amp;M760,"▶"))</f>
        <v/>
      </c>
      <c r="B760" s="39">
        <f>IF(C760&lt;&gt;"",C760,IF(P760&lt;=IFERROR(INDEX(tblChannels[Watched Through],MATCH(N760,tblChannels[Channel ID],0)),0),"Watched","Unwatched"))</f>
        <v/>
      </c>
      <c r="C760" s="40" t="n"/>
      <c r="D760" s="41" t="n"/>
      <c r="E760" s="42" t="n">
        <v>45280.70972222222</v>
      </c>
      <c r="F760" s="50" t="inlineStr">
        <is>
          <t>Super Carlin Brothers</t>
        </is>
      </c>
      <c r="G760" t="inlineStr">
        <is>
          <t>J vs Ben: HARDEST Harry Potter Christmas Break Trivia Quiz EVER</t>
        </is>
      </c>
      <c r="H760" s="44" t="n">
        <v>0.02417824074074074</v>
      </c>
      <c r="I760" s="45" t="n">
        <v>137603</v>
      </c>
      <c r="J760" s="45" t="n">
        <v>5405</v>
      </c>
      <c r="K760" s="45" t="n">
        <v>523</v>
      </c>
      <c r="L760" s="46" t="n"/>
      <c r="M760" s="47" t="n"/>
      <c r="N760" s="47" t="inlineStr">
        <is>
          <t>UCKZo4N0lVPccBkSiuyVh4yg</t>
        </is>
      </c>
      <c r="O760" s="48" t="n">
        <v>45280.91805555556</v>
      </c>
      <c r="P760" s="49" t="n">
        <v>45280</v>
      </c>
      <c r="Q760" s="47" t="n">
        <v>2508</v>
      </c>
      <c r="R760" s="47" t="inlineStr">
        <is>
          <t>No Video ID yet</t>
        </is>
      </c>
      <c r="S760" s="49" t="n"/>
      <c r="T760" s="49" t="n"/>
      <c r="U760" s="47" t="inlineStr">
        <is>
          <t>Go to to try 5 pairs of glasses at home for free. Go to to cancel your unwanted subscriptions with Rocket Money. Today J and Ben face off once more to find out who knows more about the Wizarding World of Harry Potter during CHRISTMAS BREAK.</t>
        </is>
      </c>
      <c r="V760" s="47">
        <f>IF(AND(P760&gt;=Calendar!$K$2,P760&lt;EDATE(Calendar!$K$2,1),OR(Calendar!$K$4="*",N760=Calendar!$K$4)),P760*100+COUNTIFS($P$6:$P$3267,P760,$Q$6:$Q$3267,"&lt;="&amp;Q760,$N$6:$N$3267,Calendar!$K$4),"")</f>
        <v/>
      </c>
      <c r="W760" s="47">
        <f>IF(AND(B760=Queue!$C$4,OR(Queue!$K$4="*",N760=Queue!$K$4)),Q760,"")</f>
        <v/>
      </c>
    </row>
    <row r="761">
      <c r="A761" s="38">
        <f>IF(M761="","",HYPERLINK("https://www.youtube.com/watch?v="&amp;M761,"▶"))</f>
        <v/>
      </c>
      <c r="B761" s="39">
        <f>IF(C761&lt;&gt;"",C761,IF(P761&lt;=IFERROR(INDEX(tblChannels[Watched Through],MATCH(N761,tblChannels[Channel ID],0)),0),"Watched","Unwatched"))</f>
        <v/>
      </c>
      <c r="C761" s="40" t="n"/>
      <c r="D761" s="41" t="n"/>
      <c r="E761" s="42" t="n">
        <v>45278.54166666666</v>
      </c>
      <c r="F761" s="52" t="inlineStr">
        <is>
          <t>Super Carlin Gaming</t>
        </is>
      </c>
      <c r="G761" t="inlineStr">
        <is>
          <t>ALL GOLD EVERYTHING | Carlin Brothers Box Breakers S8E6</t>
        </is>
      </c>
      <c r="H761" s="44" t="n">
        <v>0.02831018518518518</v>
      </c>
      <c r="I761" s="45" t="n">
        <v>1341</v>
      </c>
      <c r="J761" s="45" t="n">
        <v>91</v>
      </c>
      <c r="K761" s="45" t="n">
        <v>6</v>
      </c>
      <c r="L761" s="46" t="n"/>
      <c r="M761" s="47" t="n"/>
      <c r="N761" s="47" t="inlineStr">
        <is>
          <t>UCor_9jRnNNZVzTuQ92PKsaQ</t>
        </is>
      </c>
      <c r="O761" s="48" t="n">
        <v>45278.75</v>
      </c>
      <c r="P761" s="49" t="n">
        <v>45278</v>
      </c>
      <c r="Q761" s="47" t="n">
        <v>2507</v>
      </c>
      <c r="R761" s="47" t="inlineStr">
        <is>
          <t>No Video ID yet</t>
        </is>
      </c>
      <c r="S761" s="49" t="n"/>
      <c r="T761" s="49" t="n"/>
      <c r="U761" s="47" t="n"/>
      <c r="V761" s="47">
        <f>IF(AND(P761&gt;=Calendar!$K$2,P761&lt;EDATE(Calendar!$K$2,1),OR(Calendar!$K$4="*",N761=Calendar!$K$4)),P761*100+COUNTIFS($P$6:$P$3267,P761,$Q$6:$Q$3267,"&lt;="&amp;Q761,$N$6:$N$3267,Calendar!$K$4),"")</f>
        <v/>
      </c>
      <c r="W761" s="47">
        <f>IF(AND(B761=Queue!$C$4,OR(Queue!$K$4="*",N761=Queue!$K$4)),Q761,"")</f>
        <v/>
      </c>
    </row>
    <row r="762">
      <c r="A762" s="38">
        <f>IF(M762="","",HYPERLINK("https://www.youtube.com/watch?v="&amp;M762,"▶"))</f>
        <v/>
      </c>
      <c r="B762" s="39">
        <f>IF(C762&lt;&gt;"",C762,IF(P762&lt;=IFERROR(INDEX(tblChannels[Watched Through],MATCH(N762,tblChannels[Channel ID],0)),0),"Watched","Unwatched"))</f>
        <v/>
      </c>
      <c r="C762" s="40" t="n"/>
      <c r="D762" s="41" t="n"/>
      <c r="E762" s="42" t="n">
        <v>45277.41666666666</v>
      </c>
      <c r="F762" s="51" t="inlineStr">
        <is>
          <t>Through The Griffin Door</t>
        </is>
      </c>
      <c r="G762" t="inlineStr">
        <is>
          <t>Chapter 14: Norbert the Norwegian Ridgeback | Philosopher's Stone</t>
        </is>
      </c>
      <c r="H762" s="44" t="n">
        <v>0.03891203703703704</v>
      </c>
      <c r="I762" s="45" t="n">
        <v>66334</v>
      </c>
      <c r="J762" s="45" t="n">
        <v>2187</v>
      </c>
      <c r="K762" s="45" t="n">
        <v>331</v>
      </c>
      <c r="L762" s="46" t="n"/>
      <c r="M762" s="47" t="n"/>
      <c r="N762" s="47" t="inlineStr">
        <is>
          <t>UCEscP6ETYXWSSvsNrDHekMQ</t>
        </is>
      </c>
      <c r="O762" s="48" t="n">
        <v>45277.625</v>
      </c>
      <c r="P762" s="49" t="n">
        <v>45277</v>
      </c>
      <c r="Q762" s="47" t="n">
        <v>2506</v>
      </c>
      <c r="R762" s="47" t="inlineStr">
        <is>
          <t>No Video ID yet</t>
        </is>
      </c>
      <c r="S762" s="49" t="n"/>
      <c r="T762" s="49" t="n"/>
      <c r="U762" s="47" t="inlineStr">
        <is>
          <t>Join J and Ben as they dive into Chapter 14 of the Philosopher’s Stone and discuss the absolute absurdity of this whole chapter, the 12 uses of dragon blood, beasts needing alcohol, Charlie Weasley, Madam Pomfrey and more ways that Malfoy is way too interested in Harry. Have a question you’d like answered for a future episode? Submit it here: 03:01 - Chapter Breakdown 49:48 - Closing Thoughts</t>
        </is>
      </c>
      <c r="V762" s="47">
        <f>IF(AND(P762&gt;=Calendar!$K$2,P762&lt;EDATE(Calendar!$K$2,1),OR(Calendar!$K$4="*",N762=Calendar!$K$4)),P762*100+COUNTIFS($P$6:$P$3267,P762,$Q$6:$Q$3267,"&lt;="&amp;Q762,$N$6:$N$3267,Calendar!$K$4),"")</f>
        <v/>
      </c>
      <c r="W762" s="47">
        <f>IF(AND(B762=Queue!$C$4,OR(Queue!$K$4="*",N762=Queue!$K$4)),Q762,"")</f>
        <v/>
      </c>
    </row>
    <row r="763">
      <c r="A763" s="38">
        <f>IF(M763="","",HYPERLINK("https://www.youtube.com/watch?v="&amp;M763,"▶"))</f>
        <v/>
      </c>
      <c r="B763" s="39">
        <f>IF(C763&lt;&gt;"",C763,IF(P763&lt;=IFERROR(INDEX(tblChannels[Watched Through],MATCH(N763,tblChannels[Channel ID],0)),0),"Watched","Unwatched"))</f>
        <v/>
      </c>
      <c r="C763" s="40" t="n"/>
      <c r="D763" s="41" t="n"/>
      <c r="E763" s="42" t="n">
        <v>45276.41666666666</v>
      </c>
      <c r="F763" s="50" t="inlineStr">
        <is>
          <t>Super Carlin Brothers</t>
        </is>
      </c>
      <c r="G763" t="inlineStr">
        <is>
          <t>Through the Griffin Door Supercut: Chapters 10-12 | Philosopher’s Stone</t>
        </is>
      </c>
      <c r="H763" s="44" t="n">
        <v>0.148599537037037</v>
      </c>
      <c r="I763" s="45" t="n">
        <v>139594</v>
      </c>
      <c r="J763" s="45" t="n">
        <v>1213</v>
      </c>
      <c r="K763" s="45" t="n">
        <v>211</v>
      </c>
      <c r="L763" s="46" t="n"/>
      <c r="M763" s="47" t="n"/>
      <c r="N763" s="47" t="inlineStr">
        <is>
          <t>UCKZo4N0lVPccBkSiuyVh4yg</t>
        </is>
      </c>
      <c r="O763" s="48" t="n">
        <v>45276.625</v>
      </c>
      <c r="P763" s="49" t="n">
        <v>45276</v>
      </c>
      <c r="Q763" s="47" t="n">
        <v>2505</v>
      </c>
      <c r="R763" s="47" t="inlineStr">
        <is>
          <t>No Video ID yet</t>
        </is>
      </c>
      <c r="S763" s="49" t="n"/>
      <c r="T763" s="49" t="n"/>
      <c r="U763" s="47" t="inlineStr">
        <is>
          <t>Join J and Ben as they embark on their newest endeavor: rereading the Harry Potter series in this chapter by chapter recap podcast! We hope you enjoy all the Harry Potter goodness that this podcast will bring. Come along as we go Through the Griffin Door. 00:00:00 Introduction 00:00:37 Chapter 10: Halloween 01:05:31 Chapter 11: Quidditch 02:07:44 Chapter 12: The Mirror of Erised #supercarlinbrothers #HarryPotter #ThroughTheGriffinDoor</t>
        </is>
      </c>
      <c r="V763" s="47">
        <f>IF(AND(P763&gt;=Calendar!$K$2,P763&lt;EDATE(Calendar!$K$2,1),OR(Calendar!$K$4="*",N763=Calendar!$K$4)),P763*100+COUNTIFS($P$6:$P$3267,P763,$Q$6:$Q$3267,"&lt;="&amp;Q763,$N$6:$N$3267,Calendar!$K$4),"")</f>
        <v/>
      </c>
      <c r="W763" s="47">
        <f>IF(AND(B763=Queue!$C$4,OR(Queue!$K$4="*",N763=Queue!$K$4)),Q763,"")</f>
        <v/>
      </c>
    </row>
    <row r="764">
      <c r="A764" s="38">
        <f>IF(M764="","",HYPERLINK("https://www.youtube.com/watch?v="&amp;M764,"▶"))</f>
        <v/>
      </c>
      <c r="B764" s="39">
        <f>IF(C764&lt;&gt;"",C764,IF(P764&lt;=IFERROR(INDEX(tblChannels[Watched Through],MATCH(N764,tblChannels[Channel ID],0)),0),"Watched","Unwatched"))</f>
        <v/>
      </c>
      <c r="C764" s="40" t="n"/>
      <c r="D764" s="41" t="n"/>
      <c r="E764" s="42" t="n">
        <v>45275.7125</v>
      </c>
      <c r="F764" s="50" t="inlineStr">
        <is>
          <t>Super Carlin Brothers</t>
        </is>
      </c>
      <c r="G764" t="inlineStr">
        <is>
          <t>In Defense of HAGRID | Harry Potter Film Theory</t>
        </is>
      </c>
      <c r="H764" s="44" t="n">
        <v>0.0112037037037037</v>
      </c>
      <c r="I764" s="45" t="n">
        <v>142729</v>
      </c>
      <c r="J764" s="45" t="n">
        <v>6625</v>
      </c>
      <c r="K764" s="45" t="n">
        <v>616</v>
      </c>
      <c r="L764" s="46" t="n"/>
      <c r="M764" s="47" t="n"/>
      <c r="N764" s="47" t="inlineStr">
        <is>
          <t>UCKZo4N0lVPccBkSiuyVh4yg</t>
        </is>
      </c>
      <c r="O764" s="48" t="n">
        <v>45275.92083333333</v>
      </c>
      <c r="P764" s="49" t="n">
        <v>45275</v>
      </c>
      <c r="Q764" s="47" t="n">
        <v>2504</v>
      </c>
      <c r="R764" s="47" t="inlineStr">
        <is>
          <t>No Video ID yet</t>
        </is>
      </c>
      <c r="S764" s="49" t="n"/>
      <c r="T764" s="49" t="n"/>
      <c r="U764" s="47" t="inlineStr">
        <is>
          <t>Go to to get 20% off your first order and free shipping. Today Ben dives into the Wizarding World of Harry Potter to defend noneother than Rubeus Hagrid, Keeper of Keys and Grounds at Hogwarts. Is he naively optimistic, or just constantly and avoidably endangering the students? Edited by : Edghill</t>
        </is>
      </c>
      <c r="V764" s="47">
        <f>IF(AND(P764&gt;=Calendar!$K$2,P764&lt;EDATE(Calendar!$K$2,1),OR(Calendar!$K$4="*",N764=Calendar!$K$4)),P764*100+COUNTIFS($P$6:$P$3267,P764,$Q$6:$Q$3267,"&lt;="&amp;Q764,$N$6:$N$3267,Calendar!$K$4),"")</f>
        <v/>
      </c>
      <c r="W764" s="47">
        <f>IF(AND(B764=Queue!$C$4,OR(Queue!$K$4="*",N764=Queue!$K$4)),Q764,"")</f>
        <v/>
      </c>
    </row>
    <row r="765">
      <c r="A765" s="38">
        <f>IF(M765="","",HYPERLINK("https://www.youtube.com/watch?v="&amp;M765,"▶"))</f>
        <v/>
      </c>
      <c r="B765" s="39">
        <f>IF(C765&lt;&gt;"",C765,IF(P765&lt;=IFERROR(INDEX(tblChannels[Watched Through],MATCH(N765,tblChannels[Channel ID],0)),0),"Watched","Unwatched"))</f>
        <v/>
      </c>
      <c r="C765" s="40" t="n"/>
      <c r="D765" s="41" t="n"/>
      <c r="E765" s="42" t="n">
        <v>45275.41666666666</v>
      </c>
      <c r="F765" s="43" t="inlineStr">
        <is>
          <t>Popcorn Culture</t>
        </is>
      </c>
      <c r="G765" t="inlineStr">
        <is>
          <t>These Lights Need Subtitles | Popcorn Culture</t>
        </is>
      </c>
      <c r="H765" s="44" t="n">
        <v>0.05146990740740741</v>
      </c>
      <c r="I765" s="45" t="n">
        <v>4787</v>
      </c>
      <c r="J765" s="45" t="n">
        <v>228</v>
      </c>
      <c r="K765" s="45" t="n">
        <v>37</v>
      </c>
      <c r="L765" s="46" t="n"/>
      <c r="M765" s="47" t="n"/>
      <c r="N765" s="47" t="inlineStr">
        <is>
          <t>UCHfIbq9thHPC8yrKjAdJgDA</t>
        </is>
      </c>
      <c r="O765" s="48" t="n">
        <v>45275.625</v>
      </c>
      <c r="P765" s="49" t="n">
        <v>45275</v>
      </c>
      <c r="Q765" s="47" t="n">
        <v>2503</v>
      </c>
      <c r="R765" s="47" t="inlineStr">
        <is>
          <t>No Video ID yet</t>
        </is>
      </c>
      <c r="S765" s="49" t="n"/>
      <c r="T765" s="49" t="n"/>
      <c r="U765" s="47" t="inlineStr">
        <is>
          <t>In the 210th episode of the Pop, Ben and J discuss Ethan the Editor’s beautiful wedding, DJs and dancing, learning how to tie a bowtie, small problems, and Ben’s Black Mirror dream. Click - Impeccable Guest Math Small Problems are the Big Problems Livin’ That Sled Life Skipping Stones 00:00 - Intro, Ethan’s Wedding 17:26 - Learning to Tie a Bowtie 22:18 - Fixing the Small Problems 50:21 - Ben’s Weird Dream</t>
        </is>
      </c>
      <c r="V765" s="47">
        <f>IF(AND(P765&gt;=Calendar!$K$2,P765&lt;EDATE(Calendar!$K$2,1),OR(Calendar!$K$4="*",N765=Calendar!$K$4)),P765*100+COUNTIFS($P$6:$P$3267,P765,$Q$6:$Q$3267,"&lt;="&amp;Q765,$N$6:$N$3267,Calendar!$K$4),"")</f>
        <v/>
      </c>
      <c r="W765" s="47">
        <f>IF(AND(B765=Queue!$C$4,OR(Queue!$K$4="*",N765=Queue!$K$4)),Q765,"")</f>
        <v/>
      </c>
    </row>
    <row r="766">
      <c r="A766" s="38">
        <f>IF(M766="","",HYPERLINK("https://www.youtube.com/watch?v="&amp;M766,"▶"))</f>
        <v/>
      </c>
      <c r="B766" s="39">
        <f>IF(C766&lt;&gt;"",C766,IF(P766&lt;=IFERROR(INDEX(tblChannels[Watched Through],MATCH(N766,tblChannels[Channel ID],0)),0),"Watched","Unwatched"))</f>
        <v/>
      </c>
      <c r="C766" s="40" t="n"/>
      <c r="D766" s="41" t="n"/>
      <c r="E766" s="42" t="n">
        <v>45273.75277777778</v>
      </c>
      <c r="F766" s="50" t="inlineStr">
        <is>
          <t>Super Carlin Brothers</t>
        </is>
      </c>
      <c r="G766" t="inlineStr">
        <is>
          <t>How The Centaurs Predicted Harry’s Death | Harry Potter Film Theory</t>
        </is>
      </c>
      <c r="H766" s="44" t="n">
        <v>0.01165509259259259</v>
      </c>
      <c r="I766" s="45" t="n">
        <v>157831</v>
      </c>
      <c r="J766" s="45" t="n">
        <v>7239</v>
      </c>
      <c r="K766" s="45" t="n">
        <v>400</v>
      </c>
      <c r="L766" s="46" t="n"/>
      <c r="M766" s="47" t="n"/>
      <c r="N766" s="47" t="inlineStr">
        <is>
          <t>UCKZo4N0lVPccBkSiuyVh4yg</t>
        </is>
      </c>
      <c r="O766" s="48" t="n">
        <v>45273.96111111111</v>
      </c>
      <c r="P766" s="49" t="n">
        <v>45273</v>
      </c>
      <c r="Q766" s="47" t="n">
        <v>2502</v>
      </c>
      <c r="R766" s="47" t="inlineStr">
        <is>
          <t>No Video ID yet</t>
        </is>
      </c>
      <c r="S766" s="49" t="n"/>
      <c r="T766" s="49" t="n"/>
      <c r="U766" s="47" t="inlineStr">
        <is>
          <t>Go to and use code super50 to get 50% off. Today J dives into the Wizarding World of Harry Potter to reveal some CRAZY foreshadowing by the centaurs in Philosopher’s Stone about how Harry will die in Deathly Hallows AND discuss why wizards study astronomy at all.</t>
        </is>
      </c>
      <c r="V766" s="47">
        <f>IF(AND(P766&gt;=Calendar!$K$2,P766&lt;EDATE(Calendar!$K$2,1),OR(Calendar!$K$4="*",N766=Calendar!$K$4)),P766*100+COUNTIFS($P$6:$P$3267,P766,$Q$6:$Q$3267,"&lt;="&amp;Q766,$N$6:$N$3267,Calendar!$K$4),"")</f>
        <v/>
      </c>
      <c r="W766" s="47">
        <f>IF(AND(B766=Queue!$C$4,OR(Queue!$K$4="*",N766=Queue!$K$4)),Q766,"")</f>
        <v/>
      </c>
    </row>
    <row r="767">
      <c r="A767" s="38">
        <f>IF(M767="","",HYPERLINK("https://www.youtube.com/watch?v="&amp;M767,"▶"))</f>
        <v/>
      </c>
      <c r="B767" s="39">
        <f>IF(C767&lt;&gt;"",C767,IF(P767&lt;=IFERROR(INDEX(tblChannels[Watched Through],MATCH(N767,tblChannels[Channel ID],0)),0),"Watched","Unwatched"))</f>
        <v/>
      </c>
      <c r="C767" s="40" t="n"/>
      <c r="D767" s="41" t="n"/>
      <c r="E767" s="42" t="n">
        <v>45270.41666666666</v>
      </c>
      <c r="F767" s="51" t="inlineStr">
        <is>
          <t>Through The Griffin Door</t>
        </is>
      </c>
      <c r="G767" t="inlineStr">
        <is>
          <t>Chapter 13: Nicholas Flamel | Philosopher's Stone</t>
        </is>
      </c>
      <c r="H767" s="44" t="n">
        <v>0.04903935185185185</v>
      </c>
      <c r="I767" s="45" t="n">
        <v>76765</v>
      </c>
      <c r="J767" s="45" t="n">
        <v>2894</v>
      </c>
      <c r="K767" s="45" t="n">
        <v>377</v>
      </c>
      <c r="L767" s="46" t="n"/>
      <c r="M767" s="47" t="n"/>
      <c r="N767" s="47" t="inlineStr">
        <is>
          <t>UCEscP6ETYXWSSvsNrDHekMQ</t>
        </is>
      </c>
      <c r="O767" s="48" t="n">
        <v>45270.625</v>
      </c>
      <c r="P767" s="49" t="n">
        <v>45270</v>
      </c>
      <c r="Q767" s="47" t="n">
        <v>2501</v>
      </c>
      <c r="R767" s="47" t="inlineStr">
        <is>
          <t>No Video ID yet</t>
        </is>
      </c>
      <c r="S767" s="49" t="n"/>
      <c r="T767" s="49" t="n"/>
      <c r="U767" s="47" t="inlineStr">
        <is>
          <t>Join J and Ben as they dive into Chapter 13 of the Philosopher’s Stone and discuss small details, the Quidditch match NOT from Harry’s point of view, random foreshadowing, Ron’s good friendship moments, Nicholas Flamel (the character and the real person), Slytherin being in the Quidditch lead for SEVEN YEARS, imposter syndrome, and the unbelievability of the end of the chapter. Have a question you’d like answered for a future episode? Submit it here: 11:10 - Chapter Breakdown 1:05:01 - Closing Thoughts and Chapter Art</t>
        </is>
      </c>
      <c r="V767" s="47">
        <f>IF(AND(P767&gt;=Calendar!$K$2,P767&lt;EDATE(Calendar!$K$2,1),OR(Calendar!$K$4="*",N767=Calendar!$K$4)),P767*100+COUNTIFS($P$6:$P$3267,P767,$Q$6:$Q$3267,"&lt;="&amp;Q767,$N$6:$N$3267,Calendar!$K$4),"")</f>
        <v/>
      </c>
      <c r="W767" s="47">
        <f>IF(AND(B767=Queue!$C$4,OR(Queue!$K$4="*",N767=Queue!$K$4)),Q767,"")</f>
        <v/>
      </c>
    </row>
    <row r="768">
      <c r="A768" s="38">
        <f>IF(M768="","",HYPERLINK("https://www.youtube.com/watch?v="&amp;M768,"▶"))</f>
        <v/>
      </c>
      <c r="B768" s="39">
        <f>IF(C768&lt;&gt;"",C768,IF(P768&lt;=IFERROR(INDEX(tblChannels[Watched Through],MATCH(N768,tblChannels[Channel ID],0)),0),"Watched","Unwatched"))</f>
        <v/>
      </c>
      <c r="C768" s="40" t="n"/>
      <c r="D768" s="41" t="n"/>
      <c r="E768" s="42" t="n">
        <v>45268.69166666667</v>
      </c>
      <c r="F768" s="50" t="inlineStr">
        <is>
          <t>Super Carlin Brothers</t>
        </is>
      </c>
      <c r="G768" t="inlineStr">
        <is>
          <t>What’s The Point of Harry Potter | Harry Potter Film Theory</t>
        </is>
      </c>
      <c r="H768" s="44" t="n">
        <v>0.01032407407407407</v>
      </c>
      <c r="I768" s="45" t="n">
        <v>129990</v>
      </c>
      <c r="J768" s="45" t="n">
        <v>6112</v>
      </c>
      <c r="K768" s="45" t="n">
        <v>421</v>
      </c>
      <c r="L768" s="46" t="n"/>
      <c r="M768" s="47" t="n"/>
      <c r="N768" s="47" t="inlineStr">
        <is>
          <t>UCKZo4N0lVPccBkSiuyVh4yg</t>
        </is>
      </c>
      <c r="O768" s="48" t="n">
        <v>45268.9</v>
      </c>
      <c r="P768" s="49" t="n">
        <v>45268</v>
      </c>
      <c r="Q768" s="47" t="n">
        <v>2500</v>
      </c>
      <c r="R768" s="47" t="inlineStr">
        <is>
          <t>No Video ID yet</t>
        </is>
      </c>
      <c r="S768" s="49" t="n"/>
      <c r="T768" s="49" t="n"/>
      <c r="U768" s="47" t="inlineStr">
        <is>
          <t>Go to to get 15% off your next gift! Today Ben dives into the Wizarding World of Harry Potter to ask the big question: What even is the POINT of Harry Potter? Love? Death? Acceptance?</t>
        </is>
      </c>
      <c r="V768" s="47">
        <f>IF(AND(P768&gt;=Calendar!$K$2,P768&lt;EDATE(Calendar!$K$2,1),OR(Calendar!$K$4="*",N768=Calendar!$K$4)),P768*100+COUNTIFS($P$6:$P$3267,P768,$Q$6:$Q$3267,"&lt;="&amp;Q768,$N$6:$N$3267,Calendar!$K$4),"")</f>
        <v/>
      </c>
      <c r="W768" s="47">
        <f>IF(AND(B768=Queue!$C$4,OR(Queue!$K$4="*",N768=Queue!$K$4)),Q768,"")</f>
        <v/>
      </c>
    </row>
    <row r="769">
      <c r="A769" s="38">
        <f>IF(M769="","",HYPERLINK("https://www.youtube.com/watch?v="&amp;M769,"▶"))</f>
        <v/>
      </c>
      <c r="B769" s="39">
        <f>IF(C769&lt;&gt;"",C769,IF(P769&lt;=IFERROR(INDEX(tblChannels[Watched Through],MATCH(N769,tblChannels[Channel ID],0)),0),"Watched","Unwatched"))</f>
        <v/>
      </c>
      <c r="C769" s="40" t="n"/>
      <c r="D769" s="41" t="n"/>
      <c r="E769" s="42" t="n">
        <v>45268.625</v>
      </c>
      <c r="F769" s="52" t="inlineStr">
        <is>
          <t>Super Carlin Gaming</t>
        </is>
      </c>
      <c r="G769" t="inlineStr">
        <is>
          <t>Big Changes Across The Board | Carlin Brothers Box Breakers S8E5</t>
        </is>
      </c>
      <c r="H769" s="44" t="n">
        <v>0.02864583333333333</v>
      </c>
      <c r="I769" s="45" t="n">
        <v>1562</v>
      </c>
      <c r="J769" s="45" t="n">
        <v>89</v>
      </c>
      <c r="K769" s="45" t="n">
        <v>17</v>
      </c>
      <c r="L769" s="46" t="n"/>
      <c r="M769" s="47" t="n"/>
      <c r="N769" s="47" t="inlineStr">
        <is>
          <t>UCor_9jRnNNZVzTuQ92PKsaQ</t>
        </is>
      </c>
      <c r="O769" s="48" t="n">
        <v>45268.83333333334</v>
      </c>
      <c r="P769" s="49" t="n">
        <v>45268</v>
      </c>
      <c r="Q769" s="47" t="n">
        <v>2499</v>
      </c>
      <c r="R769" s="47" t="inlineStr">
        <is>
          <t>No Video ID yet</t>
        </is>
      </c>
      <c r="S769" s="49" t="n"/>
      <c r="T769" s="49" t="n"/>
      <c r="U769" s="47" t="n"/>
      <c r="V769" s="47">
        <f>IF(AND(P769&gt;=Calendar!$K$2,P769&lt;EDATE(Calendar!$K$2,1),OR(Calendar!$K$4="*",N769=Calendar!$K$4)),P769*100+COUNTIFS($P$6:$P$3267,P769,$Q$6:$Q$3267,"&lt;="&amp;Q769,$N$6:$N$3267,Calendar!$K$4),"")</f>
        <v/>
      </c>
      <c r="W769" s="47">
        <f>IF(AND(B769=Queue!$C$4,OR(Queue!$K$4="*",N769=Queue!$K$4)),Q769,"")</f>
        <v/>
      </c>
    </row>
    <row r="770">
      <c r="A770" s="38">
        <f>IF(M770="","",HYPERLINK("https://www.youtube.com/watch?v="&amp;M770,"▶"))</f>
        <v/>
      </c>
      <c r="B770" s="39">
        <f>IF(C770&lt;&gt;"",C770,IF(P770&lt;=IFERROR(INDEX(tblChannels[Watched Through],MATCH(N770,tblChannels[Channel ID],0)),0),"Watched","Unwatched"))</f>
        <v/>
      </c>
      <c r="C770" s="40" t="n"/>
      <c r="D770" s="41" t="n"/>
      <c r="E770" s="42" t="n">
        <v>45268.41666666666</v>
      </c>
      <c r="F770" s="43" t="inlineStr">
        <is>
          <t>Popcorn Culture</t>
        </is>
      </c>
      <c r="G770" t="inlineStr">
        <is>
          <t>1,000 Tootsie Rolls | Popcorn Culture</t>
        </is>
      </c>
      <c r="H770" s="44" t="n">
        <v>0.05356481481481482</v>
      </c>
      <c r="I770" s="45" t="n">
        <v>4429</v>
      </c>
      <c r="J770" s="45" t="n">
        <v>207</v>
      </c>
      <c r="K770" s="45" t="n">
        <v>17</v>
      </c>
      <c r="L770" s="46" t="n"/>
      <c r="M770" s="47" t="n"/>
      <c r="N770" s="47" t="inlineStr">
        <is>
          <t>UCHfIbq9thHPC8yrKjAdJgDA</t>
        </is>
      </c>
      <c r="O770" s="48" t="n">
        <v>45268.625</v>
      </c>
      <c r="P770" s="49" t="n">
        <v>45268</v>
      </c>
      <c r="Q770" s="47" t="n">
        <v>2498</v>
      </c>
      <c r="R770" s="47" t="inlineStr">
        <is>
          <t>No Video ID yet</t>
        </is>
      </c>
      <c r="S770" s="49" t="n"/>
      <c r="T770" s="49" t="n"/>
      <c r="U770" s="47" t="inlineStr">
        <is>
          <t>Ben and J discuss: Hokie football, celebrating Luke’s 6th birthday, arcades, sneaking out, junk food, tungsten, money catcher machine strategy, explaining sleight of hand to a 6 year old and fireworks. New Orleans Pelicans - Tungsten Cubes - Big Ink Secretly Good at Skeeball Real Magic is Just Lying 00:00 - Cold Open 00:38 - Intro, Ben’s Mental Health Improvement 18:20 - Chuck E. Cheese (and Other Tangents)</t>
        </is>
      </c>
      <c r="V770" s="47">
        <f>IF(AND(P770&gt;=Calendar!$K$2,P770&lt;EDATE(Calendar!$K$2,1),OR(Calendar!$K$4="*",N770=Calendar!$K$4)),P770*100+COUNTIFS($P$6:$P$3267,P770,$Q$6:$Q$3267,"&lt;="&amp;Q770,$N$6:$N$3267,Calendar!$K$4),"")</f>
        <v/>
      </c>
      <c r="W770" s="47">
        <f>IF(AND(B770=Queue!$C$4,OR(Queue!$K$4="*",N770=Queue!$K$4)),Q770,"")</f>
        <v/>
      </c>
    </row>
    <row r="771">
      <c r="A771" s="38">
        <f>IF(M771="","",HYPERLINK("https://www.youtube.com/watch?v="&amp;M771,"▶"))</f>
        <v/>
      </c>
      <c r="B771" s="39">
        <f>IF(C771&lt;&gt;"",C771,IF(P771&lt;=IFERROR(INDEX(tblChannels[Watched Through],MATCH(N771,tblChannels[Channel ID],0)),0),"Watched","Unwatched"))</f>
        <v/>
      </c>
      <c r="C771" s="40" t="n"/>
      <c r="D771" s="41" t="n"/>
      <c r="E771" s="42" t="n">
        <v>45266.68958333333</v>
      </c>
      <c r="F771" s="50" t="inlineStr">
        <is>
          <t>Super Carlin Brothers</t>
        </is>
      </c>
      <c r="G771" t="inlineStr">
        <is>
          <t>J vs Ben: ULTIMATE 100 Years of Disney TRIVIA Quiz</t>
        </is>
      </c>
      <c r="H771" s="44" t="n">
        <v>0.02586805555555555</v>
      </c>
      <c r="I771" s="45" t="n">
        <v>92157</v>
      </c>
      <c r="J771" s="45" t="n">
        <v>3733</v>
      </c>
      <c r="K771" s="45" t="n">
        <v>476</v>
      </c>
      <c r="L771" s="46" t="n"/>
      <c r="M771" s="47" t="n"/>
      <c r="N771" s="47" t="inlineStr">
        <is>
          <t>UCKZo4N0lVPccBkSiuyVh4yg</t>
        </is>
      </c>
      <c r="O771" s="48" t="n">
        <v>45266.89791666667</v>
      </c>
      <c r="P771" s="49" t="n">
        <v>45266</v>
      </c>
      <c r="Q771" s="47" t="n">
        <v>2497</v>
      </c>
      <c r="R771" s="47" t="inlineStr">
        <is>
          <t>No Video ID yet</t>
        </is>
      </c>
      <c r="S771" s="49" t="n"/>
      <c r="T771" s="49" t="n"/>
      <c r="U771" s="47" t="inlineStr">
        <is>
          <t>Use our link to get up to 30% off through December 20th and enter free for a chance to win a Ridge bundle worth $4,000. Video Sponsored by Ridge Go to to get 20% off your first order and free shipping. Today J and Ben face off once more to find out who knows more Disney Trivia from the last 100 years! This quiz covers movies, parks AND some general Disney history so buckle up for the ULTIMATE Disney Quiz! #supercarlinbrothers #Disney100 #JvsBen 02:47 - Q1: What was Mickey’s original name? 05:21 - Q2: What song do the Dwarfs sing? 06:48 - Q3: Which Disney princess has dimples? 08:31 - Q4: What does the Fairy Godmother turn into a carriage? 09:26 - Q5: What’s the first movie of the Disney Renaissance? 10:58 - Q6: What does EPCOT stand for? 14:22 - Q7: What wing of Beast’s castle is the rose in? 15:08 - Q8: What does Scar promise the Hyenas? 16:19 - Q9: Who is the youngest Disney villain? 22:11 - Q10: Why did Kuzco fire Yzma? 23:30 - Q11: What makes Mother Gothel return to the tower? 25:45 - Q12: Who has voiced the most Disney characters? 28:01 - Q13: Which troll “adopts” Kristoff and Sven? 29:39 - Q14: Which Disney animated film most recently won an Academy Award? 32:45 - Q15: What w</t>
        </is>
      </c>
      <c r="V771" s="47">
        <f>IF(AND(P771&gt;=Calendar!$K$2,P771&lt;EDATE(Calendar!$K$2,1),OR(Calendar!$K$4="*",N771=Calendar!$K$4)),P771*100+COUNTIFS($P$6:$P$3267,P771,$Q$6:$Q$3267,"&lt;="&amp;Q771,$N$6:$N$3267,Calendar!$K$4),"")</f>
        <v/>
      </c>
      <c r="W771" s="47">
        <f>IF(AND(B771=Queue!$C$4,OR(Queue!$K$4="*",N771=Queue!$K$4)),Q771,"")</f>
        <v/>
      </c>
    </row>
    <row r="772">
      <c r="A772" s="38">
        <f>IF(M772="","",HYPERLINK("https://www.youtube.com/watch?v="&amp;M772,"▶"))</f>
        <v/>
      </c>
      <c r="B772" s="39">
        <f>IF(C772&lt;&gt;"",C772,IF(P772&lt;=IFERROR(INDEX(tblChannels[Watched Through],MATCH(N772,tblChannels[Channel ID],0)),0),"Watched","Unwatched"))</f>
        <v/>
      </c>
      <c r="C772" s="40" t="n"/>
      <c r="D772" s="41" t="n"/>
      <c r="E772" s="42" t="n">
        <v>45263.41666666666</v>
      </c>
      <c r="F772" s="51" t="inlineStr">
        <is>
          <t>Through The Griffin Door</t>
        </is>
      </c>
      <c r="G772" t="inlineStr">
        <is>
          <t>Chapter 12: The Mirror of Erised | Philosopher's Stone</t>
        </is>
      </c>
      <c r="H772" s="44" t="n">
        <v>0.05988425925925926</v>
      </c>
      <c r="I772" s="45" t="n">
        <v>89147</v>
      </c>
      <c r="J772" s="45" t="n">
        <v>2505</v>
      </c>
      <c r="K772" s="45" t="n">
        <v>494</v>
      </c>
      <c r="L772" s="46" t="n"/>
      <c r="M772" s="47" t="n"/>
      <c r="N772" s="47" t="inlineStr">
        <is>
          <t>UCEscP6ETYXWSSvsNrDHekMQ</t>
        </is>
      </c>
      <c r="O772" s="48" t="n">
        <v>45263.625</v>
      </c>
      <c r="P772" s="49" t="n">
        <v>45263</v>
      </c>
      <c r="Q772" s="47" t="n">
        <v>2496</v>
      </c>
      <c r="R772" s="47" t="inlineStr">
        <is>
          <t>No Video ID yet</t>
        </is>
      </c>
      <c r="S772" s="49" t="n"/>
      <c r="T772" s="49" t="n"/>
      <c r="U772" s="47" t="inlineStr">
        <is>
          <t>Join J and Ben as they dive into Chapter 12 of the Philosopher’s Stone and discuss the snowballs hitting Voldemort, Malfoy’s taunting tactics, Hagrid dragging in the trees, points system, Christmas decorations, wizards’ chess, Harry’s gifts, the Christmas feast, the mirror, Peverell brothers theories, what Ron sees, and Dumbledore in the room. Potter Puppet Pals - Have a question you’d like answered for a future episode? Submit it here: 04:35 - Chapter Breakdown 1:20:19- Closing Thoughts and Chapter Art</t>
        </is>
      </c>
      <c r="V772" s="47">
        <f>IF(AND(P772&gt;=Calendar!$K$2,P772&lt;EDATE(Calendar!$K$2,1),OR(Calendar!$K$4="*",N772=Calendar!$K$4)),P772*100+COUNTIFS($P$6:$P$3267,P772,$Q$6:$Q$3267,"&lt;="&amp;Q772,$N$6:$N$3267,Calendar!$K$4),"")</f>
        <v/>
      </c>
      <c r="W772" s="47">
        <f>IF(AND(B772=Queue!$C$4,OR(Queue!$K$4="*",N772=Queue!$K$4)),Q772,"")</f>
        <v/>
      </c>
    </row>
    <row r="773">
      <c r="A773" s="38">
        <f>IF(M773="","",HYPERLINK("https://www.youtube.com/watch?v="&amp;M773,"▶"))</f>
        <v/>
      </c>
      <c r="B773" s="39">
        <f>IF(C773&lt;&gt;"",C773,IF(P773&lt;=IFERROR(INDEX(tblChannels[Watched Through],MATCH(N773,tblChannels[Channel ID],0)),0),"Watched","Unwatched"))</f>
        <v/>
      </c>
      <c r="C773" s="40" t="n"/>
      <c r="D773" s="41" t="n"/>
      <c r="E773" s="42" t="n">
        <v>45261.71666666667</v>
      </c>
      <c r="F773" s="50" t="inlineStr">
        <is>
          <t>Super Carlin Brothers</t>
        </is>
      </c>
      <c r="G773" t="inlineStr">
        <is>
          <t>Why Does Dumbledore GOOGLE AUTOFILL | Harry Potter Film Theory</t>
        </is>
      </c>
      <c r="H773" s="44" t="n">
        <v>0.01423611111111111</v>
      </c>
      <c r="I773" s="45" t="n">
        <v>201449</v>
      </c>
      <c r="J773" s="45" t="n">
        <v>8387</v>
      </c>
      <c r="K773" s="45" t="n">
        <v>689</v>
      </c>
      <c r="L773" s="46" t="n"/>
      <c r="M773" s="47" t="n"/>
      <c r="N773" s="47" t="inlineStr">
        <is>
          <t>UCKZo4N0lVPccBkSiuyVh4yg</t>
        </is>
      </c>
      <c r="O773" s="48" t="n">
        <v>45261.925</v>
      </c>
      <c r="P773" s="49" t="n">
        <v>45261</v>
      </c>
      <c r="Q773" s="47" t="n">
        <v>2495</v>
      </c>
      <c r="R773" s="47" t="inlineStr">
        <is>
          <t>No Video ID yet</t>
        </is>
      </c>
      <c r="S773" s="49" t="n"/>
      <c r="T773" s="49" t="n"/>
      <c r="U773" s="47" t="inlineStr">
        <is>
          <t>Today J dives into the Wizarding World of Harry Potter to answer Googles most asked questions about Hogwarts most famous headmaster: Albus Dumbledore. Why does Dumbledore Trust Hagrid? Why Does Dumbledore Ignore Harry? Why Does Dumbledore ask Snape to Kill him?! #supercarlinbrothers #HarryPotter #GoogleAutofill</t>
        </is>
      </c>
      <c r="V773" s="47">
        <f>IF(AND(P773&gt;=Calendar!$K$2,P773&lt;EDATE(Calendar!$K$2,1),OR(Calendar!$K$4="*",N773=Calendar!$K$4)),P773*100+COUNTIFS($P$6:$P$3267,P773,$Q$6:$Q$3267,"&lt;="&amp;Q773,$N$6:$N$3267,Calendar!$K$4),"")</f>
        <v/>
      </c>
      <c r="W773" s="47">
        <f>IF(AND(B773=Queue!$C$4,OR(Queue!$K$4="*",N773=Queue!$K$4)),Q773,"")</f>
        <v/>
      </c>
    </row>
    <row r="774">
      <c r="A774" s="38">
        <f>IF(M774="","",HYPERLINK("https://www.youtube.com/watch?v="&amp;M774,"▶"))</f>
        <v/>
      </c>
      <c r="B774" s="39">
        <f>IF(C774&lt;&gt;"",C774,IF(P774&lt;=IFERROR(INDEX(tblChannels[Watched Through],MATCH(N774,tblChannels[Channel ID],0)),0),"Watched","Unwatched"))</f>
        <v/>
      </c>
      <c r="C774" s="40" t="n"/>
      <c r="D774" s="41" t="n"/>
      <c r="E774" s="42" t="n">
        <v>45261.41666666666</v>
      </c>
      <c r="F774" s="43" t="inlineStr">
        <is>
          <t>Popcorn Culture</t>
        </is>
      </c>
      <c r="G774" t="inlineStr">
        <is>
          <t>DEATH CAT | Popcorn Culture</t>
        </is>
      </c>
      <c r="H774" s="44" t="n">
        <v>0.04423611111111111</v>
      </c>
      <c r="I774" s="45" t="n">
        <v>4202</v>
      </c>
      <c r="J774" s="45" t="n">
        <v>215</v>
      </c>
      <c r="K774" s="45" t="n">
        <v>35</v>
      </c>
      <c r="L774" s="46" t="n"/>
      <c r="M774" s="47" t="n"/>
      <c r="N774" s="47" t="inlineStr">
        <is>
          <t>UCHfIbq9thHPC8yrKjAdJgDA</t>
        </is>
      </c>
      <c r="O774" s="48" t="n">
        <v>45261.625</v>
      </c>
      <c r="P774" s="49" t="n">
        <v>45261</v>
      </c>
      <c r="Q774" s="47" t="n">
        <v>2494</v>
      </c>
      <c r="R774" s="47" t="inlineStr">
        <is>
          <t>No Video ID yet</t>
        </is>
      </c>
      <c r="S774" s="49" t="n"/>
      <c r="T774" s="49" t="n"/>
      <c r="U774" s="47" t="inlineStr">
        <is>
          <t>In the 208th episode of the Pop, Ben and J discuss the nuance of routine vs the discoverability of the impromptu, saying “interesting” as a filler, party interactions and shared interests, loving things UNapologetically, and a crazy dream J had. Inside Out - Interviewer of Friends UNapologetically Loving Things Block Buster 00:00 - Cold Open: Routine vs. Impromptu 9:06 - Intro: The Interesting Paradox 53:04 - Death Cat</t>
        </is>
      </c>
      <c r="V774" s="47">
        <f>IF(AND(P774&gt;=Calendar!$K$2,P774&lt;EDATE(Calendar!$K$2,1),OR(Calendar!$K$4="*",N774=Calendar!$K$4)),P774*100+COUNTIFS($P$6:$P$3267,P774,$Q$6:$Q$3267,"&lt;="&amp;Q774,$N$6:$N$3267,Calendar!$K$4),"")</f>
        <v/>
      </c>
      <c r="W774" s="47">
        <f>IF(AND(B774=Queue!$C$4,OR(Queue!$K$4="*",N774=Queue!$K$4)),Q774,"")</f>
        <v/>
      </c>
    </row>
    <row r="775">
      <c r="A775" s="38">
        <f>IF(M775="","",HYPERLINK("https://www.youtube.com/watch?v="&amp;M775,"▶"))</f>
        <v/>
      </c>
      <c r="B775" s="39">
        <f>IF(C775&lt;&gt;"",C775,IF(P775&lt;=IFERROR(INDEX(tblChannels[Watched Through],MATCH(N775,tblChannels[Channel ID],0)),0),"Watched","Unwatched"))</f>
        <v/>
      </c>
      <c r="C775" s="40" t="n"/>
      <c r="D775" s="41" t="n"/>
      <c r="E775" s="42" t="n">
        <v>45260.77083333334</v>
      </c>
      <c r="F775" s="52" t="inlineStr">
        <is>
          <t>Super Carlin Gaming</t>
        </is>
      </c>
      <c r="G775" t="inlineStr">
        <is>
          <t>It's Time To Get Raucuous | Carlin Brothers Box Breakers S8E4</t>
        </is>
      </c>
      <c r="H775" s="44" t="n">
        <v>0.02519675925925926</v>
      </c>
      <c r="I775" s="45" t="n">
        <v>1400</v>
      </c>
      <c r="J775" s="45" t="n">
        <v>74</v>
      </c>
      <c r="K775" s="45" t="n">
        <v>10</v>
      </c>
      <c r="L775" s="46" t="n"/>
      <c r="M775" s="47" t="n"/>
      <c r="N775" s="47" t="inlineStr">
        <is>
          <t>UCor_9jRnNNZVzTuQ92PKsaQ</t>
        </is>
      </c>
      <c r="O775" s="48" t="n">
        <v>45260.97916666666</v>
      </c>
      <c r="P775" s="49" t="n">
        <v>45260</v>
      </c>
      <c r="Q775" s="47" t="n">
        <v>2493</v>
      </c>
      <c r="R775" s="47" t="inlineStr">
        <is>
          <t>No Video ID yet</t>
        </is>
      </c>
      <c r="S775" s="49" t="n"/>
      <c r="T775" s="49" t="n"/>
      <c r="U775" s="47" t="n"/>
      <c r="V775" s="47">
        <f>IF(AND(P775&gt;=Calendar!$K$2,P775&lt;EDATE(Calendar!$K$2,1),OR(Calendar!$K$4="*",N775=Calendar!$K$4)),P775*100+COUNTIFS($P$6:$P$3267,P775,$Q$6:$Q$3267,"&lt;="&amp;Q775,$N$6:$N$3267,Calendar!$K$4),"")</f>
        <v/>
      </c>
      <c r="W775" s="47">
        <f>IF(AND(B775=Queue!$C$4,OR(Queue!$K$4="*",N775=Queue!$K$4)),Q775,"")</f>
        <v/>
      </c>
    </row>
    <row r="776">
      <c r="A776" s="38">
        <f>IF(M776="","",HYPERLINK("https://www.youtube.com/watch?v="&amp;M776,"▶"))</f>
        <v/>
      </c>
      <c r="B776" s="39">
        <f>IF(C776&lt;&gt;"",C776,IF(P776&lt;=IFERROR(INDEX(tblChannels[Watched Through],MATCH(N776,tblChannels[Channel ID],0)),0),"Watched","Unwatched"))</f>
        <v/>
      </c>
      <c r="C776" s="40" t="n"/>
      <c r="D776" s="41" t="n"/>
      <c r="E776" s="42" t="n">
        <v>45259.71527777778</v>
      </c>
      <c r="F776" s="50" t="inlineStr">
        <is>
          <t>Super Carlin Brothers</t>
        </is>
      </c>
      <c r="G776" t="inlineStr">
        <is>
          <t>Olaf Is Always Right?! | Frozen Disney Film Theory</t>
        </is>
      </c>
      <c r="H776" s="44" t="n">
        <v>0.01275462962962963</v>
      </c>
      <c r="I776" s="45" t="n">
        <v>71830</v>
      </c>
      <c r="J776" s="45" t="n">
        <v>4068</v>
      </c>
      <c r="K776" s="45" t="n">
        <v>265</v>
      </c>
      <c r="L776" s="46" t="n"/>
      <c r="M776" s="47" t="n"/>
      <c r="N776" s="47" t="inlineStr">
        <is>
          <t>UCKZo4N0lVPccBkSiuyVh4yg</t>
        </is>
      </c>
      <c r="O776" s="48" t="n">
        <v>45259.92361111111</v>
      </c>
      <c r="P776" s="49" t="n">
        <v>45259</v>
      </c>
      <c r="Q776" s="47" t="n">
        <v>2492</v>
      </c>
      <c r="R776" s="47" t="inlineStr">
        <is>
          <t>No Video ID yet</t>
        </is>
      </c>
      <c r="S776" s="49" t="n"/>
      <c r="T776" s="49" t="n"/>
      <c r="U776" s="47" t="inlineStr">
        <is>
          <t>Head on over to to sign up for a $1-per-month trial period. Today Ben dives into the freezing world of Frozen to find out if you can actually survive a dive into the freezing world of 20 feet of fresh powder! Plus we fact check all of Olaf’s odd bits of trivia in frozen 2. #supercarlinbrothers #Frozen</t>
        </is>
      </c>
      <c r="V776" s="47">
        <f>IF(AND(P776&gt;=Calendar!$K$2,P776&lt;EDATE(Calendar!$K$2,1),OR(Calendar!$K$4="*",N776=Calendar!$K$4)),P776*100+COUNTIFS($P$6:$P$3267,P776,$Q$6:$Q$3267,"&lt;="&amp;Q776,$N$6:$N$3267,Calendar!$K$4),"")</f>
        <v/>
      </c>
      <c r="W776" s="47">
        <f>IF(AND(B776=Queue!$C$4,OR(Queue!$K$4="*",N776=Queue!$K$4)),Q776,"")</f>
        <v/>
      </c>
    </row>
    <row r="777">
      <c r="A777" s="38">
        <f>IF(M777="","",HYPERLINK("https://www.youtube.com/watch?v="&amp;M777,"▶"))</f>
        <v/>
      </c>
      <c r="B777" s="39">
        <f>IF(C777&lt;&gt;"",C777,IF(P777&lt;=IFERROR(INDEX(tblChannels[Watched Through],MATCH(N777,tblChannels[Channel ID],0)),0),"Watched","Unwatched"))</f>
        <v/>
      </c>
      <c r="C777" s="40" t="n"/>
      <c r="D777" s="41" t="n"/>
      <c r="E777" s="42" t="n">
        <v>45256.41666666666</v>
      </c>
      <c r="F777" s="51" t="inlineStr">
        <is>
          <t>Through The Griffin Door</t>
        </is>
      </c>
      <c r="G777" t="inlineStr">
        <is>
          <t>Chapter 11: Quidditch | Philosopher's Stone</t>
        </is>
      </c>
      <c r="H777" s="44" t="n">
        <v>0.04322916666666667</v>
      </c>
      <c r="I777" s="45" t="n">
        <v>75553</v>
      </c>
      <c r="J777" s="45" t="n">
        <v>2322</v>
      </c>
      <c r="K777" s="45" t="n">
        <v>410</v>
      </c>
      <c r="L777" s="46" t="n"/>
      <c r="M777" s="47" t="n"/>
      <c r="N777" s="47" t="inlineStr">
        <is>
          <t>UCEscP6ETYXWSSvsNrDHekMQ</t>
        </is>
      </c>
      <c r="O777" s="48" t="n">
        <v>45256.625</v>
      </c>
      <c r="P777" s="49" t="n">
        <v>45256</v>
      </c>
      <c r="Q777" s="47" t="n">
        <v>2491</v>
      </c>
      <c r="R777" s="47" t="inlineStr">
        <is>
          <t>No Video ID yet</t>
        </is>
      </c>
      <c r="S777" s="49" t="n"/>
      <c r="T777" s="49" t="n"/>
      <c r="U777" s="47" t="inlineStr">
        <is>
          <t>Join J and Ben as they dive into Chapter 11 of the Philosopher’s Stone and discuss broomsticks, the connection between Quidditch and the House Cup, Hogwarts textbooks, the teachers lounge, Fluffy’s bite, Oliver’s speech, Lee’s commentary and other details of Harry’s first Quidditch match, and Hagrid’s slip up. Do Broomsticks Have Magical Cores? - Have a question you’d like answered for a future episode? Submit it here: 02:43 - Chapter Breakdown 52:33 - Closing Thoughts and Chapter Art</t>
        </is>
      </c>
      <c r="V777" s="47">
        <f>IF(AND(P777&gt;=Calendar!$K$2,P777&lt;EDATE(Calendar!$K$2,1),OR(Calendar!$K$4="*",N777=Calendar!$K$4)),P777*100+COUNTIFS($P$6:$P$3267,P777,$Q$6:$Q$3267,"&lt;="&amp;Q777,$N$6:$N$3267,Calendar!$K$4),"")</f>
        <v/>
      </c>
      <c r="W777" s="47">
        <f>IF(AND(B777=Queue!$C$4,OR(Queue!$K$4="*",N777=Queue!$K$4)),Q777,"")</f>
        <v/>
      </c>
    </row>
    <row r="778">
      <c r="A778" s="38">
        <f>IF(M778="","",HYPERLINK("https://www.youtube.com/watch?v="&amp;M778,"▶"))</f>
        <v/>
      </c>
      <c r="B778" s="39">
        <f>IF(C778&lt;&gt;"",C778,IF(P778&lt;=IFERROR(INDEX(tblChannels[Watched Through],MATCH(N778,tblChannels[Channel ID],0)),0),"Watched","Unwatched"))</f>
        <v/>
      </c>
      <c r="C778" s="40" t="n"/>
      <c r="D778" s="41" t="n"/>
      <c r="E778" s="42" t="n">
        <v>45254.625</v>
      </c>
      <c r="F778" s="52" t="inlineStr">
        <is>
          <t>Super Carlin Gaming</t>
        </is>
      </c>
      <c r="G778" t="inlineStr">
        <is>
          <t>FROM FIRST TO LAST |  Carlin Brothers Box Breakers S8E3</t>
        </is>
      </c>
      <c r="H778" s="44" t="n">
        <v>0.02700231481481482</v>
      </c>
      <c r="I778" s="45" t="n">
        <v>1848</v>
      </c>
      <c r="J778" s="45" t="n">
        <v>87</v>
      </c>
      <c r="K778" s="45" t="n">
        <v>6</v>
      </c>
      <c r="L778" s="46" t="n"/>
      <c r="M778" s="47" t="n"/>
      <c r="N778" s="47" t="inlineStr">
        <is>
          <t>UCor_9jRnNNZVzTuQ92PKsaQ</t>
        </is>
      </c>
      <c r="O778" s="48" t="n">
        <v>45254.83333333334</v>
      </c>
      <c r="P778" s="49" t="n">
        <v>45254</v>
      </c>
      <c r="Q778" s="47" t="n">
        <v>2490</v>
      </c>
      <c r="R778" s="47" t="inlineStr">
        <is>
          <t>No Video ID yet</t>
        </is>
      </c>
      <c r="S778" s="49" t="n"/>
      <c r="T778" s="49" t="n"/>
      <c r="U778" s="47" t="n"/>
      <c r="V778" s="47">
        <f>IF(AND(P778&gt;=Calendar!$K$2,P778&lt;EDATE(Calendar!$K$2,1),OR(Calendar!$K$4="*",N778=Calendar!$K$4)),P778*100+COUNTIFS($P$6:$P$3267,P778,$Q$6:$Q$3267,"&lt;="&amp;Q778,$N$6:$N$3267,Calendar!$K$4),"")</f>
        <v/>
      </c>
      <c r="W778" s="47">
        <f>IF(AND(B778=Queue!$C$4,OR(Queue!$K$4="*",N778=Queue!$K$4)),Q778,"")</f>
        <v/>
      </c>
    </row>
    <row r="779">
      <c r="A779" s="38">
        <f>IF(M779="","",HYPERLINK("https://www.youtube.com/watch?v="&amp;M779,"▶"))</f>
        <v/>
      </c>
      <c r="B779" s="39">
        <f>IF(C779&lt;&gt;"",C779,IF(P779&lt;=IFERROR(INDEX(tblChannels[Watched Through],MATCH(N779,tblChannels[Channel ID],0)),0),"Watched","Unwatched"))</f>
        <v/>
      </c>
      <c r="C779" s="40" t="n"/>
      <c r="D779" s="41" t="n"/>
      <c r="E779" s="42" t="n">
        <v>45254.41666666666</v>
      </c>
      <c r="F779" s="43" t="inlineStr">
        <is>
          <t>Popcorn Culture</t>
        </is>
      </c>
      <c r="G779" t="inlineStr">
        <is>
          <t>The Never Before Popped Special! | Popcorn Culture</t>
        </is>
      </c>
      <c r="H779" s="44" t="n">
        <v>0.05863425925925926</v>
      </c>
      <c r="I779" s="45" t="n">
        <v>4876</v>
      </c>
      <c r="J779" s="45" t="n">
        <v>226</v>
      </c>
      <c r="K779" s="45" t="n">
        <v>14</v>
      </c>
      <c r="L779" s="46" t="n"/>
      <c r="M779" s="47" t="n"/>
      <c r="N779" s="47" t="inlineStr">
        <is>
          <t>UCHfIbq9thHPC8yrKjAdJgDA</t>
        </is>
      </c>
      <c r="O779" s="48" t="n">
        <v>45254.625</v>
      </c>
      <c r="P779" s="49" t="n">
        <v>45254</v>
      </c>
      <c r="Q779" s="47" t="n">
        <v>2489</v>
      </c>
      <c r="R779" s="47" t="inlineStr">
        <is>
          <t>No Video ID yet</t>
        </is>
      </c>
      <c r="S779" s="49" t="n"/>
      <c r="T779" s="49" t="n"/>
      <c r="U779" s="47" t="inlineStr">
        <is>
          <t>This week we wanted to give everyone a little preview of what it’s like over on ye ol’ patreon with a few of the After the Final Pop episodes. If these pique your interest and you are not yet a member of our Patreon community you can sign up right here: In the 207th episode of the Pop (sort of) Ben and J discuss bubble gum, shock pens, 1,000 paper crane wishes, “favorite song” questions, Mt. Kilimanjaro/Machu Picchu/ the Great Barrier Reef, Midjourney’s confusion, potatoes, and carnival games. Blink182 - Last Mango in Paris - Come With Me Now - Imagine Dragons - 02:48 - AtFP part 1: Bubble Gum 29:39 - AtFP part 2: Wishing 57:33 - AtFP part 3: Random Proper Nouns</t>
        </is>
      </c>
      <c r="V779" s="47">
        <f>IF(AND(P779&gt;=Calendar!$K$2,P779&lt;EDATE(Calendar!$K$2,1),OR(Calendar!$K$4="*",N779=Calendar!$K$4)),P779*100+COUNTIFS($P$6:$P$3267,P779,$Q$6:$Q$3267,"&lt;="&amp;Q779,$N$6:$N$3267,Calendar!$K$4),"")</f>
        <v/>
      </c>
      <c r="W779" s="47">
        <f>IF(AND(B779=Queue!$C$4,OR(Queue!$K$4="*",N779=Queue!$K$4)),Q779,"")</f>
        <v/>
      </c>
    </row>
    <row r="780">
      <c r="A780" s="38">
        <f>IF(M780="","",HYPERLINK("https://www.youtube.com/watch?v="&amp;M780,"▶"))</f>
        <v/>
      </c>
      <c r="B780" s="39">
        <f>IF(C780&lt;&gt;"",C780,IF(P780&lt;=IFERROR(INDEX(tblChannels[Watched Through],MATCH(N780,tblChannels[Channel ID],0)),0),"Watched","Unwatched"))</f>
        <v/>
      </c>
      <c r="C780" s="40" t="n"/>
      <c r="D780" s="41" t="n"/>
      <c r="E780" s="42" t="n">
        <v>45253.625</v>
      </c>
      <c r="F780" s="50" t="inlineStr">
        <is>
          <t>Super Carlin Brothers</t>
        </is>
      </c>
      <c r="G780" t="inlineStr">
        <is>
          <t>J vs Ben: HOTTEST Goblet of Fire Harry Potter Trivia Quiz EVER</t>
        </is>
      </c>
      <c r="H780" s="44" t="n">
        <v>0.03104166666666667</v>
      </c>
      <c r="I780" s="45" t="n">
        <v>208257</v>
      </c>
      <c r="J780" s="45" t="n">
        <v>7393</v>
      </c>
      <c r="K780" s="45" t="n">
        <v>685</v>
      </c>
      <c r="L780" s="46" t="n"/>
      <c r="M780" s="47" t="n"/>
      <c r="N780" s="47" t="inlineStr">
        <is>
          <t>UCKZo4N0lVPccBkSiuyVh4yg</t>
        </is>
      </c>
      <c r="O780" s="48" t="n">
        <v>45253.83333333334</v>
      </c>
      <c r="P780" s="49" t="n">
        <v>45253</v>
      </c>
      <c r="Q780" s="47" t="n">
        <v>2488</v>
      </c>
      <c r="R780" s="47" t="inlineStr">
        <is>
          <t>No Video ID yet</t>
        </is>
      </c>
      <c r="S780" s="49" t="n"/>
      <c r="T780" s="49" t="n"/>
      <c r="U780" s="47" t="inlineStr">
        <is>
          <t xml:space="preserve">Go to to get 25% off your first order and free shipping. Use my link to get up to 30% off through December 20th and enter free for a chance to win a Ridge bundle worth $4,000. Video Sponsored by Ridge. Happy Thanksgiving! As is the tradition around here Ben and J are taking on another Goblet of Fire Quiz and punishing themselves with Hot Wings for wrong answers. This Years Sauce (enjoy at your own risk) Taco Vibes Only :: 02:40 - Q1: What happened when Voldemort and Harry's spells connected? 03:47 - Q2: What is the date of the second task? 06:58 - Q3: What is Rita Skeeter's handbag made of? 08:08 - Q4: What does Ron suggest Hermione change SPEW to? 09:40 - Q5: What plant does the class have to extract pus from? 11:26 - Q6: What prize did Ron win because of the Niffler? 12:55 - Q7: What was the headline for Harry's Witch Weekly article? 16:20 - Q8: What did the twins fake wands turn into? 19:16 - Q9: Who did Arthur borrow the tent from? 27:02 - Q10: Who asked Angelina to the Yule Ball? 28:33 - Q11: What color does the potion turn after Wormtail adds Harry's blood? 32:09 - Q12: When did the other two schools come to Hogwarts? 36:13 - Q13: What sustained Voldemort while at the Riddle </t>
        </is>
      </c>
      <c r="V780" s="47">
        <f>IF(AND(P780&gt;=Calendar!$K$2,P780&lt;EDATE(Calendar!$K$2,1),OR(Calendar!$K$4="*",N780=Calendar!$K$4)),P780*100+COUNTIFS($P$6:$P$3267,P780,$Q$6:$Q$3267,"&lt;="&amp;Q780,$N$6:$N$3267,Calendar!$K$4),"")</f>
        <v/>
      </c>
      <c r="W780" s="47">
        <f>IF(AND(B780=Queue!$C$4,OR(Queue!$K$4="*",N780=Queue!$K$4)),Q780,"")</f>
        <v/>
      </c>
    </row>
    <row r="781">
      <c r="A781" s="38">
        <f>IF(M781="","",HYPERLINK("https://www.youtube.com/watch?v="&amp;M781,"▶"))</f>
        <v/>
      </c>
      <c r="B781" s="39">
        <f>IF(C781&lt;&gt;"",C781,IF(P781&lt;=IFERROR(INDEX(tblChannels[Watched Through],MATCH(N781,tblChannels[Channel ID],0)),0),"Watched","Unwatched"))</f>
        <v/>
      </c>
      <c r="C781" s="40" t="n"/>
      <c r="D781" s="41" t="n"/>
      <c r="E781" s="42" t="n">
        <v>45252.74513888889</v>
      </c>
      <c r="F781" s="50" t="inlineStr">
        <is>
          <t>Super Carlin Brothers</t>
        </is>
      </c>
      <c r="G781" t="inlineStr">
        <is>
          <t>What If Fudge Had BELIEVED Harry? | Harry Potter Film Theory</t>
        </is>
      </c>
      <c r="H781" s="44" t="n">
        <v>0.01386574074074074</v>
      </c>
      <c r="I781" s="45" t="n">
        <v>397507</v>
      </c>
      <c r="J781" s="45" t="n">
        <v>11933</v>
      </c>
      <c r="K781" s="45" t="n">
        <v>891</v>
      </c>
      <c r="L781" s="46" t="n"/>
      <c r="M781" s="47" t="n"/>
      <c r="N781" s="47" t="inlineStr">
        <is>
          <t>UCKZo4N0lVPccBkSiuyVh4yg</t>
        </is>
      </c>
      <c r="O781" s="48" t="n">
        <v>45252.95347222222</v>
      </c>
      <c r="P781" s="49" t="n">
        <v>45252</v>
      </c>
      <c r="Q781" s="47" t="n">
        <v>2487</v>
      </c>
      <c r="R781" s="47" t="inlineStr">
        <is>
          <t>No Video ID yet</t>
        </is>
      </c>
      <c r="S781" s="49" t="n"/>
      <c r="T781" s="49" t="n"/>
      <c r="U781" s="47" t="inlineStr">
        <is>
          <t>Head on over to to get 15% off! Today J dives into the Wizarding World of Harry Potter to discover what WOULD have happened if Cornelius Fudge had just believed Harry at the end of Goblet of Fire that Voldemort was back?!</t>
        </is>
      </c>
      <c r="V781" s="47">
        <f>IF(AND(P781&gt;=Calendar!$K$2,P781&lt;EDATE(Calendar!$K$2,1),OR(Calendar!$K$4="*",N781=Calendar!$K$4)),P781*100+COUNTIFS($P$6:$P$3267,P781,$Q$6:$Q$3267,"&lt;="&amp;Q781,$N$6:$N$3267,Calendar!$K$4),"")</f>
        <v/>
      </c>
      <c r="W781" s="47">
        <f>IF(AND(B781=Queue!$C$4,OR(Queue!$K$4="*",N781=Queue!$K$4)),Q781,"")</f>
        <v/>
      </c>
    </row>
    <row r="782">
      <c r="A782" s="38">
        <f>IF(M782="","",HYPERLINK("https://www.youtube.com/watch?v="&amp;M782,"▶"))</f>
        <v/>
      </c>
      <c r="B782" s="39">
        <f>IF(C782&lt;&gt;"",C782,IF(P782&lt;=IFERROR(INDEX(tblChannels[Watched Through],MATCH(N782,tblChannels[Channel ID],0)),0),"Watched","Unwatched"))</f>
        <v/>
      </c>
      <c r="C782" s="40" t="n"/>
      <c r="D782" s="41" t="n"/>
      <c r="E782" s="42" t="n">
        <v>45249.41666666666</v>
      </c>
      <c r="F782" s="51" t="inlineStr">
        <is>
          <t>Through The Griffin Door</t>
        </is>
      </c>
      <c r="G782" t="inlineStr">
        <is>
          <t>Chapter 10: Halloween | Philosopher's Stone</t>
        </is>
      </c>
      <c r="H782" s="44" t="n">
        <v>0.04549768518518518</v>
      </c>
      <c r="I782" s="45" t="n">
        <v>81905</v>
      </c>
      <c r="J782" s="45" t="n">
        <v>2423</v>
      </c>
      <c r="K782" s="45" t="n">
        <v>493</v>
      </c>
      <c r="L782" s="46" t="n"/>
      <c r="M782" s="47" t="n"/>
      <c r="N782" s="47" t="inlineStr">
        <is>
          <t>UCEscP6ETYXWSSvsNrDHekMQ</t>
        </is>
      </c>
      <c r="O782" s="48" t="n">
        <v>45249.625</v>
      </c>
      <c r="P782" s="49" t="n">
        <v>45249</v>
      </c>
      <c r="Q782" s="47" t="n">
        <v>2486</v>
      </c>
      <c r="R782" s="47" t="inlineStr">
        <is>
          <t>No Video ID yet</t>
        </is>
      </c>
      <c r="S782" s="49" t="n"/>
      <c r="T782" s="49" t="n"/>
      <c r="U782" s="47" t="inlineStr">
        <is>
          <t>Join J and Ben as they dive into Chapter 10 of the Philosopher’s Stone and discuss end of the midnight duel, the Nimbus 2000, wizard’s shocking lack of knowledge on muggle sports, the mechanics of Quidditch, professional Quidditch, Baruffio the Wizard, social life development, Quirrell and the troll, fighting the troll, convoluted points system and the golden trio being formed. Have a question you’d like answered for a future episode? Submit it here:</t>
        </is>
      </c>
      <c r="V782" s="47">
        <f>IF(AND(P782&gt;=Calendar!$K$2,P782&lt;EDATE(Calendar!$K$2,1),OR(Calendar!$K$4="*",N782=Calendar!$K$4)),P782*100+COUNTIFS($P$6:$P$3267,P782,$Q$6:$Q$3267,"&lt;="&amp;Q782,$N$6:$N$3267,Calendar!$K$4),"")</f>
        <v/>
      </c>
      <c r="W782" s="47">
        <f>IF(AND(B782=Queue!$C$4,OR(Queue!$K$4="*",N782=Queue!$K$4)),Q782,"")</f>
        <v/>
      </c>
    </row>
    <row r="783">
      <c r="A783" s="38">
        <f>IF(M783="","",HYPERLINK("https://www.youtube.com/watch?v="&amp;M783,"▶"))</f>
        <v/>
      </c>
      <c r="B783" s="39">
        <f>IF(C783&lt;&gt;"",C783,IF(P783&lt;=IFERROR(INDEX(tblChannels[Watched Through],MATCH(N783,tblChannels[Channel ID],0)),0),"Watched","Unwatched"))</f>
        <v/>
      </c>
      <c r="C783" s="40" t="n"/>
      <c r="D783" s="41" t="n"/>
      <c r="E783" s="42" t="n">
        <v>45249.29166666666</v>
      </c>
      <c r="F783" s="50" t="inlineStr">
        <is>
          <t>Super Carlin Brothers</t>
        </is>
      </c>
      <c r="G783" t="inlineStr">
        <is>
          <t>Through the Griffin Door Supercut: Chapter 7-9 | Philosopher’s Stone</t>
        </is>
      </c>
      <c r="H783" s="44" t="n">
        <v>0.1408680555555556</v>
      </c>
      <c r="I783" s="45" t="n">
        <v>142237</v>
      </c>
      <c r="J783" s="45" t="n">
        <v>1434</v>
      </c>
      <c r="K783" s="45" t="n">
        <v>287</v>
      </c>
      <c r="L783" s="46" t="n"/>
      <c r="M783" s="47" t="n"/>
      <c r="N783" s="47" t="inlineStr">
        <is>
          <t>UCKZo4N0lVPccBkSiuyVh4yg</t>
        </is>
      </c>
      <c r="O783" s="48" t="n">
        <v>45249.5</v>
      </c>
      <c r="P783" s="49" t="n">
        <v>45249</v>
      </c>
      <c r="Q783" s="47" t="n">
        <v>2485</v>
      </c>
      <c r="R783" s="47" t="inlineStr">
        <is>
          <t>No Video ID yet</t>
        </is>
      </c>
      <c r="S783" s="49" t="n"/>
      <c r="T783" s="49" t="n"/>
      <c r="U783" s="47" t="inlineStr">
        <is>
          <t>Join J and Ben as they embark on their newest endeavor: rereading the Harry Potter series in this chapter by chapter recap podcast! We hope you enjoy all the Harry Potter goodness that this podcast will bring. Come along as we go Through the Griffin Door. 00:00:00 Introduction 00:00:44 Chapter 7: The Sorting Hat 01:09:39 Chapter 8: The Potions Master 02:08:05 Chapter 9: The Midnight Duel #supercarlinbrothers #HarryPotter #ThroughTheGriffinDoor</t>
        </is>
      </c>
      <c r="V783" s="47">
        <f>IF(AND(P783&gt;=Calendar!$K$2,P783&lt;EDATE(Calendar!$K$2,1),OR(Calendar!$K$4="*",N783=Calendar!$K$4)),P783*100+COUNTIFS($P$6:$P$3267,P783,$Q$6:$Q$3267,"&lt;="&amp;Q783,$N$6:$N$3267,Calendar!$K$4),"")</f>
        <v/>
      </c>
      <c r="W783" s="47">
        <f>IF(AND(B783=Queue!$C$4,OR(Queue!$K$4="*",N783=Queue!$K$4)),Q783,"")</f>
        <v/>
      </c>
    </row>
    <row r="784">
      <c r="A784" s="38">
        <f>IF(M784="","",HYPERLINK("https://www.youtube.com/watch?v="&amp;M784,"▶"))</f>
        <v/>
      </c>
      <c r="B784" s="39">
        <f>IF(C784&lt;&gt;"",C784,IF(P784&lt;=IFERROR(INDEX(tblChannels[Watched Through],MATCH(N784,tblChannels[Channel ID],0)),0),"Watched","Unwatched"))</f>
        <v/>
      </c>
      <c r="C784" s="40" t="n"/>
      <c r="D784" s="41" t="n"/>
      <c r="E784" s="42" t="n">
        <v>45248.625</v>
      </c>
      <c r="F784" s="50" t="inlineStr">
        <is>
          <t>Super Carlin Brothers</t>
        </is>
      </c>
      <c r="G784" t="inlineStr">
        <is>
          <t>The Ballad Of Songbirds and Snakes REVIEW | Hunger Games</t>
        </is>
      </c>
      <c r="H784" s="44" t="n">
        <v>0.04175925925925926</v>
      </c>
      <c r="I784" s="45" t="n">
        <v>158908</v>
      </c>
      <c r="J784" s="45" t="n">
        <v>4554</v>
      </c>
      <c r="K784" s="45" t="n">
        <v>528</v>
      </c>
      <c r="L784" s="46" t="n"/>
      <c r="M784" s="47" t="n"/>
      <c r="N784" s="47" t="inlineStr">
        <is>
          <t>UCKZo4N0lVPccBkSiuyVh4yg</t>
        </is>
      </c>
      <c r="O784" s="48" t="n">
        <v>45248.83333333334</v>
      </c>
      <c r="P784" s="49" t="n">
        <v>45248</v>
      </c>
      <c r="Q784" s="47" t="n">
        <v>2484</v>
      </c>
      <c r="R784" s="47" t="inlineStr">
        <is>
          <t>No Video ID yet</t>
        </is>
      </c>
      <c r="S784" s="49" t="n"/>
      <c r="T784" s="49" t="n"/>
      <c r="U784" s="47" t="inlineStr">
        <is>
          <t>Today J and Ben dive into the world of Panem to give their full spoiler review of the newest Hunger Games movie: The Ballad of Songbirds and Snakes.</t>
        </is>
      </c>
      <c r="V784" s="47">
        <f>IF(AND(P784&gt;=Calendar!$K$2,P784&lt;EDATE(Calendar!$K$2,1),OR(Calendar!$K$4="*",N784=Calendar!$K$4)),P784*100+COUNTIFS($P$6:$P$3267,P784,$Q$6:$Q$3267,"&lt;="&amp;Q784,$N$6:$N$3267,Calendar!$K$4),"")</f>
        <v/>
      </c>
      <c r="W784" s="47">
        <f>IF(AND(B784=Queue!$C$4,OR(Queue!$K$4="*",N784=Queue!$K$4)),Q784,"")</f>
        <v/>
      </c>
    </row>
    <row r="785">
      <c r="A785" s="38">
        <f>IF(M785="","",HYPERLINK("https://www.youtube.com/watch?v="&amp;M785,"▶"))</f>
        <v/>
      </c>
      <c r="B785" s="39">
        <f>IF(C785&lt;&gt;"",C785,IF(P785&lt;=IFERROR(INDEX(tblChannels[Watched Through],MATCH(N785,tblChannels[Channel ID],0)),0),"Watched","Unwatched"))</f>
        <v/>
      </c>
      <c r="C785" s="40" t="n"/>
      <c r="D785" s="41" t="n"/>
      <c r="E785" s="42" t="n">
        <v>45247.84583333333</v>
      </c>
      <c r="F785" s="50" t="inlineStr">
        <is>
          <t>Super Carlin Brothers</t>
        </is>
      </c>
      <c r="G785" t="inlineStr">
        <is>
          <t>ALL FANDOM TRIVIA! 11/17/2023</t>
        </is>
      </c>
      <c r="H785" s="44" t="n">
        <v>0.0915162037037037</v>
      </c>
      <c r="I785" s="45" t="n">
        <v>23488</v>
      </c>
      <c r="J785" s="45" t="n">
        <v>712</v>
      </c>
      <c r="K785" s="45" t="n">
        <v>42</v>
      </c>
      <c r="L785" s="46" t="n"/>
      <c r="M785" s="47" t="n"/>
      <c r="N785" s="47" t="inlineStr">
        <is>
          <t>UCKZo4N0lVPccBkSiuyVh4yg</t>
        </is>
      </c>
      <c r="O785" s="48" t="n">
        <v>45248.05416666667</v>
      </c>
      <c r="P785" s="49" t="n">
        <v>45247</v>
      </c>
      <c r="Q785" s="47" t="n">
        <v>2483</v>
      </c>
      <c r="R785" s="47" t="inlineStr">
        <is>
          <t>No Video ID yet</t>
        </is>
      </c>
      <c r="S785" s="49" t="n"/>
      <c r="T785" s="49" t="n"/>
      <c r="U785" s="47" t="inlineStr">
        <is>
          <t>SUPER MUGS AVAILABLE NOW WHILE SUPPLIES LAST:</t>
        </is>
      </c>
      <c r="V785" s="47">
        <f>IF(AND(P785&gt;=Calendar!$K$2,P785&lt;EDATE(Calendar!$K$2,1),OR(Calendar!$K$4="*",N785=Calendar!$K$4)),P785*100+COUNTIFS($P$6:$P$3267,P785,$Q$6:$Q$3267,"&lt;="&amp;Q785,$N$6:$N$3267,Calendar!$K$4),"")</f>
        <v/>
      </c>
      <c r="W785" s="47">
        <f>IF(AND(B785=Queue!$C$4,OR(Queue!$K$4="*",N785=Queue!$K$4)),Q785,"")</f>
        <v/>
      </c>
    </row>
    <row r="786">
      <c r="A786" s="38">
        <f>IF(M786="","",HYPERLINK("https://www.youtube.com/watch?v="&amp;M786,"▶"))</f>
        <v/>
      </c>
      <c r="B786" s="39">
        <f>IF(C786&lt;&gt;"",C786,IF(P786&lt;=IFERROR(INDEX(tblChannels[Watched Through],MATCH(N786,tblChannels[Channel ID],0)),0),"Watched","Unwatched"))</f>
        <v/>
      </c>
      <c r="C786" s="40" t="n"/>
      <c r="D786" s="41" t="n"/>
      <c r="E786" s="42" t="n">
        <v>45247.8125</v>
      </c>
      <c r="F786" s="52" t="inlineStr">
        <is>
          <t>Super Carlin Gaming</t>
        </is>
      </c>
      <c r="G786" t="inlineStr">
        <is>
          <t>Critical Hits Galore! | Carlin Brothers Box Breakers S8E2</t>
        </is>
      </c>
      <c r="H786" s="44" t="n">
        <v>0.02615740740740741</v>
      </c>
      <c r="I786" s="45" t="n">
        <v>1578</v>
      </c>
      <c r="J786" s="45" t="n">
        <v>84</v>
      </c>
      <c r="K786" s="45" t="n">
        <v>7</v>
      </c>
      <c r="L786" s="46" t="n"/>
      <c r="M786" s="47" t="n"/>
      <c r="N786" s="47" t="inlineStr">
        <is>
          <t>UCor_9jRnNNZVzTuQ92PKsaQ</t>
        </is>
      </c>
      <c r="O786" s="48" t="n">
        <v>45248.02083333334</v>
      </c>
      <c r="P786" s="49" t="n">
        <v>45247</v>
      </c>
      <c r="Q786" s="47" t="n">
        <v>2482</v>
      </c>
      <c r="R786" s="47" t="inlineStr">
        <is>
          <t>No Video ID yet</t>
        </is>
      </c>
      <c r="S786" s="49" t="n"/>
      <c r="T786" s="49" t="n"/>
      <c r="U786" s="47" t="inlineStr">
        <is>
          <t>In this episode Paradox Rift continues to deliver the legendary goods</t>
        </is>
      </c>
      <c r="V786" s="47">
        <f>IF(AND(P786&gt;=Calendar!$K$2,P786&lt;EDATE(Calendar!$K$2,1),OR(Calendar!$K$4="*",N786=Calendar!$K$4)),P786*100+COUNTIFS($P$6:$P$3267,P786,$Q$6:$Q$3267,"&lt;="&amp;Q786,$N$6:$N$3267,Calendar!$K$4),"")</f>
        <v/>
      </c>
      <c r="W786" s="47">
        <f>IF(AND(B786=Queue!$C$4,OR(Queue!$K$4="*",N786=Queue!$K$4)),Q786,"")</f>
        <v/>
      </c>
    </row>
    <row r="787">
      <c r="A787" s="38">
        <f>IF(M787="","",HYPERLINK("https://www.youtube.com/watch?v="&amp;M787,"▶"))</f>
        <v/>
      </c>
      <c r="B787" s="39">
        <f>IF(C787&lt;&gt;"",C787,IF(P787&lt;=IFERROR(INDEX(tblChannels[Watched Through],MATCH(N787,tblChannels[Channel ID],0)),0),"Watched","Unwatched"))</f>
        <v/>
      </c>
      <c r="C787" s="40" t="n"/>
      <c r="D787" s="41" t="n"/>
      <c r="E787" s="42" t="n">
        <v>45247.71458333333</v>
      </c>
      <c r="F787" s="50" t="inlineStr">
        <is>
          <t>Super Carlin Brothers</t>
        </is>
      </c>
      <c r="G787" t="inlineStr">
        <is>
          <t>Riley's SECRET 10th Emotion | Inside Out Pixar Film Theory</t>
        </is>
      </c>
      <c r="H787" s="44" t="n">
        <v>0.01189814814814815</v>
      </c>
      <c r="I787" s="45" t="n">
        <v>128510</v>
      </c>
      <c r="J787" s="45" t="n">
        <v>5689</v>
      </c>
      <c r="K787" s="45" t="n">
        <v>523</v>
      </c>
      <c r="L787" s="46" t="n"/>
      <c r="M787" s="47" t="n"/>
      <c r="N787" s="47" t="inlineStr">
        <is>
          <t>UCKZo4N0lVPccBkSiuyVh4yg</t>
        </is>
      </c>
      <c r="O787" s="48" t="n">
        <v>45247.92291666667</v>
      </c>
      <c r="P787" s="49" t="n">
        <v>45247</v>
      </c>
      <c r="Q787" s="47" t="n">
        <v>2481</v>
      </c>
      <c r="R787" s="47" t="inlineStr">
        <is>
          <t>No Video ID yet</t>
        </is>
      </c>
      <c r="S787" s="49" t="n"/>
      <c r="T787" s="49" t="n"/>
      <c r="U787" s="47" t="inlineStr">
        <is>
          <t>Go to to get 20% off your first monthly box. Today Ben dives into the world of Pixar's Inside Out to try and uncover if Riley will have a secret 10th emotion missing from the first Inside Out 2 teaser trailer! Who could it be? Trust? Pride? Love? Hope?</t>
        </is>
      </c>
      <c r="V787" s="47">
        <f>IF(AND(P787&gt;=Calendar!$K$2,P787&lt;EDATE(Calendar!$K$2,1),OR(Calendar!$K$4="*",N787=Calendar!$K$4)),P787*100+COUNTIFS($P$6:$P$3267,P787,$Q$6:$Q$3267,"&lt;="&amp;Q787,$N$6:$N$3267,Calendar!$K$4),"")</f>
        <v/>
      </c>
      <c r="W787" s="47">
        <f>IF(AND(B787=Queue!$C$4,OR(Queue!$K$4="*",N787=Queue!$K$4)),Q787,"")</f>
        <v/>
      </c>
    </row>
    <row r="788">
      <c r="A788" s="38">
        <f>IF(M788="","",HYPERLINK("https://www.youtube.com/watch?v="&amp;M788,"▶"))</f>
        <v/>
      </c>
      <c r="B788" s="39">
        <f>IF(C788&lt;&gt;"",C788,IF(P788&lt;=IFERROR(INDEX(tblChannels[Watched Through],MATCH(N788,tblChannels[Channel ID],0)),0),"Watched","Unwatched"))</f>
        <v/>
      </c>
      <c r="C788" s="40" t="n"/>
      <c r="D788" s="41" t="n"/>
      <c r="E788" s="42" t="n">
        <v>45247.41666666666</v>
      </c>
      <c r="F788" s="43" t="inlineStr">
        <is>
          <t>Popcorn Culture</t>
        </is>
      </c>
      <c r="G788" t="inlineStr">
        <is>
          <t>Dopamine Detox | Popcorn Culture</t>
        </is>
      </c>
      <c r="H788" s="44" t="n">
        <v>0.0458912037037037</v>
      </c>
      <c r="I788" s="45" t="n">
        <v>4283</v>
      </c>
      <c r="J788" s="45" t="n">
        <v>232</v>
      </c>
      <c r="K788" s="45" t="n">
        <v>11</v>
      </c>
      <c r="L788" s="46" t="n"/>
      <c r="M788" s="47" t="n"/>
      <c r="N788" s="47" t="inlineStr">
        <is>
          <t>UCHfIbq9thHPC8yrKjAdJgDA</t>
        </is>
      </c>
      <c r="O788" s="48" t="n">
        <v>45247.625</v>
      </c>
      <c r="P788" s="49" t="n">
        <v>45247</v>
      </c>
      <c r="Q788" s="47" t="n">
        <v>2480</v>
      </c>
      <c r="R788" s="47" t="inlineStr">
        <is>
          <t>No Video ID yet</t>
        </is>
      </c>
      <c r="S788" s="49" t="n"/>
      <c r="T788" s="49" t="n"/>
      <c r="U788" s="47" t="inlineStr">
        <is>
          <t>In the 206th episode of the Pop, Ben and J discuss downhill mountain biking, breaking the dopamine habit, the SAG-AFTRA strike, Instagram Ads, and notification checklists. Dopamine Nation - The Dark Knight - The Lego Batman Movie - Downhill Biking We’re Doing Our Best 00:00 - Intro, Mountain Biking 17:35 - Dopamine</t>
        </is>
      </c>
      <c r="V788" s="47">
        <f>IF(AND(P788&gt;=Calendar!$K$2,P788&lt;EDATE(Calendar!$K$2,1),OR(Calendar!$K$4="*",N788=Calendar!$K$4)),P788*100+COUNTIFS($P$6:$P$3267,P788,$Q$6:$Q$3267,"&lt;="&amp;Q788,$N$6:$N$3267,Calendar!$K$4),"")</f>
        <v/>
      </c>
      <c r="W788" s="47">
        <f>IF(AND(B788=Queue!$C$4,OR(Queue!$K$4="*",N788=Queue!$K$4)),Q788,"")</f>
        <v/>
      </c>
    </row>
    <row r="789">
      <c r="A789" s="38">
        <f>IF(M789="","",HYPERLINK("https://www.youtube.com/watch?v="&amp;M789,"▶"))</f>
        <v/>
      </c>
      <c r="B789" s="39">
        <f>IF(C789&lt;&gt;"",C789,IF(P789&lt;=IFERROR(INDEX(tblChannels[Watched Through],MATCH(N789,tblChannels[Channel ID],0)),0),"Watched","Unwatched"))</f>
        <v/>
      </c>
      <c r="C789" s="40" t="n"/>
      <c r="D789" s="41" t="n"/>
      <c r="E789" s="42" t="n">
        <v>45246.67986111111</v>
      </c>
      <c r="F789" s="50" t="inlineStr">
        <is>
          <t>Super Carlin Brothers</t>
        </is>
      </c>
      <c r="G789" t="inlineStr">
        <is>
          <t>TOP 4 Songbirds &amp; Snakes Theories | Hunger Games Film Theory</t>
        </is>
      </c>
      <c r="H789" s="44" t="n">
        <v>0.07217592592592592</v>
      </c>
      <c r="I789" s="45" t="n">
        <v>367424</v>
      </c>
      <c r="J789" s="45" t="n">
        <v>7606</v>
      </c>
      <c r="K789" s="45" t="n">
        <v>637</v>
      </c>
      <c r="L789" s="46" t="n"/>
      <c r="M789" s="47" t="n"/>
      <c r="N789" s="47" t="inlineStr">
        <is>
          <t>UCKZo4N0lVPccBkSiuyVh4yg</t>
        </is>
      </c>
      <c r="O789" s="48" t="n">
        <v>45246.88819444444</v>
      </c>
      <c r="P789" s="49" t="n">
        <v>45246</v>
      </c>
      <c r="Q789" s="47" t="n">
        <v>2479</v>
      </c>
      <c r="R789" s="47" t="inlineStr">
        <is>
          <t>No Video ID yet</t>
        </is>
      </c>
      <c r="S789" s="49" t="n"/>
      <c r="T789" s="49" t="n"/>
      <c r="U789" s="47" t="inlineStr">
        <is>
          <t>In celebration of the Ballad of Songbirds and Snakes hitting theaters we put together a Super Cut of all our TOP Hunger Games theories for your viewing pleasure! Is Coin Pulling the strings on everything? Is Lucy Gray related to Katniss? Is Lucy Grey COIN herself? 00:00:00 Introduction 00:00:14 Is Katniss Related to Lucy Gray? 00:17:33 Why Did Tigris Betray Snow? 00:33:48 Is Coin Lucy Gray? 00:52:58 Coin's Big Plan!</t>
        </is>
      </c>
      <c r="V789" s="47">
        <f>IF(AND(P789&gt;=Calendar!$K$2,P789&lt;EDATE(Calendar!$K$2,1),OR(Calendar!$K$4="*",N789=Calendar!$K$4)),P789*100+COUNTIFS($P$6:$P$3267,P789,$Q$6:$Q$3267,"&lt;="&amp;Q789,$N$6:$N$3267,Calendar!$K$4),"")</f>
        <v/>
      </c>
      <c r="W789" s="47">
        <f>IF(AND(B789=Queue!$C$4,OR(Queue!$K$4="*",N789=Queue!$K$4)),Q789,"")</f>
        <v/>
      </c>
    </row>
    <row r="790">
      <c r="A790" s="38">
        <f>IF(M790="","",HYPERLINK("https://www.youtube.com/watch?v="&amp;M790,"▶"))</f>
        <v/>
      </c>
      <c r="B790" s="39">
        <f>IF(C790&lt;&gt;"",C790,IF(P790&lt;=IFERROR(INDEX(tblChannels[Watched Through],MATCH(N790,tblChannels[Channel ID],0)),0),"Watched","Unwatched"))</f>
        <v/>
      </c>
      <c r="C790" s="40" t="n"/>
      <c r="D790" s="41" t="n"/>
      <c r="E790" s="42" t="n">
        <v>45245.73611111111</v>
      </c>
      <c r="F790" s="50" t="inlineStr">
        <is>
          <t>Super Carlin Brothers</t>
        </is>
      </c>
      <c r="G790" t="inlineStr">
        <is>
          <t>Why Don’t Riley’s Parents Have ANXIETY?! | Inside Out Pixar Film Theory</t>
        </is>
      </c>
      <c r="H790" s="44" t="n">
        <v>0.009328703703703704</v>
      </c>
      <c r="I790" s="45" t="n">
        <v>218050</v>
      </c>
      <c r="J790" s="45" t="n">
        <v>8908</v>
      </c>
      <c r="K790" s="45" t="n">
        <v>701</v>
      </c>
      <c r="L790" s="46" t="n"/>
      <c r="M790" s="47" t="n"/>
      <c r="N790" s="47" t="inlineStr">
        <is>
          <t>UCKZo4N0lVPccBkSiuyVh4yg</t>
        </is>
      </c>
      <c r="O790" s="48" t="n">
        <v>45245.94444444445</v>
      </c>
      <c r="P790" s="49" t="n">
        <v>45245</v>
      </c>
      <c r="Q790" s="47" t="n">
        <v>2478</v>
      </c>
      <c r="R790" s="47" t="inlineStr">
        <is>
          <t>No Video ID yet</t>
        </is>
      </c>
      <c r="S790" s="49" t="n"/>
      <c r="T790" s="49" t="n"/>
      <c r="U790" s="47" t="inlineStr">
        <is>
          <t>Head on over to and use code super50 to get 50% off. This episode is sponsored by BetterHelp - go to to get started today! Today J dives into the expansive world of Pixar’s Inside Out to answer the question: Why don't Riley’s parents have Anxiety?! Or any of the other new emotions revealed in the new Inside Out 2 Teaser Trailer?! Ennui? Jealousy? Embarrassment?! #supercarlinbrothers #Pixar #InsideOut2</t>
        </is>
      </c>
      <c r="V790" s="47">
        <f>IF(AND(P790&gt;=Calendar!$K$2,P790&lt;EDATE(Calendar!$K$2,1),OR(Calendar!$K$4="*",N790=Calendar!$K$4)),P790*100+COUNTIFS($P$6:$P$3267,P790,$Q$6:$Q$3267,"&lt;="&amp;Q790,$N$6:$N$3267,Calendar!$K$4),"")</f>
        <v/>
      </c>
      <c r="W790" s="47">
        <f>IF(AND(B790=Queue!$C$4,OR(Queue!$K$4="*",N790=Queue!$K$4)),Q790,"")</f>
        <v/>
      </c>
    </row>
    <row r="791">
      <c r="A791" s="38">
        <f>IF(M791="","",HYPERLINK("https://www.youtube.com/watch?v="&amp;M791,"▶"))</f>
        <v/>
      </c>
      <c r="B791" s="39">
        <f>IF(C791&lt;&gt;"",C791,IF(P791&lt;=IFERROR(INDEX(tblChannels[Watched Through],MATCH(N791,tblChannels[Channel ID],0)),0),"Watched","Unwatched"))</f>
        <v/>
      </c>
      <c r="C791" s="40" t="n"/>
      <c r="D791" s="41" t="n"/>
      <c r="E791" s="42" t="n">
        <v>45242.41666666666</v>
      </c>
      <c r="F791" s="51" t="inlineStr">
        <is>
          <t>Through The Griffin Door</t>
        </is>
      </c>
      <c r="G791" t="inlineStr">
        <is>
          <t>Chapter 9: The Midnight Duel | Philosopher's Stone</t>
        </is>
      </c>
      <c r="H791" s="44" t="n">
        <v>0.05215277777777778</v>
      </c>
      <c r="I791" s="45" t="n">
        <v>90265</v>
      </c>
      <c r="J791" s="45" t="n">
        <v>2675</v>
      </c>
      <c r="K791" s="45" t="n">
        <v>641</v>
      </c>
      <c r="L791" s="46" t="n"/>
      <c r="M791" s="47" t="n"/>
      <c r="N791" s="47" t="inlineStr">
        <is>
          <t>UCEscP6ETYXWSSvsNrDHekMQ</t>
        </is>
      </c>
      <c r="O791" s="48" t="n">
        <v>45242.625</v>
      </c>
      <c r="P791" s="49" t="n">
        <v>45242</v>
      </c>
      <c r="Q791" s="47" t="n">
        <v>2477</v>
      </c>
      <c r="R791" s="47" t="inlineStr">
        <is>
          <t>No Video ID yet</t>
        </is>
      </c>
      <c r="S791" s="49" t="n"/>
      <c r="T791" s="49" t="n"/>
      <c r="U791" s="47" t="inlineStr">
        <is>
          <t>Join J and Ben as they dive into Chapter 9 of the Philosopher’s Stone and discuss the threat of expulsion, soccer, student math, Madam Hooch, Harry’s first time on a broom, Wood, Quirrell’s iguana, Quidditch, duels, past and present character parallels, the Bat Bogey Hex, Hermione’s classic line and Squibs interaction with magical things. The Youngest Quidditch Player - What If Sirius Took Harry As A Baby? - Have a question you’d like answered for a future episode? Submit it here: 2:03 - Chapter Breakdown 1:00:45 - Closing Thoughts and Chapter Art</t>
        </is>
      </c>
      <c r="V791" s="47">
        <f>IF(AND(P791&gt;=Calendar!$K$2,P791&lt;EDATE(Calendar!$K$2,1),OR(Calendar!$K$4="*",N791=Calendar!$K$4)),P791*100+COUNTIFS($P$6:$P$3267,P791,$Q$6:$Q$3267,"&lt;="&amp;Q791,$N$6:$N$3267,Calendar!$K$4),"")</f>
        <v/>
      </c>
      <c r="W791" s="47">
        <f>IF(AND(B791=Queue!$C$4,OR(Queue!$K$4="*",N791=Queue!$K$4)),Q791,"")</f>
        <v/>
      </c>
    </row>
    <row r="792">
      <c r="A792" s="38">
        <f>IF(M792="","",HYPERLINK("https://www.youtube.com/watch?v="&amp;M792,"▶"))</f>
        <v/>
      </c>
      <c r="B792" s="39">
        <f>IF(C792&lt;&gt;"",C792,IF(P792&lt;=IFERROR(INDEX(tblChannels[Watched Through],MATCH(N792,tblChannels[Channel ID],0)),0),"Watched","Unwatched"))</f>
        <v/>
      </c>
      <c r="C792" s="40" t="n"/>
      <c r="D792" s="41" t="n"/>
      <c r="E792" s="42" t="n">
        <v>45240.77083333334</v>
      </c>
      <c r="F792" s="52" t="inlineStr">
        <is>
          <t>Super Carlin Gaming</t>
        </is>
      </c>
      <c r="G792" t="inlineStr">
        <is>
          <t>Paradox Rift Is Here | Carlin Brothers Box Breakers S8E1</t>
        </is>
      </c>
      <c r="H792" s="44" t="n">
        <v>0.03335648148148148</v>
      </c>
      <c r="I792" s="45" t="n">
        <v>2143</v>
      </c>
      <c r="J792" s="45" t="n">
        <v>109</v>
      </c>
      <c r="K792" s="45" t="n">
        <v>14</v>
      </c>
      <c r="L792" s="46" t="n"/>
      <c r="M792" s="47" t="n"/>
      <c r="N792" s="47" t="inlineStr">
        <is>
          <t>UCor_9jRnNNZVzTuQ92PKsaQ</t>
        </is>
      </c>
      <c r="O792" s="48" t="n">
        <v>45240.97916666666</v>
      </c>
      <c r="P792" s="49" t="n">
        <v>45240</v>
      </c>
      <c r="Q792" s="47" t="n">
        <v>2476</v>
      </c>
      <c r="R792" s="47" t="inlineStr">
        <is>
          <t>No Video ID yet</t>
        </is>
      </c>
      <c r="S792" s="49" t="n"/>
      <c r="T792" s="49" t="n"/>
      <c r="U792" s="47" t="inlineStr">
        <is>
          <t>This week we open and unbox our first Paradox Rift Booster Box</t>
        </is>
      </c>
      <c r="V792" s="47">
        <f>IF(AND(P792&gt;=Calendar!$K$2,P792&lt;EDATE(Calendar!$K$2,1),OR(Calendar!$K$4="*",N792=Calendar!$K$4)),P792*100+COUNTIFS($P$6:$P$3267,P792,$Q$6:$Q$3267,"&lt;="&amp;Q792,$N$6:$N$3267,Calendar!$K$4),"")</f>
        <v/>
      </c>
      <c r="W792" s="47">
        <f>IF(AND(B792=Queue!$C$4,OR(Queue!$K$4="*",N792=Queue!$K$4)),Q792,"")</f>
        <v/>
      </c>
    </row>
    <row r="793">
      <c r="A793" s="38">
        <f>IF(M793="","",HYPERLINK("https://www.youtube.com/watch?v="&amp;M793,"▶"))</f>
        <v/>
      </c>
      <c r="B793" s="39">
        <f>IF(C793&lt;&gt;"",C793,IF(P793&lt;=IFERROR(INDEX(tblChannels[Watched Through],MATCH(N793,tblChannels[Channel ID],0)),0),"Watched","Unwatched"))</f>
        <v/>
      </c>
      <c r="C793" s="40" t="n"/>
      <c r="D793" s="41" t="n"/>
      <c r="E793" s="42" t="n">
        <v>45240.72986111111</v>
      </c>
      <c r="F793" s="50" t="inlineStr">
        <is>
          <t>Super Carlin Brothers</t>
        </is>
      </c>
      <c r="G793" t="inlineStr">
        <is>
          <t>In Defense of James Potter | Harry Potter Film Theory</t>
        </is>
      </c>
      <c r="H793" s="44" t="n">
        <v>0.01138888888888889</v>
      </c>
      <c r="I793" s="45" t="n">
        <v>197744</v>
      </c>
      <c r="J793" s="45" t="n">
        <v>8854</v>
      </c>
      <c r="K793" s="45" t="n">
        <v>1277</v>
      </c>
      <c r="L793" s="46" t="n"/>
      <c r="M793" s="47" t="n"/>
      <c r="N793" s="47" t="inlineStr">
        <is>
          <t>UCKZo4N0lVPccBkSiuyVh4yg</t>
        </is>
      </c>
      <c r="O793" s="48" t="n">
        <v>45240.93819444445</v>
      </c>
      <c r="P793" s="49" t="n">
        <v>45240</v>
      </c>
      <c r="Q793" s="47" t="n">
        <v>2475</v>
      </c>
      <c r="R793" s="47" t="inlineStr">
        <is>
          <t>No Video ID yet</t>
        </is>
      </c>
      <c r="S793" s="49" t="n"/>
      <c r="T793" s="49" t="n"/>
      <c r="U793" s="47" t="inlineStr">
        <is>
          <t>This episode is sponsored by/brought to you by BetterHelp. Give online therapy a try at betterhelp.com/SUPER and get on your way to being your best self Today Ben dives into the Wizarding World of Harry Potter to defend Harry’s father: James Potter. Did Snape have a point? Or was he truly a great man? Play Along with us ::</t>
        </is>
      </c>
      <c r="V793" s="47">
        <f>IF(AND(P793&gt;=Calendar!$K$2,P793&lt;EDATE(Calendar!$K$2,1),OR(Calendar!$K$4="*",N793=Calendar!$K$4)),P793*100+COUNTIFS($P$6:$P$3267,P793,$Q$6:$Q$3267,"&lt;="&amp;Q793,$N$6:$N$3267,Calendar!$K$4),"")</f>
        <v/>
      </c>
      <c r="W793" s="47">
        <f>IF(AND(B793=Queue!$C$4,OR(Queue!$K$4="*",N793=Queue!$K$4)),Q793,"")</f>
        <v/>
      </c>
    </row>
    <row r="794">
      <c r="A794" s="38">
        <f>IF(M794="","",HYPERLINK("https://www.youtube.com/watch?v="&amp;M794,"▶"))</f>
        <v/>
      </c>
      <c r="B794" s="39">
        <f>IF(C794&lt;&gt;"",C794,IF(P794&lt;=IFERROR(INDEX(tblChannels[Watched Through],MATCH(N794,tblChannels[Channel ID],0)),0),"Watched","Unwatched"))</f>
        <v/>
      </c>
      <c r="C794" s="40" t="n"/>
      <c r="D794" s="41" t="n"/>
      <c r="E794" s="42" t="n">
        <v>45240.41666666666</v>
      </c>
      <c r="F794" s="43" t="inlineStr">
        <is>
          <t>Popcorn Culture</t>
        </is>
      </c>
      <c r="G794" t="inlineStr">
        <is>
          <t>Popcuterie Board | Popcorn Culture</t>
        </is>
      </c>
      <c r="H794" s="44" t="n">
        <v>0.04553240740740741</v>
      </c>
      <c r="I794" s="45" t="n">
        <v>4449</v>
      </c>
      <c r="J794" s="45" t="n">
        <v>233</v>
      </c>
      <c r="K794" s="45" t="n">
        <v>26</v>
      </c>
      <c r="L794" s="46" t="n"/>
      <c r="M794" s="47" t="n"/>
      <c r="N794" s="47" t="inlineStr">
        <is>
          <t>UCHfIbq9thHPC8yrKjAdJgDA</t>
        </is>
      </c>
      <c r="O794" s="48" t="n">
        <v>45240.625</v>
      </c>
      <c r="P794" s="49" t="n">
        <v>45240</v>
      </c>
      <c r="Q794" s="47" t="n">
        <v>2474</v>
      </c>
      <c r="R794" s="47" t="inlineStr">
        <is>
          <t>No Video ID yet</t>
        </is>
      </c>
      <c r="S794" s="49" t="n"/>
      <c r="T794" s="49" t="n"/>
      <c r="U794" s="47" t="inlineStr">
        <is>
          <t>In the 205th episode of the pop, Ben and J discuss movie theater charcuteries, generational differences, Ben’s fears, military time, lightbulbs, and this year’s Halloween. Frozen - Cragley Shape Surprise Military Time 00:00 - Intro, Movie Theater Snacks 08:46 - More About the New Editor 30:28 - Military Time 46:16 - Halloween</t>
        </is>
      </c>
      <c r="V794" s="47">
        <f>IF(AND(P794&gt;=Calendar!$K$2,P794&lt;EDATE(Calendar!$K$2,1),OR(Calendar!$K$4="*",N794=Calendar!$K$4)),P794*100+COUNTIFS($P$6:$P$3267,P794,$Q$6:$Q$3267,"&lt;="&amp;Q794,$N$6:$N$3267,Calendar!$K$4),"")</f>
        <v/>
      </c>
      <c r="W794" s="47">
        <f>IF(AND(B794=Queue!$C$4,OR(Queue!$K$4="*",N794=Queue!$K$4)),Q794,"")</f>
        <v/>
      </c>
    </row>
    <row r="795">
      <c r="A795" s="38">
        <f>IF(M795="","",HYPERLINK("https://www.youtube.com/watch?v="&amp;M795,"▶"))</f>
        <v/>
      </c>
      <c r="B795" s="39">
        <f>IF(C795&lt;&gt;"",C795,IF(P795&lt;=IFERROR(INDEX(tblChannels[Watched Through],MATCH(N795,tblChannels[Channel ID],0)),0),"Watched","Unwatched"))</f>
        <v/>
      </c>
      <c r="C795" s="40" t="n"/>
      <c r="D795" s="41" t="n"/>
      <c r="E795" s="42" t="n">
        <v>45238.68888888889</v>
      </c>
      <c r="F795" s="50" t="inlineStr">
        <is>
          <t>Super Carlin Brothers</t>
        </is>
      </c>
      <c r="G795" t="inlineStr">
        <is>
          <t>J vs Ben: HARDEST Hogwarts Grounds Harry Potter TRIVIA Quiz</t>
        </is>
      </c>
      <c r="H795" s="44" t="n">
        <v>0.02226851851851852</v>
      </c>
      <c r="I795" s="45" t="n">
        <v>192004</v>
      </c>
      <c r="J795" s="45" t="n">
        <v>6301</v>
      </c>
      <c r="K795" s="45" t="n">
        <v>669</v>
      </c>
      <c r="L795" s="46" t="n"/>
      <c r="M795" s="47" t="n"/>
      <c r="N795" s="47" t="inlineStr">
        <is>
          <t>UCKZo4N0lVPccBkSiuyVh4yg</t>
        </is>
      </c>
      <c r="O795" s="48" t="n">
        <v>45238.89722222222</v>
      </c>
      <c r="P795" s="49" t="n">
        <v>45238</v>
      </c>
      <c r="Q795" s="47" t="n">
        <v>2473</v>
      </c>
      <c r="R795" s="47" t="inlineStr">
        <is>
          <t>No Video ID yet</t>
        </is>
      </c>
      <c r="S795" s="49" t="n"/>
      <c r="T795" s="49" t="n"/>
      <c r="U795" s="47" t="inlineStr">
        <is>
          <t>Go to and use code jvsb50 to get 50% off. Go to to get 20-50% off site-wide. Today J and Ben face off once again to find out who knows more about Harry Potter, the Wizarding World and all the crazy things that happen around the Hogwarts Grounds! Play along at home: 01:40 - Q1: What is the village near Hogwarts? 02:19 - Q2: What do muggles see instead of Hogwarts? 04:43 - Q3: What creatures flank the entrance to Hogwarts? 06:24 - Q4: Who did James hold upside down? 07:06 - Q5: Where is Hagrid's hut? 07:48 - Q6: How many secret passages are there? 08:59 - Q7: What creature did the twins and Lee tickle? 10:17 - Q8: Who was killed on the edge of the Forbidden Forest? 16:24 - Q9: Where is Dumbledore's tomb? 18:28 - Q10: Where was the Whomping Willow planted? 20:06 - Q11: Why was the Whomping Willow planted? 21:29 - Q12: What statue are Harry and Ron near when Hagrid says he's a half giant? 23:27 - Q13: What did Harry not see in the lake? 24:45 - Q14: What did Ron belch up on the Quidditch pitch? 26:21 - Q15: Who almost lost an eye from the Whomping Willow?</t>
        </is>
      </c>
      <c r="V795" s="47">
        <f>IF(AND(P795&gt;=Calendar!$K$2,P795&lt;EDATE(Calendar!$K$2,1),OR(Calendar!$K$4="*",N795=Calendar!$K$4)),P795*100+COUNTIFS($P$6:$P$3267,P795,$Q$6:$Q$3267,"&lt;="&amp;Q795,$N$6:$N$3267,Calendar!$K$4),"")</f>
        <v/>
      </c>
      <c r="W795" s="47">
        <f>IF(AND(B795=Queue!$C$4,OR(Queue!$K$4="*",N795=Queue!$K$4)),Q795,"")</f>
        <v/>
      </c>
    </row>
    <row r="796">
      <c r="A796" s="38">
        <f>IF(M796="","",HYPERLINK("https://www.youtube.com/watch?v="&amp;M796,"▶"))</f>
        <v/>
      </c>
      <c r="B796" s="39">
        <f>IF(C796&lt;&gt;"",C796,IF(P796&lt;=IFERROR(INDEX(tblChannels[Watched Through],MATCH(N796,tblChannels[Channel ID],0)),0),"Watched","Unwatched"))</f>
        <v/>
      </c>
      <c r="C796" s="40" t="n"/>
      <c r="D796" s="41" t="n"/>
      <c r="E796" s="42" t="n">
        <v>45235.41666666666</v>
      </c>
      <c r="F796" s="51" t="inlineStr">
        <is>
          <t>Through The Griffin Door</t>
        </is>
      </c>
      <c r="G796" t="inlineStr">
        <is>
          <t>Chapter 8: The Potions Master | Philosopher's Stone</t>
        </is>
      </c>
      <c r="H796" s="44" t="n">
        <v>0.0403587962962963</v>
      </c>
      <c r="I796" s="45" t="n">
        <v>82864</v>
      </c>
      <c r="J796" s="45" t="n">
        <v>2706</v>
      </c>
      <c r="K796" s="45" t="n">
        <v>556</v>
      </c>
      <c r="L796" s="46" t="n"/>
      <c r="M796" s="47" t="n"/>
      <c r="N796" s="47" t="inlineStr">
        <is>
          <t>UCEscP6ETYXWSSvsNrDHekMQ</t>
        </is>
      </c>
      <c r="O796" s="48" t="n">
        <v>45235.625</v>
      </c>
      <c r="P796" s="49" t="n">
        <v>45235</v>
      </c>
      <c r="Q796" s="47" t="n">
        <v>2472</v>
      </c>
      <c r="R796" s="47" t="inlineStr">
        <is>
          <t>No Video ID yet</t>
        </is>
      </c>
      <c r="S796" s="49" t="n"/>
      <c r="T796" s="49" t="n"/>
      <c r="U796" s="47" t="inlineStr">
        <is>
          <t>Join J and Ben as they dive into Chapter 8 of the Philosopher’s Stone and discuss the staircases and other details of the castle, Peeves vs. Filch, soft magic systems, Harry’s classes, Quirrell’s turban, porridge, Snape being a bad teacher, the points system, and Mrs. Norris. The TRUTH About Hogwarts Origins - Most Recent Video about the Elder Wand - Have a question you’d like answered for a future episode? Submit it here: Chapters 02:27 - Chapter Breakdown 52:22 - Closing Thoughts and Chapter Art</t>
        </is>
      </c>
      <c r="V796" s="47">
        <f>IF(AND(P796&gt;=Calendar!$K$2,P796&lt;EDATE(Calendar!$K$2,1),OR(Calendar!$K$4="*",N796=Calendar!$K$4)),P796*100+COUNTIFS($P$6:$P$3267,P796,$Q$6:$Q$3267,"&lt;="&amp;Q796,$N$6:$N$3267,Calendar!$K$4),"")</f>
        <v/>
      </c>
      <c r="W796" s="47">
        <f>IF(AND(B796=Queue!$C$4,OR(Queue!$K$4="*",N796=Queue!$K$4)),Q796,"")</f>
        <v/>
      </c>
    </row>
    <row r="797">
      <c r="A797" s="38">
        <f>IF(M797="","",HYPERLINK("https://www.youtube.com/watch?v="&amp;M797,"▶"))</f>
        <v/>
      </c>
      <c r="B797" s="39">
        <f>IF(C797&lt;&gt;"",C797,IF(P797&lt;=IFERROR(INDEX(tblChannels[Watched Through],MATCH(N797,tblChannels[Channel ID],0)),0),"Watched","Unwatched"))</f>
        <v/>
      </c>
      <c r="C797" s="40" t="n"/>
      <c r="D797" s="41" t="n"/>
      <c r="E797" s="42" t="n">
        <v>45233.70486111111</v>
      </c>
      <c r="F797" s="50" t="inlineStr">
        <is>
          <t>Super Carlin Brothers</t>
        </is>
      </c>
      <c r="G797" t="inlineStr">
        <is>
          <t>Can Dumbledore REALLY Be Trusted? | Harry Potter Film Theory</t>
        </is>
      </c>
      <c r="H797" s="44" t="n">
        <v>0.01353009259259259</v>
      </c>
      <c r="I797" s="45" t="n">
        <v>280658</v>
      </c>
      <c r="J797" s="45" t="n">
        <v>10062</v>
      </c>
      <c r="K797" s="45" t="n">
        <v>757</v>
      </c>
      <c r="L797" s="46" t="n"/>
      <c r="M797" s="47" t="n"/>
      <c r="N797" s="47" t="inlineStr">
        <is>
          <t>UCKZo4N0lVPccBkSiuyVh4yg</t>
        </is>
      </c>
      <c r="O797" s="48" t="n">
        <v>45233.87152777778</v>
      </c>
      <c r="P797" s="49" t="n">
        <v>45233</v>
      </c>
      <c r="Q797" s="47" t="n">
        <v>2471</v>
      </c>
      <c r="R797" s="47" t="inlineStr">
        <is>
          <t>No Video ID yet</t>
        </is>
      </c>
      <c r="S797" s="49" t="n"/>
      <c r="T797" s="49" t="n"/>
      <c r="U797" s="47" t="inlineStr">
        <is>
          <t>Go to to get 25% off your first order and free shipping. Today Ben Dives into the Wizarding World of Harry Potter to examine Albus Dumbledore’s complicated relationship with the greater good, the trolley problem, prophecies and blood magic.</t>
        </is>
      </c>
      <c r="V797" s="47">
        <f>IF(AND(P797&gt;=Calendar!$K$2,P797&lt;EDATE(Calendar!$K$2,1),OR(Calendar!$K$4="*",N797=Calendar!$K$4)),P797*100+COUNTIFS($P$6:$P$3267,P797,$Q$6:$Q$3267,"&lt;="&amp;Q797,$N$6:$N$3267,Calendar!$K$4),"")</f>
        <v/>
      </c>
      <c r="W797" s="47">
        <f>IF(AND(B797=Queue!$C$4,OR(Queue!$K$4="*",N797=Queue!$K$4)),Q797,"")</f>
        <v/>
      </c>
    </row>
    <row r="798">
      <c r="A798" s="38">
        <f>IF(M798="","",HYPERLINK("https://www.youtube.com/watch?v="&amp;M798,"▶"))</f>
        <v/>
      </c>
      <c r="B798" s="39">
        <f>IF(C798&lt;&gt;"",C798,IF(P798&lt;=IFERROR(INDEX(tblChannels[Watched Through],MATCH(N798,tblChannels[Channel ID],0)),0),"Watched","Unwatched"))</f>
        <v/>
      </c>
      <c r="C798" s="40" t="n"/>
      <c r="D798" s="41" t="n"/>
      <c r="E798" s="42" t="n">
        <v>45233.41666666666</v>
      </c>
      <c r="F798" s="43" t="inlineStr">
        <is>
          <t>Popcorn Culture</t>
        </is>
      </c>
      <c r="G798" t="inlineStr">
        <is>
          <t>POG-Corn Culture| Popcorn Culture</t>
        </is>
      </c>
      <c r="H798" s="44" t="n">
        <v>0.05549768518518518</v>
      </c>
      <c r="I798" s="45" t="n">
        <v>4827</v>
      </c>
      <c r="J798" s="45" t="n">
        <v>249</v>
      </c>
      <c r="K798" s="45" t="n">
        <v>48</v>
      </c>
      <c r="L798" s="46" t="n"/>
      <c r="M798" s="47" t="n"/>
      <c r="N798" s="47" t="inlineStr">
        <is>
          <t>UCHfIbq9thHPC8yrKjAdJgDA</t>
        </is>
      </c>
      <c r="O798" s="48" t="n">
        <v>45233.58333333334</v>
      </c>
      <c r="P798" s="49" t="n">
        <v>45233</v>
      </c>
      <c r="Q798" s="47" t="n">
        <v>2470</v>
      </c>
      <c r="R798" s="47" t="inlineStr">
        <is>
          <t>No Video ID yet</t>
        </is>
      </c>
      <c r="S798" s="49" t="n"/>
      <c r="T798" s="49" t="n"/>
      <c r="U798" s="47" t="inlineStr">
        <is>
          <t>In the 204th episode of the pop, Ben and J discuss our new editor: Isybelle, getting good news by yourself, going to Pixar, another context for how SCB started, more on Luke’s love of Slytherin, teaching your kids life lessons, deserted island follow up, textures of foods, hearing things you touch, and POGS. The Good Dinosaur - POGs - The Magical iPad Hearing Feels All's Fair in Love and War 00:00 - Intro, New Editor!! 02:50 - Solitary Good News 25:44 - Life Lessons for Kids 34:00 - The Magical iPad 50:08 - Crunch Foods 1:03:29 - ELEMENT OF SURPRISE</t>
        </is>
      </c>
      <c r="V798" s="47">
        <f>IF(AND(P798&gt;=Calendar!$K$2,P798&lt;EDATE(Calendar!$K$2,1),OR(Calendar!$K$4="*",N798=Calendar!$K$4)),P798*100+COUNTIFS($P$6:$P$3267,P798,$Q$6:$Q$3267,"&lt;="&amp;Q798,$N$6:$N$3267,Calendar!$K$4),"")</f>
        <v/>
      </c>
      <c r="W798" s="47">
        <f>IF(AND(B798=Queue!$C$4,OR(Queue!$K$4="*",N798=Queue!$K$4)),Q798,"")</f>
        <v/>
      </c>
    </row>
    <row r="799">
      <c r="A799" s="38">
        <f>IF(M799="","",HYPERLINK("https://www.youtube.com/watch?v="&amp;M799,"▶"))</f>
        <v/>
      </c>
      <c r="B799" s="39">
        <f>IF(C799&lt;&gt;"",C799,IF(P799&lt;=IFERROR(INDEX(tblChannels[Watched Through],MATCH(N799,tblChannels[Channel ID],0)),0),"Watched","Unwatched"))</f>
        <v/>
      </c>
      <c r="C799" s="40" t="n"/>
      <c r="D799" s="41" t="n"/>
      <c r="E799" s="42" t="n">
        <v>45231.67430555556</v>
      </c>
      <c r="F799" s="50" t="inlineStr">
        <is>
          <t>Super Carlin Brothers</t>
        </is>
      </c>
      <c r="G799" t="inlineStr">
        <is>
          <t>How Fred and George Solved The Marauders Map | Harry Potter Film Theory</t>
        </is>
      </c>
      <c r="H799" s="44" t="n">
        <v>0.01045138888888889</v>
      </c>
      <c r="I799" s="45" t="n">
        <v>375948</v>
      </c>
      <c r="J799" s="45" t="n">
        <v>12354</v>
      </c>
      <c r="K799" s="45" t="n">
        <v>949</v>
      </c>
      <c r="L799" s="46" t="n"/>
      <c r="M799" s="47" t="n"/>
      <c r="N799" s="47" t="inlineStr">
        <is>
          <t>UCKZo4N0lVPccBkSiuyVh4yg</t>
        </is>
      </c>
      <c r="O799" s="48" t="n">
        <v>45231.84097222222</v>
      </c>
      <c r="P799" s="49" t="n">
        <v>45231</v>
      </c>
      <c r="Q799" s="47" t="n">
        <v>2469</v>
      </c>
      <c r="R799" s="47" t="inlineStr">
        <is>
          <t>No Video ID yet</t>
        </is>
      </c>
      <c r="S799" s="49" t="n"/>
      <c r="T799" s="49" t="n"/>
      <c r="U799" s="47" t="inlineStr">
        <is>
          <t>Head on over to to get 15% off! Today J dives into the Wizarding World of Harry Potter to discover how Fred and George Weasley figured out how to use the Marauders Map! Did they just guess, “I Solomnley Swear I am up to no good? Did the map test them? And How did the marauders lose the map to begin with?</t>
        </is>
      </c>
      <c r="V799" s="47">
        <f>IF(AND(P799&gt;=Calendar!$K$2,P799&lt;EDATE(Calendar!$K$2,1),OR(Calendar!$K$4="*",N799=Calendar!$K$4)),P799*100+COUNTIFS($P$6:$P$3267,P799,$Q$6:$Q$3267,"&lt;="&amp;Q799,$N$6:$N$3267,Calendar!$K$4),"")</f>
        <v/>
      </c>
      <c r="W799" s="47">
        <f>IF(AND(B799=Queue!$C$4,OR(Queue!$K$4="*",N799=Queue!$K$4)),Q799,"")</f>
        <v/>
      </c>
    </row>
    <row r="800">
      <c r="A800" s="38">
        <f>IF(M800="","",HYPERLINK("https://www.youtube.com/watch?v="&amp;M800,"▶"))</f>
        <v/>
      </c>
      <c r="B800" s="39">
        <f>IF(C800&lt;&gt;"",C800,IF(P800&lt;=IFERROR(INDEX(tblChannels[Watched Through],MATCH(N800,tblChannels[Channel ID],0)),0),"Watched","Unwatched"))</f>
        <v/>
      </c>
      <c r="C800" s="40" t="n"/>
      <c r="D800" s="41" t="n"/>
      <c r="E800" s="42" t="n">
        <v>45228.41666666666</v>
      </c>
      <c r="F800" s="51" t="inlineStr">
        <is>
          <t>Through The Griffin Door</t>
        </is>
      </c>
      <c r="G800" t="inlineStr">
        <is>
          <t>Chapter 7: The Sorting Hat | Philosopher's Stone</t>
        </is>
      </c>
      <c r="H800" s="44" t="n">
        <v>0.04836805555555555</v>
      </c>
      <c r="I800" s="45" t="n">
        <v>97549</v>
      </c>
      <c r="J800" s="45" t="n">
        <v>2863</v>
      </c>
      <c r="K800" s="45" t="n">
        <v>565</v>
      </c>
      <c r="L800" s="46" t="n"/>
      <c r="M800" s="47" t="n"/>
      <c r="N800" s="47" t="inlineStr">
        <is>
          <t>UCEscP6ETYXWSSvsNrDHekMQ</t>
        </is>
      </c>
      <c r="O800" s="48" t="n">
        <v>45228.58333333334</v>
      </c>
      <c r="P800" s="49" t="n">
        <v>45228</v>
      </c>
      <c r="Q800" s="47" t="n">
        <v>2468</v>
      </c>
      <c r="R800" s="47" t="inlineStr">
        <is>
          <t>No Video ID yet</t>
        </is>
      </c>
      <c r="S800" s="49" t="n"/>
      <c r="T800" s="49" t="n"/>
      <c r="U800" s="47" t="inlineStr">
        <is>
          <t>Join J and Ben as they dive into Chapter 7 of the Philosopher’s Stone and discuss the First Years’ lack of knowledge about the Sorting Hat, Dumbledore's nonsense words, the Founders, the Hat’s song, the random students, food at the feast, ghosts, family backgrounds, Filch, Geomancy, whether or not Hogwarts used to be a dragon and Harry’s dream. Nitwit Blubber Oddment Tweak Explained - Filch is Actually a Poltergeist - Geomantic Figures - The TRUTH About Hogwarts Origins (yes we did end up making the theory into a video) - Have a question you’d like answered for a future episode? Submit it here: 00:00 - Intro, Chapter Art 04:24 - Chapter Breakdown 1:08:21 - Closing Thoughts and Review</t>
        </is>
      </c>
      <c r="V800" s="47">
        <f>IF(AND(P800&gt;=Calendar!$K$2,P800&lt;EDATE(Calendar!$K$2,1),OR(Calendar!$K$4="*",N800=Calendar!$K$4)),P800*100+COUNTIFS($P$6:$P$3267,P800,$Q$6:$Q$3267,"&lt;="&amp;Q800,$N$6:$N$3267,Calendar!$K$4),"")</f>
        <v/>
      </c>
      <c r="W800" s="47">
        <f>IF(AND(B800=Queue!$C$4,OR(Queue!$K$4="*",N800=Queue!$K$4)),Q800,"")</f>
        <v/>
      </c>
    </row>
    <row r="801">
      <c r="A801" s="38">
        <f>IF(M801="","",HYPERLINK("https://www.youtube.com/watch?v="&amp;M801,"▶"))</f>
        <v/>
      </c>
      <c r="B801" s="39">
        <f>IF(C801&lt;&gt;"",C801,IF(P801&lt;=IFERROR(INDEX(tblChannels[Watched Through],MATCH(N801,tblChannels[Channel ID],0)),0),"Watched","Unwatched"))</f>
        <v/>
      </c>
      <c r="C801" s="40" t="n"/>
      <c r="D801" s="41" t="n"/>
      <c r="E801" s="42" t="n">
        <v>45227.41666666666</v>
      </c>
      <c r="F801" s="50" t="inlineStr">
        <is>
          <t>Super Carlin Brothers</t>
        </is>
      </c>
      <c r="G801" t="inlineStr">
        <is>
          <t>Through the Griffin Door Supercut: Chapters 4-6 | Philosopher’s Stone</t>
        </is>
      </c>
      <c r="H801" s="44" t="n">
        <v>0.1409027777777778</v>
      </c>
      <c r="I801" s="45" t="n">
        <v>289367</v>
      </c>
      <c r="J801" s="45" t="n">
        <v>2408</v>
      </c>
      <c r="K801" s="45" t="n">
        <v>562</v>
      </c>
      <c r="L801" s="46" t="n"/>
      <c r="M801" s="47" t="n"/>
      <c r="N801" s="47" t="inlineStr">
        <is>
          <t>UCKZo4N0lVPccBkSiuyVh4yg</t>
        </is>
      </c>
      <c r="O801" s="48" t="n">
        <v>45227.58333333334</v>
      </c>
      <c r="P801" s="49" t="n">
        <v>45227</v>
      </c>
      <c r="Q801" s="47" t="n">
        <v>2467</v>
      </c>
      <c r="R801" s="47" t="inlineStr">
        <is>
          <t>No Video ID yet</t>
        </is>
      </c>
      <c r="S801" s="49" t="n"/>
      <c r="T801" s="49" t="n"/>
      <c r="U801" s="47" t="inlineStr">
        <is>
          <t>Join J and Ben as they continue their journey Through the Griffin Door! We hope you enjoy the next few chapters of this recap podcast and all the Harry Potter goodness that it will bring. Have a question you’d like answered for a future episode? Submit it here: 00:00 - Chapter 4 48:59 - Chapter 5 2:02:05 - Chapter 6</t>
        </is>
      </c>
      <c r="V801" s="47">
        <f>IF(AND(P801&gt;=Calendar!$K$2,P801&lt;EDATE(Calendar!$K$2,1),OR(Calendar!$K$4="*",N801=Calendar!$K$4)),P801*100+COUNTIFS($P$6:$P$3267,P801,$Q$6:$Q$3267,"&lt;="&amp;Q801,$N$6:$N$3267,Calendar!$K$4),"")</f>
        <v/>
      </c>
      <c r="W801" s="47">
        <f>IF(AND(B801=Queue!$C$4,OR(Queue!$K$4="*",N801=Queue!$K$4)),Q801,"")</f>
        <v/>
      </c>
    </row>
    <row r="802">
      <c r="A802" s="38">
        <f>IF(M802="","",HYPERLINK("https://www.youtube.com/watch?v="&amp;M802,"▶"))</f>
        <v/>
      </c>
      <c r="B802" s="39">
        <f>IF(C802&lt;&gt;"",C802,IF(P802&lt;=IFERROR(INDEX(tblChannels[Watched Through],MATCH(N802,tblChannels[Channel ID],0)),0),"Watched","Unwatched"))</f>
        <v/>
      </c>
      <c r="C802" s="40" t="n"/>
      <c r="D802" s="41" t="n"/>
      <c r="E802" s="42" t="n">
        <v>45226.77083333334</v>
      </c>
      <c r="F802" s="52" t="inlineStr">
        <is>
          <t>Super Carlin Gaming</t>
        </is>
      </c>
      <c r="G802" t="inlineStr">
        <is>
          <t>WHAT A FINALE | Carlin Brothers Box Breakers S7E4</t>
        </is>
      </c>
      <c r="H802" s="44" t="n">
        <v>0.02960648148148148</v>
      </c>
      <c r="I802" s="45" t="n">
        <v>1771</v>
      </c>
      <c r="J802" s="45" t="n">
        <v>105</v>
      </c>
      <c r="K802" s="45" t="n">
        <v>10</v>
      </c>
      <c r="L802" s="46" t="n"/>
      <c r="M802" s="47" t="n"/>
      <c r="N802" s="47" t="inlineStr">
        <is>
          <t>UCor_9jRnNNZVzTuQ92PKsaQ</t>
        </is>
      </c>
      <c r="O802" s="48" t="n">
        <v>45226.9375</v>
      </c>
      <c r="P802" s="49" t="n">
        <v>45226</v>
      </c>
      <c r="Q802" s="47" t="n">
        <v>2466</v>
      </c>
      <c r="R802" s="47" t="inlineStr">
        <is>
          <t>No Video ID yet</t>
        </is>
      </c>
      <c r="S802" s="49" t="n"/>
      <c r="T802" s="49" t="n"/>
      <c r="U802" s="47" t="n"/>
      <c r="V802" s="47">
        <f>IF(AND(P802&gt;=Calendar!$K$2,P802&lt;EDATE(Calendar!$K$2,1),OR(Calendar!$K$4="*",N802=Calendar!$K$4)),P802*100+COUNTIFS($P$6:$P$3267,P802,$Q$6:$Q$3267,"&lt;="&amp;Q802,$N$6:$N$3267,Calendar!$K$4),"")</f>
        <v/>
      </c>
      <c r="W802" s="47">
        <f>IF(AND(B802=Queue!$C$4,OR(Queue!$K$4="*",N802=Queue!$K$4)),Q802,"")</f>
        <v/>
      </c>
    </row>
    <row r="803">
      <c r="A803" s="38">
        <f>IF(M803="","",HYPERLINK("https://www.youtube.com/watch?v="&amp;M803,"▶"))</f>
        <v/>
      </c>
      <c r="B803" s="39">
        <f>IF(C803&lt;&gt;"",C803,IF(P803&lt;=IFERROR(INDEX(tblChannels[Watched Through],MATCH(N803,tblChannels[Channel ID],0)),0),"Watched","Unwatched"))</f>
        <v/>
      </c>
      <c r="C803" s="40" t="n"/>
      <c r="D803" s="41" t="n"/>
      <c r="E803" s="42" t="n">
        <v>45226.68055555555</v>
      </c>
      <c r="F803" s="50" t="inlineStr">
        <is>
          <t>Super Carlin Brothers</t>
        </is>
      </c>
      <c r="G803" t="inlineStr">
        <is>
          <t>What If Sirius Took Harry As A Baby? | Harry Potter Film Theory</t>
        </is>
      </c>
      <c r="H803" s="44" t="n">
        <v>0.01471064814814815</v>
      </c>
      <c r="I803" s="45" t="n">
        <v>433286</v>
      </c>
      <c r="J803" s="45" t="n">
        <v>13332</v>
      </c>
      <c r="K803" s="45" t="n">
        <v>1433</v>
      </c>
      <c r="L803" s="46" t="n"/>
      <c r="M803" s="47" t="n"/>
      <c r="N803" s="47" t="inlineStr">
        <is>
          <t>UCKZo4N0lVPccBkSiuyVh4yg</t>
        </is>
      </c>
      <c r="O803" s="48" t="n">
        <v>45226.84722222222</v>
      </c>
      <c r="P803" s="49" t="n">
        <v>45226</v>
      </c>
      <c r="Q803" s="47" t="n">
        <v>2465</v>
      </c>
      <c r="R803" s="47" t="inlineStr">
        <is>
          <t>No Video ID yet</t>
        </is>
      </c>
      <c r="S803" s="49" t="n"/>
      <c r="T803" s="49" t="n"/>
      <c r="U803" s="47" t="inlineStr">
        <is>
          <t>Today J dives into the Wizarding World of Harry Potter to find out what would have happened if Lily and James’ wishes came true and Sirius had raised Harry in the wake of their death? Does Peter escape? Does Voldemort come back sooner? And what about Lupin?</t>
        </is>
      </c>
      <c r="V803" s="47">
        <f>IF(AND(P803&gt;=Calendar!$K$2,P803&lt;EDATE(Calendar!$K$2,1),OR(Calendar!$K$4="*",N803=Calendar!$K$4)),P803*100+COUNTIFS($P$6:$P$3267,P803,$Q$6:$Q$3267,"&lt;="&amp;Q803,$N$6:$N$3267,Calendar!$K$4),"")</f>
        <v/>
      </c>
      <c r="W803" s="47">
        <f>IF(AND(B803=Queue!$C$4,OR(Queue!$K$4="*",N803=Queue!$K$4)),Q803,"")</f>
        <v/>
      </c>
    </row>
    <row r="804">
      <c r="A804" s="38">
        <f>IF(M804="","",HYPERLINK("https://www.youtube.com/watch?v="&amp;M804,"▶"))</f>
        <v/>
      </c>
      <c r="B804" s="39">
        <f>IF(C804&lt;&gt;"",C804,IF(P804&lt;=IFERROR(INDEX(tblChannels[Watched Through],MATCH(N804,tblChannels[Channel ID],0)),0),"Watched","Unwatched"))</f>
        <v/>
      </c>
      <c r="C804" s="40" t="n"/>
      <c r="D804" s="41" t="n"/>
      <c r="E804" s="42" t="n">
        <v>45226.41666666666</v>
      </c>
      <c r="F804" s="43" t="inlineStr">
        <is>
          <t>Popcorn Culture</t>
        </is>
      </c>
      <c r="G804" t="inlineStr">
        <is>
          <t>Slytherin Wins the House Cup | Popcorn Culture</t>
        </is>
      </c>
      <c r="H804" s="44" t="n">
        <v>0.04733796296296296</v>
      </c>
      <c r="I804" s="45" t="n">
        <v>5268</v>
      </c>
      <c r="J804" s="45" t="n">
        <v>261</v>
      </c>
      <c r="K804" s="45" t="n">
        <v>31</v>
      </c>
      <c r="L804" s="46" t="n"/>
      <c r="M804" s="47" t="n"/>
      <c r="N804" s="47" t="inlineStr">
        <is>
          <t>UCHfIbq9thHPC8yrKjAdJgDA</t>
        </is>
      </c>
      <c r="O804" s="48" t="n">
        <v>45226.58333333334</v>
      </c>
      <c r="P804" s="49" t="n">
        <v>45226</v>
      </c>
      <c r="Q804" s="47" t="n">
        <v>2464</v>
      </c>
      <c r="R804" s="47" t="inlineStr">
        <is>
          <t>No Video ID yet</t>
        </is>
      </c>
      <c r="S804" s="49" t="n"/>
      <c r="T804" s="49" t="n"/>
      <c r="U804" s="47" t="inlineStr">
        <is>
          <t>In the 203rd episode of the Pop Ben and J discuss upcoming DND merch, Blink 182, deserted island items dilemma, Luke’s first HP read through, sorting the HP books, middle of the night YT discoveries, and stealing Wheezy’s bit (but not really). Blink 182 - 20th Edition HP Books - Buckin’ Billy Ray Smith - Wheezy Waiter - Vlogbrothers - Welcome to Wrexham - Jazzy J Chaos October was Nutter Butters Luke’s First HP Read I’m No Buckin’ Billy Ray 00:00 - Intro, DND 03:20 - October Craziness 10:26 - Ice Breakers 24:27 - Reading HP to Luke 48:28 - Ben’s Trip to Vegas</t>
        </is>
      </c>
      <c r="V804" s="47">
        <f>IF(AND(P804&gt;=Calendar!$K$2,P804&lt;EDATE(Calendar!$K$2,1),OR(Calendar!$K$4="*",N804=Calendar!$K$4)),P804*100+COUNTIFS($P$6:$P$3267,P804,$Q$6:$Q$3267,"&lt;="&amp;Q804,$N$6:$N$3267,Calendar!$K$4),"")</f>
        <v/>
      </c>
      <c r="W804" s="47">
        <f>IF(AND(B804=Queue!$C$4,OR(Queue!$K$4="*",N804=Queue!$K$4)),Q804,"")</f>
        <v/>
      </c>
    </row>
    <row r="805">
      <c r="A805" s="38">
        <f>IF(M805="","",HYPERLINK("https://www.youtube.com/watch?v="&amp;M805,"▶"))</f>
        <v/>
      </c>
      <c r="B805" s="39">
        <f>IF(C805&lt;&gt;"",C805,IF(P805&lt;=IFERROR(INDEX(tblChannels[Watched Through],MATCH(N805,tblChannels[Channel ID],0)),0),"Watched","Unwatched"))</f>
        <v/>
      </c>
      <c r="C805" s="40" t="n"/>
      <c r="D805" s="41" t="n"/>
      <c r="E805" s="42" t="n">
        <v>45224.70555555556</v>
      </c>
      <c r="F805" s="50" t="inlineStr">
        <is>
          <t>Super Carlin Brothers</t>
        </is>
      </c>
      <c r="G805" t="inlineStr">
        <is>
          <t>J vs Ben: ULTIMATE Harry Potter TRICKS Trivia Quiz | WHEEL OF PUNISHMENT</t>
        </is>
      </c>
      <c r="H805" s="44" t="n">
        <v>0.03636574074074074</v>
      </c>
      <c r="I805" s="45" t="n">
        <v>249278</v>
      </c>
      <c r="J805" s="45" t="n">
        <v>6719</v>
      </c>
      <c r="K805" s="45" t="n">
        <v>608</v>
      </c>
      <c r="L805" s="46" t="n"/>
      <c r="M805" s="47" t="n"/>
      <c r="N805" s="47" t="inlineStr">
        <is>
          <t>UCKZo4N0lVPccBkSiuyVh4yg</t>
        </is>
      </c>
      <c r="O805" s="48" t="n">
        <v>45224.87222222222</v>
      </c>
      <c r="P805" s="49" t="n">
        <v>45224</v>
      </c>
      <c r="Q805" s="47" t="n">
        <v>2463</v>
      </c>
      <c r="R805" s="47" t="inlineStr">
        <is>
          <t>No Video ID yet</t>
        </is>
      </c>
      <c r="S805" s="49" t="n"/>
      <c r="T805" s="49" t="n"/>
      <c r="U805" s="47" t="inlineStr">
        <is>
          <t xml:space="preserve">Get lifetime access to Mondly's Language learning app for just $79.99 Head on over to to try 5 pairs of glasses at home for FREE. Today J and Ben face off once more in the spirit of Halloween to find out who knows more about sweet treats in the Wizarding World of Harry Potter! The catch is.. If you get the question wrong.. You have to spin the wheel and do whatever it says.. TRICK OR TREAT! Chapters 02:27 - Q1: Who owns the ice cream parlor? 03:18 - Q2: What did Molly send Harry for his second Christmas? 05:46 - Q3: How much does Harry pay for "the lot"? 10:22 - Q4: What flavor cakes knocked out Crabbe and Goyle? 12:56 - Q5: Which treats make you breathe fire? 16:16 - Q6: What is Ron holding when Harry comes to Honeydukes? 19:45 - Q7: What wrapper did Neville's mom give him? 20:30 - Q8: What was the first bean Ron ate? 24:15 - Q9: What sweets have been Dumbledore's passwords? 34:34 - Q10: What's the blood flavored candy? 35:48 - Q11: What was Nick's deathday cake shaped like? 38:23 - Q12: What was the topper for Fleur and Bill's wedding cake? 42:45 - Q13: What did Harry NOT put on his plate at the first feast? 44:28 - Q14: What chocolate frog cards did Harry open? 47:41 - Q15: Who </t>
        </is>
      </c>
      <c r="V805" s="47">
        <f>IF(AND(P805&gt;=Calendar!$K$2,P805&lt;EDATE(Calendar!$K$2,1),OR(Calendar!$K$4="*",N805=Calendar!$K$4)),P805*100+COUNTIFS($P$6:$P$3267,P805,$Q$6:$Q$3267,"&lt;="&amp;Q805,$N$6:$N$3267,Calendar!$K$4),"")</f>
        <v/>
      </c>
      <c r="W805" s="47">
        <f>IF(AND(B805=Queue!$C$4,OR(Queue!$K$4="*",N805=Queue!$K$4)),Q805,"")</f>
        <v/>
      </c>
    </row>
    <row r="806">
      <c r="A806" s="38">
        <f>IF(M806="","",HYPERLINK("https://www.youtube.com/watch?v="&amp;M806,"▶"))</f>
        <v/>
      </c>
      <c r="B806" s="39">
        <f>IF(C806&lt;&gt;"",C806,IF(P806&lt;=IFERROR(INDEX(tblChannels[Watched Through],MATCH(N806,tblChannels[Channel ID],0)),0),"Watched","Unwatched"))</f>
        <v/>
      </c>
      <c r="C806" s="40" t="n"/>
      <c r="D806" s="41" t="n"/>
      <c r="E806" s="42" t="n">
        <v>45221.41666666666</v>
      </c>
      <c r="F806" s="51" t="inlineStr">
        <is>
          <t>Through The Griffin Door</t>
        </is>
      </c>
      <c r="G806" t="inlineStr">
        <is>
          <t>Chapter 6: The Journey From Platform Nine and Three-Quarters | Philosopher's Stone</t>
        </is>
      </c>
      <c r="H806" s="44" t="n">
        <v>0.05611111111111111</v>
      </c>
      <c r="I806" s="45" t="n">
        <v>101847</v>
      </c>
      <c r="J806" s="45" t="n">
        <v>2858</v>
      </c>
      <c r="K806" s="45" t="n">
        <v>794</v>
      </c>
      <c r="L806" s="46" t="n"/>
      <c r="M806" s="47" t="n"/>
      <c r="N806" s="47" t="inlineStr">
        <is>
          <t>UCEscP6ETYXWSSvsNrDHekMQ</t>
        </is>
      </c>
      <c r="O806" s="48" t="n">
        <v>45221.58333333334</v>
      </c>
      <c r="P806" s="49" t="n">
        <v>45221</v>
      </c>
      <c r="Q806" s="47" t="n">
        <v>2462</v>
      </c>
      <c r="R806" s="47" t="inlineStr">
        <is>
          <t>No Video ID yet</t>
        </is>
      </c>
      <c r="S806" s="49" t="n"/>
      <c r="T806" s="49" t="n"/>
      <c r="U806" s="47" t="inlineStr">
        <is>
          <t>Join J and Ben as they dive into Chapter 6 of the Philosopher’s Stone and discuss King’s Cross Station, Fred and George’s continuity, Trevor the toad, pronunciation, the beginning of Harry and Ron’s friendship, chocolate frog cards, Hermione’s intro, and Scabbers Aladdin and the King of Thieves - Pirates of the Caribbean - Why Ron is So Bad at Magic - Mars Bars - Have a question you’d like answered for a future episode? Submit it here: Chapters 03:48 - Chapter Breakdown 1:15:30 - Closing Thoughts and Chapter Art</t>
        </is>
      </c>
      <c r="V806" s="47">
        <f>IF(AND(P806&gt;=Calendar!$K$2,P806&lt;EDATE(Calendar!$K$2,1),OR(Calendar!$K$4="*",N806=Calendar!$K$4)),P806*100+COUNTIFS($P$6:$P$3267,P806,$Q$6:$Q$3267,"&lt;="&amp;Q806,$N$6:$N$3267,Calendar!$K$4),"")</f>
        <v/>
      </c>
      <c r="W806" s="47">
        <f>IF(AND(B806=Queue!$C$4,OR(Queue!$K$4="*",N806=Queue!$K$4)),Q806,"")</f>
        <v/>
      </c>
    </row>
    <row r="807">
      <c r="A807" s="38">
        <f>IF(M807="","",HYPERLINK("https://www.youtube.com/watch?v="&amp;M807,"▶"))</f>
        <v/>
      </c>
      <c r="B807" s="39">
        <f>IF(C807&lt;&gt;"",C807,IF(P807&lt;=IFERROR(INDEX(tblChannels[Watched Through],MATCH(N807,tblChannels[Channel ID],0)),0),"Watched","Unwatched"))</f>
        <v/>
      </c>
      <c r="C807" s="40" t="n"/>
      <c r="D807" s="41" t="n"/>
      <c r="E807" s="42" t="n">
        <v>45219.64583333334</v>
      </c>
      <c r="F807" s="52" t="inlineStr">
        <is>
          <t>Super Carlin Gaming</t>
        </is>
      </c>
      <c r="G807" t="inlineStr">
        <is>
          <t>A Mew-tiful Episode | Carlin Brothers Box Breakers S7E3</t>
        </is>
      </c>
      <c r="H807" s="44" t="n">
        <v>0.02873842592592592</v>
      </c>
      <c r="I807" s="45" t="n">
        <v>1693</v>
      </c>
      <c r="J807" s="45" t="n">
        <v>90</v>
      </c>
      <c r="K807" s="45" t="n">
        <v>11</v>
      </c>
      <c r="L807" s="46" t="n"/>
      <c r="M807" s="47" t="n"/>
      <c r="N807" s="47" t="inlineStr">
        <is>
          <t>UCor_9jRnNNZVzTuQ92PKsaQ</t>
        </is>
      </c>
      <c r="O807" s="48" t="n">
        <v>45219.8125</v>
      </c>
      <c r="P807" s="49" t="n">
        <v>45219</v>
      </c>
      <c r="Q807" s="47" t="n">
        <v>2461</v>
      </c>
      <c r="R807" s="47" t="inlineStr">
        <is>
          <t>No Video ID yet</t>
        </is>
      </c>
      <c r="S807" s="49" t="n"/>
      <c r="T807" s="49" t="n"/>
      <c r="U807" s="47" t="inlineStr">
        <is>
          <t>This Episode is A-Mew-zing</t>
        </is>
      </c>
      <c r="V807" s="47">
        <f>IF(AND(P807&gt;=Calendar!$K$2,P807&lt;EDATE(Calendar!$K$2,1),OR(Calendar!$K$4="*",N807=Calendar!$K$4)),P807*100+COUNTIFS($P$6:$P$3267,P807,$Q$6:$Q$3267,"&lt;="&amp;Q807,$N$6:$N$3267,Calendar!$K$4),"")</f>
        <v/>
      </c>
      <c r="W807" s="47">
        <f>IF(AND(B807=Queue!$C$4,OR(Queue!$K$4="*",N807=Queue!$K$4)),Q807,"")</f>
        <v/>
      </c>
    </row>
    <row r="808">
      <c r="A808" s="38">
        <f>IF(M808="","",HYPERLINK("https://www.youtube.com/watch?v="&amp;M808,"▶"))</f>
        <v/>
      </c>
      <c r="B808" s="39">
        <f>IF(C808&lt;&gt;"",C808,IF(P808&lt;=IFERROR(INDEX(tblChannels[Watched Through],MATCH(N808,tblChannels[Channel ID],0)),0),"Watched","Unwatched"))</f>
        <v/>
      </c>
      <c r="C808" s="40" t="n"/>
      <c r="D808" s="41" t="n"/>
      <c r="E808" s="42" t="n">
        <v>45219.625</v>
      </c>
      <c r="F808" s="50" t="inlineStr">
        <is>
          <t>Super Carlin Brothers</t>
        </is>
      </c>
      <c r="G808" t="inlineStr">
        <is>
          <t>Grindelwald Was NEVER Master of the Elder Wand | Harry Potter Film Theory</t>
        </is>
      </c>
      <c r="H808" s="44" t="n">
        <v>0.01020833333333333</v>
      </c>
      <c r="I808" s="45" t="n">
        <v>157677</v>
      </c>
      <c r="J808" s="45" t="n">
        <v>6988</v>
      </c>
      <c r="K808" s="45" t="n">
        <v>549</v>
      </c>
      <c r="L808" s="46" t="n"/>
      <c r="M808" s="47" t="n"/>
      <c r="N808" s="47" t="inlineStr">
        <is>
          <t>UCKZo4N0lVPccBkSiuyVh4yg</t>
        </is>
      </c>
      <c r="O808" s="48" t="n">
        <v>45219.79166666666</v>
      </c>
      <c r="P808" s="49" t="n">
        <v>45219</v>
      </c>
      <c r="Q808" s="47" t="n">
        <v>2460</v>
      </c>
      <c r="R808" s="47" t="inlineStr">
        <is>
          <t>No Video ID yet</t>
        </is>
      </c>
      <c r="S808" s="49" t="n"/>
      <c r="T808" s="49" t="n"/>
      <c r="U808" s="47" t="inlineStr">
        <is>
          <t>Today J dives into the Wizarding World of Harry Potter to discuss the path of The Elder Wand.. or perhaps lack there of - to prove that Grindelwald was never a master and WHY Dumbledore and Harry were!</t>
        </is>
      </c>
      <c r="V808" s="47">
        <f>IF(AND(P808&gt;=Calendar!$K$2,P808&lt;EDATE(Calendar!$K$2,1),OR(Calendar!$K$4="*",N808=Calendar!$K$4)),P808*100+COUNTIFS($P$6:$P$3267,P808,$Q$6:$Q$3267,"&lt;="&amp;Q808,$N$6:$N$3267,Calendar!$K$4),"")</f>
        <v/>
      </c>
      <c r="W808" s="47">
        <f>IF(AND(B808=Queue!$C$4,OR(Queue!$K$4="*",N808=Queue!$K$4)),Q808,"")</f>
        <v/>
      </c>
    </row>
    <row r="809">
      <c r="A809" s="38">
        <f>IF(M809="","",HYPERLINK("https://www.youtube.com/watch?v="&amp;M809,"▶"))</f>
        <v/>
      </c>
      <c r="B809" s="39">
        <f>IF(C809&lt;&gt;"",C809,IF(P809&lt;=IFERROR(INDEX(tblChannels[Watched Through],MATCH(N809,tblChannels[Channel ID],0)),0),"Watched","Unwatched"))</f>
        <v/>
      </c>
      <c r="C809" s="40" t="n"/>
      <c r="D809" s="41" t="n"/>
      <c r="E809" s="42" t="n">
        <v>45219.41666666666</v>
      </c>
      <c r="F809" s="43" t="inlineStr">
        <is>
          <t>Popcorn Culture</t>
        </is>
      </c>
      <c r="G809" t="inlineStr">
        <is>
          <t>LIVE POP 2023 | Popcorn Culture</t>
        </is>
      </c>
      <c r="H809" s="44" t="n">
        <v>0.04149305555555555</v>
      </c>
      <c r="I809" s="45" t="n">
        <v>4052</v>
      </c>
      <c r="J809" s="45" t="n">
        <v>251</v>
      </c>
      <c r="K809" s="45" t="n">
        <v>18</v>
      </c>
      <c r="L809" s="46" t="n"/>
      <c r="M809" s="47" t="n"/>
      <c r="N809" s="47" t="inlineStr">
        <is>
          <t>UCHfIbq9thHPC8yrKjAdJgDA</t>
        </is>
      </c>
      <c r="O809" s="48" t="n">
        <v>45219.58333333334</v>
      </c>
      <c r="P809" s="49" t="n">
        <v>45219</v>
      </c>
      <c r="Q809" s="47" t="n">
        <v>2459</v>
      </c>
      <c r="R809" s="47" t="inlineStr">
        <is>
          <t>No Video ID yet</t>
        </is>
      </c>
      <c r="S809" s="49" t="n"/>
      <c r="T809" s="49" t="n"/>
      <c r="U809" s="47" t="inlineStr">
        <is>
          <t>In the LIVE 202nd episode of the Pop, Ben and J discuss: homesteading and dependence, taking personality tests for each other, pumpernickel, demigods, Jushi, favorite HP theories, travel destinations, Renaissance Era of Disney, tattoos, godly parents, and (do I even need to say it?) Name of the Wind. Personality Quiz - Lego Disney Princess - Percy Jackson - What If Harry Was In Slytherin - Luna is a Wolf - 00:00 - Intro and Checking Off Bingo Items 04:31 - Homesteading 12:53 - Personality Tests 26:44 - One Word Topics 43:27 - Q&amp;A</t>
        </is>
      </c>
      <c r="V809" s="47">
        <f>IF(AND(P809&gt;=Calendar!$K$2,P809&lt;EDATE(Calendar!$K$2,1),OR(Calendar!$K$4="*",N809=Calendar!$K$4)),P809*100+COUNTIFS($P$6:$P$3267,P809,$Q$6:$Q$3267,"&lt;="&amp;Q809,$N$6:$N$3267,Calendar!$K$4),"")</f>
        <v/>
      </c>
      <c r="W809" s="47">
        <f>IF(AND(B809=Queue!$C$4,OR(Queue!$K$4="*",N809=Queue!$K$4)),Q809,"")</f>
        <v/>
      </c>
    </row>
    <row r="810">
      <c r="A810" s="38">
        <f>IF(M810="","",HYPERLINK("https://www.youtube.com/watch?v="&amp;M810,"▶"))</f>
        <v/>
      </c>
      <c r="B810" s="39">
        <f>IF(C810&lt;&gt;"",C810,IF(P810&lt;=IFERROR(INDEX(tblChannels[Watched Through],MATCH(N810,tblChannels[Channel ID],0)),0),"Watched","Unwatched"))</f>
        <v/>
      </c>
      <c r="C810" s="40" t="n"/>
      <c r="D810" s="41" t="n"/>
      <c r="E810" s="42" t="n">
        <v>45217.71736111111</v>
      </c>
      <c r="F810" s="50" t="inlineStr">
        <is>
          <t>Super Carlin Brothers</t>
        </is>
      </c>
      <c r="G810" t="inlineStr">
        <is>
          <t>The TRUTH About Hogwarts Origins | Harry Potter Film Theory</t>
        </is>
      </c>
      <c r="H810" s="44" t="n">
        <v>0.01346064814814815</v>
      </c>
      <c r="I810" s="45" t="n">
        <v>230443</v>
      </c>
      <c r="J810" s="45" t="n">
        <v>10148</v>
      </c>
      <c r="K810" s="45" t="n">
        <v>811</v>
      </c>
      <c r="L810" s="46" t="n"/>
      <c r="M810" s="47" t="n"/>
      <c r="N810" s="47" t="inlineStr">
        <is>
          <t>UCKZo4N0lVPccBkSiuyVh4yg</t>
        </is>
      </c>
      <c r="O810" s="48" t="n">
        <v>45217.88402777778</v>
      </c>
      <c r="P810" s="49" t="n">
        <v>45217</v>
      </c>
      <c r="Q810" s="47" t="n">
        <v>2458</v>
      </c>
      <c r="R810" s="47" t="inlineStr">
        <is>
          <t>No Video ID yet</t>
        </is>
      </c>
      <c r="S810" s="49" t="n"/>
      <c r="T810" s="49" t="n"/>
      <c r="U810" s="47" t="inlineStr">
        <is>
          <t>Go to to get 20% off your first monthly box. The origins of Hogwarts castle remain a mystery to this day - as does the origin of the schools motto: Draco Dormiens Nunquam Titillandus - Never Tickle a Sleeping Dragon.. Uh ok. Today Ben gets to the bottom of it</t>
        </is>
      </c>
      <c r="V810" s="47">
        <f>IF(AND(P810&gt;=Calendar!$K$2,P810&lt;EDATE(Calendar!$K$2,1),OR(Calendar!$K$4="*",N810=Calendar!$K$4)),P810*100+COUNTIFS($P$6:$P$3267,P810,$Q$6:$Q$3267,"&lt;="&amp;Q810,$N$6:$N$3267,Calendar!$K$4),"")</f>
        <v/>
      </c>
      <c r="W810" s="47">
        <f>IF(AND(B810=Queue!$C$4,OR(Queue!$K$4="*",N810=Queue!$K$4)),Q810,"")</f>
        <v/>
      </c>
    </row>
    <row r="811">
      <c r="A811" s="38">
        <f>IF(M811="","",HYPERLINK("https://www.youtube.com/watch?v="&amp;M811,"▶"))</f>
        <v/>
      </c>
      <c r="B811" s="39">
        <f>IF(C811&lt;&gt;"",C811,IF(P811&lt;=IFERROR(INDEX(tblChannels[Watched Through],MATCH(N811,tblChannels[Channel ID],0)),0),"Watched","Unwatched"))</f>
        <v/>
      </c>
      <c r="C811" s="40" t="n"/>
      <c r="D811" s="41" t="n"/>
      <c r="E811" s="42" t="n">
        <v>45214.41666666666</v>
      </c>
      <c r="F811" s="51" t="inlineStr">
        <is>
          <t>Through The Griffin Door</t>
        </is>
      </c>
      <c r="G811" t="inlineStr">
        <is>
          <t>Chapter 5: Diagon Alley | Philosopher's Stone</t>
        </is>
      </c>
      <c r="H811" s="44" t="n">
        <v>0.05077546296296296</v>
      </c>
      <c r="I811" s="45" t="n">
        <v>106653</v>
      </c>
      <c r="J811" s="45" t="n">
        <v>3233</v>
      </c>
      <c r="K811" s="45" t="n">
        <v>818</v>
      </c>
      <c r="L811" s="46" t="n"/>
      <c r="M811" s="47" t="n"/>
      <c r="N811" s="47" t="inlineStr">
        <is>
          <t>UCEscP6ETYXWSSvsNrDHekMQ</t>
        </is>
      </c>
      <c r="O811" s="48" t="n">
        <v>45214.58333333334</v>
      </c>
      <c r="P811" s="49" t="n">
        <v>45214</v>
      </c>
      <c r="Q811" s="47" t="n">
        <v>2457</v>
      </c>
      <c r="R811" s="47" t="inlineStr">
        <is>
          <t>No Video ID yet</t>
        </is>
      </c>
      <c r="S811" s="49" t="n"/>
      <c r="T811" s="49" t="n"/>
      <c r="U811" s="47" t="inlineStr">
        <is>
          <t>Join J and Ben as they dive into Chapter 5 of the Philosopher’s Stone and discuss wizarding currency, Hagrid’s method of travel, Gringotts underground, people recognizing Harry, Quirrell’s innocuous intro, meeting Malfoy, wand details, hamburgers, and the Invisibility Cloak. Have a question you’d like answered for a future episode? Submit it here: 01:53 - Chapter Breakdown 1:07:58 - Closing Thoughts and Chapter Art</t>
        </is>
      </c>
      <c r="V811" s="47">
        <f>IF(AND(P811&gt;=Calendar!$K$2,P811&lt;EDATE(Calendar!$K$2,1),OR(Calendar!$K$4="*",N811=Calendar!$K$4)),P811*100+COUNTIFS($P$6:$P$3267,P811,$Q$6:$Q$3267,"&lt;="&amp;Q811,$N$6:$N$3267,Calendar!$K$4),"")</f>
        <v/>
      </c>
      <c r="W811" s="47">
        <f>IF(AND(B811=Queue!$C$4,OR(Queue!$K$4="*",N811=Queue!$K$4)),Q811,"")</f>
        <v/>
      </c>
    </row>
    <row r="812">
      <c r="A812" s="38">
        <f>IF(M812="","",HYPERLINK("https://www.youtube.com/watch?v="&amp;M812,"▶"))</f>
        <v/>
      </c>
      <c r="B812" s="39">
        <f>IF(C812&lt;&gt;"",C812,IF(P812&lt;=IFERROR(INDEX(tblChannels[Watched Through],MATCH(N812,tblChannels[Channel ID],0)),0),"Watched","Unwatched"))</f>
        <v/>
      </c>
      <c r="C812" s="40" t="n"/>
      <c r="D812" s="41" t="n"/>
      <c r="E812" s="42" t="n">
        <v>45212.64583333334</v>
      </c>
      <c r="F812" s="52" t="inlineStr">
        <is>
          <t>Super Carlin Gaming</t>
        </is>
      </c>
      <c r="G812" t="inlineStr">
        <is>
          <t>Pokemon 151 Delivers The Heat | Carlin Brothers Box Breakers S7E2</t>
        </is>
      </c>
      <c r="H812" s="44" t="n">
        <v>0.02740740740740741</v>
      </c>
      <c r="I812" s="45" t="n">
        <v>1935</v>
      </c>
      <c r="J812" s="45" t="n">
        <v>105</v>
      </c>
      <c r="K812" s="45" t="n">
        <v>7</v>
      </c>
      <c r="L812" s="46" t="n"/>
      <c r="M812" s="47" t="n"/>
      <c r="N812" s="47" t="inlineStr">
        <is>
          <t>UCor_9jRnNNZVzTuQ92PKsaQ</t>
        </is>
      </c>
      <c r="O812" s="48" t="n">
        <v>45212.8125</v>
      </c>
      <c r="P812" s="49" t="n">
        <v>45212</v>
      </c>
      <c r="Q812" s="47" t="n">
        <v>2456</v>
      </c>
      <c r="R812" s="47" t="inlineStr">
        <is>
          <t>No Video ID yet</t>
        </is>
      </c>
      <c r="S812" s="49" t="n"/>
      <c r="T812" s="49" t="n"/>
      <c r="U812" s="47" t="n"/>
      <c r="V812" s="47">
        <f>IF(AND(P812&gt;=Calendar!$K$2,P812&lt;EDATE(Calendar!$K$2,1),OR(Calendar!$K$4="*",N812=Calendar!$K$4)),P812*100+COUNTIFS($P$6:$P$3267,P812,$Q$6:$Q$3267,"&lt;="&amp;Q812,$N$6:$N$3267,Calendar!$K$4),"")</f>
        <v/>
      </c>
      <c r="W812" s="47">
        <f>IF(AND(B812=Queue!$C$4,OR(Queue!$K$4="*",N812=Queue!$K$4)),Q812,"")</f>
        <v/>
      </c>
    </row>
    <row r="813">
      <c r="A813" s="38">
        <f>IF(M813="","",HYPERLINK("https://www.youtube.com/watch?v="&amp;M813,"▶"))</f>
        <v/>
      </c>
      <c r="B813" s="39">
        <f>IF(C813&lt;&gt;"",C813,IF(P813&lt;=IFERROR(INDEX(tblChannels[Watched Through],MATCH(N813,tblChannels[Channel ID],0)),0),"Watched","Unwatched"))</f>
        <v/>
      </c>
      <c r="C813" s="40" t="n"/>
      <c r="D813" s="41" t="n"/>
      <c r="E813" s="42" t="n">
        <v>45212.56666666667</v>
      </c>
      <c r="F813" s="50" t="inlineStr">
        <is>
          <t>Super Carlin Brothers</t>
        </is>
      </c>
      <c r="G813" t="inlineStr">
        <is>
          <t>The TRUTH About Alcohol in Butter Beer | Harry Potter Film Theory</t>
        </is>
      </c>
      <c r="H813" s="44" t="n">
        <v>0.009131944444444444</v>
      </c>
      <c r="I813" s="45" t="n">
        <v>202996</v>
      </c>
      <c r="J813" s="45" t="n">
        <v>8970</v>
      </c>
      <c r="K813" s="45" t="n">
        <v>1004</v>
      </c>
      <c r="L813" s="46" t="n"/>
      <c r="M813" s="47" t="n"/>
      <c r="N813" s="47" t="inlineStr">
        <is>
          <t>UCKZo4N0lVPccBkSiuyVh4yg</t>
        </is>
      </c>
      <c r="O813" s="48" t="n">
        <v>45212.73333333333</v>
      </c>
      <c r="P813" s="49" t="n">
        <v>45212</v>
      </c>
      <c r="Q813" s="47" t="n">
        <v>2455</v>
      </c>
      <c r="R813" s="47" t="inlineStr">
        <is>
          <t>No Video ID yet</t>
        </is>
      </c>
      <c r="S813" s="49" t="n"/>
      <c r="T813" s="49" t="n"/>
      <c r="U813" s="47" t="inlineStr">
        <is>
          <t>Go to and use code super50 to get 50% off. Is Butter Beer Alcoholic? Today J gets to the bottom the alcoholic content of butter beer and examines the wizarding world’s relationship with alcohol as a whole.</t>
        </is>
      </c>
      <c r="V813" s="47">
        <f>IF(AND(P813&gt;=Calendar!$K$2,P813&lt;EDATE(Calendar!$K$2,1),OR(Calendar!$K$4="*",N813=Calendar!$K$4)),P813*100+COUNTIFS($P$6:$P$3267,P813,$Q$6:$Q$3267,"&lt;="&amp;Q813,$N$6:$N$3267,Calendar!$K$4),"")</f>
        <v/>
      </c>
      <c r="W813" s="47">
        <f>IF(AND(B813=Queue!$C$4,OR(Queue!$K$4="*",N813=Queue!$K$4)),Q813,"")</f>
        <v/>
      </c>
    </row>
    <row r="814">
      <c r="A814" s="38">
        <f>IF(M814="","",HYPERLINK("https://www.youtube.com/watch?v="&amp;M814,"▶"))</f>
        <v/>
      </c>
      <c r="B814" s="39">
        <f>IF(C814&lt;&gt;"",C814,IF(P814&lt;=IFERROR(INDEX(tblChannels[Watched Through],MATCH(N814,tblChannels[Channel ID],0)),0),"Watched","Unwatched"))</f>
        <v/>
      </c>
      <c r="C814" s="40" t="n"/>
      <c r="D814" s="41" t="n"/>
      <c r="E814" s="42" t="n">
        <v>45212.41666666666</v>
      </c>
      <c r="F814" s="43" t="inlineStr">
        <is>
          <t>Popcorn Culture</t>
        </is>
      </c>
      <c r="G814" t="inlineStr">
        <is>
          <t>Sidewalk Climbing  | Popcorn Culture</t>
        </is>
      </c>
      <c r="H814" s="44" t="n">
        <v>0.05290509259259259</v>
      </c>
      <c r="I814" s="45" t="n">
        <v>4577</v>
      </c>
      <c r="J814" s="45" t="n">
        <v>209</v>
      </c>
      <c r="K814" s="45" t="n">
        <v>58</v>
      </c>
      <c r="L814" s="46" t="n"/>
      <c r="M814" s="47" t="n"/>
      <c r="N814" s="47" t="inlineStr">
        <is>
          <t>UCHfIbq9thHPC8yrKjAdJgDA</t>
        </is>
      </c>
      <c r="O814" s="48" t="n">
        <v>45212.58333333334</v>
      </c>
      <c r="P814" s="49" t="n">
        <v>45212</v>
      </c>
      <c r="Q814" s="47" t="n">
        <v>2454</v>
      </c>
      <c r="R814" s="47" t="inlineStr">
        <is>
          <t>No Video ID yet</t>
        </is>
      </c>
      <c r="S814" s="49" t="n"/>
      <c r="T814" s="49" t="n"/>
      <c r="U814" s="47" t="inlineStr">
        <is>
          <t>In the 201st episode of the Pop, Ben and J discuss three hole punch Jim, personality tests, Boy Scout camp, funny skits, whistling, no hands bike riding, TikToking, DNF-ing a book, and Name of the Wind (per usual). Join us at Go Fest! - Get your tickets for the SCB Trivia Night! - Listen to Through the Griffin Door: Ben’s (old) Wick of the Peek: Project Hail Mary - Personality Quiz - The Good Place- Get your CBM Candle here! - An Absolutely Remarkable Thing - Divergent - Twilight - Encompassed by Spiders I’ve Got a Trick!! The Name of No Handlebar Biking A Good Craftsman Blames His Tools 00:00 - Cold Open: Halloween Costumes 05:17 - Intro, Camp Powhatan 46:16 - TikTok and DNF-ing books</t>
        </is>
      </c>
      <c r="V814" s="47">
        <f>IF(AND(P814&gt;=Calendar!$K$2,P814&lt;EDATE(Calendar!$K$2,1),OR(Calendar!$K$4="*",N814=Calendar!$K$4)),P814*100+COUNTIFS($P$6:$P$3267,P814,$Q$6:$Q$3267,"&lt;="&amp;Q814,$N$6:$N$3267,Calendar!$K$4),"")</f>
        <v/>
      </c>
      <c r="W814" s="47">
        <f>IF(AND(B814=Queue!$C$4,OR(Queue!$K$4="*",N814=Queue!$K$4)),Q814,"")</f>
        <v/>
      </c>
    </row>
    <row r="815">
      <c r="A815" s="38">
        <f>IF(M815="","",HYPERLINK("https://www.youtube.com/watch?v="&amp;M815,"▶"))</f>
        <v/>
      </c>
      <c r="B815" s="39">
        <f>IF(C815&lt;&gt;"",C815,IF(P815&lt;=IFERROR(INDEX(tblChannels[Watched Through],MATCH(N815,tblChannels[Channel ID],0)),0),"Watched","Unwatched"))</f>
        <v/>
      </c>
      <c r="C815" s="40" t="n"/>
      <c r="D815" s="41" t="n"/>
      <c r="E815" s="42" t="n">
        <v>45210.70555555556</v>
      </c>
      <c r="F815" s="50" t="inlineStr">
        <is>
          <t>Super Carlin Brothers</t>
        </is>
      </c>
      <c r="G815" t="inlineStr">
        <is>
          <t>J vs Ben: ULTIMATE COZIEST Harry Potter Trivia Quiz</t>
        </is>
      </c>
      <c r="H815" s="44" t="n">
        <v>0.02402777777777778</v>
      </c>
      <c r="I815" s="45" t="n">
        <v>160806</v>
      </c>
      <c r="J815" s="45" t="n">
        <v>5345</v>
      </c>
      <c r="K815" s="45" t="n">
        <v>565</v>
      </c>
      <c r="L815" s="46" t="n"/>
      <c r="M815" s="47" t="n"/>
      <c r="N815" s="47" t="inlineStr">
        <is>
          <t>UCKZo4N0lVPccBkSiuyVh4yg</t>
        </is>
      </c>
      <c r="O815" s="48" t="n">
        <v>45210.87222222222</v>
      </c>
      <c r="P815" s="49" t="n">
        <v>45210</v>
      </c>
      <c r="Q815" s="47" t="n">
        <v>2453</v>
      </c>
      <c r="R815" s="47" t="inlineStr">
        <is>
          <t>No Video ID yet</t>
        </is>
      </c>
      <c r="S815" s="49" t="n"/>
      <c r="T815" s="49" t="n"/>
      <c r="U815" s="47" t="inlineStr">
        <is>
          <t>Go to for lifetime access for only $89.99! Satisfy your cozy cravings at Get your live show tickets today - This week J and Ben face off once more to find out who know’s more about the COZIEST aspects of the Wizarding World! From Dobby’s Socks to Dumbledore’s Earmuffs we’ve got it all!</t>
        </is>
      </c>
      <c r="V815" s="47">
        <f>IF(AND(P815&gt;=Calendar!$K$2,P815&lt;EDATE(Calendar!$K$2,1),OR(Calendar!$K$4="*",N815=Calendar!$K$4)),P815*100+COUNTIFS($P$6:$P$3267,P815,$Q$6:$Q$3267,"&lt;="&amp;Q815,$N$6:$N$3267,Calendar!$K$4),"")</f>
        <v/>
      </c>
      <c r="W815" s="47">
        <f>IF(AND(B815=Queue!$C$4,OR(Queue!$K$4="*",N815=Queue!$K$4)),Q815,"")</f>
        <v/>
      </c>
    </row>
    <row r="816">
      <c r="A816" s="38">
        <f>IF(M816="","",HYPERLINK("https://www.youtube.com/watch?v="&amp;M816,"▶"))</f>
        <v/>
      </c>
      <c r="B816" s="39">
        <f>IF(C816&lt;&gt;"",C816,IF(P816&lt;=IFERROR(INDEX(tblChannels[Watched Through],MATCH(N816,tblChannels[Channel ID],0)),0),"Watched","Unwatched"))</f>
        <v/>
      </c>
      <c r="C816" s="40" t="n"/>
      <c r="D816" s="41" t="n"/>
      <c r="E816" s="42" t="n">
        <v>45207.41666666666</v>
      </c>
      <c r="F816" s="51" t="inlineStr">
        <is>
          <t>Through The Griffin Door</t>
        </is>
      </c>
      <c r="G816" t="inlineStr">
        <is>
          <t>Chapter 4: The Keeper of the Keys | Philosopher's Stone</t>
        </is>
      </c>
      <c r="H816" s="44" t="n">
        <v>0.03402777777777777</v>
      </c>
      <c r="I816" s="45" t="n">
        <v>91229</v>
      </c>
      <c r="J816" s="45" t="n">
        <v>2976</v>
      </c>
      <c r="K816" s="45" t="n">
        <v>426</v>
      </c>
      <c r="L816" s="46" t="n"/>
      <c r="M816" s="47" t="n"/>
      <c r="N816" s="47" t="inlineStr">
        <is>
          <t>UCEscP6ETYXWSSvsNrDHekMQ</t>
        </is>
      </c>
      <c r="O816" s="48" t="n">
        <v>45207.58333333334</v>
      </c>
      <c r="P816" s="49" t="n">
        <v>45207</v>
      </c>
      <c r="Q816" s="47" t="n">
        <v>2452</v>
      </c>
      <c r="R816" s="47" t="inlineStr">
        <is>
          <t>No Video ID yet</t>
        </is>
      </c>
      <c r="S816" s="49" t="n"/>
      <c r="T816" s="49" t="n"/>
      <c r="U816" s="47" t="inlineStr">
        <is>
          <t>Join J and Ben as they dive into Chapter 4 of the Philosopher’s Stone and discuss Hagrid’s entrance, his umbrella/wand, the use of “squashy” throughout the series, Lily doing magic at home, the original Order, and Hagrid’s coat. Name of the Wind - Hogwarts Exact Location Video - Have a question you’d like answered for a future episode? Submit it here: 01:20 - Chapter Breakdown 43:11 - Closing Thoughts and Chapter Art</t>
        </is>
      </c>
      <c r="V816" s="47">
        <f>IF(AND(P816&gt;=Calendar!$K$2,P816&lt;EDATE(Calendar!$K$2,1),OR(Calendar!$K$4="*",N816=Calendar!$K$4)),P816*100+COUNTIFS($P$6:$P$3267,P816,$Q$6:$Q$3267,"&lt;="&amp;Q816,$N$6:$N$3267,Calendar!$K$4),"")</f>
        <v/>
      </c>
      <c r="W816" s="47">
        <f>IF(AND(B816=Queue!$C$4,OR(Queue!$K$4="*",N816=Queue!$K$4)),Q816,"")</f>
        <v/>
      </c>
    </row>
    <row r="817">
      <c r="A817" s="38">
        <f>IF(M817="","",HYPERLINK("https://www.youtube.com/watch?v="&amp;M817,"▶"))</f>
        <v/>
      </c>
      <c r="B817" s="39">
        <f>IF(C817&lt;&gt;"",C817,IF(P817&lt;=IFERROR(INDEX(tblChannels[Watched Through],MATCH(N817,tblChannels[Channel ID],0)),0),"Watched","Unwatched"))</f>
        <v/>
      </c>
      <c r="C817" s="40" t="n"/>
      <c r="D817" s="41" t="n"/>
      <c r="E817" s="42" t="n">
        <v>45205.77083333334</v>
      </c>
      <c r="F817" s="52" t="inlineStr">
        <is>
          <t>Super Carlin Gaming</t>
        </is>
      </c>
      <c r="G817" t="inlineStr">
        <is>
          <t>POKEMON 151 IS HERE | Carlin Brothers Box Breakers S7E1</t>
        </is>
      </c>
      <c r="H817" s="44" t="n">
        <v>0.035</v>
      </c>
      <c r="I817" s="45" t="n">
        <v>2624</v>
      </c>
      <c r="J817" s="45" t="n">
        <v>120</v>
      </c>
      <c r="K817" s="45" t="n">
        <v>10</v>
      </c>
      <c r="L817" s="46" t="n"/>
      <c r="M817" s="47" t="n"/>
      <c r="N817" s="47" t="inlineStr">
        <is>
          <t>UCor_9jRnNNZVzTuQ92PKsaQ</t>
        </is>
      </c>
      <c r="O817" s="48" t="n">
        <v>45205.9375</v>
      </c>
      <c r="P817" s="49" t="n">
        <v>45205</v>
      </c>
      <c r="Q817" s="47" t="n">
        <v>2451</v>
      </c>
      <c r="R817" s="47" t="inlineStr">
        <is>
          <t>No Video ID yet</t>
        </is>
      </c>
      <c r="S817" s="49" t="n"/>
      <c r="T817" s="49" t="n"/>
      <c r="U817" s="47" t="n"/>
      <c r="V817" s="47">
        <f>IF(AND(P817&gt;=Calendar!$K$2,P817&lt;EDATE(Calendar!$K$2,1),OR(Calendar!$K$4="*",N817=Calendar!$K$4)),P817*100+COUNTIFS($P$6:$P$3267,P817,$Q$6:$Q$3267,"&lt;="&amp;Q817,$N$6:$N$3267,Calendar!$K$4),"")</f>
        <v/>
      </c>
      <c r="W817" s="47">
        <f>IF(AND(B817=Queue!$C$4,OR(Queue!$K$4="*",N817=Queue!$K$4)),Q817,"")</f>
        <v/>
      </c>
    </row>
    <row r="818">
      <c r="A818" s="38">
        <f>IF(M818="","",HYPERLINK("https://www.youtube.com/watch?v="&amp;M818,"▶"))</f>
        <v/>
      </c>
      <c r="B818" s="39">
        <f>IF(C818&lt;&gt;"",C818,IF(P818&lt;=IFERROR(INDEX(tblChannels[Watched Through],MATCH(N818,tblChannels[Channel ID],0)),0),"Watched","Unwatched"))</f>
        <v/>
      </c>
      <c r="C818" s="40" t="n"/>
      <c r="D818" s="41" t="n"/>
      <c r="E818" s="42" t="n">
        <v>45205.5875</v>
      </c>
      <c r="F818" s="50" t="inlineStr">
        <is>
          <t>Super Carlin Brothers</t>
        </is>
      </c>
      <c r="G818" t="inlineStr">
        <is>
          <t>SHOULD Harry Have Been In Slytherin? | Harry Potter Film Theory</t>
        </is>
      </c>
      <c r="H818" s="44" t="n">
        <v>0.01162037037037037</v>
      </c>
      <c r="I818" s="45" t="n">
        <v>139041</v>
      </c>
      <c r="J818" s="45" t="n">
        <v>6325</v>
      </c>
      <c r="K818" s="45" t="n">
        <v>480</v>
      </c>
      <c r="L818" s="46" t="n"/>
      <c r="M818" s="47" t="n"/>
      <c r="N818" s="47" t="inlineStr">
        <is>
          <t>UCKZo4N0lVPccBkSiuyVh4yg</t>
        </is>
      </c>
      <c r="O818" s="48" t="n">
        <v>45205.75416666667</v>
      </c>
      <c r="P818" s="49" t="n">
        <v>45205</v>
      </c>
      <c r="Q818" s="47" t="n">
        <v>2450</v>
      </c>
      <c r="R818" s="47" t="inlineStr">
        <is>
          <t>No Video ID yet</t>
        </is>
      </c>
      <c r="S818" s="49" t="n"/>
      <c r="T818" s="49" t="n"/>
      <c r="U818" s="47" t="inlineStr">
        <is>
          <t>Check out SpinMaster's 4D Puzzles below! Amazon: Target: This week Ben dives into the Wizarding World of Harry Potter to question Harry’s sorting. SHOULD he have been in Slytherin after all? Was it all just circumstantial that he knew to ask not to be?</t>
        </is>
      </c>
      <c r="V818" s="47">
        <f>IF(AND(P818&gt;=Calendar!$K$2,P818&lt;EDATE(Calendar!$K$2,1),OR(Calendar!$K$4="*",N818=Calendar!$K$4)),P818*100+COUNTIFS($P$6:$P$3267,P818,$Q$6:$Q$3267,"&lt;="&amp;Q818,$N$6:$N$3267,Calendar!$K$4),"")</f>
        <v/>
      </c>
      <c r="W818" s="47">
        <f>IF(AND(B818=Queue!$C$4,OR(Queue!$K$4="*",N818=Queue!$K$4)),Q818,"")</f>
        <v/>
      </c>
    </row>
    <row r="819">
      <c r="A819" s="38">
        <f>IF(M819="","",HYPERLINK("https://www.youtube.com/watch?v="&amp;M819,"▶"))</f>
        <v/>
      </c>
      <c r="B819" s="39">
        <f>IF(C819&lt;&gt;"",C819,IF(P819&lt;=IFERROR(INDEX(tblChannels[Watched Through],MATCH(N819,tblChannels[Channel ID],0)),0),"Watched","Unwatched"))</f>
        <v/>
      </c>
      <c r="C819" s="40" t="n"/>
      <c r="D819" s="41" t="n"/>
      <c r="E819" s="42" t="n">
        <v>45205.41666666666</v>
      </c>
      <c r="F819" s="43" t="inlineStr">
        <is>
          <t>Popcorn Culture</t>
        </is>
      </c>
      <c r="G819" t="inlineStr">
        <is>
          <t>TWO HUNDRED!!  | Popcorn Culture</t>
        </is>
      </c>
      <c r="H819" s="44" t="n">
        <v>0.04818287037037037</v>
      </c>
      <c r="I819" s="45" t="n">
        <v>4815</v>
      </c>
      <c r="J819" s="45" t="n">
        <v>265</v>
      </c>
      <c r="K819" s="45" t="n">
        <v>66</v>
      </c>
      <c r="L819" s="46" t="n"/>
      <c r="M819" s="47" t="n"/>
      <c r="N819" s="47" t="inlineStr">
        <is>
          <t>UCHfIbq9thHPC8yrKjAdJgDA</t>
        </is>
      </c>
      <c r="O819" s="48" t="n">
        <v>45205.58333333334</v>
      </c>
      <c r="P819" s="49" t="n">
        <v>45205</v>
      </c>
      <c r="Q819" s="47" t="n">
        <v>2449</v>
      </c>
      <c r="R819" s="47" t="inlineStr">
        <is>
          <t>No Video ID yet</t>
        </is>
      </c>
      <c r="S819" s="49" t="n"/>
      <c r="T819" s="49" t="n"/>
      <c r="U819" s="47" t="inlineStr">
        <is>
          <t>In the 200th (!!!!!!!!!) episode of the Pop, Ben and J discuss accents, the Land Before Time, movies/shows they haven’t seen, wicks of the peek, Facebook games back in the day, early days of texting, TikTok, the Sunday Scaries, Chucks, and Prom. Join us at Go Fest! - Get your tickets for the SCB Trivia Night! - J’s Wick of the Peek - One Piece (live action): Listen to Through the Griffin Door: Derry Girls - The Land Before Time - Dinosaur - Treasure Planet - Game of Thrones - Straw Hat Goofy - One Piece (anime) - Mandarin Goby - I, Robot - Holy Freaking Mothballs Pirates vs Ninjas The 180 of Farmville 00:00 - Cold Open: Ben’s Random Accent 03:46 - Intro, EPISODE TWO HUNDRED!!! 05:50 - Dinosaurs 22:27 - Wicks of the Peek 47:20 - The Grand TikTok Experiment</t>
        </is>
      </c>
      <c r="V819" s="47">
        <f>IF(AND(P819&gt;=Calendar!$K$2,P819&lt;EDATE(Calendar!$K$2,1),OR(Calendar!$K$4="*",N819=Calendar!$K$4)),P819*100+COUNTIFS($P$6:$P$3267,P819,$Q$6:$Q$3267,"&lt;="&amp;Q819,$N$6:$N$3267,Calendar!$K$4),"")</f>
        <v/>
      </c>
      <c r="W819" s="47">
        <f>IF(AND(B819=Queue!$C$4,OR(Queue!$K$4="*",N819=Queue!$K$4)),Q819,"")</f>
        <v/>
      </c>
    </row>
    <row r="820">
      <c r="A820" s="38">
        <f>IF(M820="","",HYPERLINK("https://www.youtube.com/watch?v="&amp;M820,"▶"))</f>
        <v/>
      </c>
      <c r="B820" s="39">
        <f>IF(C820&lt;&gt;"",C820,IF(P820&lt;=IFERROR(INDEX(tblChannels[Watched Through],MATCH(N820,tblChannels[Channel ID],0)),0),"Watched","Unwatched"))</f>
        <v/>
      </c>
      <c r="C820" s="40" t="n"/>
      <c r="D820" s="41" t="n"/>
      <c r="E820" s="42" t="n">
        <v>45203.67430555556</v>
      </c>
      <c r="F820" s="50" t="inlineStr">
        <is>
          <t>Super Carlin Brothers</t>
        </is>
      </c>
      <c r="G820" t="inlineStr">
        <is>
          <t>Harry’s WORST FEAR Explained | Harry Potter Film Theory</t>
        </is>
      </c>
      <c r="H820" s="44" t="n">
        <v>0.01059027777777778</v>
      </c>
      <c r="I820" s="45" t="n">
        <v>167714</v>
      </c>
      <c r="J820" s="45" t="n">
        <v>7282</v>
      </c>
      <c r="K820" s="45" t="n">
        <v>475</v>
      </c>
      <c r="L820" s="46" t="n"/>
      <c r="M820" s="47" t="n"/>
      <c r="N820" s="47" t="inlineStr">
        <is>
          <t>UCKZo4N0lVPccBkSiuyVh4yg</t>
        </is>
      </c>
      <c r="O820" s="48" t="n">
        <v>45203.84097222222</v>
      </c>
      <c r="P820" s="49" t="n">
        <v>45203</v>
      </c>
      <c r="Q820" s="47" t="n">
        <v>2448</v>
      </c>
      <c r="R820" s="47" t="inlineStr">
        <is>
          <t>No Video ID yet</t>
        </is>
      </c>
      <c r="S820" s="49" t="n"/>
      <c r="T820" s="49" t="n"/>
      <c r="U820" s="47" t="inlineStr">
        <is>
          <t>Go to to get 25% off your first order and free shipping. This week J dives into the Wizarding World of Harry Potter to discuss Harry’s worst fear: FEAR ITSELF. Lupin claims this is a very wise fear but it’s not exactly clear what he means by that. Dont worry, we got you covered! The (Only) 5 Fears We All Share #supercarlinbrothers #HarryPotter #WandsUp</t>
        </is>
      </c>
      <c r="V820" s="47">
        <f>IF(AND(P820&gt;=Calendar!$K$2,P820&lt;EDATE(Calendar!$K$2,1),OR(Calendar!$K$4="*",N820=Calendar!$K$4)),P820*100+COUNTIFS($P$6:$P$3267,P820,$Q$6:$Q$3267,"&lt;="&amp;Q820,$N$6:$N$3267,Calendar!$K$4),"")</f>
        <v/>
      </c>
      <c r="W820" s="47">
        <f>IF(AND(B820=Queue!$C$4,OR(Queue!$K$4="*",N820=Queue!$K$4)),Q820,"")</f>
        <v/>
      </c>
    </row>
    <row r="821">
      <c r="A821" s="38">
        <f>IF(M821="","",HYPERLINK("https://www.youtube.com/watch?v="&amp;M821,"▶"))</f>
        <v/>
      </c>
      <c r="B821" s="39">
        <f>IF(C821&lt;&gt;"",C821,IF(P821&lt;=IFERROR(INDEX(tblChannels[Watched Through],MATCH(N821,tblChannels[Channel ID],0)),0),"Watched","Unwatched"))</f>
        <v/>
      </c>
      <c r="C821" s="40" t="n"/>
      <c r="D821" s="41" t="n"/>
      <c r="E821" s="42" t="n">
        <v>45200.42708333334</v>
      </c>
      <c r="F821" s="51" t="inlineStr">
        <is>
          <t>Through The Griffin Door</t>
        </is>
      </c>
      <c r="G821" t="inlineStr">
        <is>
          <t>Chapter 2: The Vanishing Glass | Philosopher's Stone</t>
        </is>
      </c>
      <c r="H821" s="44" t="n">
        <v>0.04112268518518519</v>
      </c>
      <c r="I821" s="45" t="n">
        <v>73897</v>
      </c>
      <c r="J821" s="45" t="n">
        <v>1975</v>
      </c>
      <c r="K821" s="45" t="n">
        <v>263</v>
      </c>
      <c r="L821" s="46" t="n"/>
      <c r="M821" s="47" t="n"/>
      <c r="N821" s="47" t="inlineStr">
        <is>
          <t>UCEscP6ETYXWSSvsNrDHekMQ</t>
        </is>
      </c>
      <c r="O821" s="48" t="n">
        <v>45200.59375</v>
      </c>
      <c r="P821" s="49" t="n">
        <v>45200</v>
      </c>
      <c r="Q821" s="47" t="n">
        <v>2447</v>
      </c>
      <c r="R821" s="47" t="inlineStr">
        <is>
          <t>No Video ID yet</t>
        </is>
      </c>
      <c r="S821" s="49" t="n"/>
      <c r="T821" s="49" t="n"/>
      <c r="U821" s="47" t="inlineStr">
        <is>
          <t>Join J and Ben as they dive into Chapter 2 of the Philosopher’s Stone and discuss the use of “Philosopher” vs. “Sorcerer’s” Stone, cover art, Petunia’s relationship with Lily, Piers Polkis, Dudley and Harry’s appearance descriptions, Mrs. Fig’s broken leg, vacation home in Majorca, the snake, apparition and the extent of Harry’s abuse. Seamus Gorman YouTube - Rating the Philosopher’s Stone Covers - Peter Pettigrew Rap - Have a question you’d like answered for a future episode? Submit it here: 08:09 - Chapter Breakdown 50:37 - Closing Thoughts and Chapter Art</t>
        </is>
      </c>
      <c r="V821" s="47">
        <f>IF(AND(P821&gt;=Calendar!$K$2,P821&lt;EDATE(Calendar!$K$2,1),OR(Calendar!$K$4="*",N821=Calendar!$K$4)),P821*100+COUNTIFS($P$6:$P$3267,P821,$Q$6:$Q$3267,"&lt;="&amp;Q821,$N$6:$N$3267,Calendar!$K$4),"")</f>
        <v/>
      </c>
      <c r="W821" s="47">
        <f>IF(AND(B821=Queue!$C$4,OR(Queue!$K$4="*",N821=Queue!$K$4)),Q821,"")</f>
        <v/>
      </c>
    </row>
    <row r="822">
      <c r="A822" s="38">
        <f>IF(M822="","",HYPERLINK("https://www.youtube.com/watch?v="&amp;M822,"▶"))</f>
        <v/>
      </c>
      <c r="B822" s="39">
        <f>IF(C822&lt;&gt;"",C822,IF(P822&lt;=IFERROR(INDEX(tblChannels[Watched Through],MATCH(N822,tblChannels[Channel ID],0)),0),"Watched","Unwatched"))</f>
        <v/>
      </c>
      <c r="C822" s="40" t="n"/>
      <c r="D822" s="41" t="n"/>
      <c r="E822" s="42" t="n">
        <v>45200.41666666666</v>
      </c>
      <c r="F822" s="50" t="inlineStr">
        <is>
          <t>Super Carlin Brothers</t>
        </is>
      </c>
      <c r="G822" t="inlineStr">
        <is>
          <t>Through the Griffin Door Supercut: Chapter 1-3 | Philosopher’s Stone</t>
        </is>
      </c>
      <c r="H822" s="44" t="n">
        <v>0.1184259259259259</v>
      </c>
      <c r="I822" s="45" t="n">
        <v>444963</v>
      </c>
      <c r="J822" s="45" t="n">
        <v>7955</v>
      </c>
      <c r="K822" s="45" t="n">
        <v>1436</v>
      </c>
      <c r="L822" s="46" t="n"/>
      <c r="M822" s="47" t="n"/>
      <c r="N822" s="47" t="inlineStr">
        <is>
          <t>UCKZo4N0lVPccBkSiuyVh4yg</t>
        </is>
      </c>
      <c r="O822" s="48" t="n">
        <v>45200.58333333334</v>
      </c>
      <c r="P822" s="49" t="n">
        <v>45200</v>
      </c>
      <c r="Q822" s="47" t="n">
        <v>2446</v>
      </c>
      <c r="R822" s="47" t="inlineStr">
        <is>
          <t>No Video ID yet</t>
        </is>
      </c>
      <c r="S822" s="49" t="n"/>
      <c r="T822" s="49" t="n"/>
      <c r="U822" s="47" t="inlineStr">
        <is>
          <t>Want more? Subscribe!! Join J and Ben as they embark on their newest endeavor: rereading the Harry Potter series in this chapter by chapter recap podcast! We hope you enjoy all the Harry Potter goodness that this podcast will bring. Come along as we go Through the Griffin Door. Watch on Youtube: Chapters Intro - 00:00 06:52 - Chapter 1 01:05:00 - Chapter 2 02:04:31 - Chapter 3 Edited by :: Ethan Edghill and Riley Murtagh</t>
        </is>
      </c>
      <c r="V822" s="47">
        <f>IF(AND(P822&gt;=Calendar!$K$2,P822&lt;EDATE(Calendar!$K$2,1),OR(Calendar!$K$4="*",N822=Calendar!$K$4)),P822*100+COUNTIFS($P$6:$P$3267,P822,$Q$6:$Q$3267,"&lt;="&amp;Q822,$N$6:$N$3267,Calendar!$K$4),"")</f>
        <v/>
      </c>
      <c r="W822" s="47">
        <f>IF(AND(B822=Queue!$C$4,OR(Queue!$K$4="*",N822=Queue!$K$4)),Q822,"")</f>
        <v/>
      </c>
    </row>
    <row r="823">
      <c r="A823" s="38">
        <f>IF(M823="","",HYPERLINK("https://www.youtube.com/watch?v="&amp;M823,"▶"))</f>
        <v/>
      </c>
      <c r="B823" s="39">
        <f>IF(C823&lt;&gt;"",C823,IF(P823&lt;=IFERROR(INDEX(tblChannels[Watched Through],MATCH(N823,tblChannels[Channel ID],0)),0),"Watched","Unwatched"))</f>
        <v/>
      </c>
      <c r="C823" s="40" t="n"/>
      <c r="D823" s="41" t="n"/>
      <c r="E823" s="42" t="n">
        <v>45200.41666666666</v>
      </c>
      <c r="F823" s="51" t="inlineStr">
        <is>
          <t>Through The Griffin Door</t>
        </is>
      </c>
      <c r="G823" t="inlineStr">
        <is>
          <t>Chapter 1: The Boy Who Lived | Philosopher's Stone</t>
        </is>
      </c>
      <c r="H823" s="44" t="n">
        <v>0.0459375</v>
      </c>
      <c r="I823" s="45" t="n">
        <v>118376</v>
      </c>
      <c r="J823" s="45" t="n">
        <v>3396</v>
      </c>
      <c r="K823" s="45" t="n">
        <v>435</v>
      </c>
      <c r="L823" s="46" t="n"/>
      <c r="M823" s="47" t="n"/>
      <c r="N823" s="47" t="inlineStr">
        <is>
          <t>UCEscP6ETYXWSSvsNrDHekMQ</t>
        </is>
      </c>
      <c r="O823" s="48" t="n">
        <v>45200.58333333334</v>
      </c>
      <c r="P823" s="49" t="n">
        <v>45200</v>
      </c>
      <c r="Q823" s="47" t="n">
        <v>2445</v>
      </c>
      <c r="R823" s="47" t="inlineStr">
        <is>
          <t>No Video ID yet</t>
        </is>
      </c>
      <c r="S823" s="49" t="n"/>
      <c r="T823" s="49" t="n"/>
      <c r="U823" s="47" t="inlineStr">
        <is>
          <t>Join J and Ben as they dive into Chapter 1 of the Philosopher’s Stone and discuss starting this podcast, the point of view development, character intros, general inconsistencies because of Pilot Episode-itis, the Ripley Scroll, the original Order of the Phoenix, their desire for a Founders series and the emotional impact of the chapter. Bonfire Night - The Ripley Scroll - What If Neville Was the Chosen One - Have a question you’d like answered for a future episode? Submit it here: 06:52 - Chapter Breakdown 52:34 - Closing Thoughts and Chapter Art</t>
        </is>
      </c>
      <c r="V823" s="47">
        <f>IF(AND(P823&gt;=Calendar!$K$2,P823&lt;EDATE(Calendar!$K$2,1),OR(Calendar!$K$4="*",N823=Calendar!$K$4)),P823*100+COUNTIFS($P$6:$P$3267,P823,$Q$6:$Q$3267,"&lt;="&amp;Q823,$N$6:$N$3267,Calendar!$K$4),"")</f>
        <v/>
      </c>
      <c r="W823" s="47">
        <f>IF(AND(B823=Queue!$C$4,OR(Queue!$K$4="*",N823=Queue!$K$4)),Q823,"")</f>
        <v/>
      </c>
    </row>
    <row r="824">
      <c r="A824" s="38">
        <f>IF(M824="","",HYPERLINK("https://www.youtube.com/watch?v="&amp;M824,"▶"))</f>
        <v/>
      </c>
      <c r="B824" s="39">
        <f>IF(C824&lt;&gt;"",C824,IF(P824&lt;=IFERROR(INDEX(tblChannels[Watched Through],MATCH(N824,tblChannels[Channel ID],0)),0),"Watched","Unwatched"))</f>
        <v/>
      </c>
      <c r="C824" s="40" t="n"/>
      <c r="D824" s="41" t="n"/>
      <c r="E824" s="42" t="n">
        <v>45199.4375</v>
      </c>
      <c r="F824" s="51" t="inlineStr">
        <is>
          <t>Through The Griffin Door</t>
        </is>
      </c>
      <c r="G824" t="inlineStr">
        <is>
          <t>Chapter 3: Letters From No One | Philosopher's Stone</t>
        </is>
      </c>
      <c r="H824" s="44" t="n">
        <v>0.03111111111111111</v>
      </c>
      <c r="I824" s="45" t="n">
        <v>62980</v>
      </c>
      <c r="J824" s="45" t="n">
        <v>1802</v>
      </c>
      <c r="K824" s="45" t="n">
        <v>255</v>
      </c>
      <c r="L824" s="46" t="n"/>
      <c r="M824" s="47" t="n"/>
      <c r="N824" s="47" t="inlineStr">
        <is>
          <t>UCEscP6ETYXWSSvsNrDHekMQ</t>
        </is>
      </c>
      <c r="O824" s="48" t="n">
        <v>45199.60416666666</v>
      </c>
      <c r="P824" s="49" t="n">
        <v>45199</v>
      </c>
      <c r="Q824" s="47" t="n">
        <v>2444</v>
      </c>
      <c r="R824" s="47" t="inlineStr">
        <is>
          <t>No Video ID yet</t>
        </is>
      </c>
      <c r="S824" s="49" t="n"/>
      <c r="T824" s="49" t="n"/>
      <c r="U824" s="47" t="inlineStr">
        <is>
          <t>Join J and Ben as they dive into Chapter 3 of the Philosopher’s Stone and discuss Dumbledore’s passive aggression, Harry’s zingers, Smeltings colors, welks, the Dursley’s weird logic, socks, and cliffhangers. Have a question you’d like answered for a future episode? Submit it here: 03:09 - Chapter Breakdown 38:57 - Closing Thoughts and Chapter Art</t>
        </is>
      </c>
      <c r="V824" s="47">
        <f>IF(AND(P824&gt;=Calendar!$K$2,P824&lt;EDATE(Calendar!$K$2,1),OR(Calendar!$K$4="*",N824=Calendar!$K$4)),P824*100+COUNTIFS($P$6:$P$3267,P824,$Q$6:$Q$3267,"&lt;="&amp;Q824,$N$6:$N$3267,Calendar!$K$4),"")</f>
        <v/>
      </c>
      <c r="W824" s="47">
        <f>IF(AND(B824=Queue!$C$4,OR(Queue!$K$4="*",N824=Queue!$K$4)),Q824,"")</f>
        <v/>
      </c>
    </row>
    <row r="825">
      <c r="A825" s="38">
        <f>IF(M825="","",HYPERLINK("https://www.youtube.com/watch?v="&amp;M825,"▶"))</f>
        <v/>
      </c>
      <c r="B825" s="39">
        <f>IF(C825&lt;&gt;"",C825,IF(P825&lt;=IFERROR(INDEX(tblChannels[Watched Through],MATCH(N825,tblChannels[Channel ID],0)),0),"Watched","Unwatched"))</f>
        <v/>
      </c>
      <c r="C825" s="40" t="n"/>
      <c r="D825" s="41" t="n"/>
      <c r="E825" s="42" t="n">
        <v>45198.67291666667</v>
      </c>
      <c r="F825" s="50" t="inlineStr">
        <is>
          <t>Super Carlin Brothers</t>
        </is>
      </c>
      <c r="G825" t="inlineStr">
        <is>
          <t>Albus Dumbledore's COMPLETE Life Story | Harry Potter Film Theory</t>
        </is>
      </c>
      <c r="H825" s="44" t="n">
        <v>0.01993055555555556</v>
      </c>
      <c r="I825" s="45" t="n">
        <v>310537</v>
      </c>
      <c r="J825" s="45" t="n">
        <v>9771</v>
      </c>
      <c r="K825" s="45" t="n">
        <v>563</v>
      </c>
      <c r="L825" s="46" t="n"/>
      <c r="M825" s="47" t="n"/>
      <c r="N825" s="47" t="inlineStr">
        <is>
          <t>UCKZo4N0lVPccBkSiuyVh4yg</t>
        </is>
      </c>
      <c r="O825" s="48" t="n">
        <v>45198.83958333333</v>
      </c>
      <c r="P825" s="49" t="n">
        <v>45198</v>
      </c>
      <c r="Q825" s="47" t="n">
        <v>2443</v>
      </c>
      <c r="R825" s="47" t="inlineStr">
        <is>
          <t>No Video ID yet</t>
        </is>
      </c>
      <c r="S825" s="49" t="n"/>
      <c r="T825" s="49" t="n"/>
      <c r="U825" s="47" t="inlineStr">
        <is>
          <t>In honor of the passing of Michael Gambon who breathed such life into the on-screen persona of Albus Dumbledore, today we are giving an account of the FULL LIFE of Albus Dumbledore. Through The Griffin Door Chapters 1-3 Launches this Sunday! #supercarlinbrothers #HarryPotter #WandsUp</t>
        </is>
      </c>
      <c r="V825" s="47">
        <f>IF(AND(P825&gt;=Calendar!$K$2,P825&lt;EDATE(Calendar!$K$2,1),OR(Calendar!$K$4="*",N825=Calendar!$K$4)),P825*100+COUNTIFS($P$6:$P$3267,P825,$Q$6:$Q$3267,"&lt;="&amp;Q825,$N$6:$N$3267,Calendar!$K$4),"")</f>
        <v/>
      </c>
      <c r="W825" s="47">
        <f>IF(AND(B825=Queue!$C$4,OR(Queue!$K$4="*",N825=Queue!$K$4)),Q825,"")</f>
        <v/>
      </c>
    </row>
    <row r="826">
      <c r="A826" s="38">
        <f>IF(M826="","",HYPERLINK("https://www.youtube.com/watch?v="&amp;M826,"▶"))</f>
        <v/>
      </c>
      <c r="B826" s="39">
        <f>IF(C826&lt;&gt;"",C826,IF(P826&lt;=IFERROR(INDEX(tblChannels[Watched Through],MATCH(N826,tblChannels[Channel ID],0)),0),"Watched","Unwatched"))</f>
        <v/>
      </c>
      <c r="C826" s="40" t="n"/>
      <c r="D826" s="41" t="n"/>
      <c r="E826" s="42" t="n">
        <v>45198.41666666666</v>
      </c>
      <c r="F826" s="43" t="inlineStr">
        <is>
          <t>Popcorn Culture</t>
        </is>
      </c>
      <c r="G826" t="inlineStr">
        <is>
          <t>The Mysterious Thumping Noise | Popcorn Culture</t>
        </is>
      </c>
      <c r="H826" s="44" t="n">
        <v>0.05356481481481482</v>
      </c>
      <c r="I826" s="45" t="n">
        <v>4162</v>
      </c>
      <c r="J826" s="45" t="n">
        <v>232</v>
      </c>
      <c r="K826" s="45" t="n">
        <v>22</v>
      </c>
      <c r="L826" s="46" t="n"/>
      <c r="M826" s="47" t="n"/>
      <c r="N826" s="47" t="inlineStr">
        <is>
          <t>UCHfIbq9thHPC8yrKjAdJgDA</t>
        </is>
      </c>
      <c r="O826" s="48" t="n">
        <v>45198.58333333334</v>
      </c>
      <c r="P826" s="49" t="n">
        <v>45198</v>
      </c>
      <c r="Q826" s="47" t="n">
        <v>2442</v>
      </c>
      <c r="R826" s="47" t="inlineStr">
        <is>
          <t>No Video ID yet</t>
        </is>
      </c>
      <c r="S826" s="49" t="n"/>
      <c r="T826" s="49" t="n"/>
      <c r="U826" s="47" t="inlineStr">
        <is>
          <t>In the 199th episode of the Pop, Ben and J discuss their NEW PODCAST!!! J’s relationship with anniversaries, corn’s ROI, weird numbers, Crystal the horse, Ben’s house/dog dilemma, splitting logs, TMNT, and a mysterious thumping noise. Join us at Go Fest! - Get your tickets for the SCB Trivia Night! - Through the Griffin Door Links: Listen on Apple Podcasts - Listen on Spotify - Listen Amazon - Listen on Google - Watch on YouTube - Tallest Building in the World - The Cleveland Balloon Debacle - Teenage Mutant Ninja Turtles - National Council of Popcorn Wimbly Wombly Numbers Anything Bagel Crystal the Horse The Blame Chain 00:00 - Cold Open: New Podcast!!! 01:43 - Actual Intro, Anniversaries and Corn 09:15 - Weirdness of Numbers 19:38 - The Crystal Horse Saga 34:55 - Homeowner’s Struggle 47:07 - Chopping Wood 58:56 - Ninja Turtles and Losing Sleep</t>
        </is>
      </c>
      <c r="V826" s="47">
        <f>IF(AND(P826&gt;=Calendar!$K$2,P826&lt;EDATE(Calendar!$K$2,1),OR(Calendar!$K$4="*",N826=Calendar!$K$4)),P826*100+COUNTIFS($P$6:$P$3267,P826,$Q$6:$Q$3267,"&lt;="&amp;Q826,$N$6:$N$3267,Calendar!$K$4),"")</f>
        <v/>
      </c>
      <c r="W826" s="47">
        <f>IF(AND(B826=Queue!$C$4,OR(Queue!$K$4="*",N826=Queue!$K$4)),Q826,"")</f>
        <v/>
      </c>
    </row>
    <row r="827">
      <c r="A827" s="38">
        <f>IF(M827="","",HYPERLINK("https://www.youtube.com/watch?v="&amp;M827,"▶"))</f>
        <v/>
      </c>
      <c r="B827" s="39">
        <f>IF(C827&lt;&gt;"",C827,IF(P827&lt;=IFERROR(INDEX(tblChannels[Watched Through],MATCH(N827,tblChannels[Channel ID],0)),0),"Watched","Unwatched"))</f>
        <v/>
      </c>
      <c r="C827" s="40" t="n"/>
      <c r="D827" s="41" t="n"/>
      <c r="E827" s="42" t="n">
        <v>45197.65694444445</v>
      </c>
      <c r="F827" s="51" t="inlineStr">
        <is>
          <t>Through The Griffin Door</t>
        </is>
      </c>
      <c r="G827" t="inlineStr">
        <is>
          <t>Episode 0 - Through The Griffin Door</t>
        </is>
      </c>
      <c r="H827" s="44" t="n">
        <v>0.01141203703703704</v>
      </c>
      <c r="I827" s="45" t="n">
        <v>29039</v>
      </c>
      <c r="J827" s="45" t="n">
        <v>1533</v>
      </c>
      <c r="K827" s="45" t="n">
        <v>139</v>
      </c>
      <c r="L827" s="46" t="n"/>
      <c r="M827" s="47" t="n"/>
      <c r="N827" s="47" t="inlineStr">
        <is>
          <t>UCEscP6ETYXWSSvsNrDHekMQ</t>
        </is>
      </c>
      <c r="O827" s="48" t="n">
        <v>45197.82361111111</v>
      </c>
      <c r="P827" s="49" t="n">
        <v>45197</v>
      </c>
      <c r="Q827" s="47" t="n">
        <v>2441</v>
      </c>
      <c r="R827" s="47" t="inlineStr">
        <is>
          <t>No Video ID yet</t>
        </is>
      </c>
      <c r="S827" s="49" t="n"/>
      <c r="T827" s="49" t="n"/>
      <c r="U827" s="47" t="inlineStr">
        <is>
          <t>Welcome to the newest podcast from the Super Carlin Brothers: Through the Griffin Door! Join J and Ben as they dive into the Harry Potter series chapter by chapter. As self-proclaimed experts, they are so excited to review the books from a whole new perspective. Have a question you’d like answered for a future episode? Submit it here: Want more Harry Potter content? Check these out: Harry Potter Theories: Dumbledore’s Big Plan: What If Harry Was in Slytherin:</t>
        </is>
      </c>
      <c r="V827" s="47">
        <f>IF(AND(P827&gt;=Calendar!$K$2,P827&lt;EDATE(Calendar!$K$2,1),OR(Calendar!$K$4="*",N827=Calendar!$K$4)),P827*100+COUNTIFS($P$6:$P$3267,P827,$Q$6:$Q$3267,"&lt;="&amp;Q827,$N$6:$N$3267,Calendar!$K$4),"")</f>
        <v/>
      </c>
      <c r="W827" s="47">
        <f>IF(AND(B827=Queue!$C$4,OR(Queue!$K$4="*",N827=Queue!$K$4)),Q827,"")</f>
        <v/>
      </c>
    </row>
    <row r="828">
      <c r="A828" s="38">
        <f>IF(M828="","",HYPERLINK("https://www.youtube.com/watch?v="&amp;M828,"▶"))</f>
        <v/>
      </c>
      <c r="B828" s="39">
        <f>IF(C828&lt;&gt;"",C828,IF(P828&lt;=IFERROR(INDEX(tblChannels[Watched Through],MATCH(N828,tblChannels[Channel ID],0)),0),"Watched","Unwatched"))</f>
        <v/>
      </c>
      <c r="C828" s="40" t="n"/>
      <c r="D828" s="41" t="n"/>
      <c r="E828" s="42" t="n">
        <v>45196.66180555556</v>
      </c>
      <c r="F828" s="50" t="inlineStr">
        <is>
          <t>Super Carlin Brothers</t>
        </is>
      </c>
      <c r="G828" t="inlineStr">
        <is>
          <t>J vs Ben: ULTIMATE Boy Who LIED Harry Potter Trivia Quiz</t>
        </is>
      </c>
      <c r="H828" s="44" t="n">
        <v>0.02407407407407407</v>
      </c>
      <c r="I828" s="45" t="n">
        <v>206959</v>
      </c>
      <c r="J828" s="45" t="n">
        <v>6229</v>
      </c>
      <c r="K828" s="45" t="n">
        <v>546</v>
      </c>
      <c r="L828" s="46" t="n"/>
      <c r="M828" s="47" t="n"/>
      <c r="N828" s="47" t="inlineStr">
        <is>
          <t>UCKZo4N0lVPccBkSiuyVh4yg</t>
        </is>
      </c>
      <c r="O828" s="48" t="n">
        <v>45196.82847222222</v>
      </c>
      <c r="P828" s="49" t="n">
        <v>45196</v>
      </c>
      <c r="Q828" s="47" t="n">
        <v>2440</v>
      </c>
      <c r="R828" s="47" t="inlineStr">
        <is>
          <t>No Video ID yet</t>
        </is>
      </c>
      <c r="S828" s="49" t="n"/>
      <c r="T828" s="49" t="n"/>
      <c r="U828" s="47" t="inlineStr">
        <is>
          <t>Download the DoorDash app and enter code JVSB to get 50% off your first order (up to a $20 value) and zero delivery fees. Go to to try 5 pairs of glasses at home for free. Get your tickets for our LIVE TRIVIA event in Roanoke :: Today J and Ben face off once more to find out who knows more about the Wizarding World of Harry Potter and the boy who LIED! Chapters 02:21 - Q1: Who refused to believe Voldemort was back? 03:08 - Q2: Which Weasley believed the Harry love triangle story? 04:04 - Q3: What made Hermione think she believed the love triangle story? 04:57 - Q4: Which MoM official did believe Harry? 06:01 - Q5: What was Percy's ministry role? 07:15 - Q6: Which professor gives Harry a box of sugar mice? 08:45 - Q7: Who called Harry "mad"? 10:36 - Q8: Which Ravenclaw student believed Harry? 16:21 - Q9: Who is the first to tell Harry they believe he didn't put his name in the GoF? 17:59 - Q10: Which Hufflepuff announced he believed Harry 100%? 20:04 - Q11: Which Gryffindor told Hermione they thought Harry was lying? 22:46 - Q12: Which families cancelled their Daily Prophet subscriptions? 23:50 - Q13: Who joined the DA wanting proof that Voldemort was back? 26:56 - Q14: Who gave Har</t>
        </is>
      </c>
      <c r="V828" s="47">
        <f>IF(AND(P828&gt;=Calendar!$K$2,P828&lt;EDATE(Calendar!$K$2,1),OR(Calendar!$K$4="*",N828=Calendar!$K$4)),P828*100+COUNTIFS($P$6:$P$3267,P828,$Q$6:$Q$3267,"&lt;="&amp;Q828,$N$6:$N$3267,Calendar!$K$4),"")</f>
        <v/>
      </c>
      <c r="W828" s="47">
        <f>IF(AND(B828=Queue!$C$4,OR(Queue!$K$4="*",N828=Queue!$K$4)),Q828,"")</f>
        <v/>
      </c>
    </row>
    <row r="829">
      <c r="A829" s="38">
        <f>IF(M829="","",HYPERLINK("https://www.youtube.com/watch?v="&amp;M829,"▶"))</f>
        <v/>
      </c>
      <c r="B829" s="39">
        <f>IF(C829&lt;&gt;"",C829,IF(P829&lt;=IFERROR(INDEX(tblChannels[Watched Through],MATCH(N829,tblChannels[Channel ID],0)),0),"Watched","Unwatched"))</f>
        <v/>
      </c>
      <c r="C829" s="40" t="n"/>
      <c r="D829" s="41" t="n"/>
      <c r="E829" s="42" t="n">
        <v>45191.77083333334</v>
      </c>
      <c r="F829" s="52" t="inlineStr">
        <is>
          <t>Super Carlin Gaming</t>
        </is>
      </c>
      <c r="G829" t="inlineStr">
        <is>
          <t>Paldea Evolved is FINISHED | Carlin Brothers Box Breakers S6E12</t>
        </is>
      </c>
      <c r="H829" s="44" t="n">
        <v>0.02972222222222222</v>
      </c>
      <c r="I829" s="45" t="n">
        <v>1609</v>
      </c>
      <c r="J829" s="45" t="n">
        <v>94</v>
      </c>
      <c r="K829" s="45" t="n">
        <v>5</v>
      </c>
      <c r="L829" s="46" t="n"/>
      <c r="M829" s="47" t="n"/>
      <c r="N829" s="47" t="inlineStr">
        <is>
          <t>UCor_9jRnNNZVzTuQ92PKsaQ</t>
        </is>
      </c>
      <c r="O829" s="48" t="n">
        <v>45191.9375</v>
      </c>
      <c r="P829" s="49" t="n">
        <v>45191</v>
      </c>
      <c r="Q829" s="47" t="n">
        <v>2439</v>
      </c>
      <c r="R829" s="47" t="inlineStr">
        <is>
          <t>No Video ID yet</t>
        </is>
      </c>
      <c r="S829" s="49" t="n"/>
      <c r="T829" s="49" t="n"/>
      <c r="U829" s="47" t="inlineStr">
        <is>
          <t>THIS WEEK PALDEA EVOLVED ENDS</t>
        </is>
      </c>
      <c r="V829" s="47">
        <f>IF(AND(P829&gt;=Calendar!$K$2,P829&lt;EDATE(Calendar!$K$2,1),OR(Calendar!$K$4="*",N829=Calendar!$K$4)),P829*100+COUNTIFS($P$6:$P$3267,P829,$Q$6:$Q$3267,"&lt;="&amp;Q829,$N$6:$N$3267,Calendar!$K$4),"")</f>
        <v/>
      </c>
      <c r="W829" s="47">
        <f>IF(AND(B829=Queue!$C$4,OR(Queue!$K$4="*",N829=Queue!$K$4)),Q829,"")</f>
        <v/>
      </c>
    </row>
    <row r="830">
      <c r="A830" s="38">
        <f>IF(M830="","",HYPERLINK("https://www.youtube.com/watch?v="&amp;M830,"▶"))</f>
        <v/>
      </c>
      <c r="B830" s="39">
        <f>IF(C830&lt;&gt;"",C830,IF(P830&lt;=IFERROR(INDEX(tblChannels[Watched Through],MATCH(N830,tblChannels[Channel ID],0)),0),"Watched","Unwatched"))</f>
        <v/>
      </c>
      <c r="C830" s="40" t="n"/>
      <c r="D830" s="41" t="n"/>
      <c r="E830" s="42" t="n">
        <v>45191.58472222222</v>
      </c>
      <c r="F830" s="50" t="inlineStr">
        <is>
          <t>Super Carlin Brothers</t>
        </is>
      </c>
      <c r="G830" t="inlineStr">
        <is>
          <t>What If The Weasley’s NEVER Won The Lottery? | Harry Potter Film Theory</t>
        </is>
      </c>
      <c r="H830" s="44" t="n">
        <v>0.01081018518518518</v>
      </c>
      <c r="I830" s="45" t="n">
        <v>254207</v>
      </c>
      <c r="J830" s="45" t="n">
        <v>8409</v>
      </c>
      <c r="K830" s="45" t="n">
        <v>712</v>
      </c>
      <c r="L830" s="46" t="n"/>
      <c r="M830" s="47" t="n"/>
      <c r="N830" s="47" t="inlineStr">
        <is>
          <t>UCKZo4N0lVPccBkSiuyVh4yg</t>
        </is>
      </c>
      <c r="O830" s="48" t="n">
        <v>45191.75138888889</v>
      </c>
      <c r="P830" s="49" t="n">
        <v>45191</v>
      </c>
      <c r="Q830" s="47" t="n">
        <v>2438</v>
      </c>
      <c r="R830" s="47" t="inlineStr">
        <is>
          <t>No Video ID yet</t>
        </is>
      </c>
      <c r="S830" s="49" t="n"/>
      <c r="T830" s="49" t="n"/>
      <c r="U830" s="47" t="inlineStr">
        <is>
          <t>Go to to get 25% off your first order and free standard shipping. Get your tickets for our LIVE TRIVIA event in Roanoke :: Today J dives into the Wizarding World of Harry Potter to determine what would have happened if the Weasley’s NEVER won the Lottery and visited Egypt? Would Sirius still escape? Would Voldemort return? Would Harry be expelled?</t>
        </is>
      </c>
      <c r="V830" s="47">
        <f>IF(AND(P830&gt;=Calendar!$K$2,P830&lt;EDATE(Calendar!$K$2,1),OR(Calendar!$K$4="*",N830=Calendar!$K$4)),P830*100+COUNTIFS($P$6:$P$3267,P830,$Q$6:$Q$3267,"&lt;="&amp;Q830,$N$6:$N$3267,Calendar!$K$4),"")</f>
        <v/>
      </c>
      <c r="W830" s="47">
        <f>IF(AND(B830=Queue!$C$4,OR(Queue!$K$4="*",N830=Queue!$K$4)),Q830,"")</f>
        <v/>
      </c>
    </row>
    <row r="831">
      <c r="A831" s="38">
        <f>IF(M831="","",HYPERLINK("https://www.youtube.com/watch?v="&amp;M831,"▶"))</f>
        <v/>
      </c>
      <c r="B831" s="39">
        <f>IF(C831&lt;&gt;"",C831,IF(P831&lt;=IFERROR(INDEX(tblChannels[Watched Through],MATCH(N831,tblChannels[Channel ID],0)),0),"Watched","Unwatched"))</f>
        <v/>
      </c>
      <c r="C831" s="40" t="n"/>
      <c r="D831" s="41" t="n"/>
      <c r="E831" s="42" t="n">
        <v>45191.41666666666</v>
      </c>
      <c r="F831" s="43" t="inlineStr">
        <is>
          <t>Popcorn Culture</t>
        </is>
      </c>
      <c r="G831" t="inlineStr">
        <is>
          <t>The Chocolate Explosion | Popcorn Culture</t>
        </is>
      </c>
      <c r="H831" s="44" t="n">
        <v>0.05028935185185185</v>
      </c>
      <c r="I831" s="45" t="n">
        <v>4743</v>
      </c>
      <c r="J831" s="45" t="n">
        <v>221</v>
      </c>
      <c r="K831" s="45" t="n">
        <v>33</v>
      </c>
      <c r="L831" s="46" t="n"/>
      <c r="M831" s="47" t="n"/>
      <c r="N831" s="47" t="inlineStr">
        <is>
          <t>UCHfIbq9thHPC8yrKjAdJgDA</t>
        </is>
      </c>
      <c r="O831" s="48" t="n">
        <v>45191.58333333334</v>
      </c>
      <c r="P831" s="49" t="n">
        <v>45191</v>
      </c>
      <c r="Q831" s="47" t="n">
        <v>2437</v>
      </c>
      <c r="R831" s="47" t="inlineStr">
        <is>
          <t>No Video ID yet</t>
        </is>
      </c>
      <c r="S831" s="49" t="n"/>
      <c r="T831" s="49" t="n"/>
      <c r="U831" s="47" t="inlineStr">
        <is>
          <t>In the 198th episode of the Pop, Ben and J discuss blood making Ben queasy, horror movie trailers, communication and the internet, spoilers for Project Hail Mary from 20:31 to 21:53, an explosion of chocolate, arriving at school first, and the Pop sort of serving as therapy. Join us at Go Fest! - Get your tickets for the SCB Trivia Night! - Project Hail Mary - I Never Bleed Palpatine’s Bouncy Castle SO MANY NEEDLES First Arrival Power Play 00:00 - Intro, Blood 12:56 - Horror Movies and Communication 30:07 - The Chocolate Explosion 41:31 - Being First at School 57:00 - Podcast Therapy</t>
        </is>
      </c>
      <c r="V831" s="47">
        <f>IF(AND(P831&gt;=Calendar!$K$2,P831&lt;EDATE(Calendar!$K$2,1),OR(Calendar!$K$4="*",N831=Calendar!$K$4)),P831*100+COUNTIFS($P$6:$P$3267,P831,$Q$6:$Q$3267,"&lt;="&amp;Q831,$N$6:$N$3267,Calendar!$K$4),"")</f>
        <v/>
      </c>
      <c r="W831" s="47">
        <f>IF(AND(B831=Queue!$C$4,OR(Queue!$K$4="*",N831=Queue!$K$4)),Q831,"")</f>
        <v/>
      </c>
    </row>
    <row r="832">
      <c r="A832" s="38">
        <f>IF(M832="","",HYPERLINK("https://www.youtube.com/watch?v="&amp;M832,"▶"))</f>
        <v/>
      </c>
      <c r="B832" s="39">
        <f>IF(C832&lt;&gt;"",C832,IF(P832&lt;=IFERROR(INDEX(tblChannels[Watched Through],MATCH(N832,tblChannels[Channel ID],0)),0),"Watched","Unwatched"))</f>
        <v/>
      </c>
      <c r="C832" s="40" t="n"/>
      <c r="D832" s="41" t="n"/>
      <c r="E832" s="42" t="n">
        <v>45189.69375</v>
      </c>
      <c r="F832" s="50" t="inlineStr">
        <is>
          <t>Super Carlin Brothers</t>
        </is>
      </c>
      <c r="G832" t="inlineStr">
        <is>
          <t>How Much Would a Big Mac Cost In The Wizarding World | Harry Potter Film Theory</t>
        </is>
      </c>
      <c r="H832" s="44" t="n">
        <v>0.01252314814814815</v>
      </c>
      <c r="I832" s="45" t="n">
        <v>112355</v>
      </c>
      <c r="J832" s="45" t="n">
        <v>5366</v>
      </c>
      <c r="K832" s="45" t="n">
        <v>605</v>
      </c>
      <c r="L832" s="46" t="n"/>
      <c r="M832" s="47" t="n"/>
      <c r="N832" s="47" t="inlineStr">
        <is>
          <t>UCKZo4N0lVPccBkSiuyVh4yg</t>
        </is>
      </c>
      <c r="O832" s="48" t="n">
        <v>45189.86041666667</v>
      </c>
      <c r="P832" s="49" t="n">
        <v>45189</v>
      </c>
      <c r="Q832" s="47" t="n">
        <v>2436</v>
      </c>
      <c r="R832" s="47" t="inlineStr">
        <is>
          <t>No Video ID yet</t>
        </is>
      </c>
      <c r="S832" s="49" t="n"/>
      <c r="T832" s="49" t="n"/>
      <c r="U832" s="47" t="inlineStr">
        <is>
          <t>Get 20% off your first monthly box when you sign up at Get your tickets for our LIVE TRIVIA event in Roanoke :: Today Ben dives into the Wizarding World of Harry Potter economics once more to discuss what a Big Mac would cost us muggles inside of the Wizarding World using Purchase Power Parity and the Big Mac Index! (Spoilers… a lot!)</t>
        </is>
      </c>
      <c r="V832" s="47">
        <f>IF(AND(P832&gt;=Calendar!$K$2,P832&lt;EDATE(Calendar!$K$2,1),OR(Calendar!$K$4="*",N832=Calendar!$K$4)),P832*100+COUNTIFS($P$6:$P$3267,P832,$Q$6:$Q$3267,"&lt;="&amp;Q832,$N$6:$N$3267,Calendar!$K$4),"")</f>
        <v/>
      </c>
      <c r="W832" s="47">
        <f>IF(AND(B832=Queue!$C$4,OR(Queue!$K$4="*",N832=Queue!$K$4)),Q832,"")</f>
        <v/>
      </c>
    </row>
    <row r="833">
      <c r="A833" s="38">
        <f>IF(M833="","",HYPERLINK("https://www.youtube.com/watch?v="&amp;M833,"▶"))</f>
        <v/>
      </c>
      <c r="B833" s="39">
        <f>IF(C833&lt;&gt;"",C833,IF(P833&lt;=IFERROR(INDEX(tblChannels[Watched Through],MATCH(N833,tblChannels[Channel ID],0)),0),"Watched","Unwatched"))</f>
        <v/>
      </c>
      <c r="C833" s="40" t="n"/>
      <c r="D833" s="41" t="n"/>
      <c r="E833" s="42" t="n">
        <v>45184.77083333334</v>
      </c>
      <c r="F833" s="52" t="inlineStr">
        <is>
          <t>Super Carlin Gaming</t>
        </is>
      </c>
      <c r="G833" t="inlineStr">
        <is>
          <t>DOWN TO THE WIRE | Carlin Brothers Box Breakers S6E11</t>
        </is>
      </c>
      <c r="H833" s="44" t="n">
        <v>0.02931712962962963</v>
      </c>
      <c r="I833" s="45" t="n">
        <v>1452</v>
      </c>
      <c r="J833" s="45" t="n">
        <v>85</v>
      </c>
      <c r="K833" s="45" t="n">
        <v>7</v>
      </c>
      <c r="L833" s="46" t="n"/>
      <c r="M833" s="47" t="n"/>
      <c r="N833" s="47" t="inlineStr">
        <is>
          <t>UCor_9jRnNNZVzTuQ92PKsaQ</t>
        </is>
      </c>
      <c r="O833" s="48" t="n">
        <v>45184.9375</v>
      </c>
      <c r="P833" s="49" t="n">
        <v>45184</v>
      </c>
      <c r="Q833" s="47" t="n">
        <v>2435</v>
      </c>
      <c r="R833" s="47" t="inlineStr">
        <is>
          <t>No Video ID yet</t>
        </is>
      </c>
      <c r="S833" s="49" t="n"/>
      <c r="T833" s="49" t="n"/>
      <c r="U833" s="47" t="n"/>
      <c r="V833" s="47">
        <f>IF(AND(P833&gt;=Calendar!$K$2,P833&lt;EDATE(Calendar!$K$2,1),OR(Calendar!$K$4="*",N833=Calendar!$K$4)),P833*100+COUNTIFS($P$6:$P$3267,P833,$Q$6:$Q$3267,"&lt;="&amp;Q833,$N$6:$N$3267,Calendar!$K$4),"")</f>
        <v/>
      </c>
      <c r="W833" s="47">
        <f>IF(AND(B833=Queue!$C$4,OR(Queue!$K$4="*",N833=Queue!$K$4)),Q833,"")</f>
        <v/>
      </c>
    </row>
    <row r="834">
      <c r="A834" s="38">
        <f>IF(M834="","",HYPERLINK("https://www.youtube.com/watch?v="&amp;M834,"▶"))</f>
        <v/>
      </c>
      <c r="B834" s="39">
        <f>IF(C834&lt;&gt;"",C834,IF(P834&lt;=IFERROR(INDEX(tblChannels[Watched Through],MATCH(N834,tblChannels[Channel ID],0)),0),"Watched","Unwatched"))</f>
        <v/>
      </c>
      <c r="C834" s="40" t="n"/>
      <c r="D834" s="41" t="n"/>
      <c r="E834" s="42" t="n">
        <v>45184.62708333333</v>
      </c>
      <c r="F834" s="50" t="inlineStr">
        <is>
          <t>Super Carlin Brothers</t>
        </is>
      </c>
      <c r="G834" t="inlineStr">
        <is>
          <t>J vs Ben: ULTIMATE Marauder's Quotes Harry Potter TRIVIA Quiz</t>
        </is>
      </c>
      <c r="H834" s="44" t="n">
        <v>0.02248842592592593</v>
      </c>
      <c r="I834" s="45" t="n">
        <v>181395</v>
      </c>
      <c r="J834" s="45" t="n">
        <v>6189</v>
      </c>
      <c r="K834" s="45" t="n">
        <v>536</v>
      </c>
      <c r="L834" s="46" t="n"/>
      <c r="M834" s="47" t="n"/>
      <c r="N834" s="47" t="inlineStr">
        <is>
          <t>UCKZo4N0lVPccBkSiuyVh4yg</t>
        </is>
      </c>
      <c r="O834" s="48" t="n">
        <v>45184.79375</v>
      </c>
      <c r="P834" s="49" t="n">
        <v>45184</v>
      </c>
      <c r="Q834" s="47" t="n">
        <v>2434</v>
      </c>
      <c r="R834" s="47" t="inlineStr">
        <is>
          <t>No Video ID yet</t>
        </is>
      </c>
      <c r="S834" s="49" t="n"/>
      <c r="T834" s="49" t="n"/>
      <c r="U834" s="47" t="inlineStr">
        <is>
          <t>Go to and use code jvsb50 to get 50% off. Grab your Poison Apple Candle at :: Get your tickets for our LIVE TRIVIA event in Roanoke :: Today J and Ben face off once more to discover who knows the Wizarding World of Harry Potter better which Marauders said what? You’d think it’d be easy since there are only 4 answers… Sirius Black, Remus Lupin, James Potter or Peter Pettigrew… but… 02:28 - Q1: I haven’t poisoned that chocolate, you know 04:00 - Q2: You run round with a werewolf once a month 05:31 - Q3: The world isn’t split into good people and death eaters 07:34 - Q4: But the Ministry never knew... 08:54 - Q5: You are - truly your father’s son, Harry 12:24 - Q6: It’s more the fact that he exists... 13:35 - Q7: ...bids Professor Snape a good day, and advises him to wash his hair, the slimeball 15:57 - Q8: When did I ever sneak around people... 20:13 - Q9: I was happier than I had ever been in my life... 20:43 - Q10: I am a faithful servant 21:21 - Q11: That suggests that what you fear most of all is - fear... 22:10 - Q12: Voldemort doesn't march up to people's houses and bang on their front doors 24:04 - Q13: If you want to know what a man’s like... 25:36 - Q14: Until the very end 2</t>
        </is>
      </c>
      <c r="V834" s="47">
        <f>IF(AND(P834&gt;=Calendar!$K$2,P834&lt;EDATE(Calendar!$K$2,1),OR(Calendar!$K$4="*",N834=Calendar!$K$4)),P834*100+COUNTIFS($P$6:$P$3267,P834,$Q$6:$Q$3267,"&lt;="&amp;Q834,$N$6:$N$3267,Calendar!$K$4),"")</f>
        <v/>
      </c>
      <c r="W834" s="47">
        <f>IF(AND(B834=Queue!$C$4,OR(Queue!$K$4="*",N834=Queue!$K$4)),Q834,"")</f>
        <v/>
      </c>
    </row>
    <row r="835">
      <c r="A835" s="38">
        <f>IF(M835="","",HYPERLINK("https://www.youtube.com/watch?v="&amp;M835,"▶"))</f>
        <v/>
      </c>
      <c r="B835" s="39">
        <f>IF(C835&lt;&gt;"",C835,IF(P835&lt;=IFERROR(INDEX(tblChannels[Watched Through],MATCH(N835,tblChannels[Channel ID],0)),0),"Watched","Unwatched"))</f>
        <v/>
      </c>
      <c r="C835" s="40" t="n"/>
      <c r="D835" s="41" t="n"/>
      <c r="E835" s="42" t="n">
        <v>45184.41666666666</v>
      </c>
      <c r="F835" s="43" t="inlineStr">
        <is>
          <t>Popcorn Culture</t>
        </is>
      </c>
      <c r="G835" t="inlineStr">
        <is>
          <t>Dripping Dragon | Popcorn Culture</t>
        </is>
      </c>
      <c r="H835" s="44" t="n">
        <v>0.04803240740740741</v>
      </c>
      <c r="I835" s="45" t="n">
        <v>3979</v>
      </c>
      <c r="J835" s="45" t="n">
        <v>204</v>
      </c>
      <c r="K835" s="45" t="n">
        <v>19</v>
      </c>
      <c r="L835" s="46" t="n"/>
      <c r="M835" s="47" t="n"/>
      <c r="N835" s="47" t="inlineStr">
        <is>
          <t>UCHfIbq9thHPC8yrKjAdJgDA</t>
        </is>
      </c>
      <c r="O835" s="48" t="n">
        <v>45184.58333333334</v>
      </c>
      <c r="P835" s="49" t="n">
        <v>45184</v>
      </c>
      <c r="Q835" s="47" t="n">
        <v>2433</v>
      </c>
      <c r="R835" s="47" t="inlineStr">
        <is>
          <t>No Video ID yet</t>
        </is>
      </c>
      <c r="S835" s="49" t="n"/>
      <c r="T835" s="49" t="n"/>
      <c r="U835" s="47" t="inlineStr">
        <is>
          <t>In the 197th episode of the pop, Ben and J discuss J’s experience at the Pittsburg Pokémon competition, being assertive, things breaking, plumbing, picking Eeveelutions for your kids, Moana, weird noises in Ben’s house, Join us at Go Fest! - Get your tickets for the SCB Trivia Night! - Eeveelutions - Moana - Episode of Criminal - Discovery of the Thump 00:00 - Intro, Meet Up Coming Up! 02:37 - Pittsburgh Pokemon Competition 09:46 - Inviting People to Things 37:14 - Shower Saga Part… like 57 42:02 - Eeveelotion Children 56:07 - Addie’s New Favorite Movie</t>
        </is>
      </c>
      <c r="V835" s="47">
        <f>IF(AND(P835&gt;=Calendar!$K$2,P835&lt;EDATE(Calendar!$K$2,1),OR(Calendar!$K$4="*",N835=Calendar!$K$4)),P835*100+COUNTIFS($P$6:$P$3267,P835,$Q$6:$Q$3267,"&lt;="&amp;Q835,$N$6:$N$3267,Calendar!$K$4),"")</f>
        <v/>
      </c>
      <c r="W835" s="47">
        <f>IF(AND(B835=Queue!$C$4,OR(Queue!$K$4="*",N835=Queue!$K$4)),Q835,"")</f>
        <v/>
      </c>
    </row>
    <row r="836">
      <c r="A836" s="38">
        <f>IF(M836="","",HYPERLINK("https://www.youtube.com/watch?v="&amp;M836,"▶"))</f>
        <v/>
      </c>
      <c r="B836" s="39">
        <f>IF(C836&lt;&gt;"",C836,IF(P836&lt;=IFERROR(INDEX(tblChannels[Watched Through],MATCH(N836,tblChannels[Channel ID],0)),0),"Watched","Unwatched"))</f>
        <v/>
      </c>
      <c r="C836" s="40" t="n"/>
      <c r="D836" s="41" t="n"/>
      <c r="E836" s="42" t="n">
        <v>45182.62569444445</v>
      </c>
      <c r="F836" s="50" t="inlineStr">
        <is>
          <t>Super Carlin Brothers</t>
        </is>
      </c>
      <c r="G836" t="inlineStr">
        <is>
          <t>Voldemort’s MASTER PLAN Revealed! | Harry Potter Film Theory</t>
        </is>
      </c>
      <c r="H836" s="44" t="n">
        <v>0.008923611111111111</v>
      </c>
      <c r="I836" s="45" t="n">
        <v>380505</v>
      </c>
      <c r="J836" s="45" t="n">
        <v>12916</v>
      </c>
      <c r="K836" s="45" t="n">
        <v>837</v>
      </c>
      <c r="L836" s="46" t="n"/>
      <c r="M836" s="47" t="n"/>
      <c r="N836" s="47" t="inlineStr">
        <is>
          <t>UCKZo4N0lVPccBkSiuyVh4yg</t>
        </is>
      </c>
      <c r="O836" s="48" t="n">
        <v>45182.79236111111</v>
      </c>
      <c r="P836" s="49" t="n">
        <v>45182</v>
      </c>
      <c r="Q836" s="47" t="n">
        <v>2432</v>
      </c>
      <c r="R836" s="47" t="inlineStr">
        <is>
          <t>No Video ID yet</t>
        </is>
      </c>
      <c r="S836" s="49" t="n"/>
      <c r="T836" s="49" t="n"/>
      <c r="U836" s="47" t="inlineStr">
        <is>
          <t>Get your tickets for our LIVE TRIVIA event in Roanoke :: Today J dives into the Wizarding World of Harry Potter to explain Voldemorts FULL plan for Goblet of Fire and how he planned to win control of the Wizarding World in ONE NIGHT!</t>
        </is>
      </c>
      <c r="V836" s="47">
        <f>IF(AND(P836&gt;=Calendar!$K$2,P836&lt;EDATE(Calendar!$K$2,1),OR(Calendar!$K$4="*",N836=Calendar!$K$4)),P836*100+COUNTIFS($P$6:$P$3267,P836,$Q$6:$Q$3267,"&lt;="&amp;Q836,$N$6:$N$3267,Calendar!$K$4),"")</f>
        <v/>
      </c>
      <c r="W836" s="47">
        <f>IF(AND(B836=Queue!$C$4,OR(Queue!$K$4="*",N836=Queue!$K$4)),Q836,"")</f>
        <v/>
      </c>
    </row>
    <row r="837">
      <c r="A837" s="38">
        <f>IF(M837="","",HYPERLINK("https://www.youtube.com/watch?v="&amp;M837,"▶"))</f>
        <v/>
      </c>
      <c r="B837" s="39">
        <f>IF(C837&lt;&gt;"",C837,IF(P837&lt;=IFERROR(INDEX(tblChannels[Watched Through],MATCH(N837,tblChannels[Channel ID],0)),0),"Watched","Unwatched"))</f>
        <v/>
      </c>
      <c r="C837" s="40" t="n"/>
      <c r="D837" s="41" t="n"/>
      <c r="E837" s="42" t="n">
        <v>45181.75</v>
      </c>
      <c r="F837" s="53" t="inlineStr">
        <is>
          <t>Jonathan Carlin</t>
        </is>
      </c>
      <c r="G837" t="inlineStr">
        <is>
          <t>Tennis Isn't Ready for These Kids</t>
        </is>
      </c>
      <c r="H837" s="44" t="n">
        <v>0.01395833333333333</v>
      </c>
      <c r="I837" s="45" t="n">
        <v>9229</v>
      </c>
      <c r="J837" s="45" t="n">
        <v>543</v>
      </c>
      <c r="K837" s="45" t="n">
        <v>40</v>
      </c>
      <c r="L837" s="46" t="n"/>
      <c r="M837" s="47" t="n"/>
      <c r="N837" s="47" t="inlineStr">
        <is>
          <t>UCYPKFe86e6nm4TVUYKLsFUQ</t>
        </is>
      </c>
      <c r="O837" s="48" t="n">
        <v>45181.91666666666</v>
      </c>
      <c r="P837" s="49" t="n">
        <v>45181</v>
      </c>
      <c r="Q837" s="47" t="n">
        <v>2431</v>
      </c>
      <c r="R837" s="47" t="inlineStr">
        <is>
          <t>No Video ID yet</t>
        </is>
      </c>
      <c r="S837" s="49" t="n"/>
      <c r="T837" s="49" t="n"/>
      <c r="U837" s="47" t="inlineStr">
        <is>
          <t>This week J struggles to sleep, the boys pick a TON of tomatoes and dip their toes into the world of tennis. Pancake Recipe: 1 ½ cups all-purpose flour 3 ½ teaspoons baking powder 1 tablespoon white sugar ¼ teaspoon salt, or more to taste 1 ¼ cups milk 3 tablespoons butter, melted 1 egg Edited by Ethan Edghill</t>
        </is>
      </c>
      <c r="V837" s="47">
        <f>IF(AND(P837&gt;=Calendar!$K$2,P837&lt;EDATE(Calendar!$K$2,1),OR(Calendar!$K$4="*",N837=Calendar!$K$4)),P837*100+COUNTIFS($P$6:$P$3267,P837,$Q$6:$Q$3267,"&lt;="&amp;Q837,$N$6:$N$3267,Calendar!$K$4),"")</f>
        <v/>
      </c>
      <c r="W837" s="47">
        <f>IF(AND(B837=Queue!$C$4,OR(Queue!$K$4="*",N837=Queue!$K$4)),Q837,"")</f>
        <v/>
      </c>
    </row>
    <row r="838">
      <c r="A838" s="38">
        <f>IF(M838="","",HYPERLINK("https://www.youtube.com/watch?v="&amp;M838,"▶"))</f>
        <v/>
      </c>
      <c r="B838" s="39">
        <f>IF(C838&lt;&gt;"",C838,IF(P838&lt;=IFERROR(INDEX(tblChannels[Watched Through],MATCH(N838,tblChannels[Channel ID],0)),0),"Watched","Unwatched"))</f>
        <v/>
      </c>
      <c r="C838" s="40" t="n"/>
      <c r="D838" s="41" t="n"/>
      <c r="E838" s="42" t="n">
        <v>45177.77083333334</v>
      </c>
      <c r="F838" s="52" t="inlineStr">
        <is>
          <t>Super Carlin Gaming</t>
        </is>
      </c>
      <c r="G838" t="inlineStr">
        <is>
          <t>QUADRUPLE MULTIPLIER !! | Carlin Brothers Box Breakers S6E10</t>
        </is>
      </c>
      <c r="H838" s="44" t="n">
        <v>0.02947916666666667</v>
      </c>
      <c r="I838" s="45" t="n">
        <v>1724</v>
      </c>
      <c r="J838" s="45" t="n">
        <v>101</v>
      </c>
      <c r="K838" s="45" t="n">
        <v>6</v>
      </c>
      <c r="L838" s="46" t="n"/>
      <c r="M838" s="47" t="n"/>
      <c r="N838" s="47" t="inlineStr">
        <is>
          <t>UCor_9jRnNNZVzTuQ92PKsaQ</t>
        </is>
      </c>
      <c r="O838" s="48" t="n">
        <v>45177.9375</v>
      </c>
      <c r="P838" s="49" t="n">
        <v>45177</v>
      </c>
      <c r="Q838" s="47" t="n">
        <v>2430</v>
      </c>
      <c r="R838" s="47" t="inlineStr">
        <is>
          <t>No Video ID yet</t>
        </is>
      </c>
      <c r="S838" s="49" t="n"/>
      <c r="T838" s="49" t="n"/>
      <c r="U838" s="47" t="n"/>
      <c r="V838" s="47">
        <f>IF(AND(P838&gt;=Calendar!$K$2,P838&lt;EDATE(Calendar!$K$2,1),OR(Calendar!$K$4="*",N838=Calendar!$K$4)),P838*100+COUNTIFS($P$6:$P$3267,P838,$Q$6:$Q$3267,"&lt;="&amp;Q838,$N$6:$N$3267,Calendar!$K$4),"")</f>
        <v/>
      </c>
      <c r="W838" s="47">
        <f>IF(AND(B838=Queue!$C$4,OR(Queue!$K$4="*",N838=Queue!$K$4)),Q838,"")</f>
        <v/>
      </c>
    </row>
    <row r="839">
      <c r="A839" s="38">
        <f>IF(M839="","",HYPERLINK("https://www.youtube.com/watch?v="&amp;M839,"▶"))</f>
        <v/>
      </c>
      <c r="B839" s="39">
        <f>IF(C839&lt;&gt;"",C839,IF(P839&lt;=IFERROR(INDEX(tblChannels[Watched Through],MATCH(N839,tblChannels[Channel ID],0)),0),"Watched","Unwatched"))</f>
        <v/>
      </c>
      <c r="C839" s="40" t="n"/>
      <c r="D839" s="41" t="n"/>
      <c r="E839" s="42" t="n">
        <v>45177.67777777778</v>
      </c>
      <c r="F839" s="50" t="inlineStr">
        <is>
          <t>Super Carlin Brothers</t>
        </is>
      </c>
      <c r="G839" t="inlineStr">
        <is>
          <t>The TRUE Value of Wizard Gold REVEALED | Harry Potter Film Theory</t>
        </is>
      </c>
      <c r="H839" s="44" t="n">
        <v>0.0130787037037037</v>
      </c>
      <c r="I839" s="45" t="n">
        <v>250418</v>
      </c>
      <c r="J839" s="45" t="n">
        <v>9827</v>
      </c>
      <c r="K839" s="45" t="n">
        <v>1644</v>
      </c>
      <c r="L839" s="46" t="n"/>
      <c r="M839" s="47" t="n"/>
      <c r="N839" s="47" t="inlineStr">
        <is>
          <t>UCKZo4N0lVPccBkSiuyVh4yg</t>
        </is>
      </c>
      <c r="O839" s="48" t="n">
        <v>45177.84444444445</v>
      </c>
      <c r="P839" s="49" t="n">
        <v>45177</v>
      </c>
      <c r="Q839" s="47" t="n">
        <v>2429</v>
      </c>
      <c r="R839" s="47" t="inlineStr">
        <is>
          <t>No Video ID yet</t>
        </is>
      </c>
      <c r="S839" s="49" t="n"/>
      <c r="T839" s="49" t="n"/>
      <c r="U839" s="47" t="inlineStr">
        <is>
          <t>Check out SpinMaster's 4D Puzzles below! Amazon: Target: Grab a bag of Liquid Luck: Get your tickets for our LIVE TRIVIA event in Roanoke :: Today Ben dives into the Wizarding World of Harry Potter to reveal the TRUTH about how much a Gold Galleon is worth and just how rich Harry really is… and Sirius for that matter.</t>
        </is>
      </c>
      <c r="V839" s="47">
        <f>IF(AND(P839&gt;=Calendar!$K$2,P839&lt;EDATE(Calendar!$K$2,1),OR(Calendar!$K$4="*",N839=Calendar!$K$4)),P839*100+COUNTIFS($P$6:$P$3267,P839,$Q$6:$Q$3267,"&lt;="&amp;Q839,$N$6:$N$3267,Calendar!$K$4),"")</f>
        <v/>
      </c>
      <c r="W839" s="47">
        <f>IF(AND(B839=Queue!$C$4,OR(Queue!$K$4="*",N839=Queue!$K$4)),Q839,"")</f>
        <v/>
      </c>
    </row>
    <row r="840">
      <c r="A840" s="38">
        <f>IF(M840="","",HYPERLINK("https://www.youtube.com/watch?v="&amp;M840,"▶"))</f>
        <v/>
      </c>
      <c r="B840" s="39">
        <f>IF(C840&lt;&gt;"",C840,IF(P840&lt;=IFERROR(INDEX(tblChannels[Watched Through],MATCH(N840,tblChannels[Channel ID],0)),0),"Watched","Unwatched"))</f>
        <v/>
      </c>
      <c r="C840" s="40" t="n"/>
      <c r="D840" s="41" t="n"/>
      <c r="E840" s="42" t="n">
        <v>45177.41666666666</v>
      </c>
      <c r="F840" s="43" t="inlineStr">
        <is>
          <t>Popcorn Culture</t>
        </is>
      </c>
      <c r="G840" t="inlineStr">
        <is>
          <t>The Name of ReWind | Popcorn Culture</t>
        </is>
      </c>
      <c r="H840" s="44" t="n">
        <v>0.04212962962962963</v>
      </c>
      <c r="I840" s="45" t="n">
        <v>3975</v>
      </c>
      <c r="J840" s="45" t="n">
        <v>207</v>
      </c>
      <c r="K840" s="45" t="n">
        <v>16</v>
      </c>
      <c r="L840" s="46" t="n"/>
      <c r="M840" s="47" t="n"/>
      <c r="N840" s="47" t="inlineStr">
        <is>
          <t>UCHfIbq9thHPC8yrKjAdJgDA</t>
        </is>
      </c>
      <c r="O840" s="48" t="n">
        <v>45177.58333333334</v>
      </c>
      <c r="P840" s="49" t="n">
        <v>45177</v>
      </c>
      <c r="Q840" s="47" t="n">
        <v>2428</v>
      </c>
      <c r="R840" s="47" t="inlineStr">
        <is>
          <t>No Video ID yet</t>
        </is>
      </c>
      <c r="S840" s="49" t="n"/>
      <c r="T840" s="49" t="n"/>
      <c r="U840" s="47" t="inlineStr">
        <is>
          <t>In the 196th episode of the Pop, Ben and J discuss sentiments towards pop music, Jimmy Buffett, Ben’s one time perfect impressions, the yips, learned opinions, thought policing, pickleball, and Popcorn Re-Cultured. Join us at Go Fest! - Get your tickets for the SCB Trivia Night! - Nickelback - Imagine Dragons - Miley Cyrus - Jimmy Buffett - The Incredibles scene - Luna’s Always Right - I’ve Heard of Music Back a Track to Nickelback Miley Cyrus as Han Solo That’s How I’m Fashioning Taking a Dimeback Pickleball is the New Block Party 00:00 - Intro, Pop Music 14:07 - Jimmy Buffett :( and the Yips 22:46 - Internet Culture 38:42 - Pickleball</t>
        </is>
      </c>
      <c r="V840" s="47">
        <f>IF(AND(P840&gt;=Calendar!$K$2,P840&lt;EDATE(Calendar!$K$2,1),OR(Calendar!$K$4="*",N840=Calendar!$K$4)),P840*100+COUNTIFS($P$6:$P$3267,P840,$Q$6:$Q$3267,"&lt;="&amp;Q840,$N$6:$N$3267,Calendar!$K$4),"")</f>
        <v/>
      </c>
      <c r="W840" s="47">
        <f>IF(AND(B840=Queue!$C$4,OR(Queue!$K$4="*",N840=Queue!$K$4)),Q840,"")</f>
        <v/>
      </c>
    </row>
    <row r="841">
      <c r="A841" s="38">
        <f>IF(M841="","",HYPERLINK("https://www.youtube.com/watch?v="&amp;M841,"▶"))</f>
        <v/>
      </c>
      <c r="B841" s="39">
        <f>IF(C841&lt;&gt;"",C841,IF(P841&lt;=IFERROR(INDEX(tblChannels[Watched Through],MATCH(N841,tblChannels[Channel ID],0)),0),"Watched","Unwatched"))</f>
        <v/>
      </c>
      <c r="C841" s="40" t="n"/>
      <c r="D841" s="41" t="n"/>
      <c r="E841" s="42" t="n">
        <v>45175.68402777778</v>
      </c>
      <c r="F841" s="50" t="inlineStr">
        <is>
          <t>Super Carlin Brothers</t>
        </is>
      </c>
      <c r="G841" t="inlineStr">
        <is>
          <t>Reacting to 45 MORE Sorcerer's Stone Covers | Harry Potter Film Theory</t>
        </is>
      </c>
      <c r="H841" s="44" t="n">
        <v>0.03225694444444444</v>
      </c>
      <c r="I841" s="45" t="n">
        <v>89745</v>
      </c>
      <c r="J841" s="45" t="n">
        <v>3389</v>
      </c>
      <c r="K841" s="45" t="n">
        <v>718</v>
      </c>
      <c r="L841" s="46" t="n"/>
      <c r="M841" s="47" t="n"/>
      <c r="N841" s="47" t="inlineStr">
        <is>
          <t>UCKZo4N0lVPccBkSiuyVh4yg</t>
        </is>
      </c>
      <c r="O841" s="48" t="n">
        <v>45175.85069444445</v>
      </c>
      <c r="P841" s="49" t="n">
        <v>45175</v>
      </c>
      <c r="Q841" s="47" t="n">
        <v>2427</v>
      </c>
      <c r="R841" s="47" t="inlineStr">
        <is>
          <t>No Video ID yet</t>
        </is>
      </c>
      <c r="S841" s="49" t="n"/>
      <c r="T841" s="49" t="n"/>
      <c r="U841" s="47" t="inlineStr">
        <is>
          <t>Go to and use code SUPER to save 40% off ALL bidets and bundles. Get your tickets for our LIVE TRIVIA event in Roanoke :: Well, turns out there were at LEAST 45 more Sorcerer's Stone covers out there, so today, we are jumping back in and reacting to them all! Seriously though… the Peter Pan one?</t>
        </is>
      </c>
      <c r="V841" s="47">
        <f>IF(AND(P841&gt;=Calendar!$K$2,P841&lt;EDATE(Calendar!$K$2,1),OR(Calendar!$K$4="*",N841=Calendar!$K$4)),P841*100+COUNTIFS($P$6:$P$3267,P841,$Q$6:$Q$3267,"&lt;="&amp;Q841,$N$6:$N$3267,Calendar!$K$4),"")</f>
        <v/>
      </c>
      <c r="W841" s="47">
        <f>IF(AND(B841=Queue!$C$4,OR(Queue!$K$4="*",N841=Queue!$K$4)),Q841,"")</f>
        <v/>
      </c>
    </row>
    <row r="842">
      <c r="A842" s="38">
        <f>IF(M842="","",HYPERLINK("https://www.youtube.com/watch?v="&amp;M842,"▶"))</f>
        <v/>
      </c>
      <c r="B842" s="39">
        <f>IF(C842&lt;&gt;"",C842,IF(P842&lt;=IFERROR(INDEX(tblChannels[Watched Through],MATCH(N842,tblChannels[Channel ID],0)),0),"Watched","Unwatched"))</f>
        <v/>
      </c>
      <c r="C842" s="40" t="n"/>
      <c r="D842" s="41" t="n"/>
      <c r="E842" s="42" t="n">
        <v>45174.4375</v>
      </c>
      <c r="F842" s="53" t="inlineStr">
        <is>
          <t>Jonathan Carlin</t>
        </is>
      </c>
      <c r="G842" t="inlineStr">
        <is>
          <t>THE TREASURE HUNT BEGINS!</t>
        </is>
      </c>
      <c r="H842" s="44" t="n">
        <v>0.01209490740740741</v>
      </c>
      <c r="I842" s="45" t="n">
        <v>9767</v>
      </c>
      <c r="J842" s="45" t="n">
        <v>633</v>
      </c>
      <c r="K842" s="45" t="n">
        <v>36</v>
      </c>
      <c r="L842" s="46" t="n"/>
      <c r="M842" s="47" t="n"/>
      <c r="N842" s="47" t="inlineStr">
        <is>
          <t>UCYPKFe86e6nm4TVUYKLsFUQ</t>
        </is>
      </c>
      <c r="O842" s="48" t="n">
        <v>45174.60416666666</v>
      </c>
      <c r="P842" s="49" t="n">
        <v>45174</v>
      </c>
      <c r="Q842" s="47" t="n">
        <v>2426</v>
      </c>
      <c r="R842" s="47" t="inlineStr">
        <is>
          <t>No Video ID yet</t>
        </is>
      </c>
      <c r="S842" s="49" t="n"/>
      <c r="T842" s="49" t="n"/>
      <c r="U842" s="47" t="inlineStr">
        <is>
          <t>This J and the boys pick TONS of Tomatoes, Nick &amp; Nate do some puzzling, SCB films a promo for their LIVE show and DISNEY sent us a treasure map! Get your tickets for our LIVE TRIVIA event in Roanoke :: Disney TREASURE Live Stream :: Edited by Riley Murtagh</t>
        </is>
      </c>
      <c r="V842" s="47">
        <f>IF(AND(P842&gt;=Calendar!$K$2,P842&lt;EDATE(Calendar!$K$2,1),OR(Calendar!$K$4="*",N842=Calendar!$K$4)),P842*100+COUNTIFS($P$6:$P$3267,P842,$Q$6:$Q$3267,"&lt;="&amp;Q842,$N$6:$N$3267,Calendar!$K$4),"")</f>
        <v/>
      </c>
      <c r="W842" s="47">
        <f>IF(AND(B842=Queue!$C$4,OR(Queue!$K$4="*",N842=Queue!$K$4)),Q842,"")</f>
        <v/>
      </c>
    </row>
    <row r="843">
      <c r="A843" s="38">
        <f>IF(M843="","",HYPERLINK("https://www.youtube.com/watch?v="&amp;M843,"▶"))</f>
        <v/>
      </c>
      <c r="B843" s="39">
        <f>IF(C843&lt;&gt;"",C843,IF(P843&lt;=IFERROR(INDEX(tblChannels[Watched Through],MATCH(N843,tblChannels[Channel ID],0)),0),"Watched","Unwatched"))</f>
        <v/>
      </c>
      <c r="C843" s="40" t="n"/>
      <c r="D843" s="41" t="n"/>
      <c r="E843" s="42" t="n">
        <v>45170.77083333334</v>
      </c>
      <c r="F843" s="52" t="inlineStr">
        <is>
          <t>Super Carlin Gaming</t>
        </is>
      </c>
      <c r="G843" t="inlineStr">
        <is>
          <t>The Fight For 8th Continues | Carlin Brothers Box Breakers S6E9</t>
        </is>
      </c>
      <c r="H843" s="44" t="n">
        <v>0.03369212962962963</v>
      </c>
      <c r="I843" s="45" t="n">
        <v>1814</v>
      </c>
      <c r="J843" s="45" t="n">
        <v>93</v>
      </c>
      <c r="K843" s="45" t="n">
        <v>9</v>
      </c>
      <c r="L843" s="46" t="n"/>
      <c r="M843" s="47" t="n"/>
      <c r="N843" s="47" t="inlineStr">
        <is>
          <t>UCor_9jRnNNZVzTuQ92PKsaQ</t>
        </is>
      </c>
      <c r="O843" s="48" t="n">
        <v>45170.9375</v>
      </c>
      <c r="P843" s="49" t="n">
        <v>45170</v>
      </c>
      <c r="Q843" s="47" t="n">
        <v>2425</v>
      </c>
      <c r="R843" s="47" t="inlineStr">
        <is>
          <t>No Video ID yet</t>
        </is>
      </c>
      <c r="S843" s="49" t="n"/>
      <c r="T843" s="49" t="n"/>
      <c r="U843" s="47" t="n"/>
      <c r="V843" s="47">
        <f>IF(AND(P843&gt;=Calendar!$K$2,P843&lt;EDATE(Calendar!$K$2,1),OR(Calendar!$K$4="*",N843=Calendar!$K$4)),P843*100+COUNTIFS($P$6:$P$3267,P843,$Q$6:$Q$3267,"&lt;="&amp;Q843,$N$6:$N$3267,Calendar!$K$4),"")</f>
        <v/>
      </c>
      <c r="W843" s="47">
        <f>IF(AND(B843=Queue!$C$4,OR(Queue!$K$4="*",N843=Queue!$K$4)),Q843,"")</f>
        <v/>
      </c>
    </row>
    <row r="844">
      <c r="A844" s="38">
        <f>IF(M844="","",HYPERLINK("https://www.youtube.com/watch?v="&amp;M844,"▶"))</f>
        <v/>
      </c>
      <c r="B844" s="39">
        <f>IF(C844&lt;&gt;"",C844,IF(P844&lt;=IFERROR(INDEX(tblChannels[Watched Through],MATCH(N844,tblChannels[Channel ID],0)),0),"Watched","Unwatched"))</f>
        <v/>
      </c>
      <c r="C844" s="40" t="n"/>
      <c r="D844" s="41" t="n"/>
      <c r="E844" s="42" t="n">
        <v>45170.67569444444</v>
      </c>
      <c r="F844" s="50" t="inlineStr">
        <is>
          <t>Super Carlin Brothers</t>
        </is>
      </c>
      <c r="G844" t="inlineStr">
        <is>
          <t>Luna Lovegood’s ALWAYS Right | Harry Potter Film Theory</t>
        </is>
      </c>
      <c r="H844" s="44" t="n">
        <v>0.01326388888888889</v>
      </c>
      <c r="I844" s="45" t="n">
        <v>360784</v>
      </c>
      <c r="J844" s="45" t="n">
        <v>13905</v>
      </c>
      <c r="K844" s="45" t="n">
        <v>1037</v>
      </c>
      <c r="L844" s="46" t="n"/>
      <c r="M844" s="47" t="n"/>
      <c r="N844" s="47" t="inlineStr">
        <is>
          <t>UCKZo4N0lVPccBkSiuyVh4yg</t>
        </is>
      </c>
      <c r="O844" s="48" t="n">
        <v>45170.84236111111</v>
      </c>
      <c r="P844" s="49" t="n">
        <v>45170</v>
      </c>
      <c r="Q844" s="47" t="n">
        <v>2424</v>
      </c>
      <c r="R844" s="47" t="inlineStr">
        <is>
          <t>No Video ID yet</t>
        </is>
      </c>
      <c r="S844" s="49" t="n"/>
      <c r="T844" s="49" t="n"/>
      <c r="U844" s="47" t="inlineStr">
        <is>
          <t>Go to and use code super50 to get 50% off. Get your tickets for our LIVE TRIVIA event in Roanoke :: Today J dives into the Wizarding World of Harry Potter to reveal how Luna Lovegood is (almost) ALWAYS RIGHT! Does the Crumple Horned Snorkak exist? The Blibbering Humdinger? Wrackspurts? NARGLES?</t>
        </is>
      </c>
      <c r="V844" s="47">
        <f>IF(AND(P844&gt;=Calendar!$K$2,P844&lt;EDATE(Calendar!$K$2,1),OR(Calendar!$K$4="*",N844=Calendar!$K$4)),P844*100+COUNTIFS($P$6:$P$3267,P844,$Q$6:$Q$3267,"&lt;="&amp;Q844,$N$6:$N$3267,Calendar!$K$4),"")</f>
        <v/>
      </c>
      <c r="W844" s="47">
        <f>IF(AND(B844=Queue!$C$4,OR(Queue!$K$4="*",N844=Queue!$K$4)),Q844,"")</f>
        <v/>
      </c>
    </row>
    <row r="845">
      <c r="A845" s="38">
        <f>IF(M845="","",HYPERLINK("https://www.youtube.com/watch?v="&amp;M845,"▶"))</f>
        <v/>
      </c>
      <c r="B845" s="39">
        <f>IF(C845&lt;&gt;"",C845,IF(P845&lt;=IFERROR(INDEX(tblChannels[Watched Through],MATCH(N845,tblChannels[Channel ID],0)),0),"Watched","Unwatched"))</f>
        <v/>
      </c>
      <c r="C845" s="40" t="n"/>
      <c r="D845" s="41" t="n"/>
      <c r="E845" s="42" t="n">
        <v>45170.41666666666</v>
      </c>
      <c r="F845" s="43" t="inlineStr">
        <is>
          <t>Popcorn Culture</t>
        </is>
      </c>
      <c r="G845" t="inlineStr">
        <is>
          <t>Aladdin is Harry Potter: Confirmed | Popcorn Culture</t>
        </is>
      </c>
      <c r="H845" s="44" t="n">
        <v>0.04298611111111111</v>
      </c>
      <c r="I845" s="45" t="n">
        <v>4999</v>
      </c>
      <c r="J845" s="45" t="n">
        <v>283</v>
      </c>
      <c r="K845" s="45" t="n">
        <v>27</v>
      </c>
      <c r="L845" s="46" t="n"/>
      <c r="M845" s="47" t="n"/>
      <c r="N845" s="47" t="inlineStr">
        <is>
          <t>UCHfIbq9thHPC8yrKjAdJgDA</t>
        </is>
      </c>
      <c r="O845" s="48" t="n">
        <v>45170.58333333334</v>
      </c>
      <c r="P845" s="49" t="n">
        <v>45170</v>
      </c>
      <c r="Q845" s="47" t="n">
        <v>2423</v>
      </c>
      <c r="R845" s="47" t="inlineStr">
        <is>
          <t>No Video ID yet</t>
        </is>
      </c>
      <c r="S845" s="49" t="n"/>
      <c r="T845" s="49" t="n"/>
      <c r="U845" s="47" t="inlineStr">
        <is>
          <t>In the 195th episode of the Pop, Ben and J discuss Aladdin plot holes, vampires, an old HP theory, Fantasy Football leagues, that new house feeling, fleeting parenthood phases, and a Disney Cruise. Join us at Go Fest! - Get your tickets for the SCB Trivia Night! - Aladdin - Harry Is the Philosopher’s Stone video - Earholes Are We Going On the Boat? 00:00 - Intro, Some Free Theories 18:31 - Fantasy Football 40:00 - Phases of Parenthood 52:47 - A Disney Surprise</t>
        </is>
      </c>
      <c r="V845" s="47">
        <f>IF(AND(P845&gt;=Calendar!$K$2,P845&lt;EDATE(Calendar!$K$2,1),OR(Calendar!$K$4="*",N845=Calendar!$K$4)),P845*100+COUNTIFS($P$6:$P$3267,P845,$Q$6:$Q$3267,"&lt;="&amp;Q845,$N$6:$N$3267,Calendar!$K$4),"")</f>
        <v/>
      </c>
      <c r="W845" s="47">
        <f>IF(AND(B845=Queue!$C$4,OR(Queue!$K$4="*",N845=Queue!$K$4)),Q845,"")</f>
        <v/>
      </c>
    </row>
    <row r="846">
      <c r="A846" s="38">
        <f>IF(M846="","",HYPERLINK("https://www.youtube.com/watch?v="&amp;M846,"▶"))</f>
        <v/>
      </c>
      <c r="B846" s="39">
        <f>IF(C846&lt;&gt;"",C846,IF(P846&lt;=IFERROR(INDEX(tblChannels[Watched Through],MATCH(N846,tblChannels[Channel ID],0)),0),"Watched","Unwatched"))</f>
        <v/>
      </c>
      <c r="C846" s="40" t="n"/>
      <c r="D846" s="41" t="n"/>
      <c r="E846" s="42" t="n">
        <v>45168.64722222222</v>
      </c>
      <c r="F846" s="50" t="inlineStr">
        <is>
          <t>Super Carlin Brothers</t>
        </is>
      </c>
      <c r="G846" t="inlineStr">
        <is>
          <t>J vs Ben: HARDEST Harry Potter MONSTER Trivia Quiz (feat. Jake the Viking)</t>
        </is>
      </c>
      <c r="H846" s="44" t="n">
        <v>0.03081018518518518</v>
      </c>
      <c r="I846" s="45" t="n">
        <v>196991</v>
      </c>
      <c r="J846" s="45" t="n">
        <v>6795</v>
      </c>
      <c r="K846" s="45" t="n">
        <v>703</v>
      </c>
      <c r="L846" s="46" t="n"/>
      <c r="M846" s="47" t="n"/>
      <c r="N846" s="47" t="inlineStr">
        <is>
          <t>UCKZo4N0lVPccBkSiuyVh4yg</t>
        </is>
      </c>
      <c r="O846" s="48" t="n">
        <v>45168.81388888889</v>
      </c>
      <c r="P846" s="49" t="n">
        <v>45168</v>
      </c>
      <c r="Q846" s="47" t="n">
        <v>2422</v>
      </c>
      <c r="R846" s="47" t="inlineStr">
        <is>
          <t>No Video ID yet</t>
        </is>
      </c>
      <c r="S846" s="49" t="n"/>
      <c r="T846" s="49" t="n"/>
      <c r="U846" s="47" t="inlineStr">
        <is>
          <t>Go to to get 25% off your first order and free standard shipping. Get your tickets for our LIVE, IN-PERSON TRIVIA here: Today J and Ben face off with JAKE THE VIKING to find out who knows the most about the various giant monsters in the wizarding world of Harry Potter! Jake the Viking :: Play Along With Us: 02:54 - Q1: Whats the three headed dog's name? 03:59 - Q2: How are Basilisk's bred? 06:58 - Q3: How do you subdue the Monster Book of Monsters? 08:24 - Q4: Where was the fight with the troll? 09:02 - Q5: Who went with Hagrid to find the giants? 11:54 - Q6: What sound is fatal to a Basilisk? 13:47 - Q7: What creature is Malfoy afraid of in the Forbidden Forest? 16:27 - Q8: What are the water demons in the Black Lake called? 22:31 - Q9: Which creature bit Crabbe? 25:37 - Q10: Who did the Giant Squid rescue? 26:25 - Q11: Which beast has a human head, lion body and scorpion tail? 29:32 - Q12: What is the name of the Merchieftainess? 32:12 - Q13: What does Rita call the "Blast-Ended Skrewts"? 33:36 - Q14: What size dog does Hagrid compare young Aragog to? 37:31 - Q15: What is the most dangerous beast?</t>
        </is>
      </c>
      <c r="V846" s="47">
        <f>IF(AND(P846&gt;=Calendar!$K$2,P846&lt;EDATE(Calendar!$K$2,1),OR(Calendar!$K$4="*",N846=Calendar!$K$4)),P846*100+COUNTIFS($P$6:$P$3267,P846,$Q$6:$Q$3267,"&lt;="&amp;Q846,$N$6:$N$3267,Calendar!$K$4),"")</f>
        <v/>
      </c>
      <c r="W846" s="47">
        <f>IF(AND(B846=Queue!$C$4,OR(Queue!$K$4="*",N846=Queue!$K$4)),Q846,"")</f>
        <v/>
      </c>
    </row>
    <row r="847">
      <c r="A847" s="38">
        <f>IF(M847="","",HYPERLINK("https://www.youtube.com/watch?v="&amp;M847,"▶"))</f>
        <v/>
      </c>
      <c r="B847" s="39">
        <f>IF(C847&lt;&gt;"",C847,IF(P847&lt;=IFERROR(INDEX(tblChannels[Watched Through],MATCH(N847,tblChannels[Channel ID],0)),0),"Watched","Unwatched"))</f>
        <v/>
      </c>
      <c r="C847" s="40" t="n"/>
      <c r="D847" s="41" t="n"/>
      <c r="E847" s="42" t="n">
        <v>45166.625</v>
      </c>
      <c r="F847" s="53" t="inlineStr">
        <is>
          <t>Jonathan Carlin</t>
        </is>
      </c>
      <c r="G847" t="inlineStr">
        <is>
          <t>LORCANA IS FINALLY HERE!</t>
        </is>
      </c>
      <c r="H847" s="44" t="n">
        <v>0.009513888888888889</v>
      </c>
      <c r="I847" s="45" t="n">
        <v>7481</v>
      </c>
      <c r="J847" s="45" t="n">
        <v>479</v>
      </c>
      <c r="K847" s="45" t="n">
        <v>44</v>
      </c>
      <c r="L847" s="46" t="n"/>
      <c r="M847" s="47" t="n"/>
      <c r="N847" s="47" t="inlineStr">
        <is>
          <t>UCYPKFe86e6nm4TVUYKLsFUQ</t>
        </is>
      </c>
      <c r="O847" s="48" t="n">
        <v>45166.79166666666</v>
      </c>
      <c r="P847" s="49" t="n">
        <v>45166</v>
      </c>
      <c r="Q847" s="47" t="n">
        <v>2421</v>
      </c>
      <c r="R847" s="47" t="inlineStr">
        <is>
          <t>No Video ID yet</t>
        </is>
      </c>
      <c r="S847" s="49" t="n"/>
      <c r="T847" s="49" t="n"/>
      <c r="U847" s="47" t="inlineStr">
        <is>
          <t>GET TICKETS FOR SCB LIVE! This week J and the boys reap an EXCELLENT harvest from the garden, J revels in the launch of Lorcana and he and Beth find a new favorite restaurant! Edited by Riley Murtagh</t>
        </is>
      </c>
      <c r="V847" s="47">
        <f>IF(AND(P847&gt;=Calendar!$K$2,P847&lt;EDATE(Calendar!$K$2,1),OR(Calendar!$K$4="*",N847=Calendar!$K$4)),P847*100+COUNTIFS($P$6:$P$3267,P847,$Q$6:$Q$3267,"&lt;="&amp;Q847,$N$6:$N$3267,Calendar!$K$4),"")</f>
        <v/>
      </c>
      <c r="W847" s="47">
        <f>IF(AND(B847=Queue!$C$4,OR(Queue!$K$4="*",N847=Queue!$K$4)),Q847,"")</f>
        <v/>
      </c>
    </row>
    <row r="848">
      <c r="A848" s="38">
        <f>IF(M848="","",HYPERLINK("https://www.youtube.com/watch?v="&amp;M848,"▶"))</f>
        <v/>
      </c>
      <c r="B848" s="39">
        <f>IF(C848&lt;&gt;"",C848,IF(P848&lt;=IFERROR(INDEX(tblChannels[Watched Through],MATCH(N848,tblChannels[Channel ID],0)),0),"Watched","Unwatched"))</f>
        <v/>
      </c>
      <c r="C848" s="40" t="n"/>
      <c r="D848" s="41" t="n"/>
      <c r="E848" s="42" t="n">
        <v>45163.575</v>
      </c>
      <c r="F848" s="50" t="inlineStr">
        <is>
          <t>Super Carlin Brothers</t>
        </is>
      </c>
      <c r="G848" t="inlineStr">
        <is>
          <t>Could The Veil KILL Voldemort | Harry Potter Film Theory</t>
        </is>
      </c>
      <c r="H848" s="44" t="n">
        <v>0.01125</v>
      </c>
      <c r="I848" s="45" t="n">
        <v>227714</v>
      </c>
      <c r="J848" s="45" t="n">
        <v>8651</v>
      </c>
      <c r="K848" s="45" t="n">
        <v>719</v>
      </c>
      <c r="L848" s="46" t="n"/>
      <c r="M848" s="47" t="n"/>
      <c r="N848" s="47" t="inlineStr">
        <is>
          <t>UCKZo4N0lVPccBkSiuyVh4yg</t>
        </is>
      </c>
      <c r="O848" s="48" t="n">
        <v>45163.74166666667</v>
      </c>
      <c r="P848" s="49" t="n">
        <v>45163</v>
      </c>
      <c r="Q848" s="47" t="n">
        <v>2420</v>
      </c>
      <c r="R848" s="47" t="inlineStr">
        <is>
          <t>No Video ID yet</t>
        </is>
      </c>
      <c r="S848" s="49" t="n"/>
      <c r="T848" s="49" t="n"/>
      <c r="U848" s="47" t="inlineStr">
        <is>
          <t>Go to to get 25% off your first order and free standard shipping. Get your tickets for our LIVE TRIVIA event in Roanoke :: Today Ben dives into the Wizarding World of Harry Potter to try and determine if the ominous Veil in the Department of Mysteries could have successfully killed Voldemort! #supercarlinbrothers #HarryPotter #FilmTheory</t>
        </is>
      </c>
      <c r="V848" s="47">
        <f>IF(AND(P848&gt;=Calendar!$K$2,P848&lt;EDATE(Calendar!$K$2,1),OR(Calendar!$K$4="*",N848=Calendar!$K$4)),P848*100+COUNTIFS($P$6:$P$3267,P848,$Q$6:$Q$3267,"&lt;="&amp;Q848,$N$6:$N$3267,Calendar!$K$4),"")</f>
        <v/>
      </c>
      <c r="W848" s="47">
        <f>IF(AND(B848=Queue!$C$4,OR(Queue!$K$4="*",N848=Queue!$K$4)),Q848,"")</f>
        <v/>
      </c>
    </row>
    <row r="849">
      <c r="A849" s="38">
        <f>IF(M849="","",HYPERLINK("https://www.youtube.com/watch?v="&amp;M849,"▶"))</f>
        <v/>
      </c>
      <c r="B849" s="39">
        <f>IF(C849&lt;&gt;"",C849,IF(P849&lt;=IFERROR(INDEX(tblChannels[Watched Through],MATCH(N849,tblChannels[Channel ID],0)),0),"Watched","Unwatched"))</f>
        <v/>
      </c>
      <c r="C849" s="40" t="n"/>
      <c r="D849" s="41" t="n"/>
      <c r="E849" s="42" t="n">
        <v>45163.41666666666</v>
      </c>
      <c r="F849" s="43" t="inlineStr">
        <is>
          <t>Popcorn Culture</t>
        </is>
      </c>
      <c r="G849" t="inlineStr">
        <is>
          <t>Cucumber Mania! | Popcorn Culture</t>
        </is>
      </c>
      <c r="H849" s="44" t="n">
        <v>0.04571759259259259</v>
      </c>
      <c r="I849" s="45" t="n">
        <v>4276</v>
      </c>
      <c r="J849" s="45" t="n">
        <v>217</v>
      </c>
      <c r="K849" s="45" t="n">
        <v>16</v>
      </c>
      <c r="L849" s="46" t="n"/>
      <c r="M849" s="47" t="n"/>
      <c r="N849" s="47" t="inlineStr">
        <is>
          <t>UCHfIbq9thHPC8yrKjAdJgDA</t>
        </is>
      </c>
      <c r="O849" s="48" t="n">
        <v>45163.58333333334</v>
      </c>
      <c r="P849" s="49" t="n">
        <v>45163</v>
      </c>
      <c r="Q849" s="47" t="n">
        <v>2419</v>
      </c>
      <c r="R849" s="47" t="inlineStr">
        <is>
          <t>No Video ID yet</t>
        </is>
      </c>
      <c r="S849" s="49" t="n"/>
      <c r="T849" s="49" t="n"/>
      <c r="U849" s="47" t="inlineStr">
        <is>
          <t>In the 194th episode of the Pop Ben and J discuss tough travels, perfect attendance, big changes as a kid, improving things, Chipotle and Moes, telephone (the game), J’s Farm, and hydroponics. Join us at Go Fest! - Get your tickets for the SCB Trivia Night! - The Parent Trap - How to Improve Anything Video - J’s Vlog is back! - Calamity of Errors 10 Minute Stories Chipotle Vs. Moes Butt Cushion 00:00 - Intro, Ben’s Vermont Trip 13:18 - Lukester 22:33 - Ford Analogy 37:36 - Chipotle vs. Moes 54:49 - J’s Farm</t>
        </is>
      </c>
      <c r="V849" s="47">
        <f>IF(AND(P849&gt;=Calendar!$K$2,P849&lt;EDATE(Calendar!$K$2,1),OR(Calendar!$K$4="*",N849=Calendar!$K$4)),P849*100+COUNTIFS($P$6:$P$3267,P849,$Q$6:$Q$3267,"&lt;="&amp;Q849,$N$6:$N$3267,Calendar!$K$4),"")</f>
        <v/>
      </c>
      <c r="W849" s="47">
        <f>IF(AND(B849=Queue!$C$4,OR(Queue!$K$4="*",N849=Queue!$K$4)),Q849,"")</f>
        <v/>
      </c>
    </row>
    <row r="850">
      <c r="A850" s="38">
        <f>IF(M850="","",HYPERLINK("https://www.youtube.com/watch?v="&amp;M850,"▶"))</f>
        <v/>
      </c>
      <c r="B850" s="39">
        <f>IF(C850&lt;&gt;"",C850,IF(P850&lt;=IFERROR(INDEX(tblChannels[Watched Through],MATCH(N850,tblChannels[Channel ID],0)),0),"Watched","Unwatched"))</f>
        <v/>
      </c>
      <c r="C850" s="40" t="n"/>
      <c r="D850" s="41" t="n"/>
      <c r="E850" s="42" t="n">
        <v>45162.77083333334</v>
      </c>
      <c r="F850" s="52" t="inlineStr">
        <is>
          <t>Super Carlin Gaming</t>
        </is>
      </c>
      <c r="G850" t="inlineStr">
        <is>
          <t>TONS of Critical Hits | Carlin Brothers Box Breakers S6E8</t>
        </is>
      </c>
      <c r="H850" s="44" t="n">
        <v>0.02827546296296296</v>
      </c>
      <c r="I850" s="45" t="n">
        <v>1768</v>
      </c>
      <c r="J850" s="45" t="n">
        <v>96</v>
      </c>
      <c r="K850" s="45" t="n">
        <v>19</v>
      </c>
      <c r="L850" s="46" t="n"/>
      <c r="M850" s="47" t="n"/>
      <c r="N850" s="47" t="inlineStr">
        <is>
          <t>UCor_9jRnNNZVzTuQ92PKsaQ</t>
        </is>
      </c>
      <c r="O850" s="48" t="n">
        <v>45162.9375</v>
      </c>
      <c r="P850" s="49" t="n">
        <v>45162</v>
      </c>
      <c r="Q850" s="47" t="n">
        <v>2418</v>
      </c>
      <c r="R850" s="47" t="inlineStr">
        <is>
          <t>No Video ID yet</t>
        </is>
      </c>
      <c r="S850" s="49" t="n"/>
      <c r="T850" s="49" t="n"/>
      <c r="U850" s="47" t="n"/>
      <c r="V850" s="47">
        <f>IF(AND(P850&gt;=Calendar!$K$2,P850&lt;EDATE(Calendar!$K$2,1),OR(Calendar!$K$4="*",N850=Calendar!$K$4)),P850*100+COUNTIFS($P$6:$P$3267,P850,$Q$6:$Q$3267,"&lt;="&amp;Q850,$N$6:$N$3267,Calendar!$K$4),"")</f>
        <v/>
      </c>
      <c r="W850" s="47">
        <f>IF(AND(B850=Queue!$C$4,OR(Queue!$K$4="*",N850=Queue!$K$4)),Q850,"")</f>
        <v/>
      </c>
    </row>
    <row r="851">
      <c r="A851" s="38">
        <f>IF(M851="","",HYPERLINK("https://www.youtube.com/watch?v="&amp;M851,"▶"))</f>
        <v/>
      </c>
      <c r="B851" s="39">
        <f>IF(C851&lt;&gt;"",C851,IF(P851&lt;=IFERROR(INDEX(tblChannels[Watched Through],MATCH(N851,tblChannels[Channel ID],0)),0),"Watched","Unwatched"))</f>
        <v/>
      </c>
      <c r="C851" s="40" t="n"/>
      <c r="D851" s="41" t="n"/>
      <c r="E851" s="42" t="n">
        <v>45161.63055555556</v>
      </c>
      <c r="F851" s="50" t="inlineStr">
        <is>
          <t>Super Carlin Brothers</t>
        </is>
      </c>
      <c r="G851" t="inlineStr">
        <is>
          <t>Reacting to EVERY Harry Potter Book Cover | Sorcerer’s Stone</t>
        </is>
      </c>
      <c r="H851" s="44" t="n">
        <v>0.0255787037037037</v>
      </c>
      <c r="I851" s="45" t="n">
        <v>156679</v>
      </c>
      <c r="J851" s="45" t="n">
        <v>6686</v>
      </c>
      <c r="K851" s="45" t="n">
        <v>1228</v>
      </c>
      <c r="L851" s="46" t="n"/>
      <c r="M851" s="47" t="n"/>
      <c r="N851" s="47" t="inlineStr">
        <is>
          <t>UCKZo4N0lVPccBkSiuyVh4yg</t>
        </is>
      </c>
      <c r="O851" s="48" t="n">
        <v>45161.79722222222</v>
      </c>
      <c r="P851" s="49" t="n">
        <v>45161</v>
      </c>
      <c r="Q851" s="47" t="n">
        <v>2417</v>
      </c>
      <c r="R851" s="47" t="inlineStr">
        <is>
          <t>No Video ID yet</t>
        </is>
      </c>
      <c r="S851" s="49" t="n"/>
      <c r="T851" s="49" t="n"/>
      <c r="U851" s="47" t="inlineStr">
        <is>
          <t>Today J dives into the Wizarding World of Harry Potter to review FIFTY different Sorcerer Stone cover arts! Harry Potter is sold in over 200 countries around the world in over 80 languages, and the various covers that have been created throughout the years range from awe-inspiring to absolutely ridiculous! Check out all the covers here ::</t>
        </is>
      </c>
      <c r="V851" s="47">
        <f>IF(AND(P851&gt;=Calendar!$K$2,P851&lt;EDATE(Calendar!$K$2,1),OR(Calendar!$K$4="*",N851=Calendar!$K$4)),P851*100+COUNTIFS($P$6:$P$3267,P851,$Q$6:$Q$3267,"&lt;="&amp;Q851,$N$6:$N$3267,Calendar!$K$4),"")</f>
        <v/>
      </c>
      <c r="W851" s="47">
        <f>IF(AND(B851=Queue!$C$4,OR(Queue!$K$4="*",N851=Queue!$K$4)),Q851,"")</f>
        <v/>
      </c>
    </row>
    <row r="852">
      <c r="A852" s="38">
        <f>IF(M852="","",HYPERLINK("https://www.youtube.com/watch?v="&amp;M852,"▶"))</f>
        <v/>
      </c>
      <c r="B852" s="39">
        <f>IF(C852&lt;&gt;"",C852,IF(P852&lt;=IFERROR(INDEX(tblChannels[Watched Through],MATCH(N852,tblChannels[Channel ID],0)),0),"Watched","Unwatched"))</f>
        <v/>
      </c>
      <c r="C852" s="40" t="n"/>
      <c r="D852" s="41" t="n"/>
      <c r="E852" s="42" t="n">
        <v>45159.625</v>
      </c>
      <c r="F852" s="53" t="inlineStr">
        <is>
          <t>Jonathan Carlin</t>
        </is>
      </c>
      <c r="G852" t="inlineStr">
        <is>
          <t>Luke's FIRST Day of Kindergarten!</t>
        </is>
      </c>
      <c r="H852" s="44" t="n">
        <v>0.01078703703703704</v>
      </c>
      <c r="I852" s="45" t="n">
        <v>12278</v>
      </c>
      <c r="J852" s="45" t="n">
        <v>860</v>
      </c>
      <c r="K852" s="45" t="n">
        <v>105</v>
      </c>
      <c r="L852" s="46" t="n"/>
      <c r="M852" s="47" t="n"/>
      <c r="N852" s="47" t="inlineStr">
        <is>
          <t>UCYPKFe86e6nm4TVUYKLsFUQ</t>
        </is>
      </c>
      <c r="O852" s="48" t="n">
        <v>45159.79166666666</v>
      </c>
      <c r="P852" s="49" t="n">
        <v>45159</v>
      </c>
      <c r="Q852" s="47" t="n">
        <v>2416</v>
      </c>
      <c r="R852" s="47" t="inlineStr">
        <is>
          <t>No Video ID yet</t>
        </is>
      </c>
      <c r="S852" s="49" t="n"/>
      <c r="T852" s="49" t="n"/>
      <c r="U852" s="47" t="inlineStr">
        <is>
          <t>This week J and the fam send Luke off to Kindergarten. J injures himself, and the SCB office is visited by special guest: Jake the Viking Check out Jake :: Short Story Candles :: Edited by Riley Murtagh</t>
        </is>
      </c>
      <c r="V852" s="47">
        <f>IF(AND(P852&gt;=Calendar!$K$2,P852&lt;EDATE(Calendar!$K$2,1),OR(Calendar!$K$4="*",N852=Calendar!$K$4)),P852*100+COUNTIFS($P$6:$P$3267,P852,$Q$6:$Q$3267,"&lt;="&amp;Q852,$N$6:$N$3267,Calendar!$K$4),"")</f>
        <v/>
      </c>
      <c r="W852" s="47">
        <f>IF(AND(B852=Queue!$C$4,OR(Queue!$K$4="*",N852=Queue!$K$4)),Q852,"")</f>
        <v/>
      </c>
    </row>
    <row r="853">
      <c r="A853" s="38">
        <f>IF(M853="","",HYPERLINK("https://www.youtube.com/watch?v="&amp;M853,"▶"))</f>
        <v/>
      </c>
      <c r="B853" s="39">
        <f>IF(C853&lt;&gt;"",C853,IF(P853&lt;=IFERROR(INDEX(tblChannels[Watched Through],MATCH(N853,tblChannels[Channel ID],0)),0),"Watched","Unwatched"))</f>
        <v/>
      </c>
      <c r="C853" s="40" t="n"/>
      <c r="D853" s="41" t="n"/>
      <c r="E853" s="42" t="n">
        <v>45156.77083333334</v>
      </c>
      <c r="F853" s="52" t="inlineStr">
        <is>
          <t>Super Carlin Gaming</t>
        </is>
      </c>
      <c r="G853" t="inlineStr">
        <is>
          <t>BIG STANDING ENERGY | Carlin Brothers Box Breakers S6E7</t>
        </is>
      </c>
      <c r="H853" s="44" t="n">
        <v>0.02836805555555556</v>
      </c>
      <c r="I853" s="45" t="n">
        <v>1744</v>
      </c>
      <c r="J853" s="45" t="n">
        <v>92</v>
      </c>
      <c r="K853" s="45" t="n">
        <v>6</v>
      </c>
      <c r="L853" s="46" t="n"/>
      <c r="M853" s="47" t="n"/>
      <c r="N853" s="47" t="inlineStr">
        <is>
          <t>UCor_9jRnNNZVzTuQ92PKsaQ</t>
        </is>
      </c>
      <c r="O853" s="48" t="n">
        <v>45156.9375</v>
      </c>
      <c r="P853" s="49" t="n">
        <v>45156</v>
      </c>
      <c r="Q853" s="47" t="n">
        <v>2415</v>
      </c>
      <c r="R853" s="47" t="inlineStr">
        <is>
          <t>No Video ID yet</t>
        </is>
      </c>
      <c r="S853" s="49" t="n"/>
      <c r="T853" s="49" t="n"/>
      <c r="U853" s="47" t="n"/>
      <c r="V853" s="47">
        <f>IF(AND(P853&gt;=Calendar!$K$2,P853&lt;EDATE(Calendar!$K$2,1),OR(Calendar!$K$4="*",N853=Calendar!$K$4)),P853*100+COUNTIFS($P$6:$P$3267,P853,$Q$6:$Q$3267,"&lt;="&amp;Q853,$N$6:$N$3267,Calendar!$K$4),"")</f>
        <v/>
      </c>
      <c r="W853" s="47">
        <f>IF(AND(B853=Queue!$C$4,OR(Queue!$K$4="*",N853=Queue!$K$4)),Q853,"")</f>
        <v/>
      </c>
    </row>
    <row r="854">
      <c r="A854" s="38">
        <f>IF(M854="","",HYPERLINK("https://www.youtube.com/watch?v="&amp;M854,"▶"))</f>
        <v/>
      </c>
      <c r="B854" s="39">
        <f>IF(C854&lt;&gt;"",C854,IF(P854&lt;=IFERROR(INDEX(tblChannels[Watched Through],MATCH(N854,tblChannels[Channel ID],0)),0),"Watched","Unwatched"))</f>
        <v/>
      </c>
      <c r="C854" s="40" t="n"/>
      <c r="D854" s="41" t="n"/>
      <c r="E854" s="42" t="n">
        <v>45156.61111111111</v>
      </c>
      <c r="F854" s="50" t="inlineStr">
        <is>
          <t>Super Carlin Brothers</t>
        </is>
      </c>
      <c r="G854" t="inlineStr">
        <is>
          <t>What If Harry Never Read the Half-Blood Prince’s Book? | Harry Potter Film Theory</t>
        </is>
      </c>
      <c r="H854" s="44" t="n">
        <v>0.01578703703703704</v>
      </c>
      <c r="I854" s="45" t="n">
        <v>308109</v>
      </c>
      <c r="J854" s="45" t="n">
        <v>8703</v>
      </c>
      <c r="K854" s="45" t="n">
        <v>623</v>
      </c>
      <c r="L854" s="46" t="n"/>
      <c r="M854" s="47" t="n"/>
      <c r="N854" s="47" t="inlineStr">
        <is>
          <t>UCKZo4N0lVPccBkSiuyVh4yg</t>
        </is>
      </c>
      <c r="O854" s="48" t="n">
        <v>45156.77777777778</v>
      </c>
      <c r="P854" s="49" t="n">
        <v>45156</v>
      </c>
      <c r="Q854" s="47" t="n">
        <v>2414</v>
      </c>
      <c r="R854" s="47" t="inlineStr">
        <is>
          <t>No Video ID yet</t>
        </is>
      </c>
      <c r="S854" s="49" t="n"/>
      <c r="T854" s="49" t="n"/>
      <c r="U854" s="47" t="inlineStr">
        <is>
          <t>Go to and use code super at checkout to get 20% off your first monthly box. Today J dives into the Wizarding World of Harry Potter to find out what would have happened if Harry had never received the Half-Blood Prince’s copy of Advanced Potion Making. Does he still get the Lucky Potion? Can he still save Ron without the Bezoar? And what about the Lost Diadem?!</t>
        </is>
      </c>
      <c r="V854" s="47">
        <f>IF(AND(P854&gt;=Calendar!$K$2,P854&lt;EDATE(Calendar!$K$2,1),OR(Calendar!$K$4="*",N854=Calendar!$K$4)),P854*100+COUNTIFS($P$6:$P$3267,P854,$Q$6:$Q$3267,"&lt;="&amp;Q854,$N$6:$N$3267,Calendar!$K$4),"")</f>
        <v/>
      </c>
      <c r="W854" s="47">
        <f>IF(AND(B854=Queue!$C$4,OR(Queue!$K$4="*",N854=Queue!$K$4)),Q854,"")</f>
        <v/>
      </c>
    </row>
    <row r="855">
      <c r="A855" s="38">
        <f>IF(M855="","",HYPERLINK("https://www.youtube.com/watch?v="&amp;M855,"▶"))</f>
        <v/>
      </c>
      <c r="B855" s="39">
        <f>IF(C855&lt;&gt;"",C855,IF(P855&lt;=IFERROR(INDEX(tblChannels[Watched Through],MATCH(N855,tblChannels[Channel ID],0)),0),"Watched","Unwatched"))</f>
        <v/>
      </c>
      <c r="C855" s="40" t="n"/>
      <c r="D855" s="41" t="n"/>
      <c r="E855" s="42" t="n">
        <v>45156.60555555556</v>
      </c>
      <c r="F855" s="53" t="inlineStr">
        <is>
          <t>Jonathan Carlin</t>
        </is>
      </c>
      <c r="G855" t="inlineStr">
        <is>
          <t>We're BACK! And going to School! - Trailer</t>
        </is>
      </c>
      <c r="H855" s="44" t="n">
        <v>0.000625</v>
      </c>
      <c r="I855" s="45" t="n">
        <v>6637</v>
      </c>
      <c r="J855" s="45" t="n">
        <v>498</v>
      </c>
      <c r="K855" s="45" t="n">
        <v>36</v>
      </c>
      <c r="L855" s="46" t="n"/>
      <c r="M855" s="47" t="n"/>
      <c r="N855" s="47" t="inlineStr">
        <is>
          <t>UCYPKFe86e6nm4TVUYKLsFUQ</t>
        </is>
      </c>
      <c r="O855" s="48" t="n">
        <v>45156.77222222222</v>
      </c>
      <c r="P855" s="49" t="n">
        <v>45156</v>
      </c>
      <c r="Q855" s="47" t="n">
        <v>2413</v>
      </c>
      <c r="R855" s="47" t="inlineStr">
        <is>
          <t>No Video ID yet</t>
        </is>
      </c>
      <c r="S855" s="49" t="n"/>
      <c r="T855" s="49" t="n"/>
      <c r="U855" s="47" t="inlineStr">
        <is>
          <t>J is back on the vlog and Luke is off to school! Don't miss the return of the Vlog this Monday, August 21! Edited by Riley Murtagh</t>
        </is>
      </c>
      <c r="V855" s="47">
        <f>IF(AND(P855&gt;=Calendar!$K$2,P855&lt;EDATE(Calendar!$K$2,1),OR(Calendar!$K$4="*",N855=Calendar!$K$4)),P855*100+COUNTIFS($P$6:$P$3267,P855,$Q$6:$Q$3267,"&lt;="&amp;Q855,$N$6:$N$3267,Calendar!$K$4),"")</f>
        <v/>
      </c>
      <c r="W855" s="47">
        <f>IF(AND(B855=Queue!$C$4,OR(Queue!$K$4="*",N855=Queue!$K$4)),Q855,"")</f>
        <v/>
      </c>
    </row>
    <row r="856">
      <c r="A856" s="38">
        <f>IF(M856="","",HYPERLINK("https://www.youtube.com/watch?v="&amp;M856,"▶"))</f>
        <v/>
      </c>
      <c r="B856" s="39">
        <f>IF(C856&lt;&gt;"",C856,IF(P856&lt;=IFERROR(INDEX(tblChannels[Watched Through],MATCH(N856,tblChannels[Channel ID],0)),0),"Watched","Unwatched"))</f>
        <v/>
      </c>
      <c r="C856" s="40" t="n"/>
      <c r="D856" s="41" t="n"/>
      <c r="E856" s="42" t="n">
        <v>45156.41666666666</v>
      </c>
      <c r="F856" s="43" t="inlineStr">
        <is>
          <t>Popcorn Culture</t>
        </is>
      </c>
      <c r="G856" t="inlineStr">
        <is>
          <t>Butts and Boats | Popcorn Culture</t>
        </is>
      </c>
      <c r="H856" s="44" t="n">
        <v>0.04167824074074074</v>
      </c>
      <c r="I856" s="45" t="n">
        <v>3908</v>
      </c>
      <c r="J856" s="45" t="n">
        <v>208</v>
      </c>
      <c r="K856" s="45" t="n">
        <v>26</v>
      </c>
      <c r="L856" s="46" t="n"/>
      <c r="M856" s="47" t="n"/>
      <c r="N856" s="47" t="inlineStr">
        <is>
          <t>UCHfIbq9thHPC8yrKjAdJgDA</t>
        </is>
      </c>
      <c r="O856" s="48" t="n">
        <v>45156.58333333334</v>
      </c>
      <c r="P856" s="49" t="n">
        <v>45156</v>
      </c>
      <c r="Q856" s="47" t="n">
        <v>2412</v>
      </c>
      <c r="R856" s="47" t="inlineStr">
        <is>
          <t>No Video ID yet</t>
        </is>
      </c>
      <c r="S856" s="49" t="n"/>
      <c r="T856" s="49" t="n"/>
      <c r="U856" s="47" t="inlineStr">
        <is>
          <t>In the 193rd episode of the Pop, Ben and J discuss J’s tush pain, Luke’s first day of Kindy, how they handle nerves, prepping for having kids, new licenses, and Ben’s boat. Join us at Go Fest! - Get your tickets for the SCB Trivia Night! - Bluey - Finding Nemo - Tuchus is Poppin Lense of Optimization I’m No Boat Mechanic 00:00 - Intro, J’s Current Pain 06:09 - Luke Started Kindy! 16:31 - Handling Nerves 33:46 - The Courts 44:44 - Ben’s Boat</t>
        </is>
      </c>
      <c r="V856" s="47">
        <f>IF(AND(P856&gt;=Calendar!$K$2,P856&lt;EDATE(Calendar!$K$2,1),OR(Calendar!$K$4="*",N856=Calendar!$K$4)),P856*100+COUNTIFS($P$6:$P$3267,P856,$Q$6:$Q$3267,"&lt;="&amp;Q856,$N$6:$N$3267,Calendar!$K$4),"")</f>
        <v/>
      </c>
      <c r="W856" s="47">
        <f>IF(AND(B856=Queue!$C$4,OR(Queue!$K$4="*",N856=Queue!$K$4)),Q856,"")</f>
        <v/>
      </c>
    </row>
    <row r="857">
      <c r="A857" s="38">
        <f>IF(M857="","",HYPERLINK("https://www.youtube.com/watch?v="&amp;M857,"▶"))</f>
        <v/>
      </c>
      <c r="B857" s="39">
        <f>IF(C857&lt;&gt;"",C857,IF(P857&lt;=IFERROR(INDEX(tblChannels[Watched Through],MATCH(N857,tblChannels[Channel ID],0)),0),"Watched","Unwatched"))</f>
        <v/>
      </c>
      <c r="C857" s="40" t="n"/>
      <c r="D857" s="41" t="n"/>
      <c r="E857" s="42" t="n">
        <v>45155.43680555555</v>
      </c>
      <c r="F857" s="53" t="inlineStr">
        <is>
          <t>Jonathan Carlin</t>
        </is>
      </c>
      <c r="G857" t="inlineStr">
        <is>
          <t>The third kid is always up to something..</t>
        </is>
      </c>
      <c r="H857" s="44" t="n">
        <v>0.0001273148148148148</v>
      </c>
      <c r="I857" s="45" t="n">
        <v>3334</v>
      </c>
      <c r="J857" s="45" t="n">
        <v>226</v>
      </c>
      <c r="K857" s="45" t="n">
        <v>0</v>
      </c>
      <c r="L857" s="46" t="n"/>
      <c r="M857" s="47" t="n"/>
      <c r="N857" s="47" t="inlineStr">
        <is>
          <t>UCYPKFe86e6nm4TVUYKLsFUQ</t>
        </is>
      </c>
      <c r="O857" s="48" t="n">
        <v>45155.60347222222</v>
      </c>
      <c r="P857" s="49" t="n">
        <v>45155</v>
      </c>
      <c r="Q857" s="47" t="n">
        <v>2411</v>
      </c>
      <c r="R857" s="47" t="inlineStr">
        <is>
          <t>No Video ID yet</t>
        </is>
      </c>
      <c r="S857" s="49" t="n"/>
      <c r="T857" s="49" t="n"/>
      <c r="U857" s="47" t="n"/>
      <c r="V857" s="47">
        <f>IF(AND(P857&gt;=Calendar!$K$2,P857&lt;EDATE(Calendar!$K$2,1),OR(Calendar!$K$4="*",N857=Calendar!$K$4)),P857*100+COUNTIFS($P$6:$P$3267,P857,$Q$6:$Q$3267,"&lt;="&amp;Q857,$N$6:$N$3267,Calendar!$K$4),"")</f>
        <v/>
      </c>
      <c r="W857" s="47">
        <f>IF(AND(B857=Queue!$C$4,OR(Queue!$K$4="*",N857=Queue!$K$4)),Q857,"")</f>
        <v/>
      </c>
    </row>
    <row r="858">
      <c r="A858" s="38">
        <f>IF(M858="","",HYPERLINK("https://www.youtube.com/watch?v="&amp;M858,"▶"))</f>
        <v/>
      </c>
      <c r="B858" s="39">
        <f>IF(C858&lt;&gt;"",C858,IF(P858&lt;=IFERROR(INDEX(tblChannels[Watched Through],MATCH(N858,tblChannels[Channel ID],0)),0),"Watched","Unwatched"))</f>
        <v/>
      </c>
      <c r="C858" s="40" t="n"/>
      <c r="D858" s="41" t="n"/>
      <c r="E858" s="42" t="n">
        <v>45154.57361111111</v>
      </c>
      <c r="F858" s="50" t="inlineStr">
        <is>
          <t>Super Carlin Brothers</t>
        </is>
      </c>
      <c r="G858" t="inlineStr">
        <is>
          <t>J vs Ben: HARDEST Hunger Games TRIVIA Quiz</t>
        </is>
      </c>
      <c r="H858" s="44" t="n">
        <v>0.02642361111111111</v>
      </c>
      <c r="I858" s="45" t="n">
        <v>134259</v>
      </c>
      <c r="J858" s="45" t="n">
        <v>4462</v>
      </c>
      <c r="K858" s="45" t="n">
        <v>500</v>
      </c>
      <c r="L858" s="46" t="n"/>
      <c r="M858" s="47" t="n"/>
      <c r="N858" s="47" t="inlineStr">
        <is>
          <t>UCKZo4N0lVPccBkSiuyVh4yg</t>
        </is>
      </c>
      <c r="O858" s="48" t="n">
        <v>45154.74027777778</v>
      </c>
      <c r="P858" s="49" t="n">
        <v>45154</v>
      </c>
      <c r="Q858" s="47" t="n">
        <v>2410</v>
      </c>
      <c r="R858" s="47" t="inlineStr">
        <is>
          <t>No Video ID yet</t>
        </is>
      </c>
      <c r="S858" s="49" t="n"/>
      <c r="T858" s="49" t="n"/>
      <c r="U858" s="47" t="inlineStr">
        <is>
          <t>Get your tickets for LIVE TRIVIA on October 13 at 8:30pm! Get your bag of Liquid Luck :: Today Ben and J face off once more to find out who knows more about the dystopian world of Panem and the Hunger Games! Play along with us! :: 02:46 - Q1: What district is Finnick from? 03:34 - Q2: Who was Katniss’s security detail? 04:38 - Q3: What does Katniss grab from the Cornucopia? 08:06 - Q4: What score does Peeta get? 09:27 - Q5: Who is the announcer? 12:21 - Q6: Which Games did Haymitch win? 12:35 - Q7: What is District 8’s industry? 19:29 - Q8: What are the berries called? 20:33 - Q9: What did Katniss and Peeta eat in the cave? 22:38 - Q10: What was at the 3:00 hour in the Quarter Quell? 24:10 - Q11: What animal does Prim own? 24:52 - Q12: Who are Gale’s siblings? 27:46 - Q13: Who wasn’t part of the HG75 Career Pack? 31:08 - Q14: What does Katniss not bring back from District 12 post bombing? 32:46 - Q15: Who was Panem’s president after Coin’s death? #supercarlinbrothers #HungerGames #JvsBen</t>
        </is>
      </c>
      <c r="V858" s="47">
        <f>IF(AND(P858&gt;=Calendar!$K$2,P858&lt;EDATE(Calendar!$K$2,1),OR(Calendar!$K$4="*",N858=Calendar!$K$4)),P858*100+COUNTIFS($P$6:$P$3267,P858,$Q$6:$Q$3267,"&lt;="&amp;Q858,$N$6:$N$3267,Calendar!$K$4),"")</f>
        <v/>
      </c>
      <c r="W858" s="47">
        <f>IF(AND(B858=Queue!$C$4,OR(Queue!$K$4="*",N858=Queue!$K$4)),Q858,"")</f>
        <v/>
      </c>
    </row>
    <row r="859">
      <c r="A859" s="38">
        <f>IF(M859="","",HYPERLINK("https://www.youtube.com/watch?v="&amp;M859,"▶"))</f>
        <v/>
      </c>
      <c r="B859" s="39">
        <f>IF(C859&lt;&gt;"",C859,IF(P859&lt;=IFERROR(INDEX(tblChannels[Watched Through],MATCH(N859,tblChannels[Channel ID],0)),0),"Watched","Unwatched"))</f>
        <v/>
      </c>
      <c r="C859" s="40" t="n"/>
      <c r="D859" s="41" t="n"/>
      <c r="E859" s="42" t="n">
        <v>45149.77083333334</v>
      </c>
      <c r="F859" s="52" t="inlineStr">
        <is>
          <t>Super Carlin Gaming</t>
        </is>
      </c>
      <c r="G859" t="inlineStr">
        <is>
          <t>Crocodile Rock | Carlin Brothers Box Breakers S6E6</t>
        </is>
      </c>
      <c r="H859" s="44" t="n">
        <v>0.02909722222222222</v>
      </c>
      <c r="I859" s="45" t="n">
        <v>1741</v>
      </c>
      <c r="J859" s="45" t="n">
        <v>89</v>
      </c>
      <c r="K859" s="45" t="n">
        <v>9</v>
      </c>
      <c r="L859" s="46" t="n"/>
      <c r="M859" s="47" t="n"/>
      <c r="N859" s="47" t="inlineStr">
        <is>
          <t>UCor_9jRnNNZVzTuQ92PKsaQ</t>
        </is>
      </c>
      <c r="O859" s="48" t="n">
        <v>45149.9375</v>
      </c>
      <c r="P859" s="49" t="n">
        <v>45149</v>
      </c>
      <c r="Q859" s="47" t="n">
        <v>2409</v>
      </c>
      <c r="R859" s="47" t="inlineStr">
        <is>
          <t>No Video ID yet</t>
        </is>
      </c>
      <c r="S859" s="49" t="n"/>
      <c r="T859" s="49" t="n"/>
      <c r="U859" s="47" t="n"/>
      <c r="V859" s="47">
        <f>IF(AND(P859&gt;=Calendar!$K$2,P859&lt;EDATE(Calendar!$K$2,1),OR(Calendar!$K$4="*",N859=Calendar!$K$4)),P859*100+COUNTIFS($P$6:$P$3267,P859,$Q$6:$Q$3267,"&lt;="&amp;Q859,$N$6:$N$3267,Calendar!$K$4),"")</f>
        <v/>
      </c>
      <c r="W859" s="47">
        <f>IF(AND(B859=Queue!$C$4,OR(Queue!$K$4="*",N859=Queue!$K$4)),Q859,"")</f>
        <v/>
      </c>
    </row>
    <row r="860">
      <c r="A860" s="38">
        <f>IF(M860="","",HYPERLINK("https://www.youtube.com/watch?v="&amp;M860,"▶"))</f>
        <v/>
      </c>
      <c r="B860" s="39">
        <f>IF(C860&lt;&gt;"",C860,IF(P860&lt;=IFERROR(INDEX(tblChannels[Watched Through],MATCH(N860,tblChannels[Channel ID],0)),0),"Watched","Unwatched"))</f>
        <v/>
      </c>
      <c r="C860" s="40" t="n"/>
      <c r="D860" s="41" t="n"/>
      <c r="E860" s="42" t="n">
        <v>45149.54652777778</v>
      </c>
      <c r="F860" s="50" t="inlineStr">
        <is>
          <t>Super Carlin Brothers</t>
        </is>
      </c>
      <c r="G860" t="inlineStr">
        <is>
          <t>Finnick &amp; Tigris's BIG Secret | Hunger Games Film Theory</t>
        </is>
      </c>
      <c r="H860" s="44" t="n">
        <v>0.01271990740740741</v>
      </c>
      <c r="I860" s="45" t="n">
        <v>597073</v>
      </c>
      <c r="J860" s="45" t="n">
        <v>15000</v>
      </c>
      <c r="K860" s="45" t="n">
        <v>599</v>
      </c>
      <c r="L860" s="46" t="n"/>
      <c r="M860" s="47" t="n"/>
      <c r="N860" s="47" t="inlineStr">
        <is>
          <t>UCKZo4N0lVPccBkSiuyVh4yg</t>
        </is>
      </c>
      <c r="O860" s="48" t="n">
        <v>45149.71319444444</v>
      </c>
      <c r="P860" s="49" t="n">
        <v>45149</v>
      </c>
      <c r="Q860" s="47" t="n">
        <v>2408</v>
      </c>
      <c r="R860" s="47" t="inlineStr">
        <is>
          <t>No Video ID yet</t>
        </is>
      </c>
      <c r="S860" s="49" t="n"/>
      <c r="T860" s="49" t="n"/>
      <c r="U860" s="47" t="inlineStr">
        <is>
          <t>Go to and use code SUPER for 10% off your first order. Today Ben dives into the chaotic world of Panem to reveal WHY Tigris betrayed her cousin: Coriolanus Snow! How did such great friends turn on each other and what does it have to do with Finnick Odair?! #supercarlinbrothers #HungerGames</t>
        </is>
      </c>
      <c r="V860" s="47">
        <f>IF(AND(P860&gt;=Calendar!$K$2,P860&lt;EDATE(Calendar!$K$2,1),OR(Calendar!$K$4="*",N860=Calendar!$K$4)),P860*100+COUNTIFS($P$6:$P$3267,P860,$Q$6:$Q$3267,"&lt;="&amp;Q860,$N$6:$N$3267,Calendar!$K$4),"")</f>
        <v/>
      </c>
      <c r="W860" s="47">
        <f>IF(AND(B860=Queue!$C$4,OR(Queue!$K$4="*",N860=Queue!$K$4)),Q860,"")</f>
        <v/>
      </c>
    </row>
    <row r="861">
      <c r="A861" s="38">
        <f>IF(M861="","",HYPERLINK("https://www.youtube.com/watch?v="&amp;M861,"▶"))</f>
        <v/>
      </c>
      <c r="B861" s="39">
        <f>IF(C861&lt;&gt;"",C861,IF(P861&lt;=IFERROR(INDEX(tblChannels[Watched Through],MATCH(N861,tblChannels[Channel ID],0)),0),"Watched","Unwatched"))</f>
        <v/>
      </c>
      <c r="C861" s="40" t="n"/>
      <c r="D861" s="41" t="n"/>
      <c r="E861" s="42" t="n">
        <v>45149.42708333334</v>
      </c>
      <c r="F861" s="43" t="inlineStr">
        <is>
          <t>Popcorn Culture</t>
        </is>
      </c>
      <c r="G861" t="inlineStr">
        <is>
          <t>Luke’s a Kindergartener!  | Popcorn Culture</t>
        </is>
      </c>
      <c r="H861" s="44" t="n">
        <v>0.04745370370370371</v>
      </c>
      <c r="I861" s="45" t="n">
        <v>5021</v>
      </c>
      <c r="J861" s="45" t="n">
        <v>254</v>
      </c>
      <c r="K861" s="45" t="n">
        <v>35</v>
      </c>
      <c r="L861" s="46" t="n"/>
      <c r="M861" s="47" t="n"/>
      <c r="N861" s="47" t="inlineStr">
        <is>
          <t>UCHfIbq9thHPC8yrKjAdJgDA</t>
        </is>
      </c>
      <c r="O861" s="48" t="n">
        <v>45149.59375</v>
      </c>
      <c r="P861" s="49" t="n">
        <v>45149</v>
      </c>
      <c r="Q861" s="47" t="n">
        <v>2407</v>
      </c>
      <c r="R861" s="47" t="inlineStr">
        <is>
          <t>No Video ID yet</t>
        </is>
      </c>
      <c r="S861" s="49" t="n"/>
      <c r="T861" s="49" t="n"/>
      <c r="U861" s="47" t="inlineStr">
        <is>
          <t>In the 192nd episode of the Pop, Ben and J discuss Luke going to Kindergarten, Are You Smarter Than a Fifth Grader, standardized tests, The Invisible Man, hiding in the bamboo, laptops in class, and some announcements (so stay tuned till the end!). Join us at Go Fest! - Get your tickets for the SCB Trivia Night! - Are You Smarter than a Fifth Grader - Gulliver’s Travels - The Giver - Dr. Jekyll and Mr. Hyde - Lord of the Flies - Ender's Game - The Invisible Man Hiding in the Bamboo 00:00 - Intro, J’s Turning Point 15:47 - School Curriculum 47:21 - The Invisible Man</t>
        </is>
      </c>
      <c r="V861" s="47">
        <f>IF(AND(P861&gt;=Calendar!$K$2,P861&lt;EDATE(Calendar!$K$2,1),OR(Calendar!$K$4="*",N861=Calendar!$K$4)),P861*100+COUNTIFS($P$6:$P$3267,P861,$Q$6:$Q$3267,"&lt;="&amp;Q861,$N$6:$N$3267,Calendar!$K$4),"")</f>
        <v/>
      </c>
      <c r="W861" s="47">
        <f>IF(AND(B861=Queue!$C$4,OR(Queue!$K$4="*",N861=Queue!$K$4)),Q861,"")</f>
        <v/>
      </c>
    </row>
    <row r="862">
      <c r="A862" s="38">
        <f>IF(M862="","",HYPERLINK("https://www.youtube.com/watch?v="&amp;M862,"▶"))</f>
        <v/>
      </c>
      <c r="B862" s="39">
        <f>IF(C862&lt;&gt;"",C862,IF(P862&lt;=IFERROR(INDEX(tblChannels[Watched Through],MATCH(N862,tblChannels[Channel ID],0)),0),"Watched","Unwatched"))</f>
        <v/>
      </c>
      <c r="C862" s="40" t="n"/>
      <c r="D862" s="41" t="n"/>
      <c r="E862" s="42" t="n">
        <v>45147.67777777778</v>
      </c>
      <c r="F862" s="50" t="inlineStr">
        <is>
          <t>Super Carlin Brothers</t>
        </is>
      </c>
      <c r="G862" t="inlineStr">
        <is>
          <t>Top 7 PLOT TWISTS in Harry Potter</t>
        </is>
      </c>
      <c r="H862" s="44" t="n">
        <v>0.01490740740740741</v>
      </c>
      <c r="I862" s="45" t="n">
        <v>412772</v>
      </c>
      <c r="J862" s="45" t="n">
        <v>12374</v>
      </c>
      <c r="K862" s="45" t="n">
        <v>1118</v>
      </c>
      <c r="L862" s="46" t="n"/>
      <c r="M862" s="47" t="n"/>
      <c r="N862" s="47" t="inlineStr">
        <is>
          <t>UCKZo4N0lVPccBkSiuyVh4yg</t>
        </is>
      </c>
      <c r="O862" s="48" t="n">
        <v>45147.84444444445</v>
      </c>
      <c r="P862" s="49" t="n">
        <v>45147</v>
      </c>
      <c r="Q862" s="47" t="n">
        <v>2406</v>
      </c>
      <c r="R862" s="47" t="inlineStr">
        <is>
          <t>No Video ID yet</t>
        </is>
      </c>
      <c r="S862" s="49" t="n"/>
      <c r="T862" s="49" t="n"/>
      <c r="U862" s="47" t="inlineStr">
        <is>
          <t>Go to and use code super50 to get 50% off. Today J dives into the Wizarding World of Harry Potter to countdown our TOP 7 Plot Twists in the entire saga!</t>
        </is>
      </c>
      <c r="V862" s="47">
        <f>IF(AND(P862&gt;=Calendar!$K$2,P862&lt;EDATE(Calendar!$K$2,1),OR(Calendar!$K$4="*",N862=Calendar!$K$4)),P862*100+COUNTIFS($P$6:$P$3267,P862,$Q$6:$Q$3267,"&lt;="&amp;Q862,$N$6:$N$3267,Calendar!$K$4),"")</f>
        <v/>
      </c>
      <c r="W862" s="47">
        <f>IF(AND(B862=Queue!$C$4,OR(Queue!$K$4="*",N862=Queue!$K$4)),Q862,"")</f>
        <v/>
      </c>
    </row>
    <row r="863">
      <c r="A863" s="38">
        <f>IF(M863="","",HYPERLINK("https://www.youtube.com/watch?v="&amp;M863,"▶"))</f>
        <v/>
      </c>
      <c r="B863" s="39">
        <f>IF(C863&lt;&gt;"",C863,IF(P863&lt;=IFERROR(INDEX(tblChannels[Watched Through],MATCH(N863,tblChannels[Channel ID],0)),0),"Watched","Unwatched"))</f>
        <v/>
      </c>
      <c r="C863" s="40" t="n"/>
      <c r="D863" s="41" t="n"/>
      <c r="E863" s="42" t="n">
        <v>45145.41666666666</v>
      </c>
      <c r="F863" s="53" t="inlineStr">
        <is>
          <t>Jonathan Carlin</t>
        </is>
      </c>
      <c r="G863" t="inlineStr">
        <is>
          <t>The MISSING Disney Vlog!</t>
        </is>
      </c>
      <c r="H863" s="44" t="n">
        <v>0.01795138888888889</v>
      </c>
      <c r="I863" s="45" t="n">
        <v>13845</v>
      </c>
      <c r="J863" s="45" t="n">
        <v>816</v>
      </c>
      <c r="K863" s="45" t="n">
        <v>78</v>
      </c>
      <c r="L863" s="46" t="n"/>
      <c r="M863" s="47" t="n"/>
      <c r="N863" s="47" t="inlineStr">
        <is>
          <t>UCYPKFe86e6nm4TVUYKLsFUQ</t>
        </is>
      </c>
      <c r="O863" s="48" t="n">
        <v>45145.58333333334</v>
      </c>
      <c r="P863" s="49" t="n">
        <v>45145</v>
      </c>
      <c r="Q863" s="47" t="n">
        <v>2405</v>
      </c>
      <c r="R863" s="47" t="inlineStr">
        <is>
          <t>No Video ID yet</t>
        </is>
      </c>
      <c r="S863" s="49" t="n"/>
      <c r="T863" s="49" t="n"/>
      <c r="U863" s="47" t="inlineStr">
        <is>
          <t>In Feb 2023 the Carlin Family took a trip to Disney World, then Dad forgot to publish the vlog and put it off for another 6 months! Enjoy! Edited by Ethan Edghill</t>
        </is>
      </c>
      <c r="V863" s="47">
        <f>IF(AND(P863&gt;=Calendar!$K$2,P863&lt;EDATE(Calendar!$K$2,1),OR(Calendar!$K$4="*",N863=Calendar!$K$4)),P863*100+COUNTIFS($P$6:$P$3267,P863,$Q$6:$Q$3267,"&lt;="&amp;Q863,$N$6:$N$3267,Calendar!$K$4),"")</f>
        <v/>
      </c>
      <c r="W863" s="47">
        <f>IF(AND(B863=Queue!$C$4,OR(Queue!$K$4="*",N863=Queue!$K$4)),Q863,"")</f>
        <v/>
      </c>
    </row>
    <row r="864">
      <c r="A864" s="38">
        <f>IF(M864="","",HYPERLINK("https://www.youtube.com/watch?v="&amp;M864,"▶"))</f>
        <v/>
      </c>
      <c r="B864" s="39">
        <f>IF(C864&lt;&gt;"",C864,IF(P864&lt;=IFERROR(INDEX(tblChannels[Watched Through],MATCH(N864,tblChannels[Channel ID],0)),0),"Watched","Unwatched"))</f>
        <v/>
      </c>
      <c r="C864" s="40" t="n"/>
      <c r="D864" s="41" t="n"/>
      <c r="E864" s="42" t="n">
        <v>45142.77083333334</v>
      </c>
      <c r="F864" s="52" t="inlineStr">
        <is>
          <t>Super Carlin Gaming</t>
        </is>
      </c>
      <c r="G864" t="inlineStr">
        <is>
          <t>Huge Day For Last Place! | Carlin Brothers Box Breakers S6E5</t>
        </is>
      </c>
      <c r="H864" s="44" t="n">
        <v>0.03072916666666667</v>
      </c>
      <c r="I864" s="45" t="n">
        <v>1836</v>
      </c>
      <c r="J864" s="45" t="n">
        <v>96</v>
      </c>
      <c r="K864" s="45" t="n">
        <v>10</v>
      </c>
      <c r="L864" s="46" t="n"/>
      <c r="M864" s="47" t="n"/>
      <c r="N864" s="47" t="inlineStr">
        <is>
          <t>UCor_9jRnNNZVzTuQ92PKsaQ</t>
        </is>
      </c>
      <c r="O864" s="48" t="n">
        <v>45142.9375</v>
      </c>
      <c r="P864" s="49" t="n">
        <v>45142</v>
      </c>
      <c r="Q864" s="47" t="n">
        <v>2404</v>
      </c>
      <c r="R864" s="47" t="inlineStr">
        <is>
          <t>No Video ID yet</t>
        </is>
      </c>
      <c r="S864" s="49" t="n"/>
      <c r="T864" s="49" t="n"/>
      <c r="U864" s="47" t="n"/>
      <c r="V864" s="47">
        <f>IF(AND(P864&gt;=Calendar!$K$2,P864&lt;EDATE(Calendar!$K$2,1),OR(Calendar!$K$4="*",N864=Calendar!$K$4)),P864*100+COUNTIFS($P$6:$P$3267,P864,$Q$6:$Q$3267,"&lt;="&amp;Q864,$N$6:$N$3267,Calendar!$K$4),"")</f>
        <v/>
      </c>
      <c r="W864" s="47">
        <f>IF(AND(B864=Queue!$C$4,OR(Queue!$K$4="*",N864=Queue!$K$4)),Q864,"")</f>
        <v/>
      </c>
    </row>
    <row r="865">
      <c r="A865" s="38">
        <f>IF(M865="","",HYPERLINK("https://www.youtube.com/watch?v="&amp;M865,"▶"))</f>
        <v/>
      </c>
      <c r="B865" s="39">
        <f>IF(C865&lt;&gt;"",C865,IF(P865&lt;=IFERROR(INDEX(tblChannels[Watched Through],MATCH(N865,tblChannels[Channel ID],0)),0),"Watched","Unwatched"))</f>
        <v/>
      </c>
      <c r="C865" s="40" t="n"/>
      <c r="D865" s="41" t="n"/>
      <c r="E865" s="42" t="n">
        <v>45142.68611111111</v>
      </c>
      <c r="F865" s="50" t="inlineStr">
        <is>
          <t>Super Carlin Brothers</t>
        </is>
      </c>
      <c r="G865" t="inlineStr">
        <is>
          <t>The TRUTH About Katniss and Lucy Gray | Hunger Games Film Theory</t>
        </is>
      </c>
      <c r="H865" s="44" t="n">
        <v>0.01357638888888889</v>
      </c>
      <c r="I865" s="45" t="n">
        <v>206590</v>
      </c>
      <c r="J865" s="45" t="n">
        <v>7840</v>
      </c>
      <c r="K865" s="45" t="n">
        <v>576</v>
      </c>
      <c r="L865" s="46" t="n"/>
      <c r="M865" s="47" t="n"/>
      <c r="N865" s="47" t="inlineStr">
        <is>
          <t>UCKZo4N0lVPccBkSiuyVh4yg</t>
        </is>
      </c>
      <c r="O865" s="48" t="n">
        <v>45142.85277777778</v>
      </c>
      <c r="P865" s="49" t="n">
        <v>45142</v>
      </c>
      <c r="Q865" s="47" t="n">
        <v>2403</v>
      </c>
      <c r="R865" s="47" t="inlineStr">
        <is>
          <t>No Video ID yet</t>
        </is>
      </c>
      <c r="S865" s="49" t="n"/>
      <c r="T865" s="49" t="n"/>
      <c r="U865" s="47" t="inlineStr">
        <is>
          <t>Today Ben dives into the ruthless world of Panem to reveal if and/or how Katniss Everdeen is related to Lucy Gray Baird! #supercarlinbrothers #HungerGames</t>
        </is>
      </c>
      <c r="V865" s="47">
        <f>IF(AND(P865&gt;=Calendar!$K$2,P865&lt;EDATE(Calendar!$K$2,1),OR(Calendar!$K$4="*",N865=Calendar!$K$4)),P865*100+COUNTIFS($P$6:$P$3267,P865,$Q$6:$Q$3267,"&lt;="&amp;Q865,$N$6:$N$3267,Calendar!$K$4),"")</f>
        <v/>
      </c>
      <c r="W865" s="47">
        <f>IF(AND(B865=Queue!$C$4,OR(Queue!$K$4="*",N865=Queue!$K$4)),Q865,"")</f>
        <v/>
      </c>
    </row>
    <row r="866">
      <c r="A866" s="38">
        <f>IF(M866="","",HYPERLINK("https://www.youtube.com/watch?v="&amp;M866,"▶"))</f>
        <v/>
      </c>
      <c r="B866" s="39">
        <f>IF(C866&lt;&gt;"",C866,IF(P866&lt;=IFERROR(INDEX(tblChannels[Watched Through],MATCH(N866,tblChannels[Channel ID],0)),0),"Watched","Unwatched"))</f>
        <v/>
      </c>
      <c r="C866" s="40" t="n"/>
      <c r="D866" s="41" t="n"/>
      <c r="E866" s="42" t="n">
        <v>45142.41666666666</v>
      </c>
      <c r="F866" s="43" t="inlineStr">
        <is>
          <t>Popcorn Culture</t>
        </is>
      </c>
      <c r="G866" t="inlineStr">
        <is>
          <t>Ben Got a Tattoo - Not Clickbait | Popcorn Culture</t>
        </is>
      </c>
      <c r="H866" s="44" t="n">
        <v>0.04655092592592593</v>
      </c>
      <c r="I866" s="45" t="n">
        <v>7154</v>
      </c>
      <c r="J866" s="45" t="n">
        <v>349</v>
      </c>
      <c r="K866" s="45" t="n">
        <v>55</v>
      </c>
      <c r="L866" s="46" t="n"/>
      <c r="M866" s="47" t="n"/>
      <c r="N866" s="47" t="inlineStr">
        <is>
          <t>UCHfIbq9thHPC8yrKjAdJgDA</t>
        </is>
      </c>
      <c r="O866" s="48" t="n">
        <v>45142.58333333334</v>
      </c>
      <c r="P866" s="49" t="n">
        <v>45142</v>
      </c>
      <c r="Q866" s="47" t="n">
        <v>2402</v>
      </c>
      <c r="R866" s="47" t="inlineStr">
        <is>
          <t>No Video ID yet</t>
        </is>
      </c>
      <c r="S866" s="49" t="n"/>
      <c r="T866" s="49" t="n"/>
      <c r="U866" s="47" t="inlineStr">
        <is>
          <t>In the 191st episode of the pop, Ben and J discuss Ben’s tattoo journey, J’s headphones, burping, the vlogging itch, their dad’s affinity for recording things, and mood journals. J’s Vlog - Clockchuterie Classic Scorpion Smile The Vlog Itch What’s Your Mood? 00:00 - Intro, TATTOO!!! 31:36 - Headphones and Anti-Burp Setting 42:18 - Feelin’ the Vlog Itch</t>
        </is>
      </c>
      <c r="V866" s="47">
        <f>IF(AND(P866&gt;=Calendar!$K$2,P866&lt;EDATE(Calendar!$K$2,1),OR(Calendar!$K$4="*",N866=Calendar!$K$4)),P866*100+COUNTIFS($P$6:$P$3267,P866,$Q$6:$Q$3267,"&lt;="&amp;Q866,$N$6:$N$3267,Calendar!$K$4),"")</f>
        <v/>
      </c>
      <c r="W866" s="47">
        <f>IF(AND(B866=Queue!$C$4,OR(Queue!$K$4="*",N866=Queue!$K$4)),Q866,"")</f>
        <v/>
      </c>
    </row>
    <row r="867">
      <c r="A867" s="38">
        <f>IF(M867="","",HYPERLINK("https://www.youtube.com/watch?v="&amp;M867,"▶"))</f>
        <v/>
      </c>
      <c r="B867" s="39">
        <f>IF(C867&lt;&gt;"",C867,IF(P867&lt;=IFERROR(INDEX(tblChannels[Watched Through],MATCH(N867,tblChannels[Channel ID],0)),0),"Watched","Unwatched"))</f>
        <v/>
      </c>
      <c r="C867" s="40" t="n"/>
      <c r="D867" s="41" t="n"/>
      <c r="E867" s="42" t="n">
        <v>45140.66666666666</v>
      </c>
      <c r="F867" s="50" t="inlineStr">
        <is>
          <t>Super Carlin Brothers</t>
        </is>
      </c>
      <c r="G867" t="inlineStr">
        <is>
          <t>J vs Ben: ULTIMATE Tri-Wizard Task Harry Potter TRIVIA Quiz</t>
        </is>
      </c>
      <c r="H867" s="44" t="n">
        <v>0.02116898148148148</v>
      </c>
      <c r="I867" s="45" t="n">
        <v>183024</v>
      </c>
      <c r="J867" s="45" t="n">
        <v>6269</v>
      </c>
      <c r="K867" s="45" t="n">
        <v>784</v>
      </c>
      <c r="L867" s="46" t="n"/>
      <c r="M867" s="47" t="n"/>
      <c r="N867" s="47" t="inlineStr">
        <is>
          <t>UCKZo4N0lVPccBkSiuyVh4yg</t>
        </is>
      </c>
      <c r="O867" s="48" t="n">
        <v>45140.83333333334</v>
      </c>
      <c r="P867" s="49" t="n">
        <v>45140</v>
      </c>
      <c r="Q867" s="47" t="n">
        <v>2401</v>
      </c>
      <c r="R867" s="47" t="inlineStr">
        <is>
          <t>No Video ID yet</t>
        </is>
      </c>
      <c r="S867" s="49" t="n"/>
      <c r="T867" s="49" t="n"/>
      <c r="U867" s="47" t="inlineStr">
        <is>
          <t>Go to and use code jvsb50 to get 50% off. Go to to get 25% off your first order and free standard shipping. Today J and Ben face off once more to find out who knows the most about Harry Potter and the Goblet of Fire and the tasks Harry has to complete to win the Tri-Wizard tournament! Play along with us! :: 01:23 - Q1: Who enters the maze with Harry? 01:58 - Q2: What spell brings Harry's Firebolt to him? 02:55 - Q3: What spell did Viktor use against his dragon? 07:45 - Q4: Who was Cedric's treasure? 08:10 - Q5: What was the first obstacle in the maze? 09:00 - Q6: How does Harry describe his legs at the beginning of the first task? 11:07 - Q7: What was the answer to the Sphinx's riddle? 12:06 - Q8: Who gets the Welsh Green dragon? 17:24 - Q9: What was Harry's total score? 19:14 - Q10: How were the merepeople NOT described? 20:03 - Q11: What spell directs Harry in the maze? 20:56 - Q12: What do Harry and Cedric fight before grabbing the cup? 23:02 - Q13: What color are the non-golden eggs? 24:29 - Q14: What does the gillyweed feel like? 25:58 - Q15: What does the golden mist do? #supercarlinbrothers #JvsBen #HarryPotter</t>
        </is>
      </c>
      <c r="V867" s="47">
        <f>IF(AND(P867&gt;=Calendar!$K$2,P867&lt;EDATE(Calendar!$K$2,1),OR(Calendar!$K$4="*",N867=Calendar!$K$4)),P867*100+COUNTIFS($P$6:$P$3267,P867,$Q$6:$Q$3267,"&lt;="&amp;Q867,$N$6:$N$3267,Calendar!$K$4),"")</f>
        <v/>
      </c>
      <c r="W867" s="47">
        <f>IF(AND(B867=Queue!$C$4,OR(Queue!$K$4="*",N867=Queue!$K$4)),Q867,"")</f>
        <v/>
      </c>
    </row>
    <row r="868">
      <c r="A868" s="38">
        <f>IF(M868="","",HYPERLINK("https://www.youtube.com/watch?v="&amp;M868,"▶"))</f>
        <v/>
      </c>
      <c r="B868" s="39">
        <f>IF(C868&lt;&gt;"",C868,IF(P868&lt;=IFERROR(INDEX(tblChannels[Watched Through],MATCH(N868,tblChannels[Channel ID],0)),0),"Watched","Unwatched"))</f>
        <v/>
      </c>
      <c r="C868" s="40" t="n"/>
      <c r="D868" s="41" t="n"/>
      <c r="E868" s="42" t="n">
        <v>45138.77083333334</v>
      </c>
      <c r="F868" s="52" t="inlineStr">
        <is>
          <t>Super Carlin Gaming</t>
        </is>
      </c>
      <c r="G868" t="inlineStr">
        <is>
          <t>THE KARP ARE CIRCLING | Carlin Brothers Box Breakers S6E4</t>
        </is>
      </c>
      <c r="H868" s="44" t="n">
        <v>0.03087962962962963</v>
      </c>
      <c r="I868" s="45" t="n">
        <v>2015</v>
      </c>
      <c r="J868" s="45" t="n">
        <v>99</v>
      </c>
      <c r="K868" s="45" t="n">
        <v>21</v>
      </c>
      <c r="L868" s="46" t="n"/>
      <c r="M868" s="47" t="n"/>
      <c r="N868" s="47" t="inlineStr">
        <is>
          <t>UCor_9jRnNNZVzTuQ92PKsaQ</t>
        </is>
      </c>
      <c r="O868" s="48" t="n">
        <v>45138.9375</v>
      </c>
      <c r="P868" s="49" t="n">
        <v>45138</v>
      </c>
      <c r="Q868" s="47" t="n">
        <v>2400</v>
      </c>
      <c r="R868" s="47" t="inlineStr">
        <is>
          <t>No Video ID yet</t>
        </is>
      </c>
      <c r="S868" s="49" t="n"/>
      <c r="T868" s="49" t="n"/>
      <c r="U868" s="47" t="n"/>
      <c r="V868" s="47">
        <f>IF(AND(P868&gt;=Calendar!$K$2,P868&lt;EDATE(Calendar!$K$2,1),OR(Calendar!$K$4="*",N868=Calendar!$K$4)),P868*100+COUNTIFS($P$6:$P$3267,P868,$Q$6:$Q$3267,"&lt;="&amp;Q868,$N$6:$N$3267,Calendar!$K$4),"")</f>
        <v/>
      </c>
      <c r="W868" s="47">
        <f>IF(AND(B868=Queue!$C$4,OR(Queue!$K$4="*",N868=Queue!$K$4)),Q868,"")</f>
        <v/>
      </c>
    </row>
    <row r="869">
      <c r="A869" s="38">
        <f>IF(M869="","",HYPERLINK("https://www.youtube.com/watch?v="&amp;M869,"▶"))</f>
        <v/>
      </c>
      <c r="B869" s="39">
        <f>IF(C869&lt;&gt;"",C869,IF(P869&lt;=IFERROR(INDEX(tblChannels[Watched Through],MATCH(N869,tblChannels[Channel ID],0)),0),"Watched","Unwatched"))</f>
        <v/>
      </c>
      <c r="C869" s="40" t="n"/>
      <c r="D869" s="41" t="n"/>
      <c r="E869" s="42" t="n">
        <v>45135.69930555556</v>
      </c>
      <c r="F869" s="50" t="inlineStr">
        <is>
          <t>Super Carlin Brothers</t>
        </is>
      </c>
      <c r="G869" t="inlineStr">
        <is>
          <t>President Coin Is ACTUALLY Lucy Grey Baird | Hunger Games Film Theory</t>
        </is>
      </c>
      <c r="H869" s="44" t="n">
        <v>0.01482638888888889</v>
      </c>
      <c r="I869" s="45" t="n">
        <v>631240</v>
      </c>
      <c r="J869" s="45" t="n">
        <v>13359</v>
      </c>
      <c r="K869" s="45" t="n">
        <v>1757</v>
      </c>
      <c r="L869" s="46" t="n"/>
      <c r="M869" s="47" t="n"/>
      <c r="N869" s="47" t="inlineStr">
        <is>
          <t>UCKZo4N0lVPccBkSiuyVh4yg</t>
        </is>
      </c>
      <c r="O869" s="48" t="n">
        <v>45135.86597222222</v>
      </c>
      <c r="P869" s="49" t="n">
        <v>45135</v>
      </c>
      <c r="Q869" s="47" t="n">
        <v>2399</v>
      </c>
      <c r="R869" s="47" t="inlineStr">
        <is>
          <t>No Video ID yet</t>
        </is>
      </c>
      <c r="S869" s="49" t="n"/>
      <c r="T869" s="49" t="n"/>
      <c r="U869" s="47" t="inlineStr">
        <is>
          <t>Go to and use code super50 to get 50% off. Today Ben dives into the dystopian world Panem and the Hunger Games to reveal how Presiden Alma Coin is actually the missing Lucy Gray Baird from The Ballad of Song Bird of Snakes #supercarlinbrothers #HungerGames</t>
        </is>
      </c>
      <c r="V869" s="47">
        <f>IF(AND(P869&gt;=Calendar!$K$2,P869&lt;EDATE(Calendar!$K$2,1),OR(Calendar!$K$4="*",N869=Calendar!$K$4)),P869*100+COUNTIFS($P$6:$P$3267,P869,$Q$6:$Q$3267,"&lt;="&amp;Q869,$N$6:$N$3267,Calendar!$K$4),"")</f>
        <v/>
      </c>
      <c r="W869" s="47">
        <f>IF(AND(B869=Queue!$C$4,OR(Queue!$K$4="*",N869=Queue!$K$4)),Q869,"")</f>
        <v/>
      </c>
    </row>
    <row r="870">
      <c r="A870" s="38">
        <f>IF(M870="","",HYPERLINK("https://www.youtube.com/watch?v="&amp;M870,"▶"))</f>
        <v/>
      </c>
      <c r="B870" s="39">
        <f>IF(C870&lt;&gt;"",C870,IF(P870&lt;=IFERROR(INDEX(tblChannels[Watched Through],MATCH(N870,tblChannels[Channel ID],0)),0),"Watched","Unwatched"))</f>
        <v/>
      </c>
      <c r="C870" s="40" t="n"/>
      <c r="D870" s="41" t="n"/>
      <c r="E870" s="42" t="n">
        <v>45135.41666666666</v>
      </c>
      <c r="F870" s="43" t="inlineStr">
        <is>
          <t>Popcorn Culture</t>
        </is>
      </c>
      <c r="G870" t="inlineStr">
        <is>
          <t>Ben's Mystery Trip to NYC - Not Clickbait | Popcorn Culture</t>
        </is>
      </c>
      <c r="H870" s="44" t="n">
        <v>0.04748842592592593</v>
      </c>
      <c r="I870" s="45" t="n">
        <v>4219</v>
      </c>
      <c r="J870" s="45" t="n">
        <v>217</v>
      </c>
      <c r="K870" s="45" t="n">
        <v>14</v>
      </c>
      <c r="L870" s="46" t="n"/>
      <c r="M870" s="47" t="n"/>
      <c r="N870" s="47" t="inlineStr">
        <is>
          <t>UCHfIbq9thHPC8yrKjAdJgDA</t>
        </is>
      </c>
      <c r="O870" s="48" t="n">
        <v>45135.58333333334</v>
      </c>
      <c r="P870" s="49" t="n">
        <v>45135</v>
      </c>
      <c r="Q870" s="47" t="n">
        <v>2398</v>
      </c>
      <c r="R870" s="47" t="inlineStr">
        <is>
          <t>No Video ID yet</t>
        </is>
      </c>
      <c r="S870" s="49" t="n"/>
      <c r="T870" s="49" t="n"/>
      <c r="U870" s="47" t="inlineStr">
        <is>
          <t>IF YOU WANT TO SEE BEN’S TATTOO BEFORE NEXT WEEK, SIGN UP FOR PATREON TO WATCH AFTER THE FINAL POP: Ben and J discuss: gym hiatus, tattoos, traveling alone, Pokemon Go, Mt. Kilimanjaro, trick shot edits, home flip shows, Tyler’s AFV moment, and snow days. Pokemon Go - Real Men of Genius - The Bachelor - Planet Earth - America’s Funniest Home Videos - Ridiculousness - Tosh.0 - Elephants - Mt. Kilimanjaro Thank You Rope Swing People Top Brass Bonus Day Same Thing; Better Graphics 00:00 - Intro, Gym Life 03:58 - Ben’s Big Moment 28:59 - Elephant (Kind Of) 36:30 - Home Videos</t>
        </is>
      </c>
      <c r="V870" s="47">
        <f>IF(AND(P870&gt;=Calendar!$K$2,P870&lt;EDATE(Calendar!$K$2,1),OR(Calendar!$K$4="*",N870=Calendar!$K$4)),P870*100+COUNTIFS($P$6:$P$3267,P870,$Q$6:$Q$3267,"&lt;="&amp;Q870,$N$6:$N$3267,Calendar!$K$4),"")</f>
        <v/>
      </c>
      <c r="W870" s="47">
        <f>IF(AND(B870=Queue!$C$4,OR(Queue!$K$4="*",N870=Queue!$K$4)),Q870,"")</f>
        <v/>
      </c>
    </row>
    <row r="871">
      <c r="A871" s="38">
        <f>IF(M871="","",HYPERLINK("https://www.youtube.com/watch?v="&amp;M871,"▶"))</f>
        <v/>
      </c>
      <c r="B871" s="39">
        <f>IF(C871&lt;&gt;"",C871,IF(P871&lt;=IFERROR(INDEX(tblChannels[Watched Through],MATCH(N871,tblChannels[Channel ID],0)),0),"Watched","Unwatched"))</f>
        <v/>
      </c>
      <c r="C871" s="40" t="n"/>
      <c r="D871" s="41" t="n"/>
      <c r="E871" s="42" t="n">
        <v>45133.68541666667</v>
      </c>
      <c r="F871" s="50" t="inlineStr">
        <is>
          <t>Super Carlin Brothers</t>
        </is>
      </c>
      <c r="G871" t="inlineStr">
        <is>
          <t>What If Dobby NEVER Interfered In Harry’s Life? | Harry Potter Film Theory</t>
        </is>
      </c>
      <c r="H871" s="44" t="n">
        <v>0.01430555555555556</v>
      </c>
      <c r="I871" s="45" t="n">
        <v>355047</v>
      </c>
      <c r="J871" s="45" t="n">
        <v>11589</v>
      </c>
      <c r="K871" s="45" t="n">
        <v>1170</v>
      </c>
      <c r="L871" s="46" t="n"/>
      <c r="M871" s="47" t="n"/>
      <c r="N871" s="47" t="inlineStr">
        <is>
          <t>UCKZo4N0lVPccBkSiuyVh4yg</t>
        </is>
      </c>
      <c r="O871" s="48" t="n">
        <v>45133.85208333333</v>
      </c>
      <c r="P871" s="49" t="n">
        <v>45133</v>
      </c>
      <c r="Q871" s="47" t="n">
        <v>2397</v>
      </c>
      <c r="R871" s="47" t="inlineStr">
        <is>
          <t>No Video ID yet</t>
        </is>
      </c>
      <c r="S871" s="49" t="n"/>
      <c r="T871" s="49" t="n"/>
      <c r="U871" s="47" t="inlineStr">
        <is>
          <t>Go to to get PayPal Honey for free. Today J dives into the Wizarding World of Harry Potter to find out what would have happened if Dobby the House Elf never interfered in Harry’s Life! As it is he isnt able to tell him very much anyway and seems like he’s breaking the rules.. What if he ACTUALLY COULDN’T break those rules?!</t>
        </is>
      </c>
      <c r="V871" s="47">
        <f>IF(AND(P871&gt;=Calendar!$K$2,P871&lt;EDATE(Calendar!$K$2,1),OR(Calendar!$K$4="*",N871=Calendar!$K$4)),P871*100+COUNTIFS($P$6:$P$3267,P871,$Q$6:$Q$3267,"&lt;="&amp;Q871,$N$6:$N$3267,Calendar!$K$4),"")</f>
        <v/>
      </c>
      <c r="W871" s="47">
        <f>IF(AND(B871=Queue!$C$4,OR(Queue!$K$4="*",N871=Queue!$K$4)),Q871,"")</f>
        <v/>
      </c>
    </row>
    <row r="872">
      <c r="A872" s="38">
        <f>IF(M872="","",HYPERLINK("https://www.youtube.com/watch?v="&amp;M872,"▶"))</f>
        <v/>
      </c>
      <c r="B872" s="39">
        <f>IF(C872&lt;&gt;"",C872,IF(P872&lt;=IFERROR(INDEX(tblChannels[Watched Through],MATCH(N872,tblChannels[Channel ID],0)),0),"Watched","Unwatched"))</f>
        <v/>
      </c>
      <c r="C872" s="40" t="n"/>
      <c r="D872" s="41" t="n"/>
      <c r="E872" s="42" t="n">
        <v>45132.77083333334</v>
      </c>
      <c r="F872" s="52" t="inlineStr">
        <is>
          <t>Super Carlin Gaming</t>
        </is>
      </c>
      <c r="G872" t="inlineStr">
        <is>
          <t>NEW POWER-UP | Carlin Brothers Box Breakers S6E3</t>
        </is>
      </c>
      <c r="H872" s="44" t="n">
        <v>0.03091435185185185</v>
      </c>
      <c r="I872" s="45" t="n">
        <v>1977</v>
      </c>
      <c r="J872" s="45" t="n">
        <v>118</v>
      </c>
      <c r="K872" s="45" t="n">
        <v>9</v>
      </c>
      <c r="L872" s="46" t="n"/>
      <c r="M872" s="47" t="n"/>
      <c r="N872" s="47" t="inlineStr">
        <is>
          <t>UCor_9jRnNNZVzTuQ92PKsaQ</t>
        </is>
      </c>
      <c r="O872" s="48" t="n">
        <v>45132.9375</v>
      </c>
      <c r="P872" s="49" t="n">
        <v>45132</v>
      </c>
      <c r="Q872" s="47" t="n">
        <v>2396</v>
      </c>
      <c r="R872" s="47" t="inlineStr">
        <is>
          <t>No Video ID yet</t>
        </is>
      </c>
      <c r="S872" s="49" t="n"/>
      <c r="T872" s="49" t="n"/>
      <c r="U872" s="47" t="inlineStr">
        <is>
          <t>This week it gets HUGE with Paldea Evolved</t>
        </is>
      </c>
      <c r="V872" s="47">
        <f>IF(AND(P872&gt;=Calendar!$K$2,P872&lt;EDATE(Calendar!$K$2,1),OR(Calendar!$K$4="*",N872=Calendar!$K$4)),P872*100+COUNTIFS($P$6:$P$3267,P872,$Q$6:$Q$3267,"&lt;="&amp;Q872,$N$6:$N$3267,Calendar!$K$4),"")</f>
        <v/>
      </c>
      <c r="W872" s="47">
        <f>IF(AND(B872=Queue!$C$4,OR(Queue!$K$4="*",N872=Queue!$K$4)),Q872,"")</f>
        <v/>
      </c>
    </row>
    <row r="873">
      <c r="A873" s="38">
        <f>IF(M873="","",HYPERLINK("https://www.youtube.com/watch?v="&amp;M873,"▶"))</f>
        <v/>
      </c>
      <c r="B873" s="39">
        <f>IF(C873&lt;&gt;"",C873,IF(P873&lt;=IFERROR(INDEX(tblChannels[Watched Through],MATCH(N873,tblChannels[Channel ID],0)),0),"Watched","Unwatched"))</f>
        <v/>
      </c>
      <c r="C873" s="40" t="n"/>
      <c r="D873" s="41" t="n"/>
      <c r="E873" s="42" t="n">
        <v>45129.21041666667</v>
      </c>
      <c r="F873" s="52" t="inlineStr">
        <is>
          <t>Super Carlin Gaming</t>
        </is>
      </c>
      <c r="G873" t="inlineStr">
        <is>
          <t>SUPER Friday Gaming Stream!</t>
        </is>
      </c>
      <c r="H873" s="44" t="n">
        <v>0.05697916666666666</v>
      </c>
      <c r="I873" s="45" t="n">
        <v>1751</v>
      </c>
      <c r="J873" s="45" t="n">
        <v>93</v>
      </c>
      <c r="K873" s="45" t="n">
        <v>8</v>
      </c>
      <c r="L873" s="46" t="n"/>
      <c r="M873" s="47" t="n"/>
      <c r="N873" s="47" t="inlineStr">
        <is>
          <t>UCor_9jRnNNZVzTuQ92PKsaQ</t>
        </is>
      </c>
      <c r="O873" s="48" t="n">
        <v>45129.37708333333</v>
      </c>
      <c r="P873" s="49" t="n">
        <v>45129</v>
      </c>
      <c r="Q873" s="47" t="n">
        <v>2395</v>
      </c>
      <c r="R873" s="47" t="inlineStr">
        <is>
          <t>No Video ID yet</t>
        </is>
      </c>
      <c r="S873" s="49" t="n"/>
      <c r="T873" s="49" t="n"/>
      <c r="U873" s="47" t="inlineStr">
        <is>
          <t>Just hanging out playing Rocket League.</t>
        </is>
      </c>
      <c r="V873" s="47">
        <f>IF(AND(P873&gt;=Calendar!$K$2,P873&lt;EDATE(Calendar!$K$2,1),OR(Calendar!$K$4="*",N873=Calendar!$K$4)),P873*100+COUNTIFS($P$6:$P$3267,P873,$Q$6:$Q$3267,"&lt;="&amp;Q873,$N$6:$N$3267,Calendar!$K$4),"")</f>
        <v/>
      </c>
      <c r="W873" s="47">
        <f>IF(AND(B873=Queue!$C$4,OR(Queue!$K$4="*",N873=Queue!$K$4)),Q873,"")</f>
        <v/>
      </c>
    </row>
    <row r="874">
      <c r="A874" s="38">
        <f>IF(M874="","",HYPERLINK("https://www.youtube.com/watch?v="&amp;M874,"▶"))</f>
        <v/>
      </c>
      <c r="B874" s="39">
        <f>IF(C874&lt;&gt;"",C874,IF(P874&lt;=IFERROR(INDEX(tblChannels[Watched Through],MATCH(N874,tblChannels[Channel ID],0)),0),"Watched","Unwatched"))</f>
        <v/>
      </c>
      <c r="C874" s="40" t="n"/>
      <c r="D874" s="41" t="n"/>
      <c r="E874" s="42" t="n">
        <v>45128.77083333334</v>
      </c>
      <c r="F874" s="52" t="inlineStr">
        <is>
          <t>Super Carlin Gaming</t>
        </is>
      </c>
      <c r="G874" t="inlineStr">
        <is>
          <t>CRITICAL HIT | Carlin Brothers Box Breakers S6E2</t>
        </is>
      </c>
      <c r="H874" s="44" t="n">
        <v>0.03177083333333333</v>
      </c>
      <c r="I874" s="45" t="n">
        <v>2069</v>
      </c>
      <c r="J874" s="45" t="n">
        <v>115</v>
      </c>
      <c r="K874" s="45" t="n">
        <v>12</v>
      </c>
      <c r="L874" s="46" t="n"/>
      <c r="M874" s="47" t="n"/>
      <c r="N874" s="47" t="inlineStr">
        <is>
          <t>UCor_9jRnNNZVzTuQ92PKsaQ</t>
        </is>
      </c>
      <c r="O874" s="48" t="n">
        <v>45128.9375</v>
      </c>
      <c r="P874" s="49" t="n">
        <v>45128</v>
      </c>
      <c r="Q874" s="47" t="n">
        <v>2394</v>
      </c>
      <c r="R874" s="47" t="inlineStr">
        <is>
          <t>No Video ID yet</t>
        </is>
      </c>
      <c r="S874" s="49" t="n"/>
      <c r="T874" s="49" t="n"/>
      <c r="U874" s="47" t="inlineStr">
        <is>
          <t>In this episode we finally get to see a little bit of what Paldea Evolved is all about</t>
        </is>
      </c>
      <c r="V874" s="47">
        <f>IF(AND(P874&gt;=Calendar!$K$2,P874&lt;EDATE(Calendar!$K$2,1),OR(Calendar!$K$4="*",N874=Calendar!$K$4)),P874*100+COUNTIFS($P$6:$P$3267,P874,$Q$6:$Q$3267,"&lt;="&amp;Q874,$N$6:$N$3267,Calendar!$K$4),"")</f>
        <v/>
      </c>
      <c r="W874" s="47">
        <f>IF(AND(B874=Queue!$C$4,OR(Queue!$K$4="*",N874=Queue!$K$4)),Q874,"")</f>
        <v/>
      </c>
    </row>
    <row r="875">
      <c r="A875" s="38">
        <f>IF(M875="","",HYPERLINK("https://www.youtube.com/watch?v="&amp;M875,"▶"))</f>
        <v/>
      </c>
      <c r="B875" s="39">
        <f>IF(C875&lt;&gt;"",C875,IF(P875&lt;=IFERROR(INDEX(tblChannels[Watched Through],MATCH(N875,tblChannels[Channel ID],0)),0),"Watched","Unwatched"))</f>
        <v/>
      </c>
      <c r="C875" s="40" t="n"/>
      <c r="D875" s="41" t="n"/>
      <c r="E875" s="42" t="n">
        <v>45128.61944444444</v>
      </c>
      <c r="F875" s="50" t="inlineStr">
        <is>
          <t>Super Carlin Brothers</t>
        </is>
      </c>
      <c r="G875" t="inlineStr">
        <is>
          <t>The Hunger Games Master Plan | Hunger Games Film Theory</t>
        </is>
      </c>
      <c r="H875" s="44" t="n">
        <v>0.03673611111111111</v>
      </c>
      <c r="I875" s="45" t="n">
        <v>997545</v>
      </c>
      <c r="J875" s="45" t="n">
        <v>28060</v>
      </c>
      <c r="K875" s="45" t="n">
        <v>2162</v>
      </c>
      <c r="L875" s="46" t="n"/>
      <c r="M875" s="47" t="n"/>
      <c r="N875" s="47" t="inlineStr">
        <is>
          <t>UCKZo4N0lVPccBkSiuyVh4yg</t>
        </is>
      </c>
      <c r="O875" s="48" t="n">
        <v>45128.78611111111</v>
      </c>
      <c r="P875" s="49" t="n">
        <v>45128</v>
      </c>
      <c r="Q875" s="47" t="n">
        <v>2393</v>
      </c>
      <c r="R875" s="47" t="inlineStr">
        <is>
          <t>No Video ID yet</t>
        </is>
      </c>
      <c r="S875" s="49" t="n"/>
      <c r="T875" s="49" t="n"/>
      <c r="U875" s="47" t="inlineStr">
        <is>
          <t>Go to and use code super for 20% off your first box. Today Ben dives into the destitute world of Panem and the Hunger Games to reveal how President Alma Coin was manipulating EVERYTHING from the beginning! Was Prim’s name reaped randomly? Was Cinna just a good stylist? Did Coin bomb her own people?! #supercarlinbrothers #HungerGames</t>
        </is>
      </c>
      <c r="V875" s="47">
        <f>IF(AND(P875&gt;=Calendar!$K$2,P875&lt;EDATE(Calendar!$K$2,1),OR(Calendar!$K$4="*",N875=Calendar!$K$4)),P875*100+COUNTIFS($P$6:$P$3267,P875,$Q$6:$Q$3267,"&lt;="&amp;Q875,$N$6:$N$3267,Calendar!$K$4),"")</f>
        <v/>
      </c>
      <c r="W875" s="47">
        <f>IF(AND(B875=Queue!$C$4,OR(Queue!$K$4="*",N875=Queue!$K$4)),Q875,"")</f>
        <v/>
      </c>
    </row>
    <row r="876">
      <c r="A876" s="38">
        <f>IF(M876="","",HYPERLINK("https://www.youtube.com/watch?v="&amp;M876,"▶"))</f>
        <v/>
      </c>
      <c r="B876" s="39">
        <f>IF(C876&lt;&gt;"",C876,IF(P876&lt;=IFERROR(INDEX(tblChannels[Watched Through],MATCH(N876,tblChannels[Channel ID],0)),0),"Watched","Unwatched"))</f>
        <v/>
      </c>
      <c r="C876" s="40" t="n"/>
      <c r="D876" s="41" t="n"/>
      <c r="E876" s="42" t="n">
        <v>45128.41666666666</v>
      </c>
      <c r="F876" s="43" t="inlineStr">
        <is>
          <t>Popcorn Culture</t>
        </is>
      </c>
      <c r="G876" t="inlineStr">
        <is>
          <t>The Bucketcast | Popcorn Culture</t>
        </is>
      </c>
      <c r="H876" s="44" t="n">
        <v>0.04778935185185185</v>
      </c>
      <c r="I876" s="45" t="n">
        <v>4051</v>
      </c>
      <c r="J876" s="45" t="n">
        <v>231</v>
      </c>
      <c r="K876" s="45" t="n">
        <v>20</v>
      </c>
      <c r="L876" s="46" t="n"/>
      <c r="M876" s="47" t="n"/>
      <c r="N876" s="47" t="inlineStr">
        <is>
          <t>UCHfIbq9thHPC8yrKjAdJgDA</t>
        </is>
      </c>
      <c r="O876" s="48" t="n">
        <v>45128.58333333334</v>
      </c>
      <c r="P876" s="49" t="n">
        <v>45128</v>
      </c>
      <c r="Q876" s="47" t="n">
        <v>2392</v>
      </c>
      <c r="R876" s="47" t="inlineStr">
        <is>
          <t>No Video ID yet</t>
        </is>
      </c>
      <c r="S876" s="49" t="n"/>
      <c r="T876" s="49" t="n"/>
      <c r="U876" s="47" t="inlineStr">
        <is>
          <t>In the 189th episode of the Pop, Ben and J discuss a new podcast idea, trolls, horses, Nate’s flip and backflips, competitiveness, and the Hedonic Treadmill. The Hedonic Treadmill - The Brown T-Shirt Paradox The Hedonic Treadmill Constant Quest for Confidence The Meaning of Life is Front Flips 00:00 - Intro, Ben’s Podcast Idea 05:45 - More Social Media Takes 12:24 - Lexington Trip and Pool Flips 43:10 - Competitiveness</t>
        </is>
      </c>
      <c r="V876" s="47">
        <f>IF(AND(P876&gt;=Calendar!$K$2,P876&lt;EDATE(Calendar!$K$2,1),OR(Calendar!$K$4="*",N876=Calendar!$K$4)),P876*100+COUNTIFS($P$6:$P$3267,P876,$Q$6:$Q$3267,"&lt;="&amp;Q876,$N$6:$N$3267,Calendar!$K$4),"")</f>
        <v/>
      </c>
      <c r="W876" s="47">
        <f>IF(AND(B876=Queue!$C$4,OR(Queue!$K$4="*",N876=Queue!$K$4)),Q876,"")</f>
        <v/>
      </c>
    </row>
    <row r="877">
      <c r="A877" s="38">
        <f>IF(M877="","",HYPERLINK("https://www.youtube.com/watch?v="&amp;M877,"▶"))</f>
        <v/>
      </c>
      <c r="B877" s="39">
        <f>IF(C877&lt;&gt;"",C877,IF(P877&lt;=IFERROR(INDEX(tblChannels[Watched Through],MATCH(N877,tblChannels[Channel ID],0)),0),"Watched","Unwatched"))</f>
        <v/>
      </c>
      <c r="C877" s="40" t="n"/>
      <c r="D877" s="41" t="n"/>
      <c r="E877" s="42" t="n">
        <v>45126.71388888889</v>
      </c>
      <c r="F877" s="50" t="inlineStr">
        <is>
          <t>Super Carlin Brothers</t>
        </is>
      </c>
      <c r="G877" t="inlineStr">
        <is>
          <t>J vs Ben: HARDEST Lightning Struck Tower Harry Potter TRIVIA Quiz</t>
        </is>
      </c>
      <c r="H877" s="44" t="n">
        <v>0.02077546296296296</v>
      </c>
      <c r="I877" s="45" t="n">
        <v>162294</v>
      </c>
      <c r="J877" s="45" t="n">
        <v>5789</v>
      </c>
      <c r="K877" s="45" t="n">
        <v>499</v>
      </c>
      <c r="L877" s="46" t="n"/>
      <c r="M877" s="47" t="n"/>
      <c r="N877" s="47" t="inlineStr">
        <is>
          <t>UCKZo4N0lVPccBkSiuyVh4yg</t>
        </is>
      </c>
      <c r="O877" s="48" t="n">
        <v>45126.88055555556</v>
      </c>
      <c r="P877" s="49" t="n">
        <v>45126</v>
      </c>
      <c r="Q877" s="47" t="n">
        <v>2391</v>
      </c>
      <c r="R877" s="47" t="inlineStr">
        <is>
          <t>No Video ID yet</t>
        </is>
      </c>
      <c r="S877" s="49" t="n"/>
      <c r="T877" s="49" t="n"/>
      <c r="U877" s="47" t="inlineStr">
        <is>
          <t>Go to to get PayPal Honey. Go to to get an extra 3 months free on a 12-month plan. Today Ben and J face off once more to find out who has the Ultimate Wizarding World Knowledge and who knows more about what happened on the Astronomy Tower the night Snape Killed Dumbledore! Liquid Luck Coffee :: Play along with us! :: Chapters 02:37 - Q1: Who killed Dumbledore? 04:19 - Q2: When did the battle happen? 08:18 - Q3: Who was there when Dumbledore dies? 11:41 - Q4: Who body-bind curses Harry? 11:59 - Q5: Who does Greyback bite? 13:08 - Q6: Who else dies in the battle? 15:07 - Q7: How did the Death Eaters get to Howgarts? 19:36 - Q8: How did Draco communicate with Madam Rosmerta? 21:28 - Q9: What is the first spell Harry casts at Snape? 22:09 - Q10: Which hourglass was hit in the Great Hall? 22:57 - Q11: Who did Hagrid rescue from his burning hut? 23:51 - Q12: Who did Tonks fight? 24:42 - Q13: What insult did Harry shout at Snape? 25:53 - Q14: Who did Harry hit with the Impediment jinx? 26:57 - Q15: How did Draco guide the Death Eaters through the castle?</t>
        </is>
      </c>
      <c r="V877" s="47">
        <f>IF(AND(P877&gt;=Calendar!$K$2,P877&lt;EDATE(Calendar!$K$2,1),OR(Calendar!$K$4="*",N877=Calendar!$K$4)),P877*100+COUNTIFS($P$6:$P$3267,P877,$Q$6:$Q$3267,"&lt;="&amp;Q877,$N$6:$N$3267,Calendar!$K$4),"")</f>
        <v/>
      </c>
      <c r="W877" s="47">
        <f>IF(AND(B877=Queue!$C$4,OR(Queue!$K$4="*",N877=Queue!$K$4)),Q877,"")</f>
        <v/>
      </c>
    </row>
    <row r="878">
      <c r="A878" s="38">
        <f>IF(M878="","",HYPERLINK("https://www.youtube.com/watch?v="&amp;M878,"▶"))</f>
        <v/>
      </c>
      <c r="B878" s="39">
        <f>IF(C878&lt;&gt;"",C878,IF(P878&lt;=IFERROR(INDEX(tblChannels[Watched Through],MATCH(N878,tblChannels[Channel ID],0)),0),"Watched","Unwatched"))</f>
        <v/>
      </c>
      <c r="C878" s="40" t="n"/>
      <c r="D878" s="41" t="n"/>
      <c r="E878" s="42" t="n">
        <v>45121.77083333334</v>
      </c>
      <c r="F878" s="52" t="inlineStr">
        <is>
          <t>Super Carlin Gaming</t>
        </is>
      </c>
      <c r="G878" t="inlineStr">
        <is>
          <t>ENTER PALDEA EVOLVED | Carlin Brothers Box Breakers S6E1</t>
        </is>
      </c>
      <c r="H878" s="44" t="n">
        <v>0.03420138888888889</v>
      </c>
      <c r="I878" s="45" t="n">
        <v>2469</v>
      </c>
      <c r="J878" s="45" t="n">
        <v>120</v>
      </c>
      <c r="K878" s="45" t="n">
        <v>12</v>
      </c>
      <c r="L878" s="46" t="n"/>
      <c r="M878" s="47" t="n"/>
      <c r="N878" s="47" t="inlineStr">
        <is>
          <t>UCor_9jRnNNZVzTuQ92PKsaQ</t>
        </is>
      </c>
      <c r="O878" s="48" t="n">
        <v>45121.9375</v>
      </c>
      <c r="P878" s="49" t="n">
        <v>45121</v>
      </c>
      <c r="Q878" s="47" t="n">
        <v>2390</v>
      </c>
      <c r="R878" s="47" t="inlineStr">
        <is>
          <t>No Video ID yet</t>
        </is>
      </c>
      <c r="S878" s="49" t="n"/>
      <c r="T878" s="49" t="n"/>
      <c r="U878" s="47" t="inlineStr">
        <is>
          <t>THIS WEEK WE GET STARTED WITH PALDEA EVOLVED</t>
        </is>
      </c>
      <c r="V878" s="47">
        <f>IF(AND(P878&gt;=Calendar!$K$2,P878&lt;EDATE(Calendar!$K$2,1),OR(Calendar!$K$4="*",N878=Calendar!$K$4)),P878*100+COUNTIFS($P$6:$P$3267,P878,$Q$6:$Q$3267,"&lt;="&amp;Q878,$N$6:$N$3267,Calendar!$K$4),"")</f>
        <v/>
      </c>
      <c r="W878" s="47">
        <f>IF(AND(B878=Queue!$C$4,OR(Queue!$K$4="*",N878=Queue!$K$4)),Q878,"")</f>
        <v/>
      </c>
    </row>
    <row r="879">
      <c r="A879" s="38">
        <f>IF(M879="","",HYPERLINK("https://www.youtube.com/watch?v="&amp;M879,"▶"))</f>
        <v/>
      </c>
      <c r="B879" s="39">
        <f>IF(C879&lt;&gt;"",C879,IF(P879&lt;=IFERROR(INDEX(tblChannels[Watched Through],MATCH(N879,tblChannels[Channel ID],0)),0),"Watched","Unwatched"))</f>
        <v/>
      </c>
      <c r="C879" s="40" t="n"/>
      <c r="D879" s="41" t="n"/>
      <c r="E879" s="42" t="n">
        <v>45121.625</v>
      </c>
      <c r="F879" s="50" t="inlineStr">
        <is>
          <t>Super Carlin Brothers</t>
        </is>
      </c>
      <c r="G879" t="inlineStr">
        <is>
          <t>What Did Voldemort See In Kings Cross? SOLVED! | Harry Potter Film Theory</t>
        </is>
      </c>
      <c r="H879" s="44" t="n">
        <v>0.01237268518518518</v>
      </c>
      <c r="I879" s="45" t="n">
        <v>763861</v>
      </c>
      <c r="J879" s="45" t="n">
        <v>20823</v>
      </c>
      <c r="K879" s="45" t="n">
        <v>1231</v>
      </c>
      <c r="L879" s="46" t="n"/>
      <c r="M879" s="47" t="n"/>
      <c r="N879" s="47" t="inlineStr">
        <is>
          <t>UCKZo4N0lVPccBkSiuyVh4yg</t>
        </is>
      </c>
      <c r="O879" s="48" t="n">
        <v>45121.79166666666</v>
      </c>
      <c r="P879" s="49" t="n">
        <v>45121</v>
      </c>
      <c r="Q879" s="47" t="n">
        <v>2389</v>
      </c>
      <c r="R879" s="47" t="inlineStr">
        <is>
          <t>No Video ID yet</t>
        </is>
      </c>
      <c r="S879" s="49" t="n"/>
      <c r="T879" s="49" t="n"/>
      <c r="U879" s="47" t="inlineStr">
        <is>
          <t>Go to to get 25% off your first order and free standard shipping Today Ben addresses an overlooked detail from Deathly Hallows: when Harry goes to King's Cross after being struck by Voldemort's killing curse, Voldemort is there with him. But what did Voldemort see, and what does it mean for his soul?</t>
        </is>
      </c>
      <c r="V879" s="47">
        <f>IF(AND(P879&gt;=Calendar!$K$2,P879&lt;EDATE(Calendar!$K$2,1),OR(Calendar!$K$4="*",N879=Calendar!$K$4)),P879*100+COUNTIFS($P$6:$P$3267,P879,$Q$6:$Q$3267,"&lt;="&amp;Q879,$N$6:$N$3267,Calendar!$K$4),"")</f>
        <v/>
      </c>
      <c r="W879" s="47">
        <f>IF(AND(B879=Queue!$C$4,OR(Queue!$K$4="*",N879=Queue!$K$4)),Q879,"")</f>
        <v/>
      </c>
    </row>
    <row r="880">
      <c r="A880" s="38">
        <f>IF(M880="","",HYPERLINK("https://www.youtube.com/watch?v="&amp;M880,"▶"))</f>
        <v/>
      </c>
      <c r="B880" s="39">
        <f>IF(C880&lt;&gt;"",C880,IF(P880&lt;=IFERROR(INDEX(tblChannels[Watched Through],MATCH(N880,tblChannels[Channel ID],0)),0),"Watched","Unwatched"))</f>
        <v/>
      </c>
      <c r="C880" s="40" t="n"/>
      <c r="D880" s="41" t="n"/>
      <c r="E880" s="42" t="n">
        <v>45121.41666666666</v>
      </c>
      <c r="F880" s="43" t="inlineStr">
        <is>
          <t>Popcorn Culture</t>
        </is>
      </c>
      <c r="G880" t="inlineStr">
        <is>
          <t>TWITTER vs. THREADS| Popcorn Culture</t>
        </is>
      </c>
      <c r="H880" s="44" t="n">
        <v>0.05247685185185185</v>
      </c>
      <c r="I880" s="45" t="n">
        <v>4786</v>
      </c>
      <c r="J880" s="45" t="n">
        <v>231</v>
      </c>
      <c r="K880" s="45" t="n">
        <v>23</v>
      </c>
      <c r="L880" s="46" t="n"/>
      <c r="M880" s="47" t="n"/>
      <c r="N880" s="47" t="inlineStr">
        <is>
          <t>UCHfIbq9thHPC8yrKjAdJgDA</t>
        </is>
      </c>
      <c r="O880" s="48" t="n">
        <v>45121.58333333334</v>
      </c>
      <c r="P880" s="49" t="n">
        <v>45121</v>
      </c>
      <c r="Q880" s="47" t="n">
        <v>2388</v>
      </c>
      <c r="R880" s="47" t="inlineStr">
        <is>
          <t>No Video ID yet</t>
        </is>
      </c>
      <c r="S880" s="49" t="n"/>
      <c r="T880" s="49" t="n"/>
      <c r="U880" s="47" t="inlineStr">
        <is>
          <t>In the 188th episode of the Pop, Ben and J discuss taking a week off, RTX, lake weekend, boat tinkering, J’s 4th of July, J accidentally doing a perfect pike, Threads, decade paradigm shifts, and the nuance of social media. Follow J on Threads: Join the Miles Managed Virtual Race! Org Code: WP97096 Miles Managed Merch - Bubble Security Post Vacay Cleanse Texas Ben is BACK J “the Pike” Carlin Paradigm Shifts of the Decades 00:00 - Intro, Getting back from RTX 2:48 - The Week Off 29:42 - J’s 4th of July Antics 43:19 - New Social Media</t>
        </is>
      </c>
      <c r="V880" s="47">
        <f>IF(AND(P880&gt;=Calendar!$K$2,P880&lt;EDATE(Calendar!$K$2,1),OR(Calendar!$K$4="*",N880=Calendar!$K$4)),P880*100+COUNTIFS($P$6:$P$3267,P880,$Q$6:$Q$3267,"&lt;="&amp;Q880,$N$6:$N$3267,Calendar!$K$4),"")</f>
        <v/>
      </c>
      <c r="W880" s="47">
        <f>IF(AND(B880=Queue!$C$4,OR(Queue!$K$4="*",N880=Queue!$K$4)),Q880,"")</f>
        <v/>
      </c>
    </row>
    <row r="881">
      <c r="A881" s="38">
        <f>IF(M881="","",HYPERLINK("https://www.youtube.com/watch?v="&amp;M881,"▶"))</f>
        <v/>
      </c>
      <c r="B881" s="39">
        <f>IF(C881&lt;&gt;"",C881,IF(P881&lt;=IFERROR(INDEX(tblChannels[Watched Through],MATCH(N881,tblChannels[Channel ID],0)),0),"Watched","Unwatched"))</f>
        <v/>
      </c>
      <c r="C881" s="40" t="n"/>
      <c r="D881" s="41" t="n"/>
      <c r="E881" s="42" t="n">
        <v>45119.72013888889</v>
      </c>
      <c r="F881" s="50" t="inlineStr">
        <is>
          <t>Super Carlin Brothers</t>
        </is>
      </c>
      <c r="G881" t="inlineStr">
        <is>
          <t>Why Ron &amp; Luna SHOULD Be Together! | Harry Potter Film Theory</t>
        </is>
      </c>
      <c r="H881" s="44" t="n">
        <v>0.01238425925925926</v>
      </c>
      <c r="I881" s="45" t="n">
        <v>267765</v>
      </c>
      <c r="J881" s="45" t="n">
        <v>11608</v>
      </c>
      <c r="K881" s="45" t="n">
        <v>1473</v>
      </c>
      <c r="L881" s="46" t="n"/>
      <c r="M881" s="47" t="n"/>
      <c r="N881" s="47" t="inlineStr">
        <is>
          <t>UCKZo4N0lVPccBkSiuyVh4yg</t>
        </is>
      </c>
      <c r="O881" s="48" t="n">
        <v>45119.88680555556</v>
      </c>
      <c r="P881" s="49" t="n">
        <v>45119</v>
      </c>
      <c r="Q881" s="47" t="n">
        <v>2387</v>
      </c>
      <c r="R881" s="47" t="inlineStr">
        <is>
          <t>No Video ID yet</t>
        </is>
      </c>
      <c r="S881" s="49" t="n"/>
      <c r="T881" s="49" t="n"/>
      <c r="U881" s="47" t="inlineStr">
        <is>
          <t>Today J dives into the Wizarding World of Harry Potter to discuss the ship of Ron Weasley and Luna Lovegood aka The Red Moon! What do you think - should these two have ended up together?! Join the Miles Managed Virtual Race! Org Code: WP97096 Miles Managed Merch ::</t>
        </is>
      </c>
      <c r="V881" s="47">
        <f>IF(AND(P881&gt;=Calendar!$K$2,P881&lt;EDATE(Calendar!$K$2,1),OR(Calendar!$K$4="*",N881=Calendar!$K$4)),P881*100+COUNTIFS($P$6:$P$3267,P881,$Q$6:$Q$3267,"&lt;="&amp;Q881,$N$6:$N$3267,Calendar!$K$4),"")</f>
        <v/>
      </c>
      <c r="W881" s="47">
        <f>IF(AND(B881=Queue!$C$4,OR(Queue!$K$4="*",N881=Queue!$K$4)),Q881,"")</f>
        <v/>
      </c>
    </row>
    <row r="882">
      <c r="A882" s="38">
        <f>IF(M882="","",HYPERLINK("https://www.youtube.com/watch?v="&amp;M882,"▶"))</f>
        <v/>
      </c>
      <c r="B882" s="39">
        <f>IF(C882&lt;&gt;"",C882,IF(P882&lt;=IFERROR(INDEX(tblChannels[Watched Through],MATCH(N882,tblChannels[Channel ID],0)),0),"Watched","Unwatched"))</f>
        <v/>
      </c>
      <c r="C882" s="40" t="n"/>
      <c r="D882" s="41" t="n"/>
      <c r="E882" s="42" t="n">
        <v>45114.41666666666</v>
      </c>
      <c r="F882" s="43" t="inlineStr">
        <is>
          <t>Popcorn Culture</t>
        </is>
      </c>
      <c r="G882" t="inlineStr">
        <is>
          <t>Thank God It's FriJ | Popcorn Culture</t>
        </is>
      </c>
      <c r="H882" s="44" t="n">
        <v>0.04662037037037037</v>
      </c>
      <c r="I882" s="45" t="n">
        <v>5080</v>
      </c>
      <c r="J882" s="45" t="n">
        <v>252</v>
      </c>
      <c r="K882" s="45" t="n">
        <v>28</v>
      </c>
      <c r="L882" s="46" t="n"/>
      <c r="M882" s="47" t="n"/>
      <c r="N882" s="47" t="inlineStr">
        <is>
          <t>UCHfIbq9thHPC8yrKjAdJgDA</t>
        </is>
      </c>
      <c r="O882" s="48" t="n">
        <v>45114.58333333334</v>
      </c>
      <c r="P882" s="49" t="n">
        <v>45114</v>
      </c>
      <c r="Q882" s="47" t="n">
        <v>2386</v>
      </c>
      <c r="R882" s="47" t="inlineStr">
        <is>
          <t>No Video ID yet</t>
        </is>
      </c>
      <c r="S882" s="49" t="n"/>
      <c r="T882" s="49" t="n"/>
      <c r="U882" s="47" t="inlineStr">
        <is>
          <t>In the 187th episode of the Pop Ben and J discuss how to get the office hype on a Friday morning, Spirit Week outfits, Ben’s first time with expendable money, family photos, compelling villains, Vin Diesel, Ben’s boat, and the joy of fixing things Heroes - Ballad of Songbirds and Snakes - Fight Club - Thanos - Tangled - The Lion King - Join the Miles Managed Virtual Race! Org Code: WP97096 Miles Managed Merch - Approachability of Colors The Brown Shirt Problem The Vin Diagram Lemme Tell Ya About Spark Plugs The Real Journey is the Parts We Replace Along the Way Hopes and Dreams and Scotch Tape 00:00 - Intro, J’s Wig 10:48 - Brown T-Shirts 15:34 - Picture Taking 22:46 - Interesting Villains 40:33 - Spark Plugs 51:42 - Monster Trucks</t>
        </is>
      </c>
      <c r="V882" s="47">
        <f>IF(AND(P882&gt;=Calendar!$K$2,P882&lt;EDATE(Calendar!$K$2,1),OR(Calendar!$K$4="*",N882=Calendar!$K$4)),P882*100+COUNTIFS($P$6:$P$3267,P882,$Q$6:$Q$3267,"&lt;="&amp;Q882,$N$6:$N$3267,Calendar!$K$4),"")</f>
        <v/>
      </c>
      <c r="W882" s="47">
        <f>IF(AND(B882=Queue!$C$4,OR(Queue!$K$4="*",N882=Queue!$K$4)),Q882,"")</f>
        <v/>
      </c>
    </row>
    <row r="883">
      <c r="A883" s="38">
        <f>IF(M883="","",HYPERLINK("https://www.youtube.com/watch?v="&amp;M883,"▶"))</f>
        <v/>
      </c>
      <c r="B883" s="39">
        <f>IF(C883&lt;&gt;"",C883,IF(P883&lt;=IFERROR(INDEX(tblChannels[Watched Through],MATCH(N883,tblChannels[Channel ID],0)),0),"Watched","Unwatched"))</f>
        <v/>
      </c>
      <c r="C883" s="40" t="n"/>
      <c r="D883" s="41" t="n"/>
      <c r="E883" s="42" t="n">
        <v>45112.58333333334</v>
      </c>
      <c r="F883" s="50" t="inlineStr">
        <is>
          <t>Super Carlin Brothers</t>
        </is>
      </c>
      <c r="G883" t="inlineStr">
        <is>
          <t>What If Neville Was The Chosen One - FULL STORY | Harry Potter Film Theory</t>
        </is>
      </c>
      <c r="H883" s="44" t="n">
        <v>0.05890046296296296</v>
      </c>
      <c r="I883" s="45" t="n">
        <v>799328</v>
      </c>
      <c r="J883" s="45" t="n">
        <v>14605</v>
      </c>
      <c r="K883" s="45" t="n">
        <v>1508</v>
      </c>
      <c r="L883" s="46" t="n"/>
      <c r="M883" s="47" t="n"/>
      <c r="N883" s="47" t="inlineStr">
        <is>
          <t>UCKZo4N0lVPccBkSiuyVh4yg</t>
        </is>
      </c>
      <c r="O883" s="48" t="n">
        <v>45112.75</v>
      </c>
      <c r="P883" s="49" t="n">
        <v>45112</v>
      </c>
      <c r="Q883" s="47" t="n">
        <v>2385</v>
      </c>
      <c r="R883" s="47" t="inlineStr">
        <is>
          <t>No Video ID yet</t>
        </is>
      </c>
      <c r="S883" s="49" t="n"/>
      <c r="T883" s="49" t="n"/>
      <c r="U883" s="47" t="inlineStr">
        <is>
          <t>What if Neville Longbottom had been the Chosen One instead of Harry Potter? What if Voldemort chose HIM instead? Would Harry's parents still die? Would Neville get attacked as a baby? We've stitched together all of our main videos covering this topic into one big compilation! Enjoy!</t>
        </is>
      </c>
      <c r="V883" s="47">
        <f>IF(AND(P883&gt;=Calendar!$K$2,P883&lt;EDATE(Calendar!$K$2,1),OR(Calendar!$K$4="*",N883=Calendar!$K$4)),P883*100+COUNTIFS($P$6:$P$3267,P883,$Q$6:$Q$3267,"&lt;="&amp;Q883,$N$6:$N$3267,Calendar!$K$4),"")</f>
        <v/>
      </c>
      <c r="W883" s="47">
        <f>IF(AND(B883=Queue!$C$4,OR(Queue!$K$4="*",N883=Queue!$K$4)),Q883,"")</f>
        <v/>
      </c>
    </row>
    <row r="884">
      <c r="A884" s="38">
        <f>IF(M884="","",HYPERLINK("https://www.youtube.com/watch?v="&amp;M884,"▶"))</f>
        <v/>
      </c>
      <c r="B884" s="39">
        <f>IF(C884&lt;&gt;"",C884,IF(P884&lt;=IFERROR(INDEX(tblChannels[Watched Through],MATCH(N884,tblChannels[Channel ID],0)),0),"Watched","Unwatched"))</f>
        <v/>
      </c>
      <c r="C884" s="40" t="n"/>
      <c r="D884" s="41" t="n"/>
      <c r="E884" s="42" t="n">
        <v>45107.77083333334</v>
      </c>
      <c r="F884" s="52" t="inlineStr">
        <is>
          <t>Super Carlin Gaming</t>
        </is>
      </c>
      <c r="G884" t="inlineStr">
        <is>
          <t>THE FINAL PACKS ARE HERE | Carlin Brothers Box Breakers S5E12</t>
        </is>
      </c>
      <c r="H884" s="44" t="n">
        <v>0.02989583333333333</v>
      </c>
      <c r="I884" s="45" t="n">
        <v>1954</v>
      </c>
      <c r="J884" s="45" t="n">
        <v>108</v>
      </c>
      <c r="K884" s="45" t="n">
        <v>9</v>
      </c>
      <c r="L884" s="46" t="n"/>
      <c r="M884" s="47" t="n"/>
      <c r="N884" s="47" t="inlineStr">
        <is>
          <t>UCor_9jRnNNZVzTuQ92PKsaQ</t>
        </is>
      </c>
      <c r="O884" s="48" t="n">
        <v>45107.9375</v>
      </c>
      <c r="P884" s="49" t="n">
        <v>45107</v>
      </c>
      <c r="Q884" s="47" t="n">
        <v>2384</v>
      </c>
      <c r="R884" s="47" t="inlineStr">
        <is>
          <t>No Video ID yet</t>
        </is>
      </c>
      <c r="S884" s="49" t="n"/>
      <c r="T884" s="49" t="n"/>
      <c r="U884" s="47" t="inlineStr">
        <is>
          <t>THIS WEEK IT'S THE FINALE</t>
        </is>
      </c>
      <c r="V884" s="47">
        <f>IF(AND(P884&gt;=Calendar!$K$2,P884&lt;EDATE(Calendar!$K$2,1),OR(Calendar!$K$4="*",N884=Calendar!$K$4)),P884*100+COUNTIFS($P$6:$P$3267,P884,$Q$6:$Q$3267,"&lt;="&amp;Q884,$N$6:$N$3267,Calendar!$K$4),"")</f>
        <v/>
      </c>
      <c r="W884" s="47">
        <f>IF(AND(B884=Queue!$C$4,OR(Queue!$K$4="*",N884=Queue!$K$4)),Q884,"")</f>
        <v/>
      </c>
    </row>
    <row r="885">
      <c r="A885" s="38">
        <f>IF(M885="","",HYPERLINK("https://www.youtube.com/watch?v="&amp;M885,"▶"))</f>
        <v/>
      </c>
      <c r="B885" s="39">
        <f>IF(C885&lt;&gt;"",C885,IF(P885&lt;=IFERROR(INDEX(tblChannels[Watched Through],MATCH(N885,tblChannels[Channel ID],0)),0),"Watched","Unwatched"))</f>
        <v/>
      </c>
      <c r="C885" s="40" t="n"/>
      <c r="D885" s="41" t="n"/>
      <c r="E885" s="42" t="n">
        <v>45107.70555555556</v>
      </c>
      <c r="F885" s="50" t="inlineStr">
        <is>
          <t>Super Carlin Brothers</t>
        </is>
      </c>
      <c r="G885" t="inlineStr">
        <is>
          <t>How Narcissa LIED to Voldemort REVEALED! | Harry Potter Film Theory</t>
        </is>
      </c>
      <c r="H885" s="44" t="n">
        <v>0.01298611111111111</v>
      </c>
      <c r="I885" s="45" t="n">
        <v>528900</v>
      </c>
      <c r="J885" s="45" t="n">
        <v>15172</v>
      </c>
      <c r="K885" s="45" t="n">
        <v>1094</v>
      </c>
      <c r="L885" s="46" t="n"/>
      <c r="M885" s="47" t="n"/>
      <c r="N885" s="47" t="inlineStr">
        <is>
          <t>UCKZo4N0lVPccBkSiuyVh4yg</t>
        </is>
      </c>
      <c r="O885" s="48" t="n">
        <v>45107.87222222222</v>
      </c>
      <c r="P885" s="49" t="n">
        <v>45107</v>
      </c>
      <c r="Q885" s="47" t="n">
        <v>2383</v>
      </c>
      <c r="R885" s="47" t="inlineStr">
        <is>
          <t>No Video ID yet</t>
        </is>
      </c>
      <c r="S885" s="49" t="n"/>
      <c r="T885" s="49" t="n"/>
      <c r="U885" s="47" t="inlineStr">
        <is>
          <t>Go to and use code SUPER to get free shipping on your goodr order. Today Ben dives into the Wizarding World of Harry Potter to reveal how Narcissa Malfoy lied to Voldemort about Harry being dead without having her mind read! Join the Miles Managed Virtual Race! Org Code: WP97096 Miles Managed Merch ::</t>
        </is>
      </c>
      <c r="V885" s="47">
        <f>IF(AND(P885&gt;=Calendar!$K$2,P885&lt;EDATE(Calendar!$K$2,1),OR(Calendar!$K$4="*",N885=Calendar!$K$4)),P885*100+COUNTIFS($P$6:$P$3267,P885,$Q$6:$Q$3267,"&lt;="&amp;Q885,$N$6:$N$3267,Calendar!$K$4),"")</f>
        <v/>
      </c>
      <c r="W885" s="47">
        <f>IF(AND(B885=Queue!$C$4,OR(Queue!$K$4="*",N885=Queue!$K$4)),Q885,"")</f>
        <v/>
      </c>
    </row>
    <row r="886">
      <c r="A886" s="38">
        <f>IF(M886="","",HYPERLINK("https://www.youtube.com/watch?v="&amp;M886,"▶"))</f>
        <v/>
      </c>
      <c r="B886" s="39">
        <f>IF(C886&lt;&gt;"",C886,IF(P886&lt;=IFERROR(INDEX(tblChannels[Watched Through],MATCH(N886,tblChannels[Channel ID],0)),0),"Watched","Unwatched"))</f>
        <v/>
      </c>
      <c r="C886" s="40" t="n"/>
      <c r="D886" s="41" t="n"/>
      <c r="E886" s="42" t="n">
        <v>45107.41666666666</v>
      </c>
      <c r="F886" s="43" t="inlineStr">
        <is>
          <t>Popcorn Culture</t>
        </is>
      </c>
      <c r="G886" t="inlineStr">
        <is>
          <t>The Video Game SPECIAL! | Popcorn Culture</t>
        </is>
      </c>
      <c r="H886" s="44" t="n">
        <v>0.05069444444444444</v>
      </c>
      <c r="I886" s="45" t="n">
        <v>4612</v>
      </c>
      <c r="J886" s="45" t="n">
        <v>220</v>
      </c>
      <c r="K886" s="45" t="n">
        <v>29</v>
      </c>
      <c r="L886" s="46" t="n"/>
      <c r="M886" s="47" t="n"/>
      <c r="N886" s="47" t="inlineStr">
        <is>
          <t>UCHfIbq9thHPC8yrKjAdJgDA</t>
        </is>
      </c>
      <c r="O886" s="48" t="n">
        <v>45107.58333333334</v>
      </c>
      <c r="P886" s="49" t="n">
        <v>45107</v>
      </c>
      <c r="Q886" s="47" t="n">
        <v>2382</v>
      </c>
      <c r="R886" s="47" t="inlineStr">
        <is>
          <t>No Video ID yet</t>
        </is>
      </c>
      <c r="S886" s="49" t="n"/>
      <c r="T886" s="49" t="n"/>
      <c r="U886" s="47" t="inlineStr">
        <is>
          <t>In the 186th episode of the Pop, Ben and J discuss seaglass, sharing Harry Potter and Star Wars with their kids, Diablo 4, Tears of the Kingdom and Star Fox games, physically making money, taking apart electronics, Ultimate Alliance, a mysterious chapter in Wise Man’s Fear, and weird audio edits. Diablo 4 - Tears of the Kingdom - Star Fox 64 - Catch Me If You Can - Home Alone 3 - Ultimate Alliance - Wise Man’s Fear - The Final Empire - Join the Miles Managed Virtual Race! Org Code: WP97096 Miles Managed Merch - Polished Memories Just Like the 20s - Roarin! But How Do You MAKE Money? 00:00 - Intro, Broken Glass 03:18 - Special Edition HP Books 17:36 - Switch Games 46:23 - Making Money 52:29 - N64 Cartridge Games 59:14 - Portable PSP 1:03:06 - Wise Man’s Fear Mystery</t>
        </is>
      </c>
      <c r="V886" s="47">
        <f>IF(AND(P886&gt;=Calendar!$K$2,P886&lt;EDATE(Calendar!$K$2,1),OR(Calendar!$K$4="*",N886=Calendar!$K$4)),P886*100+COUNTIFS($P$6:$P$3267,P886,$Q$6:$Q$3267,"&lt;="&amp;Q886,$N$6:$N$3267,Calendar!$K$4),"")</f>
        <v/>
      </c>
      <c r="W886" s="47">
        <f>IF(AND(B886=Queue!$C$4,OR(Queue!$K$4="*",N886=Queue!$K$4)),Q886,"")</f>
        <v/>
      </c>
    </row>
    <row r="887">
      <c r="A887" s="38">
        <f>IF(M887="","",HYPERLINK("https://www.youtube.com/watch?v="&amp;M887,"▶"))</f>
        <v/>
      </c>
      <c r="B887" s="39">
        <f>IF(C887&lt;&gt;"",C887,IF(P887&lt;=IFERROR(INDEX(tblChannels[Watched Through],MATCH(N887,tblChannels[Channel ID],0)),0),"Watched","Unwatched"))</f>
        <v/>
      </c>
      <c r="C887" s="40" t="n"/>
      <c r="D887" s="41" t="n"/>
      <c r="E887" s="42" t="n">
        <v>45105.65625</v>
      </c>
      <c r="F887" s="50" t="inlineStr">
        <is>
          <t>Super Carlin Brothers</t>
        </is>
      </c>
      <c r="G887" t="inlineStr">
        <is>
          <t>What Spell Did Molly Use to Kill Bellatrix SOLVED! | Harry Potter Film Theory</t>
        </is>
      </c>
      <c r="H887" s="44" t="n">
        <v>0.01064814814814815</v>
      </c>
      <c r="I887" s="45" t="n">
        <v>970471</v>
      </c>
      <c r="J887" s="45" t="n">
        <v>26636</v>
      </c>
      <c r="K887" s="45" t="n">
        <v>3047</v>
      </c>
      <c r="L887" s="46" t="n"/>
      <c r="M887" s="47" t="n"/>
      <c r="N887" s="47" t="inlineStr">
        <is>
          <t>UCKZo4N0lVPccBkSiuyVh4yg</t>
        </is>
      </c>
      <c r="O887" s="48" t="n">
        <v>45105.82291666666</v>
      </c>
      <c r="P887" s="49" t="n">
        <v>45105</v>
      </c>
      <c r="Q887" s="47" t="n">
        <v>2381</v>
      </c>
      <c r="R887" s="47" t="inlineStr">
        <is>
          <t>No Video ID yet</t>
        </is>
      </c>
      <c r="S887" s="49" t="n"/>
      <c r="T887" s="49" t="n"/>
      <c r="U887" s="47" t="inlineStr">
        <is>
          <t>Go to and use code super50 to get 50% off your first box. Today J dives back into the Wizarding World of Harry Potter to uncover what spell Molly Weasley used to kill Bellatrix Lestrange and if doing so actually split her soul?! Join the Miles Managed Virtual Race! Org Code: WP97096 Miles Managed Merch :: #supercarlinbrothers #harrypotter #wizardingworld Edited by : Riley Murtagh</t>
        </is>
      </c>
      <c r="V887" s="47">
        <f>IF(AND(P887&gt;=Calendar!$K$2,P887&lt;EDATE(Calendar!$K$2,1),OR(Calendar!$K$4="*",N887=Calendar!$K$4)),P887*100+COUNTIFS($P$6:$P$3267,P887,$Q$6:$Q$3267,"&lt;="&amp;Q887,$N$6:$N$3267,Calendar!$K$4),"")</f>
        <v/>
      </c>
      <c r="W887" s="47">
        <f>IF(AND(B887=Queue!$C$4,OR(Queue!$K$4="*",N887=Queue!$K$4)),Q887,"")</f>
        <v/>
      </c>
    </row>
    <row r="888">
      <c r="A888" s="38">
        <f>IF(M888="","",HYPERLINK("https://www.youtube.com/watch?v="&amp;M888,"▶"))</f>
        <v/>
      </c>
      <c r="B888" s="39">
        <f>IF(C888&lt;&gt;"",C888,IF(P888&lt;=IFERROR(INDEX(tblChannels[Watched Through],MATCH(N888,tblChannels[Channel ID],0)),0),"Watched","Unwatched"))</f>
        <v/>
      </c>
      <c r="C888" s="40" t="n"/>
      <c r="D888" s="41" t="n"/>
      <c r="E888" s="42" t="n">
        <v>45104.77083333334</v>
      </c>
      <c r="F888" s="52" t="inlineStr">
        <is>
          <t>Super Carlin Gaming</t>
        </is>
      </c>
      <c r="G888" t="inlineStr">
        <is>
          <t>LAST PACK MAGIC | Carlin Brothers Box Breakers S5E11</t>
        </is>
      </c>
      <c r="H888" s="44" t="n">
        <v>0.03109953703703704</v>
      </c>
      <c r="I888" s="45" t="n">
        <v>2231</v>
      </c>
      <c r="J888" s="45" t="n">
        <v>119</v>
      </c>
      <c r="K888" s="45" t="n">
        <v>17</v>
      </c>
      <c r="L888" s="46" t="n"/>
      <c r="M888" s="47" t="n"/>
      <c r="N888" s="47" t="inlineStr">
        <is>
          <t>UCor_9jRnNNZVzTuQ92PKsaQ</t>
        </is>
      </c>
      <c r="O888" s="48" t="n">
        <v>45104.9375</v>
      </c>
      <c r="P888" s="49" t="n">
        <v>45104</v>
      </c>
      <c r="Q888" s="47" t="n">
        <v>2380</v>
      </c>
      <c r="R888" s="47" t="inlineStr">
        <is>
          <t>No Video ID yet</t>
        </is>
      </c>
      <c r="S888" s="49" t="n"/>
      <c r="T888" s="49" t="n"/>
      <c r="U888" s="47" t="inlineStr">
        <is>
          <t>This week Scarlet and Violet DELIVERS ON A LONG TIME BOX BREAKERS PROMISE</t>
        </is>
      </c>
      <c r="V888" s="47">
        <f>IF(AND(P888&gt;=Calendar!$K$2,P888&lt;EDATE(Calendar!$K$2,1),OR(Calendar!$K$4="*",N888=Calendar!$K$4)),P888*100+COUNTIFS($P$6:$P$3267,P888,$Q$6:$Q$3267,"&lt;="&amp;Q888,$N$6:$N$3267,Calendar!$K$4),"")</f>
        <v/>
      </c>
      <c r="W888" s="47">
        <f>IF(AND(B888=Queue!$C$4,OR(Queue!$K$4="*",N888=Queue!$K$4)),Q888,"")</f>
        <v/>
      </c>
    </row>
    <row r="889">
      <c r="A889" s="38">
        <f>IF(M889="","",HYPERLINK("https://www.youtube.com/watch?v="&amp;M889,"▶"))</f>
        <v/>
      </c>
      <c r="B889" s="39">
        <f>IF(C889&lt;&gt;"",C889,IF(P889&lt;=IFERROR(INDEX(tblChannels[Watched Through],MATCH(N889,tblChannels[Channel ID],0)),0),"Watched","Unwatched"))</f>
        <v/>
      </c>
      <c r="C889" s="40" t="n"/>
      <c r="D889" s="41" t="n"/>
      <c r="E889" s="42" t="n">
        <v>45100.83541666667</v>
      </c>
      <c r="F889" s="50" t="inlineStr">
        <is>
          <t>Super Carlin Brothers</t>
        </is>
      </c>
      <c r="G889" t="inlineStr">
        <is>
          <t>ALL FANDOM TRIVIA LIVE STREAM - JUNE 2023</t>
        </is>
      </c>
      <c r="H889" s="44" t="n">
        <v>0.07983796296296296</v>
      </c>
      <c r="I889" s="45" t="n">
        <v>29487</v>
      </c>
      <c r="J889" s="45" t="n">
        <v>786</v>
      </c>
      <c r="K889" s="45" t="n">
        <v>52</v>
      </c>
      <c r="L889" s="46" t="n"/>
      <c r="M889" s="47" t="n"/>
      <c r="N889" s="47" t="inlineStr">
        <is>
          <t>UCKZo4N0lVPccBkSiuyVh4yg</t>
        </is>
      </c>
      <c r="O889" s="48" t="n">
        <v>45101.00208333333</v>
      </c>
      <c r="P889" s="49" t="n">
        <v>45100</v>
      </c>
      <c r="Q889" s="47" t="n">
        <v>2379</v>
      </c>
      <c r="R889" s="47" t="inlineStr">
        <is>
          <t>No Video ID yet</t>
        </is>
      </c>
      <c r="S889" s="49" t="n"/>
      <c r="T889" s="49" t="n"/>
      <c r="U889" s="47" t="inlineStr">
        <is>
          <t>Come join us and test your knowledge of Disney, Pixar, Star Wars, Marvel, Harry Potter and Avatar the Last Airbender! How to play :: 1. Download the Kahoot App on your phone or go to Kahoot.it to play on browser. 2. There is no need to create an account at all, just access the app or website and enter the key code 3. Speaking of which before the game begins the guys will announce the key code for you to enter on your phone and play long 4. Answer the questions as fast as you can! The faster you answer the more points you score and dont worry about getting it wrong, you WONT lose points, you just wont earn any. 5. Have fun! 6. If you are one of the top 5 see instructions below for how to claim your prize! If you were one of the top 5 winners email secretcarlinbrothers@gmail.com. First place winners get a choice of one animal mug. 2nd-5th place winners get a $10 gift card to</t>
        </is>
      </c>
      <c r="V889" s="47">
        <f>IF(AND(P889&gt;=Calendar!$K$2,P889&lt;EDATE(Calendar!$K$2,1),OR(Calendar!$K$4="*",N889=Calendar!$K$4)),P889*100+COUNTIFS($P$6:$P$3267,P889,$Q$6:$Q$3267,"&lt;="&amp;Q889,$N$6:$N$3267,Calendar!$K$4),"")</f>
        <v/>
      </c>
      <c r="W889" s="47">
        <f>IF(AND(B889=Queue!$C$4,OR(Queue!$K$4="*",N889=Queue!$K$4)),Q889,"")</f>
        <v/>
      </c>
    </row>
    <row r="890">
      <c r="A890" s="38">
        <f>IF(M890="","",HYPERLINK("https://www.youtube.com/watch?v="&amp;M890,"▶"))</f>
        <v/>
      </c>
      <c r="B890" s="39">
        <f>IF(C890&lt;&gt;"",C890,IF(P890&lt;=IFERROR(INDEX(tblChannels[Watched Through],MATCH(N890,tblChannels[Channel ID],0)),0),"Watched","Unwatched"))</f>
        <v/>
      </c>
      <c r="C890" s="40" t="n"/>
      <c r="D890" s="41" t="n"/>
      <c r="E890" s="42" t="n">
        <v>45100.66597222222</v>
      </c>
      <c r="F890" s="50" t="inlineStr">
        <is>
          <t>Super Carlin Brothers</t>
        </is>
      </c>
      <c r="G890" t="inlineStr">
        <is>
          <t>How ELEMENTAL Fits Into The Pixar Theory</t>
        </is>
      </c>
      <c r="H890" s="44" t="n">
        <v>0.01146990740740741</v>
      </c>
      <c r="I890" s="45" t="n">
        <v>255077</v>
      </c>
      <c r="J890" s="45" t="n">
        <v>9635</v>
      </c>
      <c r="K890" s="45" t="n">
        <v>779</v>
      </c>
      <c r="L890" s="46" t="n"/>
      <c r="M890" s="47" t="n"/>
      <c r="N890" s="47" t="inlineStr">
        <is>
          <t>UCKZo4N0lVPccBkSiuyVh4yg</t>
        </is>
      </c>
      <c r="O890" s="48" t="n">
        <v>45100.83263888889</v>
      </c>
      <c r="P890" s="49" t="n">
        <v>45100</v>
      </c>
      <c r="Q890" s="47" t="n">
        <v>2378</v>
      </c>
      <c r="R890" s="47" t="inlineStr">
        <is>
          <t>No Video ID yet</t>
        </is>
      </c>
      <c r="S890" s="49" t="n"/>
      <c r="T890" s="49" t="n"/>
      <c r="U890" s="47" t="inlineStr">
        <is>
          <t>Today J dives back into the ever growing world of the Pixar Universe to find out How Elemental Fits into the Pixar Theory! Are the elements the source of the supers powers? Do they have something to do with the emotions? Are they the source of all life?! Join the Miles Managed Virtual Race! Org Code: WP97096 Miles Managed Merch :: #supercarlinbrothers #Elemental #PixarTheory</t>
        </is>
      </c>
      <c r="V890" s="47">
        <f>IF(AND(P890&gt;=Calendar!$K$2,P890&lt;EDATE(Calendar!$K$2,1),OR(Calendar!$K$4="*",N890=Calendar!$K$4)),P890*100+COUNTIFS($P$6:$P$3267,P890,$Q$6:$Q$3267,"&lt;="&amp;Q890,$N$6:$N$3267,Calendar!$K$4),"")</f>
        <v/>
      </c>
      <c r="W890" s="47">
        <f>IF(AND(B890=Queue!$C$4,OR(Queue!$K$4="*",N890=Queue!$K$4)),Q890,"")</f>
        <v/>
      </c>
    </row>
    <row r="891">
      <c r="A891" s="38">
        <f>IF(M891="","",HYPERLINK("https://www.youtube.com/watch?v="&amp;M891,"▶"))</f>
        <v/>
      </c>
      <c r="B891" s="39">
        <f>IF(C891&lt;&gt;"",C891,IF(P891&lt;=IFERROR(INDEX(tblChannels[Watched Through],MATCH(N891,tblChannels[Channel ID],0)),0),"Watched","Unwatched"))</f>
        <v/>
      </c>
      <c r="C891" s="40" t="n"/>
      <c r="D891" s="41" t="n"/>
      <c r="E891" s="42" t="n">
        <v>45100.41666666666</v>
      </c>
      <c r="F891" s="43" t="inlineStr">
        <is>
          <t>Popcorn Culture</t>
        </is>
      </c>
      <c r="G891" t="inlineStr">
        <is>
          <t>JET SKIS! | Popcorn Culture</t>
        </is>
      </c>
      <c r="H891" s="44" t="n">
        <v>0.04063657407407407</v>
      </c>
      <c r="I891" s="45" t="n">
        <v>3796</v>
      </c>
      <c r="J891" s="45" t="n">
        <v>203</v>
      </c>
      <c r="K891" s="45" t="n">
        <v>12</v>
      </c>
      <c r="L891" s="46" t="n"/>
      <c r="M891" s="47" t="n"/>
      <c r="N891" s="47" t="inlineStr">
        <is>
          <t>UCHfIbq9thHPC8yrKjAdJgDA</t>
        </is>
      </c>
      <c r="O891" s="48" t="n">
        <v>45100.58333333334</v>
      </c>
      <c r="P891" s="49" t="n">
        <v>45100</v>
      </c>
      <c r="Q891" s="47" t="n">
        <v>2377</v>
      </c>
      <c r="R891" s="47" t="inlineStr">
        <is>
          <t>No Video ID yet</t>
        </is>
      </c>
      <c r="S891" s="49" t="n"/>
      <c r="T891" s="49" t="n"/>
      <c r="U891" s="47" t="inlineStr">
        <is>
          <t>In the 185th episode of the pop, Ben and J discuss the chaos of vacationing with 7 kids, first time jet-skiing, Grandpa’s three-wheeler, validation, trusting your gut, and test taking. Join the Miles Managed Virtual Race! Org Code: WP97096 Miles Managed Merch - Death of Vacation Self Bad Validation Test Anxiety 00:00 - Intro, Chaotic Beach Trip 11:25 - Jet Skis 30:51 - Validation and Gut Instincts</t>
        </is>
      </c>
      <c r="V891" s="47">
        <f>IF(AND(P891&gt;=Calendar!$K$2,P891&lt;EDATE(Calendar!$K$2,1),OR(Calendar!$K$4="*",N891=Calendar!$K$4)),P891*100+COUNTIFS($P$6:$P$3267,P891,$Q$6:$Q$3267,"&lt;="&amp;Q891,$N$6:$N$3267,Calendar!$K$4),"")</f>
        <v/>
      </c>
      <c r="W891" s="47">
        <f>IF(AND(B891=Queue!$C$4,OR(Queue!$K$4="*",N891=Queue!$K$4)),Q891,"")</f>
        <v/>
      </c>
    </row>
    <row r="892">
      <c r="A892" s="38">
        <f>IF(M892="","",HYPERLINK("https://www.youtube.com/watch?v="&amp;M892,"▶"))</f>
        <v/>
      </c>
      <c r="B892" s="39">
        <f>IF(C892&lt;&gt;"",C892,IF(P892&lt;=IFERROR(INDEX(tblChannels[Watched Through],MATCH(N892,tblChannels[Channel ID],0)),0),"Watched","Unwatched"))</f>
        <v/>
      </c>
      <c r="C892" s="40" t="n"/>
      <c r="D892" s="41" t="n"/>
      <c r="E892" s="42" t="n">
        <v>45098.70694444444</v>
      </c>
      <c r="F892" s="50" t="inlineStr">
        <is>
          <t>Super Carlin Brothers</t>
        </is>
      </c>
      <c r="G892" t="inlineStr">
        <is>
          <t>J vs Ben: Which WEASLEY Said What - HARD MODE | Harry Potter Trivia</t>
        </is>
      </c>
      <c r="H892" s="44" t="n">
        <v>0.02034722222222222</v>
      </c>
      <c r="I892" s="45" t="n">
        <v>179404</v>
      </c>
      <c r="J892" s="45" t="n">
        <v>6340</v>
      </c>
      <c r="K892" s="45" t="n">
        <v>465</v>
      </c>
      <c r="L892" s="46" t="n"/>
      <c r="M892" s="47" t="n"/>
      <c r="N892" s="47" t="inlineStr">
        <is>
          <t>UCKZo4N0lVPccBkSiuyVh4yg</t>
        </is>
      </c>
      <c r="O892" s="48" t="n">
        <v>45098.87361111111</v>
      </c>
      <c r="P892" s="49" t="n">
        <v>45098</v>
      </c>
      <c r="Q892" s="47" t="n">
        <v>2376</v>
      </c>
      <c r="R892" s="47" t="inlineStr">
        <is>
          <t>No Video ID yet</t>
        </is>
      </c>
      <c r="S892" s="49" t="n"/>
      <c r="T892" s="49" t="n"/>
      <c r="U892" s="47" t="inlineStr">
        <is>
          <t>Go to to get PayPal Honey for free. Get your Under the Sea Candle here! Check out the always hilarious and philosophical Popcorn Culture here or wherever pods are cast: Today J and Ben face off once more to find out who knows more quotes from your favorite red-headed Wizard family: the Weasleys! Join the Miles Managed Virtual Race! Org Code: WP97096 Miles Managed Merch :: Chapters 01:37 - Q1: Accountant cousin 03:06 - Q2: Disgraces wizards 04:41 - Q3: Snape's shampoo 05:16 - Q4: Dumbledore's a genius 05:53 - Q5: England embarrassing 07:23 - Q6: Poisonous toadstools 10:03 - Q7: Diggory's quiet 14:53 - Q8: Uncertainty with You-Know-Who's return 16:29 - Q9: Tiara 16:52 - Q10: Arkie Philpot's Probity Probe 17:49 - Q11: Understand Quidditch 19:21 - Q12: Dobby's tea cozy 21:27 - Q13: Look to our prefects 22:06 - Q14: Scope and tragedy 25:14 - Q15: Got enough nerve</t>
        </is>
      </c>
      <c r="V892" s="47">
        <f>IF(AND(P892&gt;=Calendar!$K$2,P892&lt;EDATE(Calendar!$K$2,1),OR(Calendar!$K$4="*",N892=Calendar!$K$4)),P892*100+COUNTIFS($P$6:$P$3267,P892,$Q$6:$Q$3267,"&lt;="&amp;Q892,$N$6:$N$3267,Calendar!$K$4),"")</f>
        <v/>
      </c>
      <c r="W892" s="47">
        <f>IF(AND(B892=Queue!$C$4,OR(Queue!$K$4="*",N892=Queue!$K$4)),Q892,"")</f>
        <v/>
      </c>
    </row>
    <row r="893">
      <c r="A893" s="38">
        <f>IF(M893="","",HYPERLINK("https://www.youtube.com/watch?v="&amp;M893,"▶"))</f>
        <v/>
      </c>
      <c r="B893" s="39">
        <f>IF(C893&lt;&gt;"",C893,IF(P893&lt;=IFERROR(INDEX(tblChannels[Watched Through],MATCH(N893,tblChannels[Channel ID],0)),0),"Watched","Unwatched"))</f>
        <v/>
      </c>
      <c r="C893" s="40" t="n"/>
      <c r="D893" s="41" t="n"/>
      <c r="E893" s="42" t="n">
        <v>45093.77083333334</v>
      </c>
      <c r="F893" s="52" t="inlineStr">
        <is>
          <t>Super Carlin Gaming</t>
        </is>
      </c>
      <c r="G893" t="inlineStr">
        <is>
          <t>THIS IS A HUGE BOX |  Carlin Brothers Box Breakers S5E10</t>
        </is>
      </c>
      <c r="H893" s="44" t="n">
        <v>0.03233796296296296</v>
      </c>
      <c r="I893" s="45" t="n">
        <v>2116</v>
      </c>
      <c r="J893" s="45" t="n">
        <v>111</v>
      </c>
      <c r="K893" s="45" t="n">
        <v>12</v>
      </c>
      <c r="L893" s="46" t="n"/>
      <c r="M893" s="47" t="n"/>
      <c r="N893" s="47" t="inlineStr">
        <is>
          <t>UCor_9jRnNNZVzTuQ92PKsaQ</t>
        </is>
      </c>
      <c r="O893" s="48" t="n">
        <v>45093.9375</v>
      </c>
      <c r="P893" s="49" t="n">
        <v>45093</v>
      </c>
      <c r="Q893" s="47" t="n">
        <v>2375</v>
      </c>
      <c r="R893" s="47" t="inlineStr">
        <is>
          <t>No Video ID yet</t>
        </is>
      </c>
      <c r="S893" s="49" t="n"/>
      <c r="T893" s="49" t="n"/>
      <c r="U893" s="47" t="inlineStr">
        <is>
          <t>This week Scarlet And Violet goes absolutely wild.</t>
        </is>
      </c>
      <c r="V893" s="47">
        <f>IF(AND(P893&gt;=Calendar!$K$2,P893&lt;EDATE(Calendar!$K$2,1),OR(Calendar!$K$4="*",N893=Calendar!$K$4)),P893*100+COUNTIFS($P$6:$P$3267,P893,$Q$6:$Q$3267,"&lt;="&amp;Q893,$N$6:$N$3267,Calendar!$K$4),"")</f>
        <v/>
      </c>
      <c r="W893" s="47">
        <f>IF(AND(B893=Queue!$C$4,OR(Queue!$K$4="*",N893=Queue!$K$4)),Q893,"")</f>
        <v/>
      </c>
    </row>
    <row r="894">
      <c r="A894" s="38">
        <f>IF(M894="","",HYPERLINK("https://www.youtube.com/watch?v="&amp;M894,"▶"))</f>
        <v/>
      </c>
      <c r="B894" s="39">
        <f>IF(C894&lt;&gt;"",C894,IF(P894&lt;=IFERROR(INDEX(tblChannels[Watched Through],MATCH(N894,tblChannels[Channel ID],0)),0),"Watched","Unwatched"))</f>
        <v/>
      </c>
      <c r="C894" s="40" t="n"/>
      <c r="D894" s="41" t="n"/>
      <c r="E894" s="42" t="n">
        <v>45093.625</v>
      </c>
      <c r="F894" s="50" t="inlineStr">
        <is>
          <t>Super Carlin Brothers</t>
        </is>
      </c>
      <c r="G894" t="inlineStr">
        <is>
          <t>The TRUTH About The Mirror of Erised | Harry Potter Film Theory</t>
        </is>
      </c>
      <c r="H894" s="44" t="n">
        <v>0.009953703703703704</v>
      </c>
      <c r="I894" s="45" t="n">
        <v>293328</v>
      </c>
      <c r="J894" s="45" t="n">
        <v>10886</v>
      </c>
      <c r="K894" s="45" t="n">
        <v>723</v>
      </c>
      <c r="L894" s="46" t="n"/>
      <c r="M894" s="47" t="n"/>
      <c r="N894" s="47" t="inlineStr">
        <is>
          <t>UCKZo4N0lVPccBkSiuyVh4yg</t>
        </is>
      </c>
      <c r="O894" s="48" t="n">
        <v>45093.79166666666</v>
      </c>
      <c r="P894" s="49" t="n">
        <v>45093</v>
      </c>
      <c r="Q894" s="47" t="n">
        <v>2374</v>
      </c>
      <c r="R894" s="47" t="inlineStr">
        <is>
          <t>No Video ID yet</t>
        </is>
      </c>
      <c r="S894" s="49" t="n"/>
      <c r="T894" s="49" t="n"/>
      <c r="U894" s="47" t="inlineStr">
        <is>
          <t>Go to and use code super for 20% off your first box. Today Ben dives back into the Wizarding World of Harry Potter to try and solve how the mirror of Erised works, how it was invented, Who invented it, and why it's just as dangerous as the deathly hallows! Join the Miles Managed Virtual Race! Org Code: WP97096 Miles Managed Merch ::</t>
        </is>
      </c>
      <c r="V894" s="47">
        <f>IF(AND(P894&gt;=Calendar!$K$2,P894&lt;EDATE(Calendar!$K$2,1),OR(Calendar!$K$4="*",N894=Calendar!$K$4)),P894*100+COUNTIFS($P$6:$P$3267,P894,$Q$6:$Q$3267,"&lt;="&amp;Q894,$N$6:$N$3267,Calendar!$K$4),"")</f>
        <v/>
      </c>
      <c r="W894" s="47">
        <f>IF(AND(B894=Queue!$C$4,OR(Queue!$K$4="*",N894=Queue!$K$4)),Q894,"")</f>
        <v/>
      </c>
    </row>
    <row r="895">
      <c r="A895" s="38">
        <f>IF(M895="","",HYPERLINK("https://www.youtube.com/watch?v="&amp;M895,"▶"))</f>
        <v/>
      </c>
      <c r="B895" s="39">
        <f>IF(C895&lt;&gt;"",C895,IF(P895&lt;=IFERROR(INDEX(tblChannels[Watched Through],MATCH(N895,tblChannels[Channel ID],0)),0),"Watched","Unwatched"))</f>
        <v/>
      </c>
      <c r="C895" s="40" t="n"/>
      <c r="D895" s="41" t="n"/>
      <c r="E895" s="42" t="n">
        <v>45093.41666666666</v>
      </c>
      <c r="F895" s="43" t="inlineStr">
        <is>
          <t>Popcorn Culture</t>
        </is>
      </c>
      <c r="G895" t="inlineStr">
        <is>
          <t>Constant Catastrophizing | Popcorn Culture</t>
        </is>
      </c>
      <c r="H895" s="44" t="n">
        <v>0.04957175925925926</v>
      </c>
      <c r="I895" s="45" t="n">
        <v>4433</v>
      </c>
      <c r="J895" s="45" t="n">
        <v>211</v>
      </c>
      <c r="K895" s="45" t="n">
        <v>18</v>
      </c>
      <c r="L895" s="46" t="n"/>
      <c r="M895" s="47" t="n"/>
      <c r="N895" s="47" t="inlineStr">
        <is>
          <t>UCHfIbq9thHPC8yrKjAdJgDA</t>
        </is>
      </c>
      <c r="O895" s="48" t="n">
        <v>45093.58333333334</v>
      </c>
      <c r="P895" s="49" t="n">
        <v>45093</v>
      </c>
      <c r="Q895" s="47" t="n">
        <v>2373</v>
      </c>
      <c r="R895" s="47" t="inlineStr">
        <is>
          <t>No Video ID yet</t>
        </is>
      </c>
      <c r="S895" s="49" t="n"/>
      <c r="T895" s="49" t="n"/>
      <c r="U895" s="47" t="inlineStr">
        <is>
          <t>In the 184th episode of the Pop Ben and J discuss dark sodas vs. clear sodas, the Spotlight Effect, Fire Tower and Catastrophizing, the triangle of success, Madden, Pickleball, mobile games, and competitive card games. Join the Miles Managed Virtual Race! Org Code: WP97096 Miles Managed Merch - Ice Age The Dawn of Dinosaurs - Fire Tower - Madden - Kingdom Rush - Diablo - Marvel Snap - Dark Soda High Horse We Didn’t Quit! Sticky Hands! Should We Get Into Pickleball? 00:00 - Intro, Ben’s Coke Addiction 16:59 - The Spotlight Effect and Psychological Catastrophizing 51:09 - What’s Next?</t>
        </is>
      </c>
      <c r="V895" s="47">
        <f>IF(AND(P895&gt;=Calendar!$K$2,P895&lt;EDATE(Calendar!$K$2,1),OR(Calendar!$K$4="*",N895=Calendar!$K$4)),P895*100+COUNTIFS($P$6:$P$3267,P895,$Q$6:$Q$3267,"&lt;="&amp;Q895,$N$6:$N$3267,Calendar!$K$4),"")</f>
        <v/>
      </c>
      <c r="W895" s="47">
        <f>IF(AND(B895=Queue!$C$4,OR(Queue!$K$4="*",N895=Queue!$K$4)),Q895,"")</f>
        <v/>
      </c>
    </row>
    <row r="896">
      <c r="A896" s="38">
        <f>IF(M896="","",HYPERLINK("https://www.youtube.com/watch?v="&amp;M896,"▶"))</f>
        <v/>
      </c>
      <c r="B896" s="39">
        <f>IF(C896&lt;&gt;"",C896,IF(P896&lt;=IFERROR(INDEX(tblChannels[Watched Through],MATCH(N896,tblChannels[Channel ID],0)),0),"Watched","Unwatched"))</f>
        <v/>
      </c>
      <c r="C896" s="40" t="n"/>
      <c r="D896" s="41" t="n"/>
      <c r="E896" s="42" t="n">
        <v>45091.625</v>
      </c>
      <c r="F896" s="50" t="inlineStr">
        <is>
          <t>Super Carlin Brothers</t>
        </is>
      </c>
      <c r="G896" t="inlineStr">
        <is>
          <t>What If Neville Was The Chosen One - Part 4 | Harry Potter Film Theory</t>
        </is>
      </c>
      <c r="H896" s="44" t="n">
        <v>0.02282407407407407</v>
      </c>
      <c r="I896" s="45" t="n">
        <v>155523</v>
      </c>
      <c r="J896" s="45" t="n">
        <v>7401</v>
      </c>
      <c r="K896" s="45" t="n">
        <v>1055</v>
      </c>
      <c r="L896" s="46" t="n"/>
      <c r="M896" s="47" t="n"/>
      <c r="N896" s="47" t="inlineStr">
        <is>
          <t>UCKZo4N0lVPccBkSiuyVh4yg</t>
        </is>
      </c>
      <c r="O896" s="48" t="n">
        <v>45091.79166666666</v>
      </c>
      <c r="P896" s="49" t="n">
        <v>45091</v>
      </c>
      <c r="Q896" s="47" t="n">
        <v>2372</v>
      </c>
      <c r="R896" s="47" t="inlineStr">
        <is>
          <t>No Video ID yet</t>
        </is>
      </c>
      <c r="S896" s="49" t="n"/>
      <c r="T896" s="49" t="n"/>
      <c r="U896" s="47" t="inlineStr">
        <is>
          <t>Go to to get PayPal Honey for free. Today J dives back into the Wizarding World of Harry Potter to continue to answer the question: What If Neville Was The Chosen one instead of Harry? How will Neville handle the news that Harry’s been opening the chamber? Will Professor Quirrel ever find the chamber himself? Can both boys survive an encounter with Tom Riddle? Check out J &amp; Ben’s Commentary for the whole Neville series :: Join the Miles Managed Virtual Race! Org Code: WP97096 Miles Managed Merch ::</t>
        </is>
      </c>
      <c r="V896" s="47">
        <f>IF(AND(P896&gt;=Calendar!$K$2,P896&lt;EDATE(Calendar!$K$2,1),OR(Calendar!$K$4="*",N896=Calendar!$K$4)),P896*100+COUNTIFS($P$6:$P$3267,P896,$Q$6:$Q$3267,"&lt;="&amp;Q896,$N$6:$N$3267,Calendar!$K$4),"")</f>
        <v/>
      </c>
      <c r="W896" s="47">
        <f>IF(AND(B896=Queue!$C$4,OR(Queue!$K$4="*",N896=Queue!$K$4)),Q896,"")</f>
        <v/>
      </c>
    </row>
    <row r="897">
      <c r="A897" s="38">
        <f>IF(M897="","",HYPERLINK("https://www.youtube.com/watch?v="&amp;M897,"▶"))</f>
        <v/>
      </c>
      <c r="B897" s="39">
        <f>IF(C897&lt;&gt;"",C897,IF(P897&lt;=IFERROR(INDEX(tblChannels[Watched Through],MATCH(N897,tblChannels[Channel ID],0)),0),"Watched","Unwatched"))</f>
        <v/>
      </c>
      <c r="C897" s="40" t="n"/>
      <c r="D897" s="41" t="n"/>
      <c r="E897" s="42" t="n">
        <v>45087.625</v>
      </c>
      <c r="F897" s="52" t="inlineStr">
        <is>
          <t>Super Carlin Gaming</t>
        </is>
      </c>
      <c r="G897" t="inlineStr">
        <is>
          <t>An Absolutely Massive Box | Carlin Brothers Box Breakers S5E9</t>
        </is>
      </c>
      <c r="H897" s="44" t="n">
        <v>0.0344212962962963</v>
      </c>
      <c r="I897" s="45" t="n">
        <v>2112</v>
      </c>
      <c r="J897" s="45" t="n">
        <v>115</v>
      </c>
      <c r="K897" s="45" t="n">
        <v>11</v>
      </c>
      <c r="L897" s="46" t="n"/>
      <c r="M897" s="47" t="n"/>
      <c r="N897" s="47" t="inlineStr">
        <is>
          <t>UCor_9jRnNNZVzTuQ92PKsaQ</t>
        </is>
      </c>
      <c r="O897" s="48" t="n">
        <v>45087.79166666666</v>
      </c>
      <c r="P897" s="49" t="n">
        <v>45087</v>
      </c>
      <c r="Q897" s="47" t="n">
        <v>2371</v>
      </c>
      <c r="R897" s="47" t="inlineStr">
        <is>
          <t>No Video ID yet</t>
        </is>
      </c>
      <c r="S897" s="49" t="n"/>
      <c r="T897" s="49" t="n"/>
      <c r="U897" s="47" t="inlineStr">
        <is>
          <t>This week Scarlet and Violet gets CRAZY</t>
        </is>
      </c>
      <c r="V897" s="47">
        <f>IF(AND(P897&gt;=Calendar!$K$2,P897&lt;EDATE(Calendar!$K$2,1),OR(Calendar!$K$4="*",N897=Calendar!$K$4)),P897*100+COUNTIFS($P$6:$P$3267,P897,$Q$6:$Q$3267,"&lt;="&amp;Q897,$N$6:$N$3267,Calendar!$K$4),"")</f>
        <v/>
      </c>
      <c r="W897" s="47">
        <f>IF(AND(B897=Queue!$C$4,OR(Queue!$K$4="*",N897=Queue!$K$4)),Q897,"")</f>
        <v/>
      </c>
    </row>
    <row r="898">
      <c r="A898" s="38">
        <f>IF(M898="","",HYPERLINK("https://www.youtube.com/watch?v="&amp;M898,"▶"))</f>
        <v/>
      </c>
      <c r="B898" s="39">
        <f>IF(C898&lt;&gt;"",C898,IF(P898&lt;=IFERROR(INDEX(tblChannels[Watched Through],MATCH(N898,tblChannels[Channel ID],0)),0),"Watched","Unwatched"))</f>
        <v/>
      </c>
      <c r="C898" s="40" t="n"/>
      <c r="D898" s="41" t="n"/>
      <c r="E898" s="42" t="n">
        <v>45086.67986111111</v>
      </c>
      <c r="F898" s="50" t="inlineStr">
        <is>
          <t>Super Carlin Brothers</t>
        </is>
      </c>
      <c r="G898" t="inlineStr">
        <is>
          <t>What If Neville Was The Chosen One - Part 3 | Harry Potter Film Theory</t>
        </is>
      </c>
      <c r="H898" s="44" t="n">
        <v>0.01332175925925926</v>
      </c>
      <c r="I898" s="45" t="n">
        <v>167289</v>
      </c>
      <c r="J898" s="45" t="n">
        <v>7035</v>
      </c>
      <c r="K898" s="45" t="n">
        <v>556</v>
      </c>
      <c r="L898" s="46" t="n"/>
      <c r="M898" s="47" t="n"/>
      <c r="N898" s="47" t="inlineStr">
        <is>
          <t>UCKZo4N0lVPccBkSiuyVh4yg</t>
        </is>
      </c>
      <c r="O898" s="48" t="n">
        <v>45086.84652777778</v>
      </c>
      <c r="P898" s="49" t="n">
        <v>45086</v>
      </c>
      <c r="Q898" s="47" t="n">
        <v>2370</v>
      </c>
      <c r="R898" s="47" t="inlineStr">
        <is>
          <t>No Video ID yet</t>
        </is>
      </c>
      <c r="S898" s="49" t="n"/>
      <c r="T898" s="49" t="n"/>
      <c r="U898" s="47" t="inlineStr">
        <is>
          <t>Go to to get 25% off your first order. Today J dives back into the Wizarding World of Harry Potter to continue to answer the question: What If Neville Was The Chosen one instead of Harry? Who opened the Chamber? Will Neville be able to uncover its location and enter without the use of Parsel Tongue? Will Hagrid still be framed, will Dumbledore still be forced out of the school? Submit Fluffy art here! SecretCarlinBrothers@Gmail.com Join the Miles Managed Virtual Race! Org Code: WP97096 Miles Managed Merch ::</t>
        </is>
      </c>
      <c r="V898" s="47">
        <f>IF(AND(P898&gt;=Calendar!$K$2,P898&lt;EDATE(Calendar!$K$2,1),OR(Calendar!$K$4="*",N898=Calendar!$K$4)),P898*100+COUNTIFS($P$6:$P$3267,P898,$Q$6:$Q$3267,"&lt;="&amp;Q898,$N$6:$N$3267,Calendar!$K$4),"")</f>
        <v/>
      </c>
      <c r="W898" s="47">
        <f>IF(AND(B898=Queue!$C$4,OR(Queue!$K$4="*",N898=Queue!$K$4)),Q898,"")</f>
        <v/>
      </c>
    </row>
    <row r="899">
      <c r="A899" s="38">
        <f>IF(M899="","",HYPERLINK("https://www.youtube.com/watch?v="&amp;M899,"▶"))</f>
        <v/>
      </c>
      <c r="B899" s="39">
        <f>IF(C899&lt;&gt;"",C899,IF(P899&lt;=IFERROR(INDEX(tblChannels[Watched Through],MATCH(N899,tblChannels[Channel ID],0)),0),"Watched","Unwatched"))</f>
        <v/>
      </c>
      <c r="C899" s="40" t="n"/>
      <c r="D899" s="41" t="n"/>
      <c r="E899" s="42" t="n">
        <v>45086.41666666666</v>
      </c>
      <c r="F899" s="43" t="inlineStr">
        <is>
          <t>Popcorn Culture</t>
        </is>
      </c>
      <c r="G899" t="inlineStr">
        <is>
          <t>Garage Mahal | Popcorn Culture</t>
        </is>
      </c>
      <c r="H899" s="44" t="n">
        <v>0.04795138888888889</v>
      </c>
      <c r="I899" s="45" t="n">
        <v>4376</v>
      </c>
      <c r="J899" s="45" t="n">
        <v>224</v>
      </c>
      <c r="K899" s="45" t="n">
        <v>26</v>
      </c>
      <c r="L899" s="46" t="n"/>
      <c r="M899" s="47" t="n"/>
      <c r="N899" s="47" t="inlineStr">
        <is>
          <t>UCHfIbq9thHPC8yrKjAdJgDA</t>
        </is>
      </c>
      <c r="O899" s="48" t="n">
        <v>45086.58333333334</v>
      </c>
      <c r="P899" s="49" t="n">
        <v>45086</v>
      </c>
      <c r="Q899" s="47" t="n">
        <v>2369</v>
      </c>
      <c r="R899" s="47" t="inlineStr">
        <is>
          <t>No Video ID yet</t>
        </is>
      </c>
      <c r="S899" s="49" t="n"/>
      <c r="T899" s="49" t="n"/>
      <c r="U899" s="47" t="inlineStr">
        <is>
          <t>In the 183rd episode of the Pop, Ben and J discuss the luckiest man alive, Ted Lasso coming to an end, Miles Managed, furniture restoration, potentially installing a hot tub, and the overarching Pop narrative. Join the Miles Managed Virtual Race! Org Code: WP97096 Miles Managed Merch - Ted Lasso - The Fault in Our Stars - Game of Thrones - Hunger Games - Rugrats - SAT Shower Curtain Happily Never After And Can I Get A Hot Tub?! 00:00 - Cold Open, Intro, Radio Voice 11:10 - Ted Lasso Finale (no spoilers) 23:23 - Miles Managed and Home Renovations 47:48 - Hot Tub</t>
        </is>
      </c>
      <c r="V899" s="47">
        <f>IF(AND(P899&gt;=Calendar!$K$2,P899&lt;EDATE(Calendar!$K$2,1),OR(Calendar!$K$4="*",N899=Calendar!$K$4)),P899*100+COUNTIFS($P$6:$P$3267,P899,$Q$6:$Q$3267,"&lt;="&amp;Q899,$N$6:$N$3267,Calendar!$K$4),"")</f>
        <v/>
      </c>
      <c r="W899" s="47">
        <f>IF(AND(B899=Queue!$C$4,OR(Queue!$K$4="*",N899=Queue!$K$4)),Q899,"")</f>
        <v/>
      </c>
    </row>
    <row r="900">
      <c r="A900" s="38">
        <f>IF(M900="","",HYPERLINK("https://www.youtube.com/watch?v="&amp;M900,"▶"))</f>
        <v/>
      </c>
      <c r="B900" s="39">
        <f>IF(C900&lt;&gt;"",C900,IF(P900&lt;=IFERROR(INDEX(tblChannels[Watched Through],MATCH(N900,tblChannels[Channel ID],0)),0),"Watched","Unwatched"))</f>
        <v/>
      </c>
      <c r="C900" s="40" t="n"/>
      <c r="D900" s="41" t="n"/>
      <c r="E900" s="42" t="n">
        <v>45084.71527777778</v>
      </c>
      <c r="F900" s="50" t="inlineStr">
        <is>
          <t>Super Carlin Brothers</t>
        </is>
      </c>
      <c r="G900" t="inlineStr">
        <is>
          <t>J vs Ben: HARDEST Harry Potter Families Trivia Quiz EVER</t>
        </is>
      </c>
      <c r="H900" s="44" t="n">
        <v>0.02046296296296296</v>
      </c>
      <c r="I900" s="45" t="n">
        <v>195467</v>
      </c>
      <c r="J900" s="45" t="n">
        <v>6803</v>
      </c>
      <c r="K900" s="45" t="n">
        <v>684</v>
      </c>
      <c r="L900" s="46" t="n"/>
      <c r="M900" s="47" t="n"/>
      <c r="N900" s="47" t="inlineStr">
        <is>
          <t>UCKZo4N0lVPccBkSiuyVh4yg</t>
        </is>
      </c>
      <c r="O900" s="48" t="n">
        <v>45084.88194444445</v>
      </c>
      <c r="P900" s="49" t="n">
        <v>45084</v>
      </c>
      <c r="Q900" s="47" t="n">
        <v>2368</v>
      </c>
      <c r="R900" s="47" t="inlineStr">
        <is>
          <t>No Video ID yet</t>
        </is>
      </c>
      <c r="S900" s="49" t="n"/>
      <c r="T900" s="49" t="n"/>
      <c r="U900" s="47" t="inlineStr">
        <is>
          <t>Go to to get an extra 3 months free. Sign up for our Royal Candle Club for 25% off a monthly candle through December 2023 Under The Sea: Today J and Ben face off once more to find out who knows more about Harry Potter in the Wizarding World as they face off in the HARDEST Harry Potter families quiz EVER. Join the Miles Managed Virtual Race! Org Code: WP97096 Miles Managed Merch :: 02:56 - Q1: Which founder is the Gauntly family decedents of? 03:31 - Q2: Which is not Sirius's cousin? 05:14 - Q3: Which are not members of the Sacred 28? 06:26 - Q4: What is Molly's maiden name? 07:05 - Q5: Who was Delphi Diggory related to? 09:07 - Q6: Which family does Umbridge claim to be descended from? 09:42 - Q7: Who did Draco marry? 14:51 - Q8: Who of Harry's friends is Newt Scamander related to? 17:01 - Q9: Who are Molly's brothers? 17:33 - Q10: How is Susan Bones related to Amelia Bones? 19:37 - Q11: What's Dumbledore's mother's name? 20:18 - Q12: Who is Sirius's mother? 23:06 - Q13: Who is Leta ancestor? 25:05 - Q14: Who are Neville's parents? 26:07 - Q15: Who was Trelawney's ancestor?</t>
        </is>
      </c>
      <c r="V900" s="47">
        <f>IF(AND(P900&gt;=Calendar!$K$2,P900&lt;EDATE(Calendar!$K$2,1),OR(Calendar!$K$4="*",N900=Calendar!$K$4)),P900*100+COUNTIFS($P$6:$P$3267,P900,$Q$6:$Q$3267,"&lt;="&amp;Q900,$N$6:$N$3267,Calendar!$K$4),"")</f>
        <v/>
      </c>
      <c r="W900" s="47">
        <f>IF(AND(B900=Queue!$C$4,OR(Queue!$K$4="*",N900=Queue!$K$4)),Q900,"")</f>
        <v/>
      </c>
    </row>
    <row r="901">
      <c r="A901" s="38">
        <f>IF(M901="","",HYPERLINK("https://www.youtube.com/watch?v="&amp;M901,"▶"))</f>
        <v/>
      </c>
      <c r="B901" s="39">
        <f>IF(C901&lt;&gt;"",C901,IF(P901&lt;=IFERROR(INDEX(tblChannels[Watched Through],MATCH(N901,tblChannels[Channel ID],0)),0),"Watched","Unwatched"))</f>
        <v/>
      </c>
      <c r="C901" s="40" t="n"/>
      <c r="D901" s="41" t="n"/>
      <c r="E901" s="42" t="n">
        <v>45079.74930555555</v>
      </c>
      <c r="F901" s="50" t="inlineStr">
        <is>
          <t>Super Carlin Brothers</t>
        </is>
      </c>
      <c r="G901" t="inlineStr">
        <is>
          <t>Top 5 PRE Deathly Hallows Fan Theories | Harry Potter Film Theory</t>
        </is>
      </c>
      <c r="H901" s="44" t="n">
        <v>0.01596064814814815</v>
      </c>
      <c r="I901" s="45" t="n">
        <v>262641</v>
      </c>
      <c r="J901" s="45" t="n">
        <v>9269</v>
      </c>
      <c r="K901" s="45" t="n">
        <v>617</v>
      </c>
      <c r="L901" s="46" t="n"/>
      <c r="M901" s="47" t="n"/>
      <c r="N901" s="47" t="inlineStr">
        <is>
          <t>UCKZo4N0lVPccBkSiuyVh4yg</t>
        </is>
      </c>
      <c r="O901" s="48" t="n">
        <v>45079.91597222222</v>
      </c>
      <c r="P901" s="49" t="n">
        <v>45079</v>
      </c>
      <c r="Q901" s="47" t="n">
        <v>2367</v>
      </c>
      <c r="R901" s="47" t="inlineStr">
        <is>
          <t>No Video ID yet</t>
        </is>
      </c>
      <c r="S901" s="49" t="n"/>
      <c r="T901" s="49" t="n"/>
      <c r="U901" s="47" t="inlineStr">
        <is>
          <t>Go to and use code SUPER to get free shipping on your goodr order. Today Ben dives back into the Wizarding World to relive the excitement of July 2007 and the weeks leading up to the release of Harry Potter and the Deathly Hallows and all the wild and crazy fan theories that were circulating about how it would all end! Join the Miles Managed Virtual Race! Org Code: WP97096 Miles Managed Merch ::</t>
        </is>
      </c>
      <c r="V901" s="47">
        <f>IF(AND(P901&gt;=Calendar!$K$2,P901&lt;EDATE(Calendar!$K$2,1),OR(Calendar!$K$4="*",N901=Calendar!$K$4)),P901*100+COUNTIFS($P$6:$P$3267,P901,$Q$6:$Q$3267,"&lt;="&amp;Q901,$N$6:$N$3267,Calendar!$K$4),"")</f>
        <v/>
      </c>
      <c r="W901" s="47">
        <f>IF(AND(B901=Queue!$C$4,OR(Queue!$K$4="*",N901=Queue!$K$4)),Q901,"")</f>
        <v/>
      </c>
    </row>
    <row r="902">
      <c r="A902" s="38">
        <f>IF(M902="","",HYPERLINK("https://www.youtube.com/watch?v="&amp;M902,"▶"))</f>
        <v/>
      </c>
      <c r="B902" s="39">
        <f>IF(C902&lt;&gt;"",C902,IF(P902&lt;=IFERROR(INDEX(tblChannels[Watched Through],MATCH(N902,tblChannels[Channel ID],0)),0),"Watched","Unwatched"))</f>
        <v/>
      </c>
      <c r="C902" s="40" t="n"/>
      <c r="D902" s="41" t="n"/>
      <c r="E902" s="42" t="n">
        <v>45079.41666666666</v>
      </c>
      <c r="F902" s="43" t="inlineStr">
        <is>
          <t>Popcorn Culture</t>
        </is>
      </c>
      <c r="G902" t="inlineStr">
        <is>
          <t>Fad vs. Future | Popcorn Culture</t>
        </is>
      </c>
      <c r="H902" s="44" t="n">
        <v>0.05184027777777778</v>
      </c>
      <c r="I902" s="45" t="n">
        <v>5049</v>
      </c>
      <c r="J902" s="45" t="n">
        <v>235</v>
      </c>
      <c r="K902" s="45" t="n">
        <v>33</v>
      </c>
      <c r="L902" s="46" t="n"/>
      <c r="M902" s="47" t="n"/>
      <c r="N902" s="47" t="inlineStr">
        <is>
          <t>UCHfIbq9thHPC8yrKjAdJgDA</t>
        </is>
      </c>
      <c r="O902" s="48" t="n">
        <v>45079.58333333334</v>
      </c>
      <c r="P902" s="49" t="n">
        <v>45079</v>
      </c>
      <c r="Q902" s="47" t="n">
        <v>2366</v>
      </c>
      <c r="R902" s="47" t="inlineStr">
        <is>
          <t>No Video ID yet</t>
        </is>
      </c>
      <c r="S902" s="49" t="n"/>
      <c r="T902" s="49" t="n"/>
      <c r="U902" s="47" t="inlineStr">
        <is>
          <t>In the 182nd episode of the Pop, Ben and J discuss mean Ben, one-upmanship, fads or future, free services switching to paid, potty training the twins, Finding Nemo turning 20, and the annual family beach trip Join the Miles Managed Virtual Race! Org Code: WP97096 Miles Managed Merch - Finding Nemo - That Thing You Do - Millennials Love Neutral Chaos Classic Dilluminati Potty Training Boot Camp Dod Dod 00:00 - Intro, Ken Barlin 06:22 - Fad or Future 49:50 - Potty Training Boot Camp 1:07:17 - Weird Passage of Time</t>
        </is>
      </c>
      <c r="V902" s="47">
        <f>IF(AND(P902&gt;=Calendar!$K$2,P902&lt;EDATE(Calendar!$K$2,1),OR(Calendar!$K$4="*",N902=Calendar!$K$4)),P902*100+COUNTIFS($P$6:$P$3267,P902,$Q$6:$Q$3267,"&lt;="&amp;Q902,$N$6:$N$3267,Calendar!$K$4),"")</f>
        <v/>
      </c>
      <c r="W902" s="47">
        <f>IF(AND(B902=Queue!$C$4,OR(Queue!$K$4="*",N902=Queue!$K$4)),Q902,"")</f>
        <v/>
      </c>
    </row>
    <row r="903">
      <c r="A903" s="38">
        <f>IF(M903="","",HYPERLINK("https://www.youtube.com/watch?v="&amp;M903,"▶"))</f>
        <v/>
      </c>
      <c r="B903" s="39">
        <f>IF(C903&lt;&gt;"",C903,IF(P903&lt;=IFERROR(INDEX(tblChannels[Watched Through],MATCH(N903,tblChannels[Channel ID],0)),0),"Watched","Unwatched"))</f>
        <v/>
      </c>
      <c r="C903" s="40" t="n"/>
      <c r="D903" s="41" t="n"/>
      <c r="E903" s="42" t="n">
        <v>45078.68333333333</v>
      </c>
      <c r="F903" s="50" t="inlineStr">
        <is>
          <t>Super Carlin Brothers</t>
        </is>
      </c>
      <c r="G903" t="inlineStr">
        <is>
          <t>What If Neville Was The Chosen One - Part 2 | Harry Potter Film Theory</t>
        </is>
      </c>
      <c r="H903" s="44" t="n">
        <v>0.01980324074074074</v>
      </c>
      <c r="I903" s="45" t="n">
        <v>233610</v>
      </c>
      <c r="J903" s="45" t="n">
        <v>8963</v>
      </c>
      <c r="K903" s="45" t="n">
        <v>1299</v>
      </c>
      <c r="L903" s="46" t="n"/>
      <c r="M903" s="47" t="n"/>
      <c r="N903" s="47" t="inlineStr">
        <is>
          <t>UCKZo4N0lVPccBkSiuyVh4yg</t>
        </is>
      </c>
      <c r="O903" s="48" t="n">
        <v>45078.85</v>
      </c>
      <c r="P903" s="49" t="n">
        <v>45078</v>
      </c>
      <c r="Q903" s="47" t="n">
        <v>2365</v>
      </c>
      <c r="R903" s="47" t="inlineStr">
        <is>
          <t>No Video ID yet</t>
        </is>
      </c>
      <c r="S903" s="49" t="n"/>
      <c r="T903" s="49" t="n"/>
      <c r="U903" s="47" t="inlineStr">
        <is>
          <t>Today J dives back into the Wizarding World to continue asking the question: What If Neville Was the Chosen One! How will Voldemort attack him now that he’s attending school? What will an 11 year old Harry be like after being raised by Sirius? Join the Miles Managed Virtual Race! Org Code: WP97096 Miles Managed Merch ::</t>
        </is>
      </c>
      <c r="V903" s="47">
        <f>IF(AND(P903&gt;=Calendar!$K$2,P903&lt;EDATE(Calendar!$K$2,1),OR(Calendar!$K$4="*",N903=Calendar!$K$4)),P903*100+COUNTIFS($P$6:$P$3267,P903,$Q$6:$Q$3267,"&lt;="&amp;Q903,$N$6:$N$3267,Calendar!$K$4),"")</f>
        <v/>
      </c>
      <c r="W903" s="47">
        <f>IF(AND(B903=Queue!$C$4,OR(Queue!$K$4="*",N903=Queue!$K$4)),Q903,"")</f>
        <v/>
      </c>
    </row>
    <row r="904">
      <c r="A904" s="38">
        <f>IF(M904="","",HYPERLINK("https://www.youtube.com/watch?v="&amp;M904,"▶"))</f>
        <v/>
      </c>
      <c r="B904" s="39">
        <f>IF(C904&lt;&gt;"",C904,IF(P904&lt;=IFERROR(INDEX(tblChannels[Watched Through],MATCH(N904,tblChannels[Channel ID],0)),0),"Watched","Unwatched"))</f>
        <v/>
      </c>
      <c r="C904" s="40" t="n"/>
      <c r="D904" s="41" t="n"/>
      <c r="E904" s="42" t="n">
        <v>45072.80277777778</v>
      </c>
      <c r="F904" s="50" t="inlineStr">
        <is>
          <t>Super Carlin Brothers</t>
        </is>
      </c>
      <c r="G904" t="inlineStr">
        <is>
          <t>J vs Ben: ULTIMATE Harry Potter Prank Trivia Quiz | WHEEL OF PUNISHMENT</t>
        </is>
      </c>
      <c r="H904" s="44" t="n">
        <v>0.02825231481481481</v>
      </c>
      <c r="I904" s="45" t="n">
        <v>223141</v>
      </c>
      <c r="J904" s="45" t="n">
        <v>7864</v>
      </c>
      <c r="K904" s="45" t="n">
        <v>574</v>
      </c>
      <c r="L904" s="46" t="n"/>
      <c r="M904" s="47" t="n"/>
      <c r="N904" s="47" t="inlineStr">
        <is>
          <t>UCKZo4N0lVPccBkSiuyVh4yg</t>
        </is>
      </c>
      <c r="O904" s="48" t="n">
        <v>45072.96944444445</v>
      </c>
      <c r="P904" s="49" t="n">
        <v>45072</v>
      </c>
      <c r="Q904" s="47" t="n">
        <v>2364</v>
      </c>
      <c r="R904" s="47" t="inlineStr">
        <is>
          <t>No Video ID yet</t>
        </is>
      </c>
      <c r="S904" s="49" t="n"/>
      <c r="T904" s="49" t="n"/>
      <c r="U904" s="47" t="inlineStr">
        <is>
          <t>Go to to get 25% off your first order and free standard shipping. Today J and Ben face off once more to find out who know’s more about all of the various PRANKS in the Wizarding World, BUT if they get any questions wrong at all… they must spin the WHEEL OF PUNISHMENT! Join the Miles Managed Virtual Race! Org Code: WP97096 Miles Managed Merch :: Play along with us! :: 02:34 - Q1: What did Fred and George turn Ron's teddy bear into? 03:22 - Q2: Who gave Dudley a pig tail? 04:23 - Q3: What spell makes gum attack Peeves? 05:50 - Q4: What did the twins send Harry in the hospital wing? 10:17 - Q5: Who tricked Snape into going through the Whomping Willow? 11:58 - Q6: What fake spells did Harry "use" on Dudley? 17:30 - Q7: What did Peeves drop on students heads? 18:32 - Q8: Which student turned into a canary? 21:46 - Q9: What color are the twins firework dragons? 28:51 - Q10: Which Slytherin didn't fake attack Harry as a dementor? 30:31 - Q11: Who put nifflers in Umbridge's office 30:56 - Q12: What disease did students pretend to catch from Umbridge? 31:20 - Q13: What did Harry pretend to put Felix Felicis in? 31:51 - Q14: What did Peeves use to chase Umbridge out of Hogwarts? 34:59 - Q15:</t>
        </is>
      </c>
      <c r="V904" s="47">
        <f>IF(AND(P904&gt;=Calendar!$K$2,P904&lt;EDATE(Calendar!$K$2,1),OR(Calendar!$K$4="*",N904=Calendar!$K$4)),P904*100+COUNTIFS($P$6:$P$3267,P904,$Q$6:$Q$3267,"&lt;="&amp;Q904,$N$6:$N$3267,Calendar!$K$4),"")</f>
        <v/>
      </c>
      <c r="W904" s="47">
        <f>IF(AND(B904=Queue!$C$4,OR(Queue!$K$4="*",N904=Queue!$K$4)),Q904,"")</f>
        <v/>
      </c>
    </row>
    <row r="905">
      <c r="A905" s="38">
        <f>IF(M905="","",HYPERLINK("https://www.youtube.com/watch?v="&amp;M905,"▶"))</f>
        <v/>
      </c>
      <c r="B905" s="39">
        <f>IF(C905&lt;&gt;"",C905,IF(P905&lt;=IFERROR(INDEX(tblChannels[Watched Through],MATCH(N905,tblChannels[Channel ID],0)),0),"Watched","Unwatched"))</f>
        <v/>
      </c>
      <c r="C905" s="40" t="n"/>
      <c r="D905" s="41" t="n"/>
      <c r="E905" s="42" t="n">
        <v>45072.79166666666</v>
      </c>
      <c r="F905" s="52" t="inlineStr">
        <is>
          <t>Super Carlin Gaming</t>
        </is>
      </c>
      <c r="G905" t="inlineStr">
        <is>
          <t>Pokemon Paldea Evolved EARLY ACCESS Unboxing</t>
        </is>
      </c>
      <c r="H905" s="44" t="n">
        <v>0.03818287037037037</v>
      </c>
      <c r="I905" s="45" t="n">
        <v>3471</v>
      </c>
      <c r="J905" s="45" t="n">
        <v>158</v>
      </c>
      <c r="K905" s="45" t="n">
        <v>13</v>
      </c>
      <c r="L905" s="46" t="n"/>
      <c r="M905" s="47" t="n"/>
      <c r="N905" s="47" t="inlineStr">
        <is>
          <t>UCor_9jRnNNZVzTuQ92PKsaQ</t>
        </is>
      </c>
      <c r="O905" s="48" t="n">
        <v>45072.95833333334</v>
      </c>
      <c r="P905" s="49" t="n">
        <v>45072</v>
      </c>
      <c r="Q905" s="47" t="n">
        <v>2363</v>
      </c>
      <c r="R905" s="47" t="inlineStr">
        <is>
          <t>No Video ID yet</t>
        </is>
      </c>
      <c r="S905" s="49" t="n"/>
      <c r="T905" s="49" t="n"/>
      <c r="U905" s="47" t="inlineStr">
        <is>
          <t>In this SPECIAL EDITION of Box Breakers we get EARLY ACCESS to the brand new Paldea Evolved booster boxes!! Check this one out!</t>
        </is>
      </c>
      <c r="V905" s="47">
        <f>IF(AND(P905&gt;=Calendar!$K$2,P905&lt;EDATE(Calendar!$K$2,1),OR(Calendar!$K$4="*",N905=Calendar!$K$4)),P905*100+COUNTIFS($P$6:$P$3267,P905,$Q$6:$Q$3267,"&lt;="&amp;Q905,$N$6:$N$3267,Calendar!$K$4),"")</f>
        <v/>
      </c>
      <c r="W905" s="47">
        <f>IF(AND(B905=Queue!$C$4,OR(Queue!$K$4="*",N905=Queue!$K$4)),Q905,"")</f>
        <v/>
      </c>
    </row>
    <row r="906">
      <c r="A906" s="38">
        <f>IF(M906="","",HYPERLINK("https://www.youtube.com/watch?v="&amp;M906,"▶"))</f>
        <v/>
      </c>
      <c r="B906" s="39">
        <f>IF(C906&lt;&gt;"",C906,IF(P906&lt;=IFERROR(INDEX(tblChannels[Watched Through],MATCH(N906,tblChannels[Channel ID],0)),0),"Watched","Unwatched"))</f>
        <v/>
      </c>
      <c r="C906" s="40" t="n"/>
      <c r="D906" s="41" t="n"/>
      <c r="E906" s="42" t="n">
        <v>45072.41666666666</v>
      </c>
      <c r="F906" s="43" t="inlineStr">
        <is>
          <t>Popcorn Culture</t>
        </is>
      </c>
      <c r="G906" t="inlineStr">
        <is>
          <t>Diaper Hobby | Popcorn Culture</t>
        </is>
      </c>
      <c r="H906" s="44" t="n">
        <v>0.04809027777777778</v>
      </c>
      <c r="I906" s="45" t="n">
        <v>4439</v>
      </c>
      <c r="J906" s="45" t="n">
        <v>225</v>
      </c>
      <c r="K906" s="45" t="n">
        <v>29</v>
      </c>
      <c r="L906" s="46" t="n"/>
      <c r="M906" s="47" t="n"/>
      <c r="N906" s="47" t="inlineStr">
        <is>
          <t>UCHfIbq9thHPC8yrKjAdJgDA</t>
        </is>
      </c>
      <c r="O906" s="48" t="n">
        <v>45072.58333333334</v>
      </c>
      <c r="P906" s="49" t="n">
        <v>45072</v>
      </c>
      <c r="Q906" s="47" t="n">
        <v>2362</v>
      </c>
      <c r="R906" s="47" t="inlineStr">
        <is>
          <t>No Video ID yet</t>
        </is>
      </c>
      <c r="S906" s="49" t="n"/>
      <c r="T906" s="49" t="n"/>
      <c r="U906" s="47" t="inlineStr">
        <is>
          <t>In the 181st episode of the Pop, Ben and J discuss utopias, sportsmanship, J using a chainsaw for the first time, the last run, J’s various weekend projects, poopy diapers, Miles Managed, not liking the same things (and why that’s completely okay!), That Thing You Do, and light vs. dark. Join the Miles Managed Virtual Race! Org Code: WP97096 Miles Managed Merch - Hunger Games - WALL-E - Hogwarts Exact Location Video - That Thing You Do - J Hates Utopias Contextualizing Failure Last Run Energy Rock(Climbing) Star Shower When It Rains 00:00 - Intro, Atoms 02:28 - Utopias 08:49 - Chainsaws 24:00 - Weekend of Projects 35:40 - New Step Comp for EVERYONE! 41:04 - Little Kernel Feedback 55:50 - Shower Thoughts</t>
        </is>
      </c>
      <c r="V906" s="47">
        <f>IF(AND(P906&gt;=Calendar!$K$2,P906&lt;EDATE(Calendar!$K$2,1),OR(Calendar!$K$4="*",N906=Calendar!$K$4)),P906*100+COUNTIFS($P$6:$P$3267,P906,$Q$6:$Q$3267,"&lt;="&amp;Q906,$N$6:$N$3267,Calendar!$K$4),"")</f>
        <v/>
      </c>
      <c r="W906" s="47">
        <f>IF(AND(B906=Queue!$C$4,OR(Queue!$K$4="*",N906=Queue!$K$4)),Q906,"")</f>
        <v/>
      </c>
    </row>
    <row r="907">
      <c r="A907" s="38">
        <f>IF(M907="","",HYPERLINK("https://www.youtube.com/watch?v="&amp;M907,"▶"))</f>
        <v/>
      </c>
      <c r="B907" s="39">
        <f>IF(C907&lt;&gt;"",C907,IF(P907&lt;=IFERROR(INDEX(tblChannels[Watched Through],MATCH(N907,tblChannels[Channel ID],0)),0),"Watched","Unwatched"))</f>
        <v/>
      </c>
      <c r="C907" s="40" t="n"/>
      <c r="D907" s="41" t="n"/>
      <c r="E907" s="42" t="n">
        <v>45071.79166666666</v>
      </c>
      <c r="F907" s="52" t="inlineStr">
        <is>
          <t>Super Carlin Gaming</t>
        </is>
      </c>
      <c r="G907" t="inlineStr">
        <is>
          <t>It's About Family | Carlin Brothers Box Breakers S5E8</t>
        </is>
      </c>
      <c r="H907" s="44" t="n">
        <v>0.03184027777777778</v>
      </c>
      <c r="I907" s="45" t="n">
        <v>1878</v>
      </c>
      <c r="J907" s="45" t="n">
        <v>101</v>
      </c>
      <c r="K907" s="45" t="n">
        <v>7</v>
      </c>
      <c r="L907" s="46" t="n"/>
      <c r="M907" s="47" t="n"/>
      <c r="N907" s="47" t="inlineStr">
        <is>
          <t>UCor_9jRnNNZVzTuQ92PKsaQ</t>
        </is>
      </c>
      <c r="O907" s="48" t="n">
        <v>45071.95833333334</v>
      </c>
      <c r="P907" s="49" t="n">
        <v>45071</v>
      </c>
      <c r="Q907" s="47" t="n">
        <v>2361</v>
      </c>
      <c r="R907" s="47" t="inlineStr">
        <is>
          <t>No Video ID yet</t>
        </is>
      </c>
      <c r="S907" s="49" t="n"/>
      <c r="T907" s="49" t="n"/>
      <c r="U907" s="47" t="inlineStr">
        <is>
          <t>This week Scarlet And Violet GOES FOR LAST</t>
        </is>
      </c>
      <c r="V907" s="47">
        <f>IF(AND(P907&gt;=Calendar!$K$2,P907&lt;EDATE(Calendar!$K$2,1),OR(Calendar!$K$4="*",N907=Calendar!$K$4)),P907*100+COUNTIFS($P$6:$P$3267,P907,$Q$6:$Q$3267,"&lt;="&amp;Q907,$N$6:$N$3267,Calendar!$K$4),"")</f>
        <v/>
      </c>
      <c r="W907" s="47">
        <f>IF(AND(B907=Queue!$C$4,OR(Queue!$K$4="*",N907=Queue!$K$4)),Q907,"")</f>
        <v/>
      </c>
    </row>
    <row r="908">
      <c r="A908" s="38">
        <f>IF(M908="","",HYPERLINK("https://www.youtube.com/watch?v="&amp;M908,"▶"))</f>
        <v/>
      </c>
      <c r="B908" s="39">
        <f>IF(C908&lt;&gt;"",C908,IF(P908&lt;=IFERROR(INDEX(tblChannels[Watched Through],MATCH(N908,tblChannels[Channel ID],0)),0),"Watched","Unwatched"))</f>
        <v/>
      </c>
      <c r="C908" s="40" t="n"/>
      <c r="D908" s="41" t="n"/>
      <c r="E908" s="42" t="n">
        <v>45070.625</v>
      </c>
      <c r="F908" s="50" t="inlineStr">
        <is>
          <t>Super Carlin Brothers</t>
        </is>
      </c>
      <c r="G908" t="inlineStr">
        <is>
          <t>What If Neville Was The Chosen One | Harry Potter Film Theory</t>
        </is>
      </c>
      <c r="H908" s="44" t="n">
        <v>0.01328703703703704</v>
      </c>
      <c r="I908" s="45" t="n">
        <v>321343</v>
      </c>
      <c r="J908" s="45" t="n">
        <v>11706</v>
      </c>
      <c r="K908" s="45" t="n">
        <v>889</v>
      </c>
      <c r="L908" s="46" t="n"/>
      <c r="M908" s="47" t="n"/>
      <c r="N908" s="47" t="inlineStr">
        <is>
          <t>UCKZo4N0lVPccBkSiuyVh4yg</t>
        </is>
      </c>
      <c r="O908" s="48" t="n">
        <v>45070.79166666666</v>
      </c>
      <c r="P908" s="49" t="n">
        <v>45070</v>
      </c>
      <c r="Q908" s="47" t="n">
        <v>2360</v>
      </c>
      <c r="R908" s="47" t="inlineStr">
        <is>
          <t>No Video ID yet</t>
        </is>
      </c>
      <c r="S908" s="49" t="n"/>
      <c r="T908" s="49" t="n"/>
      <c r="U908" s="47" t="inlineStr">
        <is>
          <t>Go to and use code super50 to get 50% off your first box. Today J dives into the Wizarding World of Harry Potter to answer our most requested What If EVER: What If Neville Was the Chosen One! What if Voldemort chose Neville over Harry? Join the Miles Managed Virtual Race! Org Code: WP97096 Miles Managed Merch ::</t>
        </is>
      </c>
      <c r="V908" s="47">
        <f>IF(AND(P908&gt;=Calendar!$K$2,P908&lt;EDATE(Calendar!$K$2,1),OR(Calendar!$K$4="*",N908=Calendar!$K$4)),P908*100+COUNTIFS($P$6:$P$3267,P908,$Q$6:$Q$3267,"&lt;="&amp;Q908,$N$6:$N$3267,Calendar!$K$4),"")</f>
        <v/>
      </c>
      <c r="W908" s="47">
        <f>IF(AND(B908=Queue!$C$4,OR(Queue!$K$4="*",N908=Queue!$K$4)),Q908,"")</f>
        <v/>
      </c>
    </row>
    <row r="909">
      <c r="A909" s="38">
        <f>IF(M909="","",HYPERLINK("https://www.youtube.com/watch?v="&amp;M909,"▶"))</f>
        <v/>
      </c>
      <c r="B909" s="39">
        <f>IF(C909&lt;&gt;"",C909,IF(P909&lt;=IFERROR(INDEX(tblChannels[Watched Through],MATCH(N909,tblChannels[Channel ID],0)),0),"Watched","Unwatched"))</f>
        <v/>
      </c>
      <c r="C909" s="40" t="n"/>
      <c r="D909" s="41" t="n"/>
      <c r="E909" s="42" t="n">
        <v>45065.71944444445</v>
      </c>
      <c r="F909" s="50" t="inlineStr">
        <is>
          <t>Super Carlin Brothers</t>
        </is>
      </c>
      <c r="G909" t="inlineStr">
        <is>
          <t>Top 5 WORST Harry Potter Theories EVER | Harry Potter Film Theory</t>
        </is>
      </c>
      <c r="H909" s="44" t="n">
        <v>0.0131712962962963</v>
      </c>
      <c r="I909" s="45" t="n">
        <v>509464</v>
      </c>
      <c r="J909" s="45" t="n">
        <v>15699</v>
      </c>
      <c r="K909" s="45" t="n">
        <v>1212</v>
      </c>
      <c r="L909" s="46" t="n"/>
      <c r="M909" s="47" t="n"/>
      <c r="N909" s="47" t="inlineStr">
        <is>
          <t>UCKZo4N0lVPccBkSiuyVh4yg</t>
        </is>
      </c>
      <c r="O909" s="48" t="n">
        <v>45065.88611111111</v>
      </c>
      <c r="P909" s="49" t="n">
        <v>45065</v>
      </c>
      <c r="Q909" s="47" t="n">
        <v>2359</v>
      </c>
      <c r="R909" s="47" t="inlineStr">
        <is>
          <t>No Video ID yet</t>
        </is>
      </c>
      <c r="S909" s="49" t="n"/>
      <c r="T909" s="49" t="n"/>
      <c r="U909" s="47" t="inlineStr">
        <is>
          <t>Go to to get PayPal Honey for free. Today Ben dives into the Wizarding World of Harry Potter countdown the Top 5 WORST Harry Potter Theories of all time - Yes at least one of them is ours… Join Miles Managed :: Org Code: WP97096 Miles Managed Merch ::</t>
        </is>
      </c>
      <c r="V909" s="47">
        <f>IF(AND(P909&gt;=Calendar!$K$2,P909&lt;EDATE(Calendar!$K$2,1),OR(Calendar!$K$4="*",N909=Calendar!$K$4)),P909*100+COUNTIFS($P$6:$P$3267,P909,$Q$6:$Q$3267,"&lt;="&amp;Q909,$N$6:$N$3267,Calendar!$K$4),"")</f>
        <v/>
      </c>
      <c r="W909" s="47">
        <f>IF(AND(B909=Queue!$C$4,OR(Queue!$K$4="*",N909=Queue!$K$4)),Q909,"")</f>
        <v/>
      </c>
    </row>
    <row r="910">
      <c r="A910" s="38">
        <f>IF(M910="","",HYPERLINK("https://www.youtube.com/watch?v="&amp;M910,"▶"))</f>
        <v/>
      </c>
      <c r="B910" s="39">
        <f>IF(C910&lt;&gt;"",C910,IF(P910&lt;=IFERROR(INDEX(tblChannels[Watched Through],MATCH(N910,tblChannels[Channel ID],0)),0),"Watched","Unwatched"))</f>
        <v/>
      </c>
      <c r="C910" s="40" t="n"/>
      <c r="D910" s="41" t="n"/>
      <c r="E910" s="42" t="n">
        <v>45065.41666666666</v>
      </c>
      <c r="F910" s="43" t="inlineStr">
        <is>
          <t>Popcorn Culture</t>
        </is>
      </c>
      <c r="G910" t="inlineStr">
        <is>
          <t>Bursting with Pants | Popcorn Culture</t>
        </is>
      </c>
      <c r="H910" s="44" t="n">
        <v>0.04545138888888889</v>
      </c>
      <c r="I910" s="45" t="n">
        <v>4350</v>
      </c>
      <c r="J910" s="45" t="n">
        <v>227</v>
      </c>
      <c r="K910" s="45" t="n">
        <v>17</v>
      </c>
      <c r="L910" s="46" t="n"/>
      <c r="M910" s="47" t="n"/>
      <c r="N910" s="47" t="inlineStr">
        <is>
          <t>UCHfIbq9thHPC8yrKjAdJgDA</t>
        </is>
      </c>
      <c r="O910" s="48" t="n">
        <v>45065.58333333334</v>
      </c>
      <c r="P910" s="49" t="n">
        <v>45065</v>
      </c>
      <c r="Q910" s="47" t="n">
        <v>2358</v>
      </c>
      <c r="R910" s="47" t="inlineStr">
        <is>
          <t>No Video ID yet</t>
        </is>
      </c>
      <c r="S910" s="49" t="n"/>
      <c r="T910" s="49" t="n"/>
      <c r="U910" s="47" t="inlineStr">
        <is>
          <t>In the 180th episode of the pop, Ben and J discuss pants, the deal with the numbers, chaotic good, Hunger Games Easter eggs, a fence around the garden, people who became Olympians, and the creativity and analytic overlap. Join the Step Competition! - Org Code: WP97096 The Hunger Games - The Fledgling in the Room Chaotic Lawful Holy Bucks!! The Lord of the Forest 00:00 - Intro, J’s Excess of Pants 04:20 - The Numbers Background 30:54 - J’s Garden Fence 52:58 - Olympians</t>
        </is>
      </c>
      <c r="V910" s="47">
        <f>IF(AND(P910&gt;=Calendar!$K$2,P910&lt;EDATE(Calendar!$K$2,1),OR(Calendar!$K$4="*",N910=Calendar!$K$4)),P910*100+COUNTIFS($P$6:$P$3267,P910,$Q$6:$Q$3267,"&lt;="&amp;Q910,$N$6:$N$3267,Calendar!$K$4),"")</f>
        <v/>
      </c>
      <c r="W910" s="47">
        <f>IF(AND(B910=Queue!$C$4,OR(Queue!$K$4="*",N910=Queue!$K$4)),Q910,"")</f>
        <v/>
      </c>
    </row>
    <row r="911">
      <c r="A911" s="38">
        <f>IF(M911="","",HYPERLINK("https://www.youtube.com/watch?v="&amp;M911,"▶"))</f>
        <v/>
      </c>
      <c r="B911" s="39">
        <f>IF(C911&lt;&gt;"",C911,IF(P911&lt;=IFERROR(INDEX(tblChannels[Watched Through],MATCH(N911,tblChannels[Channel ID],0)),0),"Watched","Unwatched"))</f>
        <v/>
      </c>
      <c r="C911" s="40" t="n"/>
      <c r="D911" s="41" t="n"/>
      <c r="E911" s="42" t="n">
        <v>45064.77083333334</v>
      </c>
      <c r="F911" s="52" t="inlineStr">
        <is>
          <t>Super Carlin Gaming</t>
        </is>
      </c>
      <c r="G911" t="inlineStr">
        <is>
          <t>The Race To The Bottom Begins | Carlin Brothers Box Breakers S5E7</t>
        </is>
      </c>
      <c r="H911" s="44" t="n">
        <v>0.03153935185185185</v>
      </c>
      <c r="I911" s="45" t="n">
        <v>1825</v>
      </c>
      <c r="J911" s="45" t="n">
        <v>110</v>
      </c>
      <c r="K911" s="45" t="n">
        <v>17</v>
      </c>
      <c r="L911" s="46" t="n"/>
      <c r="M911" s="47" t="n"/>
      <c r="N911" s="47" t="inlineStr">
        <is>
          <t>UCor_9jRnNNZVzTuQ92PKsaQ</t>
        </is>
      </c>
      <c r="O911" s="48" t="n">
        <v>45064.9375</v>
      </c>
      <c r="P911" s="49" t="n">
        <v>45064</v>
      </c>
      <c r="Q911" s="47" t="n">
        <v>2357</v>
      </c>
      <c r="R911" s="47" t="inlineStr">
        <is>
          <t>No Video ID yet</t>
        </is>
      </c>
      <c r="S911" s="49" t="n"/>
      <c r="T911" s="49" t="n"/>
      <c r="U911" s="47" t="inlineStr">
        <is>
          <t>This week Scarlet And Violet GOES FOR LAST</t>
        </is>
      </c>
      <c r="V911" s="47">
        <f>IF(AND(P911&gt;=Calendar!$K$2,P911&lt;EDATE(Calendar!$K$2,1),OR(Calendar!$K$4="*",N911=Calendar!$K$4)),P911*100+COUNTIFS($P$6:$P$3267,P911,$Q$6:$Q$3267,"&lt;="&amp;Q911,$N$6:$N$3267,Calendar!$K$4),"")</f>
        <v/>
      </c>
      <c r="W911" s="47">
        <f>IF(AND(B911=Queue!$C$4,OR(Queue!$K$4="*",N911=Queue!$K$4)),Q911,"")</f>
        <v/>
      </c>
    </row>
    <row r="912">
      <c r="A912" s="38">
        <f>IF(M912="","",HYPERLINK("https://www.youtube.com/watch?v="&amp;M912,"▶"))</f>
        <v/>
      </c>
      <c r="B912" s="39">
        <f>IF(C912&lt;&gt;"",C912,IF(P912&lt;=IFERROR(INDEX(tblChannels[Watched Through],MATCH(N912,tblChannels[Channel ID],0)),0),"Watched","Unwatched"))</f>
        <v/>
      </c>
      <c r="C912" s="40" t="n"/>
      <c r="D912" s="41" t="n"/>
      <c r="E912" s="42" t="n">
        <v>45063.71111111111</v>
      </c>
      <c r="F912" s="50" t="inlineStr">
        <is>
          <t>Super Carlin Brothers</t>
        </is>
      </c>
      <c r="G912" t="inlineStr">
        <is>
          <t>Who Created The UNFORGIVABLE Curses</t>
        </is>
      </c>
      <c r="H912" s="44" t="n">
        <v>0.01292824074074074</v>
      </c>
      <c r="I912" s="45" t="n">
        <v>3040347</v>
      </c>
      <c r="J912" s="45" t="n">
        <v>72438</v>
      </c>
      <c r="K912" s="45" t="n">
        <v>3426</v>
      </c>
      <c r="L912" s="46" t="n"/>
      <c r="M912" s="47" t="n"/>
      <c r="N912" s="47" t="inlineStr">
        <is>
          <t>UCKZo4N0lVPccBkSiuyVh4yg</t>
        </is>
      </c>
      <c r="O912" s="48" t="n">
        <v>45063.87777777778</v>
      </c>
      <c r="P912" s="49" t="n">
        <v>45063</v>
      </c>
      <c r="Q912" s="47" t="n">
        <v>2356</v>
      </c>
      <c r="R912" s="47" t="inlineStr">
        <is>
          <t>No Video ID yet</t>
        </is>
      </c>
      <c r="S912" s="49" t="n"/>
      <c r="T912" s="49" t="n"/>
      <c r="U912" s="47" t="inlineStr">
        <is>
          <t>Go to and use code super for 20% off your first box. Today J dives into the Wizarding World of Harry Potter to reveal WHO invented the Unforgivable Curses: Avada Kedavra, Crucio and Imperio and how they are connected to the Deathly Hallows and Harry himself! Check out Brettsthoughts on TikTok :: Coffee Bundle Box :: Come see us at RTX!</t>
        </is>
      </c>
      <c r="V912" s="47">
        <f>IF(AND(P912&gt;=Calendar!$K$2,P912&lt;EDATE(Calendar!$K$2,1),OR(Calendar!$K$4="*",N912=Calendar!$K$4)),P912*100+COUNTIFS($P$6:$P$3267,P912,$Q$6:$Q$3267,"&lt;="&amp;Q912,$N$6:$N$3267,Calendar!$K$4),"")</f>
        <v/>
      </c>
      <c r="W912" s="47">
        <f>IF(AND(B912=Queue!$C$4,OR(Queue!$K$4="*",N912=Queue!$K$4)),Q912,"")</f>
        <v/>
      </c>
    </row>
    <row r="913">
      <c r="A913" s="38">
        <f>IF(M913="","",HYPERLINK("https://www.youtube.com/watch?v="&amp;M913,"▶"))</f>
        <v/>
      </c>
      <c r="B913" s="39">
        <f>IF(C913&lt;&gt;"",C913,IF(P913&lt;=IFERROR(INDEX(tblChannels[Watched Through],MATCH(N913,tblChannels[Channel ID],0)),0),"Watched","Unwatched"))</f>
        <v/>
      </c>
      <c r="C913" s="40" t="n"/>
      <c r="D913" s="41" t="n"/>
      <c r="E913" s="42" t="n">
        <v>45058.77083333334</v>
      </c>
      <c r="F913" s="52" t="inlineStr">
        <is>
          <t>Super Carlin Gaming</t>
        </is>
      </c>
      <c r="G913" t="inlineStr">
        <is>
          <t>The Pigs Are Poppin' | Carlin Brothers Box Breakers S5E6</t>
        </is>
      </c>
      <c r="H913" s="44" t="n">
        <v>0.03300925925925926</v>
      </c>
      <c r="I913" s="45" t="n">
        <v>1979</v>
      </c>
      <c r="J913" s="45" t="n">
        <v>104</v>
      </c>
      <c r="K913" s="45" t="n">
        <v>7</v>
      </c>
      <c r="L913" s="46" t="n"/>
      <c r="M913" s="47" t="n"/>
      <c r="N913" s="47" t="inlineStr">
        <is>
          <t>UCor_9jRnNNZVzTuQ92PKsaQ</t>
        </is>
      </c>
      <c r="O913" s="48" t="n">
        <v>45058.9375</v>
      </c>
      <c r="P913" s="49" t="n">
        <v>45058</v>
      </c>
      <c r="Q913" s="47" t="n">
        <v>2355</v>
      </c>
      <c r="R913" s="47" t="inlineStr">
        <is>
          <t>No Video ID yet</t>
        </is>
      </c>
      <c r="S913" s="49" t="n"/>
      <c r="T913" s="49" t="n"/>
      <c r="U913" s="47" t="inlineStr">
        <is>
          <t>This week Scarlet And Violet POPS OFF</t>
        </is>
      </c>
      <c r="V913" s="47">
        <f>IF(AND(P913&gt;=Calendar!$K$2,P913&lt;EDATE(Calendar!$K$2,1),OR(Calendar!$K$4="*",N913=Calendar!$K$4)),P913*100+COUNTIFS($P$6:$P$3267,P913,$Q$6:$Q$3267,"&lt;="&amp;Q913,$N$6:$N$3267,Calendar!$K$4),"")</f>
        <v/>
      </c>
      <c r="W913" s="47">
        <f>IF(AND(B913=Queue!$C$4,OR(Queue!$K$4="*",N913=Queue!$K$4)),Q913,"")</f>
        <v/>
      </c>
    </row>
    <row r="914">
      <c r="A914" s="38">
        <f>IF(M914="","",HYPERLINK("https://www.youtube.com/watch?v="&amp;M914,"▶"))</f>
        <v/>
      </c>
      <c r="B914" s="39">
        <f>IF(C914&lt;&gt;"",C914,IF(P914&lt;=IFERROR(INDEX(tblChannels[Watched Through],MATCH(N914,tblChannels[Channel ID],0)),0),"Watched","Unwatched"))</f>
        <v/>
      </c>
      <c r="C914" s="40" t="n"/>
      <c r="D914" s="41" t="n"/>
      <c r="E914" s="42" t="n">
        <v>45058.70277777778</v>
      </c>
      <c r="F914" s="50" t="inlineStr">
        <is>
          <t>Super Carlin Brothers</t>
        </is>
      </c>
      <c r="G914" t="inlineStr">
        <is>
          <t>What If Crookshanks KILLED Wormtail | Harry Potter Film Theory</t>
        </is>
      </c>
      <c r="H914" s="44" t="n">
        <v>0.02131944444444444</v>
      </c>
      <c r="I914" s="45" t="n">
        <v>603341</v>
      </c>
      <c r="J914" s="45" t="n">
        <v>15306</v>
      </c>
      <c r="K914" s="45" t="n">
        <v>1407</v>
      </c>
      <c r="L914" s="46" t="n"/>
      <c r="M914" s="47" t="n"/>
      <c r="N914" s="47" t="inlineStr">
        <is>
          <t>UCKZo4N0lVPccBkSiuyVh4yg</t>
        </is>
      </c>
      <c r="O914" s="48" t="n">
        <v>45058.86944444444</v>
      </c>
      <c r="P914" s="49" t="n">
        <v>45058</v>
      </c>
      <c r="Q914" s="47" t="n">
        <v>2354</v>
      </c>
      <c r="R914" s="47" t="inlineStr">
        <is>
          <t>No Video ID yet</t>
        </is>
      </c>
      <c r="S914" s="49" t="n"/>
      <c r="T914" s="49" t="n"/>
      <c r="U914" s="47" t="inlineStr">
        <is>
          <t>Today Ben dives into the Wizarding World of Harry Potter to ask What If Crookshanks killed Wormtail aka Scabbers aka Peter Pettigrew!? Does Voldemort return? Does Harry get to live with Sirius? Does Cedric still go with Cho to the Yule Ball (trust me it's all connected!) Coffee Bundle Box :: Come see us at RTX!</t>
        </is>
      </c>
      <c r="V914" s="47">
        <f>IF(AND(P914&gt;=Calendar!$K$2,P914&lt;EDATE(Calendar!$K$2,1),OR(Calendar!$K$4="*",N914=Calendar!$K$4)),P914*100+COUNTIFS($P$6:$P$3267,P914,$Q$6:$Q$3267,"&lt;="&amp;Q914,$N$6:$N$3267,Calendar!$K$4),"")</f>
        <v/>
      </c>
      <c r="W914" s="47">
        <f>IF(AND(B914=Queue!$C$4,OR(Queue!$K$4="*",N914=Queue!$K$4)),Q914,"")</f>
        <v/>
      </c>
    </row>
    <row r="915">
      <c r="A915" s="38">
        <f>IF(M915="","",HYPERLINK("https://www.youtube.com/watch?v="&amp;M915,"▶"))</f>
        <v/>
      </c>
      <c r="B915" s="39">
        <f>IF(C915&lt;&gt;"",C915,IF(P915&lt;=IFERROR(INDEX(tblChannels[Watched Through],MATCH(N915,tblChannels[Channel ID],0)),0),"Watched","Unwatched"))</f>
        <v/>
      </c>
      <c r="C915" s="40" t="n"/>
      <c r="D915" s="41" t="n"/>
      <c r="E915" s="42" t="n">
        <v>45058.41666666666</v>
      </c>
      <c r="F915" s="43" t="inlineStr">
        <is>
          <t>Popcorn Culture</t>
        </is>
      </c>
      <c r="G915" t="inlineStr">
        <is>
          <t>The Mighty Jolly Challenge | Popcorn Culture</t>
        </is>
      </c>
      <c r="H915" s="44" t="n">
        <v>0.05005787037037037</v>
      </c>
      <c r="I915" s="45" t="n">
        <v>4660</v>
      </c>
      <c r="J915" s="45" t="n">
        <v>255</v>
      </c>
      <c r="K915" s="45" t="n">
        <v>12</v>
      </c>
      <c r="L915" s="46" t="n"/>
      <c r="M915" s="47" t="n"/>
      <c r="N915" s="47" t="inlineStr">
        <is>
          <t>UCHfIbq9thHPC8yrKjAdJgDA</t>
        </is>
      </c>
      <c r="O915" s="48" t="n">
        <v>45058.58333333334</v>
      </c>
      <c r="P915" s="49" t="n">
        <v>45058</v>
      </c>
      <c r="Q915" s="47" t="n">
        <v>2353</v>
      </c>
      <c r="R915" s="47" t="inlineStr">
        <is>
          <t>No Video ID yet</t>
        </is>
      </c>
      <c r="S915" s="49" t="n"/>
      <c r="T915" s="49" t="n"/>
      <c r="U915" s="47" t="inlineStr">
        <is>
          <t>In the 179th episode of the Pop, Ben and J discus two crazy challenges, J’s new garden, Ben’s rototiller, homesteading, J’s continued shower saga, irrigation issues, and Ben finally ordering a guitar. Mighty Jolly’s Tik Tok - Come see us at RTX - May Murph Quest Tiny Clots Welcome to Having a House with Dads IT CAN BE DONE! 00:00 - Intro, Mike’s Challenge 25:21 - Planting J’s garden 39:37 - Ongoing Shower issues 1:00:03 - Gortar</t>
        </is>
      </c>
      <c r="V915" s="47">
        <f>IF(AND(P915&gt;=Calendar!$K$2,P915&lt;EDATE(Calendar!$K$2,1),OR(Calendar!$K$4="*",N915=Calendar!$K$4)),P915*100+COUNTIFS($P$6:$P$3267,P915,$Q$6:$Q$3267,"&lt;="&amp;Q915,$N$6:$N$3267,Calendar!$K$4),"")</f>
        <v/>
      </c>
      <c r="W915" s="47">
        <f>IF(AND(B915=Queue!$C$4,OR(Queue!$K$4="*",N915=Queue!$K$4)),Q915,"")</f>
        <v/>
      </c>
    </row>
    <row r="916">
      <c r="A916" s="38">
        <f>IF(M916="","",HYPERLINK("https://www.youtube.com/watch?v="&amp;M916,"▶"))</f>
        <v/>
      </c>
      <c r="B916" s="39">
        <f>IF(C916&lt;&gt;"",C916,IF(P916&lt;=IFERROR(INDEX(tblChannels[Watched Through],MATCH(N916,tblChannels[Channel ID],0)),0),"Watched","Unwatched"))</f>
        <v/>
      </c>
      <c r="C916" s="40" t="n"/>
      <c r="D916" s="41" t="n"/>
      <c r="E916" s="42" t="n">
        <v>45056.69305555556</v>
      </c>
      <c r="F916" s="50" t="inlineStr">
        <is>
          <t>Super Carlin Brothers</t>
        </is>
      </c>
      <c r="G916" t="inlineStr">
        <is>
          <t>J vs Ben: ULTIMATE Harry Potter Magical Transportation TRIVIA Quiz</t>
        </is>
      </c>
      <c r="H916" s="44" t="n">
        <v>0.02219907407407407</v>
      </c>
      <c r="I916" s="45" t="n">
        <v>182200</v>
      </c>
      <c r="J916" s="45" t="n">
        <v>6173</v>
      </c>
      <c r="K916" s="45" t="n">
        <v>493</v>
      </c>
      <c r="L916" s="46" t="n"/>
      <c r="M916" s="47" t="n"/>
      <c r="N916" s="47" t="inlineStr">
        <is>
          <t>UCKZo4N0lVPccBkSiuyVh4yg</t>
        </is>
      </c>
      <c r="O916" s="48" t="n">
        <v>45056.85972222222</v>
      </c>
      <c r="P916" s="49" t="n">
        <v>45056</v>
      </c>
      <c r="Q916" s="47" t="n">
        <v>2352</v>
      </c>
      <c r="R916" s="47" t="inlineStr">
        <is>
          <t>No Video ID yet</t>
        </is>
      </c>
      <c r="S916" s="49" t="n"/>
      <c r="T916" s="49" t="n"/>
      <c r="U916" s="47" t="inlineStr">
        <is>
          <t>Go to to get PayPal Honey for free. Go to to get an extra three months free. Today J and Ben face off once more to find out who knows the most about magical transportation in the Wizarding World of Harry Potter! Kyber Candy :: Come see us at RTX! 02:26 - Q1: What color are Floo Powder flames? 03:24 - Q2: Who taught students how to fly? 04:13 - Q3: Who has a problem with Arthur's embargo on flying carpets? 06:13 - Q4: Where did the Hogwarts Express line end? 08:16 - Q5: What did Dumbledore turn into a portkey after Arthur's attack? 11:56 - Q6: Why were flying carpets outlawed? 13:29 - Q7: How old did students need to be to apparate? 14:23 - Q8: Which magical creature has Harry not traveled by? 15:40 - Q9: Which minister suggested the Hogwarts Express? 21:30 - Q10: Who drives the Knight Bus? 23:00 - Q11: What part of Ron's body got splinched? 24:42 - Q12: Why did Charlie Weasley fail his apparition test? 26:13 - Q13: What did the Beauxbaton horses drink? 27:21 - Q14: How did Harry travel in the Battle of the Seven Potters? 28:07 - Q15: What did Dumbledore turn into a portkey to send Harry from the ministry to his office?</t>
        </is>
      </c>
      <c r="V916" s="47">
        <f>IF(AND(P916&gt;=Calendar!$K$2,P916&lt;EDATE(Calendar!$K$2,1),OR(Calendar!$K$4="*",N916=Calendar!$K$4)),P916*100+COUNTIFS($P$6:$P$3267,P916,$Q$6:$Q$3267,"&lt;="&amp;Q916,$N$6:$N$3267,Calendar!$K$4),"")</f>
        <v/>
      </c>
      <c r="W916" s="47">
        <f>IF(AND(B916=Queue!$C$4,OR(Queue!$K$4="*",N916=Queue!$K$4)),Q916,"")</f>
        <v/>
      </c>
    </row>
    <row r="917">
      <c r="A917" s="38">
        <f>IF(M917="","",HYPERLINK("https://www.youtube.com/watch?v="&amp;M917,"▶"))</f>
        <v/>
      </c>
      <c r="B917" s="39">
        <f>IF(C917&lt;&gt;"",C917,IF(P917&lt;=IFERROR(INDEX(tblChannels[Watched Through],MATCH(N917,tblChannels[Channel ID],0)),0),"Watched","Unwatched"))</f>
        <v/>
      </c>
      <c r="C917" s="40" t="n"/>
      <c r="D917" s="41" t="n"/>
      <c r="E917" s="42" t="n">
        <v>45054.20347222222</v>
      </c>
      <c r="F917" s="52" t="inlineStr">
        <is>
          <t>Super Carlin Gaming</t>
        </is>
      </c>
      <c r="G917" t="inlineStr">
        <is>
          <t>LIVE! - Pokemon and Chill</t>
        </is>
      </c>
      <c r="H917" s="44" t="n">
        <v>0.04375</v>
      </c>
      <c r="I917" s="45" t="n">
        <v>1673</v>
      </c>
      <c r="J917" s="45" t="n">
        <v>74</v>
      </c>
      <c r="K917" s="45" t="n">
        <v>10</v>
      </c>
      <c r="L917" s="46" t="n"/>
      <c r="M917" s="47" t="n"/>
      <c r="N917" s="47" t="inlineStr">
        <is>
          <t>UCor_9jRnNNZVzTuQ92PKsaQ</t>
        </is>
      </c>
      <c r="O917" s="48" t="n">
        <v>45054.37013888889</v>
      </c>
      <c r="P917" s="49" t="n">
        <v>45054</v>
      </c>
      <c r="Q917" s="47" t="n">
        <v>2351</v>
      </c>
      <c r="R917" s="47" t="inlineStr">
        <is>
          <t>No Video ID yet</t>
        </is>
      </c>
      <c r="S917" s="49" t="n"/>
      <c r="T917" s="49" t="n"/>
      <c r="U917" s="47" t="inlineStr">
        <is>
          <t>Just hanging out playing some Pokemon Cards and chatting!</t>
        </is>
      </c>
      <c r="V917" s="47">
        <f>IF(AND(P917&gt;=Calendar!$K$2,P917&lt;EDATE(Calendar!$K$2,1),OR(Calendar!$K$4="*",N917=Calendar!$K$4)),P917*100+COUNTIFS($P$6:$P$3267,P917,$Q$6:$Q$3267,"&lt;="&amp;Q917,$N$6:$N$3267,Calendar!$K$4),"")</f>
        <v/>
      </c>
      <c r="W917" s="47">
        <f>IF(AND(B917=Queue!$C$4,OR(Queue!$K$4="*",N917=Queue!$K$4)),Q917,"")</f>
        <v/>
      </c>
    </row>
    <row r="918">
      <c r="A918" s="38">
        <f>IF(M918="","",HYPERLINK("https://www.youtube.com/watch?v="&amp;M918,"▶"))</f>
        <v/>
      </c>
      <c r="B918" s="39">
        <f>IF(C918&lt;&gt;"",C918,IF(P918&lt;=IFERROR(INDEX(tblChannels[Watched Through],MATCH(N918,tblChannels[Channel ID],0)),0),"Watched","Unwatched"))</f>
        <v/>
      </c>
      <c r="C918" s="40" t="n"/>
      <c r="D918" s="41" t="n"/>
      <c r="E918" s="42" t="n">
        <v>45053.625</v>
      </c>
      <c r="F918" s="50" t="inlineStr">
        <is>
          <t>Super Carlin Brothers</t>
        </is>
      </c>
      <c r="G918" t="inlineStr">
        <is>
          <t>Guardians of the Galaxy Vol. 3 is Marvel’s BEST Movie in Years! | REVIEW</t>
        </is>
      </c>
      <c r="H918" s="44" t="n">
        <v>0.03804398148148148</v>
      </c>
      <c r="I918" s="45" t="n">
        <v>113343</v>
      </c>
      <c r="J918" s="45" t="n">
        <v>4288</v>
      </c>
      <c r="K918" s="45" t="n">
        <v>538</v>
      </c>
      <c r="L918" s="46" t="n"/>
      <c r="M918" s="47" t="n"/>
      <c r="N918" s="47" t="inlineStr">
        <is>
          <t>UCKZo4N0lVPccBkSiuyVh4yg</t>
        </is>
      </c>
      <c r="O918" s="48" t="n">
        <v>45053.79166666666</v>
      </c>
      <c r="P918" s="49" t="n">
        <v>45053</v>
      </c>
      <c r="Q918" s="47" t="n">
        <v>2350</v>
      </c>
      <c r="R918" s="47" t="inlineStr">
        <is>
          <t>No Video ID yet</t>
        </is>
      </c>
      <c r="S918" s="49" t="n"/>
      <c r="T918" s="49" t="n"/>
      <c r="U918" s="47" t="inlineStr">
        <is>
          <t>Today J and Ben dive into the Marvel Cinematic Universe to give their full SPOILER REVIEW Guardians of the Galaxy Vol. 3 - Is it the best Marvel Movie since Endgame?? Kyber Candy :: Come see us at RTX! #supercarlinbrothers #GuardiansOfTheGalaxy #marvel</t>
        </is>
      </c>
      <c r="V918" s="47">
        <f>IF(AND(P918&gt;=Calendar!$K$2,P918&lt;EDATE(Calendar!$K$2,1),OR(Calendar!$K$4="*",N918=Calendar!$K$4)),P918*100+COUNTIFS($P$6:$P$3267,P918,$Q$6:$Q$3267,"&lt;="&amp;Q918,$N$6:$N$3267,Calendar!$K$4),"")</f>
        <v/>
      </c>
      <c r="W918" s="47">
        <f>IF(AND(B918=Queue!$C$4,OR(Queue!$K$4="*",N918=Queue!$K$4)),Q918,"")</f>
        <v/>
      </c>
    </row>
    <row r="919">
      <c r="A919" s="38">
        <f>IF(M919="","",HYPERLINK("https://www.youtube.com/watch?v="&amp;M919,"▶"))</f>
        <v/>
      </c>
      <c r="B919" s="39">
        <f>IF(C919&lt;&gt;"",C919,IF(P919&lt;=IFERROR(INDEX(tblChannels[Watched Through],MATCH(N919,tblChannels[Channel ID],0)),0),"Watched","Unwatched"))</f>
        <v/>
      </c>
      <c r="C919" s="40" t="n"/>
      <c r="D919" s="41" t="n"/>
      <c r="E919" s="42" t="n">
        <v>45051.77083333334</v>
      </c>
      <c r="F919" s="52" t="inlineStr">
        <is>
          <t>Super Carlin Gaming</t>
        </is>
      </c>
      <c r="G919" t="inlineStr">
        <is>
          <t>Team Fire Is On The Attack | Carlin Brothers Box Breakers S5E5</t>
        </is>
      </c>
      <c r="H919" s="44" t="n">
        <v>0.03537037037037037</v>
      </c>
      <c r="I919" s="45" t="n">
        <v>2175</v>
      </c>
      <c r="J919" s="45" t="n">
        <v>107</v>
      </c>
      <c r="K919" s="45" t="n">
        <v>10</v>
      </c>
      <c r="L919" s="46" t="n"/>
      <c r="M919" s="47" t="n"/>
      <c r="N919" s="47" t="inlineStr">
        <is>
          <t>UCor_9jRnNNZVzTuQ92PKsaQ</t>
        </is>
      </c>
      <c r="O919" s="48" t="n">
        <v>45051.9375</v>
      </c>
      <c r="P919" s="49" t="n">
        <v>45051</v>
      </c>
      <c r="Q919" s="47" t="n">
        <v>2349</v>
      </c>
      <c r="R919" s="47" t="inlineStr">
        <is>
          <t>No Video ID yet</t>
        </is>
      </c>
      <c r="S919" s="49" t="n"/>
      <c r="T919" s="49" t="n"/>
      <c r="U919" s="47" t="inlineStr">
        <is>
          <t>This week Scarlet And Violet HEATS UP</t>
        </is>
      </c>
      <c r="V919" s="47">
        <f>IF(AND(P919&gt;=Calendar!$K$2,P919&lt;EDATE(Calendar!$K$2,1),OR(Calendar!$K$4="*",N919=Calendar!$K$4)),P919*100+COUNTIFS($P$6:$P$3267,P919,$Q$6:$Q$3267,"&lt;="&amp;Q919,$N$6:$N$3267,Calendar!$K$4),"")</f>
        <v/>
      </c>
      <c r="W919" s="47">
        <f>IF(AND(B919=Queue!$C$4,OR(Queue!$K$4="*",N919=Queue!$K$4)),Q919,"")</f>
        <v/>
      </c>
    </row>
    <row r="920">
      <c r="A920" s="38">
        <f>IF(M920="","",HYPERLINK("https://www.youtube.com/watch?v="&amp;M920,"▶"))</f>
        <v/>
      </c>
      <c r="B920" s="39">
        <f>IF(C920&lt;&gt;"",C920,IF(P920&lt;=IFERROR(INDEX(tblChannels[Watched Through],MATCH(N920,tblChannels[Channel ID],0)),0),"Watched","Unwatched"))</f>
        <v/>
      </c>
      <c r="C920" s="40" t="n"/>
      <c r="D920" s="41" t="n"/>
      <c r="E920" s="42" t="n">
        <v>45051.62916666667</v>
      </c>
      <c r="F920" s="50" t="inlineStr">
        <is>
          <t>Super Carlin Brothers</t>
        </is>
      </c>
      <c r="G920" t="inlineStr">
        <is>
          <t>What If Mirabel DIED | Encanto Disney Film Theory</t>
        </is>
      </c>
      <c r="H920" s="44" t="n">
        <v>0.01265046296296296</v>
      </c>
      <c r="I920" s="45" t="n">
        <v>163910</v>
      </c>
      <c r="J920" s="45" t="n">
        <v>4669</v>
      </c>
      <c r="K920" s="45" t="n">
        <v>297</v>
      </c>
      <c r="L920" s="46" t="n"/>
      <c r="M920" s="47" t="n"/>
      <c r="N920" s="47" t="inlineStr">
        <is>
          <t>UCKZo4N0lVPccBkSiuyVh4yg</t>
        </is>
      </c>
      <c r="O920" s="48" t="n">
        <v>45051.79583333333</v>
      </c>
      <c r="P920" s="49" t="n">
        <v>45051</v>
      </c>
      <c r="Q920" s="47" t="n">
        <v>2348</v>
      </c>
      <c r="R920" s="47" t="inlineStr">
        <is>
          <t>No Video ID yet</t>
        </is>
      </c>
      <c r="S920" s="49" t="n"/>
      <c r="T920" s="49" t="n"/>
      <c r="U920" s="47" t="inlineStr">
        <is>
          <t>Go to and use code SUPER to get free shipping on your goodr order. Today Ben dives into the Magical world of Encanto and the Family Madrigal to find out what would have happened if Casita had not been able to save Mirabel and she had died when the Miracle broke Kyber Candy :: Come see us at RTX!</t>
        </is>
      </c>
      <c r="V920" s="47">
        <f>IF(AND(P920&gt;=Calendar!$K$2,P920&lt;EDATE(Calendar!$K$2,1),OR(Calendar!$K$4="*",N920=Calendar!$K$4)),P920*100+COUNTIFS($P$6:$P$3267,P920,$Q$6:$Q$3267,"&lt;="&amp;Q920,$N$6:$N$3267,Calendar!$K$4),"")</f>
        <v/>
      </c>
      <c r="W920" s="47">
        <f>IF(AND(B920=Queue!$C$4,OR(Queue!$K$4="*",N920=Queue!$K$4)),Q920,"")</f>
        <v/>
      </c>
    </row>
    <row r="921">
      <c r="A921" s="38">
        <f>IF(M921="","",HYPERLINK("https://www.youtube.com/watch?v="&amp;M921,"▶"))</f>
        <v/>
      </c>
      <c r="B921" s="39">
        <f>IF(C921&lt;&gt;"",C921,IF(P921&lt;=IFERROR(INDEX(tblChannels[Watched Through],MATCH(N921,tblChannels[Channel ID],0)),0),"Watched","Unwatched"))</f>
        <v/>
      </c>
      <c r="C921" s="40" t="n"/>
      <c r="D921" s="41" t="n"/>
      <c r="E921" s="42" t="n">
        <v>45051.41666666666</v>
      </c>
      <c r="F921" s="43" t="inlineStr">
        <is>
          <t>Popcorn Culture</t>
        </is>
      </c>
      <c r="G921" t="inlineStr">
        <is>
          <t>The Mandela Effect of Catzilla | Popcorn Culture</t>
        </is>
      </c>
      <c r="H921" s="44" t="n">
        <v>0.04829861111111111</v>
      </c>
      <c r="I921" s="45" t="n">
        <v>4587</v>
      </c>
      <c r="J921" s="45" t="n">
        <v>236</v>
      </c>
      <c r="K921" s="45" t="n">
        <v>35</v>
      </c>
      <c r="L921" s="46" t="n"/>
      <c r="M921" s="47" t="n"/>
      <c r="N921" s="47" t="inlineStr">
        <is>
          <t>UCHfIbq9thHPC8yrKjAdJgDA</t>
        </is>
      </c>
      <c r="O921" s="48" t="n">
        <v>45051.58333333334</v>
      </c>
      <c r="P921" s="49" t="n">
        <v>45051</v>
      </c>
      <c r="Q921" s="47" t="n">
        <v>2347</v>
      </c>
      <c r="R921" s="47" t="inlineStr">
        <is>
          <t>No Video ID yet</t>
        </is>
      </c>
      <c r="S921" s="49" t="n"/>
      <c r="T921" s="49" t="n"/>
      <c r="U921" s="47" t="inlineStr">
        <is>
          <t>In the 178th episode of the Pop, Ben and J discuss The Social Network (the movie), things becoming vintage, the rarity of CDs, old cars, driving as a teenager, misremembering a childhood book, hydroponic tomatoes, gardening, spring cleaning, and permanent records. The Social Network - Dogzilla - Kat Kong - Who Sold The Most CDs? I Need to Prove the Matrix is Real Pumpkins Turn Orange, Confirmed A Tomato-y Joke It’s All About Memory 00:00 - Intro, Social Media and CDs 15:03 - Old Cars 27:47 - Catzilla 43:35 - A Tomato-y Joke 56:55 - Spring Cleaning</t>
        </is>
      </c>
      <c r="V921" s="47">
        <f>IF(AND(P921&gt;=Calendar!$K$2,P921&lt;EDATE(Calendar!$K$2,1),OR(Calendar!$K$4="*",N921=Calendar!$K$4)),P921*100+COUNTIFS($P$6:$P$3267,P921,$Q$6:$Q$3267,"&lt;="&amp;Q921,$N$6:$N$3267,Calendar!$K$4),"")</f>
        <v/>
      </c>
      <c r="W921" s="47">
        <f>IF(AND(B921=Queue!$C$4,OR(Queue!$K$4="*",N921=Queue!$K$4)),Q921,"")</f>
        <v/>
      </c>
    </row>
    <row r="922">
      <c r="A922" s="38">
        <f>IF(M922="","",HYPERLINK("https://www.youtube.com/watch?v="&amp;M922,"▶"))</f>
        <v/>
      </c>
      <c r="B922" s="39">
        <f>IF(C922&lt;&gt;"",C922,IF(P922&lt;=IFERROR(INDEX(tblChannels[Watched Through],MATCH(N922,tblChannels[Channel ID],0)),0),"Watched","Unwatched"))</f>
        <v/>
      </c>
      <c r="C922" s="40" t="n"/>
      <c r="D922" s="41" t="n"/>
      <c r="E922" s="42" t="n">
        <v>45049.66458333333</v>
      </c>
      <c r="F922" s="50" t="inlineStr">
        <is>
          <t>Super Carlin Brothers</t>
        </is>
      </c>
      <c r="G922" t="inlineStr">
        <is>
          <t>Top 10 Best (and Most EPIC) Star Wars Scenes Ever | Star Wars Film Theory</t>
        </is>
      </c>
      <c r="H922" s="44" t="n">
        <v>0.01668981481481481</v>
      </c>
      <c r="I922" s="45" t="n">
        <v>58093</v>
      </c>
      <c r="J922" s="45" t="n">
        <v>3166</v>
      </c>
      <c r="K922" s="45" t="n">
        <v>516</v>
      </c>
      <c r="L922" s="46" t="n"/>
      <c r="M922" s="47" t="n"/>
      <c r="N922" s="47" t="inlineStr">
        <is>
          <t>UCKZo4N0lVPccBkSiuyVh4yg</t>
        </is>
      </c>
      <c r="O922" s="48" t="n">
        <v>45049.83125</v>
      </c>
      <c r="P922" s="49" t="n">
        <v>45049</v>
      </c>
      <c r="Q922" s="47" t="n">
        <v>2346</v>
      </c>
      <c r="R922" s="47" t="inlineStr">
        <is>
          <t>No Video ID yet</t>
        </is>
      </c>
      <c r="S922" s="49" t="n"/>
      <c r="T922" s="49" t="n"/>
      <c r="U922" s="47" t="inlineStr">
        <is>
          <t>Go to to get 25% off your first order and free standard shipping. In celebration of Star Wars week today J dives into the Star Wars Galaxy to count down the TOP 10 Moments EVER in Star Wars Kyber Candy :: Come see us at RTX! 02:10 - #10: Vader Throws Down 04:19 - #9: One Way Out 05:57 - #8: You Need A Pilot 07:24 - #7: Rey Pulls The Saber 09:13 - #6: There Is No Try 10:39 - #5: I Love You. I Know. 13:35 - #4: Duel Of The Fates 15:49 - #3: You Were The Chosen One 16:43 - #2: I Am No Jedi 20:56 - #1: Jar Jar Binks #supercarlinbrothers #StarWars #Top10</t>
        </is>
      </c>
      <c r="V922" s="47">
        <f>IF(AND(P922&gt;=Calendar!$K$2,P922&lt;EDATE(Calendar!$K$2,1),OR(Calendar!$K$4="*",N922=Calendar!$K$4)),P922*100+COUNTIFS($P$6:$P$3267,P922,$Q$6:$Q$3267,"&lt;="&amp;Q922,$N$6:$N$3267,Calendar!$K$4),"")</f>
        <v/>
      </c>
      <c r="W922" s="47">
        <f>IF(AND(B922=Queue!$C$4,OR(Queue!$K$4="*",N922=Queue!$K$4)),Q922,"")</f>
        <v/>
      </c>
    </row>
    <row r="923">
      <c r="A923" s="38">
        <f>IF(M923="","",HYPERLINK("https://www.youtube.com/watch?v="&amp;M923,"▶"))</f>
        <v/>
      </c>
      <c r="B923" s="39">
        <f>IF(C923&lt;&gt;"",C923,IF(P923&lt;=IFERROR(INDEX(tblChannels[Watched Through],MATCH(N923,tblChannels[Channel ID],0)),0),"Watched","Unwatched"))</f>
        <v/>
      </c>
      <c r="C923" s="40" t="n"/>
      <c r="D923" s="41" t="n"/>
      <c r="E923" s="42" t="n">
        <v>45044.79166666666</v>
      </c>
      <c r="F923" s="52" t="inlineStr">
        <is>
          <t>Super Carlin Gaming</t>
        </is>
      </c>
      <c r="G923" t="inlineStr">
        <is>
          <t>A CHALLENGER EMERGES | Carlin Brothers Box Breakers S5E4</t>
        </is>
      </c>
      <c r="H923" s="44" t="n">
        <v>0.0325462962962963</v>
      </c>
      <c r="I923" s="45" t="n">
        <v>2193</v>
      </c>
      <c r="J923" s="45" t="n">
        <v>111</v>
      </c>
      <c r="K923" s="45" t="n">
        <v>12</v>
      </c>
      <c r="L923" s="46" t="n"/>
      <c r="M923" s="47" t="n"/>
      <c r="N923" s="47" t="inlineStr">
        <is>
          <t>UCor_9jRnNNZVzTuQ92PKsaQ</t>
        </is>
      </c>
      <c r="O923" s="48" t="n">
        <v>45044.95833333334</v>
      </c>
      <c r="P923" s="49" t="n">
        <v>45044</v>
      </c>
      <c r="Q923" s="47" t="n">
        <v>2345</v>
      </c>
      <c r="R923" s="47" t="inlineStr">
        <is>
          <t>No Video ID yet</t>
        </is>
      </c>
      <c r="S923" s="49" t="n"/>
      <c r="T923" s="49" t="n"/>
      <c r="U923" s="47" t="inlineStr">
        <is>
          <t>This week Scarlet And Violet HEATS UP</t>
        </is>
      </c>
      <c r="V923" s="47">
        <f>IF(AND(P923&gt;=Calendar!$K$2,P923&lt;EDATE(Calendar!$K$2,1),OR(Calendar!$K$4="*",N923=Calendar!$K$4)),P923*100+COUNTIFS($P$6:$P$3267,P923,$Q$6:$Q$3267,"&lt;="&amp;Q923,$N$6:$N$3267,Calendar!$K$4),"")</f>
        <v/>
      </c>
      <c r="W923" s="47">
        <f>IF(AND(B923=Queue!$C$4,OR(Queue!$K$4="*",N923=Queue!$K$4)),Q923,"")</f>
        <v/>
      </c>
    </row>
    <row r="924">
      <c r="A924" s="38">
        <f>IF(M924="","",HYPERLINK("https://www.youtube.com/watch?v="&amp;M924,"▶"))</f>
        <v/>
      </c>
      <c r="B924" s="39">
        <f>IF(C924&lt;&gt;"",C924,IF(P924&lt;=IFERROR(INDEX(tblChannels[Watched Through],MATCH(N924,tblChannels[Channel ID],0)),0),"Watched","Unwatched"))</f>
        <v/>
      </c>
      <c r="C924" s="40" t="n"/>
      <c r="D924" s="41" t="n"/>
      <c r="E924" s="42" t="n">
        <v>45044.70069444444</v>
      </c>
      <c r="F924" s="50" t="inlineStr">
        <is>
          <t>Super Carlin Brothers</t>
        </is>
      </c>
      <c r="G924" t="inlineStr">
        <is>
          <t>J vs Ben ULTIMATE Department of Mysteries Harry Potter TRIVIA Quiz</t>
        </is>
      </c>
      <c r="H924" s="44" t="n">
        <v>0.02127314814814815</v>
      </c>
      <c r="I924" s="45" t="n">
        <v>192572</v>
      </c>
      <c r="J924" s="45" t="n">
        <v>6537</v>
      </c>
      <c r="K924" s="45" t="n">
        <v>552</v>
      </c>
      <c r="L924" s="46" t="n"/>
      <c r="M924" s="47" t="n"/>
      <c r="N924" s="47" t="inlineStr">
        <is>
          <t>UCKZo4N0lVPccBkSiuyVh4yg</t>
        </is>
      </c>
      <c r="O924" s="48" t="n">
        <v>45044.86736111111</v>
      </c>
      <c r="P924" s="49" t="n">
        <v>45044</v>
      </c>
      <c r="Q924" s="47" t="n">
        <v>2344</v>
      </c>
      <c r="R924" s="47" t="inlineStr">
        <is>
          <t>No Video ID yet</t>
        </is>
      </c>
      <c r="S924" s="49" t="n"/>
      <c r="T924" s="49" t="n"/>
      <c r="U924" s="47" t="inlineStr">
        <is>
          <t>Go to and use code jvsb50 for 50% off, plus your first box ships free! Go to to try 5 pairs of glasses at home. Come see us at RTX! Play Along with us :: Today Ben and J face off once more to find out who knows more about the Wizarding World and the oh so mysterious and appropriately named: Department of Mysteries! 01:25 - Q1: What are Dept. of Mysteries employees called? 02:14 - Q2: Which unspeakable was killed by Devil's Snare? 03:27 - Q3: How many doors are there? 04:47 - Q4: Who was attacked by Nagini? 06:17 - Q5: Who did Harry think Voldemort was torturing? 07:28 - Q6: Which Death Eater got a baby head? 10:17 - Q7: Which DA member did not join them? 11:02 - Q8: How many recovery potions did Hermione need? 17:08 - Q9: What spell marks the doors? 21:05 - Q10: What spell do the DA kids use to escape? 23:05 - Q11: Which death eater kills Sirius Black? 24:09 - Q12: What row was the prophesy on? 25:06 - Q13: What suffocated Ron? 26:20 - Q14: Who kicked the prophesy? 27:34 - Q15: Who can remove prophesies from their shelves? # supercarlinbrothers #HarryPotter #JvsBen</t>
        </is>
      </c>
      <c r="V924" s="47">
        <f>IF(AND(P924&gt;=Calendar!$K$2,P924&lt;EDATE(Calendar!$K$2,1),OR(Calendar!$K$4="*",N924=Calendar!$K$4)),P924*100+COUNTIFS($P$6:$P$3267,P924,$Q$6:$Q$3267,"&lt;="&amp;Q924,$N$6:$N$3267,Calendar!$K$4),"")</f>
        <v/>
      </c>
      <c r="W924" s="47">
        <f>IF(AND(B924=Queue!$C$4,OR(Queue!$K$4="*",N924=Queue!$K$4)),Q924,"")</f>
        <v/>
      </c>
    </row>
    <row r="925">
      <c r="A925" s="38">
        <f>IF(M925="","",HYPERLINK("https://www.youtube.com/watch?v="&amp;M925,"▶"))</f>
        <v/>
      </c>
      <c r="B925" s="39">
        <f>IF(C925&lt;&gt;"",C925,IF(P925&lt;=IFERROR(INDEX(tblChannels[Watched Through],MATCH(N925,tblChannels[Channel ID],0)),0),"Watched","Unwatched"))</f>
        <v/>
      </c>
      <c r="C925" s="40" t="n"/>
      <c r="D925" s="41" t="n"/>
      <c r="E925" s="42" t="n">
        <v>45044.41666666666</v>
      </c>
      <c r="F925" s="43" t="inlineStr">
        <is>
          <t>Popcorn Culture</t>
        </is>
      </c>
      <c r="G925" t="inlineStr">
        <is>
          <t>Ben Ran A Marathon! | Popcorn Culture</t>
        </is>
      </c>
      <c r="H925" s="44" t="n">
        <v>0.0484375</v>
      </c>
      <c r="I925" s="45" t="n">
        <v>4555</v>
      </c>
      <c r="J925" s="45" t="n">
        <v>242</v>
      </c>
      <c r="K925" s="45" t="n">
        <v>20</v>
      </c>
      <c r="L925" s="46" t="n"/>
      <c r="M925" s="47" t="n"/>
      <c r="N925" s="47" t="inlineStr">
        <is>
          <t>UCHfIbq9thHPC8yrKjAdJgDA</t>
        </is>
      </c>
      <c r="O925" s="48" t="n">
        <v>45044.58333333334</v>
      </c>
      <c r="P925" s="49" t="n">
        <v>45044</v>
      </c>
      <c r="Q925" s="47" t="n">
        <v>2343</v>
      </c>
      <c r="R925" s="47" t="inlineStr">
        <is>
          <t>No Video ID yet</t>
        </is>
      </c>
      <c r="S925" s="49" t="n"/>
      <c r="T925" s="49" t="n"/>
      <c r="U925" s="47" t="inlineStr">
        <is>
          <t>In the 177th episode of the Pop, Ben and J discuss the crossword puzzle brain, song covers, Ben’s marathon, honky tonks, J’s maybe addiction to walking, and J taking Luke to the rock climbing gym for the first time. Reply All Episode - Boom! Bowling Green! All Ubers Are Camris Luke’s a Climbing Natural 00:00 - Intro/ Cold Open, and Multiple Tangents 12:48 - Ben’s Marathon Report! 52:26 - Luke’s First Time Rock Climbing</t>
        </is>
      </c>
      <c r="V925" s="47">
        <f>IF(AND(P925&gt;=Calendar!$K$2,P925&lt;EDATE(Calendar!$K$2,1),OR(Calendar!$K$4="*",N925=Calendar!$K$4)),P925*100+COUNTIFS($P$6:$P$3267,P925,$Q$6:$Q$3267,"&lt;="&amp;Q925,$N$6:$N$3267,Calendar!$K$4),"")</f>
        <v/>
      </c>
      <c r="W925" s="47">
        <f>IF(AND(B925=Queue!$C$4,OR(Queue!$K$4="*",N925=Queue!$K$4)),Q925,"")</f>
        <v/>
      </c>
    </row>
    <row r="926">
      <c r="A926" s="38">
        <f>IF(M926="","",HYPERLINK("https://www.youtube.com/watch?v="&amp;M926,"▶"))</f>
        <v/>
      </c>
      <c r="B926" s="39">
        <f>IF(C926&lt;&gt;"",C926,IF(P926&lt;=IFERROR(INDEX(tblChannels[Watched Through],MATCH(N926,tblChannels[Channel ID],0)),0),"Watched","Unwatched"))</f>
        <v/>
      </c>
      <c r="C926" s="40" t="n"/>
      <c r="D926" s="41" t="n"/>
      <c r="E926" s="42" t="n">
        <v>45042.61319444444</v>
      </c>
      <c r="F926" s="50" t="inlineStr">
        <is>
          <t>Super Carlin Brothers</t>
        </is>
      </c>
      <c r="G926" t="inlineStr">
        <is>
          <t>The TRUTH About Gusteau's Success | Ratatouille Pixar Film Theory</t>
        </is>
      </c>
      <c r="H926" s="44" t="n">
        <v>0.00974537037037037</v>
      </c>
      <c r="I926" s="45" t="n">
        <v>143077</v>
      </c>
      <c r="J926" s="45" t="n">
        <v>6556</v>
      </c>
      <c r="K926" s="45" t="n">
        <v>392</v>
      </c>
      <c r="L926" s="46" t="n"/>
      <c r="M926" s="47" t="n"/>
      <c r="N926" s="47" t="inlineStr">
        <is>
          <t>UCKZo4N0lVPccBkSiuyVh4yg</t>
        </is>
      </c>
      <c r="O926" s="48" t="n">
        <v>45042.77986111111</v>
      </c>
      <c r="P926" s="49" t="n">
        <v>45042</v>
      </c>
      <c r="Q926" s="47" t="n">
        <v>2342</v>
      </c>
      <c r="R926" s="47" t="inlineStr">
        <is>
          <t>No Video ID yet</t>
        </is>
      </c>
      <c r="S926" s="49" t="n"/>
      <c r="T926" s="49" t="n"/>
      <c r="U926" s="47" t="inlineStr">
        <is>
          <t>Go to and use code super50 to get 50% off your first box. Come see us at RTX! Today J dives into the wide world of the Pixar Universe to uncover Auguste Gusteau’s BIG Secret and the key to his success as such a young chef - HE HAD A RAT under his hat too! #supercarlinbrothers #Ratatouille #Pixar</t>
        </is>
      </c>
      <c r="V926" s="47">
        <f>IF(AND(P926&gt;=Calendar!$K$2,P926&lt;EDATE(Calendar!$K$2,1),OR(Calendar!$K$4="*",N926=Calendar!$K$4)),P926*100+COUNTIFS($P$6:$P$3267,P926,$Q$6:$Q$3267,"&lt;="&amp;Q926,$N$6:$N$3267,Calendar!$K$4),"")</f>
        <v/>
      </c>
      <c r="W926" s="47">
        <f>IF(AND(B926=Queue!$C$4,OR(Queue!$K$4="*",N926=Queue!$K$4)),Q926,"")</f>
        <v/>
      </c>
    </row>
    <row r="927">
      <c r="A927" s="38">
        <f>IF(M927="","",HYPERLINK("https://www.youtube.com/watch?v="&amp;M927,"▶"))</f>
        <v/>
      </c>
      <c r="B927" s="39">
        <f>IF(C927&lt;&gt;"",C927,IF(P927&lt;=IFERROR(INDEX(tblChannels[Watched Through],MATCH(N927,tblChannels[Channel ID],0)),0),"Watched","Unwatched"))</f>
        <v/>
      </c>
      <c r="C927" s="40" t="n"/>
      <c r="D927" s="41" t="n"/>
      <c r="E927" s="42" t="n">
        <v>45037.61527777778</v>
      </c>
      <c r="F927" s="50" t="inlineStr">
        <is>
          <t>Super Carlin Brothers</t>
        </is>
      </c>
      <c r="G927" t="inlineStr">
        <is>
          <t>The TRUTH About Ariel’s Mother | Disney Film Theory</t>
        </is>
      </c>
      <c r="H927" s="44" t="n">
        <v>0.01140046296296296</v>
      </c>
      <c r="I927" s="45" t="n">
        <v>212453</v>
      </c>
      <c r="J927" s="45" t="n">
        <v>8762</v>
      </c>
      <c r="K927" s="45" t="n">
        <v>654</v>
      </c>
      <c r="L927" s="46" t="n"/>
      <c r="M927" s="47" t="n"/>
      <c r="N927" s="47" t="inlineStr">
        <is>
          <t>UCKZo4N0lVPccBkSiuyVh4yg</t>
        </is>
      </c>
      <c r="O927" s="48" t="n">
        <v>45037.78194444445</v>
      </c>
      <c r="P927" s="49" t="n">
        <v>45037</v>
      </c>
      <c r="Q927" s="47" t="n">
        <v>2341</v>
      </c>
      <c r="R927" s="47" t="inlineStr">
        <is>
          <t>No Video ID yet</t>
        </is>
      </c>
      <c r="S927" s="49" t="n"/>
      <c r="T927" s="49" t="n"/>
      <c r="U927" s="47" t="inlineStr">
        <is>
          <t>Go to to get PayPal Honey for free. Come see us at RTX! Today Ben dives into the ocean of The Little Mermaid to discuss what happened to Ariel's mother that left Triton a widower and his daughters without a mother! Was she killed? Did she abandon them? Was she HUMAN!? And did Ursula have anything to do with it?! Plus what will happen in the Live Action Little Mermaid coming out soon! #supercarlinbrothers #TheLittleMermaid #Disney 00:00 Introduction 01:52 Background 11:06 Live Action Theories 00:00 Introduction 01:52 Background 11:06 Live Action Theories</t>
        </is>
      </c>
      <c r="V927" s="47">
        <f>IF(AND(P927&gt;=Calendar!$K$2,P927&lt;EDATE(Calendar!$K$2,1),OR(Calendar!$K$4="*",N927=Calendar!$K$4)),P927*100+COUNTIFS($P$6:$P$3267,P927,$Q$6:$Q$3267,"&lt;="&amp;Q927,$N$6:$N$3267,Calendar!$K$4),"")</f>
        <v/>
      </c>
      <c r="W927" s="47">
        <f>IF(AND(B927=Queue!$C$4,OR(Queue!$K$4="*",N927=Queue!$K$4)),Q927,"")</f>
        <v/>
      </c>
    </row>
    <row r="928">
      <c r="A928" s="38">
        <f>IF(M928="","",HYPERLINK("https://www.youtube.com/watch?v="&amp;M928,"▶"))</f>
        <v/>
      </c>
      <c r="B928" s="39">
        <f>IF(C928&lt;&gt;"",C928,IF(P928&lt;=IFERROR(INDEX(tblChannels[Watched Through],MATCH(N928,tblChannels[Channel ID],0)),0),"Watched","Unwatched"))</f>
        <v/>
      </c>
      <c r="C928" s="40" t="n"/>
      <c r="D928" s="41" t="n"/>
      <c r="E928" s="42" t="n">
        <v>45037.41666666666</v>
      </c>
      <c r="F928" s="43" t="inlineStr">
        <is>
          <t>Popcorn Culture</t>
        </is>
      </c>
      <c r="G928" t="inlineStr">
        <is>
          <t>Right is the Wrong Word | Popcorn Culture</t>
        </is>
      </c>
      <c r="H928" s="44" t="n">
        <v>0.04538194444444445</v>
      </c>
      <c r="I928" s="45" t="n">
        <v>4849</v>
      </c>
      <c r="J928" s="45" t="n">
        <v>238</v>
      </c>
      <c r="K928" s="45" t="n">
        <v>17</v>
      </c>
      <c r="L928" s="46" t="n"/>
      <c r="M928" s="47" t="n"/>
      <c r="N928" s="47" t="inlineStr">
        <is>
          <t>UCHfIbq9thHPC8yrKjAdJgDA</t>
        </is>
      </c>
      <c r="O928" s="48" t="n">
        <v>45037.58333333334</v>
      </c>
      <c r="P928" s="49" t="n">
        <v>45037</v>
      </c>
      <c r="Q928" s="47" t="n">
        <v>2340</v>
      </c>
      <c r="R928" s="47" t="inlineStr">
        <is>
          <t>No Video ID yet</t>
        </is>
      </c>
      <c r="S928" s="49" t="n"/>
      <c r="T928" s="49" t="n"/>
      <c r="U928" s="47" t="inlineStr">
        <is>
          <t>In the 176th episode of the Pop, Ben and J discuss Ben’s marathon this weekend, J’s Pokémon tournament last weekend, restaurants taking way too long, cutthroat games, being right, reality shows, and taking Luke to the Mario Movie. Track Ben’s Marathon Progress: (on the morning of 4/22/23) Love is Blind: Love Island: Super Mario Brothers Movie: Cutthroat Mario Party Luke’s Movie Roller Coaster Nothing Scarier than What’s Possible 00:00 - Intro, Ben’s Marathon! 06:34 - Pokemon Tournament Update 11:16 - How Long Do You Wait for Food? 23:17 - Being Right… But 48:02 - Luke’s Mario Movie Experience</t>
        </is>
      </c>
      <c r="V928" s="47">
        <f>IF(AND(P928&gt;=Calendar!$K$2,P928&lt;EDATE(Calendar!$K$2,1),OR(Calendar!$K$4="*",N928=Calendar!$K$4)),P928*100+COUNTIFS($P$6:$P$3267,P928,$Q$6:$Q$3267,"&lt;="&amp;Q928,$N$6:$N$3267,Calendar!$K$4),"")</f>
        <v/>
      </c>
      <c r="W928" s="47">
        <f>IF(AND(B928=Queue!$C$4,OR(Queue!$K$4="*",N928=Queue!$K$4)),Q928,"")</f>
        <v/>
      </c>
    </row>
    <row r="929">
      <c r="A929" s="38">
        <f>IF(M929="","",HYPERLINK("https://www.youtube.com/watch?v="&amp;M929,"▶"))</f>
        <v/>
      </c>
      <c r="B929" s="39">
        <f>IF(C929&lt;&gt;"",C929,IF(P929&lt;=IFERROR(INDEX(tblChannels[Watched Through],MATCH(N929,tblChannels[Channel ID],0)),0),"Watched","Unwatched"))</f>
        <v/>
      </c>
      <c r="C929" s="40" t="n"/>
      <c r="D929" s="41" t="n"/>
      <c r="E929" s="42" t="n">
        <v>45036.77083333334</v>
      </c>
      <c r="F929" s="52" t="inlineStr">
        <is>
          <t>Super Carlin Gaming</t>
        </is>
      </c>
      <c r="G929" t="inlineStr">
        <is>
          <t>WE STRUCK GOLD AGAIN! | Carlin Brothers Box Breakers S5/E3</t>
        </is>
      </c>
      <c r="H929" s="44" t="n">
        <v>0.03789351851851852</v>
      </c>
      <c r="I929" s="45" t="n">
        <v>2462</v>
      </c>
      <c r="J929" s="45" t="n">
        <v>125</v>
      </c>
      <c r="K929" s="45" t="n">
        <v>17</v>
      </c>
      <c r="L929" s="46" t="n"/>
      <c r="M929" s="47" t="n"/>
      <c r="N929" s="47" t="inlineStr">
        <is>
          <t>UCor_9jRnNNZVzTuQ92PKsaQ</t>
        </is>
      </c>
      <c r="O929" s="48" t="n">
        <v>45036.9375</v>
      </c>
      <c r="P929" s="49" t="n">
        <v>45036</v>
      </c>
      <c r="Q929" s="47" t="n">
        <v>2339</v>
      </c>
      <c r="R929" s="47" t="inlineStr">
        <is>
          <t>No Video ID yet</t>
        </is>
      </c>
      <c r="S929" s="49" t="n"/>
      <c r="T929" s="49" t="n"/>
      <c r="U929" s="47" t="inlineStr">
        <is>
          <t>This week Scarlet And Violet COMES BACK STRONG</t>
        </is>
      </c>
      <c r="V929" s="47">
        <f>IF(AND(P929&gt;=Calendar!$K$2,P929&lt;EDATE(Calendar!$K$2,1),OR(Calendar!$K$4="*",N929=Calendar!$K$4)),P929*100+COUNTIFS($P$6:$P$3267,P929,$Q$6:$Q$3267,"&lt;="&amp;Q929,$N$6:$N$3267,Calendar!$K$4),"")</f>
        <v/>
      </c>
      <c r="W929" s="47">
        <f>IF(AND(B929=Queue!$C$4,OR(Queue!$K$4="*",N929=Queue!$K$4)),Q929,"")</f>
        <v/>
      </c>
    </row>
    <row r="930">
      <c r="A930" s="38">
        <f>IF(M930="","",HYPERLINK("https://www.youtube.com/watch?v="&amp;M930,"▶"))</f>
        <v/>
      </c>
      <c r="B930" s="39">
        <f>IF(C930&lt;&gt;"",C930,IF(P930&lt;=IFERROR(INDEX(tblChannels[Watched Through],MATCH(N930,tblChannels[Channel ID],0)),0),"Watched","Unwatched"))</f>
        <v/>
      </c>
      <c r="C930" s="40" t="n"/>
      <c r="D930" s="41" t="n"/>
      <c r="E930" s="42" t="n">
        <v>45035.55347222222</v>
      </c>
      <c r="F930" s="50" t="inlineStr">
        <is>
          <t>Super Carlin Brothers</t>
        </is>
      </c>
      <c r="G930" t="inlineStr">
        <is>
          <t>The Little Mermaid Makes NO Sense | Disney Film Theory</t>
        </is>
      </c>
      <c r="H930" s="44" t="n">
        <v>0.01162037037037037</v>
      </c>
      <c r="I930" s="45" t="n">
        <v>133348</v>
      </c>
      <c r="J930" s="45" t="n">
        <v>6759</v>
      </c>
      <c r="K930" s="45" t="n">
        <v>823</v>
      </c>
      <c r="L930" s="46" t="n"/>
      <c r="M930" s="47" t="n"/>
      <c r="N930" s="47" t="inlineStr">
        <is>
          <t>UCKZo4N0lVPccBkSiuyVh4yg</t>
        </is>
      </c>
      <c r="O930" s="48" t="n">
        <v>45035.72013888889</v>
      </c>
      <c r="P930" s="49" t="n">
        <v>45035</v>
      </c>
      <c r="Q930" s="47" t="n">
        <v>2338</v>
      </c>
      <c r="R930" s="47" t="inlineStr">
        <is>
          <t>No Video ID yet</t>
        </is>
      </c>
      <c r="S930" s="49" t="n"/>
      <c r="T930" s="49" t="n"/>
      <c r="U930" s="47" t="inlineStr">
        <is>
          <t>Come see us at RTX! Today J dives into the ocean of The Little Mermaid to discuss how it makes NO SENSE at all - Seriously why didnt Ariel just write stuff down for Eric to read? And can he understand the sea creatures or not? #supercarlinbrothers #TheLittleMermaid #Disney</t>
        </is>
      </c>
      <c r="V930" s="47">
        <f>IF(AND(P930&gt;=Calendar!$K$2,P930&lt;EDATE(Calendar!$K$2,1),OR(Calendar!$K$4="*",N930=Calendar!$K$4)),P930*100+COUNTIFS($P$6:$P$3267,P930,$Q$6:$Q$3267,"&lt;="&amp;Q930,$N$6:$N$3267,Calendar!$K$4),"")</f>
        <v/>
      </c>
      <c r="W930" s="47">
        <f>IF(AND(B930=Queue!$C$4,OR(Queue!$K$4="*",N930=Queue!$K$4)),Q930,"")</f>
        <v/>
      </c>
    </row>
    <row r="931">
      <c r="A931" s="38">
        <f>IF(M931="","",HYPERLINK("https://www.youtube.com/watch?v="&amp;M931,"▶"))</f>
        <v/>
      </c>
      <c r="B931" s="39">
        <f>IF(C931&lt;&gt;"",C931,IF(P931&lt;=IFERROR(INDEX(tblChannels[Watched Through],MATCH(N931,tblChannels[Channel ID],0)),0),"Watched","Unwatched"))</f>
        <v/>
      </c>
      <c r="C931" s="40" t="n"/>
      <c r="D931" s="41" t="n"/>
      <c r="E931" s="42" t="n">
        <v>45030.77083333334</v>
      </c>
      <c r="F931" s="52" t="inlineStr">
        <is>
          <t>Super Carlin Gaming</t>
        </is>
      </c>
      <c r="G931" t="inlineStr">
        <is>
          <t>This Scarlet &amp; Violet Booster Box Was STACKED | Carlin Brothers Box Breakers S5E1</t>
        </is>
      </c>
      <c r="H931" s="44" t="n">
        <v>0.03815972222222222</v>
      </c>
      <c r="I931" s="45" t="n">
        <v>2776</v>
      </c>
      <c r="J931" s="45" t="n">
        <v>139</v>
      </c>
      <c r="K931" s="45" t="n">
        <v>21</v>
      </c>
      <c r="L931" s="46" t="n"/>
      <c r="M931" s="47" t="n"/>
      <c r="N931" s="47" t="inlineStr">
        <is>
          <t>UCor_9jRnNNZVzTuQ92PKsaQ</t>
        </is>
      </c>
      <c r="O931" s="48" t="n">
        <v>45030.9375</v>
      </c>
      <c r="P931" s="49" t="n">
        <v>45030</v>
      </c>
      <c r="Q931" s="47" t="n">
        <v>2337</v>
      </c>
      <c r="R931" s="47" t="inlineStr">
        <is>
          <t>No Video ID yet</t>
        </is>
      </c>
      <c r="S931" s="49" t="n"/>
      <c r="T931" s="49" t="n"/>
      <c r="U931" s="47" t="inlineStr">
        <is>
          <t>This week Scarlet And Violet DELIVERS THE HEAT</t>
        </is>
      </c>
      <c r="V931" s="47">
        <f>IF(AND(P931&gt;=Calendar!$K$2,P931&lt;EDATE(Calendar!$K$2,1),OR(Calendar!$K$4="*",N931=Calendar!$K$4)),P931*100+COUNTIFS($P$6:$P$3267,P931,$Q$6:$Q$3267,"&lt;="&amp;Q931,$N$6:$N$3267,Calendar!$K$4),"")</f>
        <v/>
      </c>
      <c r="W931" s="47">
        <f>IF(AND(B931=Queue!$C$4,OR(Queue!$K$4="*",N931=Queue!$K$4)),Q931,"")</f>
        <v/>
      </c>
    </row>
    <row r="932">
      <c r="A932" s="38">
        <f>IF(M932="","",HYPERLINK("https://www.youtube.com/watch?v="&amp;M932,"▶"))</f>
        <v/>
      </c>
      <c r="B932" s="39">
        <f>IF(C932&lt;&gt;"",C932,IF(P932&lt;=IFERROR(INDEX(tblChannels[Watched Through],MATCH(N932,tblChannels[Channel ID],0)),0),"Watched","Unwatched"))</f>
        <v/>
      </c>
      <c r="C932" s="40" t="n"/>
      <c r="D932" s="41" t="n"/>
      <c r="E932" s="42" t="n">
        <v>45030.62430555555</v>
      </c>
      <c r="F932" s="50" t="inlineStr">
        <is>
          <t>Super Carlin Brothers</t>
        </is>
      </c>
      <c r="G932" t="inlineStr">
        <is>
          <t>What If ONLY Cedric Touched The Tri-Wizard Cup | Harry Potter Film Theory</t>
        </is>
      </c>
      <c r="H932" s="44" t="n">
        <v>0.0128125</v>
      </c>
      <c r="I932" s="45" t="n">
        <v>454874</v>
      </c>
      <c r="J932" s="45" t="n">
        <v>12411</v>
      </c>
      <c r="K932" s="45" t="n">
        <v>1075</v>
      </c>
      <c r="L932" s="46" t="n"/>
      <c r="M932" s="47" t="n"/>
      <c r="N932" s="47" t="inlineStr">
        <is>
          <t>UCKZo4N0lVPccBkSiuyVh4yg</t>
        </is>
      </c>
      <c r="O932" s="48" t="n">
        <v>45030.79097222222</v>
      </c>
      <c r="P932" s="49" t="n">
        <v>45030</v>
      </c>
      <c r="Q932" s="47" t="n">
        <v>2336</v>
      </c>
      <c r="R932" s="47" t="inlineStr">
        <is>
          <t>No Video ID yet</t>
        </is>
      </c>
      <c r="S932" s="49" t="n"/>
      <c r="T932" s="49" t="n"/>
      <c r="U932" s="47" t="inlineStr">
        <is>
          <t>Get 20% off your first monthly box when you sign up at Come see us at RTX! Today Ben dives into the Wizaring World of Harry Potter to find out what woud have happened if ONLY Cedric touched the Tri-Wizard Cup and was transported to the graveyard to face Voldemort?! Would he still die? Would Voldemort return at all/?</t>
        </is>
      </c>
      <c r="V932" s="47">
        <f>IF(AND(P932&gt;=Calendar!$K$2,P932&lt;EDATE(Calendar!$K$2,1),OR(Calendar!$K$4="*",N932=Calendar!$K$4)),P932*100+COUNTIFS($P$6:$P$3267,P932,$Q$6:$Q$3267,"&lt;="&amp;Q932,$N$6:$N$3267,Calendar!$K$4),"")</f>
        <v/>
      </c>
      <c r="W932" s="47">
        <f>IF(AND(B932=Queue!$C$4,OR(Queue!$K$4="*",N932=Queue!$K$4)),Q932,"")</f>
        <v/>
      </c>
    </row>
    <row r="933">
      <c r="A933" s="38">
        <f>IF(M933="","",HYPERLINK("https://www.youtube.com/watch?v="&amp;M933,"▶"))</f>
        <v/>
      </c>
      <c r="B933" s="39">
        <f>IF(C933&lt;&gt;"",C933,IF(P933&lt;=IFERROR(INDEX(tblChannels[Watched Through],MATCH(N933,tblChannels[Channel ID],0)),0),"Watched","Unwatched"))</f>
        <v/>
      </c>
      <c r="C933" s="40" t="n"/>
      <c r="D933" s="41" t="n"/>
      <c r="E933" s="42" t="n">
        <v>45030.41666666666</v>
      </c>
      <c r="F933" s="43" t="inlineStr">
        <is>
          <t>Popcorn Culture</t>
        </is>
      </c>
      <c r="G933" t="inlineStr">
        <is>
          <t>Ben Is Ted Lasso: CONFIRMED! | Popcorn Culture</t>
        </is>
      </c>
      <c r="H933" s="44" t="n">
        <v>0.0443287037037037</v>
      </c>
      <c r="I933" s="45" t="n">
        <v>4562</v>
      </c>
      <c r="J933" s="45" t="n">
        <v>241</v>
      </c>
      <c r="K933" s="45" t="n">
        <v>38</v>
      </c>
      <c r="L933" s="46" t="n"/>
      <c r="M933" s="47" t="n"/>
      <c r="N933" s="47" t="inlineStr">
        <is>
          <t>UCHfIbq9thHPC8yrKjAdJgDA</t>
        </is>
      </c>
      <c r="O933" s="48" t="n">
        <v>45030.58333333334</v>
      </c>
      <c r="P933" s="49" t="n">
        <v>45030</v>
      </c>
      <c r="Q933" s="47" t="n">
        <v>2335</v>
      </c>
      <c r="R933" s="47" t="inlineStr">
        <is>
          <t>No Video ID yet</t>
        </is>
      </c>
      <c r="S933" s="49" t="n"/>
      <c r="T933" s="49" t="n"/>
      <c r="U933" s="47" t="inlineStr">
        <is>
          <t>In the 175th episode of the Pop, Ben and J discuss the concept of soulmates vs kindred spirits, superior snacks, The Region Beta Paradox, the famous character quiz, the Mirror Law and hangovers. Girl Scout Cookies - The Famous Character Personality Quiz - Ben’s Wick of the Peek: Zebra Cakes - Do You Believe in Soulmates? Samoas are the 100% Tiny Toxic Relationships Colossal Hangovers 00:00 - Intro, Soulmates 23:24 - The Snack Basket 34:32 - The Region Beta Paradox 46:42 - What Famous Character Are You?</t>
        </is>
      </c>
      <c r="V933" s="47">
        <f>IF(AND(P933&gt;=Calendar!$K$2,P933&lt;EDATE(Calendar!$K$2,1),OR(Calendar!$K$4="*",N933=Calendar!$K$4)),P933*100+COUNTIFS($P$6:$P$3267,P933,$Q$6:$Q$3267,"&lt;="&amp;Q933,$N$6:$N$3267,Calendar!$K$4),"")</f>
        <v/>
      </c>
      <c r="W933" s="47">
        <f>IF(AND(B933=Queue!$C$4,OR(Queue!$K$4="*",N933=Queue!$K$4)),Q933,"")</f>
        <v/>
      </c>
    </row>
    <row r="934">
      <c r="A934" s="38">
        <f>IF(M934="","",HYPERLINK("https://www.youtube.com/watch?v="&amp;M934,"▶"))</f>
        <v/>
      </c>
      <c r="B934" s="39">
        <f>IF(C934&lt;&gt;"",C934,IF(P934&lt;=IFERROR(INDEX(tblChannels[Watched Through],MATCH(N934,tblChannels[Channel ID],0)),0),"Watched","Unwatched"))</f>
        <v/>
      </c>
      <c r="C934" s="40" t="n"/>
      <c r="D934" s="41" t="n"/>
      <c r="E934" s="42" t="n">
        <v>45028.75347222222</v>
      </c>
      <c r="F934" s="50" t="inlineStr">
        <is>
          <t>Super Carlin Brothers</t>
        </is>
      </c>
      <c r="G934" t="inlineStr">
        <is>
          <t>J vs Ben: HAPPIEST Harry Potter TRIVIA Quiz Ever</t>
        </is>
      </c>
      <c r="H934" s="44" t="n">
        <v>0.02181712962962963</v>
      </c>
      <c r="I934" s="45" t="n">
        <v>214051</v>
      </c>
      <c r="J934" s="45" t="n">
        <v>6958</v>
      </c>
      <c r="K934" s="45" t="n">
        <v>499</v>
      </c>
      <c r="L934" s="46" t="n"/>
      <c r="M934" s="47" t="n"/>
      <c r="N934" s="47" t="inlineStr">
        <is>
          <t>UCKZo4N0lVPccBkSiuyVh4yg</t>
        </is>
      </c>
      <c r="O934" s="48" t="n">
        <v>45028.92013888889</v>
      </c>
      <c r="P934" s="49" t="n">
        <v>45028</v>
      </c>
      <c r="Q934" s="47" t="n">
        <v>2334</v>
      </c>
      <c r="R934" s="47" t="inlineStr">
        <is>
          <t>No Video ID yet</t>
        </is>
      </c>
      <c r="S934" s="49" t="n"/>
      <c r="T934" s="49" t="n"/>
      <c r="U934" s="47" t="inlineStr">
        <is>
          <t>Go to to get PayPal Honey for free. Go to to get three months for free. Today J and Ben Face off once more to find out who knows more about all of the happiest moments in Harry Potter! Play Along With Us: 02:46 - Q1: What flavor birthday cake did Hagrid give Harry? 03:37 - Q2: What kind of sandwiches did Ron have on the train? 06:35 - Q3: What was the first memory Harry tried to use in Patronus lessons? 07:07 - Q4: Harry was the youngest seeker in how long? 08:02 - Q5: How many points did Dumbledore give Neville? 09:14 - Q6: What flavor of ice cream does Harry get for Ron and Hermione? 13:35 - Q7: What color is Ron’s bedroom? 14:59 - Q8: What article of clothing freed Dobby? 20:18 - Q9: What food did McGonagall give Harry and Ron in book 2? 21:48 - Q10: What’s the score in the Quidditch cup final in book 3? 23:33 - Q11: What was the portkey for the Quidditch World Cup? 24:35 - Q12: What was uncle Bilius Weasley’s party trick? 25:43 - Q13: Who worked at Weasley’s Wizard Wheezes with the twins? 27:05 - Q14: What did Romilda Vane think Harry had tattooed on his chest? 28:06 - Q15: What does Harry do after the trace is lifted?</t>
        </is>
      </c>
      <c r="V934" s="47">
        <f>IF(AND(P934&gt;=Calendar!$K$2,P934&lt;EDATE(Calendar!$K$2,1),OR(Calendar!$K$4="*",N934=Calendar!$K$4)),P934*100+COUNTIFS($P$6:$P$3267,P934,$Q$6:$Q$3267,"&lt;="&amp;Q934,$N$6:$N$3267,Calendar!$K$4),"")</f>
        <v/>
      </c>
      <c r="W934" s="47">
        <f>IF(AND(B934=Queue!$C$4,OR(Queue!$K$4="*",N934=Queue!$K$4)),Q934,"")</f>
        <v/>
      </c>
    </row>
    <row r="935">
      <c r="A935" s="38">
        <f>IF(M935="","",HYPERLINK("https://www.youtube.com/watch?v="&amp;M935,"▶"))</f>
        <v/>
      </c>
      <c r="B935" s="39">
        <f>IF(C935&lt;&gt;"",C935,IF(P935&lt;=IFERROR(INDEX(tblChannels[Watched Through],MATCH(N935,tblChannels[Channel ID],0)),0),"Watched","Unwatched"))</f>
        <v/>
      </c>
      <c r="C935" s="40" t="n"/>
      <c r="D935" s="41" t="n"/>
      <c r="E935" s="42" t="n">
        <v>45026.71180555555</v>
      </c>
      <c r="F935" s="50" t="inlineStr">
        <is>
          <t>Super Carlin Brothers</t>
        </is>
      </c>
      <c r="G935" t="inlineStr">
        <is>
          <t>The SUPER Mario Bros. Movie | REVIEW</t>
        </is>
      </c>
      <c r="H935" s="44" t="n">
        <v>0.03516203703703704</v>
      </c>
      <c r="I935" s="45" t="n">
        <v>91949</v>
      </c>
      <c r="J935" s="45" t="n">
        <v>3398</v>
      </c>
      <c r="K935" s="45" t="n">
        <v>659</v>
      </c>
      <c r="L935" s="46" t="n"/>
      <c r="M935" s="47" t="n"/>
      <c r="N935" s="47" t="inlineStr">
        <is>
          <t>UCKZo4N0lVPccBkSiuyVh4yg</t>
        </is>
      </c>
      <c r="O935" s="48" t="n">
        <v>45026.87847222222</v>
      </c>
      <c r="P935" s="49" t="n">
        <v>45026</v>
      </c>
      <c r="Q935" s="47" t="n">
        <v>2333</v>
      </c>
      <c r="R935" s="47" t="inlineStr">
        <is>
          <t>No Video ID yet</t>
        </is>
      </c>
      <c r="S935" s="49" t="n"/>
      <c r="T935" s="49" t="n"/>
      <c r="U935" s="47" t="inlineStr">
        <is>
          <t>Today the Super Carlin Brothers review the Super Mario Bros! In some ways this is what our entire life has been leading up to… As a HUGE fan of the Mario games over the years, this movie was an absolute blast, but… #supercarlinbrothers #Nintendo #SuperMarioBros</t>
        </is>
      </c>
      <c r="V935" s="47">
        <f>IF(AND(P935&gt;=Calendar!$K$2,P935&lt;EDATE(Calendar!$K$2,1),OR(Calendar!$K$4="*",N935=Calendar!$K$4)),P935*100+COUNTIFS($P$6:$P$3267,P935,$Q$6:$Q$3267,"&lt;="&amp;Q935,$N$6:$N$3267,Calendar!$K$4),"")</f>
        <v/>
      </c>
      <c r="W935" s="47">
        <f>IF(AND(B935=Queue!$C$4,OR(Queue!$K$4="*",N935=Queue!$K$4)),Q935,"")</f>
        <v/>
      </c>
    </row>
    <row r="936">
      <c r="A936" s="38">
        <f>IF(M936="","",HYPERLINK("https://www.youtube.com/watch?v="&amp;M936,"▶"))</f>
        <v/>
      </c>
      <c r="B936" s="39">
        <f>IF(C936&lt;&gt;"",C936,IF(P936&lt;=IFERROR(INDEX(tblChannels[Watched Through],MATCH(N936,tblChannels[Channel ID],0)),0),"Watched","Unwatched"))</f>
        <v/>
      </c>
      <c r="C936" s="40" t="n"/>
      <c r="D936" s="41" t="n"/>
      <c r="E936" s="42" t="n">
        <v>45023.85</v>
      </c>
      <c r="F936" s="52" t="inlineStr">
        <is>
          <t>Super Carlin Gaming</t>
        </is>
      </c>
      <c r="G936" t="inlineStr">
        <is>
          <t>Enter Scarlet and Violet! | Carlin Brothers Box Breakers S5E1</t>
        </is>
      </c>
      <c r="H936" s="44" t="n">
        <v>0.0397800925925926</v>
      </c>
      <c r="I936" s="45" t="n">
        <v>3191</v>
      </c>
      <c r="J936" s="45" t="n">
        <v>153</v>
      </c>
      <c r="K936" s="45" t="n">
        <v>31</v>
      </c>
      <c r="L936" s="46" t="n"/>
      <c r="M936" s="47" t="n"/>
      <c r="N936" s="47" t="inlineStr">
        <is>
          <t>UCor_9jRnNNZVzTuQ92PKsaQ</t>
        </is>
      </c>
      <c r="O936" s="48" t="n">
        <v>45024.01666666667</v>
      </c>
      <c r="P936" s="49" t="n">
        <v>45023</v>
      </c>
      <c r="Q936" s="47" t="n">
        <v>2332</v>
      </c>
      <c r="R936" s="47" t="inlineStr">
        <is>
          <t>No Video ID yet</t>
        </is>
      </c>
      <c r="S936" s="49" t="n"/>
      <c r="T936" s="49" t="n"/>
      <c r="U936" s="47" t="inlineStr">
        <is>
          <t>This week Scarlet And Violet Begins!</t>
        </is>
      </c>
      <c r="V936" s="47">
        <f>IF(AND(P936&gt;=Calendar!$K$2,P936&lt;EDATE(Calendar!$K$2,1),OR(Calendar!$K$4="*",N936=Calendar!$K$4)),P936*100+COUNTIFS($P$6:$P$3267,P936,$Q$6:$Q$3267,"&lt;="&amp;Q936,$N$6:$N$3267,Calendar!$K$4),"")</f>
        <v/>
      </c>
      <c r="W936" s="47">
        <f>IF(AND(B936=Queue!$C$4,OR(Queue!$K$4="*",N936=Queue!$K$4)),Q936,"")</f>
        <v/>
      </c>
    </row>
    <row r="937">
      <c r="A937" s="38">
        <f>IF(M937="","",HYPERLINK("https://www.youtube.com/watch?v="&amp;M937,"▶"))</f>
        <v/>
      </c>
      <c r="B937" s="39">
        <f>IF(C937&lt;&gt;"",C937,IF(P937&lt;=IFERROR(INDEX(tblChannels[Watched Through],MATCH(N937,tblChannels[Channel ID],0)),0),"Watched","Unwatched"))</f>
        <v/>
      </c>
      <c r="C937" s="40" t="n"/>
      <c r="D937" s="41" t="n"/>
      <c r="E937" s="42" t="n">
        <v>45023.65555555555</v>
      </c>
      <c r="F937" s="50" t="inlineStr">
        <is>
          <t>Super Carlin Brothers</t>
        </is>
      </c>
      <c r="G937" t="inlineStr">
        <is>
          <t>Harry Potter TV Series REBOOT! What’s It Going To Be About? | Harry Potter Film Theory</t>
        </is>
      </c>
      <c r="H937" s="44" t="n">
        <v>0.01674768518518518</v>
      </c>
      <c r="I937" s="45" t="n">
        <v>261570</v>
      </c>
      <c r="J937" s="45" t="n">
        <v>9683</v>
      </c>
      <c r="K937" s="45" t="n">
        <v>1666</v>
      </c>
      <c r="L937" s="46" t="n"/>
      <c r="M937" s="47" t="n"/>
      <c r="N937" s="47" t="inlineStr">
        <is>
          <t>UCKZo4N0lVPccBkSiuyVh4yg</t>
        </is>
      </c>
      <c r="O937" s="48" t="n">
        <v>45023.82222222222</v>
      </c>
      <c r="P937" s="49" t="n">
        <v>45023</v>
      </c>
      <c r="Q937" s="47" t="n">
        <v>2331</v>
      </c>
      <c r="R937" s="47" t="inlineStr">
        <is>
          <t>No Video ID yet</t>
        </is>
      </c>
      <c r="S937" s="49" t="n"/>
      <c r="T937" s="49" t="n"/>
      <c r="U937" s="47" t="inlineStr">
        <is>
          <t>Go to and use code SUPER to 2X your rewards today. Today Ben dives into the Wizarding World to explore the supposedly soon to be announce Harry Potter TV show, and what it’ll be about then counts down his TOP 10 Hopes for things to see in the show! Edited by :: Riley Murtagh &amp; Ethan Edghill</t>
        </is>
      </c>
      <c r="V937" s="47">
        <f>IF(AND(P937&gt;=Calendar!$K$2,P937&lt;EDATE(Calendar!$K$2,1),OR(Calendar!$K$4="*",N937=Calendar!$K$4)),P937*100+COUNTIFS($P$6:$P$3267,P937,$Q$6:$Q$3267,"&lt;="&amp;Q937,$N$6:$N$3267,Calendar!$K$4),"")</f>
        <v/>
      </c>
      <c r="W937" s="47">
        <f>IF(AND(B937=Queue!$C$4,OR(Queue!$K$4="*",N937=Queue!$K$4)),Q937,"")</f>
        <v/>
      </c>
    </row>
    <row r="938">
      <c r="A938" s="38">
        <f>IF(M938="","",HYPERLINK("https://www.youtube.com/watch?v="&amp;M938,"▶"))</f>
        <v/>
      </c>
      <c r="B938" s="39">
        <f>IF(C938&lt;&gt;"",C938,IF(P938&lt;=IFERROR(INDEX(tblChannels[Watched Through],MATCH(N938,tblChannels[Channel ID],0)),0),"Watched","Unwatched"))</f>
        <v/>
      </c>
      <c r="C938" s="40" t="n"/>
      <c r="D938" s="41" t="n"/>
      <c r="E938" s="42" t="n">
        <v>45023.41666666666</v>
      </c>
      <c r="F938" s="43" t="inlineStr">
        <is>
          <t>Popcorn Culture</t>
        </is>
      </c>
      <c r="G938" t="inlineStr">
        <is>
          <t>J's Secret Wife | Popcorn Culture</t>
        </is>
      </c>
      <c r="H938" s="44" t="n">
        <v>0.04903935185185185</v>
      </c>
      <c r="I938" s="45" t="n">
        <v>5483</v>
      </c>
      <c r="J938" s="45" t="n">
        <v>254</v>
      </c>
      <c r="K938" s="45" t="n">
        <v>16</v>
      </c>
      <c r="L938" s="46" t="n"/>
      <c r="M938" s="47" t="n"/>
      <c r="N938" s="47" t="inlineStr">
        <is>
          <t>UCHfIbq9thHPC8yrKjAdJgDA</t>
        </is>
      </c>
      <c r="O938" s="48" t="n">
        <v>45023.58333333334</v>
      </c>
      <c r="P938" s="49" t="n">
        <v>45023</v>
      </c>
      <c r="Q938" s="47" t="n">
        <v>2330</v>
      </c>
      <c r="R938" s="47" t="inlineStr">
        <is>
          <t>No Video ID yet</t>
        </is>
      </c>
      <c r="S938" s="49" t="n"/>
      <c r="T938" s="49" t="n"/>
      <c r="U938" s="47" t="inlineStr">
        <is>
          <t>In the 174th episode of the pop, Ben and J discuss chat GPT, straws, Facebook evolution, the psychology of superstitions, Ben’s upcoming marathon, the step competition, how people enjoy things, and a top 10 word. Anna Brisbin AKA Brizzy Voices - Cast Away - Don’t Believe Everything You Hear The Evolution of Facebook Knock on Wood The Nature of Enjoyment Coddiwomple 00:00 - Chat GPT Intro 15:02 - Typical Pop Segments but Make It AI 31:20 - Superstitions 42:39 - Marathon &amp; Step Comp 53:14 - The Nature of Enjoyment</t>
        </is>
      </c>
      <c r="V938" s="47">
        <f>IF(AND(P938&gt;=Calendar!$K$2,P938&lt;EDATE(Calendar!$K$2,1),OR(Calendar!$K$4="*",N938=Calendar!$K$4)),P938*100+COUNTIFS($P$6:$P$3267,P938,$Q$6:$Q$3267,"&lt;="&amp;Q938,$N$6:$N$3267,Calendar!$K$4),"")</f>
        <v/>
      </c>
      <c r="W938" s="47">
        <f>IF(AND(B938=Queue!$C$4,OR(Queue!$K$4="*",N938=Queue!$K$4)),Q938,"")</f>
        <v/>
      </c>
    </row>
    <row r="939">
      <c r="A939" s="38">
        <f>IF(M939="","",HYPERLINK("https://www.youtube.com/watch?v="&amp;M939,"▶"))</f>
        <v/>
      </c>
      <c r="B939" s="39">
        <f>IF(C939&lt;&gt;"",C939,IF(P939&lt;=IFERROR(INDEX(tblChannels[Watched Through],MATCH(N939,tblChannels[Channel ID],0)),0),"Watched","Unwatched"))</f>
        <v/>
      </c>
      <c r="C939" s="40" t="n"/>
      <c r="D939" s="41" t="n"/>
      <c r="E939" s="42" t="n">
        <v>45021.6</v>
      </c>
      <c r="F939" s="50" t="inlineStr">
        <is>
          <t>Super Carlin Brothers</t>
        </is>
      </c>
      <c r="G939" t="inlineStr">
        <is>
          <t>How the Weasley Twins Knew What to Bet Ludo Bagman | Harry Potter Film Theory</t>
        </is>
      </c>
      <c r="H939" s="44" t="n">
        <v>0.01422453703703704</v>
      </c>
      <c r="I939" s="45" t="n">
        <v>352163</v>
      </c>
      <c r="J939" s="45" t="n">
        <v>11971</v>
      </c>
      <c r="K939" s="45" t="n">
        <v>1016</v>
      </c>
      <c r="L939" s="46" t="n"/>
      <c r="M939" s="47" t="n"/>
      <c r="N939" s="47" t="inlineStr">
        <is>
          <t>UCKZo4N0lVPccBkSiuyVh4yg</t>
        </is>
      </c>
      <c r="O939" s="48" t="n">
        <v>45021.76666666667</v>
      </c>
      <c r="P939" s="49" t="n">
        <v>45021</v>
      </c>
      <c r="Q939" s="47" t="n">
        <v>2329</v>
      </c>
      <c r="R939" s="47" t="inlineStr">
        <is>
          <t>No Video ID yet</t>
        </is>
      </c>
      <c r="S939" s="49" t="n"/>
      <c r="T939" s="49" t="n"/>
      <c r="U939" s="47" t="inlineStr">
        <is>
          <t>Go to to get 25% off your first order and free standard shipping. Today J dives into the Wizarding World of Harry Potter to finally reveal How Fred and George Weasley knew EXACTLY what to bet Ludo Bagman in Goblet of Fire. Ireland wins but Krum catches the Snitch indeed… #supercarlinbrothers #harrypotter</t>
        </is>
      </c>
      <c r="V939" s="47">
        <f>IF(AND(P939&gt;=Calendar!$K$2,P939&lt;EDATE(Calendar!$K$2,1),OR(Calendar!$K$4="*",N939=Calendar!$K$4)),P939*100+COUNTIFS($P$6:$P$3267,P939,$Q$6:$Q$3267,"&lt;="&amp;Q939,$N$6:$N$3267,Calendar!$K$4),"")</f>
        <v/>
      </c>
      <c r="W939" s="47">
        <f>IF(AND(B939=Queue!$C$4,OR(Queue!$K$4="*",N939=Queue!$K$4)),Q939,"")</f>
        <v/>
      </c>
    </row>
    <row r="940">
      <c r="A940" s="38">
        <f>IF(M940="","",HYPERLINK("https://www.youtube.com/watch?v="&amp;M940,"▶"))</f>
        <v/>
      </c>
      <c r="B940" s="39">
        <f>IF(C940&lt;&gt;"",C940,IF(P940&lt;=IFERROR(INDEX(tblChannels[Watched Through],MATCH(N940,tblChannels[Channel ID],0)),0),"Watched","Unwatched"))</f>
        <v/>
      </c>
      <c r="C940" s="40" t="n"/>
      <c r="D940" s="41" t="n"/>
      <c r="E940" s="42" t="n">
        <v>45018.5</v>
      </c>
      <c r="F940" s="50" t="inlineStr">
        <is>
          <t>Super Carlin Brothers</t>
        </is>
      </c>
      <c r="G940" t="inlineStr">
        <is>
          <t>TRON Lightcycle Run REVIEW &amp; Disney Adventure</t>
        </is>
      </c>
      <c r="H940" s="44" t="n">
        <v>0.02143518518518519</v>
      </c>
      <c r="I940" s="45" t="n">
        <v>34763</v>
      </c>
      <c r="J940" s="45" t="n">
        <v>1779</v>
      </c>
      <c r="K940" s="45" t="n">
        <v>165</v>
      </c>
      <c r="L940" s="46" t="n"/>
      <c r="M940" s="47" t="n"/>
      <c r="N940" s="47" t="inlineStr">
        <is>
          <t>UCKZo4N0lVPccBkSiuyVh4yg</t>
        </is>
      </c>
      <c r="O940" s="48" t="n">
        <v>45018.66666666666</v>
      </c>
      <c r="P940" s="49" t="n">
        <v>45018</v>
      </c>
      <c r="Q940" s="47" t="n">
        <v>2328</v>
      </c>
      <c r="R940" s="47" t="inlineStr">
        <is>
          <t>No Video ID yet</t>
        </is>
      </c>
      <c r="S940" s="49" t="n"/>
      <c r="T940" s="49" t="n"/>
      <c r="U940" s="47" t="inlineStr">
        <is>
          <t>Join J, Ben, Beth and Alyce on a #hosted trip to Disney World to experience all the Disney Thrills from Magic Kingdom, Animal Kingdom, EPCOT and Hollywood Studios! PLUS experience the brand new TRON Lightcycle Run in all its high speed glory! #AllTheDisneyThrills #Disney #waltdisneyworld</t>
        </is>
      </c>
      <c r="V940" s="47">
        <f>IF(AND(P940&gt;=Calendar!$K$2,P940&lt;EDATE(Calendar!$K$2,1),OR(Calendar!$K$4="*",N940=Calendar!$K$4)),P940*100+COUNTIFS($P$6:$P$3267,P940,$Q$6:$Q$3267,"&lt;="&amp;Q940,$N$6:$N$3267,Calendar!$K$4),"")</f>
        <v/>
      </c>
      <c r="W940" s="47">
        <f>IF(AND(B940=Queue!$C$4,OR(Queue!$K$4="*",N940=Queue!$K$4)),Q940,"")</f>
        <v/>
      </c>
    </row>
    <row r="941">
      <c r="A941" s="38">
        <f>IF(M941="","",HYPERLINK("https://www.youtube.com/watch?v="&amp;M941,"▶"))</f>
        <v/>
      </c>
      <c r="B941" s="39">
        <f>IF(C941&lt;&gt;"",C941,IF(P941&lt;=IFERROR(INDEX(tblChannels[Watched Through],MATCH(N941,tblChannels[Channel ID],0)),0),"Watched","Unwatched"))</f>
        <v/>
      </c>
      <c r="C941" s="40" t="n"/>
      <c r="D941" s="41" t="n"/>
      <c r="E941" s="42" t="n">
        <v>45016.875</v>
      </c>
      <c r="F941" s="52" t="inlineStr">
        <is>
          <t>Super Carlin Gaming</t>
        </is>
      </c>
      <c r="G941" t="inlineStr">
        <is>
          <t>A WINNER IS CROWNED (ZENITH) | Carlin Brothers Box Breakers Season 4 Finale</t>
        </is>
      </c>
      <c r="H941" s="44" t="n">
        <v>0.03701388888888889</v>
      </c>
      <c r="I941" s="45" t="n">
        <v>2302</v>
      </c>
      <c r="J941" s="45" t="n">
        <v>129</v>
      </c>
      <c r="K941" s="45" t="n">
        <v>23</v>
      </c>
      <c r="L941" s="46" t="n"/>
      <c r="M941" s="47" t="n"/>
      <c r="N941" s="47" t="inlineStr">
        <is>
          <t>UCor_9jRnNNZVzTuQ92PKsaQ</t>
        </is>
      </c>
      <c r="O941" s="48" t="n">
        <v>45017.04166666666</v>
      </c>
      <c r="P941" s="49" t="n">
        <v>45016</v>
      </c>
      <c r="Q941" s="47" t="n">
        <v>2327</v>
      </c>
      <c r="R941" s="47" t="inlineStr">
        <is>
          <t>No Video ID yet</t>
        </is>
      </c>
      <c r="S941" s="49" t="n"/>
      <c r="T941" s="49" t="n"/>
      <c r="U941" s="47" t="inlineStr">
        <is>
          <t>This week Crown Zenith ends!</t>
        </is>
      </c>
      <c r="V941" s="47">
        <f>IF(AND(P941&gt;=Calendar!$K$2,P941&lt;EDATE(Calendar!$K$2,1),OR(Calendar!$K$4="*",N941=Calendar!$K$4)),P941*100+COUNTIFS($P$6:$P$3267,P941,$Q$6:$Q$3267,"&lt;="&amp;Q941,$N$6:$N$3267,Calendar!$K$4),"")</f>
        <v/>
      </c>
      <c r="W941" s="47">
        <f>IF(AND(B941=Queue!$C$4,OR(Queue!$K$4="*",N941=Queue!$K$4)),Q941,"")</f>
        <v/>
      </c>
    </row>
    <row r="942">
      <c r="A942" s="38">
        <f>IF(M942="","",HYPERLINK("https://www.youtube.com/watch?v="&amp;M942,"▶"))</f>
        <v/>
      </c>
      <c r="B942" s="39">
        <f>IF(C942&lt;&gt;"",C942,IF(P942&lt;=IFERROR(INDEX(tblChannels[Watched Through],MATCH(N942,tblChannels[Channel ID],0)),0),"Watched","Unwatched"))</f>
        <v/>
      </c>
      <c r="C942" s="40" t="n"/>
      <c r="D942" s="41" t="n"/>
      <c r="E942" s="42" t="n">
        <v>45016.83333333334</v>
      </c>
      <c r="F942" s="50" t="inlineStr">
        <is>
          <t>Super Carlin Brothers</t>
        </is>
      </c>
      <c r="G942" t="inlineStr">
        <is>
          <t>ALL FANDOM TRIVIA LIVE STREAM - MARCH 2023</t>
        </is>
      </c>
      <c r="H942" s="44" t="n">
        <v>0.07504629629629629</v>
      </c>
      <c r="I942" s="45" t="n">
        <v>22608</v>
      </c>
      <c r="J942" s="45" t="n">
        <v>681</v>
      </c>
      <c r="K942" s="45" t="n">
        <v>35</v>
      </c>
      <c r="L942" s="46" t="n"/>
      <c r="M942" s="47" t="n"/>
      <c r="N942" s="47" t="inlineStr">
        <is>
          <t>UCKZo4N0lVPccBkSiuyVh4yg</t>
        </is>
      </c>
      <c r="O942" s="48" t="n">
        <v>45017</v>
      </c>
      <c r="P942" s="49" t="n">
        <v>45016</v>
      </c>
      <c r="Q942" s="47" t="n">
        <v>2326</v>
      </c>
      <c r="R942" s="47" t="inlineStr">
        <is>
          <t>No Video ID yet</t>
        </is>
      </c>
      <c r="S942" s="49" t="n"/>
      <c r="T942" s="49" t="n"/>
      <c r="U942" s="47" t="inlineStr">
        <is>
          <t>Come join us and test your knowledge of Disney, Pixar, Star Wars, Marvel, Harry Potter and Avatar the Last Airbender! How to play :: 1. Download the Kahoot App on your phone or go to Kahoot.it to play on browser. 2. There is no need to create an account at all, just access the app or website and enter the key code 3. Speaking of which before the game begins the guys will announce the key code for you to enter on your phone and play long 4. Answer the questions as fast as you can! The faster you answer the more points you score and dont worry about getting it wrong, you WONT lose points, you just wont earn any. 5. Have fun! 6. If you are one of the top 5 see instructions below for how to claim your prize! If you were one of the top 5 winners email secretcarlinbrothers@gmail.com. First place winners get a choice of one animal mug. 2nd-5th place winners get a $10 gift card to</t>
        </is>
      </c>
      <c r="V942" s="47">
        <f>IF(AND(P942&gt;=Calendar!$K$2,P942&lt;EDATE(Calendar!$K$2,1),OR(Calendar!$K$4="*",N942=Calendar!$K$4)),P942*100+COUNTIFS($P$6:$P$3267,P942,$Q$6:$Q$3267,"&lt;="&amp;Q942,$N$6:$N$3267,Calendar!$K$4),"")</f>
        <v/>
      </c>
      <c r="W942" s="47">
        <f>IF(AND(B942=Queue!$C$4,OR(Queue!$K$4="*",N942=Queue!$K$4)),Q942,"")</f>
        <v/>
      </c>
    </row>
    <row r="943">
      <c r="A943" s="38">
        <f>IF(M943="","",HYPERLINK("https://www.youtube.com/watch?v="&amp;M943,"▶"))</f>
        <v/>
      </c>
      <c r="B943" s="39">
        <f>IF(C943&lt;&gt;"",C943,IF(P943&lt;=IFERROR(INDEX(tblChannels[Watched Through],MATCH(N943,tblChannels[Channel ID],0)),0),"Watched","Unwatched"))</f>
        <v/>
      </c>
      <c r="C943" s="40" t="n"/>
      <c r="D943" s="41" t="n"/>
      <c r="E943" s="42" t="n">
        <v>45016.82638888889</v>
      </c>
      <c r="F943" s="50" t="inlineStr">
        <is>
          <t>Super Carlin Brothers</t>
        </is>
      </c>
      <c r="G943" t="inlineStr">
        <is>
          <t>J vs Ben: We FAILED Even More Harry Potter Trivia - REDEMPTION Quiz</t>
        </is>
      </c>
      <c r="H943" s="44" t="n">
        <v>0.02373842592592593</v>
      </c>
      <c r="I943" s="45" t="n">
        <v>259733</v>
      </c>
      <c r="J943" s="45" t="n">
        <v>7611</v>
      </c>
      <c r="K943" s="45" t="n">
        <v>485</v>
      </c>
      <c r="L943" s="46" t="n"/>
      <c r="M943" s="47" t="n"/>
      <c r="N943" s="47" t="inlineStr">
        <is>
          <t>UCKZo4N0lVPccBkSiuyVh4yg</t>
        </is>
      </c>
      <c r="O943" s="48" t="n">
        <v>45016.99305555555</v>
      </c>
      <c r="P943" s="49" t="n">
        <v>45016</v>
      </c>
      <c r="Q943" s="47" t="n">
        <v>2325</v>
      </c>
      <c r="R943" s="47" t="inlineStr">
        <is>
          <t>No Video ID yet</t>
        </is>
      </c>
      <c r="S943" s="49" t="n"/>
      <c r="T943" s="49" t="n"/>
      <c r="U943" s="47" t="inlineStr">
        <is>
          <t>Go to and use code jvsb50 to get 50% off your first box. DoorDash app in the App Store and enter code JVSB for 50% off your first order up to a $20 value. Today J and Ben Face off once more to find out who knows more about the Wizarding World of Harry Potter - BUT the real question is.. Were they paying attention last time, because today all of the questions they BOTH failed from old quizzes! 01:54 - Q1: What ad was not at the World Cup? 03:06 - Q2: What was in Dumbledore and Snape’s Christmas cracker? 07:30 - Q3 How many floors are in the Burrow? 08:58 - Q4: What color PJs was Slughorn wearing? 11:25 - Q5: What flavor ice cream did Hagrid get Harry? 13:02 - Q6: Who did Mrs. Weasley see in her Boggart? 14:24 - Q7: How did Lockhart decorate for Valentines? 20:32 - Q8: What pudding did Petunia make for the Masons? 23:05 - Q9: Who should have arrived at the Burrow first? 24:11 - Q10: Who bet Ludo Bulgaria would score first? 25:44 - Q11: What did Lily say she would choose over James in year 5? 26:26 - Q12: How long was Dudley’s tongue? 27:37 - Q13: What did Hagrid’s class not feed the Skrewts? 28:40 - Q14: What was the first year’s Transfiguration exam? 30:02 - Q15: What other shop sel</t>
        </is>
      </c>
      <c r="V943" s="47">
        <f>IF(AND(P943&gt;=Calendar!$K$2,P943&lt;EDATE(Calendar!$K$2,1),OR(Calendar!$K$4="*",N943=Calendar!$K$4)),P943*100+COUNTIFS($P$6:$P$3267,P943,$Q$6:$Q$3267,"&lt;="&amp;Q943,$N$6:$N$3267,Calendar!$K$4),"")</f>
        <v/>
      </c>
      <c r="W943" s="47">
        <f>IF(AND(B943=Queue!$C$4,OR(Queue!$K$4="*",N943=Queue!$K$4)),Q943,"")</f>
        <v/>
      </c>
    </row>
    <row r="944">
      <c r="A944" s="38">
        <f>IF(M944="","",HYPERLINK("https://www.youtube.com/watch?v="&amp;M944,"▶"))</f>
        <v/>
      </c>
      <c r="B944" s="39">
        <f>IF(C944&lt;&gt;"",C944,IF(P944&lt;=IFERROR(INDEX(tblChannels[Watched Through],MATCH(N944,tblChannels[Channel ID],0)),0),"Watched","Unwatched"))</f>
        <v/>
      </c>
      <c r="C944" s="40" t="n"/>
      <c r="D944" s="41" t="n"/>
      <c r="E944" s="42" t="n">
        <v>45016.41666666666</v>
      </c>
      <c r="F944" s="43" t="inlineStr">
        <is>
          <t>Popcorn Culture</t>
        </is>
      </c>
      <c r="G944" t="inlineStr">
        <is>
          <t>A Pungent Experience| Popcorn Culture</t>
        </is>
      </c>
      <c r="H944" s="44" t="n">
        <v>0.04655092592592593</v>
      </c>
      <c r="I944" s="45" t="n">
        <v>4747</v>
      </c>
      <c r="J944" s="45" t="n">
        <v>247</v>
      </c>
      <c r="K944" s="45" t="n">
        <v>32</v>
      </c>
      <c r="L944" s="46" t="n"/>
      <c r="M944" s="47" t="n"/>
      <c r="N944" s="47" t="inlineStr">
        <is>
          <t>UCHfIbq9thHPC8yrKjAdJgDA</t>
        </is>
      </c>
      <c r="O944" s="48" t="n">
        <v>45016.58333333334</v>
      </c>
      <c r="P944" s="49" t="n">
        <v>45016</v>
      </c>
      <c r="Q944" s="47" t="n">
        <v>2324</v>
      </c>
      <c r="R944" s="47" t="inlineStr">
        <is>
          <t>No Video ID yet</t>
        </is>
      </c>
      <c r="S944" s="49" t="n"/>
      <c r="T944" s="49" t="n"/>
      <c r="U944" s="47" t="inlineStr">
        <is>
          <t>In the 173rd episode of the pop, Ben and J discuss J’s experience at Charlotte Pokemon Regionals, lunch breaks, writing What If videos, J’s struggle with hardware stores, quality of life upgrades, Ben’s tattoo quest, stinky cheese, and aquarium foam. I Love You, Man - Hamilton - DuraLOOdon! You’ll Think of Something Toxic Relationship with Your Shower Should We Go To Budapest?! 00:00 - Intro, Charlotte Pokemon Regionals 24:16 - Leaky Shower Faucet and Other House Upgrades 33:56 - Ben’s Tattoo Quest Updates 50:55 - Element of Surprise!!!</t>
        </is>
      </c>
      <c r="V944" s="47">
        <f>IF(AND(P944&gt;=Calendar!$K$2,P944&lt;EDATE(Calendar!$K$2,1),OR(Calendar!$K$4="*",N944=Calendar!$K$4)),P944*100+COUNTIFS($P$6:$P$3267,P944,$Q$6:$Q$3267,"&lt;="&amp;Q944,$N$6:$N$3267,Calendar!$K$4),"")</f>
        <v/>
      </c>
      <c r="W944" s="47">
        <f>IF(AND(B944=Queue!$C$4,OR(Queue!$K$4="*",N944=Queue!$K$4)),Q944,"")</f>
        <v/>
      </c>
    </row>
    <row r="945">
      <c r="A945" s="38">
        <f>IF(M945="","",HYPERLINK("https://www.youtube.com/watch?v="&amp;M945,"▶"))</f>
        <v/>
      </c>
      <c r="B945" s="39">
        <f>IF(C945&lt;&gt;"",C945,IF(P945&lt;=IFERROR(INDEX(tblChannels[Watched Through],MATCH(N945,tblChannels[Channel ID],0)),0),"Watched","Unwatched"))</f>
        <v/>
      </c>
      <c r="C945" s="40" t="n"/>
      <c r="D945" s="41" t="n"/>
      <c r="E945" s="42" t="n">
        <v>45014.67361111111</v>
      </c>
      <c r="F945" s="50" t="inlineStr">
        <is>
          <t>Super Carlin Brothers</t>
        </is>
      </c>
      <c r="G945" t="inlineStr">
        <is>
          <t>What If Sirius TOLD HARRY How To Use The Mirrors | Harry Potter Film Theory</t>
        </is>
      </c>
      <c r="H945" s="44" t="n">
        <v>0.02091435185185185</v>
      </c>
      <c r="I945" s="45" t="n">
        <v>658844</v>
      </c>
      <c r="J945" s="45" t="n">
        <v>16183</v>
      </c>
      <c r="K945" s="45" t="n">
        <v>1388</v>
      </c>
      <c r="L945" s="46" t="n"/>
      <c r="M945" s="47" t="n"/>
      <c r="N945" s="47" t="inlineStr">
        <is>
          <t>UCKZo4N0lVPccBkSiuyVh4yg</t>
        </is>
      </c>
      <c r="O945" s="48" t="n">
        <v>45014.84027777778</v>
      </c>
      <c r="P945" s="49" t="n">
        <v>45014</v>
      </c>
      <c r="Q945" s="47" t="n">
        <v>2323</v>
      </c>
      <c r="R945" s="47" t="inlineStr">
        <is>
          <t>No Video ID yet</t>
        </is>
      </c>
      <c r="S945" s="49" t="n"/>
      <c r="T945" s="49" t="n"/>
      <c r="U945" s="47" t="inlineStr">
        <is>
          <t>Today J dives into the Wizarding World of Harry Potter to try and find out what WOULD have happened if Sirius had just told Harry how the 2 way mirrors worked in Order of the Phoenix and Harry never had to use Umbridge’s fireplace</t>
        </is>
      </c>
      <c r="V945" s="47">
        <f>IF(AND(P945&gt;=Calendar!$K$2,P945&lt;EDATE(Calendar!$K$2,1),OR(Calendar!$K$4="*",N945=Calendar!$K$4)),P945*100+COUNTIFS($P$6:$P$3267,P945,$Q$6:$Q$3267,"&lt;="&amp;Q945,$N$6:$N$3267,Calendar!$K$4),"")</f>
        <v/>
      </c>
      <c r="W945" s="47">
        <f>IF(AND(B945=Queue!$C$4,OR(Queue!$K$4="*",N945=Queue!$K$4)),Q945,"")</f>
        <v/>
      </c>
    </row>
    <row r="946">
      <c r="A946" s="38">
        <f>IF(M946="","",HYPERLINK("https://www.youtube.com/watch?v="&amp;M946,"▶"))</f>
        <v/>
      </c>
      <c r="B946" s="39">
        <f>IF(C946&lt;&gt;"",C946,IF(P946&lt;=IFERROR(INDEX(tblChannels[Watched Through],MATCH(N946,tblChannels[Channel ID],0)),0),"Watched","Unwatched"))</f>
        <v/>
      </c>
      <c r="C946" s="40" t="n"/>
      <c r="D946" s="41" t="n"/>
      <c r="E946" s="42" t="n">
        <v>45009.81319444445</v>
      </c>
      <c r="F946" s="50" t="inlineStr">
        <is>
          <t>Super Carlin Brothers</t>
        </is>
      </c>
      <c r="G946" t="inlineStr">
        <is>
          <t>What If Draco ACTUALLY Killed Dumbledore | Harry Potter Film Theory</t>
        </is>
      </c>
      <c r="H946" s="44" t="n">
        <v>0.0228125</v>
      </c>
      <c r="I946" s="45" t="n">
        <v>616128</v>
      </c>
      <c r="J946" s="45" t="n">
        <v>15165</v>
      </c>
      <c r="K946" s="45" t="n">
        <v>1076</v>
      </c>
      <c r="L946" s="46" t="n"/>
      <c r="M946" s="47" t="n"/>
      <c r="N946" s="47" t="inlineStr">
        <is>
          <t>UCKZo4N0lVPccBkSiuyVh4yg</t>
        </is>
      </c>
      <c r="O946" s="48" t="n">
        <v>45009.97986111111</v>
      </c>
      <c r="P946" s="49" t="n">
        <v>45009</v>
      </c>
      <c r="Q946" s="47" t="n">
        <v>2322</v>
      </c>
      <c r="R946" s="47" t="inlineStr">
        <is>
          <t>No Video ID yet</t>
        </is>
      </c>
      <c r="S946" s="49" t="n"/>
      <c r="T946" s="49" t="n"/>
      <c r="U946" s="47" t="inlineStr">
        <is>
          <t>Go to and use code supercarlin60 for 60% off plus free shipping! Today Ben dives into the Wizarding World of Harry Potter to find out what would have happened if Draco had ACTUALLY killed Dumbledore instead of Snape!</t>
        </is>
      </c>
      <c r="V946" s="47">
        <f>IF(AND(P946&gt;=Calendar!$K$2,P946&lt;EDATE(Calendar!$K$2,1),OR(Calendar!$K$4="*",N946=Calendar!$K$4)),P946*100+COUNTIFS($P$6:$P$3267,P946,$Q$6:$Q$3267,"&lt;="&amp;Q946,$N$6:$N$3267,Calendar!$K$4),"")</f>
        <v/>
      </c>
      <c r="W946" s="47">
        <f>IF(AND(B946=Queue!$C$4,OR(Queue!$K$4="*",N946=Queue!$K$4)),Q946,"")</f>
        <v/>
      </c>
    </row>
    <row r="947">
      <c r="A947" s="38">
        <f>IF(M947="","",HYPERLINK("https://www.youtube.com/watch?v="&amp;M947,"▶"))</f>
        <v/>
      </c>
      <c r="B947" s="39">
        <f>IF(C947&lt;&gt;"",C947,IF(P947&lt;=IFERROR(INDEX(tblChannels[Watched Through],MATCH(N947,tblChannels[Channel ID],0)),0),"Watched","Unwatched"))</f>
        <v/>
      </c>
      <c r="C947" s="40" t="n"/>
      <c r="D947" s="41" t="n"/>
      <c r="E947" s="42" t="n">
        <v>45009.41666666666</v>
      </c>
      <c r="F947" s="43" t="inlineStr">
        <is>
          <t>Popcorn Culture</t>
        </is>
      </c>
      <c r="G947" t="inlineStr">
        <is>
          <t>The One About Tron | Popcorn Culture</t>
        </is>
      </c>
      <c r="H947" s="44" t="n">
        <v>0.04707175925925926</v>
      </c>
      <c r="I947" s="45" t="n">
        <v>4934</v>
      </c>
      <c r="J947" s="45" t="n">
        <v>260</v>
      </c>
      <c r="K947" s="45" t="n">
        <v>21</v>
      </c>
      <c r="L947" s="46" t="n"/>
      <c r="M947" s="47" t="n"/>
      <c r="N947" s="47" t="inlineStr">
        <is>
          <t>UCHfIbq9thHPC8yrKjAdJgDA</t>
        </is>
      </c>
      <c r="O947" s="48" t="n">
        <v>45009.58333333334</v>
      </c>
      <c r="P947" s="49" t="n">
        <v>45009</v>
      </c>
      <c r="Q947" s="47" t="n">
        <v>2321</v>
      </c>
      <c r="R947" s="47" t="inlineStr">
        <is>
          <t>No Video ID yet</t>
        </is>
      </c>
      <c r="S947" s="49" t="n"/>
      <c r="T947" s="49" t="n"/>
      <c r="U947" s="47" t="inlineStr">
        <is>
          <t>In the 172nd episode of the Pop, Ben and J discuss being “hosted” by Disney for the new Tron ride, Ben’s introvertedness, the continued quest for Pluto pins, J’s renewed James Bond fixation, and airports. Check Out the Trip Highlights on J’s Instagram - James Bond Movies - James Bond Books - Up In the Air - Is Ben Actually an Introvert? Who Is the Best Bond? Optimizing Airports 00:00 - Intro, TRON! 27:46 - Is Ben an Introvert? 33:53 - Pin Trading 45:20 - James Bond 57:08 - Airport Exhaustion</t>
        </is>
      </c>
      <c r="V947" s="47">
        <f>IF(AND(P947&gt;=Calendar!$K$2,P947&lt;EDATE(Calendar!$K$2,1),OR(Calendar!$K$4="*",N947=Calendar!$K$4)),P947*100+COUNTIFS($P$6:$P$3267,P947,$Q$6:$Q$3267,"&lt;="&amp;Q947,$N$6:$N$3267,Calendar!$K$4),"")</f>
        <v/>
      </c>
      <c r="W947" s="47">
        <f>IF(AND(B947=Queue!$C$4,OR(Queue!$K$4="*",N947=Queue!$K$4)),Q947,"")</f>
        <v/>
      </c>
    </row>
    <row r="948">
      <c r="A948" s="38">
        <f>IF(M948="","",HYPERLINK("https://www.youtube.com/watch?v="&amp;M948,"▶"))</f>
        <v/>
      </c>
      <c r="B948" s="39">
        <f>IF(C948&lt;&gt;"",C948,IF(P948&lt;=IFERROR(INDEX(tblChannels[Watched Through],MATCH(N948,tblChannels[Channel ID],0)),0),"Watched","Unwatched"))</f>
        <v/>
      </c>
      <c r="C948" s="40" t="n"/>
      <c r="D948" s="41" t="n"/>
      <c r="E948" s="42" t="n">
        <v>45007.77083333334</v>
      </c>
      <c r="F948" s="52" t="inlineStr">
        <is>
          <t>Super Carlin Gaming</t>
        </is>
      </c>
      <c r="G948" t="inlineStr">
        <is>
          <t>The Fight For 8th | Carlin Brothers Box Breakers S4E3</t>
        </is>
      </c>
      <c r="H948" s="44" t="n">
        <v>0.03848379629629629</v>
      </c>
      <c r="I948" s="45" t="n">
        <v>2553</v>
      </c>
      <c r="J948" s="45" t="n">
        <v>149</v>
      </c>
      <c r="K948" s="45" t="n">
        <v>25</v>
      </c>
      <c r="L948" s="46" t="n"/>
      <c r="M948" s="47" t="n"/>
      <c r="N948" s="47" t="inlineStr">
        <is>
          <t>UCor_9jRnNNZVzTuQ92PKsaQ</t>
        </is>
      </c>
      <c r="O948" s="48" t="n">
        <v>45007.9375</v>
      </c>
      <c r="P948" s="49" t="n">
        <v>45007</v>
      </c>
      <c r="Q948" s="47" t="n">
        <v>2320</v>
      </c>
      <c r="R948" s="47" t="inlineStr">
        <is>
          <t>No Video ID yet</t>
        </is>
      </c>
      <c r="S948" s="49" t="n"/>
      <c r="T948" s="49" t="n"/>
      <c r="U948" s="47" t="inlineStr">
        <is>
          <t>This week Crown Zenith gets a little leafy.</t>
        </is>
      </c>
      <c r="V948" s="47">
        <f>IF(AND(P948&gt;=Calendar!$K$2,P948&lt;EDATE(Calendar!$K$2,1),OR(Calendar!$K$4="*",N948=Calendar!$K$4)),P948*100+COUNTIFS($P$6:$P$3267,P948,$Q$6:$Q$3267,"&lt;="&amp;Q948,$N$6:$N$3267,Calendar!$K$4),"")</f>
        <v/>
      </c>
      <c r="W948" s="47">
        <f>IF(AND(B948=Queue!$C$4,OR(Queue!$K$4="*",N948=Queue!$K$4)),Q948,"")</f>
        <v/>
      </c>
    </row>
    <row r="949">
      <c r="A949" s="38">
        <f>IF(M949="","",HYPERLINK("https://www.youtube.com/watch?v="&amp;M949,"▶"))</f>
        <v/>
      </c>
      <c r="B949" s="39">
        <f>IF(C949&lt;&gt;"",C949,IF(P949&lt;=IFERROR(INDEX(tblChannels[Watched Through],MATCH(N949,tblChannels[Channel ID],0)),0),"Watched","Unwatched"))</f>
        <v/>
      </c>
      <c r="C949" s="40" t="n"/>
      <c r="D949" s="41" t="n"/>
      <c r="E949" s="42" t="n">
        <v>45007.66388888889</v>
      </c>
      <c r="F949" s="50" t="inlineStr">
        <is>
          <t>Super Carlin Brothers</t>
        </is>
      </c>
      <c r="G949" t="inlineStr">
        <is>
          <t>PROOF That Grogu is Snoke | Mandalorian Star Wars Film Theory</t>
        </is>
      </c>
      <c r="H949" s="44" t="n">
        <v>0.01185185185185185</v>
      </c>
      <c r="I949" s="45" t="n">
        <v>72871</v>
      </c>
      <c r="J949" s="45" t="n">
        <v>3238</v>
      </c>
      <c r="K949" s="45" t="n">
        <v>267</v>
      </c>
      <c r="L949" s="46" t="n"/>
      <c r="M949" s="47" t="n"/>
      <c r="N949" s="47" t="inlineStr">
        <is>
          <t>UCKZo4N0lVPccBkSiuyVh4yg</t>
        </is>
      </c>
      <c r="O949" s="48" t="n">
        <v>45007.83055555556</v>
      </c>
      <c r="P949" s="49" t="n">
        <v>45007</v>
      </c>
      <c r="Q949" s="47" t="n">
        <v>2319</v>
      </c>
      <c r="R949" s="47" t="inlineStr">
        <is>
          <t>No Video ID yet</t>
        </is>
      </c>
      <c r="S949" s="49" t="n"/>
      <c r="T949" s="49" t="n"/>
      <c r="U949" s="47" t="inlineStr">
        <is>
          <t>Go to to get PayPal Honey for free. Today J dives into the Star Wars Galaxy to reveal how Grogu is the past, present and future of Star Wars! Was his blood used to create Supreme Leader Snoke? Reys Dad? Is Grogu the future ruler of Mandalore? And Who was Mandalore the Great? Snoke Theme :: #supercarlinbrothers #TheMandalorian #StarWars</t>
        </is>
      </c>
      <c r="V949" s="47">
        <f>IF(AND(P949&gt;=Calendar!$K$2,P949&lt;EDATE(Calendar!$K$2,1),OR(Calendar!$K$4="*",N949=Calendar!$K$4)),P949*100+COUNTIFS($P$6:$P$3267,P949,$Q$6:$Q$3267,"&lt;="&amp;Q949,$N$6:$N$3267,Calendar!$K$4),"")</f>
        <v/>
      </c>
      <c r="W949" s="47">
        <f>IF(AND(B949=Queue!$C$4,OR(Queue!$K$4="*",N949=Queue!$K$4)),Q949,"")</f>
        <v/>
      </c>
    </row>
    <row r="950">
      <c r="A950" s="38">
        <f>IF(M950="","",HYPERLINK("https://www.youtube.com/watch?v="&amp;M950,"▶"))</f>
        <v/>
      </c>
      <c r="B950" s="39">
        <f>IF(C950&lt;&gt;"",C950,IF(P950&lt;=IFERROR(INDEX(tblChannels[Watched Through],MATCH(N950,tblChannels[Channel ID],0)),0),"Watched","Unwatched"))</f>
        <v/>
      </c>
      <c r="C950" s="40" t="n"/>
      <c r="D950" s="41" t="n"/>
      <c r="E950" s="42" t="n">
        <v>45002.60902777778</v>
      </c>
      <c r="F950" s="50" t="inlineStr">
        <is>
          <t>Super Carlin Brothers</t>
        </is>
      </c>
      <c r="G950" t="inlineStr">
        <is>
          <t>J vs Ben: ULTIMATE Encanto Trivia Quiz [VERY HARD]</t>
        </is>
      </c>
      <c r="H950" s="44" t="n">
        <v>0.01974537037037037</v>
      </c>
      <c r="I950" s="45" t="n">
        <v>89847</v>
      </c>
      <c r="J950" s="45" t="n">
        <v>3682</v>
      </c>
      <c r="K950" s="45" t="n">
        <v>309</v>
      </c>
      <c r="L950" s="46" t="n"/>
      <c r="M950" s="47" t="n"/>
      <c r="N950" s="47" t="inlineStr">
        <is>
          <t>UCKZo4N0lVPccBkSiuyVh4yg</t>
        </is>
      </c>
      <c r="O950" s="48" t="n">
        <v>45002.77569444444</v>
      </c>
      <c r="P950" s="49" t="n">
        <v>45002</v>
      </c>
      <c r="Q950" s="47" t="n">
        <v>2318</v>
      </c>
      <c r="R950" s="47" t="inlineStr">
        <is>
          <t>No Video ID yet</t>
        </is>
      </c>
      <c r="S950" s="49" t="n"/>
      <c r="T950" s="49" t="n"/>
      <c r="U950" s="47" t="inlineStr">
        <is>
          <t>Go to to find out how you can get 3 months free. Go to to get 25% off your first order and free standard shipping. Today J and Ben face off once more to find out who knows the most about Disney’s ENCANTO! How many pieces did Bruno’s vision break into? What animal did Antonio speak to first?! Play along here: #supercarlinbrothers #pixar #pixarcars</t>
        </is>
      </c>
      <c r="V950" s="47">
        <f>IF(AND(P950&gt;=Calendar!$K$2,P950&lt;EDATE(Calendar!$K$2,1),OR(Calendar!$K$4="*",N950=Calendar!$K$4)),P950*100+COUNTIFS($P$6:$P$3267,P950,$Q$6:$Q$3267,"&lt;="&amp;Q950,$N$6:$N$3267,Calendar!$K$4),"")</f>
        <v/>
      </c>
      <c r="W950" s="47">
        <f>IF(AND(B950=Queue!$C$4,OR(Queue!$K$4="*",N950=Queue!$K$4)),Q950,"")</f>
        <v/>
      </c>
    </row>
    <row r="951">
      <c r="A951" s="38">
        <f>IF(M951="","",HYPERLINK("https://www.youtube.com/watch?v="&amp;M951,"▶"))</f>
        <v/>
      </c>
      <c r="B951" s="39">
        <f>IF(C951&lt;&gt;"",C951,IF(P951&lt;=IFERROR(INDEX(tblChannels[Watched Through],MATCH(N951,tblChannels[Channel ID],0)),0),"Watched","Unwatched"))</f>
        <v/>
      </c>
      <c r="C951" s="40" t="n"/>
      <c r="D951" s="41" t="n"/>
      <c r="E951" s="42" t="n">
        <v>45002.41666666666</v>
      </c>
      <c r="F951" s="43" t="inlineStr">
        <is>
          <t>Popcorn Culture</t>
        </is>
      </c>
      <c r="G951" t="inlineStr">
        <is>
          <t>Conversation about Conversations | Popcorn Culture</t>
        </is>
      </c>
      <c r="H951" s="44" t="n">
        <v>0.05262731481481481</v>
      </c>
      <c r="I951" s="45" t="n">
        <v>5625</v>
      </c>
      <c r="J951" s="45" t="n">
        <v>250</v>
      </c>
      <c r="K951" s="45" t="n">
        <v>26</v>
      </c>
      <c r="L951" s="46" t="n"/>
      <c r="M951" s="47" t="n"/>
      <c r="N951" s="47" t="inlineStr">
        <is>
          <t>UCHfIbq9thHPC8yrKjAdJgDA</t>
        </is>
      </c>
      <c r="O951" s="48" t="n">
        <v>45002.58333333334</v>
      </c>
      <c r="P951" s="49" t="n">
        <v>45002</v>
      </c>
      <c r="Q951" s="47" t="n">
        <v>2317</v>
      </c>
      <c r="R951" s="47" t="inlineStr">
        <is>
          <t>No Video ID yet</t>
        </is>
      </c>
      <c r="S951" s="49" t="n"/>
      <c r="T951" s="49" t="n"/>
      <c r="U951" s="47" t="inlineStr">
        <is>
          <t>In the 171st episode of the pop, Ben and J discuss BTS of careers, game sharks and genies, chess, the psychology of conversations, “Yes, and…” parenting style, and the awkwardness of deep talk. En Passant - Magnus Carlsen - Michael Strahan - Psychology of Conversation - Bluey - Cheat Codes in Chess Givers and Takers 00:00 - Intro,Careers 12:52 - Cheat Codes 17:06 - Chess 29:01 - Conversational Doorknobs</t>
        </is>
      </c>
      <c r="V951" s="47">
        <f>IF(AND(P951&gt;=Calendar!$K$2,P951&lt;EDATE(Calendar!$K$2,1),OR(Calendar!$K$4="*",N951=Calendar!$K$4)),P951*100+COUNTIFS($P$6:$P$3267,P951,$Q$6:$Q$3267,"&lt;="&amp;Q951,$N$6:$N$3267,Calendar!$K$4),"")</f>
        <v/>
      </c>
      <c r="W951" s="47">
        <f>IF(AND(B951=Queue!$C$4,OR(Queue!$K$4="*",N951=Queue!$K$4)),Q951,"")</f>
        <v/>
      </c>
    </row>
    <row r="952">
      <c r="A952" s="38">
        <f>IF(M952="","",HYPERLINK("https://www.youtube.com/watch?v="&amp;M952,"▶"))</f>
        <v/>
      </c>
      <c r="B952" s="39">
        <f>IF(C952&lt;&gt;"",C952,IF(P952&lt;=IFERROR(INDEX(tblChannels[Watched Through],MATCH(N952,tblChannels[Channel ID],0)),0),"Watched","Unwatched"))</f>
        <v/>
      </c>
      <c r="C952" s="40" t="n"/>
      <c r="D952" s="41" t="n"/>
      <c r="E952" s="42" t="n">
        <v>45000.60416666666</v>
      </c>
      <c r="F952" s="50" t="inlineStr">
        <is>
          <t>Super Carlin Brothers</t>
        </is>
      </c>
      <c r="G952" t="inlineStr">
        <is>
          <t>Cars Is A RIPOFF?! | Pixar Film Theory</t>
        </is>
      </c>
      <c r="H952" s="44" t="n">
        <v>0.00974537037037037</v>
      </c>
      <c r="I952" s="45" t="n">
        <v>134002</v>
      </c>
      <c r="J952" s="45" t="n">
        <v>6836</v>
      </c>
      <c r="K952" s="45" t="n">
        <v>512</v>
      </c>
      <c r="L952" s="46" t="n"/>
      <c r="M952" s="47" t="n"/>
      <c r="N952" s="47" t="inlineStr">
        <is>
          <t>UCKZo4N0lVPccBkSiuyVh4yg</t>
        </is>
      </c>
      <c r="O952" s="48" t="n">
        <v>45000.77083333334</v>
      </c>
      <c r="P952" s="49" t="n">
        <v>45000</v>
      </c>
      <c r="Q952" s="47" t="n">
        <v>2316</v>
      </c>
      <c r="R952" s="47" t="inlineStr">
        <is>
          <t>No Video ID yet</t>
        </is>
      </c>
      <c r="S952" s="49" t="n"/>
      <c r="T952" s="49" t="n"/>
      <c r="U952" s="47" t="inlineStr">
        <is>
          <t>Get 20% off your first monthly box when you sign up at Today J investigates the claim that Cars actually stole its plot from the oft-forgotten 1991 Michael J. Fox film, Doc Hollywood. Could this be possible? How similar are they REALLY?! #supercarlinbrothers #pixar #pixarcars</t>
        </is>
      </c>
      <c r="V952" s="47">
        <f>IF(AND(P952&gt;=Calendar!$K$2,P952&lt;EDATE(Calendar!$K$2,1),OR(Calendar!$K$4="*",N952=Calendar!$K$4)),P952*100+COUNTIFS($P$6:$P$3267,P952,$Q$6:$Q$3267,"&lt;="&amp;Q952,$N$6:$N$3267,Calendar!$K$4),"")</f>
        <v/>
      </c>
      <c r="W952" s="47">
        <f>IF(AND(B952=Queue!$C$4,OR(Queue!$K$4="*",N952=Queue!$K$4)),Q952,"")</f>
        <v/>
      </c>
    </row>
    <row r="953">
      <c r="A953" s="38">
        <f>IF(M953="","",HYPERLINK("https://www.youtube.com/watch?v="&amp;M953,"▶"))</f>
        <v/>
      </c>
      <c r="B953" s="39">
        <f>IF(C953&lt;&gt;"",C953,IF(P953&lt;=IFERROR(INDEX(tblChannels[Watched Through],MATCH(N953,tblChannels[Channel ID],0)),0),"Watched","Unwatched"))</f>
        <v/>
      </c>
      <c r="C953" s="40" t="n"/>
      <c r="D953" s="41" t="n"/>
      <c r="E953" s="42" t="n">
        <v>44998.77083333334</v>
      </c>
      <c r="F953" s="52" t="inlineStr">
        <is>
          <t>Super Carlin Gaming</t>
        </is>
      </c>
      <c r="G953" t="inlineStr">
        <is>
          <t>A Big Day For Rookies | Carlin Brothers Box Breakers S4E2</t>
        </is>
      </c>
      <c r="H953" s="44" t="n">
        <v>0.03631944444444445</v>
      </c>
      <c r="I953" s="45" t="n">
        <v>2582</v>
      </c>
      <c r="J953" s="45" t="n">
        <v>142</v>
      </c>
      <c r="K953" s="45" t="n">
        <v>19</v>
      </c>
      <c r="L953" s="46" t="n"/>
      <c r="M953" s="47" t="n"/>
      <c r="N953" s="47" t="inlineStr">
        <is>
          <t>UCor_9jRnNNZVzTuQ92PKsaQ</t>
        </is>
      </c>
      <c r="O953" s="48" t="n">
        <v>44998.9375</v>
      </c>
      <c r="P953" s="49" t="n">
        <v>44998</v>
      </c>
      <c r="Q953" s="47" t="n">
        <v>2315</v>
      </c>
      <c r="R953" s="47" t="inlineStr">
        <is>
          <t>No Video ID yet</t>
        </is>
      </c>
      <c r="S953" s="49" t="n"/>
      <c r="T953" s="49" t="n"/>
      <c r="U953" s="47" t="inlineStr">
        <is>
          <t>This week Crown Zenith shows us what it's got!</t>
        </is>
      </c>
      <c r="V953" s="47">
        <f>IF(AND(P953&gt;=Calendar!$K$2,P953&lt;EDATE(Calendar!$K$2,1),OR(Calendar!$K$4="*",N953=Calendar!$K$4)),P953*100+COUNTIFS($P$6:$P$3267,P953,$Q$6:$Q$3267,"&lt;="&amp;Q953,$N$6:$N$3267,Calendar!$K$4),"")</f>
        <v/>
      </c>
      <c r="W953" s="47">
        <f>IF(AND(B953=Queue!$C$4,OR(Queue!$K$4="*",N953=Queue!$K$4)),Q953,"")</f>
        <v/>
      </c>
    </row>
    <row r="954">
      <c r="A954" s="38">
        <f>IF(M954="","",HYPERLINK("https://www.youtube.com/watch?v="&amp;M954,"▶"))</f>
        <v/>
      </c>
      <c r="B954" s="39">
        <f>IF(C954&lt;&gt;"",C954,IF(P954&lt;=IFERROR(INDEX(tblChannels[Watched Through],MATCH(N954,tblChannels[Channel ID],0)),0),"Watched","Unwatched"))</f>
        <v/>
      </c>
      <c r="C954" s="40" t="n"/>
      <c r="D954" s="41" t="n"/>
      <c r="E954" s="42" t="n">
        <v>44995.70763888889</v>
      </c>
      <c r="F954" s="50" t="inlineStr">
        <is>
          <t>Super Carlin Brothers</t>
        </is>
      </c>
      <c r="G954" t="inlineStr">
        <is>
          <t>What Frozen 3 SHOULD Be About | Disney Film Theory</t>
        </is>
      </c>
      <c r="H954" s="44" t="n">
        <v>0.01318287037037037</v>
      </c>
      <c r="I954" s="45" t="n">
        <v>123119</v>
      </c>
      <c r="J954" s="45" t="n">
        <v>5542</v>
      </c>
      <c r="K954" s="45" t="n">
        <v>540</v>
      </c>
      <c r="L954" s="46" t="n"/>
      <c r="M954" s="47" t="n"/>
      <c r="N954" s="47" t="inlineStr">
        <is>
          <t>UCKZo4N0lVPccBkSiuyVh4yg</t>
        </is>
      </c>
      <c r="O954" s="48" t="n">
        <v>44995.91597222222</v>
      </c>
      <c r="P954" s="49" t="n">
        <v>44995</v>
      </c>
      <c r="Q954" s="47" t="n">
        <v>2314</v>
      </c>
      <c r="R954" s="47" t="inlineStr">
        <is>
          <t>No Video ID yet</t>
        </is>
      </c>
      <c r="S954" s="49" t="n"/>
      <c r="T954" s="49" t="n"/>
      <c r="U954" s="47" t="inlineStr">
        <is>
          <t>Today Ben dives into the ICY world of Disney’s Frozen to breakdown the themes of the first 2 movies and predict (Olaf Style) What the newly announced Frozne 3 will be about! #supercarlinbrothers #Frozen #Disney</t>
        </is>
      </c>
      <c r="V954" s="47">
        <f>IF(AND(P954&gt;=Calendar!$K$2,P954&lt;EDATE(Calendar!$K$2,1),OR(Calendar!$K$4="*",N954=Calendar!$K$4)),P954*100+COUNTIFS($P$6:$P$3267,P954,$Q$6:$Q$3267,"&lt;="&amp;Q954,$N$6:$N$3267,Calendar!$K$4),"")</f>
        <v/>
      </c>
      <c r="W954" s="47">
        <f>IF(AND(B954=Queue!$C$4,OR(Queue!$K$4="*",N954=Queue!$K$4)),Q954,"")</f>
        <v/>
      </c>
    </row>
    <row r="955">
      <c r="A955" s="38">
        <f>IF(M955="","",HYPERLINK("https://www.youtube.com/watch?v="&amp;M955,"▶"))</f>
        <v/>
      </c>
      <c r="B955" s="39">
        <f>IF(C955&lt;&gt;"",C955,IF(P955&lt;=IFERROR(INDEX(tblChannels[Watched Through],MATCH(N955,tblChannels[Channel ID],0)),0),"Watched","Unwatched"))</f>
        <v/>
      </c>
      <c r="C955" s="40" t="n"/>
      <c r="D955" s="41" t="n"/>
      <c r="E955" s="42" t="n">
        <v>44995.41666666666</v>
      </c>
      <c r="F955" s="43" t="inlineStr">
        <is>
          <t>Popcorn Culture</t>
        </is>
      </c>
      <c r="G955" t="inlineStr">
        <is>
          <t>Pierogi Night Perils | Popcorn Culture</t>
        </is>
      </c>
      <c r="H955" s="44" t="n">
        <v>0.04982638888888889</v>
      </c>
      <c r="I955" s="45" t="n">
        <v>4651</v>
      </c>
      <c r="J955" s="45" t="n">
        <v>240</v>
      </c>
      <c r="K955" s="45" t="n">
        <v>38</v>
      </c>
      <c r="L955" s="46" t="n"/>
      <c r="M955" s="47" t="n"/>
      <c r="N955" s="47" t="inlineStr">
        <is>
          <t>UCHfIbq9thHPC8yrKjAdJgDA</t>
        </is>
      </c>
      <c r="O955" s="48" t="n">
        <v>44995.625</v>
      </c>
      <c r="P955" s="49" t="n">
        <v>44995</v>
      </c>
      <c r="Q955" s="47" t="n">
        <v>2313</v>
      </c>
      <c r="R955" s="47" t="inlineStr">
        <is>
          <t>No Video ID yet</t>
        </is>
      </c>
      <c r="S955" s="49" t="n"/>
      <c r="T955" s="49" t="n"/>
      <c r="U955" s="47" t="inlineStr">
        <is>
          <t>In the 170th episode of the Pop, Ben and J discuss various cheeses, pierogies and sponges, J’s confusion about Aerie, other mall brands, the nature of strong opinions about things that don’t matter, and Ben’s struggle with moving heavy objects. Aerie - The Gap - Threatening Warmth Bag Cheese Mandela Effect of Limburger Cheese Ignorance on Malls 1,500 LBS of Turf A New Episode Decade 00:00 - Intro, Cheese 12:12 - Pierogi Night 31:37 - Mall Brands 55:46 - Heavy Objects</t>
        </is>
      </c>
      <c r="V955" s="47">
        <f>IF(AND(P955&gt;=Calendar!$K$2,P955&lt;EDATE(Calendar!$K$2,1),OR(Calendar!$K$4="*",N955=Calendar!$K$4)),P955*100+COUNTIFS($P$6:$P$3267,P955,$Q$6:$Q$3267,"&lt;="&amp;Q955,$N$6:$N$3267,Calendar!$K$4),"")</f>
        <v/>
      </c>
      <c r="W955" s="47">
        <f>IF(AND(B955=Queue!$C$4,OR(Queue!$K$4="*",N955=Queue!$K$4)),Q955,"")</f>
        <v/>
      </c>
    </row>
    <row r="956">
      <c r="A956" s="38">
        <f>IF(M956="","",HYPERLINK("https://www.youtube.com/watch?v="&amp;M956,"▶"))</f>
        <v/>
      </c>
      <c r="B956" s="39">
        <f>IF(C956&lt;&gt;"",C956,IF(P956&lt;=IFERROR(INDEX(tblChannels[Watched Through],MATCH(N956,tblChannels[Channel ID],0)),0),"Watched","Unwatched"))</f>
        <v/>
      </c>
      <c r="C956" s="40" t="n"/>
      <c r="D956" s="41" t="n"/>
      <c r="E956" s="42" t="n">
        <v>44993.5875</v>
      </c>
      <c r="F956" s="50" t="inlineStr">
        <is>
          <t>Super Carlin Brothers</t>
        </is>
      </c>
      <c r="G956" t="inlineStr">
        <is>
          <t>What Lightsaber Colors ACTUALLY Mean | Star Wars Film Theory</t>
        </is>
      </c>
      <c r="H956" s="44" t="n">
        <v>0.01252314814814815</v>
      </c>
      <c r="I956" s="45" t="n">
        <v>142146</v>
      </c>
      <c r="J956" s="45" t="n">
        <v>6708</v>
      </c>
      <c r="K956" s="45" t="n">
        <v>779</v>
      </c>
      <c r="L956" s="46" t="n"/>
      <c r="M956" s="47" t="n"/>
      <c r="N956" s="47" t="inlineStr">
        <is>
          <t>UCKZo4N0lVPccBkSiuyVh4yg</t>
        </is>
      </c>
      <c r="O956" s="48" t="n">
        <v>44993.79583333333</v>
      </c>
      <c r="P956" s="49" t="n">
        <v>44993</v>
      </c>
      <c r="Q956" s="47" t="n">
        <v>2312</v>
      </c>
      <c r="R956" s="47" t="inlineStr">
        <is>
          <t>No Video ID yet</t>
        </is>
      </c>
      <c r="S956" s="49" t="n"/>
      <c r="T956" s="49" t="n"/>
      <c r="U956" s="47" t="inlineStr">
        <is>
          <t>Go to for 25% off our Royal Candle Line for the rest of the year! (They smell like another Galaxy! (Probably!)) Today J dives into the Star Wars Galaxy to reveal the meaning behind every different color lightsaber blade in Star Wars! #supercarlinbrothers #StarWars #Mandalorian</t>
        </is>
      </c>
      <c r="V956" s="47">
        <f>IF(AND(P956&gt;=Calendar!$K$2,P956&lt;EDATE(Calendar!$K$2,1),OR(Calendar!$K$4="*",N956=Calendar!$K$4)),P956*100+COUNTIFS($P$6:$P$3267,P956,$Q$6:$Q$3267,"&lt;="&amp;Q956,$N$6:$N$3267,Calendar!$K$4),"")</f>
        <v/>
      </c>
      <c r="W956" s="47">
        <f>IF(AND(B956=Queue!$C$4,OR(Queue!$K$4="*",N956=Queue!$K$4)),Q956,"")</f>
        <v/>
      </c>
    </row>
    <row r="957">
      <c r="A957" s="38">
        <f>IF(M957="","",HYPERLINK("https://www.youtube.com/watch?v="&amp;M957,"▶"))</f>
        <v/>
      </c>
      <c r="B957" s="39">
        <f>IF(C957&lt;&gt;"",C957,IF(P957&lt;=IFERROR(INDEX(tblChannels[Watched Through],MATCH(N957,tblChannels[Channel ID],0)),0),"Watched","Unwatched"))</f>
        <v/>
      </c>
      <c r="C957" s="40" t="n"/>
      <c r="D957" s="41" t="n"/>
      <c r="E957" s="42" t="n">
        <v>44991.625</v>
      </c>
      <c r="F957" s="52" t="inlineStr">
        <is>
          <t>Super Carlin Gaming</t>
        </is>
      </c>
      <c r="G957" t="inlineStr">
        <is>
          <t>Enter Crown Zenith! || Carlin Brothers Box Breakers S4E1</t>
        </is>
      </c>
      <c r="H957" s="44" t="n">
        <v>0.03890046296296296</v>
      </c>
      <c r="I957" s="45" t="n">
        <v>2886</v>
      </c>
      <c r="J957" s="45" t="n">
        <v>166</v>
      </c>
      <c r="K957" s="45" t="n">
        <v>17</v>
      </c>
      <c r="L957" s="46" t="n"/>
      <c r="M957" s="47" t="n"/>
      <c r="N957" s="47" t="inlineStr">
        <is>
          <t>UCor_9jRnNNZVzTuQ92PKsaQ</t>
        </is>
      </c>
      <c r="O957" s="48" t="n">
        <v>44991.83333333334</v>
      </c>
      <c r="P957" s="49" t="n">
        <v>44991</v>
      </c>
      <c r="Q957" s="47" t="n">
        <v>2311</v>
      </c>
      <c r="R957" s="47" t="inlineStr">
        <is>
          <t>No Video ID yet</t>
        </is>
      </c>
      <c r="S957" s="49" t="n"/>
      <c r="T957" s="49" t="n"/>
      <c r="U957" s="47" t="inlineStr">
        <is>
          <t>This week Crown Zenith Begins!</t>
        </is>
      </c>
      <c r="V957" s="47">
        <f>IF(AND(P957&gt;=Calendar!$K$2,P957&lt;EDATE(Calendar!$K$2,1),OR(Calendar!$K$4="*",N957=Calendar!$K$4)),P957*100+COUNTIFS($P$6:$P$3267,P957,$Q$6:$Q$3267,"&lt;="&amp;Q957,$N$6:$N$3267,Calendar!$K$4),"")</f>
        <v/>
      </c>
      <c r="W957" s="47">
        <f>IF(AND(B957=Queue!$C$4,OR(Queue!$K$4="*",N957=Queue!$K$4)),Q957,"")</f>
        <v/>
      </c>
    </row>
    <row r="958">
      <c r="A958" s="38">
        <f>IF(M958="","",HYPERLINK("https://www.youtube.com/watch?v="&amp;M958,"▶"))</f>
        <v/>
      </c>
      <c r="B958" s="39">
        <f>IF(C958&lt;&gt;"",C958,IF(P958&lt;=IFERROR(INDEX(tblChannels[Watched Through],MATCH(N958,tblChannels[Channel ID],0)),0),"Watched","Unwatched"))</f>
        <v/>
      </c>
      <c r="C958" s="40" t="n"/>
      <c r="D958" s="41" t="n"/>
      <c r="E958" s="42" t="n">
        <v>44988.625</v>
      </c>
      <c r="F958" s="50" t="inlineStr">
        <is>
          <t>Super Carlin Brothers</t>
        </is>
      </c>
      <c r="G958" t="inlineStr">
        <is>
          <t>J vs Ben: ULTIMATE Toy Story TRIVIA Quiz feat. Seamus Gorman</t>
        </is>
      </c>
      <c r="H958" s="44" t="n">
        <v>0.0353125</v>
      </c>
      <c r="I958" s="45" t="n">
        <v>110020</v>
      </c>
      <c r="J958" s="45" t="n">
        <v>3803</v>
      </c>
      <c r="K958" s="45" t="n">
        <v>453</v>
      </c>
      <c r="L958" s="46" t="n"/>
      <c r="M958" s="47" t="n"/>
      <c r="N958" s="47" t="inlineStr">
        <is>
          <t>UCKZo4N0lVPccBkSiuyVh4yg</t>
        </is>
      </c>
      <c r="O958" s="48" t="n">
        <v>44988.83333333334</v>
      </c>
      <c r="P958" s="49" t="n">
        <v>44988</v>
      </c>
      <c r="Q958" s="47" t="n">
        <v>2310</v>
      </c>
      <c r="R958" s="47" t="inlineStr">
        <is>
          <t>No Video ID yet</t>
        </is>
      </c>
      <c r="S958" s="49" t="n"/>
      <c r="T958" s="49" t="n"/>
      <c r="U958" s="47" t="inlineStr">
        <is>
          <t>Go to and use code jvsb50 to get 50% off your first box Download DoorDash app in the App Store and enter code JVSB for 50% off your first order up to a $20 value. Today J and Ben are joined by their friend Seamus Gorman to find out who knows the most about their favorite Pixar series: TOY STORY! Check out Seamus’s youtube channel: Play along with us:: 02:29 - What are the names of Bo Peep's sheep? 05:37 - What is Sid's last name? 08:02 - What snack was on the floor? 10:05 - What did the magic 8 ball say? 12:54 - What toy is Gabby Gabby based on? 15:17 - Where is the A113 in Toy Story 1? 22:23 - What does Mrs. Potato Head give Mr. in Toy Story 2? 25:33 - What's Andy's house address? 27:21 - What is the name of Duke Kaboom's kid? 31:50 - What household object is Bo Peep? 32:49 - How many cars did the original Hot Wheels have? 35:10 - How many toys go on the RV trip with Bonnie? 38:45 - What is the museum Al was going to sell the toys to? 40:33 - What is the model of the Pizza Planet truck? 42:41 - Which of the toys is the oldest IRL? #supercarlinbrothers #Pixar #ToyStory</t>
        </is>
      </c>
      <c r="V958" s="47">
        <f>IF(AND(P958&gt;=Calendar!$K$2,P958&lt;EDATE(Calendar!$K$2,1),OR(Calendar!$K$4="*",N958=Calendar!$K$4)),P958*100+COUNTIFS($P$6:$P$3267,P958,$Q$6:$Q$3267,"&lt;="&amp;Q958,$N$6:$N$3267,Calendar!$K$4),"")</f>
        <v/>
      </c>
      <c r="W958" s="47">
        <f>IF(AND(B958=Queue!$C$4,OR(Queue!$K$4="*",N958=Queue!$K$4)),Q958,"")</f>
        <v/>
      </c>
    </row>
    <row r="959">
      <c r="A959" s="38">
        <f>IF(M959="","",HYPERLINK("https://www.youtube.com/watch?v="&amp;M959,"▶"))</f>
        <v/>
      </c>
      <c r="B959" s="39">
        <f>IF(C959&lt;&gt;"",C959,IF(P959&lt;=IFERROR(INDEX(tblChannels[Watched Through],MATCH(N959,tblChannels[Channel ID],0)),0),"Watched","Unwatched"))</f>
        <v/>
      </c>
      <c r="C959" s="40" t="n"/>
      <c r="D959" s="41" t="n"/>
      <c r="E959" s="42" t="n">
        <v>44988.41666666666</v>
      </c>
      <c r="F959" s="43" t="inlineStr">
        <is>
          <t>Popcorn Culture</t>
        </is>
      </c>
      <c r="G959" t="inlineStr">
        <is>
          <t>Actively Practicing Cowardice | Popcorn Culture</t>
        </is>
      </c>
      <c r="H959" s="44" t="n">
        <v>0.04774305555555555</v>
      </c>
      <c r="I959" s="45" t="n">
        <v>4982</v>
      </c>
      <c r="J959" s="45" t="n">
        <v>259</v>
      </c>
      <c r="K959" s="45" t="n">
        <v>30</v>
      </c>
      <c r="L959" s="46" t="n"/>
      <c r="M959" s="47" t="n"/>
      <c r="N959" s="47" t="inlineStr">
        <is>
          <t>UCHfIbq9thHPC8yrKjAdJgDA</t>
        </is>
      </c>
      <c r="O959" s="48" t="n">
        <v>44988.625</v>
      </c>
      <c r="P959" s="49" t="n">
        <v>44988</v>
      </c>
      <c r="Q959" s="47" t="n">
        <v>2309</v>
      </c>
      <c r="R959" s="47" t="inlineStr">
        <is>
          <t>No Video ID yet</t>
        </is>
      </c>
      <c r="S959" s="49" t="n"/>
      <c r="T959" s="49" t="n"/>
      <c r="U959" s="47" t="inlineStr">
        <is>
          <t>This show is sponsored by Farm Story Meats. Go to and use promo code POP25 to get 25% off your first seasonal subscription box. In the 169th episode of the pop, Ben and J discuss a fun word, critiquing people’s driving, the center console, Clarkson Farms, J’s favorite scoop, and coffee at Disney. Mandalorian - Ted Lasso - Ben’s Wick of the Peek: Clarkson Farms - Latibulate Speeding Math Ring of Safety The Beloved Scoop 00:00 - Intro, New Top 10 Word 08:08 - Driving Styles 34:12 - BEN’S Wick of the Peek 42:32 - The Two Tablespoon Scoop</t>
        </is>
      </c>
      <c r="V959" s="47">
        <f>IF(AND(P959&gt;=Calendar!$K$2,P959&lt;EDATE(Calendar!$K$2,1),OR(Calendar!$K$4="*",N959=Calendar!$K$4)),P959*100+COUNTIFS($P$6:$P$3267,P959,$Q$6:$Q$3267,"&lt;="&amp;Q959,$N$6:$N$3267,Calendar!$K$4),"")</f>
        <v/>
      </c>
      <c r="W959" s="47">
        <f>IF(AND(B959=Queue!$C$4,OR(Queue!$K$4="*",N959=Queue!$K$4)),Q959,"")</f>
        <v/>
      </c>
    </row>
    <row r="960">
      <c r="A960" s="38">
        <f>IF(M960="","",HYPERLINK("https://www.youtube.com/watch?v="&amp;M960,"▶"))</f>
        <v/>
      </c>
      <c r="B960" s="39">
        <f>IF(C960&lt;&gt;"",C960,IF(P960&lt;=IFERROR(INDEX(tblChannels[Watched Through],MATCH(N960,tblChannels[Channel ID],0)),0),"Watched","Unwatched"))</f>
        <v/>
      </c>
      <c r="C960" s="40" t="n"/>
      <c r="D960" s="41" t="n"/>
      <c r="E960" s="42" t="n">
        <v>44986.60416666666</v>
      </c>
      <c r="F960" s="50" t="inlineStr">
        <is>
          <t>Super Carlin Brothers</t>
        </is>
      </c>
      <c r="G960" t="inlineStr">
        <is>
          <t>What Would ACTUALLY Make Toy Story 5 Worth It | Pixar Film Theory</t>
        </is>
      </c>
      <c r="H960" s="44" t="n">
        <v>0.01342592592592593</v>
      </c>
      <c r="I960" s="45" t="n">
        <v>212179</v>
      </c>
      <c r="J960" s="45" t="n">
        <v>8816</v>
      </c>
      <c r="K960" s="45" t="n">
        <v>1172</v>
      </c>
      <c r="L960" s="46" t="n"/>
      <c r="M960" s="47" t="n"/>
      <c r="N960" s="47" t="inlineStr">
        <is>
          <t>UCKZo4N0lVPccBkSiuyVh4yg</t>
        </is>
      </c>
      <c r="O960" s="48" t="n">
        <v>44986.8125</v>
      </c>
      <c r="P960" s="49" t="n">
        <v>44986</v>
      </c>
      <c r="Q960" s="47" t="n">
        <v>2308</v>
      </c>
      <c r="R960" s="47" t="inlineStr">
        <is>
          <t>No Video ID yet</t>
        </is>
      </c>
      <c r="S960" s="49" t="n"/>
      <c r="T960" s="49" t="n"/>
      <c r="U960" s="47" t="inlineStr">
        <is>
          <t>This episode is sponsored by BetterHelp - go to to get started today! Go to for 25% off our Royal Candle Line for the rest of the year! Today J dives into the wonderful world of Pixar’s Toy Story to discuss and predict the possible plot of the newly announced Toy Story 5! Marvelous Madness :: #supercarlinbrothers #Pixar #ToyStory5</t>
        </is>
      </c>
      <c r="V960" s="47">
        <f>IF(AND(P960&gt;=Calendar!$K$2,P960&lt;EDATE(Calendar!$K$2,1),OR(Calendar!$K$4="*",N960=Calendar!$K$4)),P960*100+COUNTIFS($P$6:$P$3267,P960,$Q$6:$Q$3267,"&lt;="&amp;Q960,$N$6:$N$3267,Calendar!$K$4),"")</f>
        <v/>
      </c>
      <c r="W960" s="47">
        <f>IF(AND(B960=Queue!$C$4,OR(Queue!$K$4="*",N960=Queue!$K$4)),Q960,"")</f>
        <v/>
      </c>
    </row>
    <row r="961">
      <c r="A961" s="38">
        <f>IF(M961="","",HYPERLINK("https://www.youtube.com/watch?v="&amp;M961,"▶"))</f>
        <v/>
      </c>
      <c r="B961" s="39">
        <f>IF(C961&lt;&gt;"",C961,IF(P961&lt;=IFERROR(INDEX(tblChannels[Watched Through],MATCH(N961,tblChannels[Channel ID],0)),0),"Watched","Unwatched"))</f>
        <v/>
      </c>
      <c r="C961" s="40" t="n"/>
      <c r="D961" s="41" t="n"/>
      <c r="E961" s="42" t="n">
        <v>44985.77083333334</v>
      </c>
      <c r="F961" s="52" t="inlineStr">
        <is>
          <t>Super Carlin Gaming</t>
        </is>
      </c>
      <c r="G961" t="inlineStr">
        <is>
          <t>7 WAY TIE!! | Carlin Brothers Box Breakers SEASON 3 FINALE</t>
        </is>
      </c>
      <c r="H961" s="44" t="n">
        <v>0.04175925925925926</v>
      </c>
      <c r="I961" s="45" t="n">
        <v>2755</v>
      </c>
      <c r="J961" s="45" t="n">
        <v>163</v>
      </c>
      <c r="K961" s="45" t="n">
        <v>16</v>
      </c>
      <c r="L961" s="46" t="n"/>
      <c r="M961" s="47" t="n"/>
      <c r="N961" s="47" t="inlineStr">
        <is>
          <t>UCor_9jRnNNZVzTuQ92PKsaQ</t>
        </is>
      </c>
      <c r="O961" s="48" t="n">
        <v>44985.97916666666</v>
      </c>
      <c r="P961" s="49" t="n">
        <v>44985</v>
      </c>
      <c r="Q961" s="47" t="n">
        <v>2307</v>
      </c>
      <c r="R961" s="47" t="inlineStr">
        <is>
          <t>No Video ID yet</t>
        </is>
      </c>
      <c r="S961" s="49" t="n"/>
      <c r="T961" s="49" t="n"/>
      <c r="U961" s="47" t="inlineStr">
        <is>
          <t>This week SILVER TEMPEST comes to an end!</t>
        </is>
      </c>
      <c r="V961" s="47">
        <f>IF(AND(P961&gt;=Calendar!$K$2,P961&lt;EDATE(Calendar!$K$2,1),OR(Calendar!$K$4="*",N961=Calendar!$K$4)),P961*100+COUNTIFS($P$6:$P$3267,P961,$Q$6:$Q$3267,"&lt;="&amp;Q961,$N$6:$N$3267,Calendar!$K$4),"")</f>
        <v/>
      </c>
      <c r="W961" s="47">
        <f>IF(AND(B961=Queue!$C$4,OR(Queue!$K$4="*",N961=Queue!$K$4)),Q961,"")</f>
        <v/>
      </c>
    </row>
    <row r="962">
      <c r="A962" s="38">
        <f>IF(M962="","",HYPERLINK("https://www.youtube.com/watch?v="&amp;M962,"▶"))</f>
        <v/>
      </c>
      <c r="B962" s="39">
        <f>IF(C962&lt;&gt;"",C962,IF(P962&lt;=IFERROR(INDEX(tblChannels[Watched Through],MATCH(N962,tblChannels[Channel ID],0)),0),"Watched","Unwatched"))</f>
        <v/>
      </c>
      <c r="C962" s="40" t="n"/>
      <c r="D962" s="41" t="n"/>
      <c r="E962" s="42" t="n">
        <v>44981.69930555556</v>
      </c>
      <c r="F962" s="50" t="inlineStr">
        <is>
          <t>Super Carlin Brothers</t>
        </is>
      </c>
      <c r="G962" t="inlineStr">
        <is>
          <t>Mirabel Had A DARK Gift The Whole Time | Encanto Disney Film Theory</t>
        </is>
      </c>
      <c r="H962" s="44" t="n">
        <v>0.01416666666666667</v>
      </c>
      <c r="I962" s="45" t="n">
        <v>244690</v>
      </c>
      <c r="J962" s="45" t="n">
        <v>9911</v>
      </c>
      <c r="K962" s="45" t="n">
        <v>543</v>
      </c>
      <c r="L962" s="46" t="n"/>
      <c r="M962" s="47" t="n"/>
      <c r="N962" s="47" t="inlineStr">
        <is>
          <t>UCKZo4N0lVPccBkSiuyVh4yg</t>
        </is>
      </c>
      <c r="O962" s="48" t="n">
        <v>44981.90763888889</v>
      </c>
      <c r="P962" s="49" t="n">
        <v>44981</v>
      </c>
      <c r="Q962" s="47" t="n">
        <v>2306</v>
      </c>
      <c r="R962" s="47" t="inlineStr">
        <is>
          <t>No Video ID yet</t>
        </is>
      </c>
      <c r="S962" s="49" t="n"/>
      <c r="T962" s="49" t="n"/>
      <c r="U962" s="47" t="inlineStr">
        <is>
          <t>Go to and use code supercarlin65 for 65% off plus free shipping! Today Ben dives into the Magical world of Disney’s Encanto to figure out if Mirabel actually had a power the whole time and what kind of negative effect it had on her whole life. #supercarlinbrothers #Disney #Encanto</t>
        </is>
      </c>
      <c r="V962" s="47">
        <f>IF(AND(P962&gt;=Calendar!$K$2,P962&lt;EDATE(Calendar!$K$2,1),OR(Calendar!$K$4="*",N962=Calendar!$K$4)),P962*100+COUNTIFS($P$6:$P$3267,P962,$Q$6:$Q$3267,"&lt;="&amp;Q962,$N$6:$N$3267,Calendar!$K$4),"")</f>
        <v/>
      </c>
      <c r="W962" s="47">
        <f>IF(AND(B962=Queue!$C$4,OR(Queue!$K$4="*",N962=Queue!$K$4)),Q962,"")</f>
        <v/>
      </c>
    </row>
    <row r="963">
      <c r="A963" s="38">
        <f>IF(M963="","",HYPERLINK("https://www.youtube.com/watch?v="&amp;M963,"▶"))</f>
        <v/>
      </c>
      <c r="B963" s="39">
        <f>IF(C963&lt;&gt;"",C963,IF(P963&lt;=IFERROR(INDEX(tblChannels[Watched Through],MATCH(N963,tblChannels[Channel ID],0)),0),"Watched","Unwatched"))</f>
        <v/>
      </c>
      <c r="C963" s="40" t="n"/>
      <c r="D963" s="41" t="n"/>
      <c r="E963" s="42" t="n">
        <v>44981.41666666666</v>
      </c>
      <c r="F963" s="43" t="inlineStr">
        <is>
          <t>Popcorn Culture</t>
        </is>
      </c>
      <c r="G963" t="inlineStr">
        <is>
          <t>Eating Year Old Popcorn | Popcorn Culture</t>
        </is>
      </c>
      <c r="H963" s="44" t="n">
        <v>0.04657407407407407</v>
      </c>
      <c r="I963" s="45" t="n">
        <v>4797</v>
      </c>
      <c r="J963" s="45" t="n">
        <v>262</v>
      </c>
      <c r="K963" s="45" t="n">
        <v>50</v>
      </c>
      <c r="L963" s="46" t="n"/>
      <c r="M963" s="47" t="n"/>
      <c r="N963" s="47" t="inlineStr">
        <is>
          <t>UCHfIbq9thHPC8yrKjAdJgDA</t>
        </is>
      </c>
      <c r="O963" s="48" t="n">
        <v>44981.625</v>
      </c>
      <c r="P963" s="49" t="n">
        <v>44981</v>
      </c>
      <c r="Q963" s="47" t="n">
        <v>2305</v>
      </c>
      <c r="R963" s="47" t="inlineStr">
        <is>
          <t>No Video ID yet</t>
        </is>
      </c>
      <c r="S963" s="49" t="n"/>
      <c r="T963" s="49" t="n"/>
      <c r="U963" s="47" t="inlineStr">
        <is>
          <t>In the 168th episode of the Pop, Ben and J discuss: The Roanoker, popcorn freshness duration, bean bag chairs, movie theater concessions, waking up early for cartoons as kids, J’s Pokemon origins, Pluto pins, and Luke bringing J coffee in bed. Ant Man and the Wasp: Quantumania - Most Valuable Disney pins - In Sync LIKE THE BAND! Kind of a Disappointing Cookie Quality Year Old Kernels You Wouldn’t Chew On a T-shirt Momentus Parenting Occasion A Crisp 40 Dollar Bill I Just Want to be a Treasure Hunter 00:00 - Intro, Roanoker Slip Up… Sort Of! 07:53 - Longevity of Popcorn 22:23 - Bean Bag Chairs and Movie Concessions 35:01 - J’s Origin with Pokemon 48:27 - Hunting Pluto Pins 56:25 - Coffee in Bed</t>
        </is>
      </c>
      <c r="V963" s="47">
        <f>IF(AND(P963&gt;=Calendar!$K$2,P963&lt;EDATE(Calendar!$K$2,1),OR(Calendar!$K$4="*",N963=Calendar!$K$4)),P963*100+COUNTIFS($P$6:$P$3267,P963,$Q$6:$Q$3267,"&lt;="&amp;Q963,$N$6:$N$3267,Calendar!$K$4),"")</f>
        <v/>
      </c>
      <c r="W963" s="47">
        <f>IF(AND(B963=Queue!$C$4,OR(Queue!$K$4="*",N963=Queue!$K$4)),Q963,"")</f>
        <v/>
      </c>
    </row>
    <row r="964">
      <c r="A964" s="38">
        <f>IF(M964="","",HYPERLINK("https://www.youtube.com/watch?v="&amp;M964,"▶"))</f>
        <v/>
      </c>
      <c r="B964" s="39">
        <f>IF(C964&lt;&gt;"",C964,IF(P964&lt;=IFERROR(INDEX(tblChannels[Watched Through],MATCH(N964,tblChannels[Channel ID],0)),0),"Watched","Unwatched"))</f>
        <v/>
      </c>
      <c r="C964" s="40" t="n"/>
      <c r="D964" s="41" t="n"/>
      <c r="E964" s="42" t="n">
        <v>44980.70833333334</v>
      </c>
      <c r="F964" s="43" t="inlineStr">
        <is>
          <t>Popcorn Culture</t>
        </is>
      </c>
      <c r="G964" t="inlineStr">
        <is>
          <t>Coffee In Bed | Popcorn Culture Episode 168 Teaser</t>
        </is>
      </c>
      <c r="H964" s="44" t="n">
        <v>0.006481481481481481</v>
      </c>
      <c r="I964" s="45" t="n">
        <v>988</v>
      </c>
      <c r="J964" s="45" t="n">
        <v>74</v>
      </c>
      <c r="K964" s="45" t="n">
        <v>4</v>
      </c>
      <c r="L964" s="46" t="n"/>
      <c r="M964" s="47" t="n"/>
      <c r="N964" s="47" t="inlineStr">
        <is>
          <t>UCHfIbq9thHPC8yrKjAdJgDA</t>
        </is>
      </c>
      <c r="O964" s="48" t="n">
        <v>44980.91666666666</v>
      </c>
      <c r="P964" s="49" t="n">
        <v>44980</v>
      </c>
      <c r="Q964" s="47" t="n">
        <v>2304</v>
      </c>
      <c r="R964" s="47" t="inlineStr">
        <is>
          <t>No Video ID yet</t>
        </is>
      </c>
      <c r="S964" s="49" t="n"/>
      <c r="T964" s="49" t="n"/>
      <c r="U964" s="47" t="n"/>
      <c r="V964" s="47">
        <f>IF(AND(P964&gt;=Calendar!$K$2,P964&lt;EDATE(Calendar!$K$2,1),OR(Calendar!$K$4="*",N964=Calendar!$K$4)),P964*100+COUNTIFS($P$6:$P$3267,P964,$Q$6:$Q$3267,"&lt;="&amp;Q964,$N$6:$N$3267,Calendar!$K$4),"")</f>
        <v/>
      </c>
      <c r="W964" s="47">
        <f>IF(AND(B964=Queue!$C$4,OR(Queue!$K$4="*",N964=Queue!$K$4)),Q964,"")</f>
        <v/>
      </c>
    </row>
    <row r="965">
      <c r="A965" s="38">
        <f>IF(M965="","",HYPERLINK("https://www.youtube.com/watch?v="&amp;M965,"▶"))</f>
        <v/>
      </c>
      <c r="B965" s="39">
        <f>IF(C965&lt;&gt;"",C965,IF(P965&lt;=IFERROR(INDEX(tblChannels[Watched Through],MATCH(N965,tblChannels[Channel ID],0)),0),"Watched","Unwatched"))</f>
        <v/>
      </c>
      <c r="C965" s="40" t="n"/>
      <c r="D965" s="41" t="n"/>
      <c r="E965" s="42" t="n">
        <v>44979.625</v>
      </c>
      <c r="F965" s="52" t="inlineStr">
        <is>
          <t>Super Carlin Gaming</t>
        </is>
      </c>
      <c r="G965" t="inlineStr">
        <is>
          <t>IT HAPPENED AGAIN!! | Carlin Brothers Box Breakers S3E9</t>
        </is>
      </c>
      <c r="H965" s="44" t="n">
        <v>0.03986111111111111</v>
      </c>
      <c r="I965" s="45" t="n">
        <v>2914</v>
      </c>
      <c r="J965" s="45" t="n">
        <v>168</v>
      </c>
      <c r="K965" s="45" t="n">
        <v>23</v>
      </c>
      <c r="L965" s="46" t="n"/>
      <c r="M965" s="47" t="n"/>
      <c r="N965" s="47" t="inlineStr">
        <is>
          <t>UCor_9jRnNNZVzTuQ92PKsaQ</t>
        </is>
      </c>
      <c r="O965" s="48" t="n">
        <v>44979.83333333334</v>
      </c>
      <c r="P965" s="49" t="n">
        <v>44979</v>
      </c>
      <c r="Q965" s="47" t="n">
        <v>2303</v>
      </c>
      <c r="R965" s="47" t="inlineStr">
        <is>
          <t>No Video ID yet</t>
        </is>
      </c>
      <c r="S965" s="49" t="n"/>
      <c r="T965" s="49" t="n"/>
      <c r="U965" s="47" t="inlineStr">
        <is>
          <t>This week we've got some NEW FACES in SILVER TEMPEST</t>
        </is>
      </c>
      <c r="V965" s="47">
        <f>IF(AND(P965&gt;=Calendar!$K$2,P965&lt;EDATE(Calendar!$K$2,1),OR(Calendar!$K$4="*",N965=Calendar!$K$4)),P965*100+COUNTIFS($P$6:$P$3267,P965,$Q$6:$Q$3267,"&lt;="&amp;Q965,$N$6:$N$3267,Calendar!$K$4),"")</f>
        <v/>
      </c>
      <c r="W965" s="47">
        <f>IF(AND(B965=Queue!$C$4,OR(Queue!$K$4="*",N965=Queue!$K$4)),Q965,"")</f>
        <v/>
      </c>
    </row>
    <row r="966">
      <c r="A966" s="38">
        <f>IF(M966="","",HYPERLINK("https://www.youtube.com/watch?v="&amp;M966,"▶"))</f>
        <v/>
      </c>
      <c r="B966" s="39">
        <f>IF(C966&lt;&gt;"",C966,IF(P966&lt;=IFERROR(INDEX(tblChannels[Watched Through],MATCH(N966,tblChannels[Channel ID],0)),0),"Watched","Unwatched"))</f>
        <v/>
      </c>
      <c r="C966" s="40" t="n"/>
      <c r="D966" s="41" t="n"/>
      <c r="E966" s="42" t="n">
        <v>44979.58333333334</v>
      </c>
      <c r="F966" s="50" t="inlineStr">
        <is>
          <t>Super Carlin Brothers</t>
        </is>
      </c>
      <c r="G966" t="inlineStr">
        <is>
          <t>Sokka’s DEATH Solved | Avatar the Last Airbender Film Theory</t>
        </is>
      </c>
      <c r="H966" s="44" t="n">
        <v>0.009363425925925926</v>
      </c>
      <c r="I966" s="45" t="n">
        <v>383636</v>
      </c>
      <c r="J966" s="45" t="n">
        <v>13235</v>
      </c>
      <c r="K966" s="45" t="n">
        <v>1073</v>
      </c>
      <c r="L966" s="46" t="n"/>
      <c r="M966" s="47" t="n"/>
      <c r="N966" s="47" t="inlineStr">
        <is>
          <t>UCKZo4N0lVPccBkSiuyVh4yg</t>
        </is>
      </c>
      <c r="O966" s="48" t="n">
        <v>44979.79166666666</v>
      </c>
      <c r="P966" s="49" t="n">
        <v>44979</v>
      </c>
      <c r="Q966" s="47" t="n">
        <v>2302</v>
      </c>
      <c r="R966" s="47" t="inlineStr">
        <is>
          <t>No Video ID yet</t>
        </is>
      </c>
      <c r="S966" s="49" t="n"/>
      <c r="T966" s="49" t="n"/>
      <c r="U966" s="47" t="inlineStr">
        <is>
          <t>This episode is sponsored by BetterHelp - go to to get started today Go to to get 25% off your order and free standard shipping. Today J dives off of a Sky Bison into the world of Avatar the Last Airbender and the Legend of Korra to find out what happened to Sokka! We barely get to see him in TLoK! Did Sokka marry Suki? What about Toph? And WHO KILLED SOKKA!? #supercarlinbrothers #atla #avatarthelastairbender</t>
        </is>
      </c>
      <c r="V966" s="47">
        <f>IF(AND(P966&gt;=Calendar!$K$2,P966&lt;EDATE(Calendar!$K$2,1),OR(Calendar!$K$4="*",N966=Calendar!$K$4)),P966*100+COUNTIFS($P$6:$P$3267,P966,$Q$6:$Q$3267,"&lt;="&amp;Q966,$N$6:$N$3267,Calendar!$K$4),"")</f>
        <v/>
      </c>
      <c r="W966" s="47">
        <f>IF(AND(B966=Queue!$C$4,OR(Queue!$K$4="*",N966=Queue!$K$4)),Q966,"")</f>
        <v/>
      </c>
    </row>
    <row r="967">
      <c r="A967" s="38">
        <f>IF(M967="","",HYPERLINK("https://www.youtube.com/watch?v="&amp;M967,"▶"))</f>
        <v/>
      </c>
      <c r="B967" s="39">
        <f>IF(C967&lt;&gt;"",C967,IF(P967&lt;=IFERROR(INDEX(tblChannels[Watched Through],MATCH(N967,tblChannels[Channel ID],0)),0),"Watched","Unwatched"))</f>
        <v/>
      </c>
      <c r="C967" s="40" t="n"/>
      <c r="D967" s="41" t="n"/>
      <c r="E967" s="42" t="n">
        <v>44974.80138888889</v>
      </c>
      <c r="F967" s="50" t="inlineStr">
        <is>
          <t>Super Carlin Brothers</t>
        </is>
      </c>
      <c r="G967" t="inlineStr">
        <is>
          <t>REVIEW: Ant-Man and the Wasp Quantumania</t>
        </is>
      </c>
      <c r="H967" s="44" t="n">
        <v>0.04476851851851852</v>
      </c>
      <c r="I967" s="45" t="n">
        <v>75394</v>
      </c>
      <c r="J967" s="45" t="n">
        <v>2593</v>
      </c>
      <c r="K967" s="45" t="n">
        <v>438</v>
      </c>
      <c r="L967" s="46" t="n"/>
      <c r="M967" s="47" t="n"/>
      <c r="N967" s="47" t="inlineStr">
        <is>
          <t>UCKZo4N0lVPccBkSiuyVh4yg</t>
        </is>
      </c>
      <c r="O967" s="48" t="n">
        <v>44975.00972222222</v>
      </c>
      <c r="P967" s="49" t="n">
        <v>44974</v>
      </c>
      <c r="Q967" s="47" t="n">
        <v>2301</v>
      </c>
      <c r="R967" s="47" t="inlineStr">
        <is>
          <t>No Video ID yet</t>
        </is>
      </c>
      <c r="S967" s="49" t="n"/>
      <c r="T967" s="49" t="n"/>
      <c r="U967" s="47" t="inlineStr">
        <is>
          <t>Go to to get PayPal Honey for free. Go to to get an extra three months for free. Today J and Ben dive into the Quantum Realm to explore the MCU’s latest movie: Ant-Man and the Wasp: Quantumania! #supercarlinbrothers #Marvel #AntManAndTheWasp</t>
        </is>
      </c>
      <c r="V967" s="47">
        <f>IF(AND(P967&gt;=Calendar!$K$2,P967&lt;EDATE(Calendar!$K$2,1),OR(Calendar!$K$4="*",N967=Calendar!$K$4)),P967*100+COUNTIFS($P$6:$P$3267,P967,$Q$6:$Q$3267,"&lt;="&amp;Q967,$N$6:$N$3267,Calendar!$K$4),"")</f>
        <v/>
      </c>
      <c r="W967" s="47">
        <f>IF(AND(B967=Queue!$C$4,OR(Queue!$K$4="*",N967=Queue!$K$4)),Q967,"")</f>
        <v/>
      </c>
    </row>
    <row r="968">
      <c r="A968" s="38">
        <f>IF(M968="","",HYPERLINK("https://www.youtube.com/watch?v="&amp;M968,"▶"))</f>
        <v/>
      </c>
      <c r="B968" s="39">
        <f>IF(C968&lt;&gt;"",C968,IF(P968&lt;=IFERROR(INDEX(tblChannels[Watched Through],MATCH(N968,tblChannels[Channel ID],0)),0),"Watched","Unwatched"))</f>
        <v/>
      </c>
      <c r="C968" s="40" t="n"/>
      <c r="D968" s="41" t="n"/>
      <c r="E968" s="42" t="n">
        <v>44974.77083333334</v>
      </c>
      <c r="F968" s="52" t="inlineStr">
        <is>
          <t>Super Carlin Gaming</t>
        </is>
      </c>
      <c r="G968" t="inlineStr">
        <is>
          <t>The Silver Tempest Begins Its End | Carlin Brothers Box Breakers S3E8</t>
        </is>
      </c>
      <c r="H968" s="44" t="n">
        <v>0.03740740740740741</v>
      </c>
      <c r="I968" s="45" t="n">
        <v>2685</v>
      </c>
      <c r="J968" s="45" t="n">
        <v>139</v>
      </c>
      <c r="K968" s="45" t="n">
        <v>25</v>
      </c>
      <c r="L968" s="46" t="n"/>
      <c r="M968" s="47" t="n"/>
      <c r="N968" s="47" t="inlineStr">
        <is>
          <t>UCor_9jRnNNZVzTuQ92PKsaQ</t>
        </is>
      </c>
      <c r="O968" s="48" t="n">
        <v>44974.97916666666</v>
      </c>
      <c r="P968" s="49" t="n">
        <v>44974</v>
      </c>
      <c r="Q968" s="47" t="n">
        <v>2300</v>
      </c>
      <c r="R968" s="47" t="inlineStr">
        <is>
          <t>No Video ID yet</t>
        </is>
      </c>
      <c r="S968" s="49" t="n"/>
      <c r="T968" s="49" t="n"/>
      <c r="U968" s="47" t="inlineStr">
        <is>
          <t>This week we've got some NEW FACES in SILVER TEMPEST</t>
        </is>
      </c>
      <c r="V968" s="47">
        <f>IF(AND(P968&gt;=Calendar!$K$2,P968&lt;EDATE(Calendar!$K$2,1),OR(Calendar!$K$4="*",N968=Calendar!$K$4)),P968*100+COUNTIFS($P$6:$P$3267,P968,$Q$6:$Q$3267,"&lt;="&amp;Q968,$N$6:$N$3267,Calendar!$K$4),"")</f>
        <v/>
      </c>
      <c r="W968" s="47">
        <f>IF(AND(B968=Queue!$C$4,OR(Queue!$K$4="*",N968=Queue!$K$4)),Q968,"")</f>
        <v/>
      </c>
    </row>
    <row r="969">
      <c r="A969" s="38">
        <f>IF(M969="","",HYPERLINK("https://www.youtube.com/watch?v="&amp;M969,"▶"))</f>
        <v/>
      </c>
      <c r="B969" s="39">
        <f>IF(C969&lt;&gt;"",C969,IF(P969&lt;=IFERROR(INDEX(tblChannels[Watched Through],MATCH(N969,tblChannels[Channel ID],0)),0),"Watched","Unwatched"))</f>
        <v/>
      </c>
      <c r="C969" s="40" t="n"/>
      <c r="D969" s="41" t="n"/>
      <c r="E969" s="42" t="n">
        <v>44974.41666666666</v>
      </c>
      <c r="F969" s="43" t="inlineStr">
        <is>
          <t>Popcorn Culture</t>
        </is>
      </c>
      <c r="G969" t="inlineStr">
        <is>
          <t>Could’ve Married Kevin | Popcorn Culture</t>
        </is>
      </c>
      <c r="H969" s="44" t="n">
        <v>0.0540625</v>
      </c>
      <c r="I969" s="45" t="n">
        <v>5734</v>
      </c>
      <c r="J969" s="45" t="n">
        <v>287</v>
      </c>
      <c r="K969" s="45" t="n">
        <v>31</v>
      </c>
      <c r="L969" s="46" t="n"/>
      <c r="M969" s="47" t="n"/>
      <c r="N969" s="47" t="inlineStr">
        <is>
          <t>UCHfIbq9thHPC8yrKjAdJgDA</t>
        </is>
      </c>
      <c r="O969" s="48" t="n">
        <v>44974.625</v>
      </c>
      <c r="P969" s="49" t="n">
        <v>44974</v>
      </c>
      <c r="Q969" s="47" t="n">
        <v>2299</v>
      </c>
      <c r="R969" s="47" t="inlineStr">
        <is>
          <t>No Video ID yet</t>
        </is>
      </c>
      <c r="S969" s="49" t="n"/>
      <c r="T969" s="49" t="n"/>
      <c r="U969" s="47" t="inlineStr">
        <is>
          <t>In the 167th episode of the Pop, Ben and J discuss Ystävänpäivä Day, imaginary friends, children’s shows, classroom seat placements, clean clothes, lanyards, random home ownership problems, and the Super Bowl. Inside Out - Mickey Mouse ClubHouse - Bluey - Proof of Human Instinct Speaking of Digestion… PSA: Clean Your Dryer Vents Dadding at 100% Absolutions to Weird Problems 00:00 - Intro, Ystävänpäivä Day 06:33 - Memories and Imaginary Friends 13:39 - Who You Sit Next to in Class 27:02 - A Really Gross Corny Joke and Laundry 52:34 - The Buper Soul</t>
        </is>
      </c>
      <c r="V969" s="47">
        <f>IF(AND(P969&gt;=Calendar!$K$2,P969&lt;EDATE(Calendar!$K$2,1),OR(Calendar!$K$4="*",N969=Calendar!$K$4)),P969*100+COUNTIFS($P$6:$P$3267,P969,$Q$6:$Q$3267,"&lt;="&amp;Q969,$N$6:$N$3267,Calendar!$K$4),"")</f>
        <v/>
      </c>
      <c r="W969" s="47">
        <f>IF(AND(B969=Queue!$C$4,OR(Queue!$K$4="*",N969=Queue!$K$4)),Q969,"")</f>
        <v/>
      </c>
    </row>
    <row r="970">
      <c r="A970" s="38">
        <f>IF(M970="","",HYPERLINK("https://www.youtube.com/watch?v="&amp;M970,"▶"))</f>
        <v/>
      </c>
      <c r="B970" s="39">
        <f>IF(C970&lt;&gt;"",C970,IF(P970&lt;=IFERROR(INDEX(tblChannels[Watched Through],MATCH(N970,tblChannels[Channel ID],0)),0),"Watched","Unwatched"))</f>
        <v/>
      </c>
      <c r="C970" s="40" t="n"/>
      <c r="D970" s="41" t="n"/>
      <c r="E970" s="42" t="n">
        <v>44973.70833333334</v>
      </c>
      <c r="F970" s="43" t="inlineStr">
        <is>
          <t>Popcorn Culture</t>
        </is>
      </c>
      <c r="G970" t="inlineStr">
        <is>
          <t>Ystävänpäivä Day | Popcorn Culture Episode 167 Teaser</t>
        </is>
      </c>
      <c r="H970" s="44" t="n">
        <v>0.004016203703703704</v>
      </c>
      <c r="I970" s="45" t="n">
        <v>1217</v>
      </c>
      <c r="J970" s="45" t="n">
        <v>92</v>
      </c>
      <c r="K970" s="45" t="n">
        <v>15</v>
      </c>
      <c r="L970" s="46" t="n"/>
      <c r="M970" s="47" t="n"/>
      <c r="N970" s="47" t="inlineStr">
        <is>
          <t>UCHfIbq9thHPC8yrKjAdJgDA</t>
        </is>
      </c>
      <c r="O970" s="48" t="n">
        <v>44973.91666666666</v>
      </c>
      <c r="P970" s="49" t="n">
        <v>44973</v>
      </c>
      <c r="Q970" s="47" t="n">
        <v>2298</v>
      </c>
      <c r="R970" s="47" t="inlineStr">
        <is>
          <t>No Video ID yet</t>
        </is>
      </c>
      <c r="S970" s="49" t="n"/>
      <c r="T970" s="49" t="n"/>
      <c r="U970" s="47" t="n"/>
      <c r="V970" s="47">
        <f>IF(AND(P970&gt;=Calendar!$K$2,P970&lt;EDATE(Calendar!$K$2,1),OR(Calendar!$K$4="*",N970=Calendar!$K$4)),P970*100+COUNTIFS($P$6:$P$3267,P970,$Q$6:$Q$3267,"&lt;="&amp;Q970,$N$6:$N$3267,Calendar!$K$4),"")</f>
        <v/>
      </c>
      <c r="W970" s="47">
        <f>IF(AND(B970=Queue!$C$4,OR(Queue!$K$4="*",N970=Queue!$K$4)),Q970,"")</f>
        <v/>
      </c>
    </row>
    <row r="971">
      <c r="A971" s="38">
        <f>IF(M971="","",HYPERLINK("https://www.youtube.com/watch?v="&amp;M971,"▶"))</f>
        <v/>
      </c>
      <c r="B971" s="39">
        <f>IF(C971&lt;&gt;"",C971,IF(P971&lt;=IFERROR(INDEX(tblChannels[Watched Through],MATCH(N971,tblChannels[Channel ID],0)),0),"Watched","Unwatched"))</f>
        <v/>
      </c>
      <c r="C971" s="40" t="n"/>
      <c r="D971" s="41" t="n"/>
      <c r="E971" s="42" t="n">
        <v>44972.75625</v>
      </c>
      <c r="F971" s="50" t="inlineStr">
        <is>
          <t>Super Carlin Brothers</t>
        </is>
      </c>
      <c r="G971" t="inlineStr">
        <is>
          <t>How Fantastic Beasts Should Have Ended  | Harry Potter Film Theory</t>
        </is>
      </c>
      <c r="H971" s="44" t="n">
        <v>0.01137731481481481</v>
      </c>
      <c r="I971" s="45" t="n">
        <v>228643</v>
      </c>
      <c r="J971" s="45" t="n">
        <v>9374</v>
      </c>
      <c r="K971" s="45" t="n">
        <v>779</v>
      </c>
      <c r="L971" s="46" t="n"/>
      <c r="M971" s="47" t="n"/>
      <c r="N971" s="47" t="inlineStr">
        <is>
          <t>UCKZo4N0lVPccBkSiuyVh4yg</t>
        </is>
      </c>
      <c r="O971" s="48" t="n">
        <v>44972.96458333333</v>
      </c>
      <c r="P971" s="49" t="n">
        <v>44972</v>
      </c>
      <c r="Q971" s="47" t="n">
        <v>2297</v>
      </c>
      <c r="R971" s="47" t="inlineStr">
        <is>
          <t>No Video ID yet</t>
        </is>
      </c>
      <c r="S971" s="49" t="n"/>
      <c r="T971" s="49" t="n"/>
      <c r="U971" s="47" t="inlineStr">
        <is>
          <t>This episode is sponsored by BetterHelp - go to to get started today Today J dives into the Wizarding World of Harry Potter to reveal how the presently paused Fantastic Beast Movies SHOULD have ended, and all the questions that still need resolving from the first 3 movies. #supercarlinbrothers #HarryPotter #FantasticBeasts Edited by :: Riley Murtagh and Ethan Edghill 0:00 Intro (Safe Content) 7:00 Mention of Child Loss (Content Warning) 8:15 Safe Content</t>
        </is>
      </c>
      <c r="V971" s="47">
        <f>IF(AND(P971&gt;=Calendar!$K$2,P971&lt;EDATE(Calendar!$K$2,1),OR(Calendar!$K$4="*",N971=Calendar!$K$4)),P971*100+COUNTIFS($P$6:$P$3267,P971,$Q$6:$Q$3267,"&lt;="&amp;Q971,$N$6:$N$3267,Calendar!$K$4),"")</f>
        <v/>
      </c>
      <c r="W971" s="47">
        <f>IF(AND(B971=Queue!$C$4,OR(Queue!$K$4="*",N971=Queue!$K$4)),Q971,"")</f>
        <v/>
      </c>
    </row>
    <row r="972">
      <c r="A972" s="38">
        <f>IF(M972="","",HYPERLINK("https://www.youtube.com/watch?v="&amp;M972,"▶"))</f>
        <v/>
      </c>
      <c r="B972" s="39">
        <f>IF(C972&lt;&gt;"",C972,IF(P972&lt;=IFERROR(INDEX(tblChannels[Watched Through],MATCH(N972,tblChannels[Channel ID],0)),0),"Watched","Unwatched"))</f>
        <v/>
      </c>
      <c r="C972" s="40" t="n"/>
      <c r="D972" s="41" t="n"/>
      <c r="E972" s="42" t="n">
        <v>44967.77916666667</v>
      </c>
      <c r="F972" s="50" t="inlineStr">
        <is>
          <t>Super Carlin Brothers</t>
        </is>
      </c>
      <c r="G972" t="inlineStr">
        <is>
          <t>How Frozen Solved a MURDER Mystery | Disney Film Theory</t>
        </is>
      </c>
      <c r="H972" s="44" t="n">
        <v>0.01289351851851852</v>
      </c>
      <c r="I972" s="45" t="n">
        <v>137278</v>
      </c>
      <c r="J972" s="45" t="n">
        <v>7349</v>
      </c>
      <c r="K972" s="45" t="n">
        <v>408</v>
      </c>
      <c r="L972" s="46" t="n"/>
      <c r="M972" s="47" t="n"/>
      <c r="N972" s="47" t="inlineStr">
        <is>
          <t>UCKZo4N0lVPccBkSiuyVh4yg</t>
        </is>
      </c>
      <c r="O972" s="48" t="n">
        <v>44967.9875</v>
      </c>
      <c r="P972" s="49" t="n">
        <v>44967</v>
      </c>
      <c r="Q972" s="47" t="n">
        <v>2296</v>
      </c>
      <c r="R972" s="47" t="inlineStr">
        <is>
          <t>No Video ID yet</t>
        </is>
      </c>
      <c r="S972" s="49" t="n"/>
      <c r="T972" s="49" t="n"/>
      <c r="U972" s="47" t="inlineStr">
        <is>
          <t>This episode is sponsored by BetterHelp - go to to get started today Go to and use code SUPER for 20% off your first box. Today Ben dives into the world of Disney’s Frozen to reveal how technology developed for the movie helped solve a 60 year old mystery about the unusual deaths of a party hiking in the Ural Mountains, better known as the: Dyatlov Pass Incident Read more about the Dyatlov Pass Incident: Has science solved one of history’s greatest adventure mysteries? Dyatlov Pass Incident :: Kholat Syakhl :: #supercarlinbrothers #Frozen #Disney Edited by :: Riley Murtagh and Ethan Edghill 0:00 - Betterhelp Ad 0:15 - Hey Brother 2:03 - Intro 2:12 - Content Warning 2:21 - Groundbreaking Movie Facts 6:20 - Bespoke Post Ad 8:16 - Dyatlov Pass Incident Explained 10:02 - Sensitive Content (Okay To Skip) 10:51 - Safe Content 10:58 - What We Think Happened 14:08 - How Frozen Is Involved</t>
        </is>
      </c>
      <c r="V972" s="47">
        <f>IF(AND(P972&gt;=Calendar!$K$2,P972&lt;EDATE(Calendar!$K$2,1),OR(Calendar!$K$4="*",N972=Calendar!$K$4)),P972*100+COUNTIFS($P$6:$P$3267,P972,$Q$6:$Q$3267,"&lt;="&amp;Q972,$N$6:$N$3267,Calendar!$K$4),"")</f>
        <v/>
      </c>
      <c r="W972" s="47">
        <f>IF(AND(B972=Queue!$C$4,OR(Queue!$K$4="*",N972=Queue!$K$4)),Q972,"")</f>
        <v/>
      </c>
    </row>
    <row r="973">
      <c r="A973" s="38">
        <f>IF(M973="","",HYPERLINK("https://www.youtube.com/watch?v="&amp;M973,"▶"))</f>
        <v/>
      </c>
      <c r="B973" s="39">
        <f>IF(C973&lt;&gt;"",C973,IF(P973&lt;=IFERROR(INDEX(tblChannels[Watched Through],MATCH(N973,tblChannels[Channel ID],0)),0),"Watched","Unwatched"))</f>
        <v/>
      </c>
      <c r="C973" s="40" t="n"/>
      <c r="D973" s="41" t="n"/>
      <c r="E973" s="42" t="n">
        <v>44967.41666666666</v>
      </c>
      <c r="F973" s="43" t="inlineStr">
        <is>
          <t>Popcorn Culture</t>
        </is>
      </c>
      <c r="G973" t="inlineStr">
        <is>
          <t>Sauna? You Know You Wanna | Popcorn Culture</t>
        </is>
      </c>
      <c r="H973" s="44" t="n">
        <v>0.05827546296296297</v>
      </c>
      <c r="I973" s="45" t="n">
        <v>6438</v>
      </c>
      <c r="J973" s="45" t="n">
        <v>289</v>
      </c>
      <c r="K973" s="45" t="n">
        <v>42</v>
      </c>
      <c r="L973" s="46" t="n"/>
      <c r="M973" s="47" t="n"/>
      <c r="N973" s="47" t="inlineStr">
        <is>
          <t>UCHfIbq9thHPC8yrKjAdJgDA</t>
        </is>
      </c>
      <c r="O973" s="48" t="n">
        <v>44967.625</v>
      </c>
      <c r="P973" s="49" t="n">
        <v>44967</v>
      </c>
      <c r="Q973" s="47" t="n">
        <v>2295</v>
      </c>
      <c r="R973" s="47" t="inlineStr">
        <is>
          <t>No Video ID yet</t>
        </is>
      </c>
      <c r="S973" s="49" t="n"/>
      <c r="T973" s="49" t="n"/>
      <c r="U973" s="47" t="inlineStr">
        <is>
          <t>In the 166th Episode of the pop Ben and J discuss: The Disney Trip, circadian rhythms, saunas, Luke’s First Coaster, pin collecting, and the Pokemon Tournament. Show Notes Down To Earth - Hot Ones - Benegade Addie’s Balloon Almost a Tilt-A-Whirl Go Grass Deck! 00:00 - Intro, NO NOTES 01:55 - The Disney Trip and Sauna Stories 1:06:50 - The Pokemon Regional Tournament</t>
        </is>
      </c>
      <c r="V973" s="47">
        <f>IF(AND(P973&gt;=Calendar!$K$2,P973&lt;EDATE(Calendar!$K$2,1),OR(Calendar!$K$4="*",N973=Calendar!$K$4)),P973*100+COUNTIFS($P$6:$P$3267,P973,$Q$6:$Q$3267,"&lt;="&amp;Q973,$N$6:$N$3267,Calendar!$K$4),"")</f>
        <v/>
      </c>
      <c r="W973" s="47">
        <f>IF(AND(B973=Queue!$C$4,OR(Queue!$K$4="*",N973=Queue!$K$4)),Q973,"")</f>
        <v/>
      </c>
    </row>
    <row r="974">
      <c r="A974" s="38">
        <f>IF(M974="","",HYPERLINK("https://www.youtube.com/watch?v="&amp;M974,"▶"))</f>
        <v/>
      </c>
      <c r="B974" s="39">
        <f>IF(C974&lt;&gt;"",C974,IF(P974&lt;=IFERROR(INDEX(tblChannels[Watched Through],MATCH(N974,tblChannels[Channel ID],0)),0),"Watched","Unwatched"))</f>
        <v/>
      </c>
      <c r="C974" s="40" t="n"/>
      <c r="D974" s="41" t="n"/>
      <c r="E974" s="42" t="n">
        <v>44966.70833333334</v>
      </c>
      <c r="F974" s="43" t="inlineStr">
        <is>
          <t>Popcorn Culture</t>
        </is>
      </c>
      <c r="G974" t="inlineStr">
        <is>
          <t>Hot Air Balloons Are Terrifying | Popcorn Culture Episode 166 Teaser</t>
        </is>
      </c>
      <c r="H974" s="44" t="n">
        <v>0.002164351851851852</v>
      </c>
      <c r="I974" s="45" t="n">
        <v>678</v>
      </c>
      <c r="J974" s="45" t="n">
        <v>52</v>
      </c>
      <c r="K974" s="45" t="n">
        <v>3</v>
      </c>
      <c r="L974" s="46" t="n"/>
      <c r="M974" s="47" t="n"/>
      <c r="N974" s="47" t="inlineStr">
        <is>
          <t>UCHfIbq9thHPC8yrKjAdJgDA</t>
        </is>
      </c>
      <c r="O974" s="48" t="n">
        <v>44966.91666666666</v>
      </c>
      <c r="P974" s="49" t="n">
        <v>44966</v>
      </c>
      <c r="Q974" s="47" t="n">
        <v>2294</v>
      </c>
      <c r="R974" s="47" t="inlineStr">
        <is>
          <t>No Video ID yet</t>
        </is>
      </c>
      <c r="S974" s="49" t="n"/>
      <c r="T974" s="49" t="n"/>
      <c r="U974" s="47" t="n"/>
      <c r="V974" s="47">
        <f>IF(AND(P974&gt;=Calendar!$K$2,P974&lt;EDATE(Calendar!$K$2,1),OR(Calendar!$K$4="*",N974=Calendar!$K$4)),P974*100+COUNTIFS($P$6:$P$3267,P974,$Q$6:$Q$3267,"&lt;="&amp;Q974,$N$6:$N$3267,Calendar!$K$4),"")</f>
        <v/>
      </c>
      <c r="W974" s="47">
        <f>IF(AND(B974=Queue!$C$4,OR(Queue!$K$4="*",N974=Queue!$K$4)),Q974,"")</f>
        <v/>
      </c>
    </row>
    <row r="975">
      <c r="A975" s="38">
        <f>IF(M975="","",HYPERLINK("https://www.youtube.com/watch?v="&amp;M975,"▶"))</f>
        <v/>
      </c>
      <c r="B975" s="39">
        <f>IF(C975&lt;&gt;"",C975,IF(P975&lt;=IFERROR(INDEX(tblChannels[Watched Through],MATCH(N975,tblChannels[Channel ID],0)),0),"Watched","Unwatched"))</f>
        <v/>
      </c>
      <c r="C975" s="40" t="n"/>
      <c r="D975" s="41" t="n"/>
      <c r="E975" s="42" t="n">
        <v>44965.77569444444</v>
      </c>
      <c r="F975" s="50" t="inlineStr">
        <is>
          <t>Super Carlin Brothers</t>
        </is>
      </c>
      <c r="G975" t="inlineStr">
        <is>
          <t>WALL-E is ACTUALLY The Little Mermaid | Disney Pixar Film Theory</t>
        </is>
      </c>
      <c r="H975" s="44" t="n">
        <v>0.00900462962962963</v>
      </c>
      <c r="I975" s="45" t="n">
        <v>107013</v>
      </c>
      <c r="J975" s="45" t="n">
        <v>5549</v>
      </c>
      <c r="K975" s="45" t="n">
        <v>435</v>
      </c>
      <c r="L975" s="46" t="n"/>
      <c r="M975" s="47" t="n"/>
      <c r="N975" s="47" t="inlineStr">
        <is>
          <t>UCKZo4N0lVPccBkSiuyVh4yg</t>
        </is>
      </c>
      <c r="O975" s="48" t="n">
        <v>44965.98402777778</v>
      </c>
      <c r="P975" s="49" t="n">
        <v>44965</v>
      </c>
      <c r="Q975" s="47" t="n">
        <v>2293</v>
      </c>
      <c r="R975" s="47" t="inlineStr">
        <is>
          <t>No Video ID yet</t>
        </is>
      </c>
      <c r="S975" s="49" t="n"/>
      <c r="T975" s="49" t="n"/>
      <c r="U975" s="47" t="inlineStr">
        <is>
          <t>Today J dives into the oceanic world of The Little Mermaid and the Trash filled world of Wall-E to reveal how Wall-E is actually just Ariel.. If she was a trash compacting robot from the future… Sign up for for 25% off our Royal Candles for the rest of the year - #supercarlinbrothers #HarryPotter #</t>
        </is>
      </c>
      <c r="V975" s="47">
        <f>IF(AND(P975&gt;=Calendar!$K$2,P975&lt;EDATE(Calendar!$K$2,1),OR(Calendar!$K$4="*",N975=Calendar!$K$4)),P975*100+COUNTIFS($P$6:$P$3267,P975,$Q$6:$Q$3267,"&lt;="&amp;Q975,$N$6:$N$3267,Calendar!$K$4),"")</f>
        <v/>
      </c>
      <c r="W975" s="47">
        <f>IF(AND(B975=Queue!$C$4,OR(Queue!$K$4="*",N975=Queue!$K$4)),Q975,"")</f>
        <v/>
      </c>
    </row>
    <row r="976">
      <c r="A976" s="38">
        <f>IF(M976="","",HYPERLINK("https://www.youtube.com/watch?v="&amp;M976,"▶"))</f>
        <v/>
      </c>
      <c r="B976" s="39">
        <f>IF(C976&lt;&gt;"",C976,IF(P976&lt;=IFERROR(INDEX(tblChannels[Watched Through],MATCH(N976,tblChannels[Channel ID],0)),0),"Watched","Unwatched"))</f>
        <v/>
      </c>
      <c r="C976" s="40" t="n"/>
      <c r="D976" s="41" t="n"/>
      <c r="E976" s="42" t="n">
        <v>44960.625</v>
      </c>
      <c r="F976" s="50" t="inlineStr">
        <is>
          <t>Super Carlin Brothers</t>
        </is>
      </c>
      <c r="G976" t="inlineStr">
        <is>
          <t>J vs Ben: ULTIMATE Weasley Burrow Harry Potter TRIVIA Quiz</t>
        </is>
      </c>
      <c r="H976" s="44" t="n">
        <v>0.0205787037037037</v>
      </c>
      <c r="I976" s="45" t="n">
        <v>205508</v>
      </c>
      <c r="J976" s="45" t="n">
        <v>6927</v>
      </c>
      <c r="K976" s="45" t="n">
        <v>574</v>
      </c>
      <c r="L976" s="46" t="n"/>
      <c r="M976" s="47" t="n"/>
      <c r="N976" s="47" t="inlineStr">
        <is>
          <t>UCKZo4N0lVPccBkSiuyVh4yg</t>
        </is>
      </c>
      <c r="O976" s="48" t="n">
        <v>44960.83333333334</v>
      </c>
      <c r="P976" s="49" t="n">
        <v>44960</v>
      </c>
      <c r="Q976" s="47" t="n">
        <v>2292</v>
      </c>
      <c r="R976" s="47" t="inlineStr">
        <is>
          <t>No Video ID yet</t>
        </is>
      </c>
      <c r="S976" s="49" t="n"/>
      <c r="T976" s="49" t="n"/>
      <c r="U976" s="47" t="inlineStr">
        <is>
          <t>Go to and use code jvsb50 to get 50% off your first box. Sign up for for 25% off our Royal Candles for the rest of the year - Play along with us: Today J and Ben face off once more to find out who knows more about the Wizarding World of Harry Potter and all that happens at the Weasley’s home: The Burrow. 01:42 - Where is the Burrow Located? 02:43 - What did the Burrow look like it had originally been? 05:00 - Which 3 families live near the Burrow? 07:08 - Who got married at the Burrow? 08:43 - What is the twins punishment for flying the car? 09:49 - What song did Molly and Arthur dance to? 11:51 - What type of car is the flying car? 12:31 - Where were the clock hands pointing when Voldemort returned? 15:18 - How many floors are there in the Burrow? 17:22 - What was living in the attic? 18:20 - Where is the talking mirror? 20:29 - What do the Weasleys use in Quidditch instead of a Quaffle? 23:22 - What creature do the Weasleys put on top of their Christmas tree? 24:28 - Which was not a cookbook Mrs. Weasley owned? 27:14 - What soup did Mrs. Weasley serve?</t>
        </is>
      </c>
      <c r="V976" s="47">
        <f>IF(AND(P976&gt;=Calendar!$K$2,P976&lt;EDATE(Calendar!$K$2,1),OR(Calendar!$K$4="*",N976=Calendar!$K$4)),P976*100+COUNTIFS($P$6:$P$3267,P976,$Q$6:$Q$3267,"&lt;="&amp;Q976,$N$6:$N$3267,Calendar!$K$4),"")</f>
        <v/>
      </c>
      <c r="W976" s="47">
        <f>IF(AND(B976=Queue!$C$4,OR(Queue!$K$4="*",N976=Queue!$K$4)),Q976,"")</f>
        <v/>
      </c>
    </row>
    <row r="977">
      <c r="A977" s="38">
        <f>IF(M977="","",HYPERLINK("https://www.youtube.com/watch?v="&amp;M977,"▶"))</f>
        <v/>
      </c>
      <c r="B977" s="39">
        <f>IF(C977&lt;&gt;"",C977,IF(P977&lt;=IFERROR(INDEX(tblChannels[Watched Through],MATCH(N977,tblChannels[Channel ID],0)),0),"Watched","Unwatched"))</f>
        <v/>
      </c>
      <c r="C977" s="40" t="n"/>
      <c r="D977" s="41" t="n"/>
      <c r="E977" s="42" t="n">
        <v>44960.41666666666</v>
      </c>
      <c r="F977" s="43" t="inlineStr">
        <is>
          <t>Popcorn Culture</t>
        </is>
      </c>
      <c r="G977" t="inlineStr">
        <is>
          <t>En Passant | Popcorn Culture</t>
        </is>
      </c>
      <c r="H977" s="44" t="n">
        <v>0.0470949074074074</v>
      </c>
      <c r="I977" s="45" t="n">
        <v>4842</v>
      </c>
      <c r="J977" s="45" t="n">
        <v>285</v>
      </c>
      <c r="K977" s="45" t="n">
        <v>28</v>
      </c>
      <c r="L977" s="46" t="n"/>
      <c r="M977" s="47" t="n"/>
      <c r="N977" s="47" t="inlineStr">
        <is>
          <t>UCHfIbq9thHPC8yrKjAdJgDA</t>
        </is>
      </c>
      <c r="O977" s="48" t="n">
        <v>44960.625</v>
      </c>
      <c r="P977" s="49" t="n">
        <v>44960</v>
      </c>
      <c r="Q977" s="47" t="n">
        <v>2291</v>
      </c>
      <c r="R977" s="47" t="inlineStr">
        <is>
          <t>No Video ID yet</t>
        </is>
      </c>
      <c r="S977" s="49" t="n"/>
      <c r="T977" s="49" t="n"/>
      <c r="U977" s="47" t="inlineStr">
        <is>
          <t>In the 165th episode of the pop, Ben and J discuss Shoot the Moon, the Fantastic Beasts franchise, past ways of thinking, Bop It, the llama update, games as kids and chess. Shoot the Moon Game - Home Alone 3 - Oils Well - J’s Wick of the Peek: Bop It - Stick to Your Roots Bubblegum AI The Slow Con Bop It! Burn It! 00:00 - Intro, J’s Birthday 03:02 - Fantastic Beasts Analysis 40:31 - J’s Wick of the Peek 50:51 - The Llama Update and Kids Games</t>
        </is>
      </c>
      <c r="V977" s="47">
        <f>IF(AND(P977&gt;=Calendar!$K$2,P977&lt;EDATE(Calendar!$K$2,1),OR(Calendar!$K$4="*",N977=Calendar!$K$4)),P977*100+COUNTIFS($P$6:$P$3267,P977,$Q$6:$Q$3267,"&lt;="&amp;Q977,$N$6:$N$3267,Calendar!$K$4),"")</f>
        <v/>
      </c>
      <c r="W977" s="47">
        <f>IF(AND(B977=Queue!$C$4,OR(Queue!$K$4="*",N977=Queue!$K$4)),Q977,"")</f>
        <v/>
      </c>
    </row>
    <row r="978">
      <c r="A978" s="38">
        <f>IF(M978="","",HYPERLINK("https://www.youtube.com/watch?v="&amp;M978,"▶"))</f>
        <v/>
      </c>
      <c r="B978" s="39">
        <f>IF(C978&lt;&gt;"",C978,IF(P978&lt;=IFERROR(INDEX(tblChannels[Watched Through],MATCH(N978,tblChannels[Channel ID],0)),0),"Watched","Unwatched"))</f>
        <v/>
      </c>
      <c r="C978" s="40" t="n"/>
      <c r="D978" s="41" t="n"/>
      <c r="E978" s="42" t="n">
        <v>44959.70833333334</v>
      </c>
      <c r="F978" s="43" t="inlineStr">
        <is>
          <t>Popcorn Culture</t>
        </is>
      </c>
      <c r="G978" t="inlineStr">
        <is>
          <t>BOP IT! BURN IT!! | Popcorn Culture Episode 165 Teaser</t>
        </is>
      </c>
      <c r="H978" s="44" t="n">
        <v>0.007245370370370371</v>
      </c>
      <c r="I978" s="45" t="n">
        <v>1160</v>
      </c>
      <c r="J978" s="45" t="n">
        <v>65</v>
      </c>
      <c r="K978" s="45" t="n">
        <v>8</v>
      </c>
      <c r="L978" s="46" t="n"/>
      <c r="M978" s="47" t="n"/>
      <c r="N978" s="47" t="inlineStr">
        <is>
          <t>UCHfIbq9thHPC8yrKjAdJgDA</t>
        </is>
      </c>
      <c r="O978" s="48" t="n">
        <v>44959.91666666666</v>
      </c>
      <c r="P978" s="49" t="n">
        <v>44959</v>
      </c>
      <c r="Q978" s="47" t="n">
        <v>2290</v>
      </c>
      <c r="R978" s="47" t="inlineStr">
        <is>
          <t>No Video ID yet</t>
        </is>
      </c>
      <c r="S978" s="49" t="n"/>
      <c r="T978" s="49" t="n"/>
      <c r="U978" s="47" t="n"/>
      <c r="V978" s="47">
        <f>IF(AND(P978&gt;=Calendar!$K$2,P978&lt;EDATE(Calendar!$K$2,1),OR(Calendar!$K$4="*",N978=Calendar!$K$4)),P978*100+COUNTIFS($P$6:$P$3267,P978,$Q$6:$Q$3267,"&lt;="&amp;Q978,$N$6:$N$3267,Calendar!$K$4),"")</f>
        <v/>
      </c>
      <c r="W978" s="47">
        <f>IF(AND(B978=Queue!$C$4,OR(Queue!$K$4="*",N978=Queue!$K$4)),Q978,"")</f>
        <v/>
      </c>
    </row>
    <row r="979">
      <c r="A979" s="38">
        <f>IF(M979="","",HYPERLINK("https://www.youtube.com/watch?v="&amp;M979,"▶"))</f>
        <v/>
      </c>
      <c r="B979" s="39">
        <f>IF(C979&lt;&gt;"",C979,IF(P979&lt;=IFERROR(INDEX(tblChannels[Watched Through],MATCH(N979,tblChannels[Channel ID],0)),0),"Watched","Unwatched"))</f>
        <v/>
      </c>
      <c r="C979" s="40" t="n"/>
      <c r="D979" s="41" t="n"/>
      <c r="E979" s="42" t="n">
        <v>44958.625</v>
      </c>
      <c r="F979" s="50" t="inlineStr">
        <is>
          <t>Super Carlin Brothers</t>
        </is>
      </c>
      <c r="G979" t="inlineStr">
        <is>
          <t>The TOP 5 Most Believable Moana Theories | Disney Film Theory</t>
        </is>
      </c>
      <c r="H979" s="44" t="n">
        <v>0.01162037037037037</v>
      </c>
      <c r="I979" s="45" t="n">
        <v>202683</v>
      </c>
      <c r="J979" s="45" t="n">
        <v>8149</v>
      </c>
      <c r="K979" s="45" t="n">
        <v>377</v>
      </c>
      <c r="L979" s="46" t="n"/>
      <c r="M979" s="47" t="n"/>
      <c r="N979" s="47" t="inlineStr">
        <is>
          <t>UCKZo4N0lVPccBkSiuyVh4yg</t>
        </is>
      </c>
      <c r="O979" s="48" t="n">
        <v>44958.83333333334</v>
      </c>
      <c r="P979" s="49" t="n">
        <v>44958</v>
      </c>
      <c r="Q979" s="47" t="n">
        <v>2289</v>
      </c>
      <c r="R979" s="47" t="inlineStr">
        <is>
          <t>No Video ID yet</t>
        </is>
      </c>
      <c r="S979" s="49" t="n"/>
      <c r="T979" s="49" t="n"/>
      <c r="U979" s="47" t="inlineStr">
        <is>
          <t>This episode is sponsored by BetterHelp - go to to get started today Go to to get PayPal Honey for free. Today J dives into the world of Disney’s Moana to count down SCB’s top 5 Moana Theories and reveal how Moana wasn't the chosen one, what her spirit animal was, how she’s connected to Rapunzel and MORE! #supercarlinbrothers #Moana #Disney</t>
        </is>
      </c>
      <c r="V979" s="47">
        <f>IF(AND(P979&gt;=Calendar!$K$2,P979&lt;EDATE(Calendar!$K$2,1),OR(Calendar!$K$4="*",N979=Calendar!$K$4)),P979*100+COUNTIFS($P$6:$P$3267,P979,$Q$6:$Q$3267,"&lt;="&amp;Q979,$N$6:$N$3267,Calendar!$K$4),"")</f>
        <v/>
      </c>
      <c r="W979" s="47">
        <f>IF(AND(B979=Queue!$C$4,OR(Queue!$K$4="*",N979=Queue!$K$4)),Q979,"")</f>
        <v/>
      </c>
    </row>
    <row r="980">
      <c r="A980" s="38">
        <f>IF(M980="","",HYPERLINK("https://www.youtube.com/watch?v="&amp;M980,"▶"))</f>
        <v/>
      </c>
      <c r="B980" s="39">
        <f>IF(C980&lt;&gt;"",C980,IF(P980&lt;=IFERROR(INDEX(tblChannels[Watched Through],MATCH(N980,tblChannels[Channel ID],0)),0),"Watched","Unwatched"))</f>
        <v/>
      </c>
      <c r="C980" s="40" t="n"/>
      <c r="D980" s="41" t="n"/>
      <c r="E980" s="42" t="n">
        <v>44957.625</v>
      </c>
      <c r="F980" s="52" t="inlineStr">
        <is>
          <t>Super Carlin Gaming</t>
        </is>
      </c>
      <c r="G980" t="inlineStr">
        <is>
          <t>The Fight For Last Place Heats UP | Carlin Brothers Box Breakers S3E7</t>
        </is>
      </c>
      <c r="H980" s="44" t="n">
        <v>0.02768518518518518</v>
      </c>
      <c r="I980" s="45" t="n">
        <v>2625</v>
      </c>
      <c r="J980" s="45" t="n">
        <v>148</v>
      </c>
      <c r="K980" s="45" t="n">
        <v>19</v>
      </c>
      <c r="L980" s="46" t="n"/>
      <c r="M980" s="47" t="n"/>
      <c r="N980" s="47" t="inlineStr">
        <is>
          <t>UCor_9jRnNNZVzTuQ92PKsaQ</t>
        </is>
      </c>
      <c r="O980" s="48" t="n">
        <v>44957.83333333334</v>
      </c>
      <c r="P980" s="49" t="n">
        <v>44957</v>
      </c>
      <c r="Q980" s="47" t="n">
        <v>2288</v>
      </c>
      <c r="R980" s="47" t="inlineStr">
        <is>
          <t>No Video ID yet</t>
        </is>
      </c>
      <c r="S980" s="49" t="n"/>
      <c r="T980" s="49" t="n"/>
      <c r="U980" s="47" t="inlineStr">
        <is>
          <t>This week we've got some NEW FACES in SILVER TEMPEST</t>
        </is>
      </c>
      <c r="V980" s="47">
        <f>IF(AND(P980&gt;=Calendar!$K$2,P980&lt;EDATE(Calendar!$K$2,1),OR(Calendar!$K$4="*",N980=Calendar!$K$4)),P980*100+COUNTIFS($P$6:$P$3267,P980,$Q$6:$Q$3267,"&lt;="&amp;Q980,$N$6:$N$3267,Calendar!$K$4),"")</f>
        <v/>
      </c>
      <c r="W980" s="47">
        <f>IF(AND(B980=Queue!$C$4,OR(Queue!$K$4="*",N980=Queue!$K$4)),Q980,"")</f>
        <v/>
      </c>
    </row>
    <row r="981">
      <c r="A981" s="38">
        <f>IF(M981="","",HYPERLINK("https://www.youtube.com/watch?v="&amp;M981,"▶"))</f>
        <v/>
      </c>
      <c r="B981" s="39">
        <f>IF(C981&lt;&gt;"",C981,IF(P981&lt;=IFERROR(INDEX(tblChannels[Watched Through],MATCH(N981,tblChannels[Channel ID],0)),0),"Watched","Unwatched"))</f>
        <v/>
      </c>
      <c r="C981" s="40" t="n"/>
      <c r="D981" s="41" t="n"/>
      <c r="E981" s="42" t="n">
        <v>44953.75</v>
      </c>
      <c r="F981" s="52" t="inlineStr">
        <is>
          <t>Super Carlin Gaming</t>
        </is>
      </c>
      <c r="G981" t="inlineStr">
        <is>
          <t>ROOKIE OF THE DAY | Carlin Brothers Box Breakers S3/E6</t>
        </is>
      </c>
      <c r="H981" s="44" t="n">
        <v>0.02599537037037037</v>
      </c>
      <c r="I981" s="45" t="n">
        <v>2259</v>
      </c>
      <c r="J981" s="45" t="n">
        <v>150</v>
      </c>
      <c r="K981" s="45" t="n">
        <v>16</v>
      </c>
      <c r="L981" s="46" t="n"/>
      <c r="M981" s="47" t="n"/>
      <c r="N981" s="47" t="inlineStr">
        <is>
          <t>UCor_9jRnNNZVzTuQ92PKsaQ</t>
        </is>
      </c>
      <c r="O981" s="48" t="n">
        <v>44953.95833333334</v>
      </c>
      <c r="P981" s="49" t="n">
        <v>44953</v>
      </c>
      <c r="Q981" s="47" t="n">
        <v>2287</v>
      </c>
      <c r="R981" s="47" t="inlineStr">
        <is>
          <t>No Video ID yet</t>
        </is>
      </c>
      <c r="S981" s="49" t="n"/>
      <c r="T981" s="49" t="n"/>
      <c r="U981" s="47" t="inlineStr">
        <is>
          <t>This week we've got some NEW FACES in SILVER TEMPEST</t>
        </is>
      </c>
      <c r="V981" s="47">
        <f>IF(AND(P981&gt;=Calendar!$K$2,P981&lt;EDATE(Calendar!$K$2,1),OR(Calendar!$K$4="*",N981=Calendar!$K$4)),P981*100+COUNTIFS($P$6:$P$3267,P981,$Q$6:$Q$3267,"&lt;="&amp;Q981,$N$6:$N$3267,Calendar!$K$4),"")</f>
        <v/>
      </c>
      <c r="W981" s="47">
        <f>IF(AND(B981=Queue!$C$4,OR(Queue!$K$4="*",N981=Queue!$K$4)),Q981,"")</f>
        <v/>
      </c>
    </row>
    <row r="982">
      <c r="A982" s="38">
        <f>IF(M982="","",HYPERLINK("https://www.youtube.com/watch?v="&amp;M982,"▶"))</f>
        <v/>
      </c>
      <c r="B982" s="39">
        <f>IF(C982&lt;&gt;"",C982,IF(P982&lt;=IFERROR(INDEX(tblChannels[Watched Through],MATCH(N982,tblChannels[Channel ID],0)),0),"Watched","Unwatched"))</f>
        <v/>
      </c>
      <c r="C982" s="40" t="n"/>
      <c r="D982" s="41" t="n"/>
      <c r="E982" s="42" t="n">
        <v>44953.625</v>
      </c>
      <c r="F982" s="50" t="inlineStr">
        <is>
          <t>Super Carlin Brothers</t>
        </is>
      </c>
      <c r="G982" t="inlineStr">
        <is>
          <t>Where Would DUDLEY Be Sorted!? | Harry Potter Film Theory</t>
        </is>
      </c>
      <c r="H982" s="44" t="n">
        <v>0.01217592592592593</v>
      </c>
      <c r="I982" s="45" t="n">
        <v>264467</v>
      </c>
      <c r="J982" s="45" t="n">
        <v>9487</v>
      </c>
      <c r="K982" s="45" t="n">
        <v>995</v>
      </c>
      <c r="L982" s="46" t="n"/>
      <c r="M982" s="47" t="n"/>
      <c r="N982" s="47" t="inlineStr">
        <is>
          <t>UCKZo4N0lVPccBkSiuyVh4yg</t>
        </is>
      </c>
      <c r="O982" s="48" t="n">
        <v>44953.83333333334</v>
      </c>
      <c r="P982" s="49" t="n">
        <v>44953</v>
      </c>
      <c r="Q982" s="47" t="n">
        <v>2286</v>
      </c>
      <c r="R982" s="47" t="inlineStr">
        <is>
          <t>No Video ID yet</t>
        </is>
      </c>
      <c r="S982" s="49" t="n"/>
      <c r="T982" s="49" t="n"/>
      <c r="U982" s="47" t="inlineStr">
        <is>
          <t>Go to to get 20% off when you’re ready to upgrade to Grammarly Premium. Today Ben Dives into the Wizarding World to find out which Hogwarts House Dudley Dursley would be sorted into… you know if he even had a single drop of magical blood which he is of course NOWHERE NEAR having… but it's fun to think about!</t>
        </is>
      </c>
      <c r="V982" s="47">
        <f>IF(AND(P982&gt;=Calendar!$K$2,P982&lt;EDATE(Calendar!$K$2,1),OR(Calendar!$K$4="*",N982=Calendar!$K$4)),P982*100+COUNTIFS($P$6:$P$3267,P982,$Q$6:$Q$3267,"&lt;="&amp;Q982,$N$6:$N$3267,Calendar!$K$4),"")</f>
        <v/>
      </c>
      <c r="W982" s="47">
        <f>IF(AND(B982=Queue!$C$4,OR(Queue!$K$4="*",N982=Queue!$K$4)),Q982,"")</f>
        <v/>
      </c>
    </row>
    <row r="983">
      <c r="A983" s="38">
        <f>IF(M983="","",HYPERLINK("https://www.youtube.com/watch?v="&amp;M983,"▶"))</f>
        <v/>
      </c>
      <c r="B983" s="39">
        <f>IF(C983&lt;&gt;"",C983,IF(P983&lt;=IFERROR(INDEX(tblChannels[Watched Through],MATCH(N983,tblChannels[Channel ID],0)),0),"Watched","Unwatched"))</f>
        <v/>
      </c>
      <c r="C983" s="40" t="n"/>
      <c r="D983" s="41" t="n"/>
      <c r="E983" s="42" t="n">
        <v>44953.41666666666</v>
      </c>
      <c r="F983" s="43" t="inlineStr">
        <is>
          <t>Popcorn Culture</t>
        </is>
      </c>
      <c r="G983" t="inlineStr">
        <is>
          <t>Zombies, Competition and Dystopia | Popcorn Culture</t>
        </is>
      </c>
      <c r="H983" s="44" t="n">
        <v>0.04565972222222222</v>
      </c>
      <c r="I983" s="45" t="n">
        <v>4903</v>
      </c>
      <c r="J983" s="45" t="n">
        <v>269</v>
      </c>
      <c r="K983" s="45" t="n">
        <v>44</v>
      </c>
      <c r="L983" s="46" t="n"/>
      <c r="M983" s="47" t="n"/>
      <c r="N983" s="47" t="inlineStr">
        <is>
          <t>UCHfIbq9thHPC8yrKjAdJgDA</t>
        </is>
      </c>
      <c r="O983" s="48" t="n">
        <v>44953.625</v>
      </c>
      <c r="P983" s="49" t="n">
        <v>44953</v>
      </c>
      <c r="Q983" s="47" t="n">
        <v>2285</v>
      </c>
      <c r="R983" s="47" t="inlineStr">
        <is>
          <t>No Video ID yet</t>
        </is>
      </c>
      <c r="S983" s="49" t="n"/>
      <c r="T983" s="49" t="n"/>
      <c r="U983" s="47" t="inlineStr">
        <is>
          <t>In the 164th episode of the Pop, Ben and J discuss their upcoming Disney trip plans, The Spartan Race, roller coasters, horror movies at Valentines, The Last of Us and The Walking Dead, pop culture depictions of the future, and Pokemon Regionals. Busch Gardens Williamsburg - The Ring - The Walking Dead - Miracle on Ice - J’s Wicks of the Peek - The Last of Us: Horror Movies and Roller Coasters Zoomed In View of Time BIGGEST Pokemon Regional Tournament 00:00 - Intro, Upcoming Disney Trip 07:00 - Roller Coasters 18:17 - J’s Wick of the Peek 38:13 - Pokemon Regionals</t>
        </is>
      </c>
      <c r="V983" s="47">
        <f>IF(AND(P983&gt;=Calendar!$K$2,P983&lt;EDATE(Calendar!$K$2,1),OR(Calendar!$K$4="*",N983=Calendar!$K$4)),P983*100+COUNTIFS($P$6:$P$3267,P983,$Q$6:$Q$3267,"&lt;="&amp;Q983,$N$6:$N$3267,Calendar!$K$4),"")</f>
        <v/>
      </c>
      <c r="W983" s="47">
        <f>IF(AND(B983=Queue!$C$4,OR(Queue!$K$4="*",N983=Queue!$K$4)),Q983,"")</f>
        <v/>
      </c>
    </row>
    <row r="984">
      <c r="A984" s="38">
        <f>IF(M984="","",HYPERLINK("https://www.youtube.com/watch?v="&amp;M984,"▶"))</f>
        <v/>
      </c>
      <c r="B984" s="39">
        <f>IF(C984&lt;&gt;"",C984,IF(P984&lt;=IFERROR(INDEX(tblChannels[Watched Through],MATCH(N984,tblChannels[Channel ID],0)),0),"Watched","Unwatched"))</f>
        <v/>
      </c>
      <c r="C984" s="40" t="n"/>
      <c r="D984" s="41" t="n"/>
      <c r="E984" s="42" t="n">
        <v>44952.70833333334</v>
      </c>
      <c r="F984" s="43" t="inlineStr">
        <is>
          <t>Popcorn Culture</t>
        </is>
      </c>
      <c r="G984" t="inlineStr">
        <is>
          <t>Why Do Horror Movies Come Out On Valentines Day | Popcorn Culture</t>
        </is>
      </c>
      <c r="H984" s="44" t="n">
        <v>0.002453703703703704</v>
      </c>
      <c r="I984" s="45" t="n">
        <v>1425</v>
      </c>
      <c r="J984" s="45" t="n">
        <v>87</v>
      </c>
      <c r="K984" s="45" t="n">
        <v>9</v>
      </c>
      <c r="L984" s="46" t="n"/>
      <c r="M984" s="47" t="n"/>
      <c r="N984" s="47" t="inlineStr">
        <is>
          <t>UCHfIbq9thHPC8yrKjAdJgDA</t>
        </is>
      </c>
      <c r="O984" s="48" t="n">
        <v>44952.91666666666</v>
      </c>
      <c r="P984" s="49" t="n">
        <v>44952</v>
      </c>
      <c r="Q984" s="47" t="n">
        <v>2284</v>
      </c>
      <c r="R984" s="47" t="inlineStr">
        <is>
          <t>No Video ID yet</t>
        </is>
      </c>
      <c r="S984" s="49" t="n"/>
      <c r="T984" s="49" t="n"/>
      <c r="U984" s="47" t="n"/>
      <c r="V984" s="47">
        <f>IF(AND(P984&gt;=Calendar!$K$2,P984&lt;EDATE(Calendar!$K$2,1),OR(Calendar!$K$4="*",N984=Calendar!$K$4)),P984*100+COUNTIFS($P$6:$P$3267,P984,$Q$6:$Q$3267,"&lt;="&amp;Q984,$N$6:$N$3267,Calendar!$K$4),"")</f>
        <v/>
      </c>
      <c r="W984" s="47">
        <f>IF(AND(B984=Queue!$C$4,OR(Queue!$K$4="*",N984=Queue!$K$4)),Q984,"")</f>
        <v/>
      </c>
    </row>
    <row r="985">
      <c r="A985" s="38">
        <f>IF(M985="","",HYPERLINK("https://www.youtube.com/watch?v="&amp;M985,"▶"))</f>
        <v/>
      </c>
      <c r="B985" s="39">
        <f>IF(C985&lt;&gt;"",C985,IF(P985&lt;=IFERROR(INDEX(tblChannels[Watched Through],MATCH(N985,tblChannels[Channel ID],0)),0),"Watched","Unwatched"))</f>
        <v/>
      </c>
      <c r="C985" s="40" t="n"/>
      <c r="D985" s="41" t="n"/>
      <c r="E985" s="42" t="n">
        <v>44951.56111111111</v>
      </c>
      <c r="F985" s="50" t="inlineStr">
        <is>
          <t>Super Carlin Brothers</t>
        </is>
      </c>
      <c r="G985" t="inlineStr">
        <is>
          <t>PROOF Voldemort Was BORN Evil | Harry Potter Film Theory</t>
        </is>
      </c>
      <c r="H985" s="44" t="n">
        <v>0.009988425925925927</v>
      </c>
      <c r="I985" s="45" t="n">
        <v>283122</v>
      </c>
      <c r="J985" s="45" t="n">
        <v>11365</v>
      </c>
      <c r="K985" s="45" t="n">
        <v>929</v>
      </c>
      <c r="L985" s="46" t="n"/>
      <c r="M985" s="47" t="n"/>
      <c r="N985" s="47" t="inlineStr">
        <is>
          <t>UCKZo4N0lVPccBkSiuyVh4yg</t>
        </is>
      </c>
      <c r="O985" s="48" t="n">
        <v>44951.76944444444</v>
      </c>
      <c r="P985" s="49" t="n">
        <v>44951</v>
      </c>
      <c r="Q985" s="47" t="n">
        <v>2283</v>
      </c>
      <c r="R985" s="47" t="inlineStr">
        <is>
          <t>No Video ID yet</t>
        </is>
      </c>
      <c r="S985" s="49" t="n"/>
      <c r="T985" s="49" t="n"/>
      <c r="U985" s="47" t="inlineStr">
        <is>
          <t>This episode is sponsored by BetterHelp - go to to get 10% off your first month Today J dives into the Wizarding World of Harry Potter to reveal how truly unsaveable and unredeemable Voldemort was - It’s not just that he became evil… its that he always was.</t>
        </is>
      </c>
      <c r="V985" s="47">
        <f>IF(AND(P985&gt;=Calendar!$K$2,P985&lt;EDATE(Calendar!$K$2,1),OR(Calendar!$K$4="*",N985=Calendar!$K$4)),P985*100+COUNTIFS($P$6:$P$3267,P985,$Q$6:$Q$3267,"&lt;="&amp;Q985,$N$6:$N$3267,Calendar!$K$4),"")</f>
        <v/>
      </c>
      <c r="W985" s="47">
        <f>IF(AND(B985=Queue!$C$4,OR(Queue!$K$4="*",N985=Queue!$K$4)),Q985,"")</f>
        <v/>
      </c>
    </row>
    <row r="986">
      <c r="A986" s="38">
        <f>IF(M986="","",HYPERLINK("https://www.youtube.com/watch?v="&amp;M986,"▶"))</f>
        <v/>
      </c>
      <c r="B986" s="39">
        <f>IF(C986&lt;&gt;"",C986,IF(P986&lt;=IFERROR(INDEX(tblChannels[Watched Through],MATCH(N986,tblChannels[Channel ID],0)),0),"Watched","Unwatched"))</f>
        <v/>
      </c>
      <c r="C986" s="40" t="n"/>
      <c r="D986" s="41" t="n"/>
      <c r="E986" s="42" t="n">
        <v>44946.77083333334</v>
      </c>
      <c r="F986" s="52" t="inlineStr">
        <is>
          <t>Super Carlin Gaming</t>
        </is>
      </c>
      <c r="G986" t="inlineStr">
        <is>
          <t>The Battle For 8th Place | Carlin Brothers Box Breakers S3/E5</t>
        </is>
      </c>
      <c r="H986" s="44" t="n">
        <v>0.02616898148148148</v>
      </c>
      <c r="I986" s="45" t="n">
        <v>2653</v>
      </c>
      <c r="J986" s="45" t="n">
        <v>151</v>
      </c>
      <c r="K986" s="45" t="n">
        <v>10</v>
      </c>
      <c r="L986" s="46" t="n"/>
      <c r="M986" s="47" t="n"/>
      <c r="N986" s="47" t="inlineStr">
        <is>
          <t>UCor_9jRnNNZVzTuQ92PKsaQ</t>
        </is>
      </c>
      <c r="O986" s="48" t="n">
        <v>44946.97916666666</v>
      </c>
      <c r="P986" s="49" t="n">
        <v>44946</v>
      </c>
      <c r="Q986" s="47" t="n">
        <v>2282</v>
      </c>
      <c r="R986" s="47" t="inlineStr">
        <is>
          <t>No Video ID yet</t>
        </is>
      </c>
      <c r="S986" s="49" t="n"/>
      <c r="T986" s="49" t="n"/>
      <c r="U986" s="47" t="inlineStr">
        <is>
          <t>This week SILVER TEMPEST KEEPS ON PULLING</t>
        </is>
      </c>
      <c r="V986" s="47">
        <f>IF(AND(P986&gt;=Calendar!$K$2,P986&lt;EDATE(Calendar!$K$2,1),OR(Calendar!$K$4="*",N986=Calendar!$K$4)),P986*100+COUNTIFS($P$6:$P$3267,P986,$Q$6:$Q$3267,"&lt;="&amp;Q986,$N$6:$N$3267,Calendar!$K$4),"")</f>
        <v/>
      </c>
      <c r="W986" s="47">
        <f>IF(AND(B986=Queue!$C$4,OR(Queue!$K$4="*",N986=Queue!$K$4)),Q986,"")</f>
        <v/>
      </c>
    </row>
    <row r="987">
      <c r="A987" s="38">
        <f>IF(M987="","",HYPERLINK("https://www.youtube.com/watch?v="&amp;M987,"▶"))</f>
        <v/>
      </c>
      <c r="B987" s="39">
        <f>IF(C987&lt;&gt;"",C987,IF(P987&lt;=IFERROR(INDEX(tblChannels[Watched Through],MATCH(N987,tblChannels[Channel ID],0)),0),"Watched","Unwatched"))</f>
        <v/>
      </c>
      <c r="C987" s="40" t="n"/>
      <c r="D987" s="41" t="n"/>
      <c r="E987" s="42" t="n">
        <v>44946.61666666667</v>
      </c>
      <c r="F987" s="50" t="inlineStr">
        <is>
          <t>Super Carlin Brothers</t>
        </is>
      </c>
      <c r="G987" t="inlineStr">
        <is>
          <t>J vs Ben: ULTIMATE Deathly Hallows Harry Potter TRIVIA Quiz</t>
        </is>
      </c>
      <c r="H987" s="44" t="n">
        <v>0.01847222222222222</v>
      </c>
      <c r="I987" s="45" t="n">
        <v>220526</v>
      </c>
      <c r="J987" s="45" t="n">
        <v>6945</v>
      </c>
      <c r="K987" s="45" t="n">
        <v>475</v>
      </c>
      <c r="L987" s="46" t="n"/>
      <c r="M987" s="47" t="n"/>
      <c r="N987" s="47" t="inlineStr">
        <is>
          <t>UCKZo4N0lVPccBkSiuyVh4yg</t>
        </is>
      </c>
      <c r="O987" s="48" t="n">
        <v>44946.825</v>
      </c>
      <c r="P987" s="49" t="n">
        <v>44946</v>
      </c>
      <c r="Q987" s="47" t="n">
        <v>2281</v>
      </c>
      <c r="R987" s="47" t="inlineStr">
        <is>
          <t>No Video ID yet</t>
        </is>
      </c>
      <c r="S987" s="49" t="n"/>
      <c r="T987" s="49" t="n"/>
      <c r="U987" s="47" t="inlineStr">
        <is>
          <t>Download the DoorDash app and use code JVSBEN for 50% off up to a $20 value, and $0 delivery fees. Go to to get 20% off your first order and free US shipping. Today J and Ben face off once more to find out who knows more about Harry Potter and the Wizarding World as they take on the ULTIMATE Deathly Hallows Quiz! Play Along with Us :: 00:57 - What is the name of the 7th book? 02:00 - What spell did Harry use that revealed himself as the true Harry? 03:05 - Which pair were supposed to arrive at the Burrow first? 04:26 - What did Umbridge claim the S on the locket stood for? 05:50 - Where did Harry see the silver doe? 07:06 - What riddle did Professor McGonagall solve at Ravenclaw Tower? 08:20 - Which death Eater was in Diagon Alley before they rob Gringotts? 08:57 - What fake name does Harry give? 14:51 - What is Kingsley's patronus? 15:26 - What does Hermione exclaim when she learns Snape is headmaster 16:15 - What wood was the wand Ron stole from Snatchers? 17:57 - What were the safe houses? 20:03 - Which goblin does Harry imperius? 21:02 - Who was dueling Bellatrix before Molly? 22:48 - Who do the Goblins say the Sword was stolen from? #harrypotter #supercarlinbrothers Super Carl</t>
        </is>
      </c>
      <c r="V987" s="47">
        <f>IF(AND(P987&gt;=Calendar!$K$2,P987&lt;EDATE(Calendar!$K$2,1),OR(Calendar!$K$4="*",N987=Calendar!$K$4)),P987*100+COUNTIFS($P$6:$P$3267,P987,$Q$6:$Q$3267,"&lt;="&amp;Q987,$N$6:$N$3267,Calendar!$K$4),"")</f>
        <v/>
      </c>
      <c r="W987" s="47">
        <f>IF(AND(B987=Queue!$C$4,OR(Queue!$K$4="*",N987=Queue!$K$4)),Q987,"")</f>
        <v/>
      </c>
    </row>
    <row r="988">
      <c r="A988" s="38">
        <f>IF(M988="","",HYPERLINK("https://www.youtube.com/watch?v="&amp;M988,"▶"))</f>
        <v/>
      </c>
      <c r="B988" s="39">
        <f>IF(C988&lt;&gt;"",C988,IF(P988&lt;=IFERROR(INDEX(tblChannels[Watched Through],MATCH(N988,tblChannels[Channel ID],0)),0),"Watched","Unwatched"))</f>
        <v/>
      </c>
      <c r="C988" s="40" t="n"/>
      <c r="D988" s="41" t="n"/>
      <c r="E988" s="42" t="n">
        <v>44946.41666666666</v>
      </c>
      <c r="F988" s="43" t="inlineStr">
        <is>
          <t>Popcorn Culture</t>
        </is>
      </c>
      <c r="G988" t="inlineStr">
        <is>
          <t>The Perfect Hotdog Ratio | Popcorn Culture</t>
        </is>
      </c>
      <c r="H988" s="44" t="n">
        <v>0.0427662037037037</v>
      </c>
      <c r="I988" s="45" t="n">
        <v>5183</v>
      </c>
      <c r="J988" s="45" t="n">
        <v>274</v>
      </c>
      <c r="K988" s="45" t="n">
        <v>22</v>
      </c>
      <c r="L988" s="46" t="n"/>
      <c r="M988" s="47" t="n"/>
      <c r="N988" s="47" t="inlineStr">
        <is>
          <t>UCHfIbq9thHPC8yrKjAdJgDA</t>
        </is>
      </c>
      <c r="O988" s="48" t="n">
        <v>44946.625</v>
      </c>
      <c r="P988" s="49" t="n">
        <v>44946</v>
      </c>
      <c r="Q988" s="47" t="n">
        <v>2280</v>
      </c>
      <c r="R988" s="47" t="inlineStr">
        <is>
          <t>No Video ID yet</t>
        </is>
      </c>
      <c r="S988" s="49" t="n"/>
      <c r="T988" s="49" t="n"/>
      <c r="U988" s="47" t="inlineStr">
        <is>
          <t>In the 163rd episode of the Pop, Ben and J discuss Macado's, new core memory, being a talker, thinking about nothing, being a learning robot, their upcoming Disney trip, fast passes and cold takes. Disney Vacation Club - Helpful Vandalism Sundae Core Memory Thoughts about Thoughts A Learning Robot Ice Cold Take 00:00 - Intro, J’s Epic Restaurant Experience 18:37 - Thoughts about Thoughts 49:23 - Upcoming Disney Trip!</t>
        </is>
      </c>
      <c r="V988" s="47">
        <f>IF(AND(P988&gt;=Calendar!$K$2,P988&lt;EDATE(Calendar!$K$2,1),OR(Calendar!$K$4="*",N988=Calendar!$K$4)),P988*100+COUNTIFS($P$6:$P$3267,P988,$Q$6:$Q$3267,"&lt;="&amp;Q988,$N$6:$N$3267,Calendar!$K$4),"")</f>
        <v/>
      </c>
      <c r="W988" s="47">
        <f>IF(AND(B988=Queue!$C$4,OR(Queue!$K$4="*",N988=Queue!$K$4)),Q988,"")</f>
        <v/>
      </c>
    </row>
    <row r="989">
      <c r="A989" s="38">
        <f>IF(M989="","",HYPERLINK("https://www.youtube.com/watch?v="&amp;M989,"▶"))</f>
        <v/>
      </c>
      <c r="B989" s="39">
        <f>IF(C989&lt;&gt;"",C989,IF(P989&lt;=IFERROR(INDEX(tblChannels[Watched Through],MATCH(N989,tblChannels[Channel ID],0)),0),"Watched","Unwatched"))</f>
        <v/>
      </c>
      <c r="C989" s="40" t="n"/>
      <c r="D989" s="41" t="n"/>
      <c r="E989" s="42" t="n">
        <v>44945.70833333334</v>
      </c>
      <c r="F989" s="43" t="inlineStr">
        <is>
          <t>Popcorn Culture</t>
        </is>
      </c>
      <c r="G989" t="inlineStr">
        <is>
          <t>New Core Memory | Popcorn Culture Episode 163 Teaser</t>
        </is>
      </c>
      <c r="H989" s="44" t="n">
        <v>0.002465277777777778</v>
      </c>
      <c r="I989" s="45" t="n">
        <v>1581</v>
      </c>
      <c r="J989" s="45" t="n">
        <v>108</v>
      </c>
      <c r="K989" s="45" t="n">
        <v>8</v>
      </c>
      <c r="L989" s="46" t="n"/>
      <c r="M989" s="47" t="n"/>
      <c r="N989" s="47" t="inlineStr">
        <is>
          <t>UCHfIbq9thHPC8yrKjAdJgDA</t>
        </is>
      </c>
      <c r="O989" s="48" t="n">
        <v>44945.91666666666</v>
      </c>
      <c r="P989" s="49" t="n">
        <v>44945</v>
      </c>
      <c r="Q989" s="47" t="n">
        <v>2279</v>
      </c>
      <c r="R989" s="47" t="inlineStr">
        <is>
          <t>No Video ID yet</t>
        </is>
      </c>
      <c r="S989" s="49" t="n"/>
      <c r="T989" s="49" t="n"/>
      <c r="U989" s="47" t="n"/>
      <c r="V989" s="47">
        <f>IF(AND(P989&gt;=Calendar!$K$2,P989&lt;EDATE(Calendar!$K$2,1),OR(Calendar!$K$4="*",N989=Calendar!$K$4)),P989*100+COUNTIFS($P$6:$P$3267,P989,$Q$6:$Q$3267,"&lt;="&amp;Q989,$N$6:$N$3267,Calendar!$K$4),"")</f>
        <v/>
      </c>
      <c r="W989" s="47">
        <f>IF(AND(B989=Queue!$C$4,OR(Queue!$K$4="*",N989=Queue!$K$4)),Q989,"")</f>
        <v/>
      </c>
    </row>
    <row r="990">
      <c r="A990" s="38">
        <f>IF(M990="","",HYPERLINK("https://www.youtube.com/watch?v="&amp;M990,"▶"))</f>
        <v/>
      </c>
      <c r="B990" s="39">
        <f>IF(C990&lt;&gt;"",C990,IF(P990&lt;=IFERROR(INDEX(tblChannels[Watched Through],MATCH(N990,tblChannels[Channel ID],0)),0),"Watched","Unwatched"))</f>
        <v/>
      </c>
      <c r="C990" s="40" t="n"/>
      <c r="D990" s="41" t="n"/>
      <c r="E990" s="42" t="n">
        <v>44944.71388888889</v>
      </c>
      <c r="F990" s="50" t="inlineStr">
        <is>
          <t>Super Carlin Brothers</t>
        </is>
      </c>
      <c r="G990" t="inlineStr">
        <is>
          <t>What If Petunia Was A Witch? | Harry Potter Film Theory</t>
        </is>
      </c>
      <c r="H990" s="44" t="n">
        <v>0.01755787037037037</v>
      </c>
      <c r="I990" s="45" t="n">
        <v>619411</v>
      </c>
      <c r="J990" s="45" t="n">
        <v>22996</v>
      </c>
      <c r="K990" s="45" t="n">
        <v>2585</v>
      </c>
      <c r="L990" s="46" t="n"/>
      <c r="M990" s="47" t="n"/>
      <c r="N990" s="47" t="inlineStr">
        <is>
          <t>UCKZo4N0lVPccBkSiuyVh4yg</t>
        </is>
      </c>
      <c r="O990" s="48" t="n">
        <v>44944.92222222222</v>
      </c>
      <c r="P990" s="49" t="n">
        <v>44944</v>
      </c>
      <c r="Q990" s="47" t="n">
        <v>2278</v>
      </c>
      <c r="R990" s="47" t="inlineStr">
        <is>
          <t>No Video ID yet</t>
        </is>
      </c>
      <c r="S990" s="49" t="n"/>
      <c r="T990" s="49" t="n"/>
      <c r="U990" s="47" t="inlineStr">
        <is>
          <t>This episode of Super Carlin Brothers is sponsored by BetterHelp — go to to get 10% off your first month. Go to to get 20% off your first order and free US shipping. Today J dives into the Wizarding World of Harry Potter to find out what might have happened if Petunia had been a witch and attended Hogwarts herself? Does she still hate Lily? How does Snape respond to both young Evans girls being magical? What house would she be in? And would Dudley ever be born?!</t>
        </is>
      </c>
      <c r="V990" s="47">
        <f>IF(AND(P990&gt;=Calendar!$K$2,P990&lt;EDATE(Calendar!$K$2,1),OR(Calendar!$K$4="*",N990=Calendar!$K$4)),P990*100+COUNTIFS($P$6:$P$3267,P990,$Q$6:$Q$3267,"&lt;="&amp;Q990,$N$6:$N$3267,Calendar!$K$4),"")</f>
        <v/>
      </c>
      <c r="W990" s="47">
        <f>IF(AND(B990=Queue!$C$4,OR(Queue!$K$4="*",N990=Queue!$K$4)),Q990,"")</f>
        <v/>
      </c>
    </row>
    <row r="991">
      <c r="A991" s="38">
        <f>IF(M991="","",HYPERLINK("https://www.youtube.com/watch?v="&amp;M991,"▶"))</f>
        <v/>
      </c>
      <c r="B991" s="39">
        <f>IF(C991&lt;&gt;"",C991,IF(P991&lt;=IFERROR(INDEX(tblChannels[Watched Through],MATCH(N991,tblChannels[Channel ID],0)),0),"Watched","Unwatched"))</f>
        <v/>
      </c>
      <c r="C991" s="40" t="n"/>
      <c r="D991" s="41" t="n"/>
      <c r="E991" s="42" t="n">
        <v>44942.625</v>
      </c>
      <c r="F991" s="52" t="inlineStr">
        <is>
          <t>Super Carlin Gaming</t>
        </is>
      </c>
      <c r="G991" t="inlineStr">
        <is>
          <t>THE MOONLIT FANG |  Pokémon Legends: Arceus Nuzlocke #26</t>
        </is>
      </c>
      <c r="H991" s="44" t="n">
        <v>0.02146990740740741</v>
      </c>
      <c r="I991" s="45" t="n">
        <v>4657</v>
      </c>
      <c r="J991" s="45" t="n">
        <v>237</v>
      </c>
      <c r="K991" s="45" t="n">
        <v>104</v>
      </c>
      <c r="L991" s="46" t="n"/>
      <c r="M991" s="47" t="n"/>
      <c r="N991" s="47" t="inlineStr">
        <is>
          <t>UCor_9jRnNNZVzTuQ92PKsaQ</t>
        </is>
      </c>
      <c r="O991" s="48" t="n">
        <v>44942.83333333334</v>
      </c>
      <c r="P991" s="49" t="n">
        <v>44942</v>
      </c>
      <c r="Q991" s="47" t="n">
        <v>2277</v>
      </c>
      <c r="R991" s="47" t="inlineStr">
        <is>
          <t>No Video ID yet</t>
        </is>
      </c>
      <c r="S991" s="49" t="n"/>
      <c r="T991" s="49" t="n"/>
      <c r="U991" s="47" t="inlineStr">
        <is>
          <t>J and the team trek toward Stone Portal to challenge Beni in a brutal battle. But a shocking discovery on the way will change their circumstances entirely...</t>
        </is>
      </c>
      <c r="V991" s="47">
        <f>IF(AND(P991&gt;=Calendar!$K$2,P991&lt;EDATE(Calendar!$K$2,1),OR(Calendar!$K$4="*",N991=Calendar!$K$4)),P991*100+COUNTIFS($P$6:$P$3267,P991,$Q$6:$Q$3267,"&lt;="&amp;Q991,$N$6:$N$3267,Calendar!$K$4),"")</f>
        <v/>
      </c>
      <c r="W991" s="47">
        <f>IF(AND(B991=Queue!$C$4,OR(Queue!$K$4="*",N991=Queue!$K$4)),Q991,"")</f>
        <v/>
      </c>
    </row>
    <row r="992">
      <c r="A992" s="38">
        <f>IF(M992="","",HYPERLINK("https://www.youtube.com/watch?v="&amp;M992,"▶"))</f>
        <v/>
      </c>
      <c r="B992" s="39">
        <f>IF(C992&lt;&gt;"",C992,IF(P992&lt;=IFERROR(INDEX(tblChannels[Watched Through],MATCH(N992,tblChannels[Channel ID],0)),0),"Watched","Unwatched"))</f>
        <v/>
      </c>
      <c r="C992" s="40" t="n"/>
      <c r="D992" s="41" t="n"/>
      <c r="E992" s="42" t="n">
        <v>44940.77083333334</v>
      </c>
      <c r="F992" s="52" t="inlineStr">
        <is>
          <t>Super Carlin Gaming</t>
        </is>
      </c>
      <c r="G992" t="inlineStr">
        <is>
          <t>Season 3 Starts HEATING UP | Carlin Brothers Box Breakers S3/E4</t>
        </is>
      </c>
      <c r="H992" s="44" t="n">
        <v>0.03055555555555555</v>
      </c>
      <c r="I992" s="45" t="n">
        <v>2897</v>
      </c>
      <c r="J992" s="45" t="n">
        <v>160</v>
      </c>
      <c r="K992" s="45" t="n">
        <v>16</v>
      </c>
      <c r="L992" s="46" t="n"/>
      <c r="M992" s="47" t="n"/>
      <c r="N992" s="47" t="inlineStr">
        <is>
          <t>UCor_9jRnNNZVzTuQ92PKsaQ</t>
        </is>
      </c>
      <c r="O992" s="48" t="n">
        <v>44940.97916666666</v>
      </c>
      <c r="P992" s="49" t="n">
        <v>44940</v>
      </c>
      <c r="Q992" s="47" t="n">
        <v>2276</v>
      </c>
      <c r="R992" s="47" t="inlineStr">
        <is>
          <t>No Video ID yet</t>
        </is>
      </c>
      <c r="S992" s="49" t="n"/>
      <c r="T992" s="49" t="n"/>
      <c r="U992" s="47" t="inlineStr">
        <is>
          <t>This week SILVER TEMPEST KEEPS ON PULLING</t>
        </is>
      </c>
      <c r="V992" s="47">
        <f>IF(AND(P992&gt;=Calendar!$K$2,P992&lt;EDATE(Calendar!$K$2,1),OR(Calendar!$K$4="*",N992=Calendar!$K$4)),P992*100+COUNTIFS($P$6:$P$3267,P992,$Q$6:$Q$3267,"&lt;="&amp;Q992,$N$6:$N$3267,Calendar!$K$4),"")</f>
        <v/>
      </c>
      <c r="W992" s="47">
        <f>IF(AND(B992=Queue!$C$4,OR(Queue!$K$4="*",N992=Queue!$K$4)),Q992,"")</f>
        <v/>
      </c>
    </row>
    <row r="993">
      <c r="A993" s="38">
        <f>IF(M993="","",HYPERLINK("https://www.youtube.com/watch?v="&amp;M993,"▶"))</f>
        <v/>
      </c>
      <c r="B993" s="39">
        <f>IF(C993&lt;&gt;"",C993,IF(P993&lt;=IFERROR(INDEX(tblChannels[Watched Through],MATCH(N993,tblChannels[Channel ID],0)),0),"Watched","Unwatched"))</f>
        <v/>
      </c>
      <c r="C993" s="40" t="n"/>
      <c r="D993" s="41" t="n"/>
      <c r="E993" s="42" t="n">
        <v>44939.67847222222</v>
      </c>
      <c r="F993" s="50" t="inlineStr">
        <is>
          <t>Super Carlin Brothers</t>
        </is>
      </c>
      <c r="G993" t="inlineStr">
        <is>
          <t>The TRUTH About Woody’s Holster | Toy Story Pixar Film Theory</t>
        </is>
      </c>
      <c r="H993" s="44" t="n">
        <v>0.009594907407407408</v>
      </c>
      <c r="I993" s="45" t="n">
        <v>328449</v>
      </c>
      <c r="J993" s="45" t="n">
        <v>10548</v>
      </c>
      <c r="K993" s="45" t="n">
        <v>758</v>
      </c>
      <c r="L993" s="46" t="n"/>
      <c r="M993" s="47" t="n"/>
      <c r="N993" s="47" t="inlineStr">
        <is>
          <t>UCKZo4N0lVPccBkSiuyVh4yg</t>
        </is>
      </c>
      <c r="O993" s="48" t="n">
        <v>44939.88680555556</v>
      </c>
      <c r="P993" s="49" t="n">
        <v>44939</v>
      </c>
      <c r="Q993" s="47" t="n">
        <v>2275</v>
      </c>
      <c r="R993" s="47" t="inlineStr">
        <is>
          <t>No Video ID yet</t>
        </is>
      </c>
      <c r="S993" s="49" t="n"/>
      <c r="T993" s="49" t="n"/>
      <c r="U993" s="47" t="inlineStr">
        <is>
          <t>Download the FREE Upside App and use promo code supercarlin to get an extra $.25 back for every gallon on your first tank of gas. Today Ben dives into the world of Pixar to discuss why Woody in Toy Story has holster but, not gun. Did Andy just lose it? Did Al not know Woody was supposed to have it? Does it stand for something more? #supercarlinbrothers #ToyStory</t>
        </is>
      </c>
      <c r="V993" s="47">
        <f>IF(AND(P993&gt;=Calendar!$K$2,P993&lt;EDATE(Calendar!$K$2,1),OR(Calendar!$K$4="*",N993=Calendar!$K$4)),P993*100+COUNTIFS($P$6:$P$3267,P993,$Q$6:$Q$3267,"&lt;="&amp;Q993,$N$6:$N$3267,Calendar!$K$4),"")</f>
        <v/>
      </c>
      <c r="W993" s="47">
        <f>IF(AND(B993=Queue!$C$4,OR(Queue!$K$4="*",N993=Queue!$K$4)),Q993,"")</f>
        <v/>
      </c>
    </row>
    <row r="994">
      <c r="A994" s="38">
        <f>IF(M994="","",HYPERLINK("https://www.youtube.com/watch?v="&amp;M994,"▶"))</f>
        <v/>
      </c>
      <c r="B994" s="39">
        <f>IF(C994&lt;&gt;"",C994,IF(P994&lt;=IFERROR(INDEX(tblChannels[Watched Through],MATCH(N994,tblChannels[Channel ID],0)),0),"Watched","Unwatched"))</f>
        <v/>
      </c>
      <c r="C994" s="40" t="n"/>
      <c r="D994" s="41" t="n"/>
      <c r="E994" s="42" t="n">
        <v>44939.41666666666</v>
      </c>
      <c r="F994" s="43" t="inlineStr">
        <is>
          <t>Popcorn Culture</t>
        </is>
      </c>
      <c r="G994" t="inlineStr">
        <is>
          <t>Post-Christmas Card Conundrum | Popcorn Culture</t>
        </is>
      </c>
      <c r="H994" s="44" t="n">
        <v>0.04636574074074074</v>
      </c>
      <c r="I994" s="45" t="n">
        <v>5067</v>
      </c>
      <c r="J994" s="45" t="n">
        <v>283</v>
      </c>
      <c r="K994" s="45" t="n">
        <v>45</v>
      </c>
      <c r="L994" s="46" t="n"/>
      <c r="M994" s="47" t="n"/>
      <c r="N994" s="47" t="inlineStr">
        <is>
          <t>UCHfIbq9thHPC8yrKjAdJgDA</t>
        </is>
      </c>
      <c r="O994" s="48" t="n">
        <v>44939.625</v>
      </c>
      <c r="P994" s="49" t="n">
        <v>44939</v>
      </c>
      <c r="Q994" s="47" t="n">
        <v>2274</v>
      </c>
      <c r="R994" s="47" t="inlineStr">
        <is>
          <t>No Video ID yet</t>
        </is>
      </c>
      <c r="S994" s="49" t="n"/>
      <c r="T994" s="49" t="n"/>
      <c r="U994" s="47" t="inlineStr">
        <is>
          <t>In the 162nd episode of the Pop, Ben and J discuss the show White Lotus, the Three Caballeros, voice acting, reactions to experiences, Christmas cards, binders, bad habits, elementary school knowledge and the alphabet. White Lotus - The Russo Brothers - Patrick Rothfuss - John Williams - J’s Wick of the Peek: Legend of the Three Caballeros - Bluey’s Very High Brow Everyone Knows the Caballeros Does Experience Demand Reaction? Thank You for the Thank You Fond Binder Memories 00:00 - Intro, White Lotus 07:58 - Kids Cartoons 25:08 - Experience and Reaction 41:31 - Boredom Habits 51:31 - Are You Smarter Than A Fifth Grader</t>
        </is>
      </c>
      <c r="V994" s="47">
        <f>IF(AND(P994&gt;=Calendar!$K$2,P994&lt;EDATE(Calendar!$K$2,1),OR(Calendar!$K$4="*",N994=Calendar!$K$4)),P994*100+COUNTIFS($P$6:$P$3267,P994,$Q$6:$Q$3267,"&lt;="&amp;Q994,$N$6:$N$3267,Calendar!$K$4),"")</f>
        <v/>
      </c>
      <c r="W994" s="47">
        <f>IF(AND(B994=Queue!$C$4,OR(Queue!$K$4="*",N994=Queue!$K$4)),Q994,"")</f>
        <v/>
      </c>
    </row>
    <row r="995">
      <c r="A995" s="38">
        <f>IF(M995="","",HYPERLINK("https://www.youtube.com/watch?v="&amp;M995,"▶"))</f>
        <v/>
      </c>
      <c r="B995" s="39">
        <f>IF(C995&lt;&gt;"",C995,IF(P995&lt;=IFERROR(INDEX(tblChannels[Watched Through],MATCH(N995,tblChannels[Channel ID],0)),0),"Watched","Unwatched"))</f>
        <v/>
      </c>
      <c r="C995" s="40" t="n"/>
      <c r="D995" s="41" t="n"/>
      <c r="E995" s="42" t="n">
        <v>44938.70833333334</v>
      </c>
      <c r="F995" s="43" t="inlineStr">
        <is>
          <t>Popcorn Culture</t>
        </is>
      </c>
      <c r="G995" t="inlineStr">
        <is>
          <t>Can You Say The Alphabet Backwards? | Popcorn Culture Episode 162 Teaser</t>
        </is>
      </c>
      <c r="H995" s="44" t="n">
        <v>0.003553240740740741</v>
      </c>
      <c r="I995" s="45" t="n">
        <v>2167</v>
      </c>
      <c r="J995" s="45" t="n">
        <v>148</v>
      </c>
      <c r="K995" s="45" t="n">
        <v>19</v>
      </c>
      <c r="L995" s="46" t="n"/>
      <c r="M995" s="47" t="n"/>
      <c r="N995" s="47" t="inlineStr">
        <is>
          <t>UCHfIbq9thHPC8yrKjAdJgDA</t>
        </is>
      </c>
      <c r="O995" s="48" t="n">
        <v>44938.91666666666</v>
      </c>
      <c r="P995" s="49" t="n">
        <v>44938</v>
      </c>
      <c r="Q995" s="47" t="n">
        <v>2273</v>
      </c>
      <c r="R995" s="47" t="inlineStr">
        <is>
          <t>No Video ID yet</t>
        </is>
      </c>
      <c r="S995" s="49" t="n"/>
      <c r="T995" s="49" t="n"/>
      <c r="U995" s="47" t="n"/>
      <c r="V995" s="47">
        <f>IF(AND(P995&gt;=Calendar!$K$2,P995&lt;EDATE(Calendar!$K$2,1),OR(Calendar!$K$4="*",N995=Calendar!$K$4)),P995*100+COUNTIFS($P$6:$P$3267,P995,$Q$6:$Q$3267,"&lt;="&amp;Q995,$N$6:$N$3267,Calendar!$K$4),"")</f>
        <v/>
      </c>
      <c r="W995" s="47">
        <f>IF(AND(B995=Queue!$C$4,OR(Queue!$K$4="*",N995=Queue!$K$4)),Q995,"")</f>
        <v/>
      </c>
    </row>
    <row r="996">
      <c r="A996" s="38">
        <f>IF(M996="","",HYPERLINK("https://www.youtube.com/watch?v="&amp;M996,"▶"))</f>
        <v/>
      </c>
      <c r="B996" s="39">
        <f>IF(C996&lt;&gt;"",C996,IF(P996&lt;=IFERROR(INDEX(tblChannels[Watched Through],MATCH(N996,tblChannels[Channel ID],0)),0),"Watched","Unwatched"))</f>
        <v/>
      </c>
      <c r="C996" s="40" t="n"/>
      <c r="D996" s="41" t="n"/>
      <c r="E996" s="42" t="n">
        <v>44937.65486111111</v>
      </c>
      <c r="F996" s="50" t="inlineStr">
        <is>
          <t>Super Carlin Brothers</t>
        </is>
      </c>
      <c r="G996" t="inlineStr">
        <is>
          <t>What If Harry Never Called The Knight Bus? | Harry Potter Film Theory</t>
        </is>
      </c>
      <c r="H996" s="44" t="n">
        <v>0.01390046296296296</v>
      </c>
      <c r="I996" s="45" t="n">
        <v>889138</v>
      </c>
      <c r="J996" s="45" t="n">
        <v>22398</v>
      </c>
      <c r="K996" s="45" t="n">
        <v>1853</v>
      </c>
      <c r="L996" s="46" t="n"/>
      <c r="M996" s="47" t="n"/>
      <c r="N996" s="47" t="inlineStr">
        <is>
          <t>UCKZo4N0lVPccBkSiuyVh4yg</t>
        </is>
      </c>
      <c r="O996" s="48" t="n">
        <v>44937.86319444444</v>
      </c>
      <c r="P996" s="49" t="n">
        <v>44937</v>
      </c>
      <c r="Q996" s="47" t="n">
        <v>2272</v>
      </c>
      <c r="R996" s="47" t="inlineStr">
        <is>
          <t>No Video ID yet</t>
        </is>
      </c>
      <c r="S996" s="49" t="n"/>
      <c r="T996" s="49" t="n"/>
      <c r="U996" s="47" t="inlineStr">
        <is>
          <t>Go to and use code SUPER for 20% off your first box. This episode of Super Carlin Brothers is sponsored by BetterHelp — go to to get 10% off your first month. What If Harry Potter Never called the Knight Bus and Sirius had been able to explain everything to him that night? Would Peter have been arrested? Would Voldemort still rise? Would Harry still learn the Patronus? #supercarlinbrothers #harrypotter #WhatIf</t>
        </is>
      </c>
      <c r="V996" s="47">
        <f>IF(AND(P996&gt;=Calendar!$K$2,P996&lt;EDATE(Calendar!$K$2,1),OR(Calendar!$K$4="*",N996=Calendar!$K$4)),P996*100+COUNTIFS($P$6:$P$3267,P996,$Q$6:$Q$3267,"&lt;="&amp;Q996,$N$6:$N$3267,Calendar!$K$4),"")</f>
        <v/>
      </c>
      <c r="W996" s="47">
        <f>IF(AND(B996=Queue!$C$4,OR(Queue!$K$4="*",N996=Queue!$K$4)),Q996,"")</f>
        <v/>
      </c>
    </row>
    <row r="997">
      <c r="A997" s="38">
        <f>IF(M997="","",HYPERLINK("https://www.youtube.com/watch?v="&amp;M997,"▶"))</f>
        <v/>
      </c>
      <c r="B997" s="39">
        <f>IF(C997&lt;&gt;"",C997,IF(P997&lt;=IFERROR(INDEX(tblChannels[Watched Through],MATCH(N997,tblChannels[Channel ID],0)),0),"Watched","Unwatched"))</f>
        <v/>
      </c>
      <c r="C997" s="40" t="n"/>
      <c r="D997" s="41" t="n"/>
      <c r="E997" s="42" t="n">
        <v>44935.625</v>
      </c>
      <c r="F997" s="52" t="inlineStr">
        <is>
          <t>Super Carlin Gaming</t>
        </is>
      </c>
      <c r="G997" t="inlineStr">
        <is>
          <t>GIANT SPIKY BALL! |  Pokémon Legends: Arceus Nuzlocke #25</t>
        </is>
      </c>
      <c r="H997" s="44" t="n">
        <v>0.02510416666666667</v>
      </c>
      <c r="I997" s="45" t="n">
        <v>3738</v>
      </c>
      <c r="J997" s="45" t="n">
        <v>226</v>
      </c>
      <c r="K997" s="45" t="n">
        <v>33</v>
      </c>
      <c r="L997" s="46" t="n"/>
      <c r="M997" s="47" t="n"/>
      <c r="N997" s="47" t="inlineStr">
        <is>
          <t>UCor_9jRnNNZVzTuQ92PKsaQ</t>
        </is>
      </c>
      <c r="O997" s="48" t="n">
        <v>44935.83333333334</v>
      </c>
      <c r="P997" s="49" t="n">
        <v>44935</v>
      </c>
      <c r="Q997" s="47" t="n">
        <v>2271</v>
      </c>
      <c r="R997" s="47" t="inlineStr">
        <is>
          <t>No Video ID yet</t>
        </is>
      </c>
      <c r="S997" s="49" t="n"/>
      <c r="T997" s="49" t="n"/>
      <c r="U997" s="47" t="inlineStr">
        <is>
          <t>Lamenting the loss of Storm, J adds a new member to the team to prepare for an epic showdown in the cavern at Lake Valor.</t>
        </is>
      </c>
      <c r="V997" s="47">
        <f>IF(AND(P997&gt;=Calendar!$K$2,P997&lt;EDATE(Calendar!$K$2,1),OR(Calendar!$K$4="*",N997=Calendar!$K$4)),P997*100+COUNTIFS($P$6:$P$3267,P997,$Q$6:$Q$3267,"&lt;="&amp;Q997,$N$6:$N$3267,Calendar!$K$4),"")</f>
        <v/>
      </c>
      <c r="W997" s="47">
        <f>IF(AND(B997=Queue!$C$4,OR(Queue!$K$4="*",N997=Queue!$K$4)),Q997,"")</f>
        <v/>
      </c>
    </row>
    <row r="998">
      <c r="A998" s="38">
        <f>IF(M998="","",HYPERLINK("https://www.youtube.com/watch?v="&amp;M998,"▶"))</f>
        <v/>
      </c>
      <c r="B998" s="39">
        <f>IF(C998&lt;&gt;"",C998,IF(P998&lt;=IFERROR(INDEX(tblChannels[Watched Through],MATCH(N998,tblChannels[Channel ID],0)),0),"Watched","Unwatched"))</f>
        <v/>
      </c>
      <c r="C998" s="40" t="n"/>
      <c r="D998" s="41" t="n"/>
      <c r="E998" s="42" t="n">
        <v>44932.64930555555</v>
      </c>
      <c r="F998" s="50" t="inlineStr">
        <is>
          <t>Super Carlin Brothers</t>
        </is>
      </c>
      <c r="G998" t="inlineStr">
        <is>
          <t>J vs Ben: ULTIMATE Half-Blood Prince Harry Potter TRIVIA Quiz</t>
        </is>
      </c>
      <c r="H998" s="44" t="n">
        <v>0.0212962962962963</v>
      </c>
      <c r="I998" s="45" t="n">
        <v>226256</v>
      </c>
      <c r="J998" s="45" t="n">
        <v>7177</v>
      </c>
      <c r="K998" s="45" t="n">
        <v>562</v>
      </c>
      <c r="L998" s="46" t="n"/>
      <c r="M998" s="47" t="n"/>
      <c r="N998" s="47" t="inlineStr">
        <is>
          <t>UCKZo4N0lVPccBkSiuyVh4yg</t>
        </is>
      </c>
      <c r="O998" s="48" t="n">
        <v>44932.85763888889</v>
      </c>
      <c r="P998" s="49" t="n">
        <v>44932</v>
      </c>
      <c r="Q998" s="47" t="n">
        <v>2270</v>
      </c>
      <c r="R998" s="47" t="inlineStr">
        <is>
          <t>No Video ID yet</t>
        </is>
      </c>
      <c r="S998" s="49" t="n"/>
      <c r="T998" s="49" t="n"/>
      <c r="U998" s="47" t="inlineStr">
        <is>
          <t>Go to to get PayPal Honey for free. Go to to get 3 extra months free with a 12-month plan. Today Ben and J face off once more to find out who knows more about Harry Potter and the Half-Blood Prince! Play along with us: #supercarlinbrothers #harrypotter #jvsben 01:56 - What is the name of the 6th Harry Potter book? 02:55 - Who is Ginny dating? 05:10 - Who does Hermione not ask to the Christmas Party? 06:17 - What drink does Dumbledore offer the Dursleys? 08:29 - Who is Ron’s quidditch tryout competition? 09:33 - Where are the muggles vacationing when Slughorn is in their house? 10:38 - What does the Weasleys’ Wizard Wheezes poster advertise? 16:14 - What book mentions horcruxes? 18:21 - What are the three D’s of apparition? 19:29 - What color are Slughorn’s pj’s? 21:36 - Which Ministry employee’s memory do we see? 23:07 - Who did Hagrid and Slughorn sing about? 24:34 - What is Snape’s mother’s name? 25:09 - Who was the orphanage matron? 26:00 - What did Fred and George charge Ron at WWW?</t>
        </is>
      </c>
      <c r="V998" s="47">
        <f>IF(AND(P998&gt;=Calendar!$K$2,P998&lt;EDATE(Calendar!$K$2,1),OR(Calendar!$K$4="*",N998=Calendar!$K$4)),P998*100+COUNTIFS($P$6:$P$3267,P998,$Q$6:$Q$3267,"&lt;="&amp;Q998,$N$6:$N$3267,Calendar!$K$4),"")</f>
        <v/>
      </c>
      <c r="W998" s="47">
        <f>IF(AND(B998=Queue!$C$4,OR(Queue!$K$4="*",N998=Queue!$K$4)),Q998,"")</f>
        <v/>
      </c>
    </row>
    <row r="999">
      <c r="A999" s="38">
        <f>IF(M999="","",HYPERLINK("https://www.youtube.com/watch?v="&amp;M999,"▶"))</f>
        <v/>
      </c>
      <c r="B999" s="39">
        <f>IF(C999&lt;&gt;"",C999,IF(P999&lt;=IFERROR(INDEX(tblChannels[Watched Through],MATCH(N999,tblChannels[Channel ID],0)),0),"Watched","Unwatched"))</f>
        <v/>
      </c>
      <c r="C999" s="40" t="n"/>
      <c r="D999" s="41" t="n"/>
      <c r="E999" s="42" t="n">
        <v>44932.41666666666</v>
      </c>
      <c r="F999" s="43" t="inlineStr">
        <is>
          <t>Popcorn Culture</t>
        </is>
      </c>
      <c r="G999" t="inlineStr">
        <is>
          <t>How I Burned A Hole In A Llama | Popcorn Culture</t>
        </is>
      </c>
      <c r="H999" s="44" t="n">
        <v>0.04774305555555555</v>
      </c>
      <c r="I999" s="45" t="n">
        <v>6478</v>
      </c>
      <c r="J999" s="45" t="n">
        <v>325</v>
      </c>
      <c r="K999" s="45" t="n">
        <v>36</v>
      </c>
      <c r="L999" s="46" t="n"/>
      <c r="M999" s="47" t="n"/>
      <c r="N999" s="47" t="inlineStr">
        <is>
          <t>UCHfIbq9thHPC8yrKjAdJgDA</t>
        </is>
      </c>
      <c r="O999" s="48" t="n">
        <v>44932.625</v>
      </c>
      <c r="P999" s="49" t="n">
        <v>44932</v>
      </c>
      <c r="Q999" s="47" t="n">
        <v>2269</v>
      </c>
      <c r="R999" s="47" t="inlineStr">
        <is>
          <t>No Video ID yet</t>
        </is>
      </c>
      <c r="S999" s="49" t="n"/>
      <c r="T999" s="49" t="n"/>
      <c r="U999" s="47" t="inlineStr">
        <is>
          <t>In the 161st episode of the Pop, Ben and J discuss the start of the new year, live music, other YouTubers we know, going to the movies, a new word, J’s connection to biking, skiing and Pokemon, weird things they “invented”, and llama burn holes. Dragula - School’s Out For Summer - Good Mythical Morning - The Gregory Brothers - The Pixar Theory Song - The Matrix - The Mummy - The Giver - Thoughts From Places: Snowshoe - Elyse’s Frozen Water Tik Tok - Stuffication Biking, Skiing and Pokemon Microwave Adventures 00:00 - Intro, The New Year 1:41 - Live Music 12:51 - The Matrix and The Giver 21:35 - Stuffication 30:19 - Biking, Skiing, and Pokemon 53:18 - Burning a Hole in a Llama</t>
        </is>
      </c>
      <c r="V999" s="47">
        <f>IF(AND(P999&gt;=Calendar!$K$2,P999&lt;EDATE(Calendar!$K$2,1),OR(Calendar!$K$4="*",N999=Calendar!$K$4)),P999*100+COUNTIFS($P$6:$P$3267,P999,$Q$6:$Q$3267,"&lt;="&amp;Q999,$N$6:$N$3267,Calendar!$K$4),"")</f>
        <v/>
      </c>
      <c r="W999" s="47">
        <f>IF(AND(B999=Queue!$C$4,OR(Queue!$K$4="*",N999=Queue!$K$4)),Q999,"")</f>
        <v/>
      </c>
    </row>
    <row r="1000">
      <c r="A1000" s="38">
        <f>IF(M1000="","",HYPERLINK("https://www.youtube.com/watch?v="&amp;M1000,"▶"))</f>
        <v/>
      </c>
      <c r="B1000" s="39">
        <f>IF(C1000&lt;&gt;"",C1000,IF(P1000&lt;=IFERROR(INDEX(tblChannels[Watched Through],MATCH(N1000,tblChannels[Channel ID],0)),0),"Watched","Unwatched"))</f>
        <v/>
      </c>
      <c r="C1000" s="40" t="n"/>
      <c r="D1000" s="41" t="n"/>
      <c r="E1000" s="42" t="n">
        <v>44930.58055555556</v>
      </c>
      <c r="F1000" s="50" t="inlineStr">
        <is>
          <t>Super Carlin Brothers</t>
        </is>
      </c>
      <c r="G1000" t="inlineStr">
        <is>
          <t>Grindelwald’s SECRET Horcrux | Harry Potter Film Theory</t>
        </is>
      </c>
      <c r="H1000" s="44" t="n">
        <v>0.01202546296296296</v>
      </c>
      <c r="I1000" s="45" t="n">
        <v>210045</v>
      </c>
      <c r="J1000" s="45" t="n">
        <v>8158</v>
      </c>
      <c r="K1000" s="45" t="n">
        <v>534</v>
      </c>
      <c r="L1000" s="46" t="n"/>
      <c r="M1000" s="47" t="n"/>
      <c r="N1000" s="47" t="inlineStr">
        <is>
          <t>UCKZo4N0lVPccBkSiuyVh4yg</t>
        </is>
      </c>
      <c r="O1000" s="48" t="n">
        <v>44930.78888888889</v>
      </c>
      <c r="P1000" s="49" t="n">
        <v>44930</v>
      </c>
      <c r="Q1000" s="47" t="n">
        <v>2268</v>
      </c>
      <c r="R1000" s="47" t="inlineStr">
        <is>
          <t>No Video ID yet</t>
        </is>
      </c>
      <c r="S1000" s="49" t="n"/>
      <c r="T1000" s="49" t="n"/>
      <c r="U1000" s="47" t="inlineStr">
        <is>
          <t>This episode of Super Carlin Brothers is sponsored by BetterHelp — go to to get 10% off your first month. Today J dives into the Wizarding World of Harry Potter and Fantastic Beasts to discover if Gellert Grindelwald made a secret horcrux, and what it was! #supercarlinbrothers #harrypotter #filmtheory</t>
        </is>
      </c>
      <c r="V1000" s="47">
        <f>IF(AND(P1000&gt;=Calendar!$K$2,P1000&lt;EDATE(Calendar!$K$2,1),OR(Calendar!$K$4="*",N1000=Calendar!$K$4)),P1000*100+COUNTIFS($P$6:$P$3267,P1000,$Q$6:$Q$3267,"&lt;="&amp;Q1000,$N$6:$N$3267,Calendar!$K$4),"")</f>
        <v/>
      </c>
      <c r="W1000" s="47">
        <f>IF(AND(B1000=Queue!$C$4,OR(Queue!$K$4="*",N1000=Queue!$K$4)),Q1000,"")</f>
        <v/>
      </c>
    </row>
    <row r="1001">
      <c r="A1001" s="38">
        <f>IF(M1001="","",HYPERLINK("https://www.youtube.com/watch?v="&amp;M1001,"▶"))</f>
        <v/>
      </c>
      <c r="B1001" s="39">
        <f>IF(C1001&lt;&gt;"",C1001,IF(P1001&lt;=IFERROR(INDEX(tblChannels[Watched Through],MATCH(N1001,tblChannels[Channel ID],0)),0),"Watched","Unwatched"))</f>
        <v/>
      </c>
      <c r="C1001" s="40" t="n"/>
      <c r="D1001" s="41" t="n"/>
      <c r="E1001" s="42" t="n">
        <v>44925.41666666666</v>
      </c>
      <c r="F1001" s="43" t="inlineStr">
        <is>
          <t>Popcorn Culture</t>
        </is>
      </c>
      <c r="G1001" t="inlineStr">
        <is>
          <t>FOUR POUNDS OF BEEF JERKY AND ONE ROMAN CANDLE | Popcorn Culture</t>
        </is>
      </c>
      <c r="H1001" s="44" t="n">
        <v>0.05186342592592592</v>
      </c>
      <c r="I1001" s="45" t="n">
        <v>5986</v>
      </c>
      <c r="J1001" s="45" t="n">
        <v>308</v>
      </c>
      <c r="K1001" s="45" t="n">
        <v>36</v>
      </c>
      <c r="L1001" s="46" t="n"/>
      <c r="M1001" s="47" t="n"/>
      <c r="N1001" s="47" t="inlineStr">
        <is>
          <t>UCHfIbq9thHPC8yrKjAdJgDA</t>
        </is>
      </c>
      <c r="O1001" s="48" t="n">
        <v>44925.625</v>
      </c>
      <c r="P1001" s="49" t="n">
        <v>44925</v>
      </c>
      <c r="Q1001" s="47" t="n">
        <v>2267</v>
      </c>
      <c r="R1001" s="47" t="inlineStr">
        <is>
          <t>No Video ID yet</t>
        </is>
      </c>
      <c r="S1001" s="49" t="n"/>
      <c r="T1001" s="49" t="n"/>
      <c r="U1001" s="47" t="inlineStr">
        <is>
          <t>In this super special 160th New Years Episode, Ben and J answer these questions from our friends over on Discord: What is the process for coming up with video ideas? How has podcasting impacted your communication? Favorite SCB/Pop related thing of the year? Any fun experiences with fireworks? Wotso Videos - The TRUTH About Thor’s New Eye - Avatar - Avatar: The Way of Water - 19 Inch Diameter Biceps Tupperware Container Brain Definitely Not a Cult 2:06 - Coming Up With Video Ideas 24:11 - Impact Podcasting Has on Communication 45:54 - Favorite Thing This Year 55:18 - FIREWORKS!</t>
        </is>
      </c>
      <c r="V1001" s="47">
        <f>IF(AND(P1001&gt;=Calendar!$K$2,P1001&lt;EDATE(Calendar!$K$2,1),OR(Calendar!$K$4="*",N1001=Calendar!$K$4)),P1001*100+COUNTIFS($P$6:$P$3267,P1001,$Q$6:$Q$3267,"&lt;="&amp;Q1001,$N$6:$N$3267,Calendar!$K$4),"")</f>
        <v/>
      </c>
      <c r="W1001" s="47">
        <f>IF(AND(B1001=Queue!$C$4,OR(Queue!$K$4="*",N1001=Queue!$K$4)),Q1001,"")</f>
        <v/>
      </c>
    </row>
    <row r="1002">
      <c r="A1002" s="38">
        <f>IF(M1002="","",HYPERLINK("https://www.youtube.com/watch?v="&amp;M1002,"▶"))</f>
        <v/>
      </c>
      <c r="B1002" s="39">
        <f>IF(C1002&lt;&gt;"",C1002,IF(P1002&lt;=IFERROR(INDEX(tblChannels[Watched Through],MATCH(N1002,tblChannels[Channel ID],0)),0),"Watched","Unwatched"))</f>
        <v/>
      </c>
      <c r="C1002" s="40" t="n"/>
      <c r="D1002" s="41" t="n"/>
      <c r="E1002" s="42" t="n">
        <v>44923.625</v>
      </c>
      <c r="F1002" s="50" t="inlineStr">
        <is>
          <t>Super Carlin Brothers</t>
        </is>
      </c>
      <c r="G1002" t="inlineStr">
        <is>
          <t>J vs Ben: ULTIMATE Ludo Bagman Harry Potter TRIVIA Quiz feat. Mike Schubert</t>
        </is>
      </c>
      <c r="H1002" s="44" t="n">
        <v>0.02454861111111111</v>
      </c>
      <c r="I1002" s="45" t="n">
        <v>136805</v>
      </c>
      <c r="J1002" s="45" t="n">
        <v>5753</v>
      </c>
      <c r="K1002" s="45" t="n">
        <v>882</v>
      </c>
      <c r="L1002" s="46" t="n"/>
      <c r="M1002" s="47" t="n"/>
      <c r="N1002" s="47" t="inlineStr">
        <is>
          <t>UCKZo4N0lVPccBkSiuyVh4yg</t>
        </is>
      </c>
      <c r="O1002" s="48" t="n">
        <v>44923.83333333334</v>
      </c>
      <c r="P1002" s="49" t="n">
        <v>44923</v>
      </c>
      <c r="Q1002" s="47" t="n">
        <v>2266</v>
      </c>
      <c r="R1002" s="47" t="inlineStr">
        <is>
          <t>No Video ID yet</t>
        </is>
      </c>
      <c r="S1002" s="49" t="n"/>
      <c r="T1002" s="49" t="n"/>
      <c r="U1002" s="47" t="inlineStr">
        <is>
          <t>Today J and Ben are joined by Mike Schubert from the Potterless Podcast and The Newest Olympian to find out who knows the most about the Wizarding World's biggest gambler: Ludo Bagman! Check out Mike’s Podcasts :: Potterless Pod: The Newest Olympian:</t>
        </is>
      </c>
      <c r="V1002" s="47">
        <f>IF(AND(P1002&gt;=Calendar!$K$2,P1002&lt;EDATE(Calendar!$K$2,1),OR(Calendar!$K$4="*",N1002=Calendar!$K$4)),P1002*100+COUNTIFS($P$6:$P$3267,P1002,$Q$6:$Q$3267,"&lt;="&amp;Q1002,$N$6:$N$3267,Calendar!$K$4),"")</f>
        <v/>
      </c>
      <c r="W1002" s="47">
        <f>IF(AND(B1002=Queue!$C$4,OR(Queue!$K$4="*",N1002=Queue!$K$4)),Q1002,"")</f>
        <v/>
      </c>
    </row>
    <row r="1003">
      <c r="A1003" s="38">
        <f>IF(M1003="","",HYPERLINK("https://www.youtube.com/watch?v="&amp;M1003,"▶"))</f>
        <v/>
      </c>
      <c r="B1003" s="39">
        <f>IF(C1003&lt;&gt;"",C1003,IF(P1003&lt;=IFERROR(INDEX(tblChannels[Watched Through],MATCH(N1003,tblChannels[Channel ID],0)),0),"Watched","Unwatched"))</f>
        <v/>
      </c>
      <c r="C1003" s="40" t="n"/>
      <c r="D1003" s="41" t="n"/>
      <c r="E1003" s="42" t="n">
        <v>44918.72083333333</v>
      </c>
      <c r="F1003" s="50" t="inlineStr">
        <is>
          <t>Super Carlin Brothers</t>
        </is>
      </c>
      <c r="G1003" t="inlineStr">
        <is>
          <t>The TRUTH About Kiri’s Father | Avatar The Way of Water</t>
        </is>
      </c>
      <c r="H1003" s="44" t="n">
        <v>0.01028935185185185</v>
      </c>
      <c r="I1003" s="45" t="n">
        <v>72627</v>
      </c>
      <c r="J1003" s="45" t="n">
        <v>4132</v>
      </c>
      <c r="K1003" s="45" t="n">
        <v>413</v>
      </c>
      <c r="L1003" s="46" t="n"/>
      <c r="M1003" s="47" t="n"/>
      <c r="N1003" s="47" t="inlineStr">
        <is>
          <t>UCKZo4N0lVPccBkSiuyVh4yg</t>
        </is>
      </c>
      <c r="O1003" s="48" t="n">
        <v>44918.92916666667</v>
      </c>
      <c r="P1003" s="49" t="n">
        <v>44918</v>
      </c>
      <c r="Q1003" s="47" t="n">
        <v>2265</v>
      </c>
      <c r="R1003" s="47" t="inlineStr">
        <is>
          <t>No Video ID yet</t>
        </is>
      </c>
      <c r="S1003" s="49" t="n"/>
      <c r="T1003" s="49" t="n"/>
      <c r="U1003" s="47" t="inlineStr">
        <is>
          <t>Today, J dives into the underwater world of Pandora and Avatar: The Way of Water to discuss one of the movie's biggest questions: What's the truth about Kiri's Father? Where did she come from? Is she from Eywa? This episode of Super Carlin Brothers is sponsored by BetterHelp — go to to get 10% off your first month. Go to to get 20% off your first monthly box #supercarlinbrothers #Avatar #TheWayOfWater #avatarfireandash</t>
        </is>
      </c>
      <c r="V1003" s="47">
        <f>IF(AND(P1003&gt;=Calendar!$K$2,P1003&lt;EDATE(Calendar!$K$2,1),OR(Calendar!$K$4="*",N1003=Calendar!$K$4)),P1003*100+COUNTIFS($P$6:$P$3267,P1003,$Q$6:$Q$3267,"&lt;="&amp;Q1003,$N$6:$N$3267,Calendar!$K$4),"")</f>
        <v/>
      </c>
      <c r="W1003" s="47">
        <f>IF(AND(B1003=Queue!$C$4,OR(Queue!$K$4="*",N1003=Queue!$K$4)),Q1003,"")</f>
        <v/>
      </c>
    </row>
    <row r="1004">
      <c r="A1004" s="38">
        <f>IF(M1004="","",HYPERLINK("https://www.youtube.com/watch?v="&amp;M1004,"▶"))</f>
        <v/>
      </c>
      <c r="B1004" s="39">
        <f>IF(C1004&lt;&gt;"",C1004,IF(P1004&lt;=IFERROR(INDEX(tblChannels[Watched Through],MATCH(N1004,tblChannels[Channel ID],0)),0),"Watched","Unwatched"))</f>
        <v/>
      </c>
      <c r="C1004" s="40" t="n"/>
      <c r="D1004" s="41" t="n"/>
      <c r="E1004" s="42" t="n">
        <v>44918.41666666666</v>
      </c>
      <c r="F1004" s="43" t="inlineStr">
        <is>
          <t>Popcorn Culture</t>
        </is>
      </c>
      <c r="G1004" t="inlineStr">
        <is>
          <t>Will AI Replace Art? | Popcorn Culture</t>
        </is>
      </c>
      <c r="H1004" s="44" t="n">
        <v>0.04369212962962963</v>
      </c>
      <c r="I1004" s="45" t="n">
        <v>5957</v>
      </c>
      <c r="J1004" s="45" t="n">
        <v>301</v>
      </c>
      <c r="K1004" s="45" t="n">
        <v>32</v>
      </c>
      <c r="L1004" s="46" t="n"/>
      <c r="M1004" s="47" t="n"/>
      <c r="N1004" s="47" t="inlineStr">
        <is>
          <t>UCHfIbq9thHPC8yrKjAdJgDA</t>
        </is>
      </c>
      <c r="O1004" s="48" t="n">
        <v>44918.625</v>
      </c>
      <c r="P1004" s="49" t="n">
        <v>44918</v>
      </c>
      <c r="Q1004" s="47" t="n">
        <v>2264</v>
      </c>
      <c r="R1004" s="47" t="inlineStr">
        <is>
          <t>No Video ID yet</t>
        </is>
      </c>
      <c r="S1004" s="49" t="n"/>
      <c r="T1004" s="49" t="n"/>
      <c r="U1004" s="47" t="inlineStr">
        <is>
          <t>In the 159th episode of the Pop, Ben and J discuss the last two years since starting the Pop, go-karting, influential people, the impact of AI art and cool articles from this year. MKBHD Video - Lensa - Roanoker 40 Under 40 Edition - Virginia Tech Article - Happy Anniversary! The Go-Kart Principle Way More Miley 00:00 - Intro, 2 Year Popiversary 03:30 - The Go-Kart Principle 10:17 - Pivot Moments 36:34 - AI Art 54:06 - J’s Great PR Week</t>
        </is>
      </c>
      <c r="V1004" s="47">
        <f>IF(AND(P1004&gt;=Calendar!$K$2,P1004&lt;EDATE(Calendar!$K$2,1),OR(Calendar!$K$4="*",N1004=Calendar!$K$4)),P1004*100+COUNTIFS($P$6:$P$3267,P1004,$Q$6:$Q$3267,"&lt;="&amp;Q1004,$N$6:$N$3267,Calendar!$K$4),"")</f>
        <v/>
      </c>
      <c r="W1004" s="47">
        <f>IF(AND(B1004=Queue!$C$4,OR(Queue!$K$4="*",N1004=Queue!$K$4)),Q1004,"")</f>
        <v/>
      </c>
    </row>
    <row r="1005">
      <c r="A1005" s="38">
        <f>IF(M1005="","",HYPERLINK("https://www.youtube.com/watch?v="&amp;M1005,"▶"))</f>
        <v/>
      </c>
      <c r="B1005" s="39">
        <f>IF(C1005&lt;&gt;"",C1005,IF(P1005&lt;=IFERROR(INDEX(tblChannels[Watched Through],MATCH(N1005,tblChannels[Channel ID],0)),0),"Watched","Unwatched"))</f>
        <v/>
      </c>
      <c r="C1005" s="40" t="n"/>
      <c r="D1005" s="41" t="n"/>
      <c r="E1005" s="42" t="n">
        <v>44916.71041666667</v>
      </c>
      <c r="F1005" s="50" t="inlineStr">
        <is>
          <t>Super Carlin Brothers</t>
        </is>
      </c>
      <c r="G1005" t="inlineStr">
        <is>
          <t>J vs Ben: HARDEST Order of the Phoenix Harry Potter TRIVIA Quiz</t>
        </is>
      </c>
      <c r="H1005" s="44" t="n">
        <v>0.02255787037037037</v>
      </c>
      <c r="I1005" s="45" t="n">
        <v>289491</v>
      </c>
      <c r="J1005" s="45" t="n">
        <v>8654</v>
      </c>
      <c r="K1005" s="45" t="n">
        <v>674</v>
      </c>
      <c r="L1005" s="46" t="n"/>
      <c r="M1005" s="47" t="n"/>
      <c r="N1005" s="47" t="inlineStr">
        <is>
          <t>UCKZo4N0lVPccBkSiuyVh4yg</t>
        </is>
      </c>
      <c r="O1005" s="48" t="n">
        <v>44916.91875</v>
      </c>
      <c r="P1005" s="49" t="n">
        <v>44916</v>
      </c>
      <c r="Q1005" s="47" t="n">
        <v>2263</v>
      </c>
      <c r="R1005" s="47" t="inlineStr">
        <is>
          <t>No Video ID yet</t>
        </is>
      </c>
      <c r="S1005" s="49" t="n"/>
      <c r="T1005" s="49" t="n"/>
      <c r="U1005" s="47" t="inlineStr">
        <is>
          <t>Get your Warm Hugs Royal Candle here :: Go to to get 20% off your first order and free shipping. Today J and Ben face off once more to find out who knows more about the Wizarding World of Harry Potter and all the crazy things that happen during Harry’s fifth year in Order of the Phoenix! 01:41 - What is the name of the 5th book? 02:39 - Where is the headquarters for the Order of the Phoenix 03:51 - Who still writes Lockhart every week? 04:34 - Who's patronus is a swan? 05:49 - Who told Harry about the Room of Requirement? 06:41 - Who did Molly's boggart turn into? 08:40 - Who is the author of Defensive Magical Theory? 11:22 - What color robes was Dumbledore wearing at Harry's hearing? 17:23 - How many Death Eaters broke out of Azkaban? 19:44 - Where did the Dementors attack Harry and Dudley? 22:03 - Who was Harry's Charms practical examiner? 24:26 - What did Neville's mother give him at the hospital? 25:01 - What was educational decree number 23? 26:42 - What is the entrance to St. Mungos? 28:39 - Which portrait headmasters checked on Arthur when he was attacked?</t>
        </is>
      </c>
      <c r="V1005" s="47">
        <f>IF(AND(P1005&gt;=Calendar!$K$2,P1005&lt;EDATE(Calendar!$K$2,1),OR(Calendar!$K$4="*",N1005=Calendar!$K$4)),P1005*100+COUNTIFS($P$6:$P$3267,P1005,$Q$6:$Q$3267,"&lt;="&amp;Q1005,$N$6:$N$3267,Calendar!$K$4),"")</f>
        <v/>
      </c>
      <c r="W1005" s="47">
        <f>IF(AND(B1005=Queue!$C$4,OR(Queue!$K$4="*",N1005=Queue!$K$4)),Q1005,"")</f>
        <v/>
      </c>
    </row>
    <row r="1006">
      <c r="A1006" s="38">
        <f>IF(M1006="","",HYPERLINK("https://www.youtube.com/watch?v="&amp;M1006,"▶"))</f>
        <v/>
      </c>
      <c r="B1006" s="39">
        <f>IF(C1006&lt;&gt;"",C1006,IF(P1006&lt;=IFERROR(INDEX(tblChannels[Watched Through],MATCH(N1006,tblChannels[Channel ID],0)),0),"Watched","Unwatched"))</f>
        <v/>
      </c>
      <c r="C1006" s="40" t="n"/>
      <c r="D1006" s="41" t="n"/>
      <c r="E1006" s="42" t="n">
        <v>44915.72916666666</v>
      </c>
      <c r="F1006" s="52" t="inlineStr">
        <is>
          <t>Super Carlin Gaming</t>
        </is>
      </c>
      <c r="G1006" t="inlineStr">
        <is>
          <t>SILVER TEMPEST DELIVERS | Carlin Brothers Box Breakers S3/E3</t>
        </is>
      </c>
      <c r="H1006" s="44" t="n">
        <v>0.02747685185185185</v>
      </c>
      <c r="I1006" s="45" t="n">
        <v>3638</v>
      </c>
      <c r="J1006" s="45" t="n">
        <v>192</v>
      </c>
      <c r="K1006" s="45" t="n">
        <v>10</v>
      </c>
      <c r="L1006" s="46" t="n"/>
      <c r="M1006" s="47" t="n"/>
      <c r="N1006" s="47" t="inlineStr">
        <is>
          <t>UCor_9jRnNNZVzTuQ92PKsaQ</t>
        </is>
      </c>
      <c r="O1006" s="48" t="n">
        <v>44915.9375</v>
      </c>
      <c r="P1006" s="49" t="n">
        <v>44915</v>
      </c>
      <c r="Q1006" s="47" t="n">
        <v>2262</v>
      </c>
      <c r="R1006" s="47" t="inlineStr">
        <is>
          <t>No Video ID yet</t>
        </is>
      </c>
      <c r="S1006" s="49" t="n"/>
      <c r="T1006" s="49" t="n"/>
      <c r="U1006" s="47" t="inlineStr">
        <is>
          <t>This week SILVER TEMPEST DELIVERS THE GOOD PULLS</t>
        </is>
      </c>
      <c r="V1006" s="47">
        <f>IF(AND(P1006&gt;=Calendar!$K$2,P1006&lt;EDATE(Calendar!$K$2,1),OR(Calendar!$K$4="*",N1006=Calendar!$K$4)),P1006*100+COUNTIFS($P$6:$P$3267,P1006,$Q$6:$Q$3267,"&lt;="&amp;Q1006,$N$6:$N$3267,Calendar!$K$4),"")</f>
        <v/>
      </c>
      <c r="W1006" s="47">
        <f>IF(AND(B1006=Queue!$C$4,OR(Queue!$K$4="*",N1006=Queue!$K$4)),Q1006,"")</f>
        <v/>
      </c>
    </row>
    <row r="1007">
      <c r="A1007" s="38">
        <f>IF(M1007="","",HYPERLINK("https://www.youtube.com/watch?v="&amp;M1007,"▶"))</f>
        <v/>
      </c>
      <c r="B1007" s="39">
        <f>IF(C1007&lt;&gt;"",C1007,IF(P1007&lt;=IFERROR(INDEX(tblChannels[Watched Through],MATCH(N1007,tblChannels[Channel ID],0)),0),"Watched","Unwatched"))</f>
        <v/>
      </c>
      <c r="C1007" s="40" t="n"/>
      <c r="D1007" s="41" t="n"/>
      <c r="E1007" s="42" t="n">
        <v>44914.57638888889</v>
      </c>
      <c r="F1007" s="50" t="inlineStr">
        <is>
          <t>Super Carlin Brothers</t>
        </is>
      </c>
      <c r="G1007" t="inlineStr">
        <is>
          <t>J vs Ben: World’s BEST Butterbeer Latte | Harry Potter Food</t>
        </is>
      </c>
      <c r="H1007" s="44" t="n">
        <v>0.02103009259259259</v>
      </c>
      <c r="I1007" s="45" t="n">
        <v>85885</v>
      </c>
      <c r="J1007" s="45" t="n">
        <v>4751</v>
      </c>
      <c r="K1007" s="45" t="n">
        <v>293</v>
      </c>
      <c r="L1007" s="46" t="n"/>
      <c r="M1007" s="47" t="n"/>
      <c r="N1007" s="47" t="inlineStr">
        <is>
          <t>UCKZo4N0lVPccBkSiuyVh4yg</t>
        </is>
      </c>
      <c r="O1007" s="48" t="n">
        <v>44914.78472222222</v>
      </c>
      <c r="P1007" s="49" t="n">
        <v>44914</v>
      </c>
      <c r="Q1007" s="47" t="n">
        <v>2261</v>
      </c>
      <c r="R1007" s="47" t="inlineStr">
        <is>
          <t>No Video ID yet</t>
        </is>
      </c>
      <c r="S1007" s="49" t="n"/>
      <c r="T1007" s="49" t="n"/>
      <c r="U1007" s="47" t="inlineStr">
        <is>
          <t>Today J and Ben join forces to try and recreate the world’s BEST Butterbeer Latte with the assistance of Quincy Randolph of Roasters Next Door in Downtown Roanoke Carlin Brothers Coffee Holiday Blend :: Check out RND at Full Instructions: Super Butterbeer Latte Dark Butterscotch: 1/2c Dark Brown Sugar 1.5oz butter 1/4t apple cider vinegar 1/4t vanilla extract 1oz heavy cream pinch salt Method: In a saucepan combine butter and sugar over medium heat and cook until sugar has melted completely and the mixture has taken on a thick frothy appearance, 5 to 10 minutes. Whisk in cream, vanilla, vinegar, and salt. Remove from heat. Cream Soda Foam: 3oz cream soda 2oz brown sugar 1oz cream -Whipped Cream Maker -Whipped Cream Chargers Garnishes: Salt &amp; rum extract Method: Add brown sugar and cream soda to a saucepan. Reduce on high heat until light syrup consistency. Add cream, and remove from heat. Transfer to whipped cream maker, and charge with two chargers. Finishing The Beverage: Add ~1oz of butterscotch to the bottom of your mug. Pull a standard double shot of espresso, and then pour that on top of your butterscotch. Stir with a spoon, and then steam your milk. Steam latte milk in the s</t>
        </is>
      </c>
      <c r="V1007" s="47">
        <f>IF(AND(P1007&gt;=Calendar!$K$2,P1007&lt;EDATE(Calendar!$K$2,1),OR(Calendar!$K$4="*",N1007=Calendar!$K$4)),P1007*100+COUNTIFS($P$6:$P$3267,P1007,$Q$6:$Q$3267,"&lt;="&amp;Q1007,$N$6:$N$3267,Calendar!$K$4),"")</f>
        <v/>
      </c>
      <c r="W1007" s="47">
        <f>IF(AND(B1007=Queue!$C$4,OR(Queue!$K$4="*",N1007=Queue!$K$4)),Q1007,"")</f>
        <v/>
      </c>
    </row>
    <row r="1008">
      <c r="A1008" s="38">
        <f>IF(M1008="","",HYPERLINK("https://www.youtube.com/watch?v="&amp;M1008,"▶"))</f>
        <v/>
      </c>
      <c r="B1008" s="39">
        <f>IF(C1008&lt;&gt;"",C1008,IF(P1008&lt;=IFERROR(INDEX(tblChannels[Watched Through],MATCH(N1008,tblChannels[Channel ID],0)),0),"Watched","Unwatched"))</f>
        <v/>
      </c>
      <c r="C1008" s="40" t="n"/>
      <c r="D1008" s="41" t="n"/>
      <c r="E1008" s="42" t="n">
        <v>44912.625</v>
      </c>
      <c r="F1008" s="50" t="inlineStr">
        <is>
          <t>Super Carlin Brothers</t>
        </is>
      </c>
      <c r="G1008" t="inlineStr">
        <is>
          <t>Avatar: The Way of Water Spoiler REVIEW</t>
        </is>
      </c>
      <c r="H1008" s="44" t="n">
        <v>0.03603009259259259</v>
      </c>
      <c r="I1008" s="45" t="n">
        <v>94062</v>
      </c>
      <c r="J1008" s="45" t="n">
        <v>3579</v>
      </c>
      <c r="K1008" s="45" t="n">
        <v>575</v>
      </c>
      <c r="L1008" s="46" t="n"/>
      <c r="M1008" s="47" t="n"/>
      <c r="N1008" s="47" t="inlineStr">
        <is>
          <t>UCKZo4N0lVPccBkSiuyVh4yg</t>
        </is>
      </c>
      <c r="O1008" s="48" t="n">
        <v>44912.83333333334</v>
      </c>
      <c r="P1008" s="49" t="n">
        <v>44912</v>
      </c>
      <c r="Q1008" s="47" t="n">
        <v>2260</v>
      </c>
      <c r="R1008" s="47" t="inlineStr">
        <is>
          <t>No Video ID yet</t>
        </is>
      </c>
      <c r="S1008" s="49" t="n"/>
      <c r="T1008" s="49" t="n"/>
      <c r="U1008" s="47" t="inlineStr">
        <is>
          <t>Today J and Ben dive into the immersive world of Pandora to give their full spoiler review of Avatar: The Way of Water Spoiler Review! How does it hold up to the original? Is it any good? Maybe the craziest movie experience of your life?</t>
        </is>
      </c>
      <c r="V1008" s="47">
        <f>IF(AND(P1008&gt;=Calendar!$K$2,P1008&lt;EDATE(Calendar!$K$2,1),OR(Calendar!$K$4="*",N1008=Calendar!$K$4)),P1008*100+COUNTIFS($P$6:$P$3267,P1008,$Q$6:$Q$3267,"&lt;="&amp;Q1008,$N$6:$N$3267,Calendar!$K$4),"")</f>
        <v/>
      </c>
      <c r="W1008" s="47">
        <f>IF(AND(B1008=Queue!$C$4,OR(Queue!$K$4="*",N1008=Queue!$K$4)),Q1008,"")</f>
        <v/>
      </c>
    </row>
    <row r="1009">
      <c r="A1009" s="38">
        <f>IF(M1009="","",HYPERLINK("https://www.youtube.com/watch?v="&amp;M1009,"▶"))</f>
        <v/>
      </c>
      <c r="B1009" s="39">
        <f>IF(C1009&lt;&gt;"",C1009,IF(P1009&lt;=IFERROR(INDEX(tblChannels[Watched Through],MATCH(N1009,tblChannels[Channel ID],0)),0),"Watched","Unwatched"))</f>
        <v/>
      </c>
      <c r="C1009" s="40" t="n"/>
      <c r="D1009" s="41" t="n"/>
      <c r="E1009" s="42" t="n">
        <v>44911.74652777778</v>
      </c>
      <c r="F1009" s="50" t="inlineStr">
        <is>
          <t>Super Carlin Brothers</t>
        </is>
      </c>
      <c r="G1009" t="inlineStr">
        <is>
          <t>Every Character We HATE More Than Voldemort, Ranked | Harry Potter Film Theory</t>
        </is>
      </c>
      <c r="H1009" s="44" t="n">
        <v>0.01578703703703704</v>
      </c>
      <c r="I1009" s="45" t="n">
        <v>514336</v>
      </c>
      <c r="J1009" s="45" t="n">
        <v>14676</v>
      </c>
      <c r="K1009" s="45" t="n">
        <v>2093</v>
      </c>
      <c r="L1009" s="46" t="n"/>
      <c r="M1009" s="47" t="n"/>
      <c r="N1009" s="47" t="inlineStr">
        <is>
          <t>UCKZo4N0lVPccBkSiuyVh4yg</t>
        </is>
      </c>
      <c r="O1009" s="48" t="n">
        <v>44911.95486111111</v>
      </c>
      <c r="P1009" s="49" t="n">
        <v>44911</v>
      </c>
      <c r="Q1009" s="47" t="n">
        <v>2259</v>
      </c>
      <c r="R1009" s="47" t="inlineStr">
        <is>
          <t>No Video ID yet</t>
        </is>
      </c>
      <c r="S1009" s="49" t="n"/>
      <c r="T1009" s="49" t="n"/>
      <c r="U1009" s="47" t="inlineStr">
        <is>
          <t>This episode of Super Carlin Brothers is sponsored by BetterHelp — go to to get 10% off your first month. Get a 4-week trial, free postage, and a digital scale at Thanks to Stamps.com for sponsoring the show! Today Ben dives into the Wizarding World of Harry Potter to rank all the characters we hate more than Voldemort.. Not because they are more evil but because they are THE WORST.. Ya know? Take viewer survey here:</t>
        </is>
      </c>
      <c r="V1009" s="47">
        <f>IF(AND(P1009&gt;=Calendar!$K$2,P1009&lt;EDATE(Calendar!$K$2,1),OR(Calendar!$K$4="*",N1009=Calendar!$K$4)),P1009*100+COUNTIFS($P$6:$P$3267,P1009,$Q$6:$Q$3267,"&lt;="&amp;Q1009,$N$6:$N$3267,Calendar!$K$4),"")</f>
        <v/>
      </c>
      <c r="W1009" s="47">
        <f>IF(AND(B1009=Queue!$C$4,OR(Queue!$K$4="*",N1009=Queue!$K$4)),Q1009,"")</f>
        <v/>
      </c>
    </row>
    <row r="1010">
      <c r="A1010" s="38">
        <f>IF(M1010="","",HYPERLINK("https://www.youtube.com/watch?v="&amp;M1010,"▶"))</f>
        <v/>
      </c>
      <c r="B1010" s="39">
        <f>IF(C1010&lt;&gt;"",C1010,IF(P1010&lt;=IFERROR(INDEX(tblChannels[Watched Through],MATCH(N1010,tblChannels[Channel ID],0)),0),"Watched","Unwatched"))</f>
        <v/>
      </c>
      <c r="C1010" s="40" t="n"/>
      <c r="D1010" s="41" t="n"/>
      <c r="E1010" s="42" t="n">
        <v>44911.41666666666</v>
      </c>
      <c r="F1010" s="43" t="inlineStr">
        <is>
          <t>Popcorn Culture</t>
        </is>
      </c>
      <c r="G1010" t="inlineStr">
        <is>
          <t>Me, My Brain and Avatar | Popcorn Culture</t>
        </is>
      </c>
      <c r="H1010" s="44" t="n">
        <v>0.04775462962962963</v>
      </c>
      <c r="I1010" s="45" t="n">
        <v>5857</v>
      </c>
      <c r="J1010" s="45" t="n">
        <v>294</v>
      </c>
      <c r="K1010" s="45" t="n">
        <v>33</v>
      </c>
      <c r="L1010" s="46" t="n"/>
      <c r="M1010" s="47" t="n"/>
      <c r="N1010" s="47" t="inlineStr">
        <is>
          <t>UCHfIbq9thHPC8yrKjAdJgDA</t>
        </is>
      </c>
      <c r="O1010" s="48" t="n">
        <v>44911.625</v>
      </c>
      <c r="P1010" s="49" t="n">
        <v>44911</v>
      </c>
      <c r="Q1010" s="47" t="n">
        <v>2258</v>
      </c>
      <c r="R1010" s="47" t="inlineStr">
        <is>
          <t>No Video ID yet</t>
        </is>
      </c>
      <c r="S1010" s="49" t="n"/>
      <c r="T1010" s="49" t="n"/>
      <c r="U1010" s="47" t="inlineStr">
        <is>
          <t>In the 158th episode of the Pop, Ben and J discuss sneezing, homework, DIP class, the Frozen quiz punishment, the implications of AI chat bots, and the new Avatar movie. Sharon Says So - Frozen Challenge SCB Vid - Smarter Child - Open AI - Her - Avatar - Avatar: The Way of Water - We Get It, You’ve Got Kids Sneezing is Fun A Place For Mosquitoes To Live It’s Good Enough For Fish Waste Gloops Applesolutely Giant Silver Tub 00:00 - Intro, Sneezes 06:12 - Homework and Boredom 15:33 - Polar Plunge 28:18 - AI Chat Bots 54:33 - Avatar: the Way of Water</t>
        </is>
      </c>
      <c r="V1010" s="47">
        <f>IF(AND(P1010&gt;=Calendar!$K$2,P1010&lt;EDATE(Calendar!$K$2,1),OR(Calendar!$K$4="*",N1010=Calendar!$K$4)),P1010*100+COUNTIFS($P$6:$P$3267,P1010,$Q$6:$Q$3267,"&lt;="&amp;Q1010,$N$6:$N$3267,Calendar!$K$4),"")</f>
        <v/>
      </c>
      <c r="W1010" s="47">
        <f>IF(AND(B1010=Queue!$C$4,OR(Queue!$K$4="*",N1010=Queue!$K$4)),Q1010,"")</f>
        <v/>
      </c>
    </row>
    <row r="1011">
      <c r="A1011" s="38">
        <f>IF(M1011="","",HYPERLINK("https://www.youtube.com/watch?v="&amp;M1011,"▶"))</f>
        <v/>
      </c>
      <c r="B1011" s="39">
        <f>IF(C1011&lt;&gt;"",C1011,IF(P1011&lt;=IFERROR(INDEX(tblChannels[Watched Through],MATCH(N1011,tblChannels[Channel ID],0)),0),"Watched","Unwatched"))</f>
        <v/>
      </c>
      <c r="C1011" s="40" t="n"/>
      <c r="D1011" s="41" t="n"/>
      <c r="E1011" s="42" t="n">
        <v>44909.63958333333</v>
      </c>
      <c r="F1011" s="50" t="inlineStr">
        <is>
          <t>Super Carlin Brothers</t>
        </is>
      </c>
      <c r="G1011" t="inlineStr">
        <is>
          <t>What If Dumbledore NEVER Put On The Ring? | Harry Potter Film Theory</t>
        </is>
      </c>
      <c r="H1011" s="44" t="n">
        <v>0.02018518518518518</v>
      </c>
      <c r="I1011" s="45" t="n">
        <v>1139169</v>
      </c>
      <c r="J1011" s="45" t="n">
        <v>24912</v>
      </c>
      <c r="K1011" s="45" t="n">
        <v>2360</v>
      </c>
      <c r="L1011" s="46" t="n"/>
      <c r="M1011" s="47" t="n"/>
      <c r="N1011" s="47" t="inlineStr">
        <is>
          <t>UCKZo4N0lVPccBkSiuyVh4yg</t>
        </is>
      </c>
      <c r="O1011" s="48" t="n">
        <v>44909.84791666667</v>
      </c>
      <c r="P1011" s="49" t="n">
        <v>44909</v>
      </c>
      <c r="Q1011" s="47" t="n">
        <v>2257</v>
      </c>
      <c r="R1011" s="47" t="inlineStr">
        <is>
          <t>No Video ID yet</t>
        </is>
      </c>
      <c r="S1011" s="49" t="n"/>
      <c r="T1011" s="49" t="n"/>
      <c r="U1011" s="47" t="inlineStr">
        <is>
          <t>This episode of Super Carlin Brothers is sponsored by BetterHelp — go to to get 10% off your first month. Go to to get 3 months free when you buy any 3-month Mint Mobile plan. Today J dives into the Wizarding World of Harry Potter to explore how the story might have changed if Dumbledore had never put on the Ring, that cursed him to die a year later. Would Snape have committed to the unbreakable vow without prior instructions to kill Dumbledore anyway? Does Dumbledore survive Half-Blood Prince? And what happens to Draco? Take viewer survey here: #supercarlinbrothers #WhatIf #HarryPotter</t>
        </is>
      </c>
      <c r="V1011" s="47">
        <f>IF(AND(P1011&gt;=Calendar!$K$2,P1011&lt;EDATE(Calendar!$K$2,1),OR(Calendar!$K$4="*",N1011=Calendar!$K$4)),P1011*100+COUNTIFS($P$6:$P$3267,P1011,$Q$6:$Q$3267,"&lt;="&amp;Q1011,$N$6:$N$3267,Calendar!$K$4),"")</f>
        <v/>
      </c>
      <c r="W1011" s="47">
        <f>IF(AND(B1011=Queue!$C$4,OR(Queue!$K$4="*",N1011=Queue!$K$4)),Q1011,"")</f>
        <v/>
      </c>
    </row>
    <row r="1012">
      <c r="A1012" s="38">
        <f>IF(M1012="","",HYPERLINK("https://www.youtube.com/watch?v="&amp;M1012,"▶"))</f>
        <v/>
      </c>
      <c r="B1012" s="39">
        <f>IF(C1012&lt;&gt;"",C1012,IF(P1012&lt;=IFERROR(INDEX(tblChannels[Watched Through],MATCH(N1012,tblChannels[Channel ID],0)),0),"Watched","Unwatched"))</f>
        <v/>
      </c>
      <c r="C1012" s="40" t="n"/>
      <c r="D1012" s="41" t="n"/>
      <c r="E1012" s="42" t="n">
        <v>44908.72916666666</v>
      </c>
      <c r="F1012" s="52" t="inlineStr">
        <is>
          <t>Super Carlin Gaming</t>
        </is>
      </c>
      <c r="G1012" t="inlineStr">
        <is>
          <t>Type Advantage Is EVERYTHING | Carlin Brothers Box Breakers S3/E2</t>
        </is>
      </c>
      <c r="H1012" s="44" t="n">
        <v>0.03012731481481482</v>
      </c>
      <c r="I1012" s="45" t="n">
        <v>3265</v>
      </c>
      <c r="J1012" s="45" t="n">
        <v>176</v>
      </c>
      <c r="K1012" s="45" t="n">
        <v>19</v>
      </c>
      <c r="L1012" s="46" t="n"/>
      <c r="M1012" s="47" t="n"/>
      <c r="N1012" s="47" t="inlineStr">
        <is>
          <t>UCor_9jRnNNZVzTuQ92PKsaQ</t>
        </is>
      </c>
      <c r="O1012" s="48" t="n">
        <v>44908.9375</v>
      </c>
      <c r="P1012" s="49" t="n">
        <v>44908</v>
      </c>
      <c r="Q1012" s="47" t="n">
        <v>2256</v>
      </c>
      <c r="R1012" s="47" t="inlineStr">
        <is>
          <t>No Video ID yet</t>
        </is>
      </c>
      <c r="S1012" s="49" t="n"/>
      <c r="T1012" s="49" t="n"/>
      <c r="U1012" s="47" t="inlineStr">
        <is>
          <t>This week SILVER TEMPEST DELIVERS THE GOOD PULLS</t>
        </is>
      </c>
      <c r="V1012" s="47">
        <f>IF(AND(P1012&gt;=Calendar!$K$2,P1012&lt;EDATE(Calendar!$K$2,1),OR(Calendar!$K$4="*",N1012=Calendar!$K$4)),P1012*100+COUNTIFS($P$6:$P$3267,P1012,$Q$6:$Q$3267,"&lt;="&amp;Q1012,$N$6:$N$3267,Calendar!$K$4),"")</f>
        <v/>
      </c>
      <c r="W1012" s="47">
        <f>IF(AND(B1012=Queue!$C$4,OR(Queue!$K$4="*",N1012=Queue!$K$4)),Q1012,"")</f>
        <v/>
      </c>
    </row>
    <row r="1013">
      <c r="A1013" s="38">
        <f>IF(M1013="","",HYPERLINK("https://www.youtube.com/watch?v="&amp;M1013,"▶"))</f>
        <v/>
      </c>
      <c r="B1013" s="39">
        <f>IF(C1013&lt;&gt;"",C1013,IF(P1013&lt;=IFERROR(INDEX(tblChannels[Watched Through],MATCH(N1013,tblChannels[Channel ID],0)),0),"Watched","Unwatched"))</f>
        <v/>
      </c>
      <c r="C1013" s="40" t="n"/>
      <c r="D1013" s="41" t="n"/>
      <c r="E1013" s="42" t="n">
        <v>44906.625</v>
      </c>
      <c r="F1013" s="50" t="inlineStr">
        <is>
          <t>Super Carlin Brothers</t>
        </is>
      </c>
      <c r="G1013" t="inlineStr">
        <is>
          <t>What If Harry Was In Slytherin - FULL STORY 5-7 | Harry Potter Film Theory</t>
        </is>
      </c>
      <c r="H1013" s="44" t="n">
        <v>0.1153472222222222</v>
      </c>
      <c r="I1013" s="45" t="n">
        <v>2652837</v>
      </c>
      <c r="J1013" s="45" t="n">
        <v>37595</v>
      </c>
      <c r="K1013" s="45" t="n">
        <v>3964</v>
      </c>
      <c r="L1013" s="46" t="n"/>
      <c r="M1013" s="47" t="n"/>
      <c r="N1013" s="47" t="inlineStr">
        <is>
          <t>UCKZo4N0lVPccBkSiuyVh4yg</t>
        </is>
      </c>
      <c r="O1013" s="48" t="n">
        <v>44906.83333333334</v>
      </c>
      <c r="P1013" s="49" t="n">
        <v>44906</v>
      </c>
      <c r="Q1013" s="47" t="n">
        <v>2255</v>
      </c>
      <c r="R1013" s="47" t="inlineStr">
        <is>
          <t>No Video ID yet</t>
        </is>
      </c>
      <c r="S1013" s="49" t="n"/>
      <c r="T1013" s="49" t="n"/>
      <c r="U1013" s="47" t="inlineStr">
        <is>
          <t>What if Harry Potter had been sorted into Slytherin like the sorting hat wanted, instead of Gryffindor where he ended up? We've stitched together all of our main videos covering this topic into two big parts! Part 2 includes everything from Order of the Phoenix through Deathly Hallows!</t>
        </is>
      </c>
      <c r="V1013" s="47">
        <f>IF(AND(P1013&gt;=Calendar!$K$2,P1013&lt;EDATE(Calendar!$K$2,1),OR(Calendar!$K$4="*",N1013=Calendar!$K$4)),P1013*100+COUNTIFS($P$6:$P$3267,P1013,$Q$6:$Q$3267,"&lt;="&amp;Q1013,$N$6:$N$3267,Calendar!$K$4),"")</f>
        <v/>
      </c>
      <c r="W1013" s="47">
        <f>IF(AND(B1013=Queue!$C$4,OR(Queue!$K$4="*",N1013=Queue!$K$4)),Q1013,"")</f>
        <v/>
      </c>
    </row>
    <row r="1014">
      <c r="A1014" s="38">
        <f>IF(M1014="","",HYPERLINK("https://www.youtube.com/watch?v="&amp;M1014,"▶"))</f>
        <v/>
      </c>
      <c r="B1014" s="39">
        <f>IF(C1014&lt;&gt;"",C1014,IF(P1014&lt;=IFERROR(INDEX(tblChannels[Watched Through],MATCH(N1014,tblChannels[Channel ID],0)),0),"Watched","Unwatched"))</f>
        <v/>
      </c>
      <c r="C1014" s="40" t="n"/>
      <c r="D1014" s="41" t="n"/>
      <c r="E1014" s="42" t="n">
        <v>44905.625</v>
      </c>
      <c r="F1014" s="50" t="inlineStr">
        <is>
          <t>Super Carlin Brothers</t>
        </is>
      </c>
      <c r="G1014" t="inlineStr">
        <is>
          <t>What If Harry Was In Slytherin - FULL STORY 1-4</t>
        </is>
      </c>
      <c r="H1014" s="44" t="n">
        <v>0.07238425925925926</v>
      </c>
      <c r="I1014" s="45" t="n">
        <v>3240574</v>
      </c>
      <c r="J1014" s="45" t="n">
        <v>54706</v>
      </c>
      <c r="K1014" s="45" t="n">
        <v>3204</v>
      </c>
      <c r="L1014" s="46" t="n"/>
      <c r="M1014" s="47" t="n"/>
      <c r="N1014" s="47" t="inlineStr">
        <is>
          <t>UCKZo4N0lVPccBkSiuyVh4yg</t>
        </is>
      </c>
      <c r="O1014" s="48" t="n">
        <v>44905.83333333334</v>
      </c>
      <c r="P1014" s="49" t="n">
        <v>44905</v>
      </c>
      <c r="Q1014" s="47" t="n">
        <v>2254</v>
      </c>
      <c r="R1014" s="47" t="inlineStr">
        <is>
          <t>No Video ID yet</t>
        </is>
      </c>
      <c r="S1014" s="49" t="n"/>
      <c r="T1014" s="49" t="n"/>
      <c r="U1014" s="47" t="inlineStr">
        <is>
          <t>What if Harry Potter had been sorted into Slytherin like the sorting hat wanted, instead of Gryffindor where he ended up? We've stitched together all of our main videos covering this topic into two big parts! Part 1 includes everything from Philosopher's Stone through Goblet of Fire! Enjoy!</t>
        </is>
      </c>
      <c r="V1014" s="47">
        <f>IF(AND(P1014&gt;=Calendar!$K$2,P1014&lt;EDATE(Calendar!$K$2,1),OR(Calendar!$K$4="*",N1014=Calendar!$K$4)),P1014*100+COUNTIFS($P$6:$P$3267,P1014,$Q$6:$Q$3267,"&lt;="&amp;Q1014,$N$6:$N$3267,Calendar!$K$4),"")</f>
        <v/>
      </c>
      <c r="W1014" s="47">
        <f>IF(AND(B1014=Queue!$C$4,OR(Queue!$K$4="*",N1014=Queue!$K$4)),Q1014,"")</f>
        <v/>
      </c>
    </row>
    <row r="1015">
      <c r="A1015" s="38">
        <f>IF(M1015="","",HYPERLINK("https://www.youtube.com/watch?v="&amp;M1015,"▶"))</f>
        <v/>
      </c>
      <c r="B1015" s="39">
        <f>IF(C1015&lt;&gt;"",C1015,IF(P1015&lt;=IFERROR(INDEX(tblChannels[Watched Through],MATCH(N1015,tblChannels[Channel ID],0)),0),"Watched","Unwatched"))</f>
        <v/>
      </c>
      <c r="C1015" s="40" t="n"/>
      <c r="D1015" s="41" t="n"/>
      <c r="E1015" s="42" t="n">
        <v>44904.79791666667</v>
      </c>
      <c r="F1015" s="50" t="inlineStr">
        <is>
          <t>Super Carlin Brothers</t>
        </is>
      </c>
      <c r="G1015" t="inlineStr">
        <is>
          <t>J vs Ben: HARDEST Frozen Trivia Quiz | POLAR PLUNGE PUNISHMENT</t>
        </is>
      </c>
      <c r="H1015" s="44" t="n">
        <v>0.01993055555555556</v>
      </c>
      <c r="I1015" s="45" t="n">
        <v>166563</v>
      </c>
      <c r="J1015" s="45" t="n">
        <v>7709</v>
      </c>
      <c r="K1015" s="45" t="n">
        <v>453</v>
      </c>
      <c r="L1015" s="46" t="n"/>
      <c r="M1015" s="47" t="n"/>
      <c r="N1015" s="47" t="inlineStr">
        <is>
          <t>UCKZo4N0lVPccBkSiuyVh4yg</t>
        </is>
      </c>
      <c r="O1015" s="48" t="n">
        <v>44905.00625</v>
      </c>
      <c r="P1015" s="49" t="n">
        <v>44904</v>
      </c>
      <c r="Q1015" s="47" t="n">
        <v>2253</v>
      </c>
      <c r="R1015" s="47" t="inlineStr">
        <is>
          <t>No Video ID yet</t>
        </is>
      </c>
      <c r="S1015" s="49" t="n"/>
      <c r="T1015" s="49" t="n"/>
      <c r="U1015" s="47" t="inlineStr">
        <is>
          <t>Go to to get PayPal Honey for free. Get your Warm Hugs Royal Candle at Take viewer survey here: Play along with us: Today J and Ben face off once more to find out who knows more about Disney’s Frozen and there is a lot on the line.. The more questions you miss, the longer you have to endure the FROZEN POLAR PLUNGE in our Rooftop Plunge Tanks… 03:38 - What does Kristoff do for a living? 04:36 - Finish the line: "Oh look at that, I've been..." 05:26 - What is the name of the trading post? 07:06 - During which season does Frozen 2 take place? 08:33 - Who's act of true love saves Anna? 09:37 - Which Disney princess attended Elsa's coronation? 10:04 - What does Olaf name the wind spirit? 14:18 - What happens to Anna before she meets Hans? 15:42 - Who is Mattias' love interest? 16:35 - Who does Anna tell to "hang in there"? 17:00 - Which element malfunctions first when Elsa awakens the spirit? 18:18 - Which other Disney movie inspired the Enchanted Forest? 19:52 - What animal does Olaf dance with in a gazebo? 21:18 - What was Anna's word for charades? 23:07 - How long was the mist over the Enchanted Forest? #supercarlinbrothers #Frozen #Disney #JvsBen</t>
        </is>
      </c>
      <c r="V1015" s="47">
        <f>IF(AND(P1015&gt;=Calendar!$K$2,P1015&lt;EDATE(Calendar!$K$2,1),OR(Calendar!$K$4="*",N1015=Calendar!$K$4)),P1015*100+COUNTIFS($P$6:$P$3267,P1015,$Q$6:$Q$3267,"&lt;="&amp;Q1015,$N$6:$N$3267,Calendar!$K$4),"")</f>
        <v/>
      </c>
      <c r="W1015" s="47">
        <f>IF(AND(B1015=Queue!$C$4,OR(Queue!$K$4="*",N1015=Queue!$K$4)),Q1015,"")</f>
        <v/>
      </c>
    </row>
    <row r="1016">
      <c r="A1016" s="38">
        <f>IF(M1016="","",HYPERLINK("https://www.youtube.com/watch?v="&amp;M1016,"▶"))</f>
        <v/>
      </c>
      <c r="B1016" s="39">
        <f>IF(C1016&lt;&gt;"",C1016,IF(P1016&lt;=IFERROR(INDEX(tblChannels[Watched Through],MATCH(N1016,tblChannels[Channel ID],0)),0),"Watched","Unwatched"))</f>
        <v/>
      </c>
      <c r="C1016" s="40" t="n"/>
      <c r="D1016" s="41" t="n"/>
      <c r="E1016" s="42" t="n">
        <v>44904.41666666666</v>
      </c>
      <c r="F1016" s="43" t="inlineStr">
        <is>
          <t>Popcorn Culture</t>
        </is>
      </c>
      <c r="G1016" t="inlineStr">
        <is>
          <t>The Jingle Bell Curve | Popcorn Culture</t>
        </is>
      </c>
      <c r="H1016" s="44" t="n">
        <v>0.04864583333333333</v>
      </c>
      <c r="I1016" s="45" t="n">
        <v>6264</v>
      </c>
      <c r="J1016" s="45" t="n">
        <v>272</v>
      </c>
      <c r="K1016" s="45" t="n">
        <v>28</v>
      </c>
      <c r="L1016" s="46" t="n"/>
      <c r="M1016" s="47" t="n"/>
      <c r="N1016" s="47" t="inlineStr">
        <is>
          <t>UCHfIbq9thHPC8yrKjAdJgDA</t>
        </is>
      </c>
      <c r="O1016" s="48" t="n">
        <v>44904.625</v>
      </c>
      <c r="P1016" s="49" t="n">
        <v>44904</v>
      </c>
      <c r="Q1016" s="47" t="n">
        <v>2252</v>
      </c>
      <c r="R1016" s="47" t="inlineStr">
        <is>
          <t>No Video ID yet</t>
        </is>
      </c>
      <c r="S1016" s="49" t="n"/>
      <c r="T1016" s="49" t="n"/>
      <c r="U1016" s="47" t="inlineStr">
        <is>
          <t>In the 157th Episode of the Pop, Ben and J discuss the cycle of sickness, Addie bein’ a lil grump, Ben fighting people pleasing-ness, Wednesday, Welcome to Wrexham, understanding sports fandom, ugly Christmas sweaters, mugs and trucks, the problem with Friends, and J’s progress with Marvel Snap. J’s Wick of the Peek: Wednesday - Ben’s Wick of the Peek: Welcome to Wrexham - Gwendoline Christie - Catherine Zeta Jones (side note: we definitely haven’t heard her name in years, the last big thing she did was in 2013) - Ryan Reynolds - Rob McElhenney - Friends - Marvel Snap - Shout Out to Therapy! Skeleton Aesthetic Philadelphia is in America The Problem with Friends Find Your Small Pond 00:00 - Intro, The Cycle Continues 03:49 - Grumpiness 12:20 - Wicks of the Peek 42:26 - Ugly Christmas Sweaters 52:04 - Ben’s Truck and Mr. C 57:04 - Friends 1:01:17 - Marvel Snap</t>
        </is>
      </c>
      <c r="V1016" s="47">
        <f>IF(AND(P1016&gt;=Calendar!$K$2,P1016&lt;EDATE(Calendar!$K$2,1),OR(Calendar!$K$4="*",N1016=Calendar!$K$4)),P1016*100+COUNTIFS($P$6:$P$3267,P1016,$Q$6:$Q$3267,"&lt;="&amp;Q1016,$N$6:$N$3267,Calendar!$K$4),"")</f>
        <v/>
      </c>
      <c r="W1016" s="47">
        <f>IF(AND(B1016=Queue!$C$4,OR(Queue!$K$4="*",N1016=Queue!$K$4)),Q1016,"")</f>
        <v/>
      </c>
    </row>
    <row r="1017">
      <c r="A1017" s="38">
        <f>IF(M1017="","",HYPERLINK("https://www.youtube.com/watch?v="&amp;M1017,"▶"))</f>
        <v/>
      </c>
      <c r="B1017" s="39">
        <f>IF(C1017&lt;&gt;"",C1017,IF(P1017&lt;=IFERROR(INDEX(tblChannels[Watched Through],MATCH(N1017,tblChannels[Channel ID],0)),0),"Watched","Unwatched"))</f>
        <v/>
      </c>
      <c r="C1017" s="40" t="n"/>
      <c r="D1017" s="41" t="n"/>
      <c r="E1017" s="42" t="n">
        <v>44902.55972222222</v>
      </c>
      <c r="F1017" s="50" t="inlineStr">
        <is>
          <t>Super Carlin Brothers</t>
        </is>
      </c>
      <c r="G1017" t="inlineStr">
        <is>
          <t>The TRUTH About Kristoff’s Parents | Frozen Film Theory</t>
        </is>
      </c>
      <c r="H1017" s="44" t="n">
        <v>0.01021990740740741</v>
      </c>
      <c r="I1017" s="45" t="n">
        <v>122754</v>
      </c>
      <c r="J1017" s="45" t="n">
        <v>6490</v>
      </c>
      <c r="K1017" s="45" t="n">
        <v>250</v>
      </c>
      <c r="L1017" s="46" t="n"/>
      <c r="M1017" s="47" t="n"/>
      <c r="N1017" s="47" t="inlineStr">
        <is>
          <t>UCKZo4N0lVPccBkSiuyVh4yg</t>
        </is>
      </c>
      <c r="O1017" s="48" t="n">
        <v>44902.76805555556</v>
      </c>
      <c r="P1017" s="49" t="n">
        <v>44902</v>
      </c>
      <c r="Q1017" s="47" t="n">
        <v>2251</v>
      </c>
      <c r="R1017" s="47" t="inlineStr">
        <is>
          <t>No Video ID yet</t>
        </is>
      </c>
      <c r="S1017" s="49" t="n"/>
      <c r="T1017" s="49" t="n"/>
      <c r="U1017" s="47" t="inlineStr">
        <is>
          <t>This episode of Super Carlin Brothers is sponsored by BetterHelp — go to to get 10% off your first month. Go to to get 20% off your first order and free shipping. Take viewer survey here: Today J takes a polar plunge into the magical world of Disney’s Frozen to find out the TRUTH about what happened to Kristoff’s parents - are they dead? Forgotten.. Or maybe just.. LOST IN THE WOODS *insert epic 80’s rock ballad music* #supercarlinbrothers #Frozen #Disney</t>
        </is>
      </c>
      <c r="V1017" s="47">
        <f>IF(AND(P1017&gt;=Calendar!$K$2,P1017&lt;EDATE(Calendar!$K$2,1),OR(Calendar!$K$4="*",N1017=Calendar!$K$4)),P1017*100+COUNTIFS($P$6:$P$3267,P1017,$Q$6:$Q$3267,"&lt;="&amp;Q1017,$N$6:$N$3267,Calendar!$K$4),"")</f>
        <v/>
      </c>
      <c r="W1017" s="47">
        <f>IF(AND(B1017=Queue!$C$4,OR(Queue!$K$4="*",N1017=Queue!$K$4)),Q1017,"")</f>
        <v/>
      </c>
    </row>
    <row r="1018">
      <c r="A1018" s="38">
        <f>IF(M1018="","",HYPERLINK("https://www.youtube.com/watch?v="&amp;M1018,"▶"))</f>
        <v/>
      </c>
      <c r="B1018" s="39">
        <f>IF(C1018&lt;&gt;"",C1018,IF(P1018&lt;=IFERROR(INDEX(tblChannels[Watched Through],MATCH(N1018,tblChannels[Channel ID],0)),0),"Watched","Unwatched"))</f>
        <v/>
      </c>
      <c r="C1018" s="40" t="n"/>
      <c r="D1018" s="41" t="n"/>
      <c r="E1018" s="42" t="n">
        <v>44901.72916666666</v>
      </c>
      <c r="F1018" s="52" t="inlineStr">
        <is>
          <t>Super Carlin Gaming</t>
        </is>
      </c>
      <c r="G1018" t="inlineStr">
        <is>
          <t>SILVER TEMPEST BEGINS |  Carlin Brothers Box Breakers S3/E1</t>
        </is>
      </c>
      <c r="H1018" s="44" t="n">
        <v>0.02967592592592593</v>
      </c>
      <c r="I1018" s="45" t="n">
        <v>3816</v>
      </c>
      <c r="J1018" s="45" t="n">
        <v>175</v>
      </c>
      <c r="K1018" s="45" t="n">
        <v>22</v>
      </c>
      <c r="L1018" s="46" t="n"/>
      <c r="M1018" s="47" t="n"/>
      <c r="N1018" s="47" t="inlineStr">
        <is>
          <t>UCor_9jRnNNZVzTuQ92PKsaQ</t>
        </is>
      </c>
      <c r="O1018" s="48" t="n">
        <v>44901.9375</v>
      </c>
      <c r="P1018" s="49" t="n">
        <v>44901</v>
      </c>
      <c r="Q1018" s="47" t="n">
        <v>2250</v>
      </c>
      <c r="R1018" s="47" t="inlineStr">
        <is>
          <t>No Video ID yet</t>
        </is>
      </c>
      <c r="S1018" s="49" t="n"/>
      <c r="T1018" s="49" t="n"/>
      <c r="U1018" s="47" t="inlineStr">
        <is>
          <t>This week we dive into the first box of Silver Tempest</t>
        </is>
      </c>
      <c r="V1018" s="47">
        <f>IF(AND(P1018&gt;=Calendar!$K$2,P1018&lt;EDATE(Calendar!$K$2,1),OR(Calendar!$K$4="*",N1018=Calendar!$K$4)),P1018*100+COUNTIFS($P$6:$P$3267,P1018,$Q$6:$Q$3267,"&lt;="&amp;Q1018,$N$6:$N$3267,Calendar!$K$4),"")</f>
        <v/>
      </c>
      <c r="W1018" s="47">
        <f>IF(AND(B1018=Queue!$C$4,OR(Queue!$K$4="*",N1018=Queue!$K$4)),Q1018,"")</f>
        <v/>
      </c>
    </row>
    <row r="1019">
      <c r="A1019" s="38">
        <f>IF(M1019="","",HYPERLINK("https://www.youtube.com/watch?v="&amp;M1019,"▶"))</f>
        <v/>
      </c>
      <c r="B1019" s="39">
        <f>IF(C1019&lt;&gt;"",C1019,IF(P1019&lt;=IFERROR(INDEX(tblChannels[Watched Through],MATCH(N1019,tblChannels[Channel ID],0)),0),"Watched","Unwatched"))</f>
        <v/>
      </c>
      <c r="C1019" s="40" t="n"/>
      <c r="D1019" s="41" t="n"/>
      <c r="E1019" s="42" t="n">
        <v>44897.67361111111</v>
      </c>
      <c r="F1019" s="50" t="inlineStr">
        <is>
          <t>Super Carlin Brothers</t>
        </is>
      </c>
      <c r="G1019" t="inlineStr">
        <is>
          <t>What If Lupin NEVER Became A Werewolf? | Harry Potter Film Theory</t>
        </is>
      </c>
      <c r="H1019" s="44" t="n">
        <v>0.01334490740740741</v>
      </c>
      <c r="I1019" s="45" t="n">
        <v>368403</v>
      </c>
      <c r="J1019" s="45" t="n">
        <v>12404</v>
      </c>
      <c r="K1019" s="45" t="n">
        <v>1107</v>
      </c>
      <c r="L1019" s="46" t="n"/>
      <c r="M1019" s="47" t="n"/>
      <c r="N1019" s="47" t="inlineStr">
        <is>
          <t>UCKZo4N0lVPccBkSiuyVh4yg</t>
        </is>
      </c>
      <c r="O1019" s="48" t="n">
        <v>44897.88194444445</v>
      </c>
      <c r="P1019" s="49" t="n">
        <v>44897</v>
      </c>
      <c r="Q1019" s="47" t="n">
        <v>2249</v>
      </c>
      <c r="R1019" s="47" t="inlineStr">
        <is>
          <t>No Video ID yet</t>
        </is>
      </c>
      <c r="S1019" s="49" t="n"/>
      <c r="T1019" s="49" t="n"/>
      <c r="U1019" s="47" t="inlineStr">
        <is>
          <t>Get 20% off your first monthly box when you sign up at Take our survey here: Today Ben dives into the Wizarding World of Harry Potter to ask What If Remus Lupin never got bit as a child by Fenrir Greyback and never became a werewolf. Would the Mauraders still become Animangus? Would they even still be friends? Would Sirius Kill Peter? Would Voldemort never rise? #supercarlinbrothers #WhatIf #HarryPotter</t>
        </is>
      </c>
      <c r="V1019" s="47">
        <f>IF(AND(P1019&gt;=Calendar!$K$2,P1019&lt;EDATE(Calendar!$K$2,1),OR(Calendar!$K$4="*",N1019=Calendar!$K$4)),P1019*100+COUNTIFS($P$6:$P$3267,P1019,$Q$6:$Q$3267,"&lt;="&amp;Q1019,$N$6:$N$3267,Calendar!$K$4),"")</f>
        <v/>
      </c>
      <c r="W1019" s="47">
        <f>IF(AND(B1019=Queue!$C$4,OR(Queue!$K$4="*",N1019=Queue!$K$4)),Q1019,"")</f>
        <v/>
      </c>
    </row>
    <row r="1020">
      <c r="A1020" s="38">
        <f>IF(M1020="","",HYPERLINK("https://www.youtube.com/watch?v="&amp;M1020,"▶"))</f>
        <v/>
      </c>
      <c r="B1020" s="39">
        <f>IF(C1020&lt;&gt;"",C1020,IF(P1020&lt;=IFERROR(INDEX(tblChannels[Watched Through],MATCH(N1020,tblChannels[Channel ID],0)),0),"Watched","Unwatched"))</f>
        <v/>
      </c>
      <c r="C1020" s="40" t="n"/>
      <c r="D1020" s="41" t="n"/>
      <c r="E1020" s="42" t="n">
        <v>44897.41666666666</v>
      </c>
      <c r="F1020" s="43" t="inlineStr">
        <is>
          <t>Popcorn Culture</t>
        </is>
      </c>
      <c r="G1020" t="inlineStr">
        <is>
          <t>Turn the Dark Off | Popcorn Culture</t>
        </is>
      </c>
      <c r="H1020" s="44" t="n">
        <v>0.04694444444444444</v>
      </c>
      <c r="I1020" s="45" t="n">
        <v>5030</v>
      </c>
      <c r="J1020" s="45" t="n">
        <v>267</v>
      </c>
      <c r="K1020" s="45" t="n">
        <v>36</v>
      </c>
      <c r="L1020" s="46" t="n"/>
      <c r="M1020" s="47" t="n"/>
      <c r="N1020" s="47" t="inlineStr">
        <is>
          <t>UCHfIbq9thHPC8yrKjAdJgDA</t>
        </is>
      </c>
      <c r="O1020" s="48" t="n">
        <v>44897.625</v>
      </c>
      <c r="P1020" s="49" t="n">
        <v>44897</v>
      </c>
      <c r="Q1020" s="47" t="n">
        <v>2248</v>
      </c>
      <c r="R1020" s="47" t="inlineStr">
        <is>
          <t>No Video ID yet</t>
        </is>
      </c>
      <c r="S1020" s="49" t="n"/>
      <c r="T1020" s="49" t="n"/>
      <c r="U1020" s="47" t="inlineStr">
        <is>
          <t>In the 156th episode of the Pop, Ben and J discuss literally everyone everywhere being sick this week, Thanksgiving shenanigans, Christmas plans, Luke turning 5, monster trucks, Build-a-Bear, gift giving, diversity in an ABC store, Personal Construct Theory, and a funny Luke quote. Onward - John Cena - Bud Light Commercial - Personal Construct Theory - How ‘bout “Yo Yo!” Everyone We Know Is Sick Medium Damp Turkey Wibbly Wobbly Traditions Laremy 00:00 - Intro, Yo-Yos, The Yuck 04:39 - Thanksgiving Shenanigans 19:53 - Luke’s Birthday and Monster Trucks 37:57 - Changing Shopping Traditions 48:57 - Libations 54:32 - Personal Construct Theory 1:02:36 - Flashlights</t>
        </is>
      </c>
      <c r="V1020" s="47">
        <f>IF(AND(P1020&gt;=Calendar!$K$2,P1020&lt;EDATE(Calendar!$K$2,1),OR(Calendar!$K$4="*",N1020=Calendar!$K$4)),P1020*100+COUNTIFS($P$6:$P$3267,P1020,$Q$6:$Q$3267,"&lt;="&amp;Q1020,$N$6:$N$3267,Calendar!$K$4),"")</f>
        <v/>
      </c>
      <c r="W1020" s="47">
        <f>IF(AND(B1020=Queue!$C$4,OR(Queue!$K$4="*",N1020=Queue!$K$4)),Q1020,"")</f>
        <v/>
      </c>
    </row>
    <row r="1021">
      <c r="A1021" s="38">
        <f>IF(M1021="","",HYPERLINK("https://www.youtube.com/watch?v="&amp;M1021,"▶"))</f>
        <v/>
      </c>
      <c r="B1021" s="39">
        <f>IF(C1021&lt;&gt;"",C1021,IF(P1021&lt;=IFERROR(INDEX(tblChannels[Watched Through],MATCH(N1021,tblChannels[Channel ID],0)),0),"Watched","Unwatched"))</f>
        <v/>
      </c>
      <c r="C1021" s="40" t="n"/>
      <c r="D1021" s="41" t="n"/>
      <c r="E1021" s="42" t="n">
        <v>44895.81875</v>
      </c>
      <c r="F1021" s="50" t="inlineStr">
        <is>
          <t>Super Carlin Brothers</t>
        </is>
      </c>
      <c r="G1021" t="inlineStr">
        <is>
          <t>The COMPLETE Pixar Theory 2022</t>
        </is>
      </c>
      <c r="H1021" s="44" t="n">
        <v>0.03328703703703704</v>
      </c>
      <c r="I1021" s="45" t="n">
        <v>2540193</v>
      </c>
      <c r="J1021" s="45" t="n">
        <v>65151</v>
      </c>
      <c r="K1021" s="45" t="n">
        <v>2719</v>
      </c>
      <c r="L1021" s="46" t="n"/>
      <c r="M1021" s="47" t="n"/>
      <c r="N1021" s="47" t="inlineStr">
        <is>
          <t>UCKZo4N0lVPccBkSiuyVh4yg</t>
        </is>
      </c>
      <c r="O1021" s="48" t="n">
        <v>44896.02708333333</v>
      </c>
      <c r="P1021" s="49" t="n">
        <v>44895</v>
      </c>
      <c r="Q1021" s="47" t="n">
        <v>2247</v>
      </c>
      <c r="R1021" s="47" t="inlineStr">
        <is>
          <t>No Video ID yet</t>
        </is>
      </c>
      <c r="S1021" s="49" t="n"/>
      <c r="T1021" s="49" t="n"/>
      <c r="U1021" s="47" t="inlineStr">
        <is>
          <t>This episode of Super Carlin Brothers is sponsored by BetterHelp — go to to get 10% off your first month. Pixar Theory Song on iTunes :: Today J dives back into the ever growing Pixar Universe to give a full breakdown of the ENTIRE Pixar Theory, from Toy Story ALL THE WAY THROUGH Lightyear, this is how it all fits together. This is the Pixar Theory #supercarlinbrothers #Pixar #PixarTheory</t>
        </is>
      </c>
      <c r="V1021" s="47">
        <f>IF(AND(P1021&gt;=Calendar!$K$2,P1021&lt;EDATE(Calendar!$K$2,1),OR(Calendar!$K$4="*",N1021=Calendar!$K$4)),P1021*100+COUNTIFS($P$6:$P$3267,P1021,$Q$6:$Q$3267,"&lt;="&amp;Q1021,$N$6:$N$3267,Calendar!$K$4),"")</f>
        <v/>
      </c>
      <c r="W1021" s="47">
        <f>IF(AND(B1021=Queue!$C$4,OR(Queue!$K$4="*",N1021=Queue!$K$4)),Q1021,"")</f>
        <v/>
      </c>
    </row>
    <row r="1022">
      <c r="A1022" s="38">
        <f>IF(M1022="","",HYPERLINK("https://www.youtube.com/watch?v="&amp;M1022,"▶"))</f>
        <v/>
      </c>
      <c r="B1022" s="39">
        <f>IF(C1022&lt;&gt;"",C1022,IF(P1022&lt;=IFERROR(INDEX(tblChannels[Watched Through],MATCH(N1022,tblChannels[Channel ID],0)),0),"Watched","Unwatched"))</f>
        <v/>
      </c>
      <c r="C1022" s="40" t="n"/>
      <c r="D1022" s="41" t="n"/>
      <c r="E1022" s="42" t="n">
        <v>44891.33333333334</v>
      </c>
      <c r="F1022" s="52" t="inlineStr">
        <is>
          <t>Super Carlin Gaming</t>
        </is>
      </c>
      <c r="G1022" t="inlineStr">
        <is>
          <t>CHAIN CUP CHAMPIONS | Bonus Gaming Preview</t>
        </is>
      </c>
      <c r="H1022" s="44" t="n">
        <v>0.0290162037037037</v>
      </c>
      <c r="I1022" s="45" t="n">
        <v>2136</v>
      </c>
      <c r="J1022" s="45" t="n">
        <v>106</v>
      </c>
      <c r="K1022" s="45" t="n">
        <v>12</v>
      </c>
      <c r="L1022" s="46" t="n"/>
      <c r="M1022" s="47" t="n"/>
      <c r="N1022" s="47" t="inlineStr">
        <is>
          <t>UCor_9jRnNNZVzTuQ92PKsaQ</t>
        </is>
      </c>
      <c r="O1022" s="48" t="n">
        <v>44891.54166666666</v>
      </c>
      <c r="P1022" s="49" t="n">
        <v>44891</v>
      </c>
      <c r="Q1022" s="47" t="n">
        <v>2246</v>
      </c>
      <c r="R1022" s="47" t="inlineStr">
        <is>
          <t>No Video ID yet</t>
        </is>
      </c>
      <c r="S1022" s="49" t="n"/>
      <c r="T1022" s="49" t="n"/>
      <c r="U1022" s="47" t="inlineStr">
        <is>
          <t>Hey Everybody! Happy Thanksgiving weekend! We normally do this show every Saturday over on patreon but we decided it was too good to keep under lock and key. So here's a little holiday treat! If you want get more bonus gaming head over to:</t>
        </is>
      </c>
      <c r="V1022" s="47">
        <f>IF(AND(P1022&gt;=Calendar!$K$2,P1022&lt;EDATE(Calendar!$K$2,1),OR(Calendar!$K$4="*",N1022=Calendar!$K$4)),P1022*100+COUNTIFS($P$6:$P$3267,P1022,$Q$6:$Q$3267,"&lt;="&amp;Q1022,$N$6:$N$3267,Calendar!$K$4),"")</f>
        <v/>
      </c>
      <c r="W1022" s="47">
        <f>IF(AND(B1022=Queue!$C$4,OR(Queue!$K$4="*",N1022=Queue!$K$4)),Q1022,"")</f>
        <v/>
      </c>
    </row>
    <row r="1023">
      <c r="A1023" s="38">
        <f>IF(M1023="","",HYPERLINK("https://www.youtube.com/watch?v="&amp;M1023,"▶"))</f>
        <v/>
      </c>
      <c r="B1023" s="39">
        <f>IF(C1023&lt;&gt;"",C1023,IF(P1023&lt;=IFERROR(INDEX(tblChannels[Watched Through],MATCH(N1023,tblChannels[Channel ID],0)),0),"Watched","Unwatched"))</f>
        <v/>
      </c>
      <c r="C1023" s="40" t="n"/>
      <c r="D1023" s="41" t="n"/>
      <c r="E1023" s="42" t="n">
        <v>44890.41666666666</v>
      </c>
      <c r="F1023" s="43" t="inlineStr">
        <is>
          <t>Popcorn Culture</t>
        </is>
      </c>
      <c r="G1023" t="inlineStr">
        <is>
          <t>Brain Crack | Popcorn Culture</t>
        </is>
      </c>
      <c r="H1023" s="44" t="n">
        <v>0.04668981481481482</v>
      </c>
      <c r="I1023" s="45" t="n">
        <v>4468</v>
      </c>
      <c r="J1023" s="45" t="n">
        <v>247</v>
      </c>
      <c r="K1023" s="45" t="n">
        <v>17</v>
      </c>
      <c r="L1023" s="46" t="n"/>
      <c r="M1023" s="47" t="n"/>
      <c r="N1023" s="47" t="inlineStr">
        <is>
          <t>UCHfIbq9thHPC8yrKjAdJgDA</t>
        </is>
      </c>
      <c r="O1023" s="48" t="n">
        <v>44890.625</v>
      </c>
      <c r="P1023" s="49" t="n">
        <v>44890</v>
      </c>
      <c r="Q1023" s="47" t="n">
        <v>2245</v>
      </c>
      <c r="R1023" s="47" t="inlineStr">
        <is>
          <t>No Video ID yet</t>
        </is>
      </c>
      <c r="S1023" s="49" t="n"/>
      <c r="T1023" s="49" t="n"/>
      <c r="U1023" s="47" t="inlineStr">
        <is>
          <t>In the 155th episode of the Pop, Ben and J discuss differences in workout effects, brain crack, supporting your partner, keeping up with all the content, con artists, and the civilization of humanity. She Hulk - Andor - WandaVision - Strange World - Wakanda Forever - Avatar: The Way of Water - Inventing Anna - Catch Me If You Can - Al Capone - USA v England FIFA - Side Note: Ben did a day later realize the word he was looking for was “precocious.” The Full Body Soreness Give It a Lunge A Little On The Gloop Gumption?? 00:00 - Intro, Effects of Workouts 15:39 - Keeping Up With Content 35:12 - Inventing Anna 59:53 - What It Means for Humanity to be Civilized</t>
        </is>
      </c>
      <c r="V1023" s="47">
        <f>IF(AND(P1023&gt;=Calendar!$K$2,P1023&lt;EDATE(Calendar!$K$2,1),OR(Calendar!$K$4="*",N1023=Calendar!$K$4)),P1023*100+COUNTIFS($P$6:$P$3267,P1023,$Q$6:$Q$3267,"&lt;="&amp;Q1023,$N$6:$N$3267,Calendar!$K$4),"")</f>
        <v/>
      </c>
      <c r="W1023" s="47">
        <f>IF(AND(B1023=Queue!$C$4,OR(Queue!$K$4="*",N1023=Queue!$K$4)),Q1023,"")</f>
        <v/>
      </c>
    </row>
    <row r="1024">
      <c r="A1024" s="38">
        <f>IF(M1024="","",HYPERLINK("https://www.youtube.com/watch?v="&amp;M1024,"▶"))</f>
        <v/>
      </c>
      <c r="B1024" s="39">
        <f>IF(C1024&lt;&gt;"",C1024,IF(P1024&lt;=IFERROR(INDEX(tblChannels[Watched Through],MATCH(N1024,tblChannels[Channel ID],0)),0),"Watched","Unwatched"))</f>
        <v/>
      </c>
      <c r="C1024" s="40" t="n"/>
      <c r="D1024" s="41" t="n"/>
      <c r="E1024" s="42" t="n">
        <v>44889.625</v>
      </c>
      <c r="F1024" s="50" t="inlineStr">
        <is>
          <t>Super Carlin Brothers</t>
        </is>
      </c>
      <c r="G1024" t="inlineStr">
        <is>
          <t>J vs Ben: HARDEST Goblet of Fire Harry Potter Trivia | PSYCHO HOT SAUCE PUNISHMENT</t>
        </is>
      </c>
      <c r="H1024" s="44" t="n">
        <v>0.02416666666666667</v>
      </c>
      <c r="I1024" s="45" t="n">
        <v>257761</v>
      </c>
      <c r="J1024" s="45" t="n">
        <v>12102</v>
      </c>
      <c r="K1024" s="45" t="n">
        <v>701</v>
      </c>
      <c r="L1024" s="46" t="n"/>
      <c r="M1024" s="47" t="n"/>
      <c r="N1024" s="47" t="inlineStr">
        <is>
          <t>UCKZo4N0lVPccBkSiuyVh4yg</t>
        </is>
      </c>
      <c r="O1024" s="48" t="n">
        <v>44889.83333333334</v>
      </c>
      <c r="P1024" s="49" t="n">
        <v>44889</v>
      </c>
      <c r="Q1024" s="47" t="n">
        <v>2244</v>
      </c>
      <c r="R1024" s="47" t="inlineStr">
        <is>
          <t>No Video ID yet</t>
        </is>
      </c>
      <c r="S1024" s="49" t="n"/>
      <c r="T1024" s="49" t="n"/>
      <c r="U1024" s="47" t="inlineStr">
        <is>
          <t>Go to to buy one annual membership and get one free! Today J and Ben faceoff once again to find out who knows more about the wizarding world, but this time every time they get a question wrong they are punished with 666,000 scoville level hotsauce… HAPPY THANKSGIVING! 02:03 - What is the name of the 4th book? 03:03 - What is the name of Barty Crouch's house elf? 04:13 - How much did Fred and George bet Ludo Bagman? 05:16 - What creature did Moody turn Malfoy into? 06:16 - Who was the Riddle's gardener? 08:19 - How long did Dudley's tongue get before Arthur shrunk it? 11:16 - Which dragon did Krum get? 12:20 - What was Rita Skeeter's animagus? 12:58 - What was not in Moody's trunk? 15:46 - What attacked Fleur in the second task? 17:11 - Who was not a player on the Bulgarian Quidditch team? 17:58 - How much did Dumbledore offer Dobby to work in the kitchens? 22:59 - What robes did Bagman wear to the Yule Ball? 26:24 - What was the answer to the Sphinx's riddle? 27:26 - What was the name of the pub in Little Hangleton? #supercarlinbrothers #HarryPotter #HotOnes</t>
        </is>
      </c>
      <c r="V1024" s="47">
        <f>IF(AND(P1024&gt;=Calendar!$K$2,P1024&lt;EDATE(Calendar!$K$2,1),OR(Calendar!$K$4="*",N1024=Calendar!$K$4)),P1024*100+COUNTIFS($P$6:$P$3267,P1024,$Q$6:$Q$3267,"&lt;="&amp;Q1024,$N$6:$N$3267,Calendar!$K$4),"")</f>
        <v/>
      </c>
      <c r="W1024" s="47">
        <f>IF(AND(B1024=Queue!$C$4,OR(Queue!$K$4="*",N1024=Queue!$K$4)),Q1024,"")</f>
        <v/>
      </c>
    </row>
    <row r="1025">
      <c r="A1025" s="38">
        <f>IF(M1025="","",HYPERLINK("https://www.youtube.com/watch?v="&amp;M1025,"▶"))</f>
        <v/>
      </c>
      <c r="B1025" s="39">
        <f>IF(C1025&lt;&gt;"",C1025,IF(P1025&lt;=IFERROR(INDEX(tblChannels[Watched Through],MATCH(N1025,tblChannels[Channel ID],0)),0),"Watched","Unwatched"))</f>
        <v/>
      </c>
      <c r="C1025" s="40" t="n"/>
      <c r="D1025" s="41" t="n"/>
      <c r="E1025" s="42" t="n">
        <v>44888.575</v>
      </c>
      <c r="F1025" s="50" t="inlineStr">
        <is>
          <t>Super Carlin Brothers</t>
        </is>
      </c>
      <c r="G1025" t="inlineStr">
        <is>
          <t>Will Hogwarts Legacy Be CANON? | Harry Potter Game Theory</t>
        </is>
      </c>
      <c r="H1025" s="44" t="n">
        <v>0.01273148148148148</v>
      </c>
      <c r="I1025" s="45" t="n">
        <v>240958</v>
      </c>
      <c r="J1025" s="45" t="n">
        <v>9316</v>
      </c>
      <c r="K1025" s="45" t="n">
        <v>989</v>
      </c>
      <c r="L1025" s="46" t="n"/>
      <c r="M1025" s="47" t="n"/>
      <c r="N1025" s="47" t="inlineStr">
        <is>
          <t>UCKZo4N0lVPccBkSiuyVh4yg</t>
        </is>
      </c>
      <c r="O1025" s="48" t="n">
        <v>44888.78333333333</v>
      </c>
      <c r="P1025" s="49" t="n">
        <v>44888</v>
      </c>
      <c r="Q1025" s="47" t="n">
        <v>2243</v>
      </c>
      <c r="R1025" s="47" t="inlineStr">
        <is>
          <t>No Video ID yet</t>
        </is>
      </c>
      <c r="S1025" s="49" t="n"/>
      <c r="T1025" s="49" t="n"/>
      <c r="U1025" s="47" t="inlineStr">
        <is>
          <t>This episode of Super Carlin Brothers is sponsored by BetterHelp — go to to get 10% off your first month. Today J dives into the Wizarding World of Harry Potter to discuss what counts as canon and if the upcoming video game: Hogwarts Legacy will add to the canon too! #supercarlinbrothers #HarryPotter #HogwartsLegacy</t>
        </is>
      </c>
      <c r="V1025" s="47">
        <f>IF(AND(P1025&gt;=Calendar!$K$2,P1025&lt;EDATE(Calendar!$K$2,1),OR(Calendar!$K$4="*",N1025=Calendar!$K$4)),P1025*100+COUNTIFS($P$6:$P$3267,P1025,$Q$6:$Q$3267,"&lt;="&amp;Q1025,$N$6:$N$3267,Calendar!$K$4),"")</f>
        <v/>
      </c>
      <c r="W1025" s="47">
        <f>IF(AND(B1025=Queue!$C$4,OR(Queue!$K$4="*",N1025=Queue!$K$4)),Q1025,"")</f>
        <v/>
      </c>
    </row>
    <row r="1026">
      <c r="A1026" s="38">
        <f>IF(M1026="","",HYPERLINK("https://www.youtube.com/watch?v="&amp;M1026,"▶"))</f>
        <v/>
      </c>
      <c r="B1026" s="39">
        <f>IF(C1026&lt;&gt;"",C1026,IF(P1026&lt;=IFERROR(INDEX(tblChannels[Watched Through],MATCH(N1026,tblChannels[Channel ID],0)),0),"Watched","Unwatched"))</f>
        <v/>
      </c>
      <c r="C1026" s="40" t="n"/>
      <c r="D1026" s="41" t="n"/>
      <c r="E1026" s="42" t="n">
        <v>44887.58333333334</v>
      </c>
      <c r="F1026" s="52" t="inlineStr">
        <is>
          <t>Super Carlin Gaming</t>
        </is>
      </c>
      <c r="G1026" t="inlineStr">
        <is>
          <t>Who Will Win an Entire Booster Box!? | Box Breakers Season 2 Finale</t>
        </is>
      </c>
      <c r="H1026" s="44" t="n">
        <v>0.03788194444444445</v>
      </c>
      <c r="I1026" s="45" t="n">
        <v>3135</v>
      </c>
      <c r="J1026" s="45" t="n">
        <v>148</v>
      </c>
      <c r="K1026" s="45" t="n">
        <v>23</v>
      </c>
      <c r="L1026" s="46" t="n"/>
      <c r="M1026" s="47" t="n"/>
      <c r="N1026" s="47" t="inlineStr">
        <is>
          <t>UCor_9jRnNNZVzTuQ92PKsaQ</t>
        </is>
      </c>
      <c r="O1026" s="48" t="n">
        <v>44887.79166666666</v>
      </c>
      <c r="P1026" s="49" t="n">
        <v>44887</v>
      </c>
      <c r="Q1026" s="47" t="n">
        <v>2242</v>
      </c>
      <c r="R1026" s="47" t="inlineStr">
        <is>
          <t>No Video ID yet</t>
        </is>
      </c>
      <c r="S1026" s="49" t="n"/>
      <c r="T1026" s="49" t="n"/>
      <c r="U1026" s="47" t="inlineStr">
        <is>
          <t>This week we continue our unboxing of Lost Origin! Who will grab today's top pull?! Who will make best use of the type advantage?!</t>
        </is>
      </c>
      <c r="V1026" s="47">
        <f>IF(AND(P1026&gt;=Calendar!$K$2,P1026&lt;EDATE(Calendar!$K$2,1),OR(Calendar!$K$4="*",N1026=Calendar!$K$4)),P1026*100+COUNTIFS($P$6:$P$3267,P1026,$Q$6:$Q$3267,"&lt;="&amp;Q1026,$N$6:$N$3267,Calendar!$K$4),"")</f>
        <v/>
      </c>
      <c r="W1026" s="47">
        <f>IF(AND(B1026=Queue!$C$4,OR(Queue!$K$4="*",N1026=Queue!$K$4)),Q1026,"")</f>
        <v/>
      </c>
    </row>
    <row r="1027">
      <c r="A1027" s="38">
        <f>IF(M1027="","",HYPERLINK("https://www.youtube.com/watch?v="&amp;M1027,"▶"))</f>
        <v/>
      </c>
      <c r="B1027" s="39">
        <f>IF(C1027&lt;&gt;"",C1027,IF(P1027&lt;=IFERROR(INDEX(tblChannels[Watched Through],MATCH(N1027,tblChannels[Channel ID],0)),0),"Watched","Unwatched"))</f>
        <v/>
      </c>
      <c r="C1027" s="40" t="n"/>
      <c r="D1027" s="41" t="n"/>
      <c r="E1027" s="42" t="n">
        <v>44883.60138888889</v>
      </c>
      <c r="F1027" s="50" t="inlineStr">
        <is>
          <t>Super Carlin Brothers</t>
        </is>
      </c>
      <c r="G1027" t="inlineStr">
        <is>
          <t>PROOF That Severus Snape Is A Vampire | Harry Potter Film Theory</t>
        </is>
      </c>
      <c r="H1027" s="44" t="n">
        <v>0.01107638888888889</v>
      </c>
      <c r="I1027" s="45" t="n">
        <v>453439</v>
      </c>
      <c r="J1027" s="45" t="n">
        <v>17353</v>
      </c>
      <c r="K1027" s="45" t="n">
        <v>2012</v>
      </c>
      <c r="L1027" s="46" t="n"/>
      <c r="M1027" s="47" t="n"/>
      <c r="N1027" s="47" t="inlineStr">
        <is>
          <t>UCKZo4N0lVPccBkSiuyVh4yg</t>
        </is>
      </c>
      <c r="O1027" s="48" t="n">
        <v>44883.80972222222</v>
      </c>
      <c r="P1027" s="49" t="n">
        <v>44883</v>
      </c>
      <c r="Q1027" s="47" t="n">
        <v>2241</v>
      </c>
      <c r="R1027" s="47" t="inlineStr">
        <is>
          <t>No Video ID yet</t>
        </is>
      </c>
      <c r="S1027" s="49" t="n"/>
      <c r="T1027" s="49" t="n"/>
      <c r="U1027" s="47" t="inlineStr">
        <is>
          <t>This episode is sponsored by BetterHelp - go to to get 10% off your first month. Get 20% off your first monthly box when you sign up at . Today Ben dives into the Wizarding World of Harry Potter to discuss everyone’s favorite potions master: Severus Snape to PROVE that he is in fact a Vampire! #supercarlinbrothers #HarryPotter #SeverusSnapeIsAVampire</t>
        </is>
      </c>
      <c r="V1027" s="47">
        <f>IF(AND(P1027&gt;=Calendar!$K$2,P1027&lt;EDATE(Calendar!$K$2,1),OR(Calendar!$K$4="*",N1027=Calendar!$K$4)),P1027*100+COUNTIFS($P$6:$P$3267,P1027,$Q$6:$Q$3267,"&lt;="&amp;Q1027,$N$6:$N$3267,Calendar!$K$4),"")</f>
        <v/>
      </c>
      <c r="W1027" s="47">
        <f>IF(AND(B1027=Queue!$C$4,OR(Queue!$K$4="*",N1027=Queue!$K$4)),Q1027,"")</f>
        <v/>
      </c>
    </row>
    <row r="1028">
      <c r="A1028" s="38">
        <f>IF(M1028="","",HYPERLINK("https://www.youtube.com/watch?v="&amp;M1028,"▶"))</f>
        <v/>
      </c>
      <c r="B1028" s="39">
        <f>IF(C1028&lt;&gt;"",C1028,IF(P1028&lt;=IFERROR(INDEX(tblChannels[Watched Through],MATCH(N1028,tblChannels[Channel ID],0)),0),"Watched","Unwatched"))</f>
        <v/>
      </c>
      <c r="C1028" s="40" t="n"/>
      <c r="D1028" s="41" t="n"/>
      <c r="E1028" s="42" t="n">
        <v>44883.41666666666</v>
      </c>
      <c r="F1028" s="43" t="inlineStr">
        <is>
          <t>Popcorn Culture</t>
        </is>
      </c>
      <c r="G1028" t="inlineStr">
        <is>
          <t>FIREDUCK | Popcorn Culture</t>
        </is>
      </c>
      <c r="H1028" s="44" t="n">
        <v>0.04606481481481482</v>
      </c>
      <c r="I1028" s="45" t="n">
        <v>5301</v>
      </c>
      <c r="J1028" s="45" t="n">
        <v>271</v>
      </c>
      <c r="K1028" s="45" t="n">
        <v>36</v>
      </c>
      <c r="L1028" s="46" t="n"/>
      <c r="M1028" s="47" t="n"/>
      <c r="N1028" s="47" t="inlineStr">
        <is>
          <t>UCHfIbq9thHPC8yrKjAdJgDA</t>
        </is>
      </c>
      <c r="O1028" s="48" t="n">
        <v>44883.625</v>
      </c>
      <c r="P1028" s="49" t="n">
        <v>44883</v>
      </c>
      <c r="Q1028" s="47" t="n">
        <v>2240</v>
      </c>
      <c r="R1028" s="47" t="inlineStr">
        <is>
          <t>No Video ID yet</t>
        </is>
      </c>
      <c r="S1028" s="49" t="n"/>
      <c r="T1028" s="49" t="n"/>
      <c r="U1028" s="47" t="inlineStr">
        <is>
          <t>In the 154th episode of the Pop, Ben and J discuss downtime, football, brain calm, the creation of games, Elon Musk taking over Twitter, and J and Ben’s new duck game, coming to a Kickstarter near you, maybe. Marvel Snap - Remember the Titans -</t>
        </is>
      </c>
      <c r="V1028" s="47">
        <f>IF(AND(P1028&gt;=Calendar!$K$2,P1028&lt;EDATE(Calendar!$K$2,1),OR(Calendar!$K$4="*",N1028=Calendar!$K$4)),P1028*100+COUNTIFS($P$6:$P$3267,P1028,$Q$6:$Q$3267,"&lt;="&amp;Q1028,$N$6:$N$3267,Calendar!$K$4),"")</f>
        <v/>
      </c>
      <c r="W1028" s="47">
        <f>IF(AND(B1028=Queue!$C$4,OR(Queue!$K$4="*",N1028=Queue!$K$4)),Q1028,"")</f>
        <v/>
      </c>
    </row>
    <row r="1029">
      <c r="A1029" s="38">
        <f>IF(M1029="","",HYPERLINK("https://www.youtube.com/watch?v="&amp;M1029,"▶"))</f>
        <v/>
      </c>
      <c r="B1029" s="39">
        <f>IF(C1029&lt;&gt;"",C1029,IF(P1029&lt;=IFERROR(INDEX(tblChannels[Watched Through],MATCH(N1029,tblChannels[Channel ID],0)),0),"Watched","Unwatched"))</f>
        <v/>
      </c>
      <c r="C1029" s="40" t="n"/>
      <c r="D1029" s="41" t="n"/>
      <c r="E1029" s="42" t="n">
        <v>44882.625</v>
      </c>
      <c r="F1029" s="52" t="inlineStr">
        <is>
          <t>Super Carlin Gaming</t>
        </is>
      </c>
      <c r="G1029" t="inlineStr">
        <is>
          <t>The Imperfect Storm |  Pokémon Legends: Arceus Nuzlocke #24</t>
        </is>
      </c>
      <c r="H1029" s="44" t="n">
        <v>0.02548611111111111</v>
      </c>
      <c r="I1029" s="45" t="n">
        <v>4124</v>
      </c>
      <c r="J1029" s="45" t="n">
        <v>235</v>
      </c>
      <c r="K1029" s="45" t="n">
        <v>49</v>
      </c>
      <c r="L1029" s="46" t="n"/>
      <c r="M1029" s="47" t="n"/>
      <c r="N1029" s="47" t="inlineStr">
        <is>
          <t>UCor_9jRnNNZVzTuQ92PKsaQ</t>
        </is>
      </c>
      <c r="O1029" s="48" t="n">
        <v>44882.83333333334</v>
      </c>
      <c r="P1029" s="49" t="n">
        <v>44882</v>
      </c>
      <c r="Q1029" s="47" t="n">
        <v>2239</v>
      </c>
      <c r="R1029" s="47" t="inlineStr">
        <is>
          <t>No Video ID yet</t>
        </is>
      </c>
      <c r="S1029" s="49" t="n"/>
      <c r="T1029" s="49" t="n"/>
      <c r="U1029" s="47" t="inlineStr">
        <is>
          <t>J and the team continue to forge their way to the end of their epic quest - but first must face off against some of the toughest fully-evolved Hisuian Pokémon yet.</t>
        </is>
      </c>
      <c r="V1029" s="47">
        <f>IF(AND(P1029&gt;=Calendar!$K$2,P1029&lt;EDATE(Calendar!$K$2,1),OR(Calendar!$K$4="*",N1029=Calendar!$K$4)),P1029*100+COUNTIFS($P$6:$P$3267,P1029,$Q$6:$Q$3267,"&lt;="&amp;Q1029,$N$6:$N$3267,Calendar!$K$4),"")</f>
        <v/>
      </c>
      <c r="W1029" s="47">
        <f>IF(AND(B1029=Queue!$C$4,OR(Queue!$K$4="*",N1029=Queue!$K$4)),Q1029,"")</f>
        <v/>
      </c>
    </row>
    <row r="1030">
      <c r="A1030" s="38">
        <f>IF(M1030="","",HYPERLINK("https://www.youtube.com/watch?v="&amp;M1030,"▶"))</f>
        <v/>
      </c>
      <c r="B1030" s="39">
        <f>IF(C1030&lt;&gt;"",C1030,IF(P1030&lt;=IFERROR(INDEX(tblChannels[Watched Through],MATCH(N1030,tblChannels[Channel ID],0)),0),"Watched","Unwatched"))</f>
        <v/>
      </c>
      <c r="C1030" s="40" t="n"/>
      <c r="D1030" s="41" t="n"/>
      <c r="E1030" s="42" t="n">
        <v>44881.725</v>
      </c>
      <c r="F1030" s="50" t="inlineStr">
        <is>
          <t>Super Carlin Brothers</t>
        </is>
      </c>
      <c r="G1030" t="inlineStr">
        <is>
          <t>Top UNANSWERED Questions From Wakanda Forever | Black Panther Marvel Film Theory</t>
        </is>
      </c>
      <c r="H1030" s="44" t="n">
        <v>0.01168981481481481</v>
      </c>
      <c r="I1030" s="45" t="n">
        <v>60510</v>
      </c>
      <c r="J1030" s="45" t="n">
        <v>2917</v>
      </c>
      <c r="K1030" s="45" t="n">
        <v>242</v>
      </c>
      <c r="L1030" s="46" t="n"/>
      <c r="M1030" s="47" t="n"/>
      <c r="N1030" s="47" t="inlineStr">
        <is>
          <t>UCKZo4N0lVPccBkSiuyVh4yg</t>
        </is>
      </c>
      <c r="O1030" s="48" t="n">
        <v>44881.93333333333</v>
      </c>
      <c r="P1030" s="49" t="n">
        <v>44881</v>
      </c>
      <c r="Q1030" s="47" t="n">
        <v>2238</v>
      </c>
      <c r="R1030" s="47" t="inlineStr">
        <is>
          <t>No Video ID yet</t>
        </is>
      </c>
      <c r="S1030" s="49" t="n"/>
      <c r="T1030" s="49" t="n"/>
      <c r="U1030" s="47" t="inlineStr">
        <is>
          <t>Get a 4-week trial, free postage, and a digital scale at Thanks to Stamps.com for sponsoring the show! Today Ben dives into the Marvel Cinematic Universe to answer all of the Top Unanswered Questions from Black Panther Wakanda Forever! Is Shuri Immortal? Is M’baku king of Wakanda? Is Namor a God? And what about Val and the Thunderbolts? #supercarlinbrothers #WakandaForever #Marvel</t>
        </is>
      </c>
      <c r="V1030" s="47">
        <f>IF(AND(P1030&gt;=Calendar!$K$2,P1030&lt;EDATE(Calendar!$K$2,1),OR(Calendar!$K$4="*",N1030=Calendar!$K$4)),P1030*100+COUNTIFS($P$6:$P$3267,P1030,$Q$6:$Q$3267,"&lt;="&amp;Q1030,$N$6:$N$3267,Calendar!$K$4),"")</f>
        <v/>
      </c>
      <c r="W1030" s="47">
        <f>IF(AND(B1030=Queue!$C$4,OR(Queue!$K$4="*",N1030=Queue!$K$4)),Q1030,"")</f>
        <v/>
      </c>
    </row>
    <row r="1031">
      <c r="A1031" s="38">
        <f>IF(M1031="","",HYPERLINK("https://www.youtube.com/watch?v="&amp;M1031,"▶"))</f>
        <v/>
      </c>
      <c r="B1031" s="39">
        <f>IF(C1031&lt;&gt;"",C1031,IF(P1031&lt;=IFERROR(INDEX(tblChannels[Watched Through],MATCH(N1031,tblChannels[Channel ID],0)),0),"Watched","Unwatched"))</f>
        <v/>
      </c>
      <c r="C1031" s="40" t="n"/>
      <c r="D1031" s="41" t="n"/>
      <c r="E1031" s="42" t="n">
        <v>44877.67152777778</v>
      </c>
      <c r="F1031" s="50" t="inlineStr">
        <is>
          <t>Super Carlin Brothers</t>
        </is>
      </c>
      <c r="G1031" t="inlineStr">
        <is>
          <t>REVIEW: Why You NEED To See Black Panther Wakanda Forever</t>
        </is>
      </c>
      <c r="H1031" s="44" t="n">
        <v>0.04402777777777778</v>
      </c>
      <c r="I1031" s="45" t="n">
        <v>66132</v>
      </c>
      <c r="J1031" s="45" t="n">
        <v>2687</v>
      </c>
      <c r="K1031" s="45" t="n">
        <v>434</v>
      </c>
      <c r="L1031" s="46" t="n"/>
      <c r="M1031" s="47" t="n"/>
      <c r="N1031" s="47" t="inlineStr">
        <is>
          <t>UCKZo4N0lVPccBkSiuyVh4yg</t>
        </is>
      </c>
      <c r="O1031" s="48" t="n">
        <v>44877.87986111111</v>
      </c>
      <c r="P1031" s="49" t="n">
        <v>44877</v>
      </c>
      <c r="Q1031" s="47" t="n">
        <v>2237</v>
      </c>
      <c r="R1031" s="47" t="inlineStr">
        <is>
          <t>No Video ID yet</t>
        </is>
      </c>
      <c r="S1031" s="49" t="n"/>
      <c r="T1031" s="49" t="n"/>
      <c r="U1031" s="47" t="inlineStr">
        <is>
          <t>Today J and Ben dive into the Marvel Cinematic Universe to discuss the final movie of phase 4: Black Panther Wakanda Forever. Easily one of the most emotional Marvel movies ever, but is that enough to carry the plot?</t>
        </is>
      </c>
      <c r="V1031" s="47">
        <f>IF(AND(P1031&gt;=Calendar!$K$2,P1031&lt;EDATE(Calendar!$K$2,1),OR(Calendar!$K$4="*",N1031=Calendar!$K$4)),P1031*100+COUNTIFS($P$6:$P$3267,P1031,$Q$6:$Q$3267,"&lt;="&amp;Q1031,$N$6:$N$3267,Calendar!$K$4),"")</f>
        <v/>
      </c>
      <c r="W1031" s="47">
        <f>IF(AND(B1031=Queue!$C$4,OR(Queue!$K$4="*",N1031=Queue!$K$4)),Q1031,"")</f>
        <v/>
      </c>
    </row>
    <row r="1032">
      <c r="A1032" s="38">
        <f>IF(M1032="","",HYPERLINK("https://www.youtube.com/watch?v="&amp;M1032,"▶"))</f>
        <v/>
      </c>
      <c r="B1032" s="39">
        <f>IF(C1032&lt;&gt;"",C1032,IF(P1032&lt;=IFERROR(INDEX(tblChannels[Watched Through],MATCH(N1032,tblChannels[Channel ID],0)),0),"Watched","Unwatched"))</f>
        <v/>
      </c>
      <c r="C1032" s="40" t="n"/>
      <c r="D1032" s="41" t="n"/>
      <c r="E1032" s="42" t="n">
        <v>44876.57638888889</v>
      </c>
      <c r="F1032" s="50" t="inlineStr">
        <is>
          <t>Super Carlin Brothers</t>
        </is>
      </c>
      <c r="G1032" t="inlineStr">
        <is>
          <t>J vs Ben: ULTIMATE Black Panther Marvel TRIVIA Quiz</t>
        </is>
      </c>
      <c r="H1032" s="44" t="n">
        <v>0.02215277777777778</v>
      </c>
      <c r="I1032" s="45" t="n">
        <v>52680</v>
      </c>
      <c r="J1032" s="45" t="n">
        <v>2370</v>
      </c>
      <c r="K1032" s="45" t="n">
        <v>210</v>
      </c>
      <c r="L1032" s="46" t="n"/>
      <c r="M1032" s="47" t="n"/>
      <c r="N1032" s="47" t="inlineStr">
        <is>
          <t>UCKZo4N0lVPccBkSiuyVh4yg</t>
        </is>
      </c>
      <c r="O1032" s="48" t="n">
        <v>44876.78472222222</v>
      </c>
      <c r="P1032" s="49" t="n">
        <v>44876</v>
      </c>
      <c r="Q1032" s="47" t="n">
        <v>2236</v>
      </c>
      <c r="R1032" s="47" t="inlineStr">
        <is>
          <t>No Video ID yet</t>
        </is>
      </c>
      <c r="S1032" s="49" t="n"/>
      <c r="T1032" s="49" t="n"/>
      <c r="U1032" s="47" t="inlineStr">
        <is>
          <t>Go to to get an extra 3 months free. Go to to cut your wireless bill to $15 a month. Today J and Ben face off once more to see who knows more about the Marvel Cinematic Universe and the hidden city of Wakana: Home of the Black Panther! 02:34 - Who challenges T'Challa at his coronation? 03:50 - What advice does Okoye give T'challa at the beginning of the movie? 06:43 - What is Stan Lee's cameo? 09:16 - What item does Klaue steal from the museum? 11:24 - Where is the casino located? 12:23 - What military branch was Ross previously in? 14:04 - What energy does the Black Panther suit store? 18:48 - What was Klaue's disguise when robbing the museum? 20:06 - Who is Killmonger's father? 21:08 - Where did Killmonger grow up? 22:17 - What are the names of the Wakandan tribes? 23:31 - What is Nakia's tribe? 24:01 - What is the name of the panther goddess? 24:54 - What is the name of the beads Wakandans wear? 26:31 - What is Shuri referring to when she says "What are thoooose?" #supercarlinbrothers #WakandaForever #Marvel</t>
        </is>
      </c>
      <c r="V1032" s="47">
        <f>IF(AND(P1032&gt;=Calendar!$K$2,P1032&lt;EDATE(Calendar!$K$2,1),OR(Calendar!$K$4="*",N1032=Calendar!$K$4)),P1032*100+COUNTIFS($P$6:$P$3267,P1032,$Q$6:$Q$3267,"&lt;="&amp;Q1032,$N$6:$N$3267,Calendar!$K$4),"")</f>
        <v/>
      </c>
      <c r="W1032" s="47">
        <f>IF(AND(B1032=Queue!$C$4,OR(Queue!$K$4="*",N1032=Queue!$K$4)),Q1032,"")</f>
        <v/>
      </c>
    </row>
    <row r="1033">
      <c r="A1033" s="38">
        <f>IF(M1033="","",HYPERLINK("https://www.youtube.com/watch?v="&amp;M1033,"▶"))</f>
        <v/>
      </c>
      <c r="B1033" s="39">
        <f>IF(C1033&lt;&gt;"",C1033,IF(P1033&lt;=IFERROR(INDEX(tblChannels[Watched Through],MATCH(N1033,tblChannels[Channel ID],0)),0),"Watched","Unwatched"))</f>
        <v/>
      </c>
      <c r="C1033" s="40" t="n"/>
      <c r="D1033" s="41" t="n"/>
      <c r="E1033" s="42" t="n">
        <v>44876.41666666666</v>
      </c>
      <c r="F1033" s="43" t="inlineStr">
        <is>
          <t>Popcorn Culture</t>
        </is>
      </c>
      <c r="G1033" t="inlineStr">
        <is>
          <t>You Look GOURD-geous | Popcorn Culture</t>
        </is>
      </c>
      <c r="H1033" s="44" t="n">
        <v>0.04775462962962963</v>
      </c>
      <c r="I1033" s="45" t="n">
        <v>5198</v>
      </c>
      <c r="J1033" s="45" t="n">
        <v>288</v>
      </c>
      <c r="K1033" s="45" t="n">
        <v>28</v>
      </c>
      <c r="L1033" s="46" t="n"/>
      <c r="M1033" s="47" t="n"/>
      <c r="N1033" s="47" t="inlineStr">
        <is>
          <t>UCHfIbq9thHPC8yrKjAdJgDA</t>
        </is>
      </c>
      <c r="O1033" s="48" t="n">
        <v>44876.625</v>
      </c>
      <c r="P1033" s="49" t="n">
        <v>44876</v>
      </c>
      <c r="Q1033" s="47" t="n">
        <v>2235</v>
      </c>
      <c r="R1033" s="47" t="inlineStr">
        <is>
          <t>No Video ID yet</t>
        </is>
      </c>
      <c r="S1033" s="49" t="n"/>
      <c r="T1033" s="49" t="n"/>
      <c r="U1033" s="47" t="inlineStr">
        <is>
          <t>In the 153rd episode of the Pop, Ben and J discuss Ben’s wedding sickness, Vegas, Weird Al, the Hokies bad season, front row seats, surprise bean plants, and Ben’s special pepper. Ocean’s Eleven - Weird Al - Albuquerque - Weird Al Biopic - Grunge Princess Did I Just Bellagio This Guy? Dive Bomb the Cellery Luke’s First Hokie Game So Now We’re Bean Farmers… You Got Pepper Jacked 00:00 - Intro, Pre-COVID Wedding Covid 07:31 - The When We Were Young Music Festival 23:40 - Weird Al Concert 31:41 - Hokie Game with Dad 53:15 - Gardening</t>
        </is>
      </c>
      <c r="V1033" s="47">
        <f>IF(AND(P1033&gt;=Calendar!$K$2,P1033&lt;EDATE(Calendar!$K$2,1),OR(Calendar!$K$4="*",N1033=Calendar!$K$4)),P1033*100+COUNTIFS($P$6:$P$3267,P1033,$Q$6:$Q$3267,"&lt;="&amp;Q1033,$N$6:$N$3267,Calendar!$K$4),"")</f>
        <v/>
      </c>
      <c r="W1033" s="47">
        <f>IF(AND(B1033=Queue!$C$4,OR(Queue!$K$4="*",N1033=Queue!$K$4)),Q1033,"")</f>
        <v/>
      </c>
    </row>
    <row r="1034">
      <c r="A1034" s="38">
        <f>IF(M1034="","",HYPERLINK("https://www.youtube.com/watch?v="&amp;M1034,"▶"))</f>
        <v/>
      </c>
      <c r="B1034" s="39">
        <f>IF(C1034&lt;&gt;"",C1034,IF(P1034&lt;=IFERROR(INDEX(tblChannels[Watched Through],MATCH(N1034,tblChannels[Channel ID],0)),0),"Watched","Unwatched"))</f>
        <v/>
      </c>
      <c r="C1034" s="40" t="n"/>
      <c r="D1034" s="41" t="n"/>
      <c r="E1034" s="42" t="n">
        <v>44875.625</v>
      </c>
      <c r="F1034" s="52" t="inlineStr">
        <is>
          <t>Super Carlin Gaming</t>
        </is>
      </c>
      <c r="G1034" t="inlineStr">
        <is>
          <t>The Most DEADLY Avalugg! |  Pokémon Legends: Arceus Nuzlocke #23</t>
        </is>
      </c>
      <c r="H1034" s="44" t="n">
        <v>0.02887731481481481</v>
      </c>
      <c r="I1034" s="45" t="n">
        <v>4360</v>
      </c>
      <c r="J1034" s="45" t="n">
        <v>253</v>
      </c>
      <c r="K1034" s="45" t="n">
        <v>47</v>
      </c>
      <c r="L1034" s="46" t="n"/>
      <c r="M1034" s="47" t="n"/>
      <c r="N1034" s="47" t="inlineStr">
        <is>
          <t>UCor_9jRnNNZVzTuQ92PKsaQ</t>
        </is>
      </c>
      <c r="O1034" s="48" t="n">
        <v>44875.83333333334</v>
      </c>
      <c r="P1034" s="49" t="n">
        <v>44875</v>
      </c>
      <c r="Q1034" s="47" t="n">
        <v>2234</v>
      </c>
      <c r="R1034" s="47" t="inlineStr">
        <is>
          <t>No Video ID yet</t>
        </is>
      </c>
      <c r="S1034" s="49" t="n"/>
      <c r="T1034" s="49" t="n"/>
      <c r="U1034" s="47" t="inlineStr">
        <is>
          <t>In today's episode, J takes on Lord of the Tundra Avalugg in an epic, icy battle that is SURE to be costly.</t>
        </is>
      </c>
      <c r="V1034" s="47">
        <f>IF(AND(P1034&gt;=Calendar!$K$2,P1034&lt;EDATE(Calendar!$K$2,1),OR(Calendar!$K$4="*",N1034=Calendar!$K$4)),P1034*100+COUNTIFS($P$6:$P$3267,P1034,$Q$6:$Q$3267,"&lt;="&amp;Q1034,$N$6:$N$3267,Calendar!$K$4),"")</f>
        <v/>
      </c>
      <c r="W1034" s="47">
        <f>IF(AND(B1034=Queue!$C$4,OR(Queue!$K$4="*",N1034=Queue!$K$4)),Q1034,"")</f>
        <v/>
      </c>
    </row>
    <row r="1035">
      <c r="A1035" s="38">
        <f>IF(M1035="","",HYPERLINK("https://www.youtube.com/watch?v="&amp;M1035,"▶"))</f>
        <v/>
      </c>
      <c r="B1035" s="39">
        <f>IF(C1035&lt;&gt;"",C1035,IF(P1035&lt;=IFERROR(INDEX(tblChannels[Watched Through],MATCH(N1035,tblChannels[Channel ID],0)),0),"Watched","Unwatched"))</f>
        <v/>
      </c>
      <c r="C1035" s="40" t="n"/>
      <c r="D1035" s="41" t="n"/>
      <c r="E1035" s="42" t="n">
        <v>44874.64097222222</v>
      </c>
      <c r="F1035" s="50" t="inlineStr">
        <is>
          <t>Super Carlin Brothers</t>
        </is>
      </c>
      <c r="G1035" t="inlineStr">
        <is>
          <t>The Movies FAILED Ron Weasley | Harry Potter Film Theory</t>
        </is>
      </c>
      <c r="H1035" s="44" t="n">
        <v>0.01178240740740741</v>
      </c>
      <c r="I1035" s="45" t="n">
        <v>346042</v>
      </c>
      <c r="J1035" s="45" t="n">
        <v>15781</v>
      </c>
      <c r="K1035" s="45" t="n">
        <v>1858</v>
      </c>
      <c r="L1035" s="46" t="n"/>
      <c r="M1035" s="47" t="n"/>
      <c r="N1035" s="47" t="inlineStr">
        <is>
          <t>UCKZo4N0lVPccBkSiuyVh4yg</t>
        </is>
      </c>
      <c r="O1035" s="48" t="n">
        <v>44874.84930555556</v>
      </c>
      <c r="P1035" s="49" t="n">
        <v>44874</v>
      </c>
      <c r="Q1035" s="47" t="n">
        <v>2233</v>
      </c>
      <c r="R1035" s="47" t="inlineStr">
        <is>
          <t>No Video ID yet</t>
        </is>
      </c>
      <c r="S1035" s="49" t="n"/>
      <c r="T1035" s="49" t="n"/>
      <c r="U1035" s="47" t="inlineStr">
        <is>
          <t>Go to to cut your wireless bill to $15 a month. Today J dives into the Wizarding World of Harry Potter to reveal how the Harry Potter movies completely and utterly failed Ron Weasley.</t>
        </is>
      </c>
      <c r="V1035" s="47">
        <f>IF(AND(P1035&gt;=Calendar!$K$2,P1035&lt;EDATE(Calendar!$K$2,1),OR(Calendar!$K$4="*",N1035=Calendar!$K$4)),P1035*100+COUNTIFS($P$6:$P$3267,P1035,$Q$6:$Q$3267,"&lt;="&amp;Q1035,$N$6:$N$3267,Calendar!$K$4),"")</f>
        <v/>
      </c>
      <c r="W1035" s="47">
        <f>IF(AND(B1035=Queue!$C$4,OR(Queue!$K$4="*",N1035=Queue!$K$4)),Q1035,"")</f>
        <v/>
      </c>
    </row>
    <row r="1036">
      <c r="A1036" s="38">
        <f>IF(M1036="","",HYPERLINK("https://www.youtube.com/watch?v="&amp;M1036,"▶"))</f>
        <v/>
      </c>
      <c r="B1036" s="39">
        <f>IF(C1036&lt;&gt;"",C1036,IF(P1036&lt;=IFERROR(INDEX(tblChannels[Watched Through],MATCH(N1036,tblChannels[Channel ID],0)),0),"Watched","Unwatched"))</f>
        <v/>
      </c>
      <c r="C1036" s="40" t="n"/>
      <c r="D1036" s="41" t="n"/>
      <c r="E1036" s="42" t="n">
        <v>44873.58333333334</v>
      </c>
      <c r="F1036" s="52" t="inlineStr">
        <is>
          <t>Super Carlin Gaming</t>
        </is>
      </c>
      <c r="G1036" t="inlineStr">
        <is>
          <t>ALT ART  PERRSERKER PULL| Carlin Brothers Box Breakers S2/E4</t>
        </is>
      </c>
      <c r="H1036" s="44" t="n">
        <v>0.03719907407407407</v>
      </c>
      <c r="I1036" s="45" t="n">
        <v>3422</v>
      </c>
      <c r="J1036" s="45" t="n">
        <v>186</v>
      </c>
      <c r="K1036" s="45" t="n">
        <v>18</v>
      </c>
      <c r="L1036" s="46" t="n"/>
      <c r="M1036" s="47" t="n"/>
      <c r="N1036" s="47" t="inlineStr">
        <is>
          <t>UCor_9jRnNNZVzTuQ92PKsaQ</t>
        </is>
      </c>
      <c r="O1036" s="48" t="n">
        <v>44873.79166666666</v>
      </c>
      <c r="P1036" s="49" t="n">
        <v>44873</v>
      </c>
      <c r="Q1036" s="47" t="n">
        <v>2232</v>
      </c>
      <c r="R1036" s="47" t="inlineStr">
        <is>
          <t>No Video ID yet</t>
        </is>
      </c>
      <c r="S1036" s="49" t="n"/>
      <c r="T1036" s="49" t="n"/>
      <c r="U1036" s="47" t="inlineStr">
        <is>
          <t>This week we continue our unboxing of Lost Origin! Who will grab today's top pull?! Who will make best use of the type advantage?!</t>
        </is>
      </c>
      <c r="V1036" s="47">
        <f>IF(AND(P1036&gt;=Calendar!$K$2,P1036&lt;EDATE(Calendar!$K$2,1),OR(Calendar!$K$4="*",N1036=Calendar!$K$4)),P1036*100+COUNTIFS($P$6:$P$3267,P1036,$Q$6:$Q$3267,"&lt;="&amp;Q1036,$N$6:$N$3267,Calendar!$K$4),"")</f>
        <v/>
      </c>
      <c r="W1036" s="47">
        <f>IF(AND(B1036=Queue!$C$4,OR(Queue!$K$4="*",N1036=Queue!$K$4)),Q1036,"")</f>
        <v/>
      </c>
    </row>
    <row r="1037">
      <c r="A1037" s="38">
        <f>IF(M1037="","",HYPERLINK("https://www.youtube.com/watch?v="&amp;M1037,"▶"))</f>
        <v/>
      </c>
      <c r="B1037" s="39">
        <f>IF(C1037&lt;&gt;"",C1037,IF(P1037&lt;=IFERROR(INDEX(tblChannels[Watched Through],MATCH(N1037,tblChannels[Channel ID],0)),0),"Watched","Unwatched"))</f>
        <v/>
      </c>
      <c r="C1037" s="40" t="n"/>
      <c r="D1037" s="41" t="n"/>
      <c r="E1037" s="42" t="n">
        <v>44869.84583333333</v>
      </c>
      <c r="F1037" s="50" t="inlineStr">
        <is>
          <t>Super Carlin Brothers</t>
        </is>
      </c>
      <c r="G1037" t="inlineStr">
        <is>
          <t>ALL FANDOM TRIVIA - November 2022</t>
        </is>
      </c>
      <c r="H1037" s="44" t="n">
        <v>0.09358796296296296</v>
      </c>
      <c r="I1037" s="45" t="n">
        <v>29121</v>
      </c>
      <c r="J1037" s="45" t="n">
        <v>728</v>
      </c>
      <c r="K1037" s="45" t="n">
        <v>47</v>
      </c>
      <c r="L1037" s="46" t="n"/>
      <c r="M1037" s="47" t="n"/>
      <c r="N1037" s="47" t="inlineStr">
        <is>
          <t>UCKZo4N0lVPccBkSiuyVh4yg</t>
        </is>
      </c>
      <c r="O1037" s="48" t="n">
        <v>44870.0125</v>
      </c>
      <c r="P1037" s="49" t="n">
        <v>44869</v>
      </c>
      <c r="Q1037" s="47" t="n">
        <v>2231</v>
      </c>
      <c r="R1037" s="47" t="inlineStr">
        <is>
          <t>No Video ID yet</t>
        </is>
      </c>
      <c r="S1037" s="49" t="n"/>
      <c r="T1037" s="49" t="n"/>
      <c r="U1037" s="47" t="inlineStr">
        <is>
          <t>Get excited for some super fun CBC product announcements! Come join us and test your knowledge of Disney, Pixar, Star Wars, Marvel, Harry Potter and Avatar the Last Airbender! If you were one of the top 5 winners email secretcarlinbrothers@gmail.com. First place winners get a choice of one animal mug. 2nd-5th place winners get a $10 gift card to Holiday Blend: Animal Mug: Crest Tankard: Chocolate Covered Oranges:</t>
        </is>
      </c>
      <c r="V1037" s="47">
        <f>IF(AND(P1037&gt;=Calendar!$K$2,P1037&lt;EDATE(Calendar!$K$2,1),OR(Calendar!$K$4="*",N1037=Calendar!$K$4)),P1037*100+COUNTIFS($P$6:$P$3267,P1037,$Q$6:$Q$3267,"&lt;="&amp;Q1037,$N$6:$N$3267,Calendar!$K$4),"")</f>
        <v/>
      </c>
      <c r="W1037" s="47">
        <f>IF(AND(B1037=Queue!$C$4,OR(Queue!$K$4="*",N1037=Queue!$K$4)),Q1037,"")</f>
        <v/>
      </c>
    </row>
    <row r="1038">
      <c r="A1038" s="38">
        <f>IF(M1038="","",HYPERLINK("https://www.youtube.com/watch?v="&amp;M1038,"▶"))</f>
        <v/>
      </c>
      <c r="B1038" s="39">
        <f>IF(C1038&lt;&gt;"",C1038,IF(P1038&lt;=IFERROR(INDEX(tblChannels[Watched Through],MATCH(N1038,tblChannels[Channel ID],0)),0),"Watched","Unwatched"))</f>
        <v/>
      </c>
      <c r="C1038" s="40" t="n"/>
      <c r="D1038" s="41" t="n"/>
      <c r="E1038" s="42" t="n">
        <v>44869.55763888889</v>
      </c>
      <c r="F1038" s="50" t="inlineStr">
        <is>
          <t>Super Carlin Brothers</t>
        </is>
      </c>
      <c r="G1038" t="inlineStr">
        <is>
          <t>Does Lightyear Prove Wall-E NEVER Happened? | Pixar Film Theory</t>
        </is>
      </c>
      <c r="H1038" s="44" t="n">
        <v>0.01087962962962963</v>
      </c>
      <c r="I1038" s="45" t="n">
        <v>115255</v>
      </c>
      <c r="J1038" s="45" t="n">
        <v>5421</v>
      </c>
      <c r="K1038" s="45" t="n">
        <v>529</v>
      </c>
      <c r="L1038" s="46" t="n"/>
      <c r="M1038" s="47" t="n"/>
      <c r="N1038" s="47" t="inlineStr">
        <is>
          <t>UCKZo4N0lVPccBkSiuyVh4yg</t>
        </is>
      </c>
      <c r="O1038" s="48" t="n">
        <v>44869.72430555556</v>
      </c>
      <c r="P1038" s="49" t="n">
        <v>44869</v>
      </c>
      <c r="Q1038" s="47" t="n">
        <v>2230</v>
      </c>
      <c r="R1038" s="47" t="inlineStr">
        <is>
          <t>No Video ID yet</t>
        </is>
      </c>
      <c r="S1038" s="49" t="n"/>
      <c r="T1038" s="49" t="n"/>
      <c r="U1038" s="47" t="inlineStr">
        <is>
          <t>Get 20% off your first monthly box when you sign up at Today dives into the world of the Pixar Theory and examines every Easter Egg in Lightyear to try and figure out if any other movies in the universe were actually just movies inside of movies! #supercarlinbrothers #Pixar #PixarTheory</t>
        </is>
      </c>
      <c r="V1038" s="47">
        <f>IF(AND(P1038&gt;=Calendar!$K$2,P1038&lt;EDATE(Calendar!$K$2,1),OR(Calendar!$K$4="*",N1038=Calendar!$K$4)),P1038*100+COUNTIFS($P$6:$P$3267,P1038,$Q$6:$Q$3267,"&lt;="&amp;Q1038,$N$6:$N$3267,Calendar!$K$4),"")</f>
        <v/>
      </c>
      <c r="W1038" s="47">
        <f>IF(AND(B1038=Queue!$C$4,OR(Queue!$K$4="*",N1038=Queue!$K$4)),Q1038,"")</f>
        <v/>
      </c>
    </row>
    <row r="1039">
      <c r="A1039" s="38">
        <f>IF(M1039="","",HYPERLINK("https://www.youtube.com/watch?v="&amp;M1039,"▶"))</f>
        <v/>
      </c>
      <c r="B1039" s="39">
        <f>IF(C1039&lt;&gt;"",C1039,IF(P1039&lt;=IFERROR(INDEX(tblChannels[Watched Through],MATCH(N1039,tblChannels[Channel ID],0)),0),"Watched","Unwatched"))</f>
        <v/>
      </c>
      <c r="C1039" s="40" t="n"/>
      <c r="D1039" s="41" t="n"/>
      <c r="E1039" s="42" t="n">
        <v>44869.42013888889</v>
      </c>
      <c r="F1039" s="43" t="inlineStr">
        <is>
          <t>Popcorn Culture</t>
        </is>
      </c>
      <c r="G1039" t="inlineStr">
        <is>
          <t>Memory Lane | Popcorn Culture</t>
        </is>
      </c>
      <c r="H1039" s="44" t="n">
        <v>0.03987268518518518</v>
      </c>
      <c r="I1039" s="45" t="n">
        <v>6597</v>
      </c>
      <c r="J1039" s="45" t="n">
        <v>357</v>
      </c>
      <c r="K1039" s="45" t="n">
        <v>36</v>
      </c>
      <c r="L1039" s="46" t="n"/>
      <c r="M1039" s="47" t="n"/>
      <c r="N1039" s="47" t="inlineStr">
        <is>
          <t>UCHfIbq9thHPC8yrKjAdJgDA</t>
        </is>
      </c>
      <c r="O1039" s="48" t="n">
        <v>44869.58680555555</v>
      </c>
      <c r="P1039" s="49" t="n">
        <v>44869</v>
      </c>
      <c r="Q1039" s="47" t="n">
        <v>2229</v>
      </c>
      <c r="R1039" s="47" t="inlineStr">
        <is>
          <t>No Video ID yet</t>
        </is>
      </c>
      <c r="S1039" s="49" t="n"/>
      <c r="T1039" s="49" t="n"/>
      <c r="U1039" s="47" t="inlineStr">
        <is>
          <t>In the 152nd episode of the Pop Ben and J discuss... well nothing because Ben is unexpectedly out of office! In the meantime, please enjoy this walk down memory lane with some of our favorite moments of Popcorn Culture over the last year. 00:00 Intros 06:54 Hand Farts 09:33 Walmart Batman 14:21 Full Contact Sledding 16:24 I Don’t Have Any Penguins 18:06 Straw to Space 20:50 The Speggi And Meatballs Diet 22:12 The Truth about Kim K 26:12 Stabbed Pretending to be a Snowman 31:47 Knocking Over A Bounce House 37:59 CROCS 42:28 Lukes Deductive Reasoning 46:20 THE KEY TO THE ODYSSEY 50:12 The Washington Dinosaurs 56:00 Fpoon 56:56 Outro</t>
        </is>
      </c>
      <c r="V1039" s="47">
        <f>IF(AND(P1039&gt;=Calendar!$K$2,P1039&lt;EDATE(Calendar!$K$2,1),OR(Calendar!$K$4="*",N1039=Calendar!$K$4)),P1039*100+COUNTIFS($P$6:$P$3267,P1039,$Q$6:$Q$3267,"&lt;="&amp;Q1039,$N$6:$N$3267,Calendar!$K$4),"")</f>
        <v/>
      </c>
      <c r="W1039" s="47">
        <f>IF(AND(B1039=Queue!$C$4,OR(Queue!$K$4="*",N1039=Queue!$K$4)),Q1039,"")</f>
        <v/>
      </c>
    </row>
    <row r="1040">
      <c r="A1040" s="38">
        <f>IF(M1040="","",HYPERLINK("https://www.youtube.com/watch?v="&amp;M1040,"▶"))</f>
        <v/>
      </c>
      <c r="B1040" s="39">
        <f>IF(C1040&lt;&gt;"",C1040,IF(P1040&lt;=IFERROR(INDEX(tblChannels[Watched Through],MATCH(N1040,tblChannels[Channel ID],0)),0),"Watched","Unwatched"))</f>
        <v/>
      </c>
      <c r="C1040" s="40" t="n"/>
      <c r="D1040" s="41" t="n"/>
      <c r="E1040" s="42" t="n">
        <v>44867.64513888889</v>
      </c>
      <c r="F1040" s="50" t="inlineStr">
        <is>
          <t>Super Carlin Brothers</t>
        </is>
      </c>
      <c r="G1040" t="inlineStr">
        <is>
          <t>The TRUTH About Emperor Zurg | Pixar Film Theory</t>
        </is>
      </c>
      <c r="H1040" s="44" t="n">
        <v>0.01010416666666667</v>
      </c>
      <c r="I1040" s="45" t="n">
        <v>137548</v>
      </c>
      <c r="J1040" s="45" t="n">
        <v>6753</v>
      </c>
      <c r="K1040" s="45" t="n">
        <v>495</v>
      </c>
      <c r="L1040" s="46" t="n"/>
      <c r="M1040" s="47" t="n"/>
      <c r="N1040" s="47" t="inlineStr">
        <is>
          <t>UCKZo4N0lVPccBkSiuyVh4yg</t>
        </is>
      </c>
      <c r="O1040" s="48" t="n">
        <v>44867.81180555555</v>
      </c>
      <c r="P1040" s="49" t="n">
        <v>44867</v>
      </c>
      <c r="Q1040" s="47" t="n">
        <v>2228</v>
      </c>
      <c r="R1040" s="47" t="inlineStr">
        <is>
          <t>No Video ID yet</t>
        </is>
      </c>
      <c r="S1040" s="49" t="n"/>
      <c r="T1040" s="49" t="n"/>
      <c r="U1040" s="47" t="inlineStr">
        <is>
          <t>Go to to get 20% off plus free shipping. Today J dives into the ever expanding world of the Pixar Theory to reveal the stunning truth about Lightyear’s infamous Villain: Evil Emperor Zurg! #supercarlinbrothers #Pixar #PixarTheory</t>
        </is>
      </c>
      <c r="V1040" s="47">
        <f>IF(AND(P1040&gt;=Calendar!$K$2,P1040&lt;EDATE(Calendar!$K$2,1),OR(Calendar!$K$4="*",N1040=Calendar!$K$4)),P1040*100+COUNTIFS($P$6:$P$3267,P1040,$Q$6:$Q$3267,"&lt;="&amp;Q1040,$N$6:$N$3267,Calendar!$K$4),"")</f>
        <v/>
      </c>
      <c r="W1040" s="47">
        <f>IF(AND(B1040=Queue!$C$4,OR(Queue!$K$4="*",N1040=Queue!$K$4)),Q1040,"")</f>
        <v/>
      </c>
    </row>
    <row r="1041">
      <c r="A1041" s="38">
        <f>IF(M1041="","",HYPERLINK("https://www.youtube.com/watch?v="&amp;M1041,"▶"))</f>
        <v/>
      </c>
      <c r="B1041" s="39">
        <f>IF(C1041&lt;&gt;"",C1041,IF(P1041&lt;=IFERROR(INDEX(tblChannels[Watched Through],MATCH(N1041,tblChannels[Channel ID],0)),0),"Watched","Unwatched"))</f>
        <v/>
      </c>
      <c r="C1041" s="40" t="n"/>
      <c r="D1041" s="41" t="n"/>
      <c r="E1041" s="42" t="n">
        <v>44867.625</v>
      </c>
      <c r="F1041" s="52" t="inlineStr">
        <is>
          <t>Super Carlin Gaming</t>
        </is>
      </c>
      <c r="G1041" t="inlineStr">
        <is>
          <t>The Great Golem of Snowpoint Temple |  Pokémon Legends: Arceus Nuzlocke #22</t>
        </is>
      </c>
      <c r="H1041" s="44" t="n">
        <v>0.02136574074074074</v>
      </c>
      <c r="I1041" s="45" t="n">
        <v>3311</v>
      </c>
      <c r="J1041" s="45" t="n">
        <v>247</v>
      </c>
      <c r="K1041" s="45" t="n">
        <v>71</v>
      </c>
      <c r="L1041" s="46" t="n"/>
      <c r="M1041" s="47" t="n"/>
      <c r="N1041" s="47" t="inlineStr">
        <is>
          <t>UCor_9jRnNNZVzTuQ92PKsaQ</t>
        </is>
      </c>
      <c r="O1041" s="48" t="n">
        <v>44867.79166666666</v>
      </c>
      <c r="P1041" s="49" t="n">
        <v>44867</v>
      </c>
      <c r="Q1041" s="47" t="n">
        <v>2227</v>
      </c>
      <c r="R1041" s="47" t="inlineStr">
        <is>
          <t>No Video ID yet</t>
        </is>
      </c>
      <c r="S1041" s="49" t="n"/>
      <c r="T1041" s="49" t="n"/>
      <c r="U1041" s="47" t="inlineStr">
        <is>
          <t>Led by their fearless Golem Gneiss, J and the team make their way through Snowpoint Temple and attempt to get to Braviary. But will an unexpected young foe halt the entire quest?</t>
        </is>
      </c>
      <c r="V1041" s="47">
        <f>IF(AND(P1041&gt;=Calendar!$K$2,P1041&lt;EDATE(Calendar!$K$2,1),OR(Calendar!$K$4="*",N1041=Calendar!$K$4)),P1041*100+COUNTIFS($P$6:$P$3267,P1041,$Q$6:$Q$3267,"&lt;="&amp;Q1041,$N$6:$N$3267,Calendar!$K$4),"")</f>
        <v/>
      </c>
      <c r="W1041" s="47">
        <f>IF(AND(B1041=Queue!$C$4,OR(Queue!$K$4="*",N1041=Queue!$K$4)),Q1041,"")</f>
        <v/>
      </c>
    </row>
    <row r="1042">
      <c r="A1042" s="38">
        <f>IF(M1042="","",HYPERLINK("https://www.youtube.com/watch?v="&amp;M1042,"▶"))</f>
        <v/>
      </c>
      <c r="B1042" s="39">
        <f>IF(C1042&lt;&gt;"",C1042,IF(P1042&lt;=IFERROR(INDEX(tblChannels[Watched Through],MATCH(N1042,tblChannels[Channel ID],0)),0),"Watched","Unwatched"))</f>
        <v/>
      </c>
      <c r="C1042" s="40" t="n"/>
      <c r="D1042" s="41" t="n"/>
      <c r="E1042" s="42" t="n">
        <v>44862.70694444444</v>
      </c>
      <c r="F1042" s="50" t="inlineStr">
        <is>
          <t>Super Carlin Brothers</t>
        </is>
      </c>
      <c r="G1042" t="inlineStr">
        <is>
          <t>PROOF That Carl Just Imagined Everything in Up | Pixar Film Theory</t>
        </is>
      </c>
      <c r="H1042" s="44" t="n">
        <v>0.01321759259259259</v>
      </c>
      <c r="I1042" s="45" t="n">
        <v>217126</v>
      </c>
      <c r="J1042" s="45" t="n">
        <v>9194</v>
      </c>
      <c r="K1042" s="45" t="n">
        <v>803</v>
      </c>
      <c r="L1042" s="46" t="n"/>
      <c r="M1042" s="47" t="n"/>
      <c r="N1042" s="47" t="inlineStr">
        <is>
          <t>UCKZo4N0lVPccBkSiuyVh4yg</t>
        </is>
      </c>
      <c r="O1042" s="48" t="n">
        <v>44862.87361111111</v>
      </c>
      <c r="P1042" s="49" t="n">
        <v>44862</v>
      </c>
      <c r="Q1042" s="47" t="n">
        <v>2226</v>
      </c>
      <c r="R1042" s="47" t="inlineStr">
        <is>
          <t>No Video ID yet</t>
        </is>
      </c>
      <c r="S1042" s="49" t="n"/>
      <c r="T1042" s="49" t="n"/>
      <c r="U1042" s="47" t="inlineStr">
        <is>
          <t>Today J dives into the ever expanding world of the Pixar Theory to reveal how a blink and you miss it easter egg in Turning Red confirms an old theory that Carl from Up was just imagining the entire trip to Paradise Falls. #supercarlinbrothers #Pixar #PixarTheory</t>
        </is>
      </c>
      <c r="V1042" s="47">
        <f>IF(AND(P1042&gt;=Calendar!$K$2,P1042&lt;EDATE(Calendar!$K$2,1),OR(Calendar!$K$4="*",N1042=Calendar!$K$4)),P1042*100+COUNTIFS($P$6:$P$3267,P1042,$Q$6:$Q$3267,"&lt;="&amp;Q1042,$N$6:$N$3267,Calendar!$K$4),"")</f>
        <v/>
      </c>
      <c r="W1042" s="47">
        <f>IF(AND(B1042=Queue!$C$4,OR(Queue!$K$4="*",N1042=Queue!$K$4)),Q1042,"")</f>
        <v/>
      </c>
    </row>
    <row r="1043">
      <c r="A1043" s="38">
        <f>IF(M1043="","",HYPERLINK("https://www.youtube.com/watch?v="&amp;M1043,"▶"))</f>
        <v/>
      </c>
      <c r="B1043" s="39">
        <f>IF(C1043&lt;&gt;"",C1043,IF(P1043&lt;=IFERROR(INDEX(tblChannels[Watched Through],MATCH(N1043,tblChannels[Channel ID],0)),0),"Watched","Unwatched"))</f>
        <v/>
      </c>
      <c r="C1043" s="40" t="n"/>
      <c r="D1043" s="41" t="n"/>
      <c r="E1043" s="42" t="n">
        <v>44862.67708333334</v>
      </c>
      <c r="F1043" s="52" t="inlineStr">
        <is>
          <t>Super Carlin Gaming</t>
        </is>
      </c>
      <c r="G1043" t="inlineStr">
        <is>
          <t>SOMEONE STRIKES GOLD | Box Breakers S2/E3</t>
        </is>
      </c>
      <c r="H1043" s="44" t="n">
        <v>0.03298611111111111</v>
      </c>
      <c r="I1043" s="45" t="n">
        <v>3274</v>
      </c>
      <c r="J1043" s="45" t="n">
        <v>169</v>
      </c>
      <c r="K1043" s="45" t="n">
        <v>26</v>
      </c>
      <c r="L1043" s="46" t="n"/>
      <c r="M1043" s="47" t="n"/>
      <c r="N1043" s="47" t="inlineStr">
        <is>
          <t>UCor_9jRnNNZVzTuQ92PKsaQ</t>
        </is>
      </c>
      <c r="O1043" s="48" t="n">
        <v>44862.84375</v>
      </c>
      <c r="P1043" s="49" t="n">
        <v>44862</v>
      </c>
      <c r="Q1043" s="47" t="n">
        <v>2225</v>
      </c>
      <c r="R1043" s="47" t="inlineStr">
        <is>
          <t>No Video ID yet</t>
        </is>
      </c>
      <c r="S1043" s="49" t="n"/>
      <c r="T1043" s="49" t="n"/>
      <c r="U1043" s="47" t="inlineStr">
        <is>
          <t>This week we continue our unboxing of Lost Origin! Who will grab today's top pull?! Who will make best use of the type advantage?!</t>
        </is>
      </c>
      <c r="V1043" s="47">
        <f>IF(AND(P1043&gt;=Calendar!$K$2,P1043&lt;EDATE(Calendar!$K$2,1),OR(Calendar!$K$4="*",N1043=Calendar!$K$4)),P1043*100+COUNTIFS($P$6:$P$3267,P1043,$Q$6:$Q$3267,"&lt;="&amp;Q1043,$N$6:$N$3267,Calendar!$K$4),"")</f>
        <v/>
      </c>
      <c r="W1043" s="47">
        <f>IF(AND(B1043=Queue!$C$4,OR(Queue!$K$4="*",N1043=Queue!$K$4)),Q1043,"")</f>
        <v/>
      </c>
    </row>
    <row r="1044">
      <c r="A1044" s="38">
        <f>IF(M1044="","",HYPERLINK("https://www.youtube.com/watch?v="&amp;M1044,"▶"))</f>
        <v/>
      </c>
      <c r="B1044" s="39">
        <f>IF(C1044&lt;&gt;"",C1044,IF(P1044&lt;=IFERROR(INDEX(tblChannels[Watched Through],MATCH(N1044,tblChannels[Channel ID],0)),0),"Watched","Unwatched"))</f>
        <v/>
      </c>
      <c r="C1044" s="40" t="n"/>
      <c r="D1044" s="41" t="n"/>
      <c r="E1044" s="42" t="n">
        <v>44862.41666666666</v>
      </c>
      <c r="F1044" s="43" t="inlineStr">
        <is>
          <t>Popcorn Culture</t>
        </is>
      </c>
      <c r="G1044" t="inlineStr">
        <is>
          <t>The Tale of Tweet Tweet | Popcorn Culture</t>
        </is>
      </c>
      <c r="H1044" s="44" t="n">
        <v>0.05096064814814815</v>
      </c>
      <c r="I1044" s="45" t="n">
        <v>7553</v>
      </c>
      <c r="J1044" s="45" t="n">
        <v>344</v>
      </c>
      <c r="K1044" s="45" t="n">
        <v>38</v>
      </c>
      <c r="L1044" s="46" t="n"/>
      <c r="M1044" s="47" t="n"/>
      <c r="N1044" s="47" t="inlineStr">
        <is>
          <t>UCHfIbq9thHPC8yrKjAdJgDA</t>
        </is>
      </c>
      <c r="O1044" s="48" t="n">
        <v>44862.58333333334</v>
      </c>
      <c r="P1044" s="49" t="n">
        <v>44862</v>
      </c>
      <c r="Q1044" s="47" t="n">
        <v>2224</v>
      </c>
      <c r="R1044" s="47" t="inlineStr">
        <is>
          <t>No Video ID yet</t>
        </is>
      </c>
      <c r="S1044" s="49" t="n"/>
      <c r="T1044" s="49" t="n"/>
      <c r="U1044" s="47" t="inlineStr">
        <is>
          <t>In the 151st episode of the Pop, Ben and J discuss being in your 30s, ATVs, snorkeling regulations, conferences, Addy’s birthday, sleeping mind emotions, crossword puzzles, Weird Al, naming the Berglund, When We Were Young, TekDeks, and Luke’s bird story. Cute Addy Video - Try Guys Crossword Puzzle Video - Inside Out - Weird Al - Coolio - When We Were Young - Extremely Goofy Movie - Dirty Thirties But What If There Are Sharks? 20 MPH High Five Crossword Brain “I Wanna Write a Bible” 00:00 - Intro, Ben’s Birthday, ATVs and Other Adventures 22:34 - Addy’s 1st Birthday 43:41 - Concerts and Music Festivals 1:05:09 - Tweet Tweet</t>
        </is>
      </c>
      <c r="V1044" s="47">
        <f>IF(AND(P1044&gt;=Calendar!$K$2,P1044&lt;EDATE(Calendar!$K$2,1),OR(Calendar!$K$4="*",N1044=Calendar!$K$4)),P1044*100+COUNTIFS($P$6:$P$3267,P1044,$Q$6:$Q$3267,"&lt;="&amp;Q1044,$N$6:$N$3267,Calendar!$K$4),"")</f>
        <v/>
      </c>
      <c r="W1044" s="47">
        <f>IF(AND(B1044=Queue!$C$4,OR(Queue!$K$4="*",N1044=Queue!$K$4)),Q1044,"")</f>
        <v/>
      </c>
    </row>
    <row r="1045">
      <c r="A1045" s="38">
        <f>IF(M1045="","",HYPERLINK("https://www.youtube.com/watch?v="&amp;M1045,"▶"))</f>
        <v/>
      </c>
      <c r="B1045" s="39">
        <f>IF(C1045&lt;&gt;"",C1045,IF(P1045&lt;=IFERROR(INDEX(tblChannels[Watched Through],MATCH(N1045,tblChannels[Channel ID],0)),0),"Watched","Unwatched"))</f>
        <v/>
      </c>
      <c r="C1045" s="40" t="n"/>
      <c r="D1045" s="41" t="n"/>
      <c r="E1045" s="42" t="n">
        <v>44861.58333333334</v>
      </c>
      <c r="F1045" s="53" t="inlineStr">
        <is>
          <t>Jonathan Carlin</t>
        </is>
      </c>
      <c r="G1045" t="inlineStr">
        <is>
          <t>Beth Runs the Chicago Marathon!</t>
        </is>
      </c>
      <c r="H1045" s="44" t="n">
        <v>0.0112962962962963</v>
      </c>
      <c r="I1045" s="45" t="n">
        <v>10951</v>
      </c>
      <c r="J1045" s="45" t="n">
        <v>640</v>
      </c>
      <c r="K1045" s="45" t="n">
        <v>57</v>
      </c>
      <c r="L1045" s="46" t="n"/>
      <c r="M1045" s="47" t="n"/>
      <c r="N1045" s="47" t="inlineStr">
        <is>
          <t>UCYPKFe86e6nm4TVUYKLsFUQ</t>
        </is>
      </c>
      <c r="O1045" s="48" t="n">
        <v>44861.75</v>
      </c>
      <c r="P1045" s="49" t="n">
        <v>44861</v>
      </c>
      <c r="Q1045" s="47" t="n">
        <v>2223</v>
      </c>
      <c r="R1045" s="47" t="inlineStr">
        <is>
          <t>No Video ID yet</t>
        </is>
      </c>
      <c r="S1045" s="49" t="n"/>
      <c r="T1045" s="49" t="n"/>
      <c r="U1045" s="47" t="inlineStr">
        <is>
          <t>This week Beth and J head to Chicago and Beth runs her first ever Marathon!! We also check out an architecture tour, a food tour, eat lots of food and J goes exploring Edited by Ethan Edghill</t>
        </is>
      </c>
      <c r="V1045" s="47">
        <f>IF(AND(P1045&gt;=Calendar!$K$2,P1045&lt;EDATE(Calendar!$K$2,1),OR(Calendar!$K$4="*",N1045=Calendar!$K$4)),P1045*100+COUNTIFS($P$6:$P$3267,P1045,$Q$6:$Q$3267,"&lt;="&amp;Q1045,$N$6:$N$3267,Calendar!$K$4),"")</f>
        <v/>
      </c>
      <c r="W1045" s="47">
        <f>IF(AND(B1045=Queue!$C$4,OR(Queue!$K$4="*",N1045=Queue!$K$4)),Q1045,"")</f>
        <v/>
      </c>
    </row>
    <row r="1046">
      <c r="A1046" s="38">
        <f>IF(M1046="","",HYPERLINK("https://www.youtube.com/watch?v="&amp;M1046,"▶"))</f>
        <v/>
      </c>
      <c r="B1046" s="39">
        <f>IF(C1046&lt;&gt;"",C1046,IF(P1046&lt;=IFERROR(INDEX(tblChannels[Watched Through],MATCH(N1046,tblChannels[Channel ID],0)),0),"Watched","Unwatched"))</f>
        <v/>
      </c>
      <c r="C1046" s="40" t="n"/>
      <c r="D1046" s="41" t="n"/>
      <c r="E1046" s="42" t="n">
        <v>44859.79861111111</v>
      </c>
      <c r="F1046" s="50" t="inlineStr">
        <is>
          <t>Super Carlin Brothers</t>
        </is>
      </c>
      <c r="G1046" t="inlineStr">
        <is>
          <t>J vs Ben: ULTIMATE Disney Villain Trivia Quiz | BEAN BOOZLED PUNISHMENT</t>
        </is>
      </c>
      <c r="H1046" s="44" t="n">
        <v>0.03391203703703704</v>
      </c>
      <c r="I1046" s="45" t="n">
        <v>235879</v>
      </c>
      <c r="J1046" s="45" t="n">
        <v>7536</v>
      </c>
      <c r="K1046" s="45" t="n">
        <v>934</v>
      </c>
      <c r="L1046" s="46" t="n"/>
      <c r="M1046" s="47" t="n"/>
      <c r="N1046" s="47" t="inlineStr">
        <is>
          <t>UCKZo4N0lVPccBkSiuyVh4yg</t>
        </is>
      </c>
      <c r="O1046" s="48" t="n">
        <v>44859.96527777778</v>
      </c>
      <c r="P1046" s="49" t="n">
        <v>44859</v>
      </c>
      <c r="Q1046" s="47" t="n">
        <v>2222</v>
      </c>
      <c r="R1046" s="47" t="inlineStr">
        <is>
          <t>No Video ID yet</t>
        </is>
      </c>
      <c r="S1046" s="49" t="n"/>
      <c r="T1046" s="49" t="n"/>
      <c r="U1046" s="47" t="inlineStr">
        <is>
          <t>Go to to get Honey for Free! Get your single flavor beans today! Today J and Ben face off once more to find out who knows the most about Disney’s most notorious characters and villains BUT if they get a question wrong, they have to eat a bean from the dreaded Bean Boozled Box! 02:57 - Who repeatedly exclaims "Off with their heads"? 04:29 - Who are Lady Tremaine's daughters? 08:55 - What is Scar's original name? 14:49 - Who is the leader of the Hun army? 17:26 - Who does not die by falling? 22:49 - What were Jafar's four wishes? 25:46 - Which Disney villain sang the lyrics "I admit..." (ff)? 26:48 - What was Jafar's title? 28:53 - What is the name of Cruella De Vil's house? 34:43 - What does Hades give to baby Hercules? 38:00 - What name is Dr. Facilier commonly know as? 39:41 - Which song needed two voice actors for the same character? 40:44 - What dish does Mother Gothel say she's going to make for Rapunzel's birthday? 42:37 - What is the name of Governor Ratcliffe's pug? 43:47 - Who is "scary beyond all reason"? #supercarlinbrothers #Disney #</t>
        </is>
      </c>
      <c r="V1046" s="47">
        <f>IF(AND(P1046&gt;=Calendar!$K$2,P1046&lt;EDATE(Calendar!$K$2,1),OR(Calendar!$K$4="*",N1046=Calendar!$K$4)),P1046*100+COUNTIFS($P$6:$P$3267,P1046,$Q$6:$Q$3267,"&lt;="&amp;Q1046,$N$6:$N$3267,Calendar!$K$4),"")</f>
        <v/>
      </c>
      <c r="W1046" s="47">
        <f>IF(AND(B1046=Queue!$C$4,OR(Queue!$K$4="*",N1046=Queue!$K$4)),Q1046,"")</f>
        <v/>
      </c>
    </row>
    <row r="1047">
      <c r="A1047" s="38">
        <f>IF(M1047="","",HYPERLINK("https://www.youtube.com/watch?v="&amp;M1047,"▶"))</f>
        <v/>
      </c>
      <c r="B1047" s="39">
        <f>IF(C1047&lt;&gt;"",C1047,IF(P1047&lt;=IFERROR(INDEX(tblChannels[Watched Through],MATCH(N1047,tblChannels[Channel ID],0)),0),"Watched","Unwatched"))</f>
        <v/>
      </c>
      <c r="C1047" s="40" t="n"/>
      <c r="D1047" s="41" t="n"/>
      <c r="E1047" s="42" t="n">
        <v>44855.83194444444</v>
      </c>
      <c r="F1047" s="50" t="inlineStr">
        <is>
          <t>Super Carlin Brothers</t>
        </is>
      </c>
      <c r="G1047" t="inlineStr">
        <is>
          <t>ALL FANDOM TRIVIA - October 2022</t>
        </is>
      </c>
      <c r="H1047" s="44" t="n">
        <v>0.07718750000000001</v>
      </c>
      <c r="I1047" s="45" t="n">
        <v>30399</v>
      </c>
      <c r="J1047" s="45" t="n">
        <v>843</v>
      </c>
      <c r="K1047" s="45" t="n">
        <v>48</v>
      </c>
      <c r="L1047" s="46" t="n"/>
      <c r="M1047" s="47" t="n"/>
      <c r="N1047" s="47" t="inlineStr">
        <is>
          <t>UCKZo4N0lVPccBkSiuyVh4yg</t>
        </is>
      </c>
      <c r="O1047" s="48" t="n">
        <v>44855.99861111111</v>
      </c>
      <c r="P1047" s="49" t="n">
        <v>44855</v>
      </c>
      <c r="Q1047" s="47" t="n">
        <v>2221</v>
      </c>
      <c r="R1047" s="47" t="inlineStr">
        <is>
          <t>No Video ID yet</t>
        </is>
      </c>
      <c r="S1047" s="49" t="n"/>
      <c r="T1047" s="49" t="n"/>
      <c r="U1047" s="47" t="inlineStr">
        <is>
          <t>Come join us and test your knowledge of Disney, Pixar, Star Wars, Marvel, Harry Potter and Avatar the Last Airbender! If you were one of the top 5 winners email secretcarlinbrothers@gmail.com.</t>
        </is>
      </c>
      <c r="V1047" s="47">
        <f>IF(AND(P1047&gt;=Calendar!$K$2,P1047&lt;EDATE(Calendar!$K$2,1),OR(Calendar!$K$4="*",N1047=Calendar!$K$4)),P1047*100+COUNTIFS($P$6:$P$3267,P1047,$Q$6:$Q$3267,"&lt;="&amp;Q1047,$N$6:$N$3267,Calendar!$K$4),"")</f>
        <v/>
      </c>
      <c r="W1047" s="47">
        <f>IF(AND(B1047=Queue!$C$4,OR(Queue!$K$4="*",N1047=Queue!$K$4)),Q1047,"")</f>
        <v/>
      </c>
    </row>
    <row r="1048">
      <c r="A1048" s="38">
        <f>IF(M1048="","",HYPERLINK("https://www.youtube.com/watch?v="&amp;M1048,"▶"))</f>
        <v/>
      </c>
      <c r="B1048" s="39">
        <f>IF(C1048&lt;&gt;"",C1048,IF(P1048&lt;=IFERROR(INDEX(tblChannels[Watched Through],MATCH(N1048,tblChannels[Channel ID],0)),0),"Watched","Unwatched"))</f>
        <v/>
      </c>
      <c r="C1048" s="40" t="n"/>
      <c r="D1048" s="41" t="n"/>
      <c r="E1048" s="42" t="n">
        <v>44855.69583333333</v>
      </c>
      <c r="F1048" s="50" t="inlineStr">
        <is>
          <t>Super Carlin Brothers</t>
        </is>
      </c>
      <c r="G1048" t="inlineStr">
        <is>
          <t>Mr. Incredible VS Luisa - Who's More Powerful? | Disney Film Theory</t>
        </is>
      </c>
      <c r="H1048" s="44" t="n">
        <v>0.01511574074074074</v>
      </c>
      <c r="I1048" s="45" t="n">
        <v>114935</v>
      </c>
      <c r="J1048" s="45" t="n">
        <v>5813</v>
      </c>
      <c r="K1048" s="45" t="n">
        <v>786</v>
      </c>
      <c r="L1048" s="46" t="n"/>
      <c r="M1048" s="47" t="n"/>
      <c r="N1048" s="47" t="inlineStr">
        <is>
          <t>UCKZo4N0lVPccBkSiuyVh4yg</t>
        </is>
      </c>
      <c r="O1048" s="48" t="n">
        <v>44855.8625</v>
      </c>
      <c r="P1048" s="49" t="n">
        <v>44855</v>
      </c>
      <c r="Q1048" s="47" t="n">
        <v>2220</v>
      </c>
      <c r="R1048" s="47" t="inlineStr">
        <is>
          <t>No Video ID yet</t>
        </is>
      </c>
      <c r="S1048" s="49" t="n"/>
      <c r="T1048" s="49" t="n"/>
      <c r="U1048" s="47" t="inlineStr">
        <is>
          <t>This episode is sponsored by BetterHelp — go to to get started with Betterhelp today. Carlin Brothers Single Flavor Beans! Today Ben dives into the world of Pixar’s Incredibles and Disney’s Encanto to find out who has the MOST SUPER Super Strength: Mr. Incredible or Luisa? #supercarlinbrothers #Disney #pixar</t>
        </is>
      </c>
      <c r="V1048" s="47">
        <f>IF(AND(P1048&gt;=Calendar!$K$2,P1048&lt;EDATE(Calendar!$K$2,1),OR(Calendar!$K$4="*",N1048=Calendar!$K$4)),P1048*100+COUNTIFS($P$6:$P$3267,P1048,$Q$6:$Q$3267,"&lt;="&amp;Q1048,$N$6:$N$3267,Calendar!$K$4),"")</f>
        <v/>
      </c>
      <c r="W1048" s="47">
        <f>IF(AND(B1048=Queue!$C$4,OR(Queue!$K$4="*",N1048=Queue!$K$4)),Q1048,"")</f>
        <v/>
      </c>
    </row>
    <row r="1049">
      <c r="A1049" s="38">
        <f>IF(M1049="","",HYPERLINK("https://www.youtube.com/watch?v="&amp;M1049,"▶"))</f>
        <v/>
      </c>
      <c r="B1049" s="39">
        <f>IF(C1049&lt;&gt;"",C1049,IF(P1049&lt;=IFERROR(INDEX(tblChannels[Watched Through],MATCH(N1049,tblChannels[Channel ID],0)),0),"Watched","Unwatched"))</f>
        <v/>
      </c>
      <c r="C1049" s="40" t="n"/>
      <c r="D1049" s="41" t="n"/>
      <c r="E1049" s="42" t="n">
        <v>44855.58333333334</v>
      </c>
      <c r="F1049" s="52" t="inlineStr">
        <is>
          <t>Super Carlin Gaming</t>
        </is>
      </c>
      <c r="G1049" t="inlineStr">
        <is>
          <t>BIG NESSA PULL FTW | Box Breakers S2/E2</t>
        </is>
      </c>
      <c r="H1049" s="44" t="n">
        <v>0.02923611111111111</v>
      </c>
      <c r="I1049" s="45" t="n">
        <v>3210</v>
      </c>
      <c r="J1049" s="45" t="n">
        <v>180</v>
      </c>
      <c r="K1049" s="45" t="n">
        <v>9</v>
      </c>
      <c r="L1049" s="46" t="n"/>
      <c r="M1049" s="47" t="n"/>
      <c r="N1049" s="47" t="inlineStr">
        <is>
          <t>UCor_9jRnNNZVzTuQ92PKsaQ</t>
        </is>
      </c>
      <c r="O1049" s="48" t="n">
        <v>44855.75</v>
      </c>
      <c r="P1049" s="49" t="n">
        <v>44855</v>
      </c>
      <c r="Q1049" s="47" t="n">
        <v>2219</v>
      </c>
      <c r="R1049" s="47" t="inlineStr">
        <is>
          <t>No Video ID yet</t>
        </is>
      </c>
      <c r="S1049" s="49" t="n"/>
      <c r="T1049" s="49" t="n"/>
      <c r="U1049" s="47" t="inlineStr">
        <is>
          <t>This week we continue our unboxing of Lost Origin! Who will grab today's top pull?! Who will make best use of the type advantage?!</t>
        </is>
      </c>
      <c r="V1049" s="47">
        <f>IF(AND(P1049&gt;=Calendar!$K$2,P1049&lt;EDATE(Calendar!$K$2,1),OR(Calendar!$K$4="*",N1049=Calendar!$K$4)),P1049*100+COUNTIFS($P$6:$P$3267,P1049,$Q$6:$Q$3267,"&lt;="&amp;Q1049,$N$6:$N$3267,Calendar!$K$4),"")</f>
        <v/>
      </c>
      <c r="W1049" s="47">
        <f>IF(AND(B1049=Queue!$C$4,OR(Queue!$K$4="*",N1049=Queue!$K$4)),Q1049,"")</f>
        <v/>
      </c>
    </row>
    <row r="1050">
      <c r="A1050" s="38">
        <f>IF(M1050="","",HYPERLINK("https://www.youtube.com/watch?v="&amp;M1050,"▶"))</f>
        <v/>
      </c>
      <c r="B1050" s="39">
        <f>IF(C1050&lt;&gt;"",C1050,IF(P1050&lt;=IFERROR(INDEX(tblChannels[Watched Through],MATCH(N1050,tblChannels[Channel ID],0)),0),"Watched","Unwatched"))</f>
        <v/>
      </c>
      <c r="C1050" s="40" t="n"/>
      <c r="D1050" s="41" t="n"/>
      <c r="E1050" s="42" t="n">
        <v>44855.41666666666</v>
      </c>
      <c r="F1050" s="43" t="inlineStr">
        <is>
          <t>Popcorn Culture</t>
        </is>
      </c>
      <c r="G1050" t="inlineStr">
        <is>
          <t>The LIVE Pop! | Popcorn Culture</t>
        </is>
      </c>
      <c r="H1050" s="44" t="n">
        <v>0.03789351851851852</v>
      </c>
      <c r="I1050" s="45" t="n">
        <v>6486</v>
      </c>
      <c r="J1050" s="45" t="n">
        <v>509</v>
      </c>
      <c r="K1050" s="45" t="n">
        <v>46</v>
      </c>
      <c r="L1050" s="46" t="n"/>
      <c r="M1050" s="47" t="n"/>
      <c r="N1050" s="47" t="inlineStr">
        <is>
          <t>UCHfIbq9thHPC8yrKjAdJgDA</t>
        </is>
      </c>
      <c r="O1050" s="48" t="n">
        <v>44855.58333333334</v>
      </c>
      <c r="P1050" s="49" t="n">
        <v>44855</v>
      </c>
      <c r="Q1050" s="47" t="n">
        <v>2218</v>
      </c>
      <c r="R1050" s="47" t="inlineStr">
        <is>
          <t>No Video ID yet</t>
        </is>
      </c>
      <c r="S1050" s="49" t="n"/>
      <c r="T1050" s="49" t="n"/>
      <c r="U1050" s="47" t="inlineStr">
        <is>
          <t>On the 150th (could not have planned that better) episode of the Pop, Ben and J LIVE discuss J’s camping chair, crocs and socks, J’s sushi, why we adventure, the mustard and ketchup shirt, the word game, talking to podcasts, gut health, “What If” research, Ben’s tattoo, Inside Out Emotions, Ducks and Dragons, and of course, Ducks in Cups. Riley’s New Emotions - Hero Forge - Thank you Go- Fest and Mast General Store for giving us the opportunity to do a live show! Disclaimer: this was called the “Fireside Stage” and as such there was a fire pit next to us, so that is where the smoke that you see is coming from. I Brought a Chair Untoppable Element of Surprise Abomination of All Foods Jushi Froze Like Ice Cream Duck Calls 00:00 - Intro, 3:55 - Linville Gorge Trip and J’s Bag of Tricks 40:33 - Q&amp;A</t>
        </is>
      </c>
      <c r="V1050" s="47">
        <f>IF(AND(P1050&gt;=Calendar!$K$2,P1050&lt;EDATE(Calendar!$K$2,1),OR(Calendar!$K$4="*",N1050=Calendar!$K$4)),P1050*100+COUNTIFS($P$6:$P$3267,P1050,$Q$6:$Q$3267,"&lt;="&amp;Q1050,$N$6:$N$3267,Calendar!$K$4),"")</f>
        <v/>
      </c>
      <c r="W1050" s="47">
        <f>IF(AND(B1050=Queue!$C$4,OR(Queue!$K$4="*",N1050=Queue!$K$4)),Q1050,"")</f>
        <v/>
      </c>
    </row>
    <row r="1051">
      <c r="A1051" s="38">
        <f>IF(M1051="","",HYPERLINK("https://www.youtube.com/watch?v="&amp;M1051,"▶"))</f>
        <v/>
      </c>
      <c r="B1051" s="39">
        <f>IF(C1051&lt;&gt;"",C1051,IF(P1051&lt;=IFERROR(INDEX(tblChannels[Watched Through],MATCH(N1051,tblChannels[Channel ID],0)),0),"Watched","Unwatched"))</f>
        <v/>
      </c>
      <c r="C1051" s="40" t="n"/>
      <c r="D1051" s="41" t="n"/>
      <c r="E1051" s="42" t="n">
        <v>44853.69027777778</v>
      </c>
      <c r="F1051" s="50" t="inlineStr">
        <is>
          <t>Super Carlin Brothers</t>
        </is>
      </c>
      <c r="G1051" t="inlineStr">
        <is>
          <t>Proof That Dumbledore NEVER Liked Snape | Harry Potter Film Theory</t>
        </is>
      </c>
      <c r="H1051" s="44" t="n">
        <v>0.01086805555555556</v>
      </c>
      <c r="I1051" s="45" t="n">
        <v>470261</v>
      </c>
      <c r="J1051" s="45" t="n">
        <v>16938</v>
      </c>
      <c r="K1051" s="45" t="n">
        <v>1661</v>
      </c>
      <c r="L1051" s="46" t="n"/>
      <c r="M1051" s="47" t="n"/>
      <c r="N1051" s="47" t="inlineStr">
        <is>
          <t>UCKZo4N0lVPccBkSiuyVh4yg</t>
        </is>
      </c>
      <c r="O1051" s="48" t="n">
        <v>44853.85694444444</v>
      </c>
      <c r="P1051" s="49" t="n">
        <v>44853</v>
      </c>
      <c r="Q1051" s="47" t="n">
        <v>2217</v>
      </c>
      <c r="R1051" s="47" t="inlineStr">
        <is>
          <t>No Video ID yet</t>
        </is>
      </c>
      <c r="S1051" s="49" t="n"/>
      <c r="T1051" s="49" t="n"/>
      <c r="U1051" s="47" t="inlineStr">
        <is>
          <t>This episode is sponsored by BetterHelp — go to to get started with Betterhelp today. Go to to get a 4-week trial, free postage, and a digital scale. Today J dives into the Wizarding World of Harry Potter to find out if Dumbledore ever really like Snape, or just respected his abilities as a Wizard and used him as a tool.</t>
        </is>
      </c>
      <c r="V1051" s="47">
        <f>IF(AND(P1051&gt;=Calendar!$K$2,P1051&lt;EDATE(Calendar!$K$2,1),OR(Calendar!$K$4="*",N1051=Calendar!$K$4)),P1051*100+COUNTIFS($P$6:$P$3267,P1051,$Q$6:$Q$3267,"&lt;="&amp;Q1051,$N$6:$N$3267,Calendar!$K$4),"")</f>
        <v/>
      </c>
      <c r="W1051" s="47">
        <f>IF(AND(B1051=Queue!$C$4,OR(Queue!$K$4="*",N1051=Queue!$K$4)),Q1051,"")</f>
        <v/>
      </c>
    </row>
    <row r="1052">
      <c r="A1052" s="38">
        <f>IF(M1052="","",HYPERLINK("https://www.youtube.com/watch?v="&amp;M1052,"▶"))</f>
        <v/>
      </c>
      <c r="B1052" s="39">
        <f>IF(C1052&lt;&gt;"",C1052,IF(P1052&lt;=IFERROR(INDEX(tblChannels[Watched Through],MATCH(N1052,tblChannels[Channel ID],0)),0),"Watched","Unwatched"))</f>
        <v/>
      </c>
      <c r="C1052" s="40" t="n"/>
      <c r="D1052" s="41" t="n"/>
      <c r="E1052" s="42" t="n">
        <v>44848.41666666666</v>
      </c>
      <c r="F1052" s="43" t="inlineStr">
        <is>
          <t>Popcorn Culture</t>
        </is>
      </c>
      <c r="G1052" t="inlineStr">
        <is>
          <t>Going Full Twain | Popcorn Culture</t>
        </is>
      </c>
      <c r="H1052" s="44" t="n">
        <v>0.0525462962962963</v>
      </c>
      <c r="I1052" s="45" t="n">
        <v>5530</v>
      </c>
      <c r="J1052" s="45" t="n">
        <v>270</v>
      </c>
      <c r="K1052" s="45" t="n">
        <v>30</v>
      </c>
      <c r="L1052" s="46" t="n"/>
      <c r="M1052" s="47" t="n"/>
      <c r="N1052" s="47" t="inlineStr">
        <is>
          <t>UCHfIbq9thHPC8yrKjAdJgDA</t>
        </is>
      </c>
      <c r="O1052" s="48" t="n">
        <v>44848.58333333334</v>
      </c>
      <c r="P1052" s="49" t="n">
        <v>44848</v>
      </c>
      <c r="Q1052" s="47" t="n">
        <v>2216</v>
      </c>
      <c r="R1052" s="47" t="inlineStr">
        <is>
          <t>No Video ID yet</t>
        </is>
      </c>
      <c r="S1052" s="49" t="n"/>
      <c r="T1052" s="49" t="n"/>
      <c r="U1052" s="47" t="inlineStr">
        <is>
          <t>On the 149th episode of the Pop Ben and J discuss Brad Pitt and Matt Damon, their terrible music education, cycle of cleaning, negative splits, sponges streak, running motivation, intelligence vs forgetfulness, and long form jokes. Go Fest Info - A FREE outdoor festival here in Roanoke on Oct. 14th-16th. We will be doing a live show Saturday the 15th at 2:00pm on the Fireside stage. Carlin Brothers Coffee will also have a booth where we will be selling coffee, candles and other goodies for the whole weekend. After the show (Saturday around 3:00) we will be hosting a meet and greet at the booth (location TBD) for a little while. We hope you can make it and can’t wait to meet you! Brad Pitt - Matt Damon - Good Will Hunting - Shania Twain Bops - Patsy Cline Biopic - Signs of Intelligence - More Bits and Bobs Organizational Optimism Sponges Streak Just Look It Up Signs of Intelligence With Fronds Like These… 00:00 - Intro, A-List Celebrities 09:51 - De-Cluttering 18:56 - Chicago Marathon Trip 25:46 - Just Look It Up 37:34 - Motivation 42:43 - Memory and Intelligence 1:06:49 - Speaking of Aquariums…</t>
        </is>
      </c>
      <c r="V1052" s="47">
        <f>IF(AND(P1052&gt;=Calendar!$K$2,P1052&lt;EDATE(Calendar!$K$2,1),OR(Calendar!$K$4="*",N1052=Calendar!$K$4)),P1052*100+COUNTIFS($P$6:$P$3267,P1052,$Q$6:$Q$3267,"&lt;="&amp;Q1052,$N$6:$N$3267,Calendar!$K$4),"")</f>
        <v/>
      </c>
      <c r="W1052" s="47">
        <f>IF(AND(B1052=Queue!$C$4,OR(Queue!$K$4="*",N1052=Queue!$K$4)),Q1052,"")</f>
        <v/>
      </c>
    </row>
    <row r="1053">
      <c r="A1053" s="38">
        <f>IF(M1053="","",HYPERLINK("https://www.youtube.com/watch?v="&amp;M1053,"▶"))</f>
        <v/>
      </c>
      <c r="B1053" s="39">
        <f>IF(C1053&lt;&gt;"",C1053,IF(P1053&lt;=IFERROR(INDEX(tblChannels[Watched Through],MATCH(N1053,tblChannels[Channel ID],0)),0),"Watched","Unwatched"))</f>
        <v/>
      </c>
      <c r="C1053" s="40" t="n"/>
      <c r="D1053" s="41" t="n"/>
      <c r="E1053" s="42" t="n">
        <v>44847.68055555555</v>
      </c>
      <c r="F1053" s="50" t="inlineStr">
        <is>
          <t>Super Carlin Brothers</t>
        </is>
      </c>
      <c r="G1053" t="inlineStr">
        <is>
          <t>What If Diary Riddle Came Back? | Harry Potter Film Theory</t>
        </is>
      </c>
      <c r="H1053" s="44" t="n">
        <v>0.01626157407407407</v>
      </c>
      <c r="I1053" s="45" t="n">
        <v>593156</v>
      </c>
      <c r="J1053" s="45" t="n">
        <v>16375</v>
      </c>
      <c r="K1053" s="45" t="n">
        <v>1696</v>
      </c>
      <c r="L1053" s="46" t="n"/>
      <c r="M1053" s="47" t="n"/>
      <c r="N1053" s="47" t="inlineStr">
        <is>
          <t>UCKZo4N0lVPccBkSiuyVh4yg</t>
        </is>
      </c>
      <c r="O1053" s="48" t="n">
        <v>44847.84722222222</v>
      </c>
      <c r="P1053" s="49" t="n">
        <v>44847</v>
      </c>
      <c r="Q1053" s="47" t="n">
        <v>2215</v>
      </c>
      <c r="R1053" s="47" t="inlineStr">
        <is>
          <t>No Video ID yet</t>
        </is>
      </c>
      <c r="S1053" s="49" t="n"/>
      <c r="T1053" s="49" t="n"/>
      <c r="U1053" s="47" t="inlineStr">
        <is>
          <t>This episode is sponsored by BetterHelp — go to to get started with Betterhelp today. Go to to get a 4-week trial, free postage, and a digital scale. Today Ben dives into the Wizarding World of Harry Potter to find out what would have happened if Tom Riddle had fully reformed in Chamber of Secrets! Would there be 2 Voldemorts? Could Harry still have defeated him? Would Tom destroy his other self?</t>
        </is>
      </c>
      <c r="V1053" s="47">
        <f>IF(AND(P1053&gt;=Calendar!$K$2,P1053&lt;EDATE(Calendar!$K$2,1),OR(Calendar!$K$4="*",N1053=Calendar!$K$4)),P1053*100+COUNTIFS($P$6:$P$3267,P1053,$Q$6:$Q$3267,"&lt;="&amp;Q1053,$N$6:$N$3267,Calendar!$K$4),"")</f>
        <v/>
      </c>
      <c r="W1053" s="47">
        <f>IF(AND(B1053=Queue!$C$4,OR(Queue!$K$4="*",N1053=Queue!$K$4)),Q1053,"")</f>
        <v/>
      </c>
    </row>
    <row r="1054">
      <c r="A1054" s="38">
        <f>IF(M1054="","",HYPERLINK("https://www.youtube.com/watch?v="&amp;M1054,"▶"))</f>
        <v/>
      </c>
      <c r="B1054" s="39">
        <f>IF(C1054&lt;&gt;"",C1054,IF(P1054&lt;=IFERROR(INDEX(tblChannels[Watched Through],MATCH(N1054,tblChannels[Channel ID],0)),0),"Watched","Unwatched"))</f>
        <v/>
      </c>
      <c r="C1054" s="40" t="n"/>
      <c r="D1054" s="41" t="n"/>
      <c r="E1054" s="42" t="n">
        <v>44846.625</v>
      </c>
      <c r="F1054" s="52" t="inlineStr">
        <is>
          <t>Super Carlin Gaming</t>
        </is>
      </c>
      <c r="G1054" t="inlineStr">
        <is>
          <t>Rise of the Dark Fox |  Pokémon Legends: Arceus Nuzlocke #21</t>
        </is>
      </c>
      <c r="H1054" s="44" t="n">
        <v>0.02837962962962963</v>
      </c>
      <c r="I1054" s="45" t="n">
        <v>5005</v>
      </c>
      <c r="J1054" s="45" t="n">
        <v>284</v>
      </c>
      <c r="K1054" s="45" t="n">
        <v>65</v>
      </c>
      <c r="L1054" s="46" t="n"/>
      <c r="M1054" s="47" t="n"/>
      <c r="N1054" s="47" t="inlineStr">
        <is>
          <t>UCor_9jRnNNZVzTuQ92PKsaQ</t>
        </is>
      </c>
      <c r="O1054" s="48" t="n">
        <v>44846.79166666666</v>
      </c>
      <c r="P1054" s="49" t="n">
        <v>44846</v>
      </c>
      <c r="Q1054" s="47" t="n">
        <v>2214</v>
      </c>
      <c r="R1054" s="47" t="inlineStr">
        <is>
          <t>No Video ID yet</t>
        </is>
      </c>
      <c r="S1054" s="49" t="n"/>
      <c r="T1054" s="49" t="n"/>
      <c r="U1054" s="47" t="inlineStr">
        <is>
          <t>J recruits MASTER NAMER BEN to help welcome some new team members as J and the team make their way across the Icelands...</t>
        </is>
      </c>
      <c r="V1054" s="47">
        <f>IF(AND(P1054&gt;=Calendar!$K$2,P1054&lt;EDATE(Calendar!$K$2,1),OR(Calendar!$K$4="*",N1054=Calendar!$K$4)),P1054*100+COUNTIFS($P$6:$P$3267,P1054,$Q$6:$Q$3267,"&lt;="&amp;Q1054,$N$6:$N$3267,Calendar!$K$4),"")</f>
        <v/>
      </c>
      <c r="W1054" s="47">
        <f>IF(AND(B1054=Queue!$C$4,OR(Queue!$K$4="*",N1054=Queue!$K$4)),Q1054,"")</f>
        <v/>
      </c>
    </row>
    <row r="1055">
      <c r="A1055" s="38">
        <f>IF(M1055="","",HYPERLINK("https://www.youtube.com/watch?v="&amp;M1055,"▶"))</f>
        <v/>
      </c>
      <c r="B1055" s="39">
        <f>IF(C1055&lt;&gt;"",C1055,IF(P1055&lt;=IFERROR(INDEX(tblChannels[Watched Through],MATCH(N1055,tblChannels[Channel ID],0)),0),"Watched","Unwatched"))</f>
        <v/>
      </c>
      <c r="C1055" s="40" t="n"/>
      <c r="D1055" s="41" t="n"/>
      <c r="E1055" s="42" t="n">
        <v>44845.68263888889</v>
      </c>
      <c r="F1055" s="50" t="inlineStr">
        <is>
          <t>Super Carlin Brothers</t>
        </is>
      </c>
      <c r="G1055" t="inlineStr">
        <is>
          <t>J vs Ben: ULTIMATE Prisoner of Azkaban Harry Potter TRIVIA Quiz</t>
        </is>
      </c>
      <c r="H1055" s="44" t="n">
        <v>0.02153935185185185</v>
      </c>
      <c r="I1055" s="45" t="n">
        <v>319989</v>
      </c>
      <c r="J1055" s="45" t="n">
        <v>8715</v>
      </c>
      <c r="K1055" s="45" t="n">
        <v>565</v>
      </c>
      <c r="L1055" s="46" t="n"/>
      <c r="M1055" s="47" t="n"/>
      <c r="N1055" s="47" t="inlineStr">
        <is>
          <t>UCKZo4N0lVPccBkSiuyVh4yg</t>
        </is>
      </c>
      <c r="O1055" s="48" t="n">
        <v>44845.84930555556</v>
      </c>
      <c r="P1055" s="49" t="n">
        <v>44845</v>
      </c>
      <c r="Q1055" s="47" t="n">
        <v>2213</v>
      </c>
      <c r="R1055" s="47" t="inlineStr">
        <is>
          <t>No Video ID yet</t>
        </is>
      </c>
      <c r="S1055" s="49" t="n"/>
      <c r="T1055" s="49" t="n"/>
      <c r="U1055" s="47" t="inlineStr">
        <is>
          <t>The first 200 people to sign up for an annual premium subscription at get 20% off. Listen to The Sandman: Act III on Audible now. Today J and Ben face off once more to find out who knows the most about Harry Potter and the Prisoner of Azkaban as they take on another ultimate trivia quiz! 02:40 - What is the name of the third book? 03:52 - What incantation banishes a Boggart? 04:36 - What insult did "Mr. Prongs" use against Snape via the Marauders map? 07:05 - Where did the Weasleys go for their summer holiday? 08:57 - What is Harry's patronus? 09:41 - Who did Aunt Marge leave her dogs with? 13:52 - What page did Snape say to turn to in the DADA class? 14:30 - Who was supposed to execute Buckbeak? 19:21 - How much does Harry pay to ride the Knight Bus? 22:26 - Which Marauder was Lupin? 22:54 - What was at the entrance to the secret passage to Honeydukes? 24:18 - What was the spell to get past said entrance? 25:44 - What was inside Dumbledore/Snape's Christmas cracker? 27:12 - What color was Scabbers' Rat tonic bottle? 27:59 - Who faces the boggart after Neville and what was the boggart?</t>
        </is>
      </c>
      <c r="V1055" s="47">
        <f>IF(AND(P1055&gt;=Calendar!$K$2,P1055&lt;EDATE(Calendar!$K$2,1),OR(Calendar!$K$4="*",N1055=Calendar!$K$4)),P1055*100+COUNTIFS($P$6:$P$3267,P1055,$Q$6:$Q$3267,"&lt;="&amp;Q1055,$N$6:$N$3267,Calendar!$K$4),"")</f>
        <v/>
      </c>
      <c r="W1055" s="47">
        <f>IF(AND(B1055=Queue!$C$4,OR(Queue!$K$4="*",N1055=Queue!$K$4)),Q1055,"")</f>
        <v/>
      </c>
    </row>
    <row r="1056">
      <c r="A1056" s="38">
        <f>IF(M1056="","",HYPERLINK("https://www.youtube.com/watch?v="&amp;M1056,"▶"))</f>
        <v/>
      </c>
      <c r="B1056" s="39">
        <f>IF(C1056&lt;&gt;"",C1056,IF(P1056&lt;=IFERROR(INDEX(tblChannels[Watched Through],MATCH(N1056,tblChannels[Channel ID],0)),0),"Watched","Unwatched"))</f>
        <v/>
      </c>
      <c r="C1056" s="40" t="n"/>
      <c r="D1056" s="41" t="n"/>
      <c r="E1056" s="42" t="n">
        <v>44841.41666666666</v>
      </c>
      <c r="F1056" s="43" t="inlineStr">
        <is>
          <t>Popcorn Culture</t>
        </is>
      </c>
      <c r="G1056" t="inlineStr">
        <is>
          <t>The Key to the Odyssey | Popcorn Culture</t>
        </is>
      </c>
      <c r="H1056" s="44" t="n">
        <v>0.04297453703703704</v>
      </c>
      <c r="I1056" s="45" t="n">
        <v>4915</v>
      </c>
      <c r="J1056" s="45" t="n">
        <v>297</v>
      </c>
      <c r="K1056" s="45" t="n">
        <v>44</v>
      </c>
      <c r="L1056" s="46" t="n"/>
      <c r="M1056" s="47" t="n"/>
      <c r="N1056" s="47" t="inlineStr">
        <is>
          <t>UCHfIbq9thHPC8yrKjAdJgDA</t>
        </is>
      </c>
      <c r="O1056" s="48" t="n">
        <v>44841.58333333334</v>
      </c>
      <c r="P1056" s="49" t="n">
        <v>44841</v>
      </c>
      <c r="Q1056" s="47" t="n">
        <v>2212</v>
      </c>
      <c r="R1056" s="47" t="inlineStr">
        <is>
          <t>No Video ID yet</t>
        </is>
      </c>
      <c r="S1056" s="49" t="n"/>
      <c r="T1056" s="49" t="n"/>
      <c r="U1056" s="47" t="inlineStr">
        <is>
          <t>In the 148th episode of the Pop, Ben and J discuss school pictures, the weirdness of taxes, block schedules, weird food combinations, weight lifting, quarterly merch announcement, J’s luckiest dice roll, Ben’s special key and other trinkets. Go Fest Info - A FREE outdoor festival here in Roanoke on Oct. 14th-16th. We will be doing a live show Saturday the 15th at 2:00pm on the Fireside stage. Carlin Brothers Coffee will also have a booth where we will be selling coffee, candles and other goodies for the whole weekend. After the show (Saturday around 3:00) we will be hosting a meet and greet at the booth (location TBD) for a little while. We hope you can make it and can’t wait to meet you! The Golden Ratio - Katniss’s Mocking Jay Pin - Quasi-Fashion Podcast The Picture Day Shirt Why Do We Do Things? Peanut Butter Pepperoni Pizza Roll Up Dirt Don’t Hurt Ducks and Dragons 00:00 - Intro, Picture Day and Taxes 21:36 - More Hiking Trip Shenanigans 37:48 - Q4 Patreon Perk 46:26 - J’s Luckiest Dice Roll and Fun Trinkets</t>
        </is>
      </c>
      <c r="V1056" s="47">
        <f>IF(AND(P1056&gt;=Calendar!$K$2,P1056&lt;EDATE(Calendar!$K$2,1),OR(Calendar!$K$4="*",N1056=Calendar!$K$4)),P1056*100+COUNTIFS($P$6:$P$3267,P1056,$Q$6:$Q$3267,"&lt;="&amp;Q1056,$N$6:$N$3267,Calendar!$K$4),"")</f>
        <v/>
      </c>
      <c r="W1056" s="47">
        <f>IF(AND(B1056=Queue!$C$4,OR(Queue!$K$4="*",N1056=Queue!$K$4)),Q1056,"")</f>
        <v/>
      </c>
    </row>
    <row r="1057">
      <c r="A1057" s="38">
        <f>IF(M1057="","",HYPERLINK("https://www.youtube.com/watch?v="&amp;M1057,"▶"))</f>
        <v/>
      </c>
      <c r="B1057" s="39">
        <f>IF(C1057&lt;&gt;"",C1057,IF(P1057&lt;=IFERROR(INDEX(tblChannels[Watched Through],MATCH(N1057,tblChannels[Channel ID],0)),0),"Watched","Unwatched"))</f>
        <v/>
      </c>
      <c r="C1057" s="40" t="n"/>
      <c r="D1057" s="41" t="n"/>
      <c r="E1057" s="42" t="n">
        <v>44840.70347222222</v>
      </c>
      <c r="F1057" s="50" t="inlineStr">
        <is>
          <t>Super Carlin Brothers</t>
        </is>
      </c>
      <c r="G1057" t="inlineStr">
        <is>
          <t>The TRUTH About the Night Voldemort Attacked - FULL TIMELINE | Harry Potter Film Theory</t>
        </is>
      </c>
      <c r="H1057" s="44" t="n">
        <v>0.01608796296296296</v>
      </c>
      <c r="I1057" s="45" t="n">
        <v>667313</v>
      </c>
      <c r="J1057" s="45" t="n">
        <v>17697</v>
      </c>
      <c r="K1057" s="45" t="n">
        <v>1810</v>
      </c>
      <c r="L1057" s="46" t="n"/>
      <c r="M1057" s="47" t="n"/>
      <c r="N1057" s="47" t="inlineStr">
        <is>
          <t>UCKZo4N0lVPccBkSiuyVh4yg</t>
        </is>
      </c>
      <c r="O1057" s="48" t="n">
        <v>44840.87013888889</v>
      </c>
      <c r="P1057" s="49" t="n">
        <v>44840</v>
      </c>
      <c r="Q1057" s="47" t="n">
        <v>2211</v>
      </c>
      <c r="R1057" s="47" t="inlineStr">
        <is>
          <t>No Video ID yet</t>
        </is>
      </c>
      <c r="S1057" s="49" t="n"/>
      <c r="T1057" s="49" t="n"/>
      <c r="U1057" s="47" t="inlineStr">
        <is>
          <t>This episode is sponsored by BetterHelp — go to to get started with Betterhelp today. Go to and use code SUPER for 20% off your first box. Today Ben dives into the Wizarding World of Harry Potter to try and figure out exactly what happened the night Harry was attacked by Voldemort - Who all showed up at the Potter's house? How did word spread so quickly? And when exactly did the Fidelius Charm actually get put on the Potters</t>
        </is>
      </c>
      <c r="V1057" s="47">
        <f>IF(AND(P1057&gt;=Calendar!$K$2,P1057&lt;EDATE(Calendar!$K$2,1),OR(Calendar!$K$4="*",N1057=Calendar!$K$4)),P1057*100+COUNTIFS($P$6:$P$3267,P1057,$Q$6:$Q$3267,"&lt;="&amp;Q1057,$N$6:$N$3267,Calendar!$K$4),"")</f>
        <v/>
      </c>
      <c r="W1057" s="47">
        <f>IF(AND(B1057=Queue!$C$4,OR(Queue!$K$4="*",N1057=Queue!$K$4)),Q1057,"")</f>
        <v/>
      </c>
    </row>
    <row r="1058">
      <c r="A1058" s="38">
        <f>IF(M1058="","",HYPERLINK("https://www.youtube.com/watch?v="&amp;M1058,"▶"))</f>
        <v/>
      </c>
      <c r="B1058" s="39">
        <f>IF(C1058&lt;&gt;"",C1058,IF(P1058&lt;=IFERROR(INDEX(tblChannels[Watched Through],MATCH(N1058,tblChannels[Channel ID],0)),0),"Watched","Unwatched"))</f>
        <v/>
      </c>
      <c r="C1058" s="40" t="n"/>
      <c r="D1058" s="41" t="n"/>
      <c r="E1058" s="42" t="n">
        <v>44839.625</v>
      </c>
      <c r="F1058" s="52" t="inlineStr">
        <is>
          <t>Super Carlin Gaming</t>
        </is>
      </c>
      <c r="G1058" t="inlineStr">
        <is>
          <t>THE GREAT SCORPION HUNT... CONTINUES?? |  Pokémon Legends: Arceus Nuzlocke #20</t>
        </is>
      </c>
      <c r="H1058" s="44" t="n">
        <v>0.0309375</v>
      </c>
      <c r="I1058" s="45" t="n">
        <v>5032</v>
      </c>
      <c r="J1058" s="45" t="n">
        <v>293</v>
      </c>
      <c r="K1058" s="45" t="n">
        <v>64</v>
      </c>
      <c r="L1058" s="46" t="n"/>
      <c r="M1058" s="47" t="n"/>
      <c r="N1058" s="47" t="inlineStr">
        <is>
          <t>UCor_9jRnNNZVzTuQ92PKsaQ</t>
        </is>
      </c>
      <c r="O1058" s="48" t="n">
        <v>44839.79166666666</v>
      </c>
      <c r="P1058" s="49" t="n">
        <v>44839</v>
      </c>
      <c r="Q1058" s="47" t="n">
        <v>2210</v>
      </c>
      <c r="R1058" s="47" t="inlineStr">
        <is>
          <t>No Video ID yet</t>
        </is>
      </c>
      <c r="S1058" s="49" t="n"/>
      <c r="T1058" s="49" t="n"/>
      <c r="U1058" s="47" t="inlineStr">
        <is>
          <t>This week J and the team work toward their next star rank AND J makes a bold return to Castaway Shore to encounter an old foe...</t>
        </is>
      </c>
      <c r="V1058" s="47">
        <f>IF(AND(P1058&gt;=Calendar!$K$2,P1058&lt;EDATE(Calendar!$K$2,1),OR(Calendar!$K$4="*",N1058=Calendar!$K$4)),P1058*100+COUNTIFS($P$6:$P$3267,P1058,$Q$6:$Q$3267,"&lt;="&amp;Q1058,$N$6:$N$3267,Calendar!$K$4),"")</f>
        <v/>
      </c>
      <c r="W1058" s="47">
        <f>IF(AND(B1058=Queue!$C$4,OR(Queue!$K$4="*",N1058=Queue!$K$4)),Q1058,"")</f>
        <v/>
      </c>
    </row>
    <row r="1059">
      <c r="A1059" s="38">
        <f>IF(M1059="","",HYPERLINK("https://www.youtube.com/watch?v="&amp;M1059,"▶"))</f>
        <v/>
      </c>
      <c r="B1059" s="39">
        <f>IF(C1059&lt;&gt;"",C1059,IF(P1059&lt;=IFERROR(INDEX(tblChannels[Watched Through],MATCH(N1059,tblChannels[Channel ID],0)),0),"Watched","Unwatched"))</f>
        <v/>
      </c>
      <c r="C1059" s="40" t="n"/>
      <c r="D1059" s="41" t="n"/>
      <c r="E1059" s="42" t="n">
        <v>44838.70763888889</v>
      </c>
      <c r="F1059" s="50" t="inlineStr">
        <is>
          <t>Super Carlin Brothers</t>
        </is>
      </c>
      <c r="G1059" t="inlineStr">
        <is>
          <t>Elsa VS Pepa - Who is More POWERFUL? | Disney Film Theory</t>
        </is>
      </c>
      <c r="H1059" s="44" t="n">
        <v>0.01119212962962963</v>
      </c>
      <c r="I1059" s="45" t="n">
        <v>100861</v>
      </c>
      <c r="J1059" s="45" t="n">
        <v>5522</v>
      </c>
      <c r="K1059" s="45" t="n">
        <v>606</v>
      </c>
      <c r="L1059" s="46" t="n"/>
      <c r="M1059" s="47" t="n"/>
      <c r="N1059" s="47" t="inlineStr">
        <is>
          <t>UCKZo4N0lVPccBkSiuyVh4yg</t>
        </is>
      </c>
      <c r="O1059" s="48" t="n">
        <v>44838.87430555555</v>
      </c>
      <c r="P1059" s="49" t="n">
        <v>44838</v>
      </c>
      <c r="Q1059" s="47" t="n">
        <v>2209</v>
      </c>
      <c r="R1059" s="47" t="inlineStr">
        <is>
          <t>No Video ID yet</t>
        </is>
      </c>
      <c r="S1059" s="49" t="n"/>
      <c r="T1059" s="49" t="n"/>
      <c r="U1059" s="47" t="inlineStr">
        <is>
          <t>This episode is sponsored by BetterHelp — go to to get started with Betterhelp today. Go to for 20% off your first order and free shipping. Today J dives into the magical world of Disney to find out who is more powerful: Elsa from Frozen or Pepa from Encanto! Both can wield the weather, but Elsa can only access ice while Pepa can control any element at all! #supercarlinbrothers #Disney #Encanto #Frozen</t>
        </is>
      </c>
      <c r="V1059" s="47">
        <f>IF(AND(P1059&gt;=Calendar!$K$2,P1059&lt;EDATE(Calendar!$K$2,1),OR(Calendar!$K$4="*",N1059=Calendar!$K$4)),P1059*100+COUNTIFS($P$6:$P$3267,P1059,$Q$6:$Q$3267,"&lt;="&amp;Q1059,$N$6:$N$3267,Calendar!$K$4),"")</f>
        <v/>
      </c>
      <c r="W1059" s="47">
        <f>IF(AND(B1059=Queue!$C$4,OR(Queue!$K$4="*",N1059=Queue!$K$4)),Q1059,"")</f>
        <v/>
      </c>
    </row>
    <row r="1060">
      <c r="A1060" s="38">
        <f>IF(M1060="","",HYPERLINK("https://www.youtube.com/watch?v="&amp;M1060,"▶"))</f>
        <v/>
      </c>
      <c r="B1060" s="39">
        <f>IF(C1060&lt;&gt;"",C1060,IF(P1060&lt;=IFERROR(INDEX(tblChannels[Watched Through],MATCH(N1060,tblChannels[Channel ID],0)),0),"Watched","Unwatched"))</f>
        <v/>
      </c>
      <c r="C1060" s="40" t="n"/>
      <c r="D1060" s="41" t="n"/>
      <c r="E1060" s="42" t="n">
        <v>44835.625</v>
      </c>
      <c r="F1060" s="52" t="inlineStr">
        <is>
          <t>Super Carlin Gaming</t>
        </is>
      </c>
      <c r="G1060" t="inlineStr">
        <is>
          <t>ENTER LOST ORIGIN! | Box Breakers S2/E1</t>
        </is>
      </c>
      <c r="H1060" s="44" t="n">
        <v>0.03966435185185185</v>
      </c>
      <c r="I1060" s="45" t="n">
        <v>4971</v>
      </c>
      <c r="J1060" s="45" t="n">
        <v>234</v>
      </c>
      <c r="K1060" s="45" t="n">
        <v>25</v>
      </c>
      <c r="L1060" s="46" t="n"/>
      <c r="M1060" s="47" t="n"/>
      <c r="N1060" s="47" t="inlineStr">
        <is>
          <t>UCor_9jRnNNZVzTuQ92PKsaQ</t>
        </is>
      </c>
      <c r="O1060" s="48" t="n">
        <v>44835.79166666666</v>
      </c>
      <c r="P1060" s="49" t="n">
        <v>44835</v>
      </c>
      <c r="Q1060" s="47" t="n">
        <v>2208</v>
      </c>
      <c r="R1060" s="47" t="inlineStr">
        <is>
          <t>No Video ID yet</t>
        </is>
      </c>
      <c r="S1060" s="49" t="n"/>
      <c r="T1060" s="49" t="n"/>
      <c r="U1060" s="47" t="inlineStr">
        <is>
          <t>This week we kick off season 2 of Box Breakers with a BRAND NEW SET: LOST ORIGIN!</t>
        </is>
      </c>
      <c r="V1060" s="47">
        <f>IF(AND(P1060&gt;=Calendar!$K$2,P1060&lt;EDATE(Calendar!$K$2,1),OR(Calendar!$K$4="*",N1060=Calendar!$K$4)),P1060*100+COUNTIFS($P$6:$P$3267,P1060,$Q$6:$Q$3267,"&lt;="&amp;Q1060,$N$6:$N$3267,Calendar!$K$4),"")</f>
        <v/>
      </c>
      <c r="W1060" s="47">
        <f>IF(AND(B1060=Queue!$C$4,OR(Queue!$K$4="*",N1060=Queue!$K$4)),Q1060,"")</f>
        <v/>
      </c>
    </row>
    <row r="1061">
      <c r="A1061" s="38">
        <f>IF(M1061="","",HYPERLINK("https://www.youtube.com/watch?v="&amp;M1061,"▶"))</f>
        <v/>
      </c>
      <c r="B1061" s="39">
        <f>IF(C1061&lt;&gt;"",C1061,IF(P1061&lt;=IFERROR(INDEX(tblChannels[Watched Through],MATCH(N1061,tblChannels[Channel ID],0)),0),"Watched","Unwatched"))</f>
        <v/>
      </c>
      <c r="C1061" s="40" t="n"/>
      <c r="D1061" s="41" t="n"/>
      <c r="E1061" s="42" t="n">
        <v>44834.41666666666</v>
      </c>
      <c r="F1061" s="43" t="inlineStr">
        <is>
          <t>Popcorn Culture</t>
        </is>
      </c>
      <c r="G1061" t="inlineStr">
        <is>
          <t>Bear Attack!! | Popcorn Culture</t>
        </is>
      </c>
      <c r="H1061" s="44" t="n">
        <v>0.04332175925925926</v>
      </c>
      <c r="I1061" s="45" t="n">
        <v>5473</v>
      </c>
      <c r="J1061" s="45" t="n">
        <v>319</v>
      </c>
      <c r="K1061" s="45" t="n">
        <v>24</v>
      </c>
      <c r="L1061" s="46" t="n"/>
      <c r="M1061" s="47" t="n"/>
      <c r="N1061" s="47" t="inlineStr">
        <is>
          <t>UCHfIbq9thHPC8yrKjAdJgDA</t>
        </is>
      </c>
      <c r="O1061" s="48" t="n">
        <v>44834.58333333334</v>
      </c>
      <c r="P1061" s="49" t="n">
        <v>44834</v>
      </c>
      <c r="Q1061" s="47" t="n">
        <v>2207</v>
      </c>
      <c r="R1061" s="47" t="inlineStr">
        <is>
          <t>No Video ID yet</t>
        </is>
      </c>
      <c r="S1061" s="49" t="n"/>
      <c r="T1061" s="49" t="n"/>
      <c r="U1061" s="47" t="inlineStr">
        <is>
          <t>In the 147th episode of the Pop, Ben and J discuss their hike with the GMA, crocs, go fest (see below), reality TV, conflict resolution, and Name of the Windvember. Go Fest Info - A FREE outdoor festival here in Roanoke on Oct. 14th-16th. We will be doing a live show Saturday the 15th at 2:00pm on the Fireside stage. Carlin Brothers Coffee will also have a booth where we will be selling coffee, candles and other goodies for the whole weekend. After the show (Saturday around 3:00) we will be hosting a meet and greet at the booth (location TBD) for a little while. We hope you can make it and can’t wait to meet you! Crocs: Go Fest: Join the Go Fest discord server: Love Island: Name of the Wind: Ben’s Wick of the Peek - Reality TV Lessons J’s Wick of the Peek - Bachelor In Paradise: The GMA Adventure Waterfalling The Advil Break Our Worlds Have Been Croc’d Everything You Do Is Wrong Reality TV Wisdom The Freshest Ground 00:00 - Intro, The GMA adventure 35:45 - Reality TV Wisdom</t>
        </is>
      </c>
      <c r="V1061" s="47">
        <f>IF(AND(P1061&gt;=Calendar!$K$2,P1061&lt;EDATE(Calendar!$K$2,1),OR(Calendar!$K$4="*",N1061=Calendar!$K$4)),P1061*100+COUNTIFS($P$6:$P$3267,P1061,$Q$6:$Q$3267,"&lt;="&amp;Q1061,$N$6:$N$3267,Calendar!$K$4),"")</f>
        <v/>
      </c>
      <c r="W1061" s="47">
        <f>IF(AND(B1061=Queue!$C$4,OR(Queue!$K$4="*",N1061=Queue!$K$4)),Q1061,"")</f>
        <v/>
      </c>
    </row>
    <row r="1062">
      <c r="A1062" s="38">
        <f>IF(M1062="","",HYPERLINK("https://www.youtube.com/watch?v="&amp;M1062,"▶"))</f>
        <v/>
      </c>
      <c r="B1062" s="39">
        <f>IF(C1062&lt;&gt;"",C1062,IF(P1062&lt;=IFERROR(INDEX(tblChannels[Watched Through],MATCH(N1062,tblChannels[Channel ID],0)),0),"Watched","Unwatched"))</f>
        <v/>
      </c>
      <c r="C1062" s="40" t="n"/>
      <c r="D1062" s="41" t="n"/>
      <c r="E1062" s="42" t="n">
        <v>44833.63541666666</v>
      </c>
      <c r="F1062" s="50" t="inlineStr">
        <is>
          <t>Super Carlin Brothers</t>
        </is>
      </c>
      <c r="G1062" t="inlineStr">
        <is>
          <t>What If Mirabel Never Hugged Isabela? | Encanto Film Theory</t>
        </is>
      </c>
      <c r="H1062" s="44" t="n">
        <v>0.01063657407407407</v>
      </c>
      <c r="I1062" s="45" t="n">
        <v>191849</v>
      </c>
      <c r="J1062" s="45" t="n">
        <v>6988</v>
      </c>
      <c r="K1062" s="45" t="n">
        <v>531</v>
      </c>
      <c r="L1062" s="46" t="n"/>
      <c r="M1062" s="47" t="n"/>
      <c r="N1062" s="47" t="inlineStr">
        <is>
          <t>UCKZo4N0lVPccBkSiuyVh4yg</t>
        </is>
      </c>
      <c r="O1062" s="48" t="n">
        <v>44833.80208333334</v>
      </c>
      <c r="P1062" s="49" t="n">
        <v>44833</v>
      </c>
      <c r="Q1062" s="47" t="n">
        <v>2206</v>
      </c>
      <c r="R1062" s="47" t="inlineStr">
        <is>
          <t>No Video ID yet</t>
        </is>
      </c>
      <c r="S1062" s="49" t="n"/>
      <c r="T1062" s="49" t="n"/>
      <c r="U1062" s="47" t="inlineStr">
        <is>
          <t>This episode is sponsored by BetterHelp — go to to get started with BetterHelp today. Today Ben dives into the fantastical and magical world of the Family Madrigal and Disney’s Encanto to find out what would happen if Mirabel never embraced Isabela to try and save the Miracle! Would Casita ever fall? Would it ever recover? Would Abuela be happy? #supercarlinbrothers #WhatIf #Encanto</t>
        </is>
      </c>
      <c r="V1062" s="47">
        <f>IF(AND(P1062&gt;=Calendar!$K$2,P1062&lt;EDATE(Calendar!$K$2,1),OR(Calendar!$K$4="*",N1062=Calendar!$K$4)),P1062*100+COUNTIFS($P$6:$P$3267,P1062,$Q$6:$Q$3267,"&lt;="&amp;Q1062,$N$6:$N$3267,Calendar!$K$4),"")</f>
        <v/>
      </c>
      <c r="W1062" s="47">
        <f>IF(AND(B1062=Queue!$C$4,OR(Queue!$K$4="*",N1062=Queue!$K$4)),Q1062,"")</f>
        <v/>
      </c>
    </row>
    <row r="1063">
      <c r="A1063" s="38">
        <f>IF(M1063="","",HYPERLINK("https://www.youtube.com/watch?v="&amp;M1063,"▶"))</f>
        <v/>
      </c>
      <c r="B1063" s="39">
        <f>IF(C1063&lt;&gt;"",C1063,IF(P1063&lt;=IFERROR(INDEX(tblChannels[Watched Through],MATCH(N1063,tblChannels[Channel ID],0)),0),"Watched","Unwatched"))</f>
        <v/>
      </c>
      <c r="C1063" s="40" t="n"/>
      <c r="D1063" s="41" t="n"/>
      <c r="E1063" s="42" t="n">
        <v>44832.625</v>
      </c>
      <c r="F1063" s="52" t="inlineStr">
        <is>
          <t>Super Carlin Gaming</t>
        </is>
      </c>
      <c r="G1063" t="inlineStr">
        <is>
          <t>WE FOUND A SHINY!!! |  Pokémon Legends: Arceus Nuzlocke #19</t>
        </is>
      </c>
      <c r="H1063" s="44" t="n">
        <v>0.02700231481481482</v>
      </c>
      <c r="I1063" s="45" t="n">
        <v>5233</v>
      </c>
      <c r="J1063" s="45" t="n">
        <v>308</v>
      </c>
      <c r="K1063" s="45" t="n">
        <v>58</v>
      </c>
      <c r="L1063" s="46" t="n"/>
      <c r="M1063" s="47" t="n"/>
      <c r="N1063" s="47" t="inlineStr">
        <is>
          <t>UCor_9jRnNNZVzTuQ92PKsaQ</t>
        </is>
      </c>
      <c r="O1063" s="48" t="n">
        <v>44832.79166666666</v>
      </c>
      <c r="P1063" s="49" t="n">
        <v>44832</v>
      </c>
      <c r="Q1063" s="47" t="n">
        <v>2205</v>
      </c>
      <c r="R1063" s="47" t="inlineStr">
        <is>
          <t>No Video ID yet</t>
        </is>
      </c>
      <c r="S1063" s="49" t="n"/>
      <c r="T1063" s="49" t="n"/>
      <c r="U1063" s="47" t="inlineStr">
        <is>
          <t>J and the team continue checking off research tasks when --wait -- wha?!? COULD IT BE?!? FINALLY A SHINY?!? Praise be, Arceus!!! Edited by:: Riley Murtagh</t>
        </is>
      </c>
      <c r="V1063" s="47">
        <f>IF(AND(P1063&gt;=Calendar!$K$2,P1063&lt;EDATE(Calendar!$K$2,1),OR(Calendar!$K$4="*",N1063=Calendar!$K$4)),P1063*100+COUNTIFS($P$6:$P$3267,P1063,$Q$6:$Q$3267,"&lt;="&amp;Q1063,$N$6:$N$3267,Calendar!$K$4),"")</f>
        <v/>
      </c>
      <c r="W1063" s="47">
        <f>IF(AND(B1063=Queue!$C$4,OR(Queue!$K$4="*",N1063=Queue!$K$4)),Q1063,"")</f>
        <v/>
      </c>
    </row>
    <row r="1064">
      <c r="A1064" s="38">
        <f>IF(M1064="","",HYPERLINK("https://www.youtube.com/watch?v="&amp;M1064,"▶"))</f>
        <v/>
      </c>
      <c r="B1064" s="39">
        <f>IF(C1064&lt;&gt;"",C1064,IF(P1064&lt;=IFERROR(INDEX(tblChannels[Watched Through],MATCH(N1064,tblChannels[Channel ID],0)),0),"Watched","Unwatched"))</f>
        <v/>
      </c>
      <c r="C1064" s="40" t="n"/>
      <c r="D1064" s="41" t="n"/>
      <c r="E1064" s="42" t="n">
        <v>44831.66736111111</v>
      </c>
      <c r="F1064" s="50" t="inlineStr">
        <is>
          <t>Super Carlin Brothers</t>
        </is>
      </c>
      <c r="G1064" t="inlineStr">
        <is>
          <t>J vs Ben: ULTIMATE Chamber of Secrets Harry Potter TRIVIA Quiz</t>
        </is>
      </c>
      <c r="H1064" s="44" t="n">
        <v>0.02178240740740741</v>
      </c>
      <c r="I1064" s="45" t="n">
        <v>284768</v>
      </c>
      <c r="J1064" s="45" t="n">
        <v>8340</v>
      </c>
      <c r="K1064" s="45" t="n">
        <v>790</v>
      </c>
      <c r="L1064" s="46" t="n"/>
      <c r="M1064" s="47" t="n"/>
      <c r="N1064" s="47" t="inlineStr">
        <is>
          <t>UCKZo4N0lVPccBkSiuyVh4yg</t>
        </is>
      </c>
      <c r="O1064" s="48" t="n">
        <v>44831.83402777778</v>
      </c>
      <c r="P1064" s="49" t="n">
        <v>44831</v>
      </c>
      <c r="Q1064" s="47" t="n">
        <v>2204</v>
      </c>
      <c r="R1064" s="47" t="inlineStr">
        <is>
          <t>No Video ID yet</t>
        </is>
      </c>
      <c r="S1064" s="49" t="n"/>
      <c r="T1064" s="49" t="n"/>
      <c r="U1064" s="47" t="inlineStr">
        <is>
          <t>Go to to get Honey for Free! Try our new Coffee! Carlin Brothers Bike Blend :: Today J and Ben face off once more to find out who knows the most about Harry Potter and the Chamber of Secrets! 01:40 - What is the name of the second book? 02:53 - Who is the house elf? 05:40 - Which Lockhart book was Hermione reading when Ron got the Howler? 07:12 - Which founder created the Chamber of Secrets? 08:34 - What pudding did Petunia make for the Masons? 11:25 - When did Nearly Headless Nick die? 13:42 - What is Aragog's wife's name? 18:46 - What item of clothing set Dobby free? 20:09 - What comic book does Ron have in his room? 22:28 - Who was petrified at the same time as Hermione? 23:25 - Which floor is the girls' bathroom on where Myrtle lives? 24:34 - What did Professor Sinstra teach? 25:11 - What is Lockhart's favorite color? 25:42 - What does the singing Valentine compare Harry's eyes to? 27:50 - Who made fun of Myrtle's glasses? #supercarlinbrothers #JvsBen #HarryPotter Edited by :: Riley Murtagh &amp; Ethan Edghill</t>
        </is>
      </c>
      <c r="V1064" s="47">
        <f>IF(AND(P1064&gt;=Calendar!$K$2,P1064&lt;EDATE(Calendar!$K$2,1),OR(Calendar!$K$4="*",N1064=Calendar!$K$4)),P1064*100+COUNTIFS($P$6:$P$3267,P1064,$Q$6:$Q$3267,"&lt;="&amp;Q1064,$N$6:$N$3267,Calendar!$K$4),"")</f>
        <v/>
      </c>
      <c r="W1064" s="47">
        <f>IF(AND(B1064=Queue!$C$4,OR(Queue!$K$4="*",N1064=Queue!$K$4)),Q1064,"")</f>
        <v/>
      </c>
    </row>
    <row r="1065">
      <c r="A1065" s="38">
        <f>IF(M1065="","",HYPERLINK("https://www.youtube.com/watch?v="&amp;M1065,"▶"))</f>
        <v/>
      </c>
      <c r="B1065" s="39">
        <f>IF(C1065&lt;&gt;"",C1065,IF(P1065&lt;=IFERROR(INDEX(tblChannels[Watched Through],MATCH(N1065,tblChannels[Channel ID],0)),0),"Watched","Unwatched"))</f>
        <v/>
      </c>
      <c r="C1065" s="40" t="n"/>
      <c r="D1065" s="41" t="n"/>
      <c r="E1065" s="42" t="n">
        <v>44829.58333333334</v>
      </c>
      <c r="F1065" s="50" t="inlineStr">
        <is>
          <t>Super Carlin Brothers</t>
        </is>
      </c>
      <c r="G1065" t="inlineStr">
        <is>
          <t>Dumbledore's Big Plan - FULL STORY 1-7</t>
        </is>
      </c>
      <c r="H1065" s="44" t="n">
        <v>0.07887731481481482</v>
      </c>
      <c r="I1065" s="45" t="n">
        <v>5062206</v>
      </c>
      <c r="J1065" s="45" t="n">
        <v>60618</v>
      </c>
      <c r="K1065" s="45" t="n">
        <v>4298</v>
      </c>
      <c r="L1065" s="46" t="n"/>
      <c r="M1065" s="47" t="n"/>
      <c r="N1065" s="47" t="inlineStr">
        <is>
          <t>UCKZo4N0lVPccBkSiuyVh4yg</t>
        </is>
      </c>
      <c r="O1065" s="48" t="n">
        <v>44829.75</v>
      </c>
      <c r="P1065" s="49" t="n">
        <v>44829</v>
      </c>
      <c r="Q1065" s="47" t="n">
        <v>2203</v>
      </c>
      <c r="R1065" s="47" t="inlineStr">
        <is>
          <t>No Video ID yet</t>
        </is>
      </c>
      <c r="S1065" s="49" t="n"/>
      <c r="T1065" s="49" t="n"/>
      <c r="U1065" s="47" t="inlineStr">
        <is>
          <t>Was Albus Dumbledore secretly pulling the strings behind EVERYTHING in Harry's life every single year? We've stitched together all 7 of our main videos covering this topic from Philosopher's Stone to Deathly Hallows. Enjoy!</t>
        </is>
      </c>
      <c r="V1065" s="47">
        <f>IF(AND(P1065&gt;=Calendar!$K$2,P1065&lt;EDATE(Calendar!$K$2,1),OR(Calendar!$K$4="*",N1065=Calendar!$K$4)),P1065*100+COUNTIFS($P$6:$P$3267,P1065,$Q$6:$Q$3267,"&lt;="&amp;Q1065,$N$6:$N$3267,Calendar!$K$4),"")</f>
        <v/>
      </c>
      <c r="W1065" s="47">
        <f>IF(AND(B1065=Queue!$C$4,OR(Queue!$K$4="*",N1065=Queue!$K$4)),Q1065,"")</f>
        <v/>
      </c>
    </row>
    <row r="1066">
      <c r="A1066" s="38">
        <f>IF(M1066="","",HYPERLINK("https://www.youtube.com/watch?v="&amp;M1066,"▶"))</f>
        <v/>
      </c>
      <c r="B1066" s="39">
        <f>IF(C1066&lt;&gt;"",C1066,IF(P1066&lt;=IFERROR(INDEX(tblChannels[Watched Through],MATCH(N1066,tblChannels[Channel ID],0)),0),"Watched","Unwatched"))</f>
        <v/>
      </c>
      <c r="C1066" s="40" t="n"/>
      <c r="D1066" s="41" t="n"/>
      <c r="E1066" s="42" t="n">
        <v>44827.41666666666</v>
      </c>
      <c r="F1066" s="43" t="inlineStr">
        <is>
          <t>Popcorn Culture</t>
        </is>
      </c>
      <c r="G1066" t="inlineStr">
        <is>
          <t>Locust of Control | Popcorn Culture</t>
        </is>
      </c>
      <c r="H1066" s="44" t="n">
        <v>0.04672453703703704</v>
      </c>
      <c r="I1066" s="45" t="n">
        <v>5525</v>
      </c>
      <c r="J1066" s="45" t="n">
        <v>279</v>
      </c>
      <c r="K1066" s="45" t="n">
        <v>21</v>
      </c>
      <c r="L1066" s="46" t="n"/>
      <c r="M1066" s="47" t="n"/>
      <c r="N1066" s="47" t="inlineStr">
        <is>
          <t>UCHfIbq9thHPC8yrKjAdJgDA</t>
        </is>
      </c>
      <c r="O1066" s="48" t="n">
        <v>44827.58333333334</v>
      </c>
      <c r="P1066" s="49" t="n">
        <v>44827</v>
      </c>
      <c r="Q1066" s="47" t="n">
        <v>2202</v>
      </c>
      <c r="R1066" s="47" t="inlineStr">
        <is>
          <t>No Video ID yet</t>
        </is>
      </c>
      <c r="S1066" s="49" t="n"/>
      <c r="T1066" s="49" t="n"/>
      <c r="U1066" s="47" t="inlineStr">
        <is>
          <t>In the 146th episode of the Pop, Ben and J discuss an awesome new fan site for the Pop, English class, Tim Burton, referential humor, Spider-Man, internal and external Locus of Control, strategy, Fantasy Football, and Hike Prep. New Fan Site for Popcorn Culture - The Nightmare Before Christmas - Tim Burton - Spider-Man: No Way Home - Spider-Man: Into the Spiderverse - Locus of Control - Queen’s Gambit - Fantasy Football - Lincoln Logs Sky Pirate I Couldn’t Even Tell You What King Lear Is About Tim Burton: Fish Out of Water Titanium Spork 00:00 - Intro, Lincoln Logs 07:48 - English Class 14:14 - Referential Media and Spider Man 23:39 - Locus of Control and Strategy 46:10 - Hike Prep!!!!!!!</t>
        </is>
      </c>
      <c r="V1066" s="47">
        <f>IF(AND(P1066&gt;=Calendar!$K$2,P1066&lt;EDATE(Calendar!$K$2,1),OR(Calendar!$K$4="*",N1066=Calendar!$K$4)),P1066*100+COUNTIFS($P$6:$P$3267,P1066,$Q$6:$Q$3267,"&lt;="&amp;Q1066,$N$6:$N$3267,Calendar!$K$4),"")</f>
        <v/>
      </c>
      <c r="W1066" s="47">
        <f>IF(AND(B1066=Queue!$C$4,OR(Queue!$K$4="*",N1066=Queue!$K$4)),Q1066,"")</f>
        <v/>
      </c>
    </row>
    <row r="1067">
      <c r="A1067" s="38">
        <f>IF(M1067="","",HYPERLINK("https://www.youtube.com/watch?v="&amp;M1067,"▶"))</f>
        <v/>
      </c>
      <c r="B1067" s="39">
        <f>IF(C1067&lt;&gt;"",C1067,IF(P1067&lt;=IFERROR(INDEX(tblChannels[Watched Through],MATCH(N1067,tblChannels[Channel ID],0)),0),"Watched","Unwatched"))</f>
        <v/>
      </c>
      <c r="C1067" s="40" t="n"/>
      <c r="D1067" s="41" t="n"/>
      <c r="E1067" s="42" t="n">
        <v>44826.71388888889</v>
      </c>
      <c r="F1067" s="50" t="inlineStr">
        <is>
          <t>Super Carlin Brothers</t>
        </is>
      </c>
      <c r="G1067" t="inlineStr">
        <is>
          <t>Top 10 MOST Embarrassing Moments in Pixar Movies</t>
        </is>
      </c>
      <c r="H1067" s="44" t="n">
        <v>0.01263888888888889</v>
      </c>
      <c r="I1067" s="45" t="n">
        <v>120814</v>
      </c>
      <c r="J1067" s="45" t="n">
        <v>5885</v>
      </c>
      <c r="K1067" s="45" t="n">
        <v>407</v>
      </c>
      <c r="L1067" s="46" t="n"/>
      <c r="M1067" s="47" t="n"/>
      <c r="N1067" s="47" t="inlineStr">
        <is>
          <t>UCKZo4N0lVPccBkSiuyVh4yg</t>
        </is>
      </c>
      <c r="O1067" s="48" t="n">
        <v>44826.88055555556</v>
      </c>
      <c r="P1067" s="49" t="n">
        <v>44826</v>
      </c>
      <c r="Q1067" s="47" t="n">
        <v>2201</v>
      </c>
      <c r="R1067" s="47" t="inlineStr">
        <is>
          <t>No Video ID yet</t>
        </is>
      </c>
      <c r="S1067" s="49" t="n"/>
      <c r="T1067" s="49" t="n"/>
      <c r="U1067" s="47" t="inlineStr">
        <is>
          <t>This episode is sponsored by BetterHelp — go to to get started with BetterHelp today. Go to and use code SUPER for 20% off your first box. Today Ben dives into the world of Pixar to reveal the top 10 most embarrassing moments in all of Pixar’s movies. Pixar always knows how to hit you square in the feels and while some moments make us laugh others make us cringe and others are just down right emotionally shattering - it all comes down to humiliation. #supercarlinbrothers #Pixar</t>
        </is>
      </c>
      <c r="V1067" s="47">
        <f>IF(AND(P1067&gt;=Calendar!$K$2,P1067&lt;EDATE(Calendar!$K$2,1),OR(Calendar!$K$4="*",N1067=Calendar!$K$4)),P1067*100+COUNTIFS($P$6:$P$3267,P1067,$Q$6:$Q$3267,"&lt;="&amp;Q1067,$N$6:$N$3267,Calendar!$K$4),"")</f>
        <v/>
      </c>
      <c r="W1067" s="47">
        <f>IF(AND(B1067=Queue!$C$4,OR(Queue!$K$4="*",N1067=Queue!$K$4)),Q1067,"")</f>
        <v/>
      </c>
    </row>
    <row r="1068">
      <c r="A1068" s="38">
        <f>IF(M1068="","",HYPERLINK("https://www.youtube.com/watch?v="&amp;M1068,"▶"))</f>
        <v/>
      </c>
      <c r="B1068" s="39">
        <f>IF(C1068&lt;&gt;"",C1068,IF(P1068&lt;=IFERROR(INDEX(tblChannels[Watched Through],MATCH(N1068,tblChannels[Channel ID],0)),0),"Watched","Unwatched"))</f>
        <v/>
      </c>
      <c r="C1068" s="40" t="n"/>
      <c r="D1068" s="41" t="n"/>
      <c r="E1068" s="42" t="n">
        <v>44825.625</v>
      </c>
      <c r="F1068" s="52" t="inlineStr">
        <is>
          <t>Super Carlin Gaming</t>
        </is>
      </c>
      <c r="G1068" t="inlineStr">
        <is>
          <t>ELECTRODE AND THE DORK |  Pokémon Legends: Arceus Nuzlocke #18</t>
        </is>
      </c>
      <c r="H1068" s="44" t="n">
        <v>0.03050925925925926</v>
      </c>
      <c r="I1068" s="45" t="n">
        <v>5033</v>
      </c>
      <c r="J1068" s="45" t="n">
        <v>323</v>
      </c>
      <c r="K1068" s="45" t="n">
        <v>63</v>
      </c>
      <c r="L1068" s="46" t="n"/>
      <c r="M1068" s="47" t="n"/>
      <c r="N1068" s="47" t="inlineStr">
        <is>
          <t>UCor_9jRnNNZVzTuQ92PKsaQ</t>
        </is>
      </c>
      <c r="O1068" s="48" t="n">
        <v>44825.79166666666</v>
      </c>
      <c r="P1068" s="49" t="n">
        <v>44825</v>
      </c>
      <c r="Q1068" s="47" t="n">
        <v>2200</v>
      </c>
      <c r="R1068" s="47" t="inlineStr">
        <is>
          <t>No Video ID yet</t>
        </is>
      </c>
      <c r="S1068" s="49" t="n"/>
      <c r="T1068" s="49" t="n"/>
      <c r="U1068" s="47" t="inlineStr">
        <is>
          <t>1. Can ONLY KEEP the FIRST Pokemon you catch in a new area.</t>
        </is>
      </c>
      <c r="V1068" s="47">
        <f>IF(AND(P1068&gt;=Calendar!$K$2,P1068&lt;EDATE(Calendar!$K$2,1),OR(Calendar!$K$4="*",N1068=Calendar!$K$4)),P1068*100+COUNTIFS($P$6:$P$3267,P1068,$Q$6:$Q$3267,"&lt;="&amp;Q1068,$N$6:$N$3267,Calendar!$K$4),"")</f>
        <v/>
      </c>
      <c r="W1068" s="47">
        <f>IF(AND(B1068=Queue!$C$4,OR(Queue!$K$4="*",N1068=Queue!$K$4)),Q1068,"")</f>
        <v/>
      </c>
    </row>
    <row r="1069">
      <c r="A1069" s="38">
        <f>IF(M1069="","",HYPERLINK("https://www.youtube.com/watch?v="&amp;M1069,"▶"))</f>
        <v/>
      </c>
      <c r="B1069" s="39">
        <f>IF(C1069&lt;&gt;"",C1069,IF(P1069&lt;=IFERROR(INDEX(tblChannels[Watched Through],MATCH(N1069,tblChannels[Channel ID],0)),0),"Watched","Unwatched"))</f>
        <v/>
      </c>
      <c r="C1069" s="40" t="n"/>
      <c r="D1069" s="41" t="n"/>
      <c r="E1069" s="42" t="n">
        <v>44824.66875</v>
      </c>
      <c r="F1069" s="50" t="inlineStr">
        <is>
          <t>Super Carlin Brothers</t>
        </is>
      </c>
      <c r="G1069" t="inlineStr">
        <is>
          <t>Why Does Dumbledore Trust Hagrid So Much? | Harry Potter Film Theory</t>
        </is>
      </c>
      <c r="H1069" s="44" t="n">
        <v>0.009814814814814814</v>
      </c>
      <c r="I1069" s="45" t="n">
        <v>356134</v>
      </c>
      <c r="J1069" s="45" t="n">
        <v>13015</v>
      </c>
      <c r="K1069" s="45" t="n">
        <v>869</v>
      </c>
      <c r="L1069" s="46" t="n"/>
      <c r="M1069" s="47" t="n"/>
      <c r="N1069" s="47" t="inlineStr">
        <is>
          <t>UCKZo4N0lVPccBkSiuyVh4yg</t>
        </is>
      </c>
      <c r="O1069" s="48" t="n">
        <v>44824.83541666667</v>
      </c>
      <c r="P1069" s="49" t="n">
        <v>44824</v>
      </c>
      <c r="Q1069" s="47" t="n">
        <v>2199</v>
      </c>
      <c r="R1069" s="47" t="inlineStr">
        <is>
          <t>No Video ID yet</t>
        </is>
      </c>
      <c r="S1069" s="49" t="n"/>
      <c r="T1069" s="49" t="n"/>
      <c r="U1069" s="47" t="inlineStr">
        <is>
          <t>This episode is sponsored by BetterHelp — go to to get started with BetterHelp today. Go to and use code SUPERCARLIN to get a 4-week trial, free postage and a free digital scale. Today J dives into the Wizarding World of Harry Potter to uncover why Dumbledore seems to trust Hagrid with such iron clad resolve in the same way he seems to trust Snape - Did Hagrid make a great confession of love? Did he save his life? Why does Hagrid’s wand still function in his umbrella if it was snapped in half?! #supercarlinbrothers #HarryPotter #Swagrid</t>
        </is>
      </c>
      <c r="V1069" s="47">
        <f>IF(AND(P1069&gt;=Calendar!$K$2,P1069&lt;EDATE(Calendar!$K$2,1),OR(Calendar!$K$4="*",N1069=Calendar!$K$4)),P1069*100+COUNTIFS($P$6:$P$3267,P1069,$Q$6:$Q$3267,"&lt;="&amp;Q1069,$N$6:$N$3267,Calendar!$K$4),"")</f>
        <v/>
      </c>
      <c r="W1069" s="47">
        <f>IF(AND(B1069=Queue!$C$4,OR(Queue!$K$4="*",N1069=Queue!$K$4)),Q1069,"")</f>
        <v/>
      </c>
    </row>
    <row r="1070">
      <c r="A1070" s="38">
        <f>IF(M1070="","",HYPERLINK("https://www.youtube.com/watch?v="&amp;M1070,"▶"))</f>
        <v/>
      </c>
      <c r="B1070" s="39">
        <f>IF(C1070&lt;&gt;"",C1070,IF(P1070&lt;=IFERROR(INDEX(tblChannels[Watched Through],MATCH(N1070,tblChannels[Channel ID],0)),0),"Watched","Unwatched"))</f>
        <v/>
      </c>
      <c r="C1070" s="40" t="n"/>
      <c r="D1070" s="41" t="n"/>
      <c r="E1070" s="42" t="n">
        <v>44824.45833333334</v>
      </c>
      <c r="F1070" s="52" t="inlineStr">
        <is>
          <t>Super Carlin Gaming</t>
        </is>
      </c>
      <c r="G1070" t="inlineStr">
        <is>
          <t>Season 1 Finale! BEST Astral Radiance Pull YET | Box Breakers S1/E2</t>
        </is>
      </c>
      <c r="H1070" s="44" t="n">
        <v>0.04458333333333334</v>
      </c>
      <c r="I1070" s="45" t="n">
        <v>4443</v>
      </c>
      <c r="J1070" s="45" t="n">
        <v>223</v>
      </c>
      <c r="K1070" s="45" t="n">
        <v>27</v>
      </c>
      <c r="L1070" s="46" t="n"/>
      <c r="M1070" s="47" t="n"/>
      <c r="N1070" s="47" t="inlineStr">
        <is>
          <t>UCor_9jRnNNZVzTuQ92PKsaQ</t>
        </is>
      </c>
      <c r="O1070" s="48" t="n">
        <v>44824.625</v>
      </c>
      <c r="P1070" s="49" t="n">
        <v>44824</v>
      </c>
      <c r="Q1070" s="47" t="n">
        <v>2198</v>
      </c>
      <c r="R1070" s="47" t="inlineStr">
        <is>
          <t>No Video ID yet</t>
        </is>
      </c>
      <c r="S1070" s="49" t="n"/>
      <c r="T1070" s="49" t="n"/>
      <c r="U1070" s="47" t="n"/>
      <c r="V1070" s="47">
        <f>IF(AND(P1070&gt;=Calendar!$K$2,P1070&lt;EDATE(Calendar!$K$2,1),OR(Calendar!$K$4="*",N1070=Calendar!$K$4)),P1070*100+COUNTIFS($P$6:$P$3267,P1070,$Q$6:$Q$3267,"&lt;="&amp;Q1070,$N$6:$N$3267,Calendar!$K$4),"")</f>
        <v/>
      </c>
      <c r="W1070" s="47">
        <f>IF(AND(B1070=Queue!$C$4,OR(Queue!$K$4="*",N1070=Queue!$K$4)),Q1070,"")</f>
        <v/>
      </c>
    </row>
    <row r="1071">
      <c r="A1071" s="38">
        <f>IF(M1071="","",HYPERLINK("https://www.youtube.com/watch?v="&amp;M1071,"▶"))</f>
        <v/>
      </c>
      <c r="B1071" s="39">
        <f>IF(C1071&lt;&gt;"",C1071,IF(P1071&lt;=IFERROR(INDEX(tblChannels[Watched Through],MATCH(N1071,tblChannels[Channel ID],0)),0),"Watched","Unwatched"))</f>
        <v/>
      </c>
      <c r="C1071" s="40" t="n"/>
      <c r="D1071" s="41" t="n"/>
      <c r="E1071" s="42" t="n">
        <v>44823.58333333334</v>
      </c>
      <c r="F1071" s="53" t="inlineStr">
        <is>
          <t>Jonathan Carlin</t>
        </is>
      </c>
      <c r="G1071" t="inlineStr">
        <is>
          <t>Nick &amp; Nate Discover the Ocean and LOVE IT!</t>
        </is>
      </c>
      <c r="H1071" s="44" t="n">
        <v>0.008738425925925926</v>
      </c>
      <c r="I1071" s="45" t="n">
        <v>9295</v>
      </c>
      <c r="J1071" s="45" t="n">
        <v>591</v>
      </c>
      <c r="K1071" s="45" t="n">
        <v>47</v>
      </c>
      <c r="L1071" s="46" t="n"/>
      <c r="M1071" s="47" t="n"/>
      <c r="N1071" s="47" t="inlineStr">
        <is>
          <t>UCYPKFe86e6nm4TVUYKLsFUQ</t>
        </is>
      </c>
      <c r="O1071" s="48" t="n">
        <v>44823.75</v>
      </c>
      <c r="P1071" s="49" t="n">
        <v>44823</v>
      </c>
      <c r="Q1071" s="47" t="n">
        <v>2197</v>
      </c>
      <c r="R1071" s="47" t="inlineStr">
        <is>
          <t>No Video ID yet</t>
        </is>
      </c>
      <c r="S1071" s="49" t="n"/>
      <c r="T1071" s="49" t="n"/>
      <c r="U1071" s="47" t="inlineStr">
        <is>
          <t>This week J and the family head to Kure Beach in North Carolina and enjoy the sun, waves, rocks and family!</t>
        </is>
      </c>
      <c r="V1071" s="47">
        <f>IF(AND(P1071&gt;=Calendar!$K$2,P1071&lt;EDATE(Calendar!$K$2,1),OR(Calendar!$K$4="*",N1071=Calendar!$K$4)),P1071*100+COUNTIFS($P$6:$P$3267,P1071,$Q$6:$Q$3267,"&lt;="&amp;Q1071,$N$6:$N$3267,Calendar!$K$4),"")</f>
        <v/>
      </c>
      <c r="W1071" s="47">
        <f>IF(AND(B1071=Queue!$C$4,OR(Queue!$K$4="*",N1071=Queue!$K$4)),Q1071,"")</f>
        <v/>
      </c>
    </row>
    <row r="1072">
      <c r="A1072" s="38">
        <f>IF(M1072="","",HYPERLINK("https://www.youtube.com/watch?v="&amp;M1072,"▶"))</f>
        <v/>
      </c>
      <c r="B1072" s="39">
        <f>IF(C1072&lt;&gt;"",C1072,IF(P1072&lt;=IFERROR(INDEX(tblChannels[Watched Through],MATCH(N1072,tblChannels[Channel ID],0)),0),"Watched","Unwatched"))</f>
        <v/>
      </c>
      <c r="C1072" s="40" t="n"/>
      <c r="D1072" s="41" t="n"/>
      <c r="E1072" s="42" t="n">
        <v>44820.68888888889</v>
      </c>
      <c r="F1072" s="50" t="inlineStr">
        <is>
          <t>Super Carlin Brothers</t>
        </is>
      </c>
      <c r="G1072" t="inlineStr">
        <is>
          <t>What If Harry Was In Slytherin? - The Deathly Hallows - Part 2</t>
        </is>
      </c>
      <c r="H1072" s="44" t="n">
        <v>0.02929398148148148</v>
      </c>
      <c r="I1072" s="45" t="n">
        <v>317718</v>
      </c>
      <c r="J1072" s="45" t="n">
        <v>19603</v>
      </c>
      <c r="K1072" s="45" t="n">
        <v>3055</v>
      </c>
      <c r="L1072" s="46" t="n"/>
      <c r="M1072" s="47" t="n"/>
      <c r="N1072" s="47" t="inlineStr">
        <is>
          <t>UCKZo4N0lVPccBkSiuyVh4yg</t>
        </is>
      </c>
      <c r="O1072" s="48" t="n">
        <v>44820.85555555556</v>
      </c>
      <c r="P1072" s="49" t="n">
        <v>44820</v>
      </c>
      <c r="Q1072" s="47" t="n">
        <v>2196</v>
      </c>
      <c r="R1072" s="47" t="inlineStr">
        <is>
          <t>No Video ID yet</t>
        </is>
      </c>
      <c r="S1072" s="49" t="n"/>
      <c r="T1072" s="49" t="n"/>
      <c r="U1072" s="47" t="inlineStr">
        <is>
          <t>Go to for 20% off your first order and free shipping. Today J dives into the Wizarding World of Harry Potter to finally find out what happens in year 7 if Harry was Sorted into Slytherin! How will the Basilisk affect the final battle? What of all the Silver wounds on the death eaters? How will Harry find the Room of Requirement? AND what wand is Snape now using?</t>
        </is>
      </c>
      <c r="V1072" s="47">
        <f>IF(AND(P1072&gt;=Calendar!$K$2,P1072&lt;EDATE(Calendar!$K$2,1),OR(Calendar!$K$4="*",N1072=Calendar!$K$4)),P1072*100+COUNTIFS($P$6:$P$3267,P1072,$Q$6:$Q$3267,"&lt;="&amp;Q1072,$N$6:$N$3267,Calendar!$K$4),"")</f>
        <v/>
      </c>
      <c r="W1072" s="47">
        <f>IF(AND(B1072=Queue!$C$4,OR(Queue!$K$4="*",N1072=Queue!$K$4)),Q1072,"")</f>
        <v/>
      </c>
    </row>
    <row r="1073">
      <c r="A1073" s="38">
        <f>IF(M1073="","",HYPERLINK("https://www.youtube.com/watch?v="&amp;M1073,"▶"))</f>
        <v/>
      </c>
      <c r="B1073" s="39">
        <f>IF(C1073&lt;&gt;"",C1073,IF(P1073&lt;=IFERROR(INDEX(tblChannels[Watched Through],MATCH(N1073,tblChannels[Channel ID],0)),0),"Watched","Unwatched"))</f>
        <v/>
      </c>
      <c r="C1073" s="40" t="n"/>
      <c r="D1073" s="41" t="n"/>
      <c r="E1073" s="42" t="n">
        <v>44820.41666666666</v>
      </c>
      <c r="F1073" s="43" t="inlineStr">
        <is>
          <t>Popcorn Culture</t>
        </is>
      </c>
      <c r="G1073" t="inlineStr">
        <is>
          <t>Planning for Bears | Popcorn Culture</t>
        </is>
      </c>
      <c r="H1073" s="44" t="n">
        <v>0.05096064814814815</v>
      </c>
      <c r="I1073" s="45" t="n">
        <v>5522</v>
      </c>
      <c r="J1073" s="45" t="n">
        <v>275</v>
      </c>
      <c r="K1073" s="45" t="n">
        <v>27</v>
      </c>
      <c r="L1073" s="46" t="n"/>
      <c r="M1073" s="47" t="n"/>
      <c r="N1073" s="47" t="inlineStr">
        <is>
          <t>UCHfIbq9thHPC8yrKjAdJgDA</t>
        </is>
      </c>
      <c r="O1073" s="48" t="n">
        <v>44820.58333333334</v>
      </c>
      <c r="P1073" s="49" t="n">
        <v>44820</v>
      </c>
      <c r="Q1073" s="47" t="n">
        <v>2195</v>
      </c>
      <c r="R1073" s="47" t="inlineStr">
        <is>
          <t>No Video ID yet</t>
        </is>
      </c>
      <c r="S1073" s="49" t="n"/>
      <c r="T1073" s="49" t="n"/>
      <c r="U1073" s="47" t="inlineStr">
        <is>
          <t>J and Ben discuss: their upcoming hike, minimalism, future trips, Go Fest, bears, paracord, eras of the Pop, leg day, survivorship bias, optical illusions, Twitter doomscrolling, and Luke’s deductive reasoning. Go Fest - Paracord Bracelets - Survivorship Bias - Box Breakers - Hike Training at Disney Don’t Skip Leg Day The General Contractor Twitter Doomscrolling: A One Man Show Misread the Ammunition of a Four Year Old 00:00 - Intro, Hostmanship 01:56 - Hike Prep 28:49 - Go Fest 32:35 - Bear Planning 45:32 - Survivorship Bias 58:50 - Luke’s Deductive Reasoning</t>
        </is>
      </c>
      <c r="V1073" s="47">
        <f>IF(AND(P1073&gt;=Calendar!$K$2,P1073&lt;EDATE(Calendar!$K$2,1),OR(Calendar!$K$4="*",N1073=Calendar!$K$4)),P1073*100+COUNTIFS($P$6:$P$3267,P1073,$Q$6:$Q$3267,"&lt;="&amp;Q1073,$N$6:$N$3267,Calendar!$K$4),"")</f>
        <v/>
      </c>
      <c r="W1073" s="47">
        <f>IF(AND(B1073=Queue!$C$4,OR(Queue!$K$4="*",N1073=Queue!$K$4)),Q1073,"")</f>
        <v/>
      </c>
    </row>
    <row r="1074">
      <c r="A1074" s="38">
        <f>IF(M1074="","",HYPERLINK("https://www.youtube.com/watch?v="&amp;M1074,"▶"))</f>
        <v/>
      </c>
      <c r="B1074" s="39">
        <f>IF(C1074&lt;&gt;"",C1074,IF(P1074&lt;=IFERROR(INDEX(tblChannels[Watched Through],MATCH(N1074,tblChannels[Channel ID],0)),0),"Watched","Unwatched"))</f>
        <v/>
      </c>
      <c r="C1074" s="40" t="n"/>
      <c r="D1074" s="41" t="n"/>
      <c r="E1074" s="42" t="n">
        <v>44817.71388888889</v>
      </c>
      <c r="F1074" s="50" t="inlineStr">
        <is>
          <t>Super Carlin Brothers</t>
        </is>
      </c>
      <c r="G1074" t="inlineStr">
        <is>
          <t>J vs Ben: HARDEST Sorting Hat Harry Potter TRIVIA Quiz</t>
        </is>
      </c>
      <c r="H1074" s="44" t="n">
        <v>0.02049768518518518</v>
      </c>
      <c r="I1074" s="45" t="n">
        <v>226155</v>
      </c>
      <c r="J1074" s="45" t="n">
        <v>7884</v>
      </c>
      <c r="K1074" s="45" t="n">
        <v>626</v>
      </c>
      <c r="L1074" s="46" t="n"/>
      <c r="M1074" s="47" t="n"/>
      <c r="N1074" s="47" t="inlineStr">
        <is>
          <t>UCKZo4N0lVPccBkSiuyVh4yg</t>
        </is>
      </c>
      <c r="O1074" s="48" t="n">
        <v>44817.88055555556</v>
      </c>
      <c r="P1074" s="49" t="n">
        <v>44817</v>
      </c>
      <c r="Q1074" s="47" t="n">
        <v>2194</v>
      </c>
      <c r="R1074" s="47" t="inlineStr">
        <is>
          <t>No Video ID yet</t>
        </is>
      </c>
      <c r="S1074" s="49" t="n"/>
      <c r="T1074" s="49" t="n"/>
      <c r="U1074" s="47" t="inlineStr">
        <is>
          <t>Go to to get 3 months for free The first 200 people to sign up for an annual premium subscription at get 20% off! Today J and Ben face off once more to find out who knows more about the Wizarding World of Harry Potter and one of its most iconic relics: The Sorting Hat!</t>
        </is>
      </c>
      <c r="V1074" s="47">
        <f>IF(AND(P1074&gt;=Calendar!$K$2,P1074&lt;EDATE(Calendar!$K$2,1),OR(Calendar!$K$4="*",N1074=Calendar!$K$4)),P1074*100+COUNTIFS($P$6:$P$3267,P1074,$Q$6:$Q$3267,"&lt;="&amp;Q1074,$N$6:$N$3267,Calendar!$K$4),"")</f>
        <v/>
      </c>
      <c r="W1074" s="47">
        <f>IF(AND(B1074=Queue!$C$4,OR(Queue!$K$4="*",N1074=Queue!$K$4)),Q1074,"")</f>
        <v/>
      </c>
    </row>
    <row r="1075">
      <c r="A1075" s="38">
        <f>IF(M1075="","",HYPERLINK("https://www.youtube.com/watch?v="&amp;M1075,"▶"))</f>
        <v/>
      </c>
      <c r="B1075" s="39">
        <f>IF(C1075&lt;&gt;"",C1075,IF(P1075&lt;=IFERROR(INDEX(tblChannels[Watched Through],MATCH(N1075,tblChannels[Channel ID],0)),0),"Watched","Unwatched"))</f>
        <v/>
      </c>
      <c r="C1075" s="40" t="n"/>
      <c r="D1075" s="41" t="n"/>
      <c r="E1075" s="42" t="n">
        <v>44813.78194444445</v>
      </c>
      <c r="F1075" s="50" t="inlineStr">
        <is>
          <t>Super Carlin Brothers</t>
        </is>
      </c>
      <c r="G1075" t="inlineStr">
        <is>
          <t>What if Harry Was In Slytherin - The Deathly Hallows Part 1 | Harry Potter Film Theory</t>
        </is>
      </c>
      <c r="H1075" s="44" t="n">
        <v>0.02923611111111111</v>
      </c>
      <c r="I1075" s="45" t="n">
        <v>375916</v>
      </c>
      <c r="J1075" s="45" t="n">
        <v>16323</v>
      </c>
      <c r="K1075" s="45" t="n">
        <v>1542</v>
      </c>
      <c r="L1075" s="46" t="n"/>
      <c r="M1075" s="47" t="n"/>
      <c r="N1075" s="47" t="inlineStr">
        <is>
          <t>UCKZo4N0lVPccBkSiuyVh4yg</t>
        </is>
      </c>
      <c r="O1075" s="48" t="n">
        <v>44813.94861111111</v>
      </c>
      <c r="P1075" s="49" t="n">
        <v>44813</v>
      </c>
      <c r="Q1075" s="47" t="n">
        <v>2193</v>
      </c>
      <c r="R1075" s="47" t="inlineStr">
        <is>
          <t>No Video ID yet</t>
        </is>
      </c>
      <c r="S1075" s="49" t="n"/>
      <c r="T1075" s="49" t="n"/>
      <c r="U1075" s="47" t="inlineStr">
        <is>
          <t>Go to to get up to 20% off your first box. Today J dives back into the Wizarding World of Harry Potter to discover what would happen if Harry had been sorted into Slytherin for his final year in the war against Voldemort!</t>
        </is>
      </c>
      <c r="V1075" s="47">
        <f>IF(AND(P1075&gt;=Calendar!$K$2,P1075&lt;EDATE(Calendar!$K$2,1),OR(Calendar!$K$4="*",N1075=Calendar!$K$4)),P1075*100+COUNTIFS($P$6:$P$3267,P1075,$Q$6:$Q$3267,"&lt;="&amp;Q1075,$N$6:$N$3267,Calendar!$K$4),"")</f>
        <v/>
      </c>
      <c r="W1075" s="47">
        <f>IF(AND(B1075=Queue!$C$4,OR(Queue!$K$4="*",N1075=Queue!$K$4)),Q1075,"")</f>
        <v/>
      </c>
    </row>
    <row r="1076">
      <c r="A1076" s="38">
        <f>IF(M1076="","",HYPERLINK("https://www.youtube.com/watch?v="&amp;M1076,"▶"))</f>
        <v/>
      </c>
      <c r="B1076" s="39">
        <f>IF(C1076&lt;&gt;"",C1076,IF(P1076&lt;=IFERROR(INDEX(tblChannels[Watched Through],MATCH(N1076,tblChannels[Channel ID],0)),0),"Watched","Unwatched"))</f>
        <v/>
      </c>
      <c r="C1076" s="40" t="n"/>
      <c r="D1076" s="41" t="n"/>
      <c r="E1076" s="42" t="n">
        <v>44813.69791666666</v>
      </c>
      <c r="F1076" s="43" t="inlineStr">
        <is>
          <t>Popcorn Culture</t>
        </is>
      </c>
      <c r="G1076" t="inlineStr">
        <is>
          <t>Party Duck | Popcorn Culture</t>
        </is>
      </c>
      <c r="H1076" s="44" t="n">
        <v>0.04855324074074074</v>
      </c>
      <c r="I1076" s="45" t="n">
        <v>6461</v>
      </c>
      <c r="J1076" s="45" t="n">
        <v>290</v>
      </c>
      <c r="K1076" s="45" t="n">
        <v>30</v>
      </c>
      <c r="L1076" s="46" t="n"/>
      <c r="M1076" s="47" t="n"/>
      <c r="N1076" s="47" t="inlineStr">
        <is>
          <t>UCHfIbq9thHPC8yrKjAdJgDA</t>
        </is>
      </c>
      <c r="O1076" s="48" t="n">
        <v>44813.86458333334</v>
      </c>
      <c r="P1076" s="49" t="n">
        <v>44813</v>
      </c>
      <c r="Q1076" s="47" t="n">
        <v>2192</v>
      </c>
      <c r="R1076" s="47" t="inlineStr">
        <is>
          <t>No Video ID yet</t>
        </is>
      </c>
      <c r="S1076" s="49" t="n"/>
      <c r="T1076" s="49" t="n"/>
      <c r="U1076" s="47" t="inlineStr">
        <is>
          <t>In the 144th episode of the Pop, J and Ben discuss LotR and The Rings of Power, calendars are hard, Labor Day fun times, Nick and Nate starting pre-school, ideal thinking, water skiing, and moats. The Rings of Power - House of the Dragon - SCB What If Series - J’s Biggest Weakness - Calendars It’s a Lot of Work to Have Fun Toxic Idealism Pooh and Eeyore You CAN Water Ski How Is a Moat Filled with Water? 00:00 - Intro, Fantasy Shows 16:52 - Labor Day and Calendars 29:59 - Preschool and Toxic Idealism 52:31 - Water Skiing</t>
        </is>
      </c>
      <c r="V1076" s="47">
        <f>IF(AND(P1076&gt;=Calendar!$K$2,P1076&lt;EDATE(Calendar!$K$2,1),OR(Calendar!$K$4="*",N1076=Calendar!$K$4)),P1076*100+COUNTIFS($P$6:$P$3267,P1076,$Q$6:$Q$3267,"&lt;="&amp;Q1076,$N$6:$N$3267,Calendar!$K$4),"")</f>
        <v/>
      </c>
      <c r="W1076" s="47">
        <f>IF(AND(B1076=Queue!$C$4,OR(Queue!$K$4="*",N1076=Queue!$K$4)),Q1076,"")</f>
        <v/>
      </c>
    </row>
    <row r="1077">
      <c r="A1077" s="38">
        <f>IF(M1077="","",HYPERLINK("https://www.youtube.com/watch?v="&amp;M1077,"▶"))</f>
        <v/>
      </c>
      <c r="B1077" s="39">
        <f>IF(C1077&lt;&gt;"",C1077,IF(P1077&lt;=IFERROR(INDEX(tblChannels[Watched Through],MATCH(N1077,tblChannels[Channel ID],0)),0),"Watched","Unwatched"))</f>
        <v/>
      </c>
      <c r="C1077" s="40" t="n"/>
      <c r="D1077" s="41" t="n"/>
      <c r="E1077" s="42" t="n">
        <v>44810.68888888889</v>
      </c>
      <c r="F1077" s="50" t="inlineStr">
        <is>
          <t>Super Carlin Brothers</t>
        </is>
      </c>
      <c r="G1077" t="inlineStr">
        <is>
          <t>The Trace Makes NO SENSE | Harry Potter Film Theory</t>
        </is>
      </c>
      <c r="H1077" s="44" t="n">
        <v>0.01277777777777778</v>
      </c>
      <c r="I1077" s="45" t="n">
        <v>629945</v>
      </c>
      <c r="J1077" s="45" t="n">
        <v>19024</v>
      </c>
      <c r="K1077" s="45" t="n">
        <v>2234</v>
      </c>
      <c r="L1077" s="46" t="n"/>
      <c r="M1077" s="47" t="n"/>
      <c r="N1077" s="47" t="inlineStr">
        <is>
          <t>UCKZo4N0lVPccBkSiuyVh4yg</t>
        </is>
      </c>
      <c r="O1077" s="48" t="n">
        <v>44810.85555555556</v>
      </c>
      <c r="P1077" s="49" t="n">
        <v>44810</v>
      </c>
      <c r="Q1077" s="47" t="n">
        <v>2191</v>
      </c>
      <c r="R1077" s="47" t="inlineStr">
        <is>
          <t>No Video ID yet</t>
        </is>
      </c>
      <c r="S1077" s="49" t="n"/>
      <c r="T1077" s="49" t="n"/>
      <c r="U1077" s="47" t="inlineStr">
        <is>
          <t>Go to for 20% off your first order and free shipping. Today Ben dives into the Wizarding World of Harry Potter to examine one of its most inconsistent rules: The Trace! Why is so much underage wizardy allowed near Harry? Why do they enforce this rule at all and when is it put on you?</t>
        </is>
      </c>
      <c r="V1077" s="47">
        <f>IF(AND(P1077&gt;=Calendar!$K$2,P1077&lt;EDATE(Calendar!$K$2,1),OR(Calendar!$K$4="*",N1077=Calendar!$K$4)),P1077*100+COUNTIFS($P$6:$P$3267,P1077,$Q$6:$Q$3267,"&lt;="&amp;Q1077,$N$6:$N$3267,Calendar!$K$4),"")</f>
        <v/>
      </c>
      <c r="W1077" s="47">
        <f>IF(AND(B1077=Queue!$C$4,OR(Queue!$K$4="*",N1077=Queue!$K$4)),Q1077,"")</f>
        <v/>
      </c>
    </row>
    <row r="1078">
      <c r="A1078" s="38">
        <f>IF(M1078="","",HYPERLINK("https://www.youtube.com/watch?v="&amp;M1078,"▶"))</f>
        <v/>
      </c>
      <c r="B1078" s="39">
        <f>IF(C1078&lt;&gt;"",C1078,IF(P1078&lt;=IFERROR(INDEX(tblChannels[Watched Through],MATCH(N1078,tblChannels[Channel ID],0)),0),"Watched","Unwatched"))</f>
        <v/>
      </c>
      <c r="C1078" s="40" t="n"/>
      <c r="D1078" s="41" t="n"/>
      <c r="E1078" s="42" t="n">
        <v>44806.67986111111</v>
      </c>
      <c r="F1078" s="50" t="inlineStr">
        <is>
          <t>Super Carlin Brothers</t>
        </is>
      </c>
      <c r="G1078" t="inlineStr">
        <is>
          <t>What If Harry Was In Slytherin - The Half-Blood Prince | Harry Potter Film Theory</t>
        </is>
      </c>
      <c r="H1078" s="44" t="n">
        <v>0.03444444444444444</v>
      </c>
      <c r="I1078" s="45" t="n">
        <v>492098</v>
      </c>
      <c r="J1078" s="45" t="n">
        <v>17903</v>
      </c>
      <c r="K1078" s="45" t="n">
        <v>1917</v>
      </c>
      <c r="L1078" s="46" t="n"/>
      <c r="M1078" s="47" t="n"/>
      <c r="N1078" s="47" t="inlineStr">
        <is>
          <t>UCKZo4N0lVPccBkSiuyVh4yg</t>
        </is>
      </c>
      <c r="O1078" s="48" t="n">
        <v>44806.84652777778</v>
      </c>
      <c r="P1078" s="49" t="n">
        <v>44806</v>
      </c>
      <c r="Q1078" s="47" t="n">
        <v>2190</v>
      </c>
      <c r="R1078" s="47" t="inlineStr">
        <is>
          <t>No Video ID yet</t>
        </is>
      </c>
      <c r="S1078" s="49" t="n"/>
      <c r="T1078" s="49" t="n"/>
      <c r="U1078" s="47" t="inlineStr">
        <is>
          <t>Today J continues his quest into the Wizarding World to try and find out what would happen in The Half Blood Prince if Harry had been sorted into Slytherin.</t>
        </is>
      </c>
      <c r="V1078" s="47">
        <f>IF(AND(P1078&gt;=Calendar!$K$2,P1078&lt;EDATE(Calendar!$K$2,1),OR(Calendar!$K$4="*",N1078=Calendar!$K$4)),P1078*100+COUNTIFS($P$6:$P$3267,P1078,$Q$6:$Q$3267,"&lt;="&amp;Q1078,$N$6:$N$3267,Calendar!$K$4),"")</f>
        <v/>
      </c>
      <c r="W1078" s="47">
        <f>IF(AND(B1078=Queue!$C$4,OR(Queue!$K$4="*",N1078=Queue!$K$4)),Q1078,"")</f>
        <v/>
      </c>
    </row>
    <row r="1079">
      <c r="A1079" s="38">
        <f>IF(M1079="","",HYPERLINK("https://www.youtube.com/watch?v="&amp;M1079,"▶"))</f>
        <v/>
      </c>
      <c r="B1079" s="39">
        <f>IF(C1079&lt;&gt;"",C1079,IF(P1079&lt;=IFERROR(INDEX(tblChannels[Watched Through],MATCH(N1079,tblChannels[Channel ID],0)),0),"Watched","Unwatched"))</f>
        <v/>
      </c>
      <c r="C1079" s="40" t="n"/>
      <c r="D1079" s="41" t="n"/>
      <c r="E1079" s="42" t="n">
        <v>44806.41666666666</v>
      </c>
      <c r="F1079" s="43" t="inlineStr">
        <is>
          <t>Popcorn Culture</t>
        </is>
      </c>
      <c r="G1079" t="inlineStr">
        <is>
          <t>YOU'RE MOSTLY WATER, MAN! | Popcorn Culture</t>
        </is>
      </c>
      <c r="H1079" s="44" t="n">
        <v>0.04385416666666667</v>
      </c>
      <c r="I1079" s="45" t="n">
        <v>5849</v>
      </c>
      <c r="J1079" s="45" t="n">
        <v>306</v>
      </c>
      <c r="K1079" s="45" t="n">
        <v>36</v>
      </c>
      <c r="L1079" s="46" t="n"/>
      <c r="M1079" s="47" t="n"/>
      <c r="N1079" s="47" t="inlineStr">
        <is>
          <t>UCHfIbq9thHPC8yrKjAdJgDA</t>
        </is>
      </c>
      <c r="O1079" s="48" t="n">
        <v>44806.58333333334</v>
      </c>
      <c r="P1079" s="49" t="n">
        <v>44806</v>
      </c>
      <c r="Q1079" s="47" t="n">
        <v>2189</v>
      </c>
      <c r="R1079" s="47" t="inlineStr">
        <is>
          <t>No Video ID yet</t>
        </is>
      </c>
      <c r="S1079" s="49" t="n"/>
      <c r="T1079" s="49" t="n"/>
      <c r="U1079" s="47" t="inlineStr">
        <is>
          <t>In the 143rd episode of the Pop, J and Ben discuss the weirdness of how time works, a variety of vinegar based things, Abe Lincoln’s favorite drink, tattoos, and everything happening for a reason. J’s Wick of the Peek - Kombucha Liquid Death - Time is Weird Take Your Brain and Run With It Is Kombucha Good For You? Intramoosed Plain Water Ben’s Tattoo Dilemma 00:00 - Intro, Time Is Weird 05:54 - Is Kombucha Good For You? (And other vinegary things) 39:00 - Abe Lincoln’s Favorite Drink 45:48 - Ben’s Tattoo Dilemma 56:03 - Everything Happens for a Reason Edited by: Riley Murtaugh</t>
        </is>
      </c>
      <c r="V1079" s="47">
        <f>IF(AND(P1079&gt;=Calendar!$K$2,P1079&lt;EDATE(Calendar!$K$2,1),OR(Calendar!$K$4="*",N1079=Calendar!$K$4)),P1079*100+COUNTIFS($P$6:$P$3267,P1079,$Q$6:$Q$3267,"&lt;="&amp;Q1079,$N$6:$N$3267,Calendar!$K$4),"")</f>
        <v/>
      </c>
      <c r="W1079" s="47">
        <f>IF(AND(B1079=Queue!$C$4,OR(Queue!$K$4="*",N1079=Queue!$K$4)),Q1079,"")</f>
        <v/>
      </c>
    </row>
    <row r="1080">
      <c r="A1080" s="38">
        <f>IF(M1080="","",HYPERLINK("https://www.youtube.com/watch?v="&amp;M1080,"▶"))</f>
        <v/>
      </c>
      <c r="B1080" s="39">
        <f>IF(C1080&lt;&gt;"",C1080,IF(P1080&lt;=IFERROR(INDEX(tblChannels[Watched Through],MATCH(N1080,tblChannels[Channel ID],0)),0),"Watched","Unwatched"))</f>
        <v/>
      </c>
      <c r="C1080" s="40" t="n"/>
      <c r="D1080" s="41" t="n"/>
      <c r="E1080" s="42" t="n">
        <v>44803.65347222222</v>
      </c>
      <c r="F1080" s="50" t="inlineStr">
        <is>
          <t>Super Carlin Brothers</t>
        </is>
      </c>
      <c r="G1080" t="inlineStr">
        <is>
          <t>J vs Ben: HARDEST Philosopher’s Stone Harry Potter TRIVIA Quiz</t>
        </is>
      </c>
      <c r="H1080" s="44" t="n">
        <v>0.02266203703703704</v>
      </c>
      <c r="I1080" s="45" t="n">
        <v>328938</v>
      </c>
      <c r="J1080" s="45" t="n">
        <v>9333</v>
      </c>
      <c r="K1080" s="45" t="n">
        <v>848</v>
      </c>
      <c r="L1080" s="46" t="n"/>
      <c r="M1080" s="47" t="n"/>
      <c r="N1080" s="47" t="inlineStr">
        <is>
          <t>UCKZo4N0lVPccBkSiuyVh4yg</t>
        </is>
      </c>
      <c r="O1080" s="48" t="n">
        <v>44803.82013888889</v>
      </c>
      <c r="P1080" s="49" t="n">
        <v>44803</v>
      </c>
      <c r="Q1080" s="47" t="n">
        <v>2188</v>
      </c>
      <c r="R1080" s="47" t="inlineStr">
        <is>
          <t>No Video ID yet</t>
        </is>
      </c>
      <c r="S1080" s="49" t="n"/>
      <c r="T1080" s="49" t="n"/>
      <c r="U1080" s="47" t="inlineStr">
        <is>
          <t>Go to to get Honey for Free! Go to to get 20% off your first order and free shipping. Today J and Ben dive back into the Wizarding World of Harry Potter to find out who knows more trivia about Philosopher’s Stone as they take on the HARDEST Philosopher’s Stone Harry Potter TRIVIA Quiz</t>
        </is>
      </c>
      <c r="V1080" s="47">
        <f>IF(AND(P1080&gt;=Calendar!$K$2,P1080&lt;EDATE(Calendar!$K$2,1),OR(Calendar!$K$4="*",N1080=Calendar!$K$4)),P1080*100+COUNTIFS($P$6:$P$3267,P1080,$Q$6:$Q$3267,"&lt;="&amp;Q1080,$N$6:$N$3267,Calendar!$K$4),"")</f>
        <v/>
      </c>
      <c r="W1080" s="47">
        <f>IF(AND(B1080=Queue!$C$4,OR(Queue!$K$4="*",N1080=Queue!$K$4)),Q1080,"")</f>
        <v/>
      </c>
    </row>
    <row r="1081">
      <c r="A1081" s="38">
        <f>IF(M1081="","",HYPERLINK("https://www.youtube.com/watch?v="&amp;M1081,"▶"))</f>
        <v/>
      </c>
      <c r="B1081" s="39">
        <f>IF(C1081&lt;&gt;"",C1081,IF(P1081&lt;=IFERROR(INDEX(tblChannels[Watched Through],MATCH(N1081,tblChannels[Channel ID],0)),0),"Watched","Unwatched"))</f>
        <v/>
      </c>
      <c r="C1081" s="40" t="n"/>
      <c r="D1081" s="41" t="n"/>
      <c r="E1081" s="42" t="n">
        <v>44799.86388888889</v>
      </c>
      <c r="F1081" s="50" t="inlineStr">
        <is>
          <t>Super Carlin Brothers</t>
        </is>
      </c>
      <c r="G1081" t="inlineStr">
        <is>
          <t>ALL FANDOM TRIVIA - August 2022</t>
        </is>
      </c>
      <c r="H1081" s="44" t="n">
        <v>0.09324074074074074</v>
      </c>
      <c r="I1081" s="45" t="n">
        <v>63364</v>
      </c>
      <c r="J1081" s="45" t="n">
        <v>1269</v>
      </c>
      <c r="K1081" s="45" t="n">
        <v>100</v>
      </c>
      <c r="L1081" s="46" t="n"/>
      <c r="M1081" s="47" t="n"/>
      <c r="N1081" s="47" t="inlineStr">
        <is>
          <t>UCKZo4N0lVPccBkSiuyVh4yg</t>
        </is>
      </c>
      <c r="O1081" s="48" t="n">
        <v>44800.03055555555</v>
      </c>
      <c r="P1081" s="49" t="n">
        <v>44799</v>
      </c>
      <c r="Q1081" s="47" t="n">
        <v>2187</v>
      </c>
      <c r="R1081" s="47" t="inlineStr">
        <is>
          <t>No Video ID yet</t>
        </is>
      </c>
      <c r="S1081" s="49" t="n"/>
      <c r="T1081" s="49" t="n"/>
      <c r="U1081" s="47" t="inlineStr">
        <is>
          <t>Come join us and test your knowledge of Disney, Pixar, Star Wars, Marvel, Harry Potter and Avatar the Last Airbender!</t>
        </is>
      </c>
      <c r="V1081" s="47">
        <f>IF(AND(P1081&gt;=Calendar!$K$2,P1081&lt;EDATE(Calendar!$K$2,1),OR(Calendar!$K$4="*",N1081=Calendar!$K$4)),P1081*100+COUNTIFS($P$6:$P$3267,P1081,$Q$6:$Q$3267,"&lt;="&amp;Q1081,$N$6:$N$3267,Calendar!$K$4),"")</f>
        <v/>
      </c>
      <c r="W1081" s="47">
        <f>IF(AND(B1081=Queue!$C$4,OR(Queue!$K$4="*",N1081=Queue!$K$4)),Q1081,"")</f>
        <v/>
      </c>
    </row>
    <row r="1082">
      <c r="A1082" s="38">
        <f>IF(M1082="","",HYPERLINK("https://www.youtube.com/watch?v="&amp;M1082,"▶"))</f>
        <v/>
      </c>
      <c r="B1082" s="39">
        <f>IF(C1082&lt;&gt;"",C1082,IF(P1082&lt;=IFERROR(INDEX(tblChannels[Watched Through],MATCH(N1082,tblChannels[Channel ID],0)),0),"Watched","Unwatched"))</f>
        <v/>
      </c>
      <c r="C1082" s="40" t="n"/>
      <c r="D1082" s="41" t="n"/>
      <c r="E1082" s="42" t="n">
        <v>44799.61180555556</v>
      </c>
      <c r="F1082" s="50" t="inlineStr">
        <is>
          <t>Super Carlin Brothers</t>
        </is>
      </c>
      <c r="G1082" t="inlineStr">
        <is>
          <t>What If Harry Was In Slytherin - Order of the Phoenix | Harry Potter Film Theory</t>
        </is>
      </c>
      <c r="H1082" s="44" t="n">
        <v>0.03160879629629629</v>
      </c>
      <c r="I1082" s="45" t="n">
        <v>496750</v>
      </c>
      <c r="J1082" s="45" t="n">
        <v>17700</v>
      </c>
      <c r="K1082" s="45" t="n">
        <v>2536</v>
      </c>
      <c r="L1082" s="46" t="n"/>
      <c r="M1082" s="47" t="n"/>
      <c r="N1082" s="47" t="inlineStr">
        <is>
          <t>UCKZo4N0lVPccBkSiuyVh4yg</t>
        </is>
      </c>
      <c r="O1082" s="48" t="n">
        <v>44799.77847222222</v>
      </c>
      <c r="P1082" s="49" t="n">
        <v>44799</v>
      </c>
      <c r="Q1082" s="47" t="n">
        <v>2186</v>
      </c>
      <c r="R1082" s="47" t="inlineStr">
        <is>
          <t>No Video ID yet</t>
        </is>
      </c>
      <c r="S1082" s="49" t="n"/>
      <c r="T1082" s="49" t="n"/>
      <c r="U1082" s="47" t="inlineStr">
        <is>
          <t>Today J dives into the Wizarding World of Harry Potter to discover: What If Harry Was In Slytherin during Order of the Phoenix? Does Draco go bad now that Voldemort is back? Does Cedric Join the DA? Does Umbridge get attacked by a herd of angry Centaurs?</t>
        </is>
      </c>
      <c r="V1082" s="47">
        <f>IF(AND(P1082&gt;=Calendar!$K$2,P1082&lt;EDATE(Calendar!$K$2,1),OR(Calendar!$K$4="*",N1082=Calendar!$K$4)),P1082*100+COUNTIFS($P$6:$P$3267,P1082,$Q$6:$Q$3267,"&lt;="&amp;Q1082,$N$6:$N$3267,Calendar!$K$4),"")</f>
        <v/>
      </c>
      <c r="W1082" s="47">
        <f>IF(AND(B1082=Queue!$C$4,OR(Queue!$K$4="*",N1082=Queue!$K$4)),Q1082,"")</f>
        <v/>
      </c>
    </row>
    <row r="1083">
      <c r="A1083" s="38">
        <f>IF(M1083="","",HYPERLINK("https://www.youtube.com/watch?v="&amp;M1083,"▶"))</f>
        <v/>
      </c>
      <c r="B1083" s="39">
        <f>IF(C1083&lt;&gt;"",C1083,IF(P1083&lt;=IFERROR(INDEX(tblChannels[Watched Through],MATCH(N1083,tblChannels[Channel ID],0)),0),"Watched","Unwatched"))</f>
        <v/>
      </c>
      <c r="C1083" s="40" t="n"/>
      <c r="D1083" s="41" t="n"/>
      <c r="E1083" s="42" t="n">
        <v>44799.41666666666</v>
      </c>
      <c r="F1083" s="43" t="inlineStr">
        <is>
          <t>Popcorn Culture</t>
        </is>
      </c>
      <c r="G1083" t="inlineStr">
        <is>
          <t>80 Foot Flat Boat | Popcorn Culture</t>
        </is>
      </c>
      <c r="H1083" s="44" t="n">
        <v>0.05060185185185185</v>
      </c>
      <c r="I1083" s="45" t="n">
        <v>6433</v>
      </c>
      <c r="J1083" s="45" t="n">
        <v>321</v>
      </c>
      <c r="K1083" s="45" t="n">
        <v>31</v>
      </c>
      <c r="L1083" s="46" t="n"/>
      <c r="M1083" s="47" t="n"/>
      <c r="N1083" s="47" t="inlineStr">
        <is>
          <t>UCHfIbq9thHPC8yrKjAdJgDA</t>
        </is>
      </c>
      <c r="O1083" s="48" t="n">
        <v>44799.58333333334</v>
      </c>
      <c r="P1083" s="49" t="n">
        <v>44799</v>
      </c>
      <c r="Q1083" s="47" t="n">
        <v>2185</v>
      </c>
      <c r="R1083" s="47" t="inlineStr">
        <is>
          <t>No Video ID yet</t>
        </is>
      </c>
      <c r="S1083" s="49" t="n"/>
      <c r="T1083" s="49" t="n"/>
      <c r="U1083" s="47" t="inlineStr">
        <is>
          <t>In the 142nd episode of the Pop, J and Ben discuss weird fashion, self expression, dancing at weddings, Lincolns’ boat, their upcoming hike, Go Fest!, the Discord step competition, and SCB’s latest series. New’d Salem - Gobstopper Shoes - Love Island - Lincoln Heritage Water Trail- Go Fest - Wickin’ That Moisture Comfy Sweaty Brand New Pre-Scuffed Deep Brain Dive 80 Feet of Anything Is Gonna Be Heavy Retelling Horrible Stories 00:00 - Intro, Ben’s Getup 05:07 - (Not) White Chucks 12:54 - Ben Deep Brain Dive 32:45 - Abe Lincoln’s Boat 38:56 - Linville Gorge 50:30 - Step Competition 54:00 - What If Harry Had Been Sorted Into Slytherin Series 1:05:54 - Pokemon Tournaments</t>
        </is>
      </c>
      <c r="V1083" s="47">
        <f>IF(AND(P1083&gt;=Calendar!$K$2,P1083&lt;EDATE(Calendar!$K$2,1),OR(Calendar!$K$4="*",N1083=Calendar!$K$4)),P1083*100+COUNTIFS($P$6:$P$3267,P1083,$Q$6:$Q$3267,"&lt;="&amp;Q1083,$N$6:$N$3267,Calendar!$K$4),"")</f>
        <v/>
      </c>
      <c r="W1083" s="47">
        <f>IF(AND(B1083=Queue!$C$4,OR(Queue!$K$4="*",N1083=Queue!$K$4)),Q1083,"")</f>
        <v/>
      </c>
    </row>
    <row r="1084">
      <c r="A1084" s="38">
        <f>IF(M1084="","",HYPERLINK("https://www.youtube.com/watch?v="&amp;M1084,"▶"))</f>
        <v/>
      </c>
      <c r="B1084" s="39">
        <f>IF(C1084&lt;&gt;"",C1084,IF(P1084&lt;=IFERROR(INDEX(tblChannels[Watched Through],MATCH(N1084,tblChannels[Channel ID],0)),0),"Watched","Unwatched"))</f>
        <v/>
      </c>
      <c r="C1084" s="40" t="n"/>
      <c r="D1084" s="41" t="n"/>
      <c r="E1084" s="42" t="n">
        <v>44796.72291666667</v>
      </c>
      <c r="F1084" s="50" t="inlineStr">
        <is>
          <t>Super Carlin Brothers</t>
        </is>
      </c>
      <c r="G1084" t="inlineStr">
        <is>
          <t>Recasting The Harry Potter Movies! | Harry Potter Film Theory</t>
        </is>
      </c>
      <c r="H1084" s="44" t="n">
        <v>0.0137037037037037</v>
      </c>
      <c r="I1084" s="45" t="n">
        <v>182736</v>
      </c>
      <c r="J1084" s="45" t="n">
        <v>8727</v>
      </c>
      <c r="K1084" s="45" t="n">
        <v>2424</v>
      </c>
      <c r="L1084" s="46" t="n"/>
      <c r="M1084" s="47" t="n"/>
      <c r="N1084" s="47" t="inlineStr">
        <is>
          <t>UCKZo4N0lVPccBkSiuyVh4yg</t>
        </is>
      </c>
      <c r="O1084" s="48" t="n">
        <v>44796.88958333333</v>
      </c>
      <c r="P1084" s="49" t="n">
        <v>44796</v>
      </c>
      <c r="Q1084" s="47" t="n">
        <v>2184</v>
      </c>
      <c r="R1084" s="47" t="inlineStr">
        <is>
          <t>No Video ID yet</t>
        </is>
      </c>
      <c r="S1084" s="49" t="n"/>
      <c r="T1084" s="49" t="n"/>
      <c r="U1084" s="47" t="inlineStr">
        <is>
          <t>Go to to get up to 20% off your first box. Today Ben dives into the Wizarding World of Harry Potter to discuss which actors would be fun to see play different roles in the Wizarding World! #supercarlinbrothers #HarryPotter #MamoaVsMerchant</t>
        </is>
      </c>
      <c r="V1084" s="47">
        <f>IF(AND(P1084&gt;=Calendar!$K$2,P1084&lt;EDATE(Calendar!$K$2,1),OR(Calendar!$K$4="*",N1084=Calendar!$K$4)),P1084*100+COUNTIFS($P$6:$P$3267,P1084,$Q$6:$Q$3267,"&lt;="&amp;Q1084,$N$6:$N$3267,Calendar!$K$4),"")</f>
        <v/>
      </c>
      <c r="W1084" s="47">
        <f>IF(AND(B1084=Queue!$C$4,OR(Queue!$K$4="*",N1084=Queue!$K$4)),Q1084,"")</f>
        <v/>
      </c>
    </row>
    <row r="1085">
      <c r="A1085" s="38">
        <f>IF(M1085="","",HYPERLINK("https://www.youtube.com/watch?v="&amp;M1085,"▶"))</f>
        <v/>
      </c>
      <c r="B1085" s="39">
        <f>IF(C1085&lt;&gt;"",C1085,IF(P1085&lt;=IFERROR(INDEX(tblChannels[Watched Through],MATCH(N1085,tblChannels[Channel ID],0)),0),"Watched","Unwatched"))</f>
        <v/>
      </c>
      <c r="C1085" s="40" t="n"/>
      <c r="D1085" s="41" t="n"/>
      <c r="E1085" s="42" t="n">
        <v>44792.41666666666</v>
      </c>
      <c r="F1085" s="43" t="inlineStr">
        <is>
          <t>Popcorn Culture</t>
        </is>
      </c>
      <c r="G1085" t="inlineStr">
        <is>
          <t>Body Surfing Extraordinaire  | Popcorn Culture</t>
        </is>
      </c>
      <c r="H1085" s="44" t="n">
        <v>0.04672453703703704</v>
      </c>
      <c r="I1085" s="45" t="n">
        <v>6007</v>
      </c>
      <c r="J1085" s="45" t="n">
        <v>312</v>
      </c>
      <c r="K1085" s="45" t="n">
        <v>21</v>
      </c>
      <c r="L1085" s="46" t="n"/>
      <c r="M1085" s="47" t="n"/>
      <c r="N1085" s="47" t="inlineStr">
        <is>
          <t>UCHfIbq9thHPC8yrKjAdJgDA</t>
        </is>
      </c>
      <c r="O1085" s="48" t="n">
        <v>44792.58333333334</v>
      </c>
      <c r="P1085" s="49" t="n">
        <v>44792</v>
      </c>
      <c r="Q1085" s="47" t="n">
        <v>2183</v>
      </c>
      <c r="R1085" s="47" t="inlineStr">
        <is>
          <t>No Video ID yet</t>
        </is>
      </c>
      <c r="S1085" s="49" t="n"/>
      <c r="T1085" s="49" t="n"/>
      <c r="U1085" s="47" t="inlineStr">
        <is>
          <t>In the 141st episode of the Pop, J and Ben discuss time away, Encanto powers, Ben’s trailer, parent free time, The Secret Service, checks, beach trips, backpacking equipment, and the Step Competition. Encanto - Encanto Power Ranking Vid - Catch Me If You Can - Linville Gorge - Lightly Frustrating Tasks Grandpa Jack Plan Two Toilet Problems Fifteen Dollar Bill Unnecessary Beach Accessory 00:00 - Intro, Hostmanship Switch 02:43 - Encanto and Ben’s Vermont Trip 31:35 - Fun Fact About Abe Lincoln 40:43 - J’s Beach Trip 54:43 - Backpacking</t>
        </is>
      </c>
      <c r="V1085" s="47">
        <f>IF(AND(P1085&gt;=Calendar!$K$2,P1085&lt;EDATE(Calendar!$K$2,1),OR(Calendar!$K$4="*",N1085=Calendar!$K$4)),P1085*100+COUNTIFS($P$6:$P$3267,P1085,$Q$6:$Q$3267,"&lt;="&amp;Q1085,$N$6:$N$3267,Calendar!$K$4),"")</f>
        <v/>
      </c>
      <c r="W1085" s="47">
        <f>IF(AND(B1085=Queue!$C$4,OR(Queue!$K$4="*",N1085=Queue!$K$4)),Q1085,"")</f>
        <v/>
      </c>
    </row>
    <row r="1086">
      <c r="A1086" s="38">
        <f>IF(M1086="","",HYPERLINK("https://www.youtube.com/watch?v="&amp;M1086,"▶"))</f>
        <v/>
      </c>
      <c r="B1086" s="39">
        <f>IF(C1086&lt;&gt;"",C1086,IF(P1086&lt;=IFERROR(INDEX(tblChannels[Watched Through],MATCH(N1086,tblChannels[Channel ID],0)),0),"Watched","Unwatched"))</f>
        <v/>
      </c>
      <c r="C1086" s="40" t="n"/>
      <c r="D1086" s="41" t="n"/>
      <c r="E1086" s="42" t="n">
        <v>44791.75625</v>
      </c>
      <c r="F1086" s="50" t="inlineStr">
        <is>
          <t>Super Carlin Brothers</t>
        </is>
      </c>
      <c r="G1086" t="inlineStr">
        <is>
          <t>What If Harry Was In Slytherin - Goblet of Fire | Harry Potter Film Theory</t>
        </is>
      </c>
      <c r="H1086" s="44" t="n">
        <v>0.02424768518518518</v>
      </c>
      <c r="I1086" s="45" t="n">
        <v>453452</v>
      </c>
      <c r="J1086" s="45" t="n">
        <v>19514</v>
      </c>
      <c r="K1086" s="45" t="n">
        <v>1808</v>
      </c>
      <c r="L1086" s="46" t="n"/>
      <c r="M1086" s="47" t="n"/>
      <c r="N1086" s="47" t="inlineStr">
        <is>
          <t>UCKZo4N0lVPccBkSiuyVh4yg</t>
        </is>
      </c>
      <c r="O1086" s="48" t="n">
        <v>44791.92291666667</v>
      </c>
      <c r="P1086" s="49" t="n">
        <v>44791</v>
      </c>
      <c r="Q1086" s="47" t="n">
        <v>2182</v>
      </c>
      <c r="R1086" s="47" t="inlineStr">
        <is>
          <t>No Video ID yet</t>
        </is>
      </c>
      <c r="S1086" s="49" t="n"/>
      <c r="T1086" s="49" t="n"/>
      <c r="U1086" s="47" t="inlineStr">
        <is>
          <t>Go to to get up to 20% off your first box. Today J dives into the Wizarding World of Harry Potter to discover: What If Harry Was In Slytherin during Goblet of Fire? Does Voldemort still return? Does Cedric still die? And who will Harry ask to the Yule Ball?</t>
        </is>
      </c>
      <c r="V1086" s="47">
        <f>IF(AND(P1086&gt;=Calendar!$K$2,P1086&lt;EDATE(Calendar!$K$2,1),OR(Calendar!$K$4="*",N1086=Calendar!$K$4)),P1086*100+COUNTIFS($P$6:$P$3267,P1086,$Q$6:$Q$3267,"&lt;="&amp;Q1086,$N$6:$N$3267,Calendar!$K$4),"")</f>
        <v/>
      </c>
      <c r="W1086" s="47">
        <f>IF(AND(B1086=Queue!$C$4,OR(Queue!$K$4="*",N1086=Queue!$K$4)),Q1086,"")</f>
        <v/>
      </c>
    </row>
    <row r="1087">
      <c r="A1087" s="38">
        <f>IF(M1087="","",HYPERLINK("https://www.youtube.com/watch?v="&amp;M1087,"▶"))</f>
        <v/>
      </c>
      <c r="B1087" s="39">
        <f>IF(C1087&lt;&gt;"",C1087,IF(P1087&lt;=IFERROR(INDEX(tblChannels[Watched Through],MATCH(N1087,tblChannels[Channel ID],0)),0),"Watched","Unwatched"))</f>
        <v/>
      </c>
      <c r="C1087" s="40" t="n"/>
      <c r="D1087" s="41" t="n"/>
      <c r="E1087" s="42" t="n">
        <v>44789.81597222222</v>
      </c>
      <c r="F1087" s="50" t="inlineStr">
        <is>
          <t>Super Carlin Brothers</t>
        </is>
      </c>
      <c r="G1087" t="inlineStr">
        <is>
          <t>J vs Ben: ULTIMATE Hogwarts Letter Harry Potter TRIVIA Quiz</t>
        </is>
      </c>
      <c r="H1087" s="44" t="n">
        <v>0.02336805555555556</v>
      </c>
      <c r="I1087" s="45" t="n">
        <v>289604</v>
      </c>
      <c r="J1087" s="45" t="n">
        <v>8541</v>
      </c>
      <c r="K1087" s="45" t="n">
        <v>807</v>
      </c>
      <c r="L1087" s="46" t="n"/>
      <c r="M1087" s="47" t="n"/>
      <c r="N1087" s="47" t="inlineStr">
        <is>
          <t>UCKZo4N0lVPccBkSiuyVh4yg</t>
        </is>
      </c>
      <c r="O1087" s="48" t="n">
        <v>44789.98263888889</v>
      </c>
      <c r="P1087" s="49" t="n">
        <v>44789</v>
      </c>
      <c r="Q1087" s="47" t="n">
        <v>2181</v>
      </c>
      <c r="R1087" s="47" t="inlineStr">
        <is>
          <t>No Video ID yet</t>
        </is>
      </c>
      <c r="S1087" s="49" t="n"/>
      <c r="T1087" s="49" t="n"/>
      <c r="U1087" s="47" t="inlineStr">
        <is>
          <t>Go to to get 20% off your first order and free shipping. Download the DoorDash app and use code JVSB2022 when you sign up for DashPass to get 50% off your first order up to a $15 value. Go Fest Survey :: Play Along With Us :: Today J and Ben face off once more to determine who knows more about the Wizarding World and Harry’s first Hogwarts Letter as they take on the ULTIMATE Hogwarts Letter Quiz!</t>
        </is>
      </c>
      <c r="V1087" s="47">
        <f>IF(AND(P1087&gt;=Calendar!$K$2,P1087&lt;EDATE(Calendar!$K$2,1),OR(Calendar!$K$4="*",N1087=Calendar!$K$4)),P1087*100+COUNTIFS($P$6:$P$3267,P1087,$Q$6:$Q$3267,"&lt;="&amp;Q1087,$N$6:$N$3267,Calendar!$K$4),"")</f>
        <v/>
      </c>
      <c r="W1087" s="47">
        <f>IF(AND(B1087=Queue!$C$4,OR(Queue!$K$4="*",N1087=Queue!$K$4)),Q1087,"")</f>
        <v/>
      </c>
    </row>
    <row r="1088">
      <c r="A1088" s="38">
        <f>IF(M1088="","",HYPERLINK("https://www.youtube.com/watch?v="&amp;M1088,"▶"))</f>
        <v/>
      </c>
      <c r="B1088" s="39">
        <f>IF(C1088&lt;&gt;"",C1088,IF(P1088&lt;=IFERROR(INDEX(tblChannels[Watched Through],MATCH(N1088,tblChannels[Channel ID],0)),0),"Watched","Unwatched"))</f>
        <v/>
      </c>
      <c r="C1088" s="40" t="n"/>
      <c r="D1088" s="41" t="n"/>
      <c r="E1088" s="42" t="n">
        <v>44785.41666666666</v>
      </c>
      <c r="F1088" s="43" t="inlineStr">
        <is>
          <t>Popcorn Culture</t>
        </is>
      </c>
      <c r="G1088" t="inlineStr">
        <is>
          <t>Stabbed Pretending to be a Snowman  | Popcorn Culture</t>
        </is>
      </c>
      <c r="H1088" s="44" t="n">
        <v>0.04384259259259259</v>
      </c>
      <c r="I1088" s="45" t="n">
        <v>7599</v>
      </c>
      <c r="J1088" s="45" t="n">
        <v>366</v>
      </c>
      <c r="K1088" s="45" t="n">
        <v>34</v>
      </c>
      <c r="L1088" s="46" t="n"/>
      <c r="M1088" s="47" t="n"/>
      <c r="N1088" s="47" t="inlineStr">
        <is>
          <t>UCHfIbq9thHPC8yrKjAdJgDA</t>
        </is>
      </c>
      <c r="O1088" s="48" t="n">
        <v>44785.58333333334</v>
      </c>
      <c r="P1088" s="49" t="n">
        <v>44785</v>
      </c>
      <c r="Q1088" s="47" t="n">
        <v>2180</v>
      </c>
      <c r="R1088" s="47" t="inlineStr">
        <is>
          <t>No Video ID yet</t>
        </is>
      </c>
      <c r="S1088" s="49" t="n"/>
      <c r="T1088" s="49" t="n"/>
      <c r="U1088" s="47" t="inlineStr">
        <is>
          <t>Disclaimer: J did become the host in the two weeks before recording and this episode going live. In the 140th episode of the Pop J and Ben discuss knowledge vs. wisdom, horoscopes, signs you’ve grown, J’s weird dream, productivity, dancing, compliment their shoes, timelessness of trends, Water Signs - Shower Thoughts List - New’d - Old Gaming Channel Mario Kart - Tomatoes in the Fruit Salad Basically, I'm a Cloud The Vulnerability of Dancing Just Mean It It’s a Legacy Brand That’s How You Become an Antique Confidence Never Goes Out of Style 00:00 - Intro, Knowledge vs. Wisdom 18:14 - Dreams and Jokes 28:39 - Shower Thoughts 39:21 - Shoes and Trendiness</t>
        </is>
      </c>
      <c r="V1088" s="47">
        <f>IF(AND(P1088&gt;=Calendar!$K$2,P1088&lt;EDATE(Calendar!$K$2,1),OR(Calendar!$K$4="*",N1088=Calendar!$K$4)),P1088*100+COUNTIFS($P$6:$P$3267,P1088,$Q$6:$Q$3267,"&lt;="&amp;Q1088,$N$6:$N$3267,Calendar!$K$4),"")</f>
        <v/>
      </c>
      <c r="W1088" s="47">
        <f>IF(AND(B1088=Queue!$C$4,OR(Queue!$K$4="*",N1088=Queue!$K$4)),Q1088,"")</f>
        <v/>
      </c>
    </row>
    <row r="1089">
      <c r="A1089" s="38">
        <f>IF(M1089="","",HYPERLINK("https://www.youtube.com/watch?v="&amp;M1089,"▶"))</f>
        <v/>
      </c>
      <c r="B1089" s="39">
        <f>IF(C1089&lt;&gt;"",C1089,IF(P1089&lt;=IFERROR(INDEX(tblChannels[Watched Through],MATCH(N1089,tblChannels[Channel ID],0)),0),"Watched","Unwatched"))</f>
        <v/>
      </c>
      <c r="C1089" s="40" t="n"/>
      <c r="D1089" s="41" t="n"/>
      <c r="E1089" s="42" t="n">
        <v>44784.69375</v>
      </c>
      <c r="F1089" s="50" t="inlineStr">
        <is>
          <t>Super Carlin Brothers</t>
        </is>
      </c>
      <c r="G1089" t="inlineStr">
        <is>
          <t>Ranking Every Power from Encanto | Disney Film Theory</t>
        </is>
      </c>
      <c r="H1089" s="44" t="n">
        <v>0.01478009259259259</v>
      </c>
      <c r="I1089" s="45" t="n">
        <v>206928</v>
      </c>
      <c r="J1089" s="45" t="n">
        <v>9079</v>
      </c>
      <c r="K1089" s="45" t="n">
        <v>903</v>
      </c>
      <c r="L1089" s="46" t="n"/>
      <c r="M1089" s="47" t="n"/>
      <c r="N1089" s="47" t="inlineStr">
        <is>
          <t>UCKZo4N0lVPccBkSiuyVh4yg</t>
        </is>
      </c>
      <c r="O1089" s="48" t="n">
        <v>44784.86041666667</v>
      </c>
      <c r="P1089" s="49" t="n">
        <v>44784</v>
      </c>
      <c r="Q1089" s="47" t="n">
        <v>2179</v>
      </c>
      <c r="R1089" s="47" t="inlineStr">
        <is>
          <t>No Video ID yet</t>
        </is>
      </c>
      <c r="S1089" s="49" t="n"/>
      <c r="T1089" s="49" t="n"/>
      <c r="U1089" s="47" t="inlineStr">
        <is>
          <t>Go to and use promo code SUPERCARLIN to get a free 4-week trial plus free postage and a digital scale. Today Ben discusses everyone's favorite family, the Madrigals, and tries to answer an important question: whose gift is the most powerful?!? #supercarlinbrothers #encanto #disney</t>
        </is>
      </c>
      <c r="V1089" s="47">
        <f>IF(AND(P1089&gt;=Calendar!$K$2,P1089&lt;EDATE(Calendar!$K$2,1),OR(Calendar!$K$4="*",N1089=Calendar!$K$4)),P1089*100+COUNTIFS($P$6:$P$3267,P1089,$Q$6:$Q$3267,"&lt;="&amp;Q1089,$N$6:$N$3267,Calendar!$K$4),"")</f>
        <v/>
      </c>
      <c r="W1089" s="47">
        <f>IF(AND(B1089=Queue!$C$4,OR(Queue!$K$4="*",N1089=Queue!$K$4)),Q1089,"")</f>
        <v/>
      </c>
    </row>
    <row r="1090">
      <c r="A1090" s="38">
        <f>IF(M1090="","",HYPERLINK("https://www.youtube.com/watch?v="&amp;M1090,"▶"))</f>
        <v/>
      </c>
      <c r="B1090" s="39">
        <f>IF(C1090&lt;&gt;"",C1090,IF(P1090&lt;=IFERROR(INDEX(tblChannels[Watched Through],MATCH(N1090,tblChannels[Channel ID],0)),0),"Watched","Unwatched"))</f>
        <v/>
      </c>
      <c r="C1090" s="40" t="n"/>
      <c r="D1090" s="41" t="n"/>
      <c r="E1090" s="42" t="n">
        <v>44783.625</v>
      </c>
      <c r="F1090" s="52" t="inlineStr">
        <is>
          <t>Super Carlin Gaming</t>
        </is>
      </c>
      <c r="G1090" t="inlineStr">
        <is>
          <t>Bear Necessities |  Pokémon Legends: Arceus Nuzlocke #17</t>
        </is>
      </c>
      <c r="H1090" s="44" t="n">
        <v>0.02890046296296296</v>
      </c>
      <c r="I1090" s="45" t="n">
        <v>6142</v>
      </c>
      <c r="J1090" s="45" t="n">
        <v>338</v>
      </c>
      <c r="K1090" s="45" t="n">
        <v>87</v>
      </c>
      <c r="L1090" s="46" t="n"/>
      <c r="M1090" s="47" t="n"/>
      <c r="N1090" s="47" t="inlineStr">
        <is>
          <t>UCor_9jRnNNZVzTuQ92PKsaQ</t>
        </is>
      </c>
      <c r="O1090" s="48" t="n">
        <v>44783.79166666666</v>
      </c>
      <c r="P1090" s="49" t="n">
        <v>44783</v>
      </c>
      <c r="Q1090" s="47" t="n">
        <v>2178</v>
      </c>
      <c r="R1090" s="47" t="inlineStr">
        <is>
          <t>No Video ID yet</t>
        </is>
      </c>
      <c r="S1090" s="49" t="n"/>
      <c r="T1090" s="49" t="n"/>
      <c r="U1090" s="47" t="inlineStr">
        <is>
          <t>Today J and the team continue to work toward their Sneasler encounter, catching some new friends along the way!</t>
        </is>
      </c>
      <c r="V1090" s="47">
        <f>IF(AND(P1090&gt;=Calendar!$K$2,P1090&lt;EDATE(Calendar!$K$2,1),OR(Calendar!$K$4="*",N1090=Calendar!$K$4)),P1090*100+COUNTIFS($P$6:$P$3267,P1090,$Q$6:$Q$3267,"&lt;="&amp;Q1090,$N$6:$N$3267,Calendar!$K$4),"")</f>
        <v/>
      </c>
      <c r="W1090" s="47">
        <f>IF(AND(B1090=Queue!$C$4,OR(Queue!$K$4="*",N1090=Queue!$K$4)),Q1090,"")</f>
        <v/>
      </c>
    </row>
    <row r="1091">
      <c r="A1091" s="38">
        <f>IF(M1091="","",HYPERLINK("https://www.youtube.com/watch?v="&amp;M1091,"▶"))</f>
        <v/>
      </c>
      <c r="B1091" s="39">
        <f>IF(C1091&lt;&gt;"",C1091,IF(P1091&lt;=IFERROR(INDEX(tblChannels[Watched Through],MATCH(N1091,tblChannels[Channel ID],0)),0),"Watched","Unwatched"))</f>
        <v/>
      </c>
      <c r="C1091" s="40" t="n"/>
      <c r="D1091" s="41" t="n"/>
      <c r="E1091" s="42" t="n">
        <v>44782.81458333333</v>
      </c>
      <c r="F1091" s="50" t="inlineStr">
        <is>
          <t>Super Carlin Brothers</t>
        </is>
      </c>
      <c r="G1091" t="inlineStr">
        <is>
          <t>What If Harry Was In Slytherin? - Prisoner of Azkaban | Harry Potter Film Theory</t>
        </is>
      </c>
      <c r="H1091" s="44" t="n">
        <v>0.0228125</v>
      </c>
      <c r="I1091" s="45" t="n">
        <v>489077</v>
      </c>
      <c r="J1091" s="45" t="n">
        <v>22217</v>
      </c>
      <c r="K1091" s="45" t="n">
        <v>1762</v>
      </c>
      <c r="L1091" s="46" t="n"/>
      <c r="M1091" s="47" t="n"/>
      <c r="N1091" s="47" t="inlineStr">
        <is>
          <t>UCKZo4N0lVPccBkSiuyVh4yg</t>
        </is>
      </c>
      <c r="O1091" s="48" t="n">
        <v>44782.98125</v>
      </c>
      <c r="P1091" s="49" t="n">
        <v>44782</v>
      </c>
      <c r="Q1091" s="47" t="n">
        <v>2177</v>
      </c>
      <c r="R1091" s="47" t="inlineStr">
        <is>
          <t>No Video ID yet</t>
        </is>
      </c>
      <c r="S1091" s="49" t="n"/>
      <c r="T1091" s="49" t="n"/>
      <c r="U1091" s="47" t="inlineStr">
        <is>
          <t>Common Room Green Candle :: Today J dives into the Wizarding World of Harry Potter once more to answer the question: What if Harry Was in Slytherin instead of Gryffindor - PART 3 The Prisoner of Azkaban! Does he still get the Marauder's Map? Does Draco ever join the Slytherin Quidditch Team? #SuperCarlinBrothers #HarryPotter #WhatIf</t>
        </is>
      </c>
      <c r="V1091" s="47">
        <f>IF(AND(P1091&gt;=Calendar!$K$2,P1091&lt;EDATE(Calendar!$K$2,1),OR(Calendar!$K$4="*",N1091=Calendar!$K$4)),P1091*100+COUNTIFS($P$6:$P$3267,P1091,$Q$6:$Q$3267,"&lt;="&amp;Q1091,$N$6:$N$3267,Calendar!$K$4),"")</f>
        <v/>
      </c>
      <c r="W1091" s="47">
        <f>IF(AND(B1091=Queue!$C$4,OR(Queue!$K$4="*",N1091=Queue!$K$4)),Q1091,"")</f>
        <v/>
      </c>
    </row>
    <row r="1092">
      <c r="A1092" s="38">
        <f>IF(M1092="","",HYPERLINK("https://www.youtube.com/watch?v="&amp;M1092,"▶"))</f>
        <v/>
      </c>
      <c r="B1092" s="39">
        <f>IF(C1092&lt;&gt;"",C1092,IF(P1092&lt;=IFERROR(INDEX(tblChannels[Watched Through],MATCH(N1092,tblChannels[Channel ID],0)),0),"Watched","Unwatched"))</f>
        <v/>
      </c>
      <c r="C1092" s="40" t="n"/>
      <c r="D1092" s="41" t="n"/>
      <c r="E1092" s="42" t="n">
        <v>44781.58333333334</v>
      </c>
      <c r="F1092" s="53" t="inlineStr">
        <is>
          <t>Jonathan Carlin</t>
        </is>
      </c>
      <c r="G1092" t="inlineStr">
        <is>
          <t>Luke Finds Dinosaur Bones!</t>
        </is>
      </c>
      <c r="H1092" s="44" t="n">
        <v>0.01190972222222222</v>
      </c>
      <c r="I1092" s="45" t="n">
        <v>9580</v>
      </c>
      <c r="J1092" s="45" t="n">
        <v>597</v>
      </c>
      <c r="K1092" s="45" t="n">
        <v>33</v>
      </c>
      <c r="L1092" s="46" t="n"/>
      <c r="M1092" s="47" t="n"/>
      <c r="N1092" s="47" t="inlineStr">
        <is>
          <t>UCYPKFe86e6nm4TVUYKLsFUQ</t>
        </is>
      </c>
      <c r="O1092" s="48" t="n">
        <v>44781.75</v>
      </c>
      <c r="P1092" s="49" t="n">
        <v>44781</v>
      </c>
      <c r="Q1092" s="47" t="n">
        <v>2176</v>
      </c>
      <c r="R1092" s="47" t="inlineStr">
        <is>
          <t>No Video ID yet</t>
        </is>
      </c>
      <c r="S1092" s="49" t="n"/>
      <c r="T1092" s="49" t="n"/>
      <c r="U1092" s="47" t="inlineStr">
        <is>
          <t>This week J and the SCB team prep for a few weeks of vacation, J starts barrel aging some bourbon, Luke gets a new board game AND all the kids get to explore several new AWESOME playgrounds! Edited by Ethan Edghill</t>
        </is>
      </c>
      <c r="V1092" s="47">
        <f>IF(AND(P1092&gt;=Calendar!$K$2,P1092&lt;EDATE(Calendar!$K$2,1),OR(Calendar!$K$4="*",N1092=Calendar!$K$4)),P1092*100+COUNTIFS($P$6:$P$3267,P1092,$Q$6:$Q$3267,"&lt;="&amp;Q1092,$N$6:$N$3267,Calendar!$K$4),"")</f>
        <v/>
      </c>
      <c r="W1092" s="47">
        <f>IF(AND(B1092=Queue!$C$4,OR(Queue!$K$4="*",N1092=Queue!$K$4)),Q1092,"")</f>
        <v/>
      </c>
    </row>
    <row r="1093">
      <c r="A1093" s="38">
        <f>IF(M1093="","",HYPERLINK("https://www.youtube.com/watch?v="&amp;M1093,"▶"))</f>
        <v/>
      </c>
      <c r="B1093" s="39">
        <f>IF(C1093&lt;&gt;"",C1093,IF(P1093&lt;=IFERROR(INDEX(tblChannels[Watched Through],MATCH(N1093,tblChannels[Channel ID],0)),0),"Watched","Unwatched"))</f>
        <v/>
      </c>
      <c r="C1093" s="40" t="n"/>
      <c r="D1093" s="41" t="n"/>
      <c r="E1093" s="42" t="n">
        <v>44778.41666666666</v>
      </c>
      <c r="F1093" s="43" t="inlineStr">
        <is>
          <t>Popcorn Culture</t>
        </is>
      </c>
      <c r="G1093" t="inlineStr">
        <is>
          <t>Find Your White Wine | Popcorn Culture</t>
        </is>
      </c>
      <c r="H1093" s="44" t="n">
        <v>0.0416087962962963</v>
      </c>
      <c r="I1093" s="45" t="n">
        <v>11089</v>
      </c>
      <c r="J1093" s="45" t="n">
        <v>489</v>
      </c>
      <c r="K1093" s="45" t="n">
        <v>40</v>
      </c>
      <c r="L1093" s="46" t="n"/>
      <c r="M1093" s="47" t="n"/>
      <c r="N1093" s="47" t="inlineStr">
        <is>
          <t>UCHfIbq9thHPC8yrKjAdJgDA</t>
        </is>
      </c>
      <c r="O1093" s="48" t="n">
        <v>44778.58333333334</v>
      </c>
      <c r="P1093" s="49" t="n">
        <v>44778</v>
      </c>
      <c r="Q1093" s="47" t="n">
        <v>2175</v>
      </c>
      <c r="R1093" s="47" t="inlineStr">
        <is>
          <t>No Video ID yet</t>
        </is>
      </c>
      <c r="S1093" s="49" t="n"/>
      <c r="T1093" s="49" t="n"/>
      <c r="U1093" s="47" t="inlineStr">
        <is>
          <t>In the 139th episode of the Pop, aka the Wives Special 2.0, Ben, Alyce, J and Beth discuss early birds vs. night owls, party personalities, laughing gas, zodiac signs, favorite memories, trip anticipation, the camper, and room painting. Emperor’s New Groove Quotes - Bill and Ted’s Excellent Adventure Quotes - The Barnum Effect - The Barnum Effect - Beth’s Wick of the Peek: Stranger Things - Alyce’s Wick of the Peek: Love Island - The Leo Has Left the Chat Did “Fetch” Happen? Core Memories Just Go Use the Boat! If I Had a Barn… 00:00 - Intro, The Wives are Here! 08:35 - Stories Lining Up and White Wine Personalities 20:09 - Surprises and Zodiac Signs 31:35 - Wicks of the Peek 39:16 - Favorite Memories</t>
        </is>
      </c>
      <c r="V1093" s="47">
        <f>IF(AND(P1093&gt;=Calendar!$K$2,P1093&lt;EDATE(Calendar!$K$2,1),OR(Calendar!$K$4="*",N1093=Calendar!$K$4)),P1093*100+COUNTIFS($P$6:$P$3267,P1093,$Q$6:$Q$3267,"&lt;="&amp;Q1093,$N$6:$N$3267,Calendar!$K$4),"")</f>
        <v/>
      </c>
      <c r="W1093" s="47">
        <f>IF(AND(B1093=Queue!$C$4,OR(Queue!$K$4="*",N1093=Queue!$K$4)),Q1093,"")</f>
        <v/>
      </c>
    </row>
    <row r="1094">
      <c r="A1094" s="38">
        <f>IF(M1094="","",HYPERLINK("https://www.youtube.com/watch?v="&amp;M1094,"▶"))</f>
        <v/>
      </c>
      <c r="B1094" s="39">
        <f>IF(C1094&lt;&gt;"",C1094,IF(P1094&lt;=IFERROR(INDEX(tblChannels[Watched Through],MATCH(N1094,tblChannels[Channel ID],0)),0),"Watched","Unwatched"))</f>
        <v/>
      </c>
      <c r="C1094" s="40" t="n"/>
      <c r="D1094" s="41" t="n"/>
      <c r="E1094" s="42" t="n">
        <v>44777.62916666667</v>
      </c>
      <c r="F1094" s="50" t="inlineStr">
        <is>
          <t>Super Carlin Brothers</t>
        </is>
      </c>
      <c r="G1094" t="inlineStr">
        <is>
          <t>J vs Ben: The ULTIMATE Platform 9 &amp; 3/4 Harry Potter TRIVIA Quiz</t>
        </is>
      </c>
      <c r="H1094" s="44" t="n">
        <v>0.0202662037037037</v>
      </c>
      <c r="I1094" s="45" t="n">
        <v>214286</v>
      </c>
      <c r="J1094" s="45" t="n">
        <v>7927</v>
      </c>
      <c r="K1094" s="45" t="n">
        <v>594</v>
      </c>
      <c r="L1094" s="46" t="n"/>
      <c r="M1094" s="47" t="n"/>
      <c r="N1094" s="47" t="inlineStr">
        <is>
          <t>UCKZo4N0lVPccBkSiuyVh4yg</t>
        </is>
      </c>
      <c r="O1094" s="48" t="n">
        <v>44777.79583333333</v>
      </c>
      <c r="P1094" s="49" t="n">
        <v>44777</v>
      </c>
      <c r="Q1094" s="47" t="n">
        <v>2174</v>
      </c>
      <c r="R1094" s="47" t="inlineStr">
        <is>
          <t>No Video ID yet</t>
        </is>
      </c>
      <c r="S1094" s="49" t="n"/>
      <c r="T1094" s="49" t="n"/>
      <c r="U1094" s="47" t="inlineStr">
        <is>
          <t>Download the DoorDash app and use code JVSB2022 when you sign up for DashPass to get 50% off your first order up to a $15 value. Join the shirt club tier at Patreon.com/SuperCarlinBrothers to get a tie-dyed SCB shirt handmade by a member of the SCB team! Today J and Ben face off once more to find out who knows more about the legendary Platform 9 &amp; ¾, the Hogwarts Express and all the crazy things that happen as students prepare to leave for school! Take the quiz with us ::</t>
        </is>
      </c>
      <c r="V1094" s="47">
        <f>IF(AND(P1094&gt;=Calendar!$K$2,P1094&lt;EDATE(Calendar!$K$2,1),OR(Calendar!$K$4="*",N1094=Calendar!$K$4)),P1094*100+COUNTIFS($P$6:$P$3267,P1094,$Q$6:$Q$3267,"&lt;="&amp;Q1094,$N$6:$N$3267,Calendar!$K$4),"")</f>
        <v/>
      </c>
      <c r="W1094" s="47">
        <f>IF(AND(B1094=Queue!$C$4,OR(Queue!$K$4="*",N1094=Queue!$K$4)),Q1094,"")</f>
        <v/>
      </c>
    </row>
    <row r="1095">
      <c r="A1095" s="38">
        <f>IF(M1095="","",HYPERLINK("https://www.youtube.com/watch?v="&amp;M1095,"▶"))</f>
        <v/>
      </c>
      <c r="B1095" s="39">
        <f>IF(C1095&lt;&gt;"",C1095,IF(P1095&lt;=IFERROR(INDEX(tblChannels[Watched Through],MATCH(N1095,tblChannels[Channel ID],0)),0),"Watched","Unwatched"))</f>
        <v/>
      </c>
      <c r="C1095" s="40" t="n"/>
      <c r="D1095" s="41" t="n"/>
      <c r="E1095" s="42" t="n">
        <v>44776.625</v>
      </c>
      <c r="F1095" s="52" t="inlineStr">
        <is>
          <t>Super Carlin Gaming</t>
        </is>
      </c>
      <c r="G1095" t="inlineStr">
        <is>
          <t>The STONE Dragon |  Pokémon Legends: Arceus Nuzlocke #16</t>
        </is>
      </c>
      <c r="H1095" s="44" t="n">
        <v>0.034375</v>
      </c>
      <c r="I1095" s="45" t="n">
        <v>6584</v>
      </c>
      <c r="J1095" s="45" t="n">
        <v>345</v>
      </c>
      <c r="K1095" s="45" t="n">
        <v>75</v>
      </c>
      <c r="L1095" s="46" t="n"/>
      <c r="M1095" s="47" t="n"/>
      <c r="N1095" s="47" t="inlineStr">
        <is>
          <t>UCor_9jRnNNZVzTuQ92PKsaQ</t>
        </is>
      </c>
      <c r="O1095" s="48" t="n">
        <v>44776.79166666666</v>
      </c>
      <c r="P1095" s="49" t="n">
        <v>44776</v>
      </c>
      <c r="Q1095" s="47" t="n">
        <v>2173</v>
      </c>
      <c r="R1095" s="47" t="inlineStr">
        <is>
          <t>No Video ID yet</t>
        </is>
      </c>
      <c r="S1095" s="49" t="n"/>
      <c r="T1095" s="49" t="n"/>
      <c r="U1095" s="47" t="inlineStr">
        <is>
          <t>In this episode J and the team trek along at a breakneck pace, catching and releasing their way through new areas and adding some sturdy team members along the way...</t>
        </is>
      </c>
      <c r="V1095" s="47">
        <f>IF(AND(P1095&gt;=Calendar!$K$2,P1095&lt;EDATE(Calendar!$K$2,1),OR(Calendar!$K$4="*",N1095=Calendar!$K$4)),P1095*100+COUNTIFS($P$6:$P$3267,P1095,$Q$6:$Q$3267,"&lt;="&amp;Q1095,$N$6:$N$3267,Calendar!$K$4),"")</f>
        <v/>
      </c>
      <c r="W1095" s="47">
        <f>IF(AND(B1095=Queue!$C$4,OR(Queue!$K$4="*",N1095=Queue!$K$4)),Q1095,"")</f>
        <v/>
      </c>
    </row>
    <row r="1096">
      <c r="A1096" s="38">
        <f>IF(M1096="","",HYPERLINK("https://www.youtube.com/watch?v="&amp;M1096,"▶"))</f>
        <v/>
      </c>
      <c r="B1096" s="39">
        <f>IF(C1096&lt;&gt;"",C1096,IF(P1096&lt;=IFERROR(INDEX(tblChannels[Watched Through],MATCH(N1096,tblChannels[Channel ID],0)),0),"Watched","Unwatched"))</f>
        <v/>
      </c>
      <c r="C1096" s="40" t="n"/>
      <c r="D1096" s="41" t="n"/>
      <c r="E1096" s="42" t="n">
        <v>44775.69444444445</v>
      </c>
      <c r="F1096" s="50" t="inlineStr">
        <is>
          <t>Super Carlin Brothers</t>
        </is>
      </c>
      <c r="G1096" t="inlineStr">
        <is>
          <t>What If Harry Was In Slytherin? - Chamber of Secrets | Harry Potter Film Theory</t>
        </is>
      </c>
      <c r="H1096" s="44" t="n">
        <v>0.01875</v>
      </c>
      <c r="I1096" s="45" t="n">
        <v>512077</v>
      </c>
      <c r="J1096" s="45" t="n">
        <v>20149</v>
      </c>
      <c r="K1096" s="45" t="n">
        <v>2196</v>
      </c>
      <c r="L1096" s="46" t="n"/>
      <c r="M1096" s="47" t="n"/>
      <c r="N1096" s="47" t="inlineStr">
        <is>
          <t>UCKZo4N0lVPccBkSiuyVh4yg</t>
        </is>
      </c>
      <c r="O1096" s="48" t="n">
        <v>44775.86111111111</v>
      </c>
      <c r="P1096" s="49" t="n">
        <v>44775</v>
      </c>
      <c r="Q1096" s="47" t="n">
        <v>2172</v>
      </c>
      <c r="R1096" s="47" t="inlineStr">
        <is>
          <t>No Video ID yet</t>
        </is>
      </c>
      <c r="S1096" s="49" t="n"/>
      <c r="T1096" s="49" t="n"/>
      <c r="U1096" s="47" t="inlineStr">
        <is>
          <t>Go to to get 20% off plus free shipping. Today J dives back into the Wizarding World of Harry Potter for part 2 of our journey into the question of “What if Harry was Sorting into Slytherin?” #SuperCarlinBrothers #HarryPotter #WhatIf</t>
        </is>
      </c>
      <c r="V1096" s="47">
        <f>IF(AND(P1096&gt;=Calendar!$K$2,P1096&lt;EDATE(Calendar!$K$2,1),OR(Calendar!$K$4="*",N1096=Calendar!$K$4)),P1096*100+COUNTIFS($P$6:$P$3267,P1096,$Q$6:$Q$3267,"&lt;="&amp;Q1096,$N$6:$N$3267,Calendar!$K$4),"")</f>
        <v/>
      </c>
      <c r="W1096" s="47">
        <f>IF(AND(B1096=Queue!$C$4,OR(Queue!$K$4="*",N1096=Queue!$K$4)),Q1096,"")</f>
        <v/>
      </c>
    </row>
    <row r="1097">
      <c r="A1097" s="38">
        <f>IF(M1097="","",HYPERLINK("https://www.youtube.com/watch?v="&amp;M1097,"▶"))</f>
        <v/>
      </c>
      <c r="B1097" s="39">
        <f>IF(C1097&lt;&gt;"",C1097,IF(P1097&lt;=IFERROR(INDEX(tblChannels[Watched Through],MATCH(N1097,tblChannels[Channel ID],0)),0),"Watched","Unwatched"))</f>
        <v/>
      </c>
      <c r="C1097" s="40" t="n"/>
      <c r="D1097" s="41" t="n"/>
      <c r="E1097" s="42" t="n">
        <v>44771.41666666666</v>
      </c>
      <c r="F1097" s="43" t="inlineStr">
        <is>
          <t>Popcorn Culture</t>
        </is>
      </c>
      <c r="G1097" t="inlineStr">
        <is>
          <t>Wow, That's So Humid! | Popcorn Culture</t>
        </is>
      </c>
      <c r="H1097" s="44" t="n">
        <v>0.04629629629629629</v>
      </c>
      <c r="I1097" s="45" t="n">
        <v>8502</v>
      </c>
      <c r="J1097" s="45" t="n">
        <v>343</v>
      </c>
      <c r="K1097" s="45" t="n">
        <v>56</v>
      </c>
      <c r="L1097" s="46" t="n"/>
      <c r="M1097" s="47" t="n"/>
      <c r="N1097" s="47" t="inlineStr">
        <is>
          <t>UCHfIbq9thHPC8yrKjAdJgDA</t>
        </is>
      </c>
      <c r="O1097" s="48" t="n">
        <v>44771.58333333334</v>
      </c>
      <c r="P1097" s="49" t="n">
        <v>44771</v>
      </c>
      <c r="Q1097" s="47" t="n">
        <v>2171</v>
      </c>
      <c r="R1097" s="47" t="inlineStr">
        <is>
          <t>No Video ID yet</t>
        </is>
      </c>
      <c r="S1097" s="49" t="n"/>
      <c r="T1097" s="49" t="n"/>
      <c r="U1097" s="47" t="inlineStr">
        <is>
          <t>In the 138th Episode of the Pop, Ben and J discuss the heat, Go Fest, pub cycles, watermelons and cucumbers, versions of you, what instruments they would play, and trendy words. Mark Your Calendars for Go Fest, Oct. 15th - J’s First Vlog about Go Fest - Love Island - Pictures from the Telescope - Medium Damp Heat Watermelons Are Better Than Cucumbers Should We Start a Band?! Fleek Zero Hashbrowns to Skateboards The One True Popcorn Galaxy 00:00 - Intro, Wet Heat 02:07 - Go Fest! 08:35 - Pub Cycles and Bachelor(ette) Parties 19:54 - Shower Thoughts 30:33 - Instruments, Fleek and Other Words 1:00:36 - Full Circle to Wet Heat</t>
        </is>
      </c>
      <c r="V1097" s="47">
        <f>IF(AND(P1097&gt;=Calendar!$K$2,P1097&lt;EDATE(Calendar!$K$2,1),OR(Calendar!$K$4="*",N1097=Calendar!$K$4)),P1097*100+COUNTIFS($P$6:$P$3267,P1097,$Q$6:$Q$3267,"&lt;="&amp;Q1097,$N$6:$N$3267,Calendar!$K$4),"")</f>
        <v/>
      </c>
      <c r="W1097" s="47">
        <f>IF(AND(B1097=Queue!$C$4,OR(Queue!$K$4="*",N1097=Queue!$K$4)),Q1097,"")</f>
        <v/>
      </c>
    </row>
    <row r="1098">
      <c r="A1098" s="38">
        <f>IF(M1098="","",HYPERLINK("https://www.youtube.com/watch?v="&amp;M1098,"▶"))</f>
        <v/>
      </c>
      <c r="B1098" s="39">
        <f>IF(C1098&lt;&gt;"",C1098,IF(P1098&lt;=IFERROR(INDEX(tblChannels[Watched Through],MATCH(N1098,tblChannels[Channel ID],0)),0),"Watched","Unwatched"))</f>
        <v/>
      </c>
      <c r="C1098" s="40" t="n"/>
      <c r="D1098" s="41" t="n"/>
      <c r="E1098" s="42" t="n">
        <v>44770.71458333333</v>
      </c>
      <c r="F1098" s="50" t="inlineStr">
        <is>
          <t>Super Carlin Brothers</t>
        </is>
      </c>
      <c r="G1098" t="inlineStr">
        <is>
          <t>The Future of the MCU Explained Phase 5 &amp; 6 | Marvel Film Theory</t>
        </is>
      </c>
      <c r="H1098" s="44" t="n">
        <v>0.01480324074074074</v>
      </c>
      <c r="I1098" s="45" t="n">
        <v>108124</v>
      </c>
      <c r="J1098" s="45" t="n">
        <v>5113</v>
      </c>
      <c r="K1098" s="45" t="n">
        <v>595</v>
      </c>
      <c r="L1098" s="46" t="n"/>
      <c r="M1098" s="47" t="n"/>
      <c r="N1098" s="47" t="inlineStr">
        <is>
          <t>UCKZo4N0lVPccBkSiuyVh4yg</t>
        </is>
      </c>
      <c r="O1098" s="48" t="n">
        <v>44770.88125</v>
      </c>
      <c r="P1098" s="49" t="n">
        <v>44770</v>
      </c>
      <c r="Q1098" s="47" t="n">
        <v>2170</v>
      </c>
      <c r="R1098" s="47" t="inlineStr">
        <is>
          <t>No Video ID yet</t>
        </is>
      </c>
      <c r="S1098" s="49" t="n"/>
      <c r="T1098" s="49" t="n"/>
      <c r="U1098" s="47" t="inlineStr">
        <is>
          <t>Go to to get up to 20% off your first box. Today Ben dives into the MCU to go over ALL of the announcements from this years San Diego ComicCon including ALL of phase 5 and new avengers movies in phase 6! Plus.. is Doctor Doom already in motion? #SuperCarlinBrothers #Marvel</t>
        </is>
      </c>
      <c r="V1098" s="47">
        <f>IF(AND(P1098&gt;=Calendar!$K$2,P1098&lt;EDATE(Calendar!$K$2,1),OR(Calendar!$K$4="*",N1098=Calendar!$K$4)),P1098*100+COUNTIFS($P$6:$P$3267,P1098,$Q$6:$Q$3267,"&lt;="&amp;Q1098,$N$6:$N$3267,Calendar!$K$4),"")</f>
        <v/>
      </c>
      <c r="W1098" s="47">
        <f>IF(AND(B1098=Queue!$C$4,OR(Queue!$K$4="*",N1098=Queue!$K$4)),Q1098,"")</f>
        <v/>
      </c>
    </row>
    <row r="1099">
      <c r="A1099" s="38">
        <f>IF(M1099="","",HYPERLINK("https://www.youtube.com/watch?v="&amp;M1099,"▶"))</f>
        <v/>
      </c>
      <c r="B1099" s="39">
        <f>IF(C1099&lt;&gt;"",C1099,IF(P1099&lt;=IFERROR(INDEX(tblChannels[Watched Through],MATCH(N1099,tblChannels[Channel ID],0)),0),"Watched","Unwatched"))</f>
        <v/>
      </c>
      <c r="C1099" s="40" t="n"/>
      <c r="D1099" s="41" t="n"/>
      <c r="E1099" s="42" t="n">
        <v>44769.625</v>
      </c>
      <c r="F1099" s="52" t="inlineStr">
        <is>
          <t>Super Carlin Gaming</t>
        </is>
      </c>
      <c r="G1099" t="inlineStr">
        <is>
          <t>The Boulder and the Black Night |  Pokémon Legends: Arceus Nuzlocke #15</t>
        </is>
      </c>
      <c r="H1099" s="44" t="n">
        <v>0.03212962962962963</v>
      </c>
      <c r="I1099" s="45" t="n">
        <v>6503</v>
      </c>
      <c r="J1099" s="45" t="n">
        <v>359</v>
      </c>
      <c r="K1099" s="45" t="n">
        <v>75</v>
      </c>
      <c r="L1099" s="46" t="n"/>
      <c r="M1099" s="47" t="n"/>
      <c r="N1099" s="47" t="inlineStr">
        <is>
          <t>UCor_9jRnNNZVzTuQ92PKsaQ</t>
        </is>
      </c>
      <c r="O1099" s="48" t="n">
        <v>44769.79166666666</v>
      </c>
      <c r="P1099" s="49" t="n">
        <v>44769</v>
      </c>
      <c r="Q1099" s="47" t="n">
        <v>2169</v>
      </c>
      <c r="R1099" s="47" t="inlineStr">
        <is>
          <t>No Video ID yet</t>
        </is>
      </c>
      <c r="S1099" s="49" t="n"/>
      <c r="T1099" s="49" t="n"/>
      <c r="U1099" s="47" t="inlineStr">
        <is>
          <t>Following a necessary rule change to the Nuzlocke run, J and the team set out to catch and release as many Pokémon as possible, and evolve some crucial team members along the way!</t>
        </is>
      </c>
      <c r="V1099" s="47">
        <f>IF(AND(P1099&gt;=Calendar!$K$2,P1099&lt;EDATE(Calendar!$K$2,1),OR(Calendar!$K$4="*",N1099=Calendar!$K$4)),P1099*100+COUNTIFS($P$6:$P$3267,P1099,$Q$6:$Q$3267,"&lt;="&amp;Q1099,$N$6:$N$3267,Calendar!$K$4),"")</f>
        <v/>
      </c>
      <c r="W1099" s="47">
        <f>IF(AND(B1099=Queue!$C$4,OR(Queue!$K$4="*",N1099=Queue!$K$4)),Q1099,"")</f>
        <v/>
      </c>
    </row>
    <row r="1100">
      <c r="A1100" s="38">
        <f>IF(M1100="","",HYPERLINK("https://www.youtube.com/watch?v="&amp;M1100,"▶"))</f>
        <v/>
      </c>
      <c r="B1100" s="39">
        <f>IF(C1100&lt;&gt;"",C1100,IF(P1100&lt;=IFERROR(INDEX(tblChannels[Watched Through],MATCH(N1100,tblChannels[Channel ID],0)),0),"Watched","Unwatched"))</f>
        <v/>
      </c>
      <c r="C1100" s="40" t="n"/>
      <c r="D1100" s="41" t="n"/>
      <c r="E1100" s="42" t="n">
        <v>44768.65138888889</v>
      </c>
      <c r="F1100" s="50" t="inlineStr">
        <is>
          <t>Super Carlin Brothers</t>
        </is>
      </c>
      <c r="G1100" t="inlineStr">
        <is>
          <t>What If Harry Was In Slytherin? - Philosopher's Stone | Harry Potter Film Theory</t>
        </is>
      </c>
      <c r="H1100" s="44" t="n">
        <v>0.0153125</v>
      </c>
      <c r="I1100" s="45" t="n">
        <v>982267</v>
      </c>
      <c r="J1100" s="45" t="n">
        <v>28319</v>
      </c>
      <c r="K1100" s="45" t="n">
        <v>2129</v>
      </c>
      <c r="L1100" s="46" t="n"/>
      <c r="M1100" s="47" t="n"/>
      <c r="N1100" s="47" t="inlineStr">
        <is>
          <t>UCKZo4N0lVPccBkSiuyVh4yg</t>
        </is>
      </c>
      <c r="O1100" s="48" t="n">
        <v>44768.81805555556</v>
      </c>
      <c r="P1100" s="49" t="n">
        <v>44768</v>
      </c>
      <c r="Q1100" s="47" t="n">
        <v>2168</v>
      </c>
      <c r="R1100" s="47" t="inlineStr">
        <is>
          <t>No Video ID yet</t>
        </is>
      </c>
      <c r="S1100" s="49" t="n"/>
      <c r="T1100" s="49" t="n"/>
      <c r="U1100" s="47" t="inlineStr">
        <is>
          <t>Today J dives into the Wizarding World of Harry Potter to answer the question: What If Harry HAD been Sorted into Slytherin House? Would he still defeat Voldemort? Would Ron and Hermione still be his friends? Would Snape actually like him? 00:00 Introduction 02:40 What needs to Happen for Harry to get sorted differently 06:54 How Slytherin House receives Harry 09:53 The First Flying Lesson 16:28 J's amazing Impression of the Golden Trio 19:48 SLYTHERIN WINS THE HOUSE CUP #SuperCarlinBrothers #WhatIf #HarryPotter</t>
        </is>
      </c>
      <c r="V1100" s="47">
        <f>IF(AND(P1100&gt;=Calendar!$K$2,P1100&lt;EDATE(Calendar!$K$2,1),OR(Calendar!$K$4="*",N1100=Calendar!$K$4)),P1100*100+COUNTIFS($P$6:$P$3267,P1100,$Q$6:$Q$3267,"&lt;="&amp;Q1100,$N$6:$N$3267,Calendar!$K$4),"")</f>
        <v/>
      </c>
      <c r="W1100" s="47">
        <f>IF(AND(B1100=Queue!$C$4,OR(Queue!$K$4="*",N1100=Queue!$K$4)),Q1100,"")</f>
        <v/>
      </c>
    </row>
    <row r="1101">
      <c r="A1101" s="38">
        <f>IF(M1101="","",HYPERLINK("https://www.youtube.com/watch?v="&amp;M1101,"▶"))</f>
        <v/>
      </c>
      <c r="B1101" s="39">
        <f>IF(C1101&lt;&gt;"",C1101,IF(P1101&lt;=IFERROR(INDEX(tblChannels[Watched Through],MATCH(N1101,tblChannels[Channel ID],0)),0),"Watched","Unwatched"))</f>
        <v/>
      </c>
      <c r="C1101" s="40" t="n"/>
      <c r="D1101" s="41" t="n"/>
      <c r="E1101" s="42" t="n">
        <v>44764.66666666666</v>
      </c>
      <c r="F1101" s="52" t="inlineStr">
        <is>
          <t>Super Carlin Gaming</t>
        </is>
      </c>
      <c r="G1101" t="inlineStr">
        <is>
          <t>We Discover the RAREST Common Card.. | Carlin Brother's Box Breakers Astral Radiance</t>
        </is>
      </c>
      <c r="H1101" s="44" t="n">
        <v>0.0296875</v>
      </c>
      <c r="I1101" s="45" t="n">
        <v>5548</v>
      </c>
      <c r="J1101" s="45" t="n">
        <v>306</v>
      </c>
      <c r="K1101" s="45" t="n">
        <v>36</v>
      </c>
      <c r="L1101" s="46" t="n"/>
      <c r="M1101" s="47" t="n"/>
      <c r="N1101" s="47" t="inlineStr">
        <is>
          <t>UCor_9jRnNNZVzTuQ92PKsaQ</t>
        </is>
      </c>
      <c r="O1101" s="48" t="n">
        <v>44764.83333333334</v>
      </c>
      <c r="P1101" s="49" t="n">
        <v>44764</v>
      </c>
      <c r="Q1101" s="47" t="n">
        <v>2167</v>
      </c>
      <c r="R1101" s="47" t="inlineStr">
        <is>
          <t>No Video ID yet</t>
        </is>
      </c>
      <c r="S1101" s="49" t="n"/>
      <c r="T1101" s="49" t="n"/>
      <c r="U1101" s="47" t="inlineStr">
        <is>
          <t>This week we launch the first official episode of Carlin Brother's Box Breakers! In each episode we'll open a booster box of Pokemon Cards each of which will be assigned to one of our Box Breaker Patrons - The more valuable your cards are the more points you get!</t>
        </is>
      </c>
      <c r="V1101" s="47">
        <f>IF(AND(P1101&gt;=Calendar!$K$2,P1101&lt;EDATE(Calendar!$K$2,1),OR(Calendar!$K$4="*",N1101=Calendar!$K$4)),P1101*100+COUNTIFS($P$6:$P$3267,P1101,$Q$6:$Q$3267,"&lt;="&amp;Q1101,$N$6:$N$3267,Calendar!$K$4),"")</f>
        <v/>
      </c>
      <c r="W1101" s="47">
        <f>IF(AND(B1101=Queue!$C$4,OR(Queue!$K$4="*",N1101=Queue!$K$4)),Q1101,"")</f>
        <v/>
      </c>
    </row>
    <row r="1102">
      <c r="A1102" s="38">
        <f>IF(M1102="","",HYPERLINK("https://www.youtube.com/watch?v="&amp;M1102,"▶"))</f>
        <v/>
      </c>
      <c r="B1102" s="39">
        <f>IF(C1102&lt;&gt;"",C1102,IF(P1102&lt;=IFERROR(INDEX(tblChannels[Watched Through],MATCH(N1102,tblChannels[Channel ID],0)),0),"Watched","Unwatched"))</f>
        <v/>
      </c>
      <c r="C1102" s="40" t="n"/>
      <c r="D1102" s="41" t="n"/>
      <c r="E1102" s="42" t="n">
        <v>44764.50625</v>
      </c>
      <c r="F1102" s="43" t="inlineStr">
        <is>
          <t>Popcorn Culture</t>
        </is>
      </c>
      <c r="G1102" t="inlineStr">
        <is>
          <t>Apple Hipsters | Popcorn Culture</t>
        </is>
      </c>
      <c r="H1102" s="44" t="n">
        <v>0.04462962962962963</v>
      </c>
      <c r="I1102" s="45" t="n">
        <v>5563</v>
      </c>
      <c r="J1102" s="45" t="n">
        <v>312</v>
      </c>
      <c r="K1102" s="45" t="n">
        <v>31</v>
      </c>
      <c r="L1102" s="46" t="n"/>
      <c r="M1102" s="47" t="n"/>
      <c r="N1102" s="47" t="inlineStr">
        <is>
          <t>UCHfIbq9thHPC8yrKjAdJgDA</t>
        </is>
      </c>
      <c r="O1102" s="48" t="n">
        <v>44764.67291666667</v>
      </c>
      <c r="P1102" s="49" t="n">
        <v>44764</v>
      </c>
      <c r="Q1102" s="47" t="n">
        <v>2166</v>
      </c>
      <c r="R1102" s="47" t="inlineStr">
        <is>
          <t>No Video ID yet</t>
        </is>
      </c>
      <c r="S1102" s="49" t="n"/>
      <c r="T1102" s="49" t="n"/>
      <c r="U1102" s="47" t="inlineStr">
        <is>
          <t>Ben and J discuss: reading new things, being a generalist vs. a specialist, gaming strategy, pokemon victories, classic arcade games and challenge coins. Justin Long Apple Commercials - Monopoly Strategy - Super Mario Strikers - Ben’s Wick of the Peek: Name of the Wind (for the 7th time) - J’s Wick of the Peek (for grown-ups): Ozark - Inspecting Your Verizons How to Win Monopoly How to Escape the Blue Shell Gotta Get Through the Slog MEGACARD Pacman is Like the Great Outdoors Speakeasy Barcade 00:00 - Intro, Name of the Wind 13:18 - Generalists vs. Specialists and Gaming Strategy 39:43 - J’s Pokemon Victory 43:35 - Challenge Coin and Old Arcade Games</t>
        </is>
      </c>
      <c r="V1102" s="47">
        <f>IF(AND(P1102&gt;=Calendar!$K$2,P1102&lt;EDATE(Calendar!$K$2,1),OR(Calendar!$K$4="*",N1102=Calendar!$K$4)),P1102*100+COUNTIFS($P$6:$P$3267,P1102,$Q$6:$Q$3267,"&lt;="&amp;Q1102,$N$6:$N$3267,Calendar!$K$4),"")</f>
        <v/>
      </c>
      <c r="W1102" s="47">
        <f>IF(AND(B1102=Queue!$C$4,OR(Queue!$K$4="*",N1102=Queue!$K$4)),Q1102,"")</f>
        <v/>
      </c>
    </row>
    <row r="1103">
      <c r="A1103" s="38">
        <f>IF(M1103="","",HYPERLINK("https://www.youtube.com/watch?v="&amp;M1103,"▶"))</f>
        <v/>
      </c>
      <c r="B1103" s="39">
        <f>IF(C1103&lt;&gt;"",C1103,IF(P1103&lt;=IFERROR(INDEX(tblChannels[Watched Through],MATCH(N1103,tblChannels[Channel ID],0)),0),"Watched","Unwatched"))</f>
        <v/>
      </c>
      <c r="C1103" s="40" t="n"/>
      <c r="D1103" s="41" t="n"/>
      <c r="E1103" s="42" t="n">
        <v>44763.68888888889</v>
      </c>
      <c r="F1103" s="50" t="inlineStr">
        <is>
          <t>Super Carlin Brothers</t>
        </is>
      </c>
      <c r="G1103" t="inlineStr">
        <is>
          <t>J vs Ben: The HARDEST James &amp; Lily Potter TRIVIA Quiz | Harry Potter Game</t>
        </is>
      </c>
      <c r="H1103" s="44" t="n">
        <v>0.019375</v>
      </c>
      <c r="I1103" s="45" t="n">
        <v>217377</v>
      </c>
      <c r="J1103" s="45" t="n">
        <v>7994</v>
      </c>
      <c r="K1103" s="45" t="n">
        <v>553</v>
      </c>
      <c r="L1103" s="46" t="n"/>
      <c r="M1103" s="47" t="n"/>
      <c r="N1103" s="47" t="inlineStr">
        <is>
          <t>UCKZo4N0lVPccBkSiuyVh4yg</t>
        </is>
      </c>
      <c r="O1103" s="48" t="n">
        <v>44763.85555555556</v>
      </c>
      <c r="P1103" s="49" t="n">
        <v>44763</v>
      </c>
      <c r="Q1103" s="47" t="n">
        <v>2165</v>
      </c>
      <c r="R1103" s="47" t="inlineStr">
        <is>
          <t>No Video ID yet</t>
        </is>
      </c>
      <c r="S1103" s="49" t="n"/>
      <c r="T1103" s="49" t="n"/>
      <c r="U1103" s="47" t="inlineStr">
        <is>
          <t>Go to to get Honey for FREE! Go to to get an extra 3 months for free. Today J and Ben face off once more to find out who knows more about James &amp; Lily Potter and the Wizarding World! Check out our Dad's WSLS Story: #SuperCarlinBrothers #JvsBen #HarryPotter</t>
        </is>
      </c>
      <c r="V1103" s="47">
        <f>IF(AND(P1103&gt;=Calendar!$K$2,P1103&lt;EDATE(Calendar!$K$2,1),OR(Calendar!$K$4="*",N1103=Calendar!$K$4)),P1103*100+COUNTIFS($P$6:$P$3267,P1103,$Q$6:$Q$3267,"&lt;="&amp;Q1103,$N$6:$N$3267,Calendar!$K$4),"")</f>
        <v/>
      </c>
      <c r="W1103" s="47">
        <f>IF(AND(B1103=Queue!$C$4,OR(Queue!$K$4="*",N1103=Queue!$K$4)),Q1103,"")</f>
        <v/>
      </c>
    </row>
    <row r="1104">
      <c r="A1104" s="38">
        <f>IF(M1104="","",HYPERLINK("https://www.youtube.com/watch?v="&amp;M1104,"▶"))</f>
        <v/>
      </c>
      <c r="B1104" s="39">
        <f>IF(C1104&lt;&gt;"",C1104,IF(P1104&lt;=IFERROR(INDEX(tblChannels[Watched Through],MATCH(N1104,tblChannels[Channel ID],0)),0),"Watched","Unwatched"))</f>
        <v/>
      </c>
      <c r="C1104" s="40" t="n"/>
      <c r="D1104" s="41" t="n"/>
      <c r="E1104" s="42" t="n">
        <v>44762.625</v>
      </c>
      <c r="F1104" s="52" t="inlineStr">
        <is>
          <t>Super Carlin Gaming</t>
        </is>
      </c>
      <c r="G1104" t="inlineStr">
        <is>
          <t>On the ALPHA Hunt |  Pokémon Legends: Arceus Nuzlocke #14</t>
        </is>
      </c>
      <c r="H1104" s="44" t="n">
        <v>0.02645833333333333</v>
      </c>
      <c r="I1104" s="45" t="n">
        <v>6298</v>
      </c>
      <c r="J1104" s="45" t="n">
        <v>394</v>
      </c>
      <c r="K1104" s="45" t="n">
        <v>130</v>
      </c>
      <c r="L1104" s="46" t="n"/>
      <c r="M1104" s="47" t="n"/>
      <c r="N1104" s="47" t="inlineStr">
        <is>
          <t>UCor_9jRnNNZVzTuQ92PKsaQ</t>
        </is>
      </c>
      <c r="O1104" s="48" t="n">
        <v>44762.79166666666</v>
      </c>
      <c r="P1104" s="49" t="n">
        <v>44762</v>
      </c>
      <c r="Q1104" s="47" t="n">
        <v>2164</v>
      </c>
      <c r="R1104" s="47" t="inlineStr">
        <is>
          <t>No Video ID yet</t>
        </is>
      </c>
      <c r="S1104" s="49" t="n"/>
      <c r="T1104" s="49" t="n"/>
      <c r="U1104" s="47" t="inlineStr">
        <is>
          <t>In this episode J and the team work to complete more research tasks while showing they're NOT afraid of the Alpha Pokémon they've encountered thus far... ...or are they?</t>
        </is>
      </c>
      <c r="V1104" s="47">
        <f>IF(AND(P1104&gt;=Calendar!$K$2,P1104&lt;EDATE(Calendar!$K$2,1),OR(Calendar!$K$4="*",N1104=Calendar!$K$4)),P1104*100+COUNTIFS($P$6:$P$3267,P1104,$Q$6:$Q$3267,"&lt;="&amp;Q1104,$N$6:$N$3267,Calendar!$K$4),"")</f>
        <v/>
      </c>
      <c r="W1104" s="47">
        <f>IF(AND(B1104=Queue!$C$4,OR(Queue!$K$4="*",N1104=Queue!$K$4)),Q1104,"")</f>
        <v/>
      </c>
    </row>
    <row r="1105">
      <c r="A1105" s="38">
        <f>IF(M1105="","",HYPERLINK("https://www.youtube.com/watch?v="&amp;M1105,"▶"))</f>
        <v/>
      </c>
      <c r="B1105" s="39">
        <f>IF(C1105&lt;&gt;"",C1105,IF(P1105&lt;=IFERROR(INDEX(tblChannels[Watched Through],MATCH(N1105,tblChannels[Channel ID],0)),0),"Watched","Unwatched"))</f>
        <v/>
      </c>
      <c r="C1105" s="40" t="n"/>
      <c r="D1105" s="41" t="n"/>
      <c r="E1105" s="42" t="n">
        <v>44762.58333333334</v>
      </c>
      <c r="F1105" s="53" t="inlineStr">
        <is>
          <t>Jonathan Carlin</t>
        </is>
      </c>
      <c r="G1105" t="inlineStr">
        <is>
          <t>RTX Texas Adventure - Our First Time in Austin!</t>
        </is>
      </c>
      <c r="H1105" s="44" t="n">
        <v>0.01582175925925926</v>
      </c>
      <c r="I1105" s="45" t="n">
        <v>10662</v>
      </c>
      <c r="J1105" s="45" t="n">
        <v>728</v>
      </c>
      <c r="K1105" s="45" t="n">
        <v>68</v>
      </c>
      <c r="L1105" s="46" t="n"/>
      <c r="M1105" s="47" t="n"/>
      <c r="N1105" s="47" t="inlineStr">
        <is>
          <t>UCYPKFe86e6nm4TVUYKLsFUQ</t>
        </is>
      </c>
      <c r="O1105" s="48" t="n">
        <v>44762.75</v>
      </c>
      <c r="P1105" s="49" t="n">
        <v>44762</v>
      </c>
      <c r="Q1105" s="47" t="n">
        <v>2163</v>
      </c>
      <c r="R1105" s="47" t="inlineStr">
        <is>
          <t>No Video ID yet</t>
        </is>
      </c>
      <c r="S1105" s="49" t="n"/>
      <c r="T1105" s="49" t="n"/>
      <c r="U1105" s="47" t="inlineStr">
        <is>
          <t>This week J and Ben head out to Austin, Texas for RTX where they host a few panels and then J meets up with the rest of the family for a Lake Trip! (also of course we open some Pokemon cards)</t>
        </is>
      </c>
      <c r="V1105" s="47">
        <f>IF(AND(P1105&gt;=Calendar!$K$2,P1105&lt;EDATE(Calendar!$K$2,1),OR(Calendar!$K$4="*",N1105=Calendar!$K$4)),P1105*100+COUNTIFS($P$6:$P$3267,P1105,$Q$6:$Q$3267,"&lt;="&amp;Q1105,$N$6:$N$3267,Calendar!$K$4),"")</f>
        <v/>
      </c>
      <c r="W1105" s="47">
        <f>IF(AND(B1105=Queue!$C$4,OR(Queue!$K$4="*",N1105=Queue!$K$4)),Q1105,"")</f>
        <v/>
      </c>
    </row>
    <row r="1106">
      <c r="A1106" s="38">
        <f>IF(M1106="","",HYPERLINK("https://www.youtube.com/watch?v="&amp;M1106,"▶"))</f>
        <v/>
      </c>
      <c r="B1106" s="39">
        <f>IF(C1106&lt;&gt;"",C1106,IF(P1106&lt;=IFERROR(INDEX(tblChannels[Watched Through],MATCH(N1106,tblChannels[Channel ID],0)),0),"Watched","Unwatched"))</f>
        <v/>
      </c>
      <c r="C1106" s="40" t="n"/>
      <c r="D1106" s="41" t="n"/>
      <c r="E1106" s="42" t="n">
        <v>44761.68611111111</v>
      </c>
      <c r="F1106" s="50" t="inlineStr">
        <is>
          <t>Super Carlin Brothers</t>
        </is>
      </c>
      <c r="G1106" t="inlineStr">
        <is>
          <t>Stormbreaker’s SECRET Power Explained | Marvel Film Theory</t>
        </is>
      </c>
      <c r="H1106" s="44" t="n">
        <v>0.009305555555555555</v>
      </c>
      <c r="I1106" s="45" t="n">
        <v>87529</v>
      </c>
      <c r="J1106" s="45" t="n">
        <v>4418</v>
      </c>
      <c r="K1106" s="45" t="n">
        <v>430</v>
      </c>
      <c r="L1106" s="46" t="n"/>
      <c r="M1106" s="47" t="n"/>
      <c r="N1106" s="47" t="inlineStr">
        <is>
          <t>UCKZo4N0lVPccBkSiuyVh4yg</t>
        </is>
      </c>
      <c r="O1106" s="48" t="n">
        <v>44761.85277777778</v>
      </c>
      <c r="P1106" s="49" t="n">
        <v>44761</v>
      </c>
      <c r="Q1106" s="47" t="n">
        <v>2162</v>
      </c>
      <c r="R1106" s="47" t="inlineStr">
        <is>
          <t>No Video ID yet</t>
        </is>
      </c>
      <c r="S1106" s="49" t="n"/>
      <c r="T1106" s="49" t="n"/>
      <c r="U1106" s="47" t="inlineStr">
        <is>
          <t>Go to to get up to 20% off your first box. Today J dives into the Marvel Cinematic Universe to discuss Thor: Love and Thunder and what it may mean for the future of Stormbreaker and GROOT! I am Groot. I aM GroOt. i Am gRooT. #SuperCarlinBrothers #IAmGroot #Thor</t>
        </is>
      </c>
      <c r="V1106" s="47">
        <f>IF(AND(P1106&gt;=Calendar!$K$2,P1106&lt;EDATE(Calendar!$K$2,1),OR(Calendar!$K$4="*",N1106=Calendar!$K$4)),P1106*100+COUNTIFS($P$6:$P$3267,P1106,$Q$6:$Q$3267,"&lt;="&amp;Q1106,$N$6:$N$3267,Calendar!$K$4),"")</f>
        <v/>
      </c>
      <c r="W1106" s="47">
        <f>IF(AND(B1106=Queue!$C$4,OR(Queue!$K$4="*",N1106=Queue!$K$4)),Q1106,"")</f>
        <v/>
      </c>
    </row>
    <row r="1107">
      <c r="A1107" s="38">
        <f>IF(M1107="","",HYPERLINK("https://www.youtube.com/watch?v="&amp;M1107,"▶"))</f>
        <v/>
      </c>
      <c r="B1107" s="39">
        <f>IF(C1107&lt;&gt;"",C1107,IF(P1107&lt;=IFERROR(INDEX(tblChannels[Watched Through],MATCH(N1107,tblChannels[Channel ID],0)),0),"Watched","Unwatched"))</f>
        <v/>
      </c>
      <c r="C1107" s="40" t="n"/>
      <c r="D1107" s="41" t="n"/>
      <c r="E1107" s="42" t="n">
        <v>44757.41666666666</v>
      </c>
      <c r="F1107" s="43" t="inlineStr">
        <is>
          <t>Popcorn Culture</t>
        </is>
      </c>
      <c r="G1107" t="inlineStr">
        <is>
          <t>Sherlock vs. Houdini | Popcorn Culture</t>
        </is>
      </c>
      <c r="H1107" s="44" t="n">
        <v>0.0518287037037037</v>
      </c>
      <c r="I1107" s="45" t="n">
        <v>6860</v>
      </c>
      <c r="J1107" s="45" t="n">
        <v>333</v>
      </c>
      <c r="K1107" s="45" t="n">
        <v>43</v>
      </c>
      <c r="L1107" s="46" t="n"/>
      <c r="M1107" s="47" t="n"/>
      <c r="N1107" s="47" t="inlineStr">
        <is>
          <t>UCHfIbq9thHPC8yrKjAdJgDA</t>
        </is>
      </c>
      <c r="O1107" s="48" t="n">
        <v>44757.58333333334</v>
      </c>
      <c r="P1107" s="49" t="n">
        <v>44757</v>
      </c>
      <c r="Q1107" s="47" t="n">
        <v>2161</v>
      </c>
      <c r="R1107" s="47" t="inlineStr">
        <is>
          <t>No Video ID yet</t>
        </is>
      </c>
      <c r="S1107" s="49" t="n"/>
      <c r="T1107" s="49" t="n"/>
      <c r="U1107" s="47" t="inlineStr">
        <is>
          <t>In the 136th episode of the Pop, Ben and J discuss favorite numbers, P.T. Barnum, The Dunning Kruger Effect, Harry Houdini, white rabbits, Texas Ben, the newest trending food, the eternal cure for boredom and clutter. The Greatest Showman - The Barnum Effect - The Dunning Kruger Effect - Imposter Syndrome - Enneagram - Criminal Podcast - The Barnum Effect Extreme Confirmation Bias Ben Loves Texas Food Proper Way to Eat Chicken and Waffles Or Pistachios are Crunchy Avocados Possibility Clutter 00:00 - Intro, Favorite Numbers 03:37 - Various Effects 20:53 - Harry Houdini 29:30 - Lincoln’s White Rabbits and Riddles 33:26 - Texas Ben 43:45 - Pistachios 47:19 - Cure for Boredom and Plants 1:00:14 - More Numbers and Clutter</t>
        </is>
      </c>
      <c r="V1107" s="47">
        <f>IF(AND(P1107&gt;=Calendar!$K$2,P1107&lt;EDATE(Calendar!$K$2,1),OR(Calendar!$K$4="*",N1107=Calendar!$K$4)),P1107*100+COUNTIFS($P$6:$P$3267,P1107,$Q$6:$Q$3267,"&lt;="&amp;Q1107,$N$6:$N$3267,Calendar!$K$4),"")</f>
        <v/>
      </c>
      <c r="W1107" s="47">
        <f>IF(AND(B1107=Queue!$C$4,OR(Queue!$K$4="*",N1107=Queue!$K$4)),Q1107,"")</f>
        <v/>
      </c>
    </row>
    <row r="1108">
      <c r="A1108" s="38">
        <f>IF(M1108="","",HYPERLINK("https://www.youtube.com/watch?v="&amp;M1108,"▶"))</f>
        <v/>
      </c>
      <c r="B1108" s="39">
        <f>IF(C1108&lt;&gt;"",C1108,IF(P1108&lt;=IFERROR(INDEX(tblChannels[Watched Through],MATCH(N1108,tblChannels[Channel ID],0)),0),"Watched","Unwatched"))</f>
        <v/>
      </c>
      <c r="C1108" s="40" t="n"/>
      <c r="D1108" s="41" t="n"/>
      <c r="E1108" s="42" t="n">
        <v>44756.65486111111</v>
      </c>
      <c r="F1108" s="50" t="inlineStr">
        <is>
          <t>Super Carlin Brothers</t>
        </is>
      </c>
      <c r="G1108" t="inlineStr">
        <is>
          <t>Why Didn’t Thanos Seek Out Eternity? | Marvel Film Theory</t>
        </is>
      </c>
      <c r="H1108" s="44" t="n">
        <v>0.01020833333333333</v>
      </c>
      <c r="I1108" s="45" t="n">
        <v>124024</v>
      </c>
      <c r="J1108" s="45" t="n">
        <v>5618</v>
      </c>
      <c r="K1108" s="45" t="n">
        <v>643</v>
      </c>
      <c r="L1108" s="46" t="n"/>
      <c r="M1108" s="47" t="n"/>
      <c r="N1108" s="47" t="inlineStr">
        <is>
          <t>UCKZo4N0lVPccBkSiuyVh4yg</t>
        </is>
      </c>
      <c r="O1108" s="48" t="n">
        <v>44756.82152777778</v>
      </c>
      <c r="P1108" s="49" t="n">
        <v>44756</v>
      </c>
      <c r="Q1108" s="47" t="n">
        <v>2160</v>
      </c>
      <c r="R1108" s="47" t="inlineStr">
        <is>
          <t>No Video ID yet</t>
        </is>
      </c>
      <c r="S1108" s="49" t="n"/>
      <c r="T1108" s="49" t="n"/>
      <c r="U1108" s="47" t="inlineStr">
        <is>
          <t>Go to and use promo code supercarlin to get a 4-week trial plus free postage and a digital scale. Today Ben dives into the Marvel Cinematic Universe explain why Thanos didnt just seek out Eternity to wipe out half the population of the galaxy and instead chose to use the Infinity Gauntlet! #SuperCarlinBrothers #Marvel #Thor</t>
        </is>
      </c>
      <c r="V1108" s="47">
        <f>IF(AND(P1108&gt;=Calendar!$K$2,P1108&lt;EDATE(Calendar!$K$2,1),OR(Calendar!$K$4="*",N1108=Calendar!$K$4)),P1108*100+COUNTIFS($P$6:$P$3267,P1108,$Q$6:$Q$3267,"&lt;="&amp;Q1108,$N$6:$N$3267,Calendar!$K$4),"")</f>
        <v/>
      </c>
      <c r="W1108" s="47">
        <f>IF(AND(B1108=Queue!$C$4,OR(Queue!$K$4="*",N1108=Queue!$K$4)),Q1108,"")</f>
        <v/>
      </c>
    </row>
    <row r="1109">
      <c r="A1109" s="38">
        <f>IF(M1109="","",HYPERLINK("https://www.youtube.com/watch?v="&amp;M1109,"▶"))</f>
        <v/>
      </c>
      <c r="B1109" s="39">
        <f>IF(C1109&lt;&gt;"",C1109,IF(P1109&lt;=IFERROR(INDEX(tblChannels[Watched Through],MATCH(N1109,tblChannels[Channel ID],0)),0),"Watched","Unwatched"))</f>
        <v/>
      </c>
      <c r="C1109" s="40" t="n"/>
      <c r="D1109" s="41" t="n"/>
      <c r="E1109" s="42" t="n">
        <v>44754.67638888889</v>
      </c>
      <c r="F1109" s="50" t="inlineStr">
        <is>
          <t>Super Carlin Brothers</t>
        </is>
      </c>
      <c r="G1109" t="inlineStr">
        <is>
          <t>Thor: Love &amp; Thunder Spoiler REVIEW | Marvel Film Theory</t>
        </is>
      </c>
      <c r="H1109" s="44" t="n">
        <v>0.04184027777777777</v>
      </c>
      <c r="I1109" s="45" t="n">
        <v>106179</v>
      </c>
      <c r="J1109" s="45" t="n">
        <v>3634</v>
      </c>
      <c r="K1109" s="45" t="n">
        <v>758</v>
      </c>
      <c r="L1109" s="46" t="n"/>
      <c r="M1109" s="47" t="n"/>
      <c r="N1109" s="47" t="inlineStr">
        <is>
          <t>UCKZo4N0lVPccBkSiuyVh4yg</t>
        </is>
      </c>
      <c r="O1109" s="48" t="n">
        <v>44754.84305555555</v>
      </c>
      <c r="P1109" s="49" t="n">
        <v>44754</v>
      </c>
      <c r="Q1109" s="47" t="n">
        <v>2159</v>
      </c>
      <c r="R1109" s="47" t="inlineStr">
        <is>
          <t>No Video ID yet</t>
        </is>
      </c>
      <c r="S1109" s="49" t="n"/>
      <c r="T1109" s="49" t="n"/>
      <c r="U1109" s="47" t="inlineStr">
        <is>
          <t>Go to to get 15% off your first order or 25% off your first membership item. Today J and Ben dive into the Marvel Cinematic Universe to give their full SPOILER Reivew of Thor Love and Thunder to determine if it brought the thunder or was kind of a blunder… #SuperCarlinBrothers #Marvel #Thor</t>
        </is>
      </c>
      <c r="V1109" s="47">
        <f>IF(AND(P1109&gt;=Calendar!$K$2,P1109&lt;EDATE(Calendar!$K$2,1),OR(Calendar!$K$4="*",N1109=Calendar!$K$4)),P1109*100+COUNTIFS($P$6:$P$3267,P1109,$Q$6:$Q$3267,"&lt;="&amp;Q1109,$N$6:$N$3267,Calendar!$K$4),"")</f>
        <v/>
      </c>
      <c r="W1109" s="47">
        <f>IF(AND(B1109=Queue!$C$4,OR(Queue!$K$4="*",N1109=Queue!$K$4)),Q1109,"")</f>
        <v/>
      </c>
    </row>
    <row r="1110">
      <c r="A1110" s="38">
        <f>IF(M1110="","",HYPERLINK("https://www.youtube.com/watch?v="&amp;M1110,"▶"))</f>
        <v/>
      </c>
      <c r="B1110" s="39">
        <f>IF(C1110&lt;&gt;"",C1110,IF(P1110&lt;=IFERROR(INDEX(tblChannels[Watched Through],MATCH(N1110,tblChannels[Channel ID],0)),0),"Watched","Unwatched"))</f>
        <v/>
      </c>
      <c r="C1110" s="40" t="n"/>
      <c r="D1110" s="41" t="n"/>
      <c r="E1110" s="42" t="n">
        <v>44750.41666666666</v>
      </c>
      <c r="F1110" s="43" t="inlineStr">
        <is>
          <t>Popcorn Culture</t>
        </is>
      </c>
      <c r="G1110" t="inlineStr">
        <is>
          <t>It Should At Least Be A Hat | Popcorn Culture</t>
        </is>
      </c>
      <c r="H1110" s="44" t="n">
        <v>0.04667824074074074</v>
      </c>
      <c r="I1110" s="45" t="n">
        <v>6119</v>
      </c>
      <c r="J1110" s="45" t="n">
        <v>325</v>
      </c>
      <c r="K1110" s="45" t="n">
        <v>44</v>
      </c>
      <c r="L1110" s="46" t="n"/>
      <c r="M1110" s="47" t="n"/>
      <c r="N1110" s="47" t="inlineStr">
        <is>
          <t>UCHfIbq9thHPC8yrKjAdJgDA</t>
        </is>
      </c>
      <c r="O1110" s="48" t="n">
        <v>44750.58333333334</v>
      </c>
      <c r="P1110" s="49" t="n">
        <v>44750</v>
      </c>
      <c r="Q1110" s="47" t="n">
        <v>2158</v>
      </c>
      <c r="R1110" s="47" t="inlineStr">
        <is>
          <t>No Video ID yet</t>
        </is>
      </c>
      <c r="S1110" s="49" t="n"/>
      <c r="T1110" s="49" t="n"/>
      <c r="U1110" s="47" t="inlineStr">
        <is>
          <t>In this the one hundred and thirty fifth episode of Popcorn Culture, Ben and J discuss: The hostmanship of the Pop, the origin of magic tricks, friends listening IRL and if Ben is a control freak or not. Control Freak Quiz - Abe Lincoln Invented Rabbits In Hats Are You A Control Freak PopHats Top 10 Issues With Movie Theater Popcorn 00:00 - Intro, Reviews, J The Occasional Host 2:00 - Gen Z &amp; IRL Friends Listening to the Pop 10:00 - Abe Lincoln’s Magic Top Hat 15:52 - Are You A Control Freak</t>
        </is>
      </c>
      <c r="V1110" s="47">
        <f>IF(AND(P1110&gt;=Calendar!$K$2,P1110&lt;EDATE(Calendar!$K$2,1),OR(Calendar!$K$4="*",N1110=Calendar!$K$4)),P1110*100+COUNTIFS($P$6:$P$3267,P1110,$Q$6:$Q$3267,"&lt;="&amp;Q1110,$N$6:$N$3267,Calendar!$K$4),"")</f>
        <v/>
      </c>
      <c r="W1110" s="47">
        <f>IF(AND(B1110=Queue!$C$4,OR(Queue!$K$4="*",N1110=Queue!$K$4)),Q1110,"")</f>
        <v/>
      </c>
    </row>
    <row r="1111">
      <c r="A1111" s="38">
        <f>IF(M1111="","",HYPERLINK("https://www.youtube.com/watch?v="&amp;M1111,"▶"))</f>
        <v/>
      </c>
      <c r="B1111" s="39">
        <f>IF(C1111&lt;&gt;"",C1111,IF(P1111&lt;=IFERROR(INDEX(tblChannels[Watched Through],MATCH(N1111,tblChannels[Channel ID],0)),0),"Watched","Unwatched"))</f>
        <v/>
      </c>
      <c r="C1111" s="40" t="n"/>
      <c r="D1111" s="41" t="n"/>
      <c r="E1111" s="42" t="n">
        <v>44746.58333333334</v>
      </c>
      <c r="F1111" s="53" t="inlineStr">
        <is>
          <t>Jonathan Carlin</t>
        </is>
      </c>
      <c r="G1111" t="inlineStr">
        <is>
          <t>10 YEARS OF SUPER CARLIN BROTHERS</t>
        </is>
      </c>
      <c r="H1111" s="44" t="n">
        <v>0.01171296296296296</v>
      </c>
      <c r="I1111" s="45" t="n">
        <v>17052</v>
      </c>
      <c r="J1111" s="45" t="n">
        <v>1089</v>
      </c>
      <c r="K1111" s="45" t="n">
        <v>49</v>
      </c>
      <c r="L1111" s="46" t="n"/>
      <c r="M1111" s="47" t="n"/>
      <c r="N1111" s="47" t="inlineStr">
        <is>
          <t>UCYPKFe86e6nm4TVUYKLsFUQ</t>
        </is>
      </c>
      <c r="O1111" s="48" t="n">
        <v>44746.75</v>
      </c>
      <c r="P1111" s="49" t="n">
        <v>44746</v>
      </c>
      <c r="Q1111" s="47" t="n">
        <v>2157</v>
      </c>
      <c r="R1111" s="47" t="inlineStr">
        <is>
          <t>No Video ID yet</t>
        </is>
      </c>
      <c r="S1111" s="49" t="n"/>
      <c r="T1111" s="49" t="n"/>
      <c r="U1111" s="47" t="inlineStr">
        <is>
          <t>This week J and the SCB crew celebrate 10 years of Super Carlin Brothers with various spirit week costumes, tie dye shirts, and popcorn!</t>
        </is>
      </c>
      <c r="V1111" s="47">
        <f>IF(AND(P1111&gt;=Calendar!$K$2,P1111&lt;EDATE(Calendar!$K$2,1),OR(Calendar!$K$4="*",N1111=Calendar!$K$4)),P1111*100+COUNTIFS($P$6:$P$3267,P1111,$Q$6:$Q$3267,"&lt;="&amp;Q1111,$N$6:$N$3267,Calendar!$K$4),"")</f>
        <v/>
      </c>
      <c r="W1111" s="47">
        <f>IF(AND(B1111=Queue!$C$4,OR(Queue!$K$4="*",N1111=Queue!$K$4)),Q1111,"")</f>
        <v/>
      </c>
    </row>
    <row r="1112">
      <c r="A1112" s="38">
        <f>IF(M1112="","",HYPERLINK("https://www.youtube.com/watch?v="&amp;M1112,"▶"))</f>
        <v/>
      </c>
      <c r="B1112" s="39">
        <f>IF(C1112&lt;&gt;"",C1112,IF(P1112&lt;=IFERROR(INDEX(tblChannels[Watched Through],MATCH(N1112,tblChannels[Channel ID],0)),0),"Watched","Unwatched"))</f>
        <v/>
      </c>
      <c r="C1112" s="40" t="n"/>
      <c r="D1112" s="41" t="n"/>
      <c r="E1112" s="42" t="n">
        <v>44743.41666666666</v>
      </c>
      <c r="F1112" s="43" t="inlineStr">
        <is>
          <t>Popcorn Culture</t>
        </is>
      </c>
      <c r="G1112" t="inlineStr">
        <is>
          <t>The Unscratched Itch Phenomenon | Popcorn Culture</t>
        </is>
      </c>
      <c r="H1112" s="44" t="n">
        <v>0.04827546296296296</v>
      </c>
      <c r="I1112" s="45" t="n">
        <v>6616</v>
      </c>
      <c r="J1112" s="45" t="n">
        <v>333</v>
      </c>
      <c r="K1112" s="45" t="n">
        <v>54</v>
      </c>
      <c r="L1112" s="46" t="n"/>
      <c r="M1112" s="47" t="n"/>
      <c r="N1112" s="47" t="inlineStr">
        <is>
          <t>UCHfIbq9thHPC8yrKjAdJgDA</t>
        </is>
      </c>
      <c r="O1112" s="48" t="n">
        <v>44743.58333333334</v>
      </c>
      <c r="P1112" s="49" t="n">
        <v>44743</v>
      </c>
      <c r="Q1112" s="47" t="n">
        <v>2156</v>
      </c>
      <c r="R1112" s="47" t="inlineStr">
        <is>
          <t>No Video ID yet</t>
        </is>
      </c>
      <c r="S1112" s="49" t="n"/>
      <c r="T1112" s="49" t="n"/>
      <c r="U1112" s="47" t="inlineStr">
        <is>
          <t>Ben and J discuss: unscratched itches, 3-D printing, luxurious travel, how civilization is developed (ya know, very light and breezy topic of conversation), boating, enjoying things, beef jerky, and slices of gum. Lightyear Suit - Mobius Is Loki - Office Pet 3D Printer The Future and Self Driving Cars River Cup Beef Softie Slice of Gum 00:00 - Intro, Tie Dye and Other Interests 11:58 - 3-D Printer 20:57 - Self Driving Cars 41:43 - Development of Civilization 51:12 - Ben’s Old Boat 56:19 - Enjoying Things 1:00:36 - Beef Jerky and Humor</t>
        </is>
      </c>
      <c r="V1112" s="47">
        <f>IF(AND(P1112&gt;=Calendar!$K$2,P1112&lt;EDATE(Calendar!$K$2,1),OR(Calendar!$K$4="*",N1112=Calendar!$K$4)),P1112*100+COUNTIFS($P$6:$P$3267,P1112,$Q$6:$Q$3267,"&lt;="&amp;Q1112,$N$6:$N$3267,Calendar!$K$4),"")</f>
        <v/>
      </c>
      <c r="W1112" s="47">
        <f>IF(AND(B1112=Queue!$C$4,OR(Queue!$K$4="*",N1112=Queue!$K$4)),Q1112,"")</f>
        <v/>
      </c>
    </row>
    <row r="1113">
      <c r="A1113" s="38">
        <f>IF(M1113="","",HYPERLINK("https://www.youtube.com/watch?v="&amp;M1113,"▶"))</f>
        <v/>
      </c>
      <c r="B1113" s="39">
        <f>IF(C1113&lt;&gt;"",C1113,IF(P1113&lt;=IFERROR(INDEX(tblChannels[Watched Through],MATCH(N1113,tblChannels[Channel ID],0)),0),"Watched","Unwatched"))</f>
        <v/>
      </c>
      <c r="C1113" s="40" t="n"/>
      <c r="D1113" s="41" t="n"/>
      <c r="E1113" s="42" t="n">
        <v>44742.7</v>
      </c>
      <c r="F1113" s="50" t="inlineStr">
        <is>
          <t>Super Carlin Brothers</t>
        </is>
      </c>
      <c r="G1113" t="inlineStr">
        <is>
          <t>Buzz Owned Lightning McQueen | Pixar Film Theory</t>
        </is>
      </c>
      <c r="H1113" s="44" t="n">
        <v>0.009849537037037037</v>
      </c>
      <c r="I1113" s="45" t="n">
        <v>131914</v>
      </c>
      <c r="J1113" s="45" t="n">
        <v>6635</v>
      </c>
      <c r="K1113" s="45" t="n">
        <v>454</v>
      </c>
      <c r="L1113" s="46" t="n"/>
      <c r="M1113" s="47" t="n"/>
      <c r="N1113" s="47" t="inlineStr">
        <is>
          <t>UCKZo4N0lVPccBkSiuyVh4yg</t>
        </is>
      </c>
      <c r="O1113" s="48" t="n">
        <v>44742.86666666667</v>
      </c>
      <c r="P1113" s="49" t="n">
        <v>44742</v>
      </c>
      <c r="Q1113" s="47" t="n">
        <v>2155</v>
      </c>
      <c r="R1113" s="47" t="inlineStr">
        <is>
          <t>No Video ID yet</t>
        </is>
      </c>
      <c r="S1113" s="49" t="n"/>
      <c r="T1113" s="49" t="n"/>
      <c r="U1113" s="47" t="inlineStr">
        <is>
          <t>Today Ben dives into the ever expanding PIXAR THEORY to try and determine who was the REAL life Lightning McQueen before he woke up as a car years and years later. #SuperCarlinBrothers #Pixar #Lightyear</t>
        </is>
      </c>
      <c r="V1113" s="47">
        <f>IF(AND(P1113&gt;=Calendar!$K$2,P1113&lt;EDATE(Calendar!$K$2,1),OR(Calendar!$K$4="*",N1113=Calendar!$K$4)),P1113*100+COUNTIFS($P$6:$P$3267,P1113,$Q$6:$Q$3267,"&lt;="&amp;Q1113,$N$6:$N$3267,Calendar!$K$4),"")</f>
        <v/>
      </c>
      <c r="W1113" s="47">
        <f>IF(AND(B1113=Queue!$C$4,OR(Queue!$K$4="*",N1113=Queue!$K$4)),Q1113,"")</f>
        <v/>
      </c>
    </row>
    <row r="1114">
      <c r="A1114" s="38">
        <f>IF(M1114="","",HYPERLINK("https://www.youtube.com/watch?v="&amp;M1114,"▶"))</f>
        <v/>
      </c>
      <c r="B1114" s="39">
        <f>IF(C1114&lt;&gt;"",C1114,IF(P1114&lt;=IFERROR(INDEX(tblChannels[Watched Through],MATCH(N1114,tblChannels[Channel ID],0)),0),"Watched","Unwatched"))</f>
        <v/>
      </c>
      <c r="C1114" s="40" t="n"/>
      <c r="D1114" s="41" t="n"/>
      <c r="E1114" s="42" t="n">
        <v>44740.64652777778</v>
      </c>
      <c r="F1114" s="50" t="inlineStr">
        <is>
          <t>Super Carlin Brothers</t>
        </is>
      </c>
      <c r="G1114" t="inlineStr">
        <is>
          <t>What If Sirius HAD Been the Secret Keeper? | Harry Potter Film Theory</t>
        </is>
      </c>
      <c r="H1114" s="44" t="n">
        <v>0.01133101851851852</v>
      </c>
      <c r="I1114" s="45" t="n">
        <v>435360</v>
      </c>
      <c r="J1114" s="45" t="n">
        <v>16694</v>
      </c>
      <c r="K1114" s="45" t="n">
        <v>2165</v>
      </c>
      <c r="L1114" s="46" t="n"/>
      <c r="M1114" s="47" t="n"/>
      <c r="N1114" s="47" t="inlineStr">
        <is>
          <t>UCKZo4N0lVPccBkSiuyVh4yg</t>
        </is>
      </c>
      <c r="O1114" s="48" t="n">
        <v>44740.81319444445</v>
      </c>
      <c r="P1114" s="49" t="n">
        <v>44740</v>
      </c>
      <c r="Q1114" s="47" t="n">
        <v>2154</v>
      </c>
      <c r="R1114" s="47" t="inlineStr">
        <is>
          <t>No Video ID yet</t>
        </is>
      </c>
      <c r="S1114" s="49" t="n"/>
      <c r="T1114" s="49" t="n"/>
      <c r="U1114" s="47" t="inlineStr">
        <is>
          <t>Go to to get 15% off your first order or 25% off your first membership item. SCB at RTX :: Today J dives into the Wizarding World of Harry Potter to answer the question: What If Sirius HAD Been the Secret Keeper? Would the Potters have survived? Would Voldemort have fallen? Would Harry even be the chosen one?! #SuperCarlinBrothers #HarryPotter #WhatIf</t>
        </is>
      </c>
      <c r="V1114" s="47">
        <f>IF(AND(P1114&gt;=Calendar!$K$2,P1114&lt;EDATE(Calendar!$K$2,1),OR(Calendar!$K$4="*",N1114=Calendar!$K$4)),P1114*100+COUNTIFS($P$6:$P$3267,P1114,$Q$6:$Q$3267,"&lt;="&amp;Q1114,$N$6:$N$3267,Calendar!$K$4),"")</f>
        <v/>
      </c>
      <c r="W1114" s="47">
        <f>IF(AND(B1114=Queue!$C$4,OR(Queue!$K$4="*",N1114=Queue!$K$4)),Q1114,"")</f>
        <v/>
      </c>
    </row>
    <row r="1115">
      <c r="A1115" s="38">
        <f>IF(M1115="","",HYPERLINK("https://www.youtube.com/watch?v="&amp;M1115,"▶"))</f>
        <v/>
      </c>
      <c r="B1115" s="39">
        <f>IF(C1115&lt;&gt;"",C1115,IF(P1115&lt;=IFERROR(INDEX(tblChannels[Watched Through],MATCH(N1115,tblChannels[Channel ID],0)),0),"Watched","Unwatched"))</f>
        <v/>
      </c>
      <c r="C1115" s="40" t="n"/>
      <c r="D1115" s="41" t="n"/>
      <c r="E1115" s="42" t="n">
        <v>44739.625</v>
      </c>
      <c r="F1115" s="53" t="inlineStr">
        <is>
          <t>Jonathan Carlin</t>
        </is>
      </c>
      <c r="G1115" t="inlineStr">
        <is>
          <t>Happy Father's Day!</t>
        </is>
      </c>
      <c r="H1115" s="44" t="n">
        <v>0.008761574074074074</v>
      </c>
      <c r="I1115" s="45" t="n">
        <v>11407</v>
      </c>
      <c r="J1115" s="45" t="n">
        <v>782</v>
      </c>
      <c r="K1115" s="45" t="n">
        <v>37</v>
      </c>
      <c r="L1115" s="46" t="n"/>
      <c r="M1115" s="47" t="n"/>
      <c r="N1115" s="47" t="inlineStr">
        <is>
          <t>UCYPKFe86e6nm4TVUYKLsFUQ</t>
        </is>
      </c>
      <c r="O1115" s="48" t="n">
        <v>44739.79166666666</v>
      </c>
      <c r="P1115" s="49" t="n">
        <v>44739</v>
      </c>
      <c r="Q1115" s="47" t="n">
        <v>2153</v>
      </c>
      <c r="R1115" s="47" t="inlineStr">
        <is>
          <t>No Video ID yet</t>
        </is>
      </c>
      <c r="S1115" s="49" t="n"/>
      <c r="T1115" s="49" t="n"/>
      <c r="U1115" s="47" t="inlineStr">
        <is>
          <t>This week Ben and Kat build a couch, J and Beth experience the joys of logistics, and SCB gets on the NEWS! Also we celebrate Father's Day!</t>
        </is>
      </c>
      <c r="V1115" s="47">
        <f>IF(AND(P1115&gt;=Calendar!$K$2,P1115&lt;EDATE(Calendar!$K$2,1),OR(Calendar!$K$4="*",N1115=Calendar!$K$4)),P1115*100+COUNTIFS($P$6:$P$3267,P1115,$Q$6:$Q$3267,"&lt;="&amp;Q1115,$N$6:$N$3267,Calendar!$K$4),"")</f>
        <v/>
      </c>
      <c r="W1115" s="47">
        <f>IF(AND(B1115=Queue!$C$4,OR(Queue!$K$4="*",N1115=Queue!$K$4)),Q1115,"")</f>
        <v/>
      </c>
    </row>
    <row r="1116">
      <c r="A1116" s="38">
        <f>IF(M1116="","",HYPERLINK("https://www.youtube.com/watch?v="&amp;M1116,"▶"))</f>
        <v/>
      </c>
      <c r="B1116" s="39">
        <f>IF(C1116&lt;&gt;"",C1116,IF(P1116&lt;=IFERROR(INDEX(tblChannels[Watched Through],MATCH(N1116,tblChannels[Channel ID],0)),0),"Watched","Unwatched"))</f>
        <v/>
      </c>
      <c r="C1116" s="40" t="n"/>
      <c r="D1116" s="41" t="n"/>
      <c r="E1116" s="42" t="n">
        <v>44736.87361111111</v>
      </c>
      <c r="F1116" s="50" t="inlineStr">
        <is>
          <t>Super Carlin Brothers</t>
        </is>
      </c>
      <c r="G1116" t="inlineStr">
        <is>
          <t>SCB 10-YEAR CELEBRATION ALL FANDOM TRIVIA LIVESTREAM!</t>
        </is>
      </c>
      <c r="H1116" s="44" t="n">
        <v>0.1151041666666667</v>
      </c>
      <c r="I1116" s="45" t="n">
        <v>132842</v>
      </c>
      <c r="J1116" s="45" t="n">
        <v>1783</v>
      </c>
      <c r="K1116" s="45" t="n">
        <v>93</v>
      </c>
      <c r="L1116" s="46" t="n"/>
      <c r="M1116" s="47" t="n"/>
      <c r="N1116" s="47" t="inlineStr">
        <is>
          <t>UCKZo4N0lVPccBkSiuyVh4yg</t>
        </is>
      </c>
      <c r="O1116" s="48" t="n">
        <v>44737.04027777778</v>
      </c>
      <c r="P1116" s="49" t="n">
        <v>44736</v>
      </c>
      <c r="Q1116" s="47" t="n">
        <v>2152</v>
      </c>
      <c r="R1116" s="47" t="inlineStr">
        <is>
          <t>No Video ID yet</t>
        </is>
      </c>
      <c r="S1116" s="49" t="n"/>
      <c r="T1116" s="49" t="n"/>
      <c r="U1116" s="47" t="inlineStr">
        <is>
          <t>In Celebration of the 10-YEAR ANNIVERSARY of Super Carlin Brother we are hosting a Trivia Live Stream! Thank you all SOOOOO much for tuning in for the past 10 years it has truly been life changing in more ways than we could ever count. It means so much to us that you have invited us into your homes each week for all of these years and we look forward to another 10 years of SCB! DO YOU HAVE WHAT IT TAKES TO BECOME THE CHAMPION OF ALL SIX FANDOMS?! - Test your knowledge of Disney, Pixar, Marvel, Star Wars, Harry Potter and Avatar: The Last Airbender! Winners and Top Five email: secretcarlinbrothers@gmail.com with a screenshot of your winning score! You MUST Email by 6/31/22 to receive your prize! HOW TO PLAY Kahoot with the Carlins! 1. Download the Kahoot app to your mobile device, or go to Kahoot.it to join the game! If the app is already installed on your device we recommend making sure it is up to date before the game starts! 2. Make sure you’re running the SCB Livestream on a different device or a different window than Kahoot! (We recommend having Kahoot on your phone and the stream on a computer or TV, but two tabs/windows on the same computer works as well!) 3. Shortly before w</t>
        </is>
      </c>
      <c r="V1116" s="47">
        <f>IF(AND(P1116&gt;=Calendar!$K$2,P1116&lt;EDATE(Calendar!$K$2,1),OR(Calendar!$K$4="*",N1116=Calendar!$K$4)),P1116*100+COUNTIFS($P$6:$P$3267,P1116,$Q$6:$Q$3267,"&lt;="&amp;Q1116,$N$6:$N$3267,Calendar!$K$4),"")</f>
        <v/>
      </c>
      <c r="W1116" s="47">
        <f>IF(AND(B1116=Queue!$C$4,OR(Queue!$K$4="*",N1116=Queue!$K$4)),Q1116,"")</f>
        <v/>
      </c>
    </row>
    <row r="1117">
      <c r="A1117" s="38">
        <f>IF(M1117="","",HYPERLINK("https://www.youtube.com/watch?v="&amp;M1117,"▶"))</f>
        <v/>
      </c>
      <c r="B1117" s="39">
        <f>IF(C1117&lt;&gt;"",C1117,IF(P1117&lt;=IFERROR(INDEX(tblChannels[Watched Through],MATCH(N1117,tblChannels[Channel ID],0)),0),"Watched","Unwatched"))</f>
        <v/>
      </c>
      <c r="C1117" s="40" t="n"/>
      <c r="D1117" s="41" t="n"/>
      <c r="E1117" s="42" t="n">
        <v>44736.41666666666</v>
      </c>
      <c r="F1117" s="43" t="inlineStr">
        <is>
          <t>Popcorn Culture</t>
        </is>
      </c>
      <c r="G1117" t="inlineStr">
        <is>
          <t>Get New’d! | Popcorn Culture</t>
        </is>
      </c>
      <c r="H1117" s="44" t="n">
        <v>0.04576388888888889</v>
      </c>
      <c r="I1117" s="45" t="n">
        <v>6330</v>
      </c>
      <c r="J1117" s="45" t="n">
        <v>358</v>
      </c>
      <c r="K1117" s="45" t="n">
        <v>31</v>
      </c>
      <c r="L1117" s="46" t="n"/>
      <c r="M1117" s="47" t="n"/>
      <c r="N1117" s="47" t="inlineStr">
        <is>
          <t>UCHfIbq9thHPC8yrKjAdJgDA</t>
        </is>
      </c>
      <c r="O1117" s="48" t="n">
        <v>44736.58333333334</v>
      </c>
      <c r="P1117" s="49" t="n">
        <v>44736</v>
      </c>
      <c r="Q1117" s="47" t="n">
        <v>2151</v>
      </c>
      <c r="R1117" s="47" t="inlineStr">
        <is>
          <t>No Video ID yet</t>
        </is>
      </c>
      <c r="S1117" s="49" t="n"/>
      <c r="T1117" s="49" t="n"/>
      <c r="U1117" s="47" t="inlineStr">
        <is>
          <t>In the 133rd episode of the Pop, Ben and J discuss breakups, 10th Anniversary of SCB, soda, streaming services, Ben and Alyce’s new business, thrifting, Diablo 2, changing your mind, and plant updates. Gossip Girl - HBOMax - New’d Website - New’d Instagram - Plant Identifier App - I’m Not Upset, I’m Just Upset Adding Friction I’m Bad at Blenders I Ruined the Thing! We Invented Snapchat… Again The Deer in the Night Squash them Squash Bugs Popcorn…. Horticulture?! 00:00 - Intro, “It’s Not You, It’s Me” 08:27 - 10 Years of SCB 16:33 - Streaming Services 22:03 - New’d and Thrifting 39:37 - Numbers and More 10 Year Talk 51:34 - Botanical Updates</t>
        </is>
      </c>
      <c r="V1117" s="47">
        <f>IF(AND(P1117&gt;=Calendar!$K$2,P1117&lt;EDATE(Calendar!$K$2,1),OR(Calendar!$K$4="*",N1117=Calendar!$K$4)),P1117*100+COUNTIFS($P$6:$P$3267,P1117,$Q$6:$Q$3267,"&lt;="&amp;Q1117,$N$6:$N$3267,Calendar!$K$4),"")</f>
        <v/>
      </c>
      <c r="W1117" s="47">
        <f>IF(AND(B1117=Queue!$C$4,OR(Queue!$K$4="*",N1117=Queue!$K$4)),Q1117,"")</f>
        <v/>
      </c>
    </row>
    <row r="1118">
      <c r="A1118" s="38">
        <f>IF(M1118="","",HYPERLINK("https://www.youtube.com/watch?v="&amp;M1118,"▶"))</f>
        <v/>
      </c>
      <c r="B1118" s="39">
        <f>IF(C1118&lt;&gt;"",C1118,IF(P1118&lt;=IFERROR(INDEX(tblChannels[Watched Through],MATCH(N1118,tblChannels[Channel ID],0)),0),"Watched","Unwatched"))</f>
        <v/>
      </c>
      <c r="C1118" s="40" t="n"/>
      <c r="D1118" s="41" t="n"/>
      <c r="E1118" s="42" t="n">
        <v>44735.64513888889</v>
      </c>
      <c r="F1118" s="50" t="inlineStr">
        <is>
          <t>Super Carlin Brothers</t>
        </is>
      </c>
      <c r="G1118" t="inlineStr">
        <is>
          <t>How LIGHTYEAR Fits Into The Pixar Theory</t>
        </is>
      </c>
      <c r="H1118" s="44" t="n">
        <v>0.01119212962962963</v>
      </c>
      <c r="I1118" s="45" t="n">
        <v>207532</v>
      </c>
      <c r="J1118" s="45" t="n">
        <v>9377</v>
      </c>
      <c r="K1118" s="45" t="n">
        <v>810</v>
      </c>
      <c r="L1118" s="46" t="n"/>
      <c r="M1118" s="47" t="n"/>
      <c r="N1118" s="47" t="inlineStr">
        <is>
          <t>UCKZo4N0lVPccBkSiuyVh4yg</t>
        </is>
      </c>
      <c r="O1118" s="48" t="n">
        <v>44735.81180555555</v>
      </c>
      <c r="P1118" s="49" t="n">
        <v>44735</v>
      </c>
      <c r="Q1118" s="47" t="n">
        <v>2150</v>
      </c>
      <c r="R1118" s="47" t="inlineStr">
        <is>
          <t>No Video ID yet</t>
        </is>
      </c>
      <c r="S1118" s="49" t="n"/>
      <c r="T1118" s="49" t="n"/>
      <c r="U1118" s="47" t="inlineStr">
        <is>
          <t>Go to to get 20% off your first monthly box. Today Ben dives into the ever expanding world of The Pixar Theory to discuss how Lightyear changes EVERYTHING and possibly makes other Pixar movies JUST movies inside the Pixarverse Box Breakers :: #SuperCarlinBrothers #Lightyear #Pixar</t>
        </is>
      </c>
      <c r="V1118" s="47">
        <f>IF(AND(P1118&gt;=Calendar!$K$2,P1118&lt;EDATE(Calendar!$K$2,1),OR(Calendar!$K$4="*",N1118=Calendar!$K$4)),P1118*100+COUNTIFS($P$6:$P$3267,P1118,$Q$6:$Q$3267,"&lt;="&amp;Q1118,$N$6:$N$3267,Calendar!$K$4),"")</f>
        <v/>
      </c>
      <c r="W1118" s="47">
        <f>IF(AND(B1118=Queue!$C$4,OR(Queue!$K$4="*",N1118=Queue!$K$4)),Q1118,"")</f>
        <v/>
      </c>
    </row>
    <row r="1119">
      <c r="A1119" s="38">
        <f>IF(M1119="","",HYPERLINK("https://www.youtube.com/watch?v="&amp;M1119,"▶"))</f>
        <v/>
      </c>
      <c r="B1119" s="39">
        <f>IF(C1119&lt;&gt;"",C1119,IF(P1119&lt;=IFERROR(INDEX(tblChannels[Watched Through],MATCH(N1119,tblChannels[Channel ID],0)),0),"Watched","Unwatched"))</f>
        <v/>
      </c>
      <c r="C1119" s="40" t="n"/>
      <c r="D1119" s="41" t="n"/>
      <c r="E1119" s="42" t="n">
        <v>44733.73333333333</v>
      </c>
      <c r="F1119" s="52" t="inlineStr">
        <is>
          <t>Super Carlin Gaming</t>
        </is>
      </c>
      <c r="G1119" t="inlineStr">
        <is>
          <t>Carlin Brother's Box Breakers | PILOT</t>
        </is>
      </c>
      <c r="H1119" s="44" t="n">
        <v>0.02059027777777778</v>
      </c>
      <c r="I1119" s="45" t="n">
        <v>12354</v>
      </c>
      <c r="J1119" s="45" t="n">
        <v>563</v>
      </c>
      <c r="K1119" s="45" t="n">
        <v>103</v>
      </c>
      <c r="L1119" s="46" t="n"/>
      <c r="M1119" s="47" t="n"/>
      <c r="N1119" s="47" t="inlineStr">
        <is>
          <t>UCor_9jRnNNZVzTuQ92PKsaQ</t>
        </is>
      </c>
      <c r="O1119" s="48" t="n">
        <v>44733.9</v>
      </c>
      <c r="P1119" s="49" t="n">
        <v>44733</v>
      </c>
      <c r="Q1119" s="47" t="n">
        <v>2149</v>
      </c>
      <c r="R1119" s="47" t="inlineStr">
        <is>
          <t>No Video ID yet</t>
        </is>
      </c>
      <c r="S1119" s="49" t="n"/>
      <c r="T1119" s="49" t="n"/>
      <c r="U1119" s="47" t="inlineStr">
        <is>
          <t>This week we are launching the PILOT episode of a new series: Carlin Brothers Box Breakers. In each episode we'll open a booster box of Pokemon Cards each of which will be assigned to one of our Box Breaker Patrons - The more valuable your cards are the more points you get!</t>
        </is>
      </c>
      <c r="V1119" s="47">
        <f>IF(AND(P1119&gt;=Calendar!$K$2,P1119&lt;EDATE(Calendar!$K$2,1),OR(Calendar!$K$4="*",N1119=Calendar!$K$4)),P1119*100+COUNTIFS($P$6:$P$3267,P1119,$Q$6:$Q$3267,"&lt;="&amp;Q1119,$N$6:$N$3267,Calendar!$K$4),"")</f>
        <v/>
      </c>
      <c r="W1119" s="47">
        <f>IF(AND(B1119=Queue!$C$4,OR(Queue!$K$4="*",N1119=Queue!$K$4)),Q1119,"")</f>
        <v/>
      </c>
    </row>
    <row r="1120">
      <c r="A1120" s="38">
        <f>IF(M1120="","",HYPERLINK("https://www.youtube.com/watch?v="&amp;M1120,"▶"))</f>
        <v/>
      </c>
      <c r="B1120" s="39">
        <f>IF(C1120&lt;&gt;"",C1120,IF(P1120&lt;=IFERROR(INDEX(tblChannels[Watched Through],MATCH(N1120,tblChannels[Channel ID],0)),0),"Watched","Unwatched"))</f>
        <v/>
      </c>
      <c r="C1120" s="40" t="n"/>
      <c r="D1120" s="41" t="n"/>
      <c r="E1120" s="42" t="n">
        <v>44733.7125</v>
      </c>
      <c r="F1120" s="50" t="inlineStr">
        <is>
          <t>Super Carlin Brothers</t>
        </is>
      </c>
      <c r="G1120" t="inlineStr">
        <is>
          <t>Lightyear REVIEW</t>
        </is>
      </c>
      <c r="H1120" s="44" t="n">
        <v>0.03388888888888889</v>
      </c>
      <c r="I1120" s="45" t="n">
        <v>92693</v>
      </c>
      <c r="J1120" s="45" t="n">
        <v>3928</v>
      </c>
      <c r="K1120" s="45" t="n">
        <v>775</v>
      </c>
      <c r="L1120" s="46" t="n"/>
      <c r="M1120" s="47" t="n"/>
      <c r="N1120" s="47" t="inlineStr">
        <is>
          <t>UCKZo4N0lVPccBkSiuyVh4yg</t>
        </is>
      </c>
      <c r="O1120" s="48" t="n">
        <v>44733.87916666667</v>
      </c>
      <c r="P1120" s="49" t="n">
        <v>44733</v>
      </c>
      <c r="Q1120" s="47" t="n">
        <v>2148</v>
      </c>
      <c r="R1120" s="47" t="inlineStr">
        <is>
          <t>No Video ID yet</t>
        </is>
      </c>
      <c r="S1120" s="49" t="n"/>
      <c r="T1120" s="49" t="n"/>
      <c r="U1120" s="47" t="inlineStr">
        <is>
          <t>Go to to get 15% off your first order or 25% off your first Membership item. Go to to get Honey for FREE! Today J and Ben dive into the world of Pixar’s Lightyear to give their full SPOILER Review and break downt the Good, the Bad, and THE CAT! Set your calendars and join us THIS FRIDAY on June 24 @ 6pm Eastern to celebrate the 10 year anniversary of Super Carlin Brothers with a TRIVIA Livestream! #SuperCarlinBrothers #Lightyear #Pixar</t>
        </is>
      </c>
      <c r="V1120" s="47">
        <f>IF(AND(P1120&gt;=Calendar!$K$2,P1120&lt;EDATE(Calendar!$K$2,1),OR(Calendar!$K$4="*",N1120=Calendar!$K$4)),P1120*100+COUNTIFS($P$6:$P$3267,P1120,$Q$6:$Q$3267,"&lt;="&amp;Q1120,$N$6:$N$3267,Calendar!$K$4),"")</f>
        <v/>
      </c>
      <c r="W1120" s="47">
        <f>IF(AND(B1120=Queue!$C$4,OR(Queue!$K$4="*",N1120=Queue!$K$4)),Q1120,"")</f>
        <v/>
      </c>
    </row>
    <row r="1121">
      <c r="A1121" s="38">
        <f>IF(M1121="","",HYPERLINK("https://www.youtube.com/watch?v="&amp;M1121,"▶"))</f>
        <v/>
      </c>
      <c r="B1121" s="39">
        <f>IF(C1121&lt;&gt;"",C1121,IF(P1121&lt;=IFERROR(INDEX(tblChannels[Watched Through],MATCH(N1121,tblChannels[Channel ID],0)),0),"Watched","Unwatched"))</f>
        <v/>
      </c>
      <c r="C1121" s="40" t="n"/>
      <c r="D1121" s="41" t="n"/>
      <c r="E1121" s="42" t="n">
        <v>44729.41666666666</v>
      </c>
      <c r="F1121" s="43" t="inlineStr">
        <is>
          <t>Popcorn Culture</t>
        </is>
      </c>
      <c r="G1121" t="inlineStr">
        <is>
          <t>I'm Model Trains For You | Popcorn Culture</t>
        </is>
      </c>
      <c r="H1121" s="44" t="n">
        <v>0.04755787037037037</v>
      </c>
      <c r="I1121" s="45" t="n">
        <v>6589</v>
      </c>
      <c r="J1121" s="45" t="n">
        <v>360</v>
      </c>
      <c r="K1121" s="45" t="n">
        <v>48</v>
      </c>
      <c r="L1121" s="46" t="n"/>
      <c r="M1121" s="47" t="n"/>
      <c r="N1121" s="47" t="inlineStr">
        <is>
          <t>UCHfIbq9thHPC8yrKjAdJgDA</t>
        </is>
      </c>
      <c r="O1121" s="48" t="n">
        <v>44729.58333333334</v>
      </c>
      <c r="P1121" s="49" t="n">
        <v>44729</v>
      </c>
      <c r="Q1121" s="47" t="n">
        <v>2147</v>
      </c>
      <c r="R1121" s="47" t="inlineStr">
        <is>
          <t>No Video ID yet</t>
        </is>
      </c>
      <c r="S1121" s="49" t="n"/>
      <c r="T1121" s="49" t="n"/>
      <c r="U1121" s="47" t="inlineStr">
        <is>
          <t>In the 132nd episode of the Pop J and Ben discuss model trains-ing Lincoln’s Farewell Tour, the alphabet, fun noises, GMA shenanigans, jumping over things, camp, Ben maybe traveling on his own, and funny web videos. Lincoln Logs History - The ABCs of Kindness - The Bridgerton Experience - Enders Game - Maze Runner - Pokemon Go - E Bombs World Viral Video - Marcel the Shell with Shoes on - Opening Monologue from BattleBlock Theater - Lost Animations - The Lincoln Farewell Tour Washington Logs It Was My Hands, I Swear! Tunnels Under the Quad Disney By Myself 00:00 - Intro, Comparison 06:22 - Fun Fact About Abe Lincoln 12:38 - ABCs of Kindness 19:32 - Fun Noises 28:18 - VT Shenanigans 33:48 - Camp 47:11 - Solo Travel 1:01:38 - Numbers and Funny Web Videos</t>
        </is>
      </c>
      <c r="V1121" s="47">
        <f>IF(AND(P1121&gt;=Calendar!$K$2,P1121&lt;EDATE(Calendar!$K$2,1),OR(Calendar!$K$4="*",N1121=Calendar!$K$4)),P1121*100+COUNTIFS($P$6:$P$3267,P1121,$Q$6:$Q$3267,"&lt;="&amp;Q1121,$N$6:$N$3267,Calendar!$K$4),"")</f>
        <v/>
      </c>
      <c r="W1121" s="47">
        <f>IF(AND(B1121=Queue!$C$4,OR(Queue!$K$4="*",N1121=Queue!$K$4)),Q1121,"")</f>
        <v/>
      </c>
    </row>
    <row r="1122">
      <c r="A1122" s="38">
        <f>IF(M1122="","",HYPERLINK("https://www.youtube.com/watch?v="&amp;M1122,"▶"))</f>
        <v/>
      </c>
      <c r="B1122" s="39">
        <f>IF(C1122&lt;&gt;"",C1122,IF(P1122&lt;=IFERROR(INDEX(tblChannels[Watched Through],MATCH(N1122,tblChannels[Channel ID],0)),0),"Watched","Unwatched"))</f>
        <v/>
      </c>
      <c r="C1122" s="40" t="n"/>
      <c r="D1122" s="41" t="n"/>
      <c r="E1122" s="42" t="n">
        <v>44728.64583333334</v>
      </c>
      <c r="F1122" s="50" t="inlineStr">
        <is>
          <t>Super Carlin Brothers</t>
        </is>
      </c>
      <c r="G1122" t="inlineStr">
        <is>
          <t>Top 5 Plot Holes in Secrets of Dumbledore | Harry Potter Film Theory</t>
        </is>
      </c>
      <c r="H1122" s="44" t="n">
        <v>0.01295138888888889</v>
      </c>
      <c r="I1122" s="45" t="n">
        <v>274890</v>
      </c>
      <c r="J1122" s="45" t="n">
        <v>10438</v>
      </c>
      <c r="K1122" s="45" t="n">
        <v>1147</v>
      </c>
      <c r="L1122" s="46" t="n"/>
      <c r="M1122" s="47" t="n"/>
      <c r="N1122" s="47" t="inlineStr">
        <is>
          <t>UCKZo4N0lVPccBkSiuyVh4yg</t>
        </is>
      </c>
      <c r="O1122" s="48" t="n">
        <v>44728.8125</v>
      </c>
      <c r="P1122" s="49" t="n">
        <v>44728</v>
      </c>
      <c r="Q1122" s="47" t="n">
        <v>2146</v>
      </c>
      <c r="R1122" s="47" t="inlineStr">
        <is>
          <t>No Video ID yet</t>
        </is>
      </c>
      <c r="S1122" s="49" t="n"/>
      <c r="T1122" s="49" t="n"/>
      <c r="U1122" s="47" t="inlineStr">
        <is>
          <t>Go to for 10% off plus free shipping. Today Ben dives into the Wizarding World of Harry Potter to discuss the Top 5 plot holes in Fantastic Beasts: The Secrets of Dumbledore! #SuperCarlinBrothers #HarryPotter #SecretsOfDumbledore</t>
        </is>
      </c>
      <c r="V1122" s="47">
        <f>IF(AND(P1122&gt;=Calendar!$K$2,P1122&lt;EDATE(Calendar!$K$2,1),OR(Calendar!$K$4="*",N1122=Calendar!$K$4)),P1122*100+COUNTIFS($P$6:$P$3267,P1122,$Q$6:$Q$3267,"&lt;="&amp;Q1122,$N$6:$N$3267,Calendar!$K$4),"")</f>
        <v/>
      </c>
      <c r="W1122" s="47">
        <f>IF(AND(B1122=Queue!$C$4,OR(Queue!$K$4="*",N1122=Queue!$K$4)),Q1122,"")</f>
        <v/>
      </c>
    </row>
    <row r="1123">
      <c r="A1123" s="38">
        <f>IF(M1123="","",HYPERLINK("https://www.youtube.com/watch?v="&amp;M1123,"▶"))</f>
        <v/>
      </c>
      <c r="B1123" s="39">
        <f>IF(C1123&lt;&gt;"",C1123,IF(P1123&lt;=IFERROR(INDEX(tblChannels[Watched Through],MATCH(N1123,tblChannels[Channel ID],0)),0),"Watched","Unwatched"))</f>
        <v/>
      </c>
      <c r="C1123" s="40" t="n"/>
      <c r="D1123" s="41" t="n"/>
      <c r="E1123" s="42" t="n">
        <v>44726.625</v>
      </c>
      <c r="F1123" s="50" t="inlineStr">
        <is>
          <t>Super Carlin Brothers</t>
        </is>
      </c>
      <c r="G1123" t="inlineStr">
        <is>
          <t>How Soul Explains What Happened to Riley | Pixar Film Theory</t>
        </is>
      </c>
      <c r="H1123" s="44" t="n">
        <v>0.009282407407407408</v>
      </c>
      <c r="I1123" s="45" t="n">
        <v>279734</v>
      </c>
      <c r="J1123" s="45" t="n">
        <v>11027</v>
      </c>
      <c r="K1123" s="45" t="n">
        <v>468</v>
      </c>
      <c r="L1123" s="46" t="n"/>
      <c r="M1123" s="47" t="n"/>
      <c r="N1123" s="47" t="inlineStr">
        <is>
          <t>UCKZo4N0lVPccBkSiuyVh4yg</t>
        </is>
      </c>
      <c r="O1123" s="48" t="n">
        <v>44726.79166666666</v>
      </c>
      <c r="P1123" s="49" t="n">
        <v>44726</v>
      </c>
      <c r="Q1123" s="47" t="n">
        <v>2145</v>
      </c>
      <c r="R1123" s="47" t="inlineStr">
        <is>
          <t>No Video ID yet</t>
        </is>
      </c>
      <c r="S1123" s="49" t="n"/>
      <c r="T1123" s="49" t="n"/>
      <c r="U1123" s="47" t="inlineStr">
        <is>
          <t>Today J dives into the world of the Pixar theory to reveal how Riley in Inside Out LOST HER SOUL! Edited by : Riley Murtagh</t>
        </is>
      </c>
      <c r="V1123" s="47">
        <f>IF(AND(P1123&gt;=Calendar!$K$2,P1123&lt;EDATE(Calendar!$K$2,1),OR(Calendar!$K$4="*",N1123=Calendar!$K$4)),P1123*100+COUNTIFS($P$6:$P$3267,P1123,$Q$6:$Q$3267,"&lt;="&amp;Q1123,$N$6:$N$3267,Calendar!$K$4),"")</f>
        <v/>
      </c>
      <c r="W1123" s="47">
        <f>IF(AND(B1123=Queue!$C$4,OR(Queue!$K$4="*",N1123=Queue!$K$4)),Q1123,"")</f>
        <v/>
      </c>
    </row>
    <row r="1124">
      <c r="A1124" s="38">
        <f>IF(M1124="","",HYPERLINK("https://www.youtube.com/watch?v="&amp;M1124,"▶"))</f>
        <v/>
      </c>
      <c r="B1124" s="39">
        <f>IF(C1124&lt;&gt;"",C1124,IF(P1124&lt;=IFERROR(INDEX(tblChannels[Watched Through],MATCH(N1124,tblChannels[Channel ID],0)),0),"Watched","Unwatched"))</f>
        <v/>
      </c>
      <c r="C1124" s="40" t="n"/>
      <c r="D1124" s="41" t="n"/>
      <c r="E1124" s="42" t="n">
        <v>44725.625</v>
      </c>
      <c r="F1124" s="53" t="inlineStr">
        <is>
          <t>Jonathan Carlin</t>
        </is>
      </c>
      <c r="G1124" t="inlineStr">
        <is>
          <t>Hilton Head Family Vacation!</t>
        </is>
      </c>
      <c r="H1124" s="44" t="n">
        <v>0.01475694444444444</v>
      </c>
      <c r="I1124" s="45" t="n">
        <v>14442</v>
      </c>
      <c r="J1124" s="45" t="n">
        <v>807</v>
      </c>
      <c r="K1124" s="45" t="n">
        <v>0</v>
      </c>
      <c r="L1124" s="46" t="n"/>
      <c r="M1124" s="47" t="n"/>
      <c r="N1124" s="47" t="inlineStr">
        <is>
          <t>UCYPKFe86e6nm4TVUYKLsFUQ</t>
        </is>
      </c>
      <c r="O1124" s="48" t="n">
        <v>44725.79166666666</v>
      </c>
      <c r="P1124" s="49" t="n">
        <v>44725</v>
      </c>
      <c r="Q1124" s="47" t="n">
        <v>2144</v>
      </c>
      <c r="R1124" s="47" t="inlineStr">
        <is>
          <t>No Video ID yet</t>
        </is>
      </c>
      <c r="S1124" s="49" t="n"/>
      <c r="T1124" s="49" t="n"/>
      <c r="U1124" s="47" t="inlineStr">
        <is>
          <t>This week J and the family head to Hilton Head for some much needed vacation! Luke tries out Putt Putt, Nick and Nate get comfortable in the pool and less comfortable on a pony AND we spot some gators!</t>
        </is>
      </c>
      <c r="V1124" s="47">
        <f>IF(AND(P1124&gt;=Calendar!$K$2,P1124&lt;EDATE(Calendar!$K$2,1),OR(Calendar!$K$4="*",N1124=Calendar!$K$4)),P1124*100+COUNTIFS($P$6:$P$3267,P1124,$Q$6:$Q$3267,"&lt;="&amp;Q1124,$N$6:$N$3267,Calendar!$K$4),"")</f>
        <v/>
      </c>
      <c r="W1124" s="47">
        <f>IF(AND(B1124=Queue!$C$4,OR(Queue!$K$4="*",N1124=Queue!$K$4)),Q1124,"")</f>
        <v/>
      </c>
    </row>
    <row r="1125">
      <c r="A1125" s="38">
        <f>IF(M1125="","",HYPERLINK("https://www.youtube.com/watch?v="&amp;M1125,"▶"))</f>
        <v/>
      </c>
      <c r="B1125" s="39">
        <f>IF(C1125&lt;&gt;"",C1125,IF(P1125&lt;=IFERROR(INDEX(tblChannels[Watched Through],MATCH(N1125,tblChannels[Channel ID],0)),0),"Watched","Unwatched"))</f>
        <v/>
      </c>
      <c r="C1125" s="40" t="n"/>
      <c r="D1125" s="41" t="n"/>
      <c r="E1125" s="42" t="n">
        <v>44722.41666666666</v>
      </c>
      <c r="F1125" s="43" t="inlineStr">
        <is>
          <t>Popcorn Culture</t>
        </is>
      </c>
      <c r="G1125" t="inlineStr">
        <is>
          <t>Codeword: APPLES | Popcorn Culture</t>
        </is>
      </c>
      <c r="H1125" s="44" t="n">
        <v>0.05082175925925926</v>
      </c>
      <c r="I1125" s="45" t="n">
        <v>7213</v>
      </c>
      <c r="J1125" s="45" t="n">
        <v>344</v>
      </c>
      <c r="K1125" s="45" t="n">
        <v>41</v>
      </c>
      <c r="L1125" s="46" t="n"/>
      <c r="M1125" s="47" t="n"/>
      <c r="N1125" s="47" t="inlineStr">
        <is>
          <t>UCHfIbq9thHPC8yrKjAdJgDA</t>
        </is>
      </c>
      <c r="O1125" s="48" t="n">
        <v>44722.58333333334</v>
      </c>
      <c r="P1125" s="49" t="n">
        <v>44722</v>
      </c>
      <c r="Q1125" s="47" t="n">
        <v>2143</v>
      </c>
      <c r="R1125" s="47" t="inlineStr">
        <is>
          <t>No Video ID yet</t>
        </is>
      </c>
      <c r="S1125" s="49" t="n"/>
      <c r="T1125" s="49" t="n"/>
      <c r="U1125" s="47" t="inlineStr">
        <is>
          <t>On this, The One Hundred and Thirty First Episode of The Pop, Ben and J discuss: long car trips, only going to the beach once on their beach trip, dancing at weddings and middle school socials, basketball, ridiculously cheap inflatable things, waterbeds, bounce house stories, photo albums, and deleting apps. Alibaba - National Lampoon’s Christmas Vacation Attic Scene - Join Our Patreon at the $5 level to join the Step Competition! GPS Purgatory Jostley McJostleson Make It Take It: Recess Law Cool Points are Flying Maybe You Need a Waterbed Is It Inflatable? Gives Me the HEEBS Bounce House Stories 00:00 - Intro, Family Vacation 14:18 - Dancing at Events and Basketball 25:19 - Inflatable Things and Water Beds 44:28 - Photo Albums 54:06 - Deleting Phone Apps</t>
        </is>
      </c>
      <c r="V1125" s="47">
        <f>IF(AND(P1125&gt;=Calendar!$K$2,P1125&lt;EDATE(Calendar!$K$2,1),OR(Calendar!$K$4="*",N1125=Calendar!$K$4)),P1125*100+COUNTIFS($P$6:$P$3267,P1125,$Q$6:$Q$3267,"&lt;="&amp;Q1125,$N$6:$N$3267,Calendar!$K$4),"")</f>
        <v/>
      </c>
      <c r="W1125" s="47">
        <f>IF(AND(B1125=Queue!$C$4,OR(Queue!$K$4="*",N1125=Queue!$K$4)),Q1125,"")</f>
        <v/>
      </c>
    </row>
    <row r="1126">
      <c r="A1126" s="38">
        <f>IF(M1126="","",HYPERLINK("https://www.youtube.com/watch?v="&amp;M1126,"▶"))</f>
        <v/>
      </c>
      <c r="B1126" s="39">
        <f>IF(C1126&lt;&gt;"",C1126,IF(P1126&lt;=IFERROR(INDEX(tblChannels[Watched Through],MATCH(N1126,tblChannels[Channel ID],0)),0),"Watched","Unwatched"))</f>
        <v/>
      </c>
      <c r="C1126" s="40" t="n"/>
      <c r="D1126" s="41" t="n"/>
      <c r="E1126" s="42" t="n">
        <v>44721.65208333333</v>
      </c>
      <c r="F1126" s="50" t="inlineStr">
        <is>
          <t>Super Carlin Brothers</t>
        </is>
      </c>
      <c r="G1126" t="inlineStr">
        <is>
          <t>Loki’s ULTIMATE Trick Revealed | Marvel Film Theory</t>
        </is>
      </c>
      <c r="H1126" s="44" t="n">
        <v>0.01346064814814815</v>
      </c>
      <c r="I1126" s="45" t="n">
        <v>166413</v>
      </c>
      <c r="J1126" s="45" t="n">
        <v>9111</v>
      </c>
      <c r="K1126" s="45" t="n">
        <v>902</v>
      </c>
      <c r="L1126" s="46" t="n"/>
      <c r="M1126" s="47" t="n"/>
      <c r="N1126" s="47" t="inlineStr">
        <is>
          <t>UCKZo4N0lVPccBkSiuyVh4yg</t>
        </is>
      </c>
      <c r="O1126" s="48" t="n">
        <v>44721.81875</v>
      </c>
      <c r="P1126" s="49" t="n">
        <v>44721</v>
      </c>
      <c r="Q1126" s="47" t="n">
        <v>2142</v>
      </c>
      <c r="R1126" s="47" t="inlineStr">
        <is>
          <t>No Video ID yet</t>
        </is>
      </c>
      <c r="S1126" s="49" t="n"/>
      <c r="T1126" s="49" t="n"/>
      <c r="U1126" s="47" t="inlineStr">
        <is>
          <t>Go to to get 20% off your first monthly box. Today Ben dives into the wild world of Marvel’s Loki to reveal its ULTIMATE trick, that Mobius, is ACTUALLY a Loki Variant! #SuperCarlinBrothers #Marvel #Loki</t>
        </is>
      </c>
      <c r="V1126" s="47">
        <f>IF(AND(P1126&gt;=Calendar!$K$2,P1126&lt;EDATE(Calendar!$K$2,1),OR(Calendar!$K$4="*",N1126=Calendar!$K$4)),P1126*100+COUNTIFS($P$6:$P$3267,P1126,$Q$6:$Q$3267,"&lt;="&amp;Q1126,$N$6:$N$3267,Calendar!$K$4),"")</f>
        <v/>
      </c>
      <c r="W1126" s="47">
        <f>IF(AND(B1126=Queue!$C$4,OR(Queue!$K$4="*",N1126=Queue!$K$4)),Q1126,"")</f>
        <v/>
      </c>
    </row>
    <row r="1127">
      <c r="A1127" s="38">
        <f>IF(M1127="","",HYPERLINK("https://www.youtube.com/watch?v="&amp;M1127,"▶"))</f>
        <v/>
      </c>
      <c r="B1127" s="39">
        <f>IF(C1127&lt;&gt;"",C1127,IF(P1127&lt;=IFERROR(INDEX(tblChannels[Watched Through],MATCH(N1127,tblChannels[Channel ID],0)),0),"Watched","Unwatched"))</f>
        <v/>
      </c>
      <c r="C1127" s="40" t="n"/>
      <c r="D1127" s="41" t="n"/>
      <c r="E1127" s="42" t="n">
        <v>44719.70277777778</v>
      </c>
      <c r="F1127" s="50" t="inlineStr">
        <is>
          <t>Super Carlin Brothers</t>
        </is>
      </c>
      <c r="G1127" t="inlineStr">
        <is>
          <t>J vs Ben: HARDEST Care of Magical Creatures Harry Potter Trivia Quiz</t>
        </is>
      </c>
      <c r="H1127" s="44" t="n">
        <v>0.02086805555555556</v>
      </c>
      <c r="I1127" s="45" t="n">
        <v>184178</v>
      </c>
      <c r="J1127" s="45" t="n">
        <v>6581</v>
      </c>
      <c r="K1127" s="45" t="n">
        <v>452</v>
      </c>
      <c r="L1127" s="46" t="n"/>
      <c r="M1127" s="47" t="n"/>
      <c r="N1127" s="47" t="inlineStr">
        <is>
          <t>UCKZo4N0lVPccBkSiuyVh4yg</t>
        </is>
      </c>
      <c r="O1127" s="48" t="n">
        <v>44719.86944444444</v>
      </c>
      <c r="P1127" s="49" t="n">
        <v>44719</v>
      </c>
      <c r="Q1127" s="47" t="n">
        <v>2141</v>
      </c>
      <c r="R1127" s="47" t="inlineStr">
        <is>
          <t>No Video ID yet</t>
        </is>
      </c>
      <c r="S1127" s="49" t="n"/>
      <c r="T1127" s="49" t="n"/>
      <c r="U1127" s="47" t="inlineStr">
        <is>
          <t>Go to to get an extra 3 months free! Go to and use code jvsb16 for up to 16 free meals AND 3 free gifts! PRIDE SHIRT :: Today J and Ben face off once more to find out who paid more attention in Care of Magical Creatures.. Or at least who read those chapters more carefully as they take on another Harry Potter Trivia Quiz #SuperCarlinBrothers #JvsBen #HarryPotter</t>
        </is>
      </c>
      <c r="V1127" s="47">
        <f>IF(AND(P1127&gt;=Calendar!$K$2,P1127&lt;EDATE(Calendar!$K$2,1),OR(Calendar!$K$4="*",N1127=Calendar!$K$4)),P1127*100+COUNTIFS($P$6:$P$3267,P1127,$Q$6:$Q$3267,"&lt;="&amp;Q1127,$N$6:$N$3267,Calendar!$K$4),"")</f>
        <v/>
      </c>
      <c r="W1127" s="47">
        <f>IF(AND(B1127=Queue!$C$4,OR(Queue!$K$4="*",N1127=Queue!$K$4)),Q1127,"")</f>
        <v/>
      </c>
    </row>
    <row r="1128">
      <c r="A1128" s="38">
        <f>IF(M1128="","",HYPERLINK("https://www.youtube.com/watch?v="&amp;M1128,"▶"))</f>
        <v/>
      </c>
      <c r="B1128" s="39">
        <f>IF(C1128&lt;&gt;"",C1128,IF(P1128&lt;=IFERROR(INDEX(tblChannels[Watched Through],MATCH(N1128,tblChannels[Channel ID],0)),0),"Watched","Unwatched"))</f>
        <v/>
      </c>
      <c r="C1128" s="40" t="n"/>
      <c r="D1128" s="41" t="n"/>
      <c r="E1128" s="42" t="n">
        <v>44715.41666666666</v>
      </c>
      <c r="F1128" s="43" t="inlineStr">
        <is>
          <t>Popcorn Culture</t>
        </is>
      </c>
      <c r="G1128" t="inlineStr">
        <is>
          <t>The Legend of Bazooka Jack | Popcorn Culture</t>
        </is>
      </c>
      <c r="H1128" s="44" t="n">
        <v>0.05310185185185185</v>
      </c>
      <c r="I1128" s="45" t="n">
        <v>7282</v>
      </c>
      <c r="J1128" s="45" t="n">
        <v>339</v>
      </c>
      <c r="K1128" s="45" t="n">
        <v>35</v>
      </c>
      <c r="L1128" s="46" t="n"/>
      <c r="M1128" s="47" t="n"/>
      <c r="N1128" s="47" t="inlineStr">
        <is>
          <t>UCHfIbq9thHPC8yrKjAdJgDA</t>
        </is>
      </c>
      <c r="O1128" s="48" t="n">
        <v>44715.58333333334</v>
      </c>
      <c r="P1128" s="49" t="n">
        <v>44715</v>
      </c>
      <c r="Q1128" s="47" t="n">
        <v>2140</v>
      </c>
      <c r="R1128" s="47" t="inlineStr">
        <is>
          <t>No Video ID yet</t>
        </is>
      </c>
      <c r="S1128" s="49" t="n"/>
      <c r="T1128" s="49" t="n"/>
      <c r="U1128" s="47" t="inlineStr">
        <is>
          <t>In the 130th episode of the pop, Ben and J discuss tie-dye, fake dating profile, Ben’s brain Roulette wheel, treasure, Olympic medals, Atomic Habits, incremental change, reflecting on social media impact, bathing suits, 30 minutes of fun, and the Roanoke Times Twitter. Sign up for Patreon to get your Popcorn Culture Moleskin! - Snoke is Lincoln - Price of Silver - Makeup of Olympic Medals- Price associated with winning Olympic Medals - Atomic Habits - The Roanoke Times’ Twitter Account (don’t follow) - We Should Tie-Dye Some Stuff The Office and Ranch Dressing Oozing the Whimsy Custom Made King Sized Dinosaur Sheets Well Respected Foes Do I Even Want a Bathing Suit? Car Wash Ragers The Mystery of the Roanoke Times 00:00 - Intro, Tie-Dye 07:17 - Dating Profiles 14:03 - Bazooka Bunny or Bazooka Jack? 16:32 - Corny Joke and Abe Lincoln Fact 22:08 - Treasure and Olympics 32:51 - Atomic Habits 56:08 - Ah-hah Moments 1:02:23 - 30 Minutes of Fun 1:07:52 - Our Local Newspaper’s Twitter</t>
        </is>
      </c>
      <c r="V1128" s="47">
        <f>IF(AND(P1128&gt;=Calendar!$K$2,P1128&lt;EDATE(Calendar!$K$2,1),OR(Calendar!$K$4="*",N1128=Calendar!$K$4)),P1128*100+COUNTIFS($P$6:$P$3267,P1128,$Q$6:$Q$3267,"&lt;="&amp;Q1128,$N$6:$N$3267,Calendar!$K$4),"")</f>
        <v/>
      </c>
      <c r="W1128" s="47">
        <f>IF(AND(B1128=Queue!$C$4,OR(Queue!$K$4="*",N1128=Queue!$K$4)),Q1128,"")</f>
        <v/>
      </c>
    </row>
    <row r="1129">
      <c r="A1129" s="38">
        <f>IF(M1129="","",HYPERLINK("https://www.youtube.com/watch?v="&amp;M1129,"▶"))</f>
        <v/>
      </c>
      <c r="B1129" s="39">
        <f>IF(C1129&lt;&gt;"",C1129,IF(P1129&lt;=IFERROR(INDEX(tblChannels[Watched Through],MATCH(N1129,tblChannels[Channel ID],0)),0),"Watched","Unwatched"))</f>
        <v/>
      </c>
      <c r="C1129" s="40" t="n"/>
      <c r="D1129" s="41" t="n"/>
      <c r="E1129" s="42" t="n">
        <v>44714.59097222222</v>
      </c>
      <c r="F1129" s="50" t="inlineStr">
        <is>
          <t>Super Carlin Brothers</t>
        </is>
      </c>
      <c r="G1129" t="inlineStr">
        <is>
          <t>Why The Qilin ACTUALLY Bowed To Dumbledore | Harry Potter Film Theory</t>
        </is>
      </c>
      <c r="H1129" s="44" t="n">
        <v>0.01145833333333333</v>
      </c>
      <c r="I1129" s="45" t="n">
        <v>478434</v>
      </c>
      <c r="J1129" s="45" t="n">
        <v>14694</v>
      </c>
      <c r="K1129" s="45" t="n">
        <v>1679</v>
      </c>
      <c r="L1129" s="46" t="n"/>
      <c r="M1129" s="47" t="n"/>
      <c r="N1129" s="47" t="inlineStr">
        <is>
          <t>UCKZo4N0lVPccBkSiuyVh4yg</t>
        </is>
      </c>
      <c r="O1129" s="48" t="n">
        <v>44714.75763888889</v>
      </c>
      <c r="P1129" s="49" t="n">
        <v>44714</v>
      </c>
      <c r="Q1129" s="47" t="n">
        <v>2139</v>
      </c>
      <c r="R1129" s="47" t="inlineStr">
        <is>
          <t>No Video ID yet</t>
        </is>
      </c>
      <c r="S1129" s="49" t="n"/>
      <c r="T1129" s="49" t="n"/>
      <c r="U1129" s="47" t="inlineStr">
        <is>
          <t>Today Ben dives into the Wizarding World of Harry Potter to try and figure out WHY the qilin determined Albus Dumbldore was pure of heart and bowed before him?! #SecretsOfDumbledore #HarryPotter #WizardingWorld</t>
        </is>
      </c>
      <c r="V1129" s="47">
        <f>IF(AND(P1129&gt;=Calendar!$K$2,P1129&lt;EDATE(Calendar!$K$2,1),OR(Calendar!$K$4="*",N1129=Calendar!$K$4)),P1129*100+COUNTIFS($P$6:$P$3267,P1129,$Q$6:$Q$3267,"&lt;="&amp;Q1129,$N$6:$N$3267,Calendar!$K$4),"")</f>
        <v/>
      </c>
      <c r="W1129" s="47">
        <f>IF(AND(B1129=Queue!$C$4,OR(Queue!$K$4="*",N1129=Queue!$K$4)),Q1129,"")</f>
        <v/>
      </c>
    </row>
    <row r="1130">
      <c r="A1130" s="38">
        <f>IF(M1130="","",HYPERLINK("https://www.youtube.com/watch?v="&amp;M1130,"▶"))</f>
        <v/>
      </c>
      <c r="B1130" s="39">
        <f>IF(C1130&lt;&gt;"",C1130,IF(P1130&lt;=IFERROR(INDEX(tblChannels[Watched Through],MATCH(N1130,tblChannels[Channel ID],0)),0),"Watched","Unwatched"))</f>
        <v/>
      </c>
      <c r="C1130" s="40" t="n"/>
      <c r="D1130" s="41" t="n"/>
      <c r="E1130" s="42" t="n">
        <v>44713.7125</v>
      </c>
      <c r="F1130" s="53" t="inlineStr">
        <is>
          <t>Jonathan Carlin</t>
        </is>
      </c>
      <c r="G1130" t="inlineStr">
        <is>
          <t>Our First LIVE SHOW</t>
        </is>
      </c>
      <c r="H1130" s="44" t="n">
        <v>0.01341435185185185</v>
      </c>
      <c r="I1130" s="45" t="n">
        <v>11216</v>
      </c>
      <c r="J1130" s="45" t="n">
        <v>801</v>
      </c>
      <c r="K1130" s="45" t="n">
        <v>49</v>
      </c>
      <c r="L1130" s="46" t="n"/>
      <c r="M1130" s="47" t="n"/>
      <c r="N1130" s="47" t="inlineStr">
        <is>
          <t>UCYPKFe86e6nm4TVUYKLsFUQ</t>
        </is>
      </c>
      <c r="O1130" s="48" t="n">
        <v>44713.87916666667</v>
      </c>
      <c r="P1130" s="49" t="n">
        <v>44713</v>
      </c>
      <c r="Q1130" s="47" t="n">
        <v>2138</v>
      </c>
      <c r="R1130" s="47" t="inlineStr">
        <is>
          <t>No Video ID yet</t>
        </is>
      </c>
      <c r="S1130" s="49" t="n"/>
      <c r="T1130" s="49" t="n"/>
      <c r="U1130" s="47" t="inlineStr">
        <is>
          <t>This week Ben and I go to ORLANDO for the first ever Super Carlin Brothers LIVE SHOW Edited by Ethan Edghill</t>
        </is>
      </c>
      <c r="V1130" s="47">
        <f>IF(AND(P1130&gt;=Calendar!$K$2,P1130&lt;EDATE(Calendar!$K$2,1),OR(Calendar!$K$4="*",N1130=Calendar!$K$4)),P1130*100+COUNTIFS($P$6:$P$3267,P1130,$Q$6:$Q$3267,"&lt;="&amp;Q1130,$N$6:$N$3267,Calendar!$K$4),"")</f>
        <v/>
      </c>
      <c r="W1130" s="47">
        <f>IF(AND(B1130=Queue!$C$4,OR(Queue!$K$4="*",N1130=Queue!$K$4)),Q1130,"")</f>
        <v/>
      </c>
    </row>
    <row r="1131">
      <c r="A1131" s="38">
        <f>IF(M1131="","",HYPERLINK("https://www.youtube.com/watch?v="&amp;M1131,"▶"))</f>
        <v/>
      </c>
      <c r="B1131" s="39">
        <f>IF(C1131&lt;&gt;"",C1131,IF(P1131&lt;=IFERROR(INDEX(tblChannels[Watched Through],MATCH(N1131,tblChannels[Channel ID],0)),0),"Watched","Unwatched"))</f>
        <v/>
      </c>
      <c r="C1131" s="40" t="n"/>
      <c r="D1131" s="41" t="n"/>
      <c r="E1131" s="42" t="n">
        <v>44712.65069444444</v>
      </c>
      <c r="F1131" s="50" t="inlineStr">
        <is>
          <t>Super Carlin Brothers</t>
        </is>
      </c>
      <c r="G1131" t="inlineStr">
        <is>
          <t>This Fantastic Beast Changes EVERYTHING | Harry Potter Film Theory</t>
        </is>
      </c>
      <c r="H1131" s="44" t="n">
        <v>0.01111111111111111</v>
      </c>
      <c r="I1131" s="45" t="n">
        <v>307779</v>
      </c>
      <c r="J1131" s="45" t="n">
        <v>11607</v>
      </c>
      <c r="K1131" s="45" t="n">
        <v>953</v>
      </c>
      <c r="L1131" s="46" t="n"/>
      <c r="M1131" s="47" t="n"/>
      <c r="N1131" s="47" t="inlineStr">
        <is>
          <t>UCKZo4N0lVPccBkSiuyVh4yg</t>
        </is>
      </c>
      <c r="O1131" s="48" t="n">
        <v>44712.81736111111</v>
      </c>
      <c r="P1131" s="49" t="n">
        <v>44712</v>
      </c>
      <c r="Q1131" s="47" t="n">
        <v>2137</v>
      </c>
      <c r="R1131" s="47" t="inlineStr">
        <is>
          <t>No Video ID yet</t>
        </is>
      </c>
      <c r="S1131" s="49" t="n"/>
      <c r="T1131" s="49" t="n"/>
      <c r="U1131" s="47" t="inlineStr">
        <is>
          <t>Go to for 15% off your first order. Today J dives into the Wizarding World of Harry Potter to discuss an overlooked development from Fantastic Beasts: The Secrets of Dumbledore beast that could change everything we know about the Killing Curse. #SecretsOfDumbledore #HarryPotter #WizardingWorld</t>
        </is>
      </c>
      <c r="V1131" s="47">
        <f>IF(AND(P1131&gt;=Calendar!$K$2,P1131&lt;EDATE(Calendar!$K$2,1),OR(Calendar!$K$4="*",N1131=Calendar!$K$4)),P1131*100+COUNTIFS($P$6:$P$3267,P1131,$Q$6:$Q$3267,"&lt;="&amp;Q1131,$N$6:$N$3267,Calendar!$K$4),"")</f>
        <v/>
      </c>
      <c r="W1131" s="47">
        <f>IF(AND(B1131=Queue!$C$4,OR(Queue!$K$4="*",N1131=Queue!$K$4)),Q1131,"")</f>
        <v/>
      </c>
    </row>
    <row r="1132">
      <c r="A1132" s="38">
        <f>IF(M1132="","",HYPERLINK("https://www.youtube.com/watch?v="&amp;M1132,"▶"))</f>
        <v/>
      </c>
      <c r="B1132" s="39">
        <f>IF(C1132&lt;&gt;"",C1132,IF(P1132&lt;=IFERROR(INDEX(tblChannels[Watched Through],MATCH(N1132,tblChannels[Channel ID],0)),0),"Watched","Unwatched"))</f>
        <v/>
      </c>
      <c r="C1132" s="40" t="n"/>
      <c r="D1132" s="41" t="n"/>
      <c r="E1132" s="42" t="n">
        <v>44708.41666666666</v>
      </c>
      <c r="F1132" s="43" t="inlineStr">
        <is>
          <t>Popcorn Culture</t>
        </is>
      </c>
      <c r="G1132" t="inlineStr">
        <is>
          <t>World's SKETCHIEST Uber | Popcorn Culture</t>
        </is>
      </c>
      <c r="H1132" s="44" t="n">
        <v>0.05087962962962963</v>
      </c>
      <c r="I1132" s="45" t="n">
        <v>7430</v>
      </c>
      <c r="J1132" s="45" t="n">
        <v>406</v>
      </c>
      <c r="K1132" s="45" t="n">
        <v>60</v>
      </c>
      <c r="L1132" s="46" t="n"/>
      <c r="M1132" s="47" t="n"/>
      <c r="N1132" s="47" t="inlineStr">
        <is>
          <t>UCHfIbq9thHPC8yrKjAdJgDA</t>
        </is>
      </c>
      <c r="O1132" s="48" t="n">
        <v>44708.58333333334</v>
      </c>
      <c r="P1132" s="49" t="n">
        <v>44708</v>
      </c>
      <c r="Q1132" s="47" t="n">
        <v>2136</v>
      </c>
      <c r="R1132" s="47" t="inlineStr">
        <is>
          <t>No Video ID yet</t>
        </is>
      </c>
      <c r="S1132" s="49" t="n"/>
      <c r="T1132" s="49" t="n"/>
      <c r="U1132" s="47" t="inlineStr">
        <is>
          <t>In the 129th episode of the Pop, Ben and J discuss the Lost Colony of Roanoke, doing their first (sort of) live show, strange Uber endeavors, frustrating customer service, Universal roller coasters, their wicks of the peek, owning a luxury movie theater and carnival games. The Roost Tour - Sonic the Hedgehog 1 - Logan’s Candy Company - Ben’s Wick of the Peek: Project Hail Mary - J’s Wick of the Peek: Sonic the Hedgehog 2 - I’m Not Nervous, I’m FREEZING Strange Uber Endeavors Pamela’s Got Your Back Mercury Was in Retrograde in Orlando I’m in on Watermelons The Movies and Coke Go Together 00:00 - Intro, All the Roanokes 02:46 - Our First Live Show! 15:54 - What Do We Do With Our Luggage? 22:22 - Roller Coaster Issues 35:07 - Crazy Uber Experience 51:07 - Wicks of the Peek and Movie Theaters</t>
        </is>
      </c>
      <c r="V1132" s="47">
        <f>IF(AND(P1132&gt;=Calendar!$K$2,P1132&lt;EDATE(Calendar!$K$2,1),OR(Calendar!$K$4="*",N1132=Calendar!$K$4)),P1132*100+COUNTIFS($P$6:$P$3267,P1132,$Q$6:$Q$3267,"&lt;="&amp;Q1132,$N$6:$N$3267,Calendar!$K$4),"")</f>
        <v/>
      </c>
      <c r="W1132" s="47">
        <f>IF(AND(B1132=Queue!$C$4,OR(Queue!$K$4="*",N1132=Queue!$K$4)),Q1132,"")</f>
        <v/>
      </c>
    </row>
    <row r="1133">
      <c r="A1133" s="38">
        <f>IF(M1133="","",HYPERLINK("https://www.youtube.com/watch?v="&amp;M1133,"▶"))</f>
        <v/>
      </c>
      <c r="B1133" s="39">
        <f>IF(C1133&lt;&gt;"",C1133,IF(P1133&lt;=IFERROR(INDEX(tblChannels[Watched Through],MATCH(N1133,tblChannels[Channel ID],0)),0),"Watched","Unwatched"))</f>
        <v/>
      </c>
      <c r="C1133" s="40" t="n"/>
      <c r="D1133" s="41" t="n"/>
      <c r="E1133" s="42" t="n">
        <v>44707.71041666667</v>
      </c>
      <c r="F1133" s="50" t="inlineStr">
        <is>
          <t>Super Carlin Brothers</t>
        </is>
      </c>
      <c r="G1133" t="inlineStr">
        <is>
          <t>Turning Red &amp; Soul Are CONNECTED! | Pixar Film Theory</t>
        </is>
      </c>
      <c r="H1133" s="44" t="n">
        <v>0.009502314814814814</v>
      </c>
      <c r="I1133" s="45" t="n">
        <v>153167</v>
      </c>
      <c r="J1133" s="45" t="n">
        <v>6951</v>
      </c>
      <c r="K1133" s="45" t="n">
        <v>352</v>
      </c>
      <c r="L1133" s="46" t="n"/>
      <c r="M1133" s="47" t="n"/>
      <c r="N1133" s="47" t="inlineStr">
        <is>
          <t>UCKZo4N0lVPccBkSiuyVh4yg</t>
        </is>
      </c>
      <c r="O1133" s="48" t="n">
        <v>44707.87708333333</v>
      </c>
      <c r="P1133" s="49" t="n">
        <v>44707</v>
      </c>
      <c r="Q1133" s="47" t="n">
        <v>2135</v>
      </c>
      <c r="R1133" s="47" t="inlineStr">
        <is>
          <t>No Video ID yet</t>
        </is>
      </c>
      <c r="S1133" s="49" t="n"/>
      <c r="T1133" s="49" t="n"/>
      <c r="U1133" s="47" t="inlineStr">
        <is>
          <t>Go to and use promo code supercarlin to get a 4-week trial plus free postage and a digital scale. Today Ben dives into the Pixar Theory to reveal how Mei and her family are able to turn in to Panda’s by comparing it to Soul! #SuperCarlinBrothers #Pixar #TurningRed</t>
        </is>
      </c>
      <c r="V1133" s="47">
        <f>IF(AND(P1133&gt;=Calendar!$K$2,P1133&lt;EDATE(Calendar!$K$2,1),OR(Calendar!$K$4="*",N1133=Calendar!$K$4)),P1133*100+COUNTIFS($P$6:$P$3267,P1133,$Q$6:$Q$3267,"&lt;="&amp;Q1133,$N$6:$N$3267,Calendar!$K$4),"")</f>
        <v/>
      </c>
      <c r="W1133" s="47">
        <f>IF(AND(B1133=Queue!$C$4,OR(Queue!$K$4="*",N1133=Queue!$K$4)),Q1133,"")</f>
        <v/>
      </c>
    </row>
    <row r="1134">
      <c r="A1134" s="38">
        <f>IF(M1134="","",HYPERLINK("https://www.youtube.com/watch?v="&amp;M1134,"▶"))</f>
        <v/>
      </c>
      <c r="B1134" s="39">
        <f>IF(C1134&lt;&gt;"",C1134,IF(P1134&lt;=IFERROR(INDEX(tblChannels[Watched Through],MATCH(N1134,tblChannels[Channel ID],0)),0),"Watched","Unwatched"))</f>
        <v/>
      </c>
      <c r="C1134" s="40" t="n"/>
      <c r="D1134" s="41" t="n"/>
      <c r="E1134" s="42" t="n">
        <v>44706.625</v>
      </c>
      <c r="F1134" s="52" t="inlineStr">
        <is>
          <t>Super Carlin Gaming</t>
        </is>
      </c>
      <c r="G1134" t="inlineStr">
        <is>
          <t>Lord of the Isles |  Pokémon Legends: Arceus Nuzlocke #13</t>
        </is>
      </c>
      <c r="H1134" s="44" t="n">
        <v>0.02422453703703704</v>
      </c>
      <c r="I1134" s="45" t="n">
        <v>7496</v>
      </c>
      <c r="J1134" s="45" t="n">
        <v>449</v>
      </c>
      <c r="K1134" s="45" t="n">
        <v>101</v>
      </c>
      <c r="L1134" s="46" t="n"/>
      <c r="M1134" s="47" t="n"/>
      <c r="N1134" s="47" t="inlineStr">
        <is>
          <t>UCor_9jRnNNZVzTuQ92PKsaQ</t>
        </is>
      </c>
      <c r="O1134" s="48" t="n">
        <v>44706.79166666666</v>
      </c>
      <c r="P1134" s="49" t="n">
        <v>44706</v>
      </c>
      <c r="Q1134" s="47" t="n">
        <v>2134</v>
      </c>
      <c r="R1134" s="47" t="inlineStr">
        <is>
          <t>No Video ID yet</t>
        </is>
      </c>
      <c r="S1134" s="49" t="n"/>
      <c r="T1134" s="49" t="n"/>
      <c r="U1134" s="47" t="inlineStr">
        <is>
          <t>Today J and the team ride their trusty Basculegion to fight the Noble Arcanine! Will they succeed, or is the team doomed for defeat?!?</t>
        </is>
      </c>
      <c r="V1134" s="47">
        <f>IF(AND(P1134&gt;=Calendar!$K$2,P1134&lt;EDATE(Calendar!$K$2,1),OR(Calendar!$K$4="*",N1134=Calendar!$K$4)),P1134*100+COUNTIFS($P$6:$P$3267,P1134,$Q$6:$Q$3267,"&lt;="&amp;Q1134,$N$6:$N$3267,Calendar!$K$4),"")</f>
        <v/>
      </c>
      <c r="W1134" s="47">
        <f>IF(AND(B1134=Queue!$C$4,OR(Queue!$K$4="*",N1134=Queue!$K$4)),Q1134,"")</f>
        <v/>
      </c>
    </row>
    <row r="1135">
      <c r="A1135" s="38">
        <f>IF(M1135="","",HYPERLINK("https://www.youtube.com/watch?v="&amp;M1135,"▶"))</f>
        <v/>
      </c>
      <c r="B1135" s="39">
        <f>IF(C1135&lt;&gt;"",C1135,IF(P1135&lt;=IFERROR(INDEX(tblChannels[Watched Through],MATCH(N1135,tblChannels[Channel ID],0)),0),"Watched","Unwatched"))</f>
        <v/>
      </c>
      <c r="C1135" s="40" t="n"/>
      <c r="D1135" s="41" t="n"/>
      <c r="E1135" s="42" t="n">
        <v>44705.77986111111</v>
      </c>
      <c r="F1135" s="50" t="inlineStr">
        <is>
          <t>Super Carlin Brothers</t>
        </is>
      </c>
      <c r="G1135" t="inlineStr">
        <is>
          <t>Sorting Star Wars Characters into Harry Potter Hogwarts Houses | J vs Ben</t>
        </is>
      </c>
      <c r="H1135" s="44" t="n">
        <v>0.0340162037037037</v>
      </c>
      <c r="I1135" s="45" t="n">
        <v>247934</v>
      </c>
      <c r="J1135" s="45" t="n">
        <v>7944</v>
      </c>
      <c r="K1135" s="45" t="n">
        <v>1418</v>
      </c>
      <c r="L1135" s="46" t="n"/>
      <c r="M1135" s="47" t="n"/>
      <c r="N1135" s="47" t="inlineStr">
        <is>
          <t>UCKZo4N0lVPccBkSiuyVh4yg</t>
        </is>
      </c>
      <c r="O1135" s="48" t="n">
        <v>44705.94652777778</v>
      </c>
      <c r="P1135" s="49" t="n">
        <v>44705</v>
      </c>
      <c r="Q1135" s="47" t="n">
        <v>2133</v>
      </c>
      <c r="R1135" s="47" t="inlineStr">
        <is>
          <t>No Video ID yet</t>
        </is>
      </c>
      <c r="S1135" s="49" t="n"/>
      <c r="T1135" s="49" t="n"/>
      <c r="U1135" s="47" t="inlineStr">
        <is>
          <t>Go to to get Honey for FREE! Go to or use promo code jvsb at checkout to get 20% off your first order. Hello There Shirt :: Today J and Ben face off to try and sort the Jedi into Gryffindor, Slytherin, Hufflepuff &amp; Ravenclaw! Is Rey a Hufflepuff? Is Qui-Gon a Slytherin?! #SuperCarlinBrothers #HarryPotter #StarWars</t>
        </is>
      </c>
      <c r="V1135" s="47">
        <f>IF(AND(P1135&gt;=Calendar!$K$2,P1135&lt;EDATE(Calendar!$K$2,1),OR(Calendar!$K$4="*",N1135=Calendar!$K$4)),P1135*100+COUNTIFS($P$6:$P$3267,P1135,$Q$6:$Q$3267,"&lt;="&amp;Q1135,$N$6:$N$3267,Calendar!$K$4),"")</f>
        <v/>
      </c>
      <c r="W1135" s="47">
        <f>IF(AND(B1135=Queue!$C$4,OR(Queue!$K$4="*",N1135=Queue!$K$4)),Q1135,"")</f>
        <v/>
      </c>
    </row>
    <row r="1136">
      <c r="A1136" s="38">
        <f>IF(M1136="","",HYPERLINK("https://www.youtube.com/watch?v="&amp;M1136,"▶"))</f>
        <v/>
      </c>
      <c r="B1136" s="39">
        <f>IF(C1136&lt;&gt;"",C1136,IF(P1136&lt;=IFERROR(INDEX(tblChannels[Watched Through],MATCH(N1136,tblChannels[Channel ID],0)),0),"Watched","Unwatched"))</f>
        <v/>
      </c>
      <c r="C1136" s="40" t="n"/>
      <c r="D1136" s="41" t="n"/>
      <c r="E1136" s="42" t="n">
        <v>44704.6875</v>
      </c>
      <c r="F1136" s="53" t="inlineStr">
        <is>
          <t>Jonathan Carlin</t>
        </is>
      </c>
      <c r="G1136" t="inlineStr">
        <is>
          <t>Summer Sledding, Ducks &amp; LEGO!</t>
        </is>
      </c>
      <c r="H1136" s="44" t="n">
        <v>0.01002314814814815</v>
      </c>
      <c r="I1136" s="45" t="n">
        <v>9294</v>
      </c>
      <c r="J1136" s="45" t="n">
        <v>683</v>
      </c>
      <c r="K1136" s="45" t="n">
        <v>63</v>
      </c>
      <c r="L1136" s="46" t="n"/>
      <c r="M1136" s="47" t="n"/>
      <c r="N1136" s="47" t="inlineStr">
        <is>
          <t>UCYPKFe86e6nm4TVUYKLsFUQ</t>
        </is>
      </c>
      <c r="O1136" s="48" t="n">
        <v>44704.85416666666</v>
      </c>
      <c r="P1136" s="49" t="n">
        <v>44704</v>
      </c>
      <c r="Q1136" s="47" t="n">
        <v>2132</v>
      </c>
      <c r="R1136" s="47" t="inlineStr">
        <is>
          <t>No Video ID yet</t>
        </is>
      </c>
      <c r="S1136" s="49" t="n"/>
      <c r="T1136" s="49" t="n"/>
      <c r="U1136" s="47" t="inlineStr">
        <is>
          <t>This week the SCB team experiments with their 3d printer, the boys invent summer sledding and visit a duck pond. J builds Lego with Beth. and Luke, and of course we open some Pokemon cards! #NotSponsored by Lego, but thanks for the product!</t>
        </is>
      </c>
      <c r="V1136" s="47">
        <f>IF(AND(P1136&gt;=Calendar!$K$2,P1136&lt;EDATE(Calendar!$K$2,1),OR(Calendar!$K$4="*",N1136=Calendar!$K$4)),P1136*100+COUNTIFS($P$6:$P$3267,P1136,$Q$6:$Q$3267,"&lt;="&amp;Q1136,$N$6:$N$3267,Calendar!$K$4),"")</f>
        <v/>
      </c>
      <c r="W1136" s="47">
        <f>IF(AND(B1136=Queue!$C$4,OR(Queue!$K$4="*",N1136=Queue!$K$4)),Q1136,"")</f>
        <v/>
      </c>
    </row>
    <row r="1137">
      <c r="A1137" s="38">
        <f>IF(M1137="","",HYPERLINK("https://www.youtube.com/watch?v="&amp;M1137,"▶"))</f>
        <v/>
      </c>
      <c r="B1137" s="39">
        <f>IF(C1137&lt;&gt;"",C1137,IF(P1137&lt;=IFERROR(INDEX(tblChannels[Watched Through],MATCH(N1137,tblChannels[Channel ID],0)),0),"Watched","Unwatched"))</f>
        <v/>
      </c>
      <c r="C1137" s="40" t="n"/>
      <c r="D1137" s="41" t="n"/>
      <c r="E1137" s="42" t="n">
        <v>44701.41666666666</v>
      </c>
      <c r="F1137" s="43" t="inlineStr">
        <is>
          <t>Popcorn Culture</t>
        </is>
      </c>
      <c r="G1137" t="inlineStr">
        <is>
          <t>This Ain't a Rabbit Diner | Popcorn Culture</t>
        </is>
      </c>
      <c r="H1137" s="44" t="n">
        <v>0.04502314814814815</v>
      </c>
      <c r="I1137" s="45" t="n">
        <v>6425</v>
      </c>
      <c r="J1137" s="45" t="n">
        <v>357</v>
      </c>
      <c r="K1137" s="45" t="n">
        <v>47</v>
      </c>
      <c r="L1137" s="46" t="n"/>
      <c r="M1137" s="47" t="n"/>
      <c r="N1137" s="47" t="inlineStr">
        <is>
          <t>UCHfIbq9thHPC8yrKjAdJgDA</t>
        </is>
      </c>
      <c r="O1137" s="48" t="n">
        <v>44701.58333333334</v>
      </c>
      <c r="P1137" s="49" t="n">
        <v>44701</v>
      </c>
      <c r="Q1137" s="47" t="n">
        <v>2131</v>
      </c>
      <c r="R1137" s="47" t="inlineStr">
        <is>
          <t>No Video ID yet</t>
        </is>
      </c>
      <c r="S1137" s="49" t="n"/>
      <c r="T1137" s="49" t="n"/>
      <c r="U1137" s="47" t="inlineStr">
        <is>
          <t>In the 128th episode of the Pop, Ben and J discuss The Immortal, living in the present, flour fights, performing fun, social media sign off, algorithms, life updates, automatic responses, enemies of sunflowers, and banana water. Turns out there’s an entire website just for books about Abraham Lincoln… here’s the page for his comic books: Invincible: The Wisdom of Insecurity: Guess How Much I Love You: Ben’s Wick of the Peek - Flour fights/ Living in the moment Would Immortality Change You? Living for the Now Performing Fun Undoing Learned Behaviors Computers vs. Brains Enemies on all Fronts Bazooka the Rabbit Banana Water 00:00 - Intro, Immortality 8:05 - Living in the Present 16:31 - Performing Fun 19:31 - Giving up Social Media 30:41 - Ben Life Updates 38:40 - Bran Paths 45:25 - Problem Solving the Sunflowers</t>
        </is>
      </c>
      <c r="V1137" s="47">
        <f>IF(AND(P1137&gt;=Calendar!$K$2,P1137&lt;EDATE(Calendar!$K$2,1),OR(Calendar!$K$4="*",N1137=Calendar!$K$4)),P1137*100+COUNTIFS($P$6:$P$3267,P1137,$Q$6:$Q$3267,"&lt;="&amp;Q1137,$N$6:$N$3267,Calendar!$K$4),"")</f>
        <v/>
      </c>
      <c r="W1137" s="47">
        <f>IF(AND(B1137=Queue!$C$4,OR(Queue!$K$4="*",N1137=Queue!$K$4)),Q1137,"")</f>
        <v/>
      </c>
    </row>
    <row r="1138">
      <c r="A1138" s="38">
        <f>IF(M1138="","",HYPERLINK("https://www.youtube.com/watch?v="&amp;M1138,"▶"))</f>
        <v/>
      </c>
      <c r="B1138" s="39">
        <f>IF(C1138&lt;&gt;"",C1138,IF(P1138&lt;=IFERROR(INDEX(tblChannels[Watched Through],MATCH(N1138,tblChannels[Channel ID],0)),0),"Watched","Unwatched"))</f>
        <v/>
      </c>
      <c r="C1138" s="40" t="n"/>
      <c r="D1138" s="41" t="n"/>
      <c r="E1138" s="42" t="n">
        <v>44700.61111111111</v>
      </c>
      <c r="F1138" s="50" t="inlineStr">
        <is>
          <t>Super Carlin Brothers</t>
        </is>
      </c>
      <c r="G1138" t="inlineStr">
        <is>
          <t>The TOP 5 Most Believable Harry Potter Theories</t>
        </is>
      </c>
      <c r="H1138" s="44" t="n">
        <v>0.01560185185185185</v>
      </c>
      <c r="I1138" s="45" t="n">
        <v>1086325</v>
      </c>
      <c r="J1138" s="45" t="n">
        <v>29330</v>
      </c>
      <c r="K1138" s="45" t="n">
        <v>2032</v>
      </c>
      <c r="L1138" s="46" t="n"/>
      <c r="M1138" s="47" t="n"/>
      <c r="N1138" s="47" t="inlineStr">
        <is>
          <t>UCKZo4N0lVPccBkSiuyVh4yg</t>
        </is>
      </c>
      <c r="O1138" s="48" t="n">
        <v>44700.77777777778</v>
      </c>
      <c r="P1138" s="49" t="n">
        <v>44700</v>
      </c>
      <c r="Q1138" s="47" t="n">
        <v>2130</v>
      </c>
      <c r="R1138" s="47" t="inlineStr">
        <is>
          <t>No Video ID yet</t>
        </is>
      </c>
      <c r="S1138" s="49" t="n"/>
      <c r="T1138" s="49" t="n"/>
      <c r="U1138" s="47" t="inlineStr">
        <is>
          <t>Go to and use code super to get 20% off your first monthly box. Common Room BLUE Candles :: Pre-order Emergency Slab of Chocolate :: (please note that orders including chocolate will take 5-7 business days to ship) Today Ben dives into the Wizarding World of Harry Potter to review the TOP FIVE Harry Potter theories that stand the test of time and are still extremely believable if not down right canon!</t>
        </is>
      </c>
      <c r="V1138" s="47">
        <f>IF(AND(P1138&gt;=Calendar!$K$2,P1138&lt;EDATE(Calendar!$K$2,1),OR(Calendar!$K$4="*",N1138=Calendar!$K$4)),P1138*100+COUNTIFS($P$6:$P$3267,P1138,$Q$6:$Q$3267,"&lt;="&amp;Q1138,$N$6:$N$3267,Calendar!$K$4),"")</f>
        <v/>
      </c>
      <c r="W1138" s="47">
        <f>IF(AND(B1138=Queue!$C$4,OR(Queue!$K$4="*",N1138=Queue!$K$4)),Q1138,"")</f>
        <v/>
      </c>
    </row>
    <row r="1139">
      <c r="A1139" s="38">
        <f>IF(M1139="","",HYPERLINK("https://www.youtube.com/watch?v="&amp;M1139,"▶"))</f>
        <v/>
      </c>
      <c r="B1139" s="39">
        <f>IF(C1139&lt;&gt;"",C1139,IF(P1139&lt;=IFERROR(INDEX(tblChannels[Watched Through],MATCH(N1139,tblChannels[Channel ID],0)),0),"Watched","Unwatched"))</f>
        <v/>
      </c>
      <c r="C1139" s="40" t="n"/>
      <c r="D1139" s="41" t="n"/>
      <c r="E1139" s="42" t="n">
        <v>44699.625</v>
      </c>
      <c r="F1139" s="52" t="inlineStr">
        <is>
          <t>Super Carlin Gaming</t>
        </is>
      </c>
      <c r="G1139" t="inlineStr">
        <is>
          <t>Prepare for Trouble... And Make It Triple |  Pokémon Legends: Arceus Nuzlocke #12</t>
        </is>
      </c>
      <c r="H1139" s="44" t="n">
        <v>0.03157407407407407</v>
      </c>
      <c r="I1139" s="45" t="n">
        <v>7825</v>
      </c>
      <c r="J1139" s="45" t="n">
        <v>457</v>
      </c>
      <c r="K1139" s="45" t="n">
        <v>171</v>
      </c>
      <c r="L1139" s="46" t="n"/>
      <c r="M1139" s="47" t="n"/>
      <c r="N1139" s="47" t="inlineStr">
        <is>
          <t>UCor_9jRnNNZVzTuQ92PKsaQ</t>
        </is>
      </c>
      <c r="O1139" s="48" t="n">
        <v>44699.79166666666</v>
      </c>
      <c r="P1139" s="49" t="n">
        <v>44699</v>
      </c>
      <c r="Q1139" s="47" t="n">
        <v>2129</v>
      </c>
      <c r="R1139" s="47" t="inlineStr">
        <is>
          <t>No Video ID yet</t>
        </is>
      </c>
      <c r="S1139" s="49" t="n"/>
      <c r="T1139" s="49" t="n"/>
      <c r="U1139" s="47" t="inlineStr">
        <is>
          <t>Today J welcomes new members to the team as they head toward Firespit Island on their new Basculegion! But as ever, surprises await them unda tha sea...</t>
        </is>
      </c>
      <c r="V1139" s="47">
        <f>IF(AND(P1139&gt;=Calendar!$K$2,P1139&lt;EDATE(Calendar!$K$2,1),OR(Calendar!$K$4="*",N1139=Calendar!$K$4)),P1139*100+COUNTIFS($P$6:$P$3267,P1139,$Q$6:$Q$3267,"&lt;="&amp;Q1139,$N$6:$N$3267,Calendar!$K$4),"")</f>
        <v/>
      </c>
      <c r="W1139" s="47">
        <f>IF(AND(B1139=Queue!$C$4,OR(Queue!$K$4="*",N1139=Queue!$K$4)),Q1139,"")</f>
        <v/>
      </c>
    </row>
    <row r="1140">
      <c r="A1140" s="38">
        <f>IF(M1140="","",HYPERLINK("https://www.youtube.com/watch?v="&amp;M1140,"▶"))</f>
        <v/>
      </c>
      <c r="B1140" s="39">
        <f>IF(C1140&lt;&gt;"",C1140,IF(P1140&lt;=IFERROR(INDEX(tblChannels[Watched Through],MATCH(N1140,tblChannels[Channel ID],0)),0),"Watched","Unwatched"))</f>
        <v/>
      </c>
      <c r="C1140" s="40" t="n"/>
      <c r="D1140" s="41" t="n"/>
      <c r="E1140" s="42" t="n">
        <v>44698.70555555556</v>
      </c>
      <c r="F1140" s="50" t="inlineStr">
        <is>
          <t>Super Carlin Brothers</t>
        </is>
      </c>
      <c r="G1140" t="inlineStr">
        <is>
          <t>Doctor Strange’s Third Eye Explained | Marvel Film Theory</t>
        </is>
      </c>
      <c r="H1140" s="44" t="n">
        <v>0.009953703703703704</v>
      </c>
      <c r="I1140" s="45" t="n">
        <v>322450</v>
      </c>
      <c r="J1140" s="45" t="n">
        <v>12438</v>
      </c>
      <c r="K1140" s="45" t="n">
        <v>651</v>
      </c>
      <c r="L1140" s="46" t="n"/>
      <c r="M1140" s="47" t="n"/>
      <c r="N1140" s="47" t="inlineStr">
        <is>
          <t>UCKZo4N0lVPccBkSiuyVh4yg</t>
        </is>
      </c>
      <c r="O1140" s="48" t="n">
        <v>44698.87222222222</v>
      </c>
      <c r="P1140" s="49" t="n">
        <v>44698</v>
      </c>
      <c r="Q1140" s="47" t="n">
        <v>2128</v>
      </c>
      <c r="R1140" s="47" t="inlineStr">
        <is>
          <t>No Video ID yet</t>
        </is>
      </c>
      <c r="S1140" s="49" t="n"/>
      <c r="T1140" s="49" t="n"/>
      <c r="U1140" s="47" t="inlineStr">
        <is>
          <t>Go to for 10% off plus free shipping. See Ben &amp; J Live in Orlando!! Today J dives into Doctor Strange's wild Multiverse of Madness to explain Doctor Stranges new THIRD EYE, how its related to the Eye of Agamotto, who Clea is and why she’s relevant to Dormamu, Lord of the Dark Dimension #SuperCarlinBrothers #DoctorStrange #Marvel</t>
        </is>
      </c>
      <c r="V1140" s="47">
        <f>IF(AND(P1140&gt;=Calendar!$K$2,P1140&lt;EDATE(Calendar!$K$2,1),OR(Calendar!$K$4="*",N1140=Calendar!$K$4)),P1140*100+COUNTIFS($P$6:$P$3267,P1140,$Q$6:$Q$3267,"&lt;="&amp;Q1140,$N$6:$N$3267,Calendar!$K$4),"")</f>
        <v/>
      </c>
      <c r="W1140" s="47">
        <f>IF(AND(B1140=Queue!$C$4,OR(Queue!$K$4="*",N1140=Queue!$K$4)),Q1140,"")</f>
        <v/>
      </c>
    </row>
    <row r="1141">
      <c r="A1141" s="38">
        <f>IF(M1141="","",HYPERLINK("https://www.youtube.com/watch?v="&amp;M1141,"▶"))</f>
        <v/>
      </c>
      <c r="B1141" s="39">
        <f>IF(C1141&lt;&gt;"",C1141,IF(P1141&lt;=IFERROR(INDEX(tblChannels[Watched Through],MATCH(N1141,tblChannels[Channel ID],0)),0),"Watched","Unwatched"))</f>
        <v/>
      </c>
      <c r="C1141" s="40" t="n"/>
      <c r="D1141" s="41" t="n"/>
      <c r="E1141" s="42" t="n">
        <v>44698.625</v>
      </c>
      <c r="F1141" s="53" t="inlineStr">
        <is>
          <t>Jonathan Carlin</t>
        </is>
      </c>
      <c r="G1141" t="inlineStr">
        <is>
          <t>Mother's Day, Treadmills &amp; Pancakes</t>
        </is>
      </c>
      <c r="H1141" s="44" t="n">
        <v>0.01265046296296296</v>
      </c>
      <c r="I1141" s="45" t="n">
        <v>11445</v>
      </c>
      <c r="J1141" s="45" t="n">
        <v>765</v>
      </c>
      <c r="K1141" s="45" t="n">
        <v>0</v>
      </c>
      <c r="L1141" s="46" t="n"/>
      <c r="M1141" s="47" t="n"/>
      <c r="N1141" s="47" t="inlineStr">
        <is>
          <t>UCYPKFe86e6nm4TVUYKLsFUQ</t>
        </is>
      </c>
      <c r="O1141" s="48" t="n">
        <v>44698.79166666666</v>
      </c>
      <c r="P1141" s="49" t="n">
        <v>44698</v>
      </c>
      <c r="Q1141" s="47" t="n">
        <v>2127</v>
      </c>
      <c r="R1141" s="47" t="inlineStr">
        <is>
          <t>No Video ID yet</t>
        </is>
      </c>
      <c r="S1141" s="49" t="n"/>
      <c r="T1141" s="49" t="n"/>
      <c r="U1141" s="47" t="inlineStr">
        <is>
          <t>This week J and the family celebrate Mother's Day, Beth gets a new Peloton Treadmill, the boys get hair cuts and Ben and J party like its 2004!</t>
        </is>
      </c>
      <c r="V1141" s="47">
        <f>IF(AND(P1141&gt;=Calendar!$K$2,P1141&lt;EDATE(Calendar!$K$2,1),OR(Calendar!$K$4="*",N1141=Calendar!$K$4)),P1141*100+COUNTIFS($P$6:$P$3267,P1141,$Q$6:$Q$3267,"&lt;="&amp;Q1141,$N$6:$N$3267,Calendar!$K$4),"")</f>
        <v/>
      </c>
      <c r="W1141" s="47">
        <f>IF(AND(B1141=Queue!$C$4,OR(Queue!$K$4="*",N1141=Queue!$K$4)),Q1141,"")</f>
        <v/>
      </c>
    </row>
    <row r="1142">
      <c r="A1142" s="38">
        <f>IF(M1142="","",HYPERLINK("https://www.youtube.com/watch?v="&amp;M1142,"▶"))</f>
        <v/>
      </c>
      <c r="B1142" s="39">
        <f>IF(C1142&lt;&gt;"",C1142,IF(P1142&lt;=IFERROR(INDEX(tblChannels[Watched Through],MATCH(N1142,tblChannels[Channel ID],0)),0),"Watched","Unwatched"))</f>
        <v/>
      </c>
      <c r="C1142" s="40" t="n"/>
      <c r="D1142" s="41" t="n"/>
      <c r="E1142" s="42" t="n">
        <v>44694.41666666666</v>
      </c>
      <c r="F1142" s="43" t="inlineStr">
        <is>
          <t>Popcorn Culture</t>
        </is>
      </c>
      <c r="G1142" t="inlineStr">
        <is>
          <t>The Truth About Kim Kardashian | Popcorn Culture</t>
        </is>
      </c>
      <c r="H1142" s="44" t="n">
        <v>0.05596064814814815</v>
      </c>
      <c r="I1142" s="45" t="n">
        <v>8437</v>
      </c>
      <c r="J1142" s="45" t="n">
        <v>404</v>
      </c>
      <c r="K1142" s="45" t="n">
        <v>59</v>
      </c>
      <c r="L1142" s="46" t="n"/>
      <c r="M1142" s="47" t="n"/>
      <c r="N1142" s="47" t="inlineStr">
        <is>
          <t>UCHfIbq9thHPC8yrKjAdJgDA</t>
        </is>
      </c>
      <c r="O1142" s="48" t="n">
        <v>44694.58333333334</v>
      </c>
      <c r="P1142" s="49" t="n">
        <v>44694</v>
      </c>
      <c r="Q1142" s="47" t="n">
        <v>2126</v>
      </c>
      <c r="R1142" s="47" t="inlineStr">
        <is>
          <t>No Video ID yet</t>
        </is>
      </c>
      <c r="S1142" s="49" t="n"/>
      <c r="T1142" s="49" t="n"/>
      <c r="U1142" s="47" t="inlineStr">
        <is>
          <t>In the 127th episode of the Pop, Ben and J discuss car washing, their super awesome Halo LAN party, Beth’s Mother’s Day present, some numbers, text communication, conflict resolution, Kim Kardashian’s surprising height, things Abe Lincoln survived, a character personality quiz,, twitter and snapchat. LAN Party - Peloton Treadmill - Kim Kardashian is actually 5’2” not 5’1”- J’s Video about NC - Personality quiz - John Green TikTok - yeah, he deleted that Tweet Delete - Dunning-Kruger Effect: There Was No Mountain Dew Sometimes You Need A Few Numbers In Your Day Haha I Don’t Want Google to Know Lying about North Carolina Indestructible Abe Ben is Ted Lasso Confirmed Maybe I Finally Get Snapchat 00:00 - Intro, Time Management 07:19 - LAN Party 13:40 - Peloton TREADMILL 20:32 - # 21:06 - Arguments Over Text 36:39 - Emojis 45:55 - Kim Kardashian 54:00 - False Facts about NC (and more facts about Lincoln) 1:00:07 - Fun Personality Test 1:08:20 - Interesting TikToks and Tweets</t>
        </is>
      </c>
      <c r="V1142" s="47">
        <f>IF(AND(P1142&gt;=Calendar!$K$2,P1142&lt;EDATE(Calendar!$K$2,1),OR(Calendar!$K$4="*",N1142=Calendar!$K$4)),P1142*100+COUNTIFS($P$6:$P$3267,P1142,$Q$6:$Q$3267,"&lt;="&amp;Q1142,$N$6:$N$3267,Calendar!$K$4),"")</f>
        <v/>
      </c>
      <c r="W1142" s="47">
        <f>IF(AND(B1142=Queue!$C$4,OR(Queue!$K$4="*",N1142=Queue!$K$4)),Q1142,"")</f>
        <v/>
      </c>
    </row>
    <row r="1143">
      <c r="A1143" s="38">
        <f>IF(M1143="","",HYPERLINK("https://www.youtube.com/watch?v="&amp;M1143,"▶"))</f>
        <v/>
      </c>
      <c r="B1143" s="39">
        <f>IF(C1143&lt;&gt;"",C1143,IF(P1143&lt;=IFERROR(INDEX(tblChannels[Watched Through],MATCH(N1143,tblChannels[Channel ID],0)),0),"Watched","Unwatched"))</f>
        <v/>
      </c>
      <c r="C1143" s="40" t="n"/>
      <c r="D1143" s="41" t="n"/>
      <c r="E1143" s="42" t="n">
        <v>44693.66597222222</v>
      </c>
      <c r="F1143" s="50" t="inlineStr">
        <is>
          <t>Super Carlin Brothers</t>
        </is>
      </c>
      <c r="G1143" t="inlineStr">
        <is>
          <t>Top UNANSWERED Questions from Doctor Strange Multiverse of Madness | Marvel Film Theory</t>
        </is>
      </c>
      <c r="H1143" s="44" t="n">
        <v>0.01128472222222222</v>
      </c>
      <c r="I1143" s="45" t="n">
        <v>141268</v>
      </c>
      <c r="J1143" s="45" t="n">
        <v>6790</v>
      </c>
      <c r="K1143" s="45" t="n">
        <v>641</v>
      </c>
      <c r="L1143" s="46" t="n"/>
      <c r="M1143" s="47" t="n"/>
      <c r="N1143" s="47" t="inlineStr">
        <is>
          <t>UCKZo4N0lVPccBkSiuyVh4yg</t>
        </is>
      </c>
      <c r="O1143" s="48" t="n">
        <v>44693.83263888889</v>
      </c>
      <c r="P1143" s="49" t="n">
        <v>44693</v>
      </c>
      <c r="Q1143" s="47" t="n">
        <v>2125</v>
      </c>
      <c r="R1143" s="47" t="inlineStr">
        <is>
          <t>No Video ID yet</t>
        </is>
      </c>
      <c r="S1143" s="49" t="n"/>
      <c r="T1143" s="49" t="n"/>
      <c r="U1143" s="47" t="inlineStr">
        <is>
          <t>See Ben &amp; J Live in Orlando!! Today Ben dives into Doctor Strange's wild Multiverse of Madness to try and answer all the big unanswered questions: Is Wanda Dead? Did other Wanda make another Hex? What did they appearance of the Illuminati mean? #SuperCarlinBrothers #DoctorStrange #Marvel</t>
        </is>
      </c>
      <c r="V1143" s="47">
        <f>IF(AND(P1143&gt;=Calendar!$K$2,P1143&lt;EDATE(Calendar!$K$2,1),OR(Calendar!$K$4="*",N1143=Calendar!$K$4)),P1143*100+COUNTIFS($P$6:$P$3267,P1143,$Q$6:$Q$3267,"&lt;="&amp;Q1143,$N$6:$N$3267,Calendar!$K$4),"")</f>
        <v/>
      </c>
      <c r="W1143" s="47">
        <f>IF(AND(B1143=Queue!$C$4,OR(Queue!$K$4="*",N1143=Queue!$K$4)),Q1143,"")</f>
        <v/>
      </c>
    </row>
    <row r="1144">
      <c r="A1144" s="38">
        <f>IF(M1144="","",HYPERLINK("https://www.youtube.com/watch?v="&amp;M1144,"▶"))</f>
        <v/>
      </c>
      <c r="B1144" s="39">
        <f>IF(C1144&lt;&gt;"",C1144,IF(P1144&lt;=IFERROR(INDEX(tblChannels[Watched Through],MATCH(N1144,tblChannels[Channel ID],0)),0),"Watched","Unwatched"))</f>
        <v/>
      </c>
      <c r="C1144" s="40" t="n"/>
      <c r="D1144" s="41" t="n"/>
      <c r="E1144" s="42" t="n">
        <v>44692.625</v>
      </c>
      <c r="F1144" s="52" t="inlineStr">
        <is>
          <t>Super Carlin Gaming</t>
        </is>
      </c>
      <c r="G1144" t="inlineStr">
        <is>
          <t>VENGEANCE On Aipom Hill |  Pokémon Legends: Arceus Nuzlocke #11</t>
        </is>
      </c>
      <c r="H1144" s="44" t="n">
        <v>0.02590277777777778</v>
      </c>
      <c r="I1144" s="45" t="n">
        <v>7470</v>
      </c>
      <c r="J1144" s="45" t="n">
        <v>464</v>
      </c>
      <c r="K1144" s="45" t="n">
        <v>123</v>
      </c>
      <c r="L1144" s="46" t="n"/>
      <c r="M1144" s="47" t="n"/>
      <c r="N1144" s="47" t="inlineStr">
        <is>
          <t>UCor_9jRnNNZVzTuQ92PKsaQ</t>
        </is>
      </c>
      <c r="O1144" s="48" t="n">
        <v>44692.79166666666</v>
      </c>
      <c r="P1144" s="49" t="n">
        <v>44692</v>
      </c>
      <c r="Q1144" s="47" t="n">
        <v>2124</v>
      </c>
      <c r="R1144" s="47" t="inlineStr">
        <is>
          <t>No Video ID yet</t>
        </is>
      </c>
      <c r="S1144" s="49" t="n"/>
      <c r="T1144" s="49" t="n"/>
      <c r="U1144" s="47" t="inlineStr">
        <is>
          <t>Today J and the team attempt to rebuild after recent losses and make their way to Aipom Hill. Will they get retribution, or be stopped in their tracks?!?</t>
        </is>
      </c>
      <c r="V1144" s="47">
        <f>IF(AND(P1144&gt;=Calendar!$K$2,P1144&lt;EDATE(Calendar!$K$2,1),OR(Calendar!$K$4="*",N1144=Calendar!$K$4)),P1144*100+COUNTIFS($P$6:$P$3267,P1144,$Q$6:$Q$3267,"&lt;="&amp;Q1144,$N$6:$N$3267,Calendar!$K$4),"")</f>
        <v/>
      </c>
      <c r="W1144" s="47">
        <f>IF(AND(B1144=Queue!$C$4,OR(Queue!$K$4="*",N1144=Queue!$K$4)),Q1144,"")</f>
        <v/>
      </c>
    </row>
    <row r="1145">
      <c r="A1145" s="38">
        <f>IF(M1145="","",HYPERLINK("https://www.youtube.com/watch?v="&amp;M1145,"▶"))</f>
        <v/>
      </c>
      <c r="B1145" s="39">
        <f>IF(C1145&lt;&gt;"",C1145,IF(P1145&lt;=IFERROR(INDEX(tblChannels[Watched Through],MATCH(N1145,tblChannels[Channel ID],0)),0),"Watched","Unwatched"))</f>
        <v/>
      </c>
      <c r="C1145" s="40" t="n"/>
      <c r="D1145" s="41" t="n"/>
      <c r="E1145" s="42" t="n">
        <v>44691.67708333334</v>
      </c>
      <c r="F1145" s="50" t="inlineStr">
        <is>
          <t>Super Carlin Brothers</t>
        </is>
      </c>
      <c r="G1145" t="inlineStr">
        <is>
          <t>Doctor Strange in the Multiverse of Madness Spoiler REVIEW</t>
        </is>
      </c>
      <c r="H1145" s="44" t="n">
        <v>0.03887731481481482</v>
      </c>
      <c r="I1145" s="45" t="n">
        <v>178361</v>
      </c>
      <c r="J1145" s="45" t="n">
        <v>6788</v>
      </c>
      <c r="K1145" s="45" t="n">
        <v>1176</v>
      </c>
      <c r="L1145" s="46" t="n"/>
      <c r="M1145" s="47" t="n"/>
      <c r="N1145" s="47" t="inlineStr">
        <is>
          <t>UCKZo4N0lVPccBkSiuyVh4yg</t>
        </is>
      </c>
      <c r="O1145" s="48" t="n">
        <v>44691.84375</v>
      </c>
      <c r="P1145" s="49" t="n">
        <v>44691</v>
      </c>
      <c r="Q1145" s="47" t="n">
        <v>2123</v>
      </c>
      <c r="R1145" s="47" t="inlineStr">
        <is>
          <t>No Video ID yet</t>
        </is>
      </c>
      <c r="S1145" s="49" t="n"/>
      <c r="T1145" s="49" t="n"/>
      <c r="U1145" s="47" t="inlineStr">
        <is>
          <t>Go to to get an extra 3 months free. Today J and Ben dive into Doctor Strange's wild Multiverse of Madness and give their full spoiler review of Marvel’s latest addition to the MCU! #SuperCarlinBrothers #DoctorStrange #Marvel</t>
        </is>
      </c>
      <c r="V1145" s="47">
        <f>IF(AND(P1145&gt;=Calendar!$K$2,P1145&lt;EDATE(Calendar!$K$2,1),OR(Calendar!$K$4="*",N1145=Calendar!$K$4)),P1145*100+COUNTIFS($P$6:$P$3267,P1145,$Q$6:$Q$3267,"&lt;="&amp;Q1145,$N$6:$N$3267,Calendar!$K$4),"")</f>
        <v/>
      </c>
      <c r="W1145" s="47">
        <f>IF(AND(B1145=Queue!$C$4,OR(Queue!$K$4="*",N1145=Queue!$K$4)),Q1145,"")</f>
        <v/>
      </c>
    </row>
    <row r="1146">
      <c r="A1146" s="38">
        <f>IF(M1146="","",HYPERLINK("https://www.youtube.com/watch?v="&amp;M1146,"▶"))</f>
        <v/>
      </c>
      <c r="B1146" s="39">
        <f>IF(C1146&lt;&gt;"",C1146,IF(P1146&lt;=IFERROR(INDEX(tblChannels[Watched Through],MATCH(N1146,tblChannels[Channel ID],0)),0),"Watched","Unwatched"))</f>
        <v/>
      </c>
      <c r="C1146" s="40" t="n"/>
      <c r="D1146" s="41" t="n"/>
      <c r="E1146" s="42" t="n">
        <v>44690.625</v>
      </c>
      <c r="F1146" s="53" t="inlineStr">
        <is>
          <t>Jonathan Carlin</t>
        </is>
      </c>
      <c r="G1146" t="inlineStr">
        <is>
          <t>I Rode My Peloton Bike for 30 Day in a Row - Here's What Happened</t>
        </is>
      </c>
      <c r="H1146" s="44" t="n">
        <v>0.01515046296296296</v>
      </c>
      <c r="I1146" s="45" t="n">
        <v>52822</v>
      </c>
      <c r="J1146" s="45" t="n">
        <v>1333</v>
      </c>
      <c r="K1146" s="45" t="n">
        <v>84</v>
      </c>
      <c r="L1146" s="46" t="n"/>
      <c r="M1146" s="47" t="n"/>
      <c r="N1146" s="47" t="inlineStr">
        <is>
          <t>UCYPKFe86e6nm4TVUYKLsFUQ</t>
        </is>
      </c>
      <c r="O1146" s="48" t="n">
        <v>44690.79166666666</v>
      </c>
      <c r="P1146" s="49" t="n">
        <v>44690</v>
      </c>
      <c r="Q1146" s="47" t="n">
        <v>2122</v>
      </c>
      <c r="R1146" s="47" t="inlineStr">
        <is>
          <t>No Video ID yet</t>
        </is>
      </c>
      <c r="S1146" s="49" t="n"/>
      <c r="T1146" s="49" t="n"/>
      <c r="U1146" s="47" t="inlineStr">
        <is>
          <t>I challenged myself to ride my Peloton Bike every single day for 30 days, here's what happened! YOU CAN DO HARD THINGS! This was seriously a really fun challenge, and while difficult at times I learned a lot about myself, which sounds silly for a stationary bike challenge but it's true. What other challenges should I try? This was 100% #notsponsored by peloton and just a challenge for myself, but if you are interested you can redeem a 60 day trial on the app here :: #Peloton #FitnessChallenge</t>
        </is>
      </c>
      <c r="V1146" s="47">
        <f>IF(AND(P1146&gt;=Calendar!$K$2,P1146&lt;EDATE(Calendar!$K$2,1),OR(Calendar!$K$4="*",N1146=Calendar!$K$4)),P1146*100+COUNTIFS($P$6:$P$3267,P1146,$Q$6:$Q$3267,"&lt;="&amp;Q1146,$N$6:$N$3267,Calendar!$K$4),"")</f>
        <v/>
      </c>
      <c r="W1146" s="47">
        <f>IF(AND(B1146=Queue!$C$4,OR(Queue!$K$4="*",N1146=Queue!$K$4)),Q1146,"")</f>
        <v/>
      </c>
    </row>
    <row r="1147">
      <c r="A1147" s="38">
        <f>IF(M1147="","",HYPERLINK("https://www.youtube.com/watch?v="&amp;M1147,"▶"))</f>
        <v/>
      </c>
      <c r="B1147" s="39">
        <f>IF(C1147&lt;&gt;"",C1147,IF(P1147&lt;=IFERROR(INDEX(tblChannels[Watched Through],MATCH(N1147,tblChannels[Channel ID],0)),0),"Watched","Unwatched"))</f>
        <v/>
      </c>
      <c r="C1147" s="40" t="n"/>
      <c r="D1147" s="41" t="n"/>
      <c r="E1147" s="42" t="n">
        <v>44687.5</v>
      </c>
      <c r="F1147" s="54" t="inlineStr">
        <is>
          <t>With the Carlins</t>
        </is>
      </c>
      <c r="G1147" t="inlineStr">
        <is>
          <t>Coolest Airbnb In The World</t>
        </is>
      </c>
      <c r="H1147" s="44" t="n">
        <v>0.01489583333333333</v>
      </c>
      <c r="I1147" s="45" t="n">
        <v>14368</v>
      </c>
      <c r="J1147" s="45" t="n">
        <v>890</v>
      </c>
      <c r="K1147" s="45" t="n">
        <v>71</v>
      </c>
      <c r="L1147" s="46" t="n"/>
      <c r="M1147" s="47" t="n"/>
      <c r="N1147" s="47" t="inlineStr">
        <is>
          <t>UCVBTjN9WJU5Ac8yU7b2K-5g</t>
        </is>
      </c>
      <c r="O1147" s="48" t="n">
        <v>44687.66666666666</v>
      </c>
      <c r="P1147" s="49" t="n">
        <v>44687</v>
      </c>
      <c r="Q1147" s="47" t="n">
        <v>2121</v>
      </c>
      <c r="R1147" s="47" t="inlineStr">
        <is>
          <t>No Video ID yet</t>
        </is>
      </c>
      <c r="S1147" s="49" t="n"/>
      <c r="T1147" s="49" t="n"/>
      <c r="U1147" s="47" t="inlineStr">
        <is>
          <t>This week Ally and I STAY IN THE COOLEST AIRBNB IN THE WORLD AND BY THE WORLD I MEAN NORTH CAROLINA Follow Us! :: I N S T A G R A M➜ and Ben Carlin #SuperCarlinBrothers #CarlinFamily #FamilyVlog</t>
        </is>
      </c>
      <c r="V1147" s="47">
        <f>IF(AND(P1147&gt;=Calendar!$K$2,P1147&lt;EDATE(Calendar!$K$2,1),OR(Calendar!$K$4="*",N1147=Calendar!$K$4)),P1147*100+COUNTIFS($P$6:$P$3267,P1147,$Q$6:$Q$3267,"&lt;="&amp;Q1147,$N$6:$N$3267,Calendar!$K$4),"")</f>
        <v/>
      </c>
      <c r="W1147" s="47">
        <f>IF(AND(B1147=Queue!$C$4,OR(Queue!$K$4="*",N1147=Queue!$K$4)),Q1147,"")</f>
        <v/>
      </c>
    </row>
    <row r="1148">
      <c r="A1148" s="38">
        <f>IF(M1148="","",HYPERLINK("https://www.youtube.com/watch?v="&amp;M1148,"▶"))</f>
        <v/>
      </c>
      <c r="B1148" s="39">
        <f>IF(C1148&lt;&gt;"",C1148,IF(P1148&lt;=IFERROR(INDEX(tblChannels[Watched Through],MATCH(N1148,tblChannels[Channel ID],0)),0),"Watched","Unwatched"))</f>
        <v/>
      </c>
      <c r="C1148" s="40" t="n"/>
      <c r="D1148" s="41" t="n"/>
      <c r="E1148" s="42" t="n">
        <v>44687.41666666666</v>
      </c>
      <c r="F1148" s="43" t="inlineStr">
        <is>
          <t>Popcorn Culture</t>
        </is>
      </c>
      <c r="G1148" t="inlineStr">
        <is>
          <t>WE WON THE ROANOKER | Popcorn Culture</t>
        </is>
      </c>
      <c r="H1148" s="44" t="n">
        <v>0.04704861111111111</v>
      </c>
      <c r="I1148" s="45" t="n">
        <v>7612</v>
      </c>
      <c r="J1148" s="45" t="n">
        <v>454</v>
      </c>
      <c r="K1148" s="45" t="n">
        <v>55</v>
      </c>
      <c r="L1148" s="46" t="n"/>
      <c r="M1148" s="47" t="n"/>
      <c r="N1148" s="47" t="inlineStr">
        <is>
          <t>UCHfIbq9thHPC8yrKjAdJgDA</t>
        </is>
      </c>
      <c r="O1148" s="48" t="n">
        <v>44687.58333333334</v>
      </c>
      <c r="P1148" s="49" t="n">
        <v>44687</v>
      </c>
      <c r="Q1148" s="47" t="n">
        <v>2120</v>
      </c>
      <c r="R1148" s="47" t="inlineStr">
        <is>
          <t>No Video ID yet</t>
        </is>
      </c>
      <c r="S1148" s="49" t="n"/>
      <c r="T1148" s="49" t="n"/>
      <c r="U1148" s="47" t="inlineStr">
        <is>
          <t>In the 126th episode of the pop, Ben and J discuss Roanoker updates, billboards, motivation after completing big goals, more Abe Lincoln Fun Facts, the recognizability of Harry Houdini, and J’s secret love of magic tricks. Accepted- Lincoln Fact Source - Harry Houdini (in case you don’t know) - Collective Wick of the Peek (don’t actually look at this though) - The Prestige: Platinum Level Experience WE’RE ON A BILLBOARD! Move to Roanoke - Be on a Billboard What Comes After Everest? Lincoln Owned a Liquor Store Magic is Cool Man 00:00 - Intro, Roanoker Magazine Results 04:36 - ELEMENT OF SURPRISE Billboard edition 18:45 - Motivation Post-Accomplishment 37:38 - What Would You Do If You Had Nothing to Do? 44:14 - Abe Lincoln Fun Facts 50:53 - Harry Houdini and Magic Tricks</t>
        </is>
      </c>
      <c r="V1148" s="47">
        <f>IF(AND(P1148&gt;=Calendar!$K$2,P1148&lt;EDATE(Calendar!$K$2,1),OR(Calendar!$K$4="*",N1148=Calendar!$K$4)),P1148*100+COUNTIFS($P$6:$P$3267,P1148,$Q$6:$Q$3267,"&lt;="&amp;Q1148,$N$6:$N$3267,Calendar!$K$4),"")</f>
        <v/>
      </c>
      <c r="W1148" s="47">
        <f>IF(AND(B1148=Queue!$C$4,OR(Queue!$K$4="*",N1148=Queue!$K$4)),Q1148,"")</f>
        <v/>
      </c>
    </row>
    <row r="1149">
      <c r="A1149" s="38">
        <f>IF(M1149="","",HYPERLINK("https://www.youtube.com/watch?v="&amp;M1149,"▶"))</f>
        <v/>
      </c>
      <c r="B1149" s="39">
        <f>IF(C1149&lt;&gt;"",C1149,IF(P1149&lt;=IFERROR(INDEX(tblChannels[Watched Through],MATCH(N1149,tblChannels[Channel ID],0)),0),"Watched","Unwatched"))</f>
        <v/>
      </c>
      <c r="C1149" s="40" t="n"/>
      <c r="D1149" s="41" t="n"/>
      <c r="E1149" s="42" t="n">
        <v>44686.625</v>
      </c>
      <c r="F1149" s="50" t="inlineStr">
        <is>
          <t>Super Carlin Brothers</t>
        </is>
      </c>
      <c r="G1149" t="inlineStr">
        <is>
          <t>The Lightyear Timeline Makes NO Sense | Pixar Film Theory</t>
        </is>
      </c>
      <c r="H1149" s="44" t="n">
        <v>0.01152777777777778</v>
      </c>
      <c r="I1149" s="45" t="n">
        <v>255942</v>
      </c>
      <c r="J1149" s="45" t="n">
        <v>11354</v>
      </c>
      <c r="K1149" s="45" t="n">
        <v>1926</v>
      </c>
      <c r="L1149" s="46" t="n"/>
      <c r="M1149" s="47" t="n"/>
      <c r="N1149" s="47" t="inlineStr">
        <is>
          <t>UCKZo4N0lVPccBkSiuyVh4yg</t>
        </is>
      </c>
      <c r="O1149" s="48" t="n">
        <v>44686.79166666666</v>
      </c>
      <c r="P1149" s="49" t="n">
        <v>44686</v>
      </c>
      <c r="Q1149" s="47" t="n">
        <v>2119</v>
      </c>
      <c r="R1149" s="47" t="inlineStr">
        <is>
          <t>No Video ID yet</t>
        </is>
      </c>
      <c r="S1149" s="49" t="n"/>
      <c r="T1149" s="49" t="n"/>
      <c r="U1149" s="47" t="inlineStr">
        <is>
          <t>Go to and use code super to get 20% off your first monthly box. Today Ben dives into the world of the Pixar Theory to examine the new Lightyear Trailer and if it will BREAK the Pixar Theory! #SuperCarlinBrothers #Lightyear #Pixar</t>
        </is>
      </c>
      <c r="V1149" s="47">
        <f>IF(AND(P1149&gt;=Calendar!$K$2,P1149&lt;EDATE(Calendar!$K$2,1),OR(Calendar!$K$4="*",N1149=Calendar!$K$4)),P1149*100+COUNTIFS($P$6:$P$3267,P1149,$Q$6:$Q$3267,"&lt;="&amp;Q1149,$N$6:$N$3267,Calendar!$K$4),"")</f>
        <v/>
      </c>
      <c r="W1149" s="47">
        <f>IF(AND(B1149=Queue!$C$4,OR(Queue!$K$4="*",N1149=Queue!$K$4)),Q1149,"")</f>
        <v/>
      </c>
    </row>
    <row r="1150">
      <c r="A1150" s="38">
        <f>IF(M1150="","",HYPERLINK("https://www.youtube.com/watch?v="&amp;M1150,"▶"))</f>
        <v/>
      </c>
      <c r="B1150" s="39">
        <f>IF(C1150&lt;&gt;"",C1150,IF(P1150&lt;=IFERROR(INDEX(tblChannels[Watched Through],MATCH(N1150,tblChannels[Channel ID],0)),0),"Watched","Unwatched"))</f>
        <v/>
      </c>
      <c r="C1150" s="40" t="n"/>
      <c r="D1150" s="41" t="n"/>
      <c r="E1150" s="42" t="n">
        <v>44685.625</v>
      </c>
      <c r="F1150" s="52" t="inlineStr">
        <is>
          <t>Super Carlin Gaming</t>
        </is>
      </c>
      <c r="G1150" t="inlineStr">
        <is>
          <t>Prepare For Trouble... And Make It Double |  Pokémon Legends: Arceus Nuzlocke #10</t>
        </is>
      </c>
      <c r="H1150" s="44" t="n">
        <v>0.02855324074074074</v>
      </c>
      <c r="I1150" s="45" t="n">
        <v>8441</v>
      </c>
      <c r="J1150" s="45" t="n">
        <v>472</v>
      </c>
      <c r="K1150" s="45" t="n">
        <v>184</v>
      </c>
      <c r="L1150" s="46" t="n"/>
      <c r="M1150" s="47" t="n"/>
      <c r="N1150" s="47" t="inlineStr">
        <is>
          <t>UCor_9jRnNNZVzTuQ92PKsaQ</t>
        </is>
      </c>
      <c r="O1150" s="48" t="n">
        <v>44685.79166666666</v>
      </c>
      <c r="P1150" s="49" t="n">
        <v>44685</v>
      </c>
      <c r="Q1150" s="47" t="n">
        <v>2118</v>
      </c>
      <c r="R1150" s="47" t="inlineStr">
        <is>
          <t>No Video ID yet</t>
        </is>
      </c>
      <c r="S1150" s="49" t="n"/>
      <c r="T1150" s="49" t="n"/>
      <c r="U1150" s="47" t="inlineStr">
        <is>
          <t>This week J and the team try and advance the plot and try to help out a guy with some Aipoms... last time we ever do anyone else a favor.. i'll tell you that!</t>
        </is>
      </c>
      <c r="V1150" s="47">
        <f>IF(AND(P1150&gt;=Calendar!$K$2,P1150&lt;EDATE(Calendar!$K$2,1),OR(Calendar!$K$4="*",N1150=Calendar!$K$4)),P1150*100+COUNTIFS($P$6:$P$3267,P1150,$Q$6:$Q$3267,"&lt;="&amp;Q1150,$N$6:$N$3267,Calendar!$K$4),"")</f>
        <v/>
      </c>
      <c r="W1150" s="47">
        <f>IF(AND(B1150=Queue!$C$4,OR(Queue!$K$4="*",N1150=Queue!$K$4)),Q1150,"")</f>
        <v/>
      </c>
    </row>
    <row r="1151">
      <c r="A1151" s="38">
        <f>IF(M1151="","",HYPERLINK("https://www.youtube.com/watch?v="&amp;M1151,"▶"))</f>
        <v/>
      </c>
      <c r="B1151" s="39">
        <f>IF(C1151&lt;&gt;"",C1151,IF(P1151&lt;=IFERROR(INDEX(tblChannels[Watched Through],MATCH(N1151,tblChannels[Channel ID],0)),0),"Watched","Unwatched"))</f>
        <v/>
      </c>
      <c r="C1151" s="40" t="n"/>
      <c r="D1151" s="41" t="n"/>
      <c r="E1151" s="42" t="n">
        <v>44684.66388888889</v>
      </c>
      <c r="F1151" s="50" t="inlineStr">
        <is>
          <t>Super Carlin Brothers</t>
        </is>
      </c>
      <c r="G1151" t="inlineStr">
        <is>
          <t>Who Is Credence’s Mother? | Harry Potter Film Theory</t>
        </is>
      </c>
      <c r="H1151" s="44" t="n">
        <v>0.01210648148148148</v>
      </c>
      <c r="I1151" s="45" t="n">
        <v>297592</v>
      </c>
      <c r="J1151" s="45" t="n">
        <v>11334</v>
      </c>
      <c r="K1151" s="45" t="n">
        <v>916</v>
      </c>
      <c r="L1151" s="46" t="n"/>
      <c r="M1151" s="47" t="n"/>
      <c r="N1151" s="47" t="inlineStr">
        <is>
          <t>UCKZo4N0lVPccBkSiuyVh4yg</t>
        </is>
      </c>
      <c r="O1151" s="48" t="n">
        <v>44684.83055555556</v>
      </c>
      <c r="P1151" s="49" t="n">
        <v>44684</v>
      </c>
      <c r="Q1151" s="47" t="n">
        <v>2117</v>
      </c>
      <c r="R1151" s="47" t="inlineStr">
        <is>
          <t>No Video ID yet</t>
        </is>
      </c>
      <c r="S1151" s="49" t="n"/>
      <c r="T1151" s="49" t="n"/>
      <c r="U1151" s="47" t="inlineStr">
        <is>
          <t>Go to to get 15% off your first order. Embroidered Shirts :: Today J dives into the Wizarding World of Harry Potter and Fantastic Beasts: The Secrets of Dumbledore to find out Who is Credence’s mother! #SuperCarlinBrothers #HarryPotter #SecretsOfDumbledore</t>
        </is>
      </c>
      <c r="V1151" s="47">
        <f>IF(AND(P1151&gt;=Calendar!$K$2,P1151&lt;EDATE(Calendar!$K$2,1),OR(Calendar!$K$4="*",N1151=Calendar!$K$4)),P1151*100+COUNTIFS($P$6:$P$3267,P1151,$Q$6:$Q$3267,"&lt;="&amp;Q1151,$N$6:$N$3267,Calendar!$K$4),"")</f>
        <v/>
      </c>
      <c r="W1151" s="47">
        <f>IF(AND(B1151=Queue!$C$4,OR(Queue!$K$4="*",N1151=Queue!$K$4)),Q1151,"")</f>
        <v/>
      </c>
    </row>
    <row r="1152">
      <c r="A1152" s="38">
        <f>IF(M1152="","",HYPERLINK("https://www.youtube.com/watch?v="&amp;M1152,"▶"))</f>
        <v/>
      </c>
      <c r="B1152" s="39">
        <f>IF(C1152&lt;&gt;"",C1152,IF(P1152&lt;=IFERROR(INDEX(tblChannels[Watched Through],MATCH(N1152,tblChannels[Channel ID],0)),0),"Watched","Unwatched"))</f>
        <v/>
      </c>
      <c r="C1152" s="40" t="n"/>
      <c r="D1152" s="41" t="n"/>
      <c r="E1152" s="42" t="n">
        <v>44680.5</v>
      </c>
      <c r="F1152" s="54" t="inlineStr">
        <is>
          <t>With the Carlins</t>
        </is>
      </c>
      <c r="G1152" t="inlineStr">
        <is>
          <t>Navigating Life's Daily Obstacles</t>
        </is>
      </c>
      <c r="H1152" s="44" t="n">
        <v>0.01804398148148148</v>
      </c>
      <c r="I1152" s="45" t="n">
        <v>14543</v>
      </c>
      <c r="J1152" s="45" t="n">
        <v>1105</v>
      </c>
      <c r="K1152" s="45" t="n">
        <v>117</v>
      </c>
      <c r="L1152" s="46" t="n"/>
      <c r="M1152" s="47" t="n"/>
      <c r="N1152" s="47" t="inlineStr">
        <is>
          <t>UCVBTjN9WJU5Ac8yU7b2K-5g</t>
        </is>
      </c>
      <c r="O1152" s="48" t="n">
        <v>44680.66666666666</v>
      </c>
      <c r="P1152" s="49" t="n">
        <v>44680</v>
      </c>
      <c r="Q1152" s="47" t="n">
        <v>2116</v>
      </c>
      <c r="R1152" s="47" t="inlineStr">
        <is>
          <t>No Video ID yet</t>
        </is>
      </c>
      <c r="S1152" s="49" t="n"/>
      <c r="T1152" s="49" t="n"/>
      <c r="U1152" s="47" t="inlineStr">
        <is>
          <t>This week Ally and I give some important life updates, make some questionable cookie dough, bake some really orange pancakes and build a big tent! Follow Us! :: I N S T A G R A M➜ and Ben Carlin #SuperCarlinBrothers #CarlinFamily #FamilyVlog</t>
        </is>
      </c>
      <c r="V1152" s="47">
        <f>IF(AND(P1152&gt;=Calendar!$K$2,P1152&lt;EDATE(Calendar!$K$2,1),OR(Calendar!$K$4="*",N1152=Calendar!$K$4)),P1152*100+COUNTIFS($P$6:$P$3267,P1152,$Q$6:$Q$3267,"&lt;="&amp;Q1152,$N$6:$N$3267,Calendar!$K$4),"")</f>
        <v/>
      </c>
      <c r="W1152" s="47">
        <f>IF(AND(B1152=Queue!$C$4,OR(Queue!$K$4="*",N1152=Queue!$K$4)),Q1152,"")</f>
        <v/>
      </c>
    </row>
    <row r="1153">
      <c r="A1153" s="38">
        <f>IF(M1153="","",HYPERLINK("https://www.youtube.com/watch?v="&amp;M1153,"▶"))</f>
        <v/>
      </c>
      <c r="B1153" s="39">
        <f>IF(C1153&lt;&gt;"",C1153,IF(P1153&lt;=IFERROR(INDEX(tblChannels[Watched Through],MATCH(N1153,tblChannels[Channel ID],0)),0),"Watched","Unwatched"))</f>
        <v/>
      </c>
      <c r="C1153" s="40" t="n"/>
      <c r="D1153" s="41" t="n"/>
      <c r="E1153" s="42" t="n">
        <v>44680.41666666666</v>
      </c>
      <c r="F1153" s="43" t="inlineStr">
        <is>
          <t>Popcorn Culture</t>
        </is>
      </c>
      <c r="G1153" t="inlineStr">
        <is>
          <t>Bubbles For Adults | Popcorn Culture</t>
        </is>
      </c>
      <c r="H1153" s="44" t="n">
        <v>0.04422453703703703</v>
      </c>
      <c r="I1153" s="45" t="n">
        <v>8014</v>
      </c>
      <c r="J1153" s="45" t="n">
        <v>392</v>
      </c>
      <c r="K1153" s="45" t="n">
        <v>42</v>
      </c>
      <c r="L1153" s="46" t="n"/>
      <c r="M1153" s="47" t="n"/>
      <c r="N1153" s="47" t="inlineStr">
        <is>
          <t>UCHfIbq9thHPC8yrKjAdJgDA</t>
        </is>
      </c>
      <c r="O1153" s="48" t="n">
        <v>44680.58333333334</v>
      </c>
      <c r="P1153" s="49" t="n">
        <v>44680</v>
      </c>
      <c r="Q1153" s="47" t="n">
        <v>2115</v>
      </c>
      <c r="R1153" s="47" t="inlineStr">
        <is>
          <t>No Video ID yet</t>
        </is>
      </c>
      <c r="S1153" s="49" t="n"/>
      <c r="T1153" s="49" t="n"/>
      <c r="U1153" s="47" t="inlineStr">
        <is>
          <t xml:space="preserve">Ben and J discuss: plant echo chambers, not bending over, yoga, appliances not working, the Car Paradox, fashion and confidence, Plato’s Allegory of the Cave, prohibition, the history of powdered wine, Ben’s new 3-D printer, Lincoln’s vineyard, niche interests, and a throwback to our bad cocktail idea. If you want us to stay AD FREE in 2023 (and get your special popcorn culture flag), follow us on Patreon! You can also track the progress of how close we are to meeting our goals! Houndsy Kibble Dispenser - Tai Chi - Book that talks about The Car Paradox - Plato’s Cave Tik Tok - Reddit Post about Wine Bricks - Series of Unfortunate Events - Pop Episode 31 where we invent Wurdle - J’s Wick of the Peek: The Plant Sprayer - The Nature of Plants The Wrong Way to Think About Yoga Time to Change My Entire Life Again There’s No Right Way to Own a Cool Car Am I the One in the Cave? Brick of Wine Lego - Prohibition on Toys Anticipation of the Magic 00:00 - Ad Free 2023, Intro and Wicks of the Peek! 06:43 - No More Bending Over 11:20 - Getting Into Yoga 15:39 - The Car Paradox 29:39 - Plato’s Allegory of the Cave 40:56 - Space Wine is Real!!! 45:22 - 3-D Printer 51:57 - More Wonderings on Abe </t>
        </is>
      </c>
      <c r="V1153" s="47">
        <f>IF(AND(P1153&gt;=Calendar!$K$2,P1153&lt;EDATE(Calendar!$K$2,1),OR(Calendar!$K$4="*",N1153=Calendar!$K$4)),P1153*100+COUNTIFS($P$6:$P$3267,P1153,$Q$6:$Q$3267,"&lt;="&amp;Q1153,$N$6:$N$3267,Calendar!$K$4),"")</f>
        <v/>
      </c>
      <c r="W1153" s="47">
        <f>IF(AND(B1153=Queue!$C$4,OR(Queue!$K$4="*",N1153=Queue!$K$4)),Q1153,"")</f>
        <v/>
      </c>
    </row>
    <row r="1154">
      <c r="A1154" s="38">
        <f>IF(M1154="","",HYPERLINK("https://www.youtube.com/watch?v="&amp;M1154,"▶"))</f>
        <v/>
      </c>
      <c r="B1154" s="39">
        <f>IF(C1154&lt;&gt;"",C1154,IF(P1154&lt;=IFERROR(INDEX(tblChannels[Watched Through],MATCH(N1154,tblChannels[Channel ID],0)),0),"Watched","Unwatched"))</f>
        <v/>
      </c>
      <c r="C1154" s="40" t="n"/>
      <c r="D1154" s="41" t="n"/>
      <c r="E1154" s="42" t="n">
        <v>44679.79305555556</v>
      </c>
      <c r="F1154" s="50" t="inlineStr">
        <is>
          <t>Super Carlin Brothers</t>
        </is>
      </c>
      <c r="G1154" t="inlineStr">
        <is>
          <t>We Rank EVERY Pixar Movie | J vs Ben: Tier List</t>
        </is>
      </c>
      <c r="H1154" s="44" t="n">
        <v>0.05034722222222222</v>
      </c>
      <c r="I1154" s="45" t="n">
        <v>372131</v>
      </c>
      <c r="J1154" s="45" t="n">
        <v>8153</v>
      </c>
      <c r="K1154" s="45" t="n">
        <v>925</v>
      </c>
      <c r="L1154" s="46" t="n"/>
      <c r="M1154" s="47" t="n"/>
      <c r="N1154" s="47" t="inlineStr">
        <is>
          <t>UCKZo4N0lVPccBkSiuyVh4yg</t>
        </is>
      </c>
      <c r="O1154" s="48" t="n">
        <v>44679.95972222222</v>
      </c>
      <c r="P1154" s="49" t="n">
        <v>44679</v>
      </c>
      <c r="Q1154" s="47" t="n">
        <v>2114</v>
      </c>
      <c r="R1154" s="47" t="inlineStr">
        <is>
          <t>No Video ID yet</t>
        </is>
      </c>
      <c r="S1154" s="49" t="n"/>
      <c r="T1154" s="49" t="n"/>
      <c r="U1154" s="47" t="inlineStr">
        <is>
          <t>Go to to get Honey for FREE! Go to and use promo code JVSB to get a 4-week trial, free postage, and a digital scale. Today J and Ben face off and rank EVERY Pixar movie from Toy Story to Turning Red! Which will be top tier and what’s on par with Cars 2? Make your own list :: DISCORD ➜ #SuperCarlinBrothers #Pixar #TierMaker</t>
        </is>
      </c>
      <c r="V1154" s="47">
        <f>IF(AND(P1154&gt;=Calendar!$K$2,P1154&lt;EDATE(Calendar!$K$2,1),OR(Calendar!$K$4="*",N1154=Calendar!$K$4)),P1154*100+COUNTIFS($P$6:$P$3267,P1154,$Q$6:$Q$3267,"&lt;="&amp;Q1154,$N$6:$N$3267,Calendar!$K$4),"")</f>
        <v/>
      </c>
      <c r="W1154" s="47">
        <f>IF(AND(B1154=Queue!$C$4,OR(Queue!$K$4="*",N1154=Queue!$K$4)),Q1154,"")</f>
        <v/>
      </c>
    </row>
    <row r="1155">
      <c r="A1155" s="38">
        <f>IF(M1155="","",HYPERLINK("https://www.youtube.com/watch?v="&amp;M1155,"▶"))</f>
        <v/>
      </c>
      <c r="B1155" s="39">
        <f>IF(C1155&lt;&gt;"",C1155,IF(P1155&lt;=IFERROR(INDEX(tblChannels[Watched Through],MATCH(N1155,tblChannels[Channel ID],0)),0),"Watched","Unwatched"))</f>
        <v/>
      </c>
      <c r="C1155" s="40" t="n"/>
      <c r="D1155" s="41" t="n"/>
      <c r="E1155" s="42" t="n">
        <v>44678.625</v>
      </c>
      <c r="F1155" s="52" t="inlineStr">
        <is>
          <t>Super Carlin Gaming</t>
        </is>
      </c>
      <c r="G1155" t="inlineStr">
        <is>
          <t>THE GREAT SCORPION HUNT |  Pokémon Legends: Arceus Nuzlocke #9</t>
        </is>
      </c>
      <c r="H1155" s="44" t="n">
        <v>0.02314814814814815</v>
      </c>
      <c r="I1155" s="45" t="n">
        <v>8251</v>
      </c>
      <c r="J1155" s="45" t="n">
        <v>501</v>
      </c>
      <c r="K1155" s="45" t="n">
        <v>185</v>
      </c>
      <c r="L1155" s="46" t="n"/>
      <c r="M1155" s="47" t="n"/>
      <c r="N1155" s="47" t="inlineStr">
        <is>
          <t>UCor_9jRnNNZVzTuQ92PKsaQ</t>
        </is>
      </c>
      <c r="O1155" s="48" t="n">
        <v>44678.79166666666</v>
      </c>
      <c r="P1155" s="49" t="n">
        <v>44678</v>
      </c>
      <c r="Q1155" s="47" t="n">
        <v>2113</v>
      </c>
      <c r="R1155" s="47" t="inlineStr">
        <is>
          <t>No Video ID yet</t>
        </is>
      </c>
      <c r="S1155" s="49" t="n"/>
      <c r="T1155" s="49" t="n"/>
      <c r="U1155" s="47" t="inlineStr">
        <is>
          <t>This week J and the team plan on being productive but get immediately side tracked by a very large scorpion.. you'll see.</t>
        </is>
      </c>
      <c r="V1155" s="47">
        <f>IF(AND(P1155&gt;=Calendar!$K$2,P1155&lt;EDATE(Calendar!$K$2,1),OR(Calendar!$K$4="*",N1155=Calendar!$K$4)),P1155*100+COUNTIFS($P$6:$P$3267,P1155,$Q$6:$Q$3267,"&lt;="&amp;Q1155,$N$6:$N$3267,Calendar!$K$4),"")</f>
        <v/>
      </c>
      <c r="W1155" s="47">
        <f>IF(AND(B1155=Queue!$C$4,OR(Queue!$K$4="*",N1155=Queue!$K$4)),Q1155,"")</f>
        <v/>
      </c>
    </row>
    <row r="1156">
      <c r="A1156" s="38">
        <f>IF(M1156="","",HYPERLINK("https://www.youtube.com/watch?v="&amp;M1156,"▶"))</f>
        <v/>
      </c>
      <c r="B1156" s="39">
        <f>IF(C1156&lt;&gt;"",C1156,IF(P1156&lt;=IFERROR(INDEX(tblChannels[Watched Through],MATCH(N1156,tblChannels[Channel ID],0)),0),"Watched","Unwatched"))</f>
        <v/>
      </c>
      <c r="C1156" s="40" t="n"/>
      <c r="D1156" s="41" t="n"/>
      <c r="E1156" s="42" t="n">
        <v>44677.75</v>
      </c>
      <c r="F1156" s="53" t="inlineStr">
        <is>
          <t>Jonathan Carlin</t>
        </is>
      </c>
      <c r="G1156" t="inlineStr">
        <is>
          <t>The One In The Room Where It Happens!</t>
        </is>
      </c>
      <c r="H1156" s="44" t="n">
        <v>0.01204861111111111</v>
      </c>
      <c r="I1156" s="45" t="n">
        <v>13402</v>
      </c>
      <c r="J1156" s="45" t="n">
        <v>873</v>
      </c>
      <c r="K1156" s="45" t="n">
        <v>59</v>
      </c>
      <c r="L1156" s="46" t="n"/>
      <c r="M1156" s="47" t="n"/>
      <c r="N1156" s="47" t="inlineStr">
        <is>
          <t>UCYPKFe86e6nm4TVUYKLsFUQ</t>
        </is>
      </c>
      <c r="O1156" s="48" t="n">
        <v>44677.91666666666</v>
      </c>
      <c r="P1156" s="49" t="n">
        <v>44677</v>
      </c>
      <c r="Q1156" s="47" t="n">
        <v>2112</v>
      </c>
      <c r="R1156" s="47" t="inlineStr">
        <is>
          <t>No Video ID yet</t>
        </is>
      </c>
      <c r="S1156" s="49" t="n"/>
      <c r="T1156" s="49" t="n"/>
      <c r="U1156" s="47" t="inlineStr">
        <is>
          <t>This week J and Beth take a trip to NC to see Hamilton! Beth runs a VERY hard half marathon and the boys are train for and take part in an EPIC Easter Egg hunt! Edited by Ethan Edghill</t>
        </is>
      </c>
      <c r="V1156" s="47">
        <f>IF(AND(P1156&gt;=Calendar!$K$2,P1156&lt;EDATE(Calendar!$K$2,1),OR(Calendar!$K$4="*",N1156=Calendar!$K$4)),P1156*100+COUNTIFS($P$6:$P$3267,P1156,$Q$6:$Q$3267,"&lt;="&amp;Q1156,$N$6:$N$3267,Calendar!$K$4),"")</f>
        <v/>
      </c>
      <c r="W1156" s="47">
        <f>IF(AND(B1156=Queue!$C$4,OR(Queue!$K$4="*",N1156=Queue!$K$4)),Q1156,"")</f>
        <v/>
      </c>
    </row>
    <row r="1157">
      <c r="A1157" s="38">
        <f>IF(M1157="","",HYPERLINK("https://www.youtube.com/watch?v="&amp;M1157,"▶"))</f>
        <v/>
      </c>
      <c r="B1157" s="39">
        <f>IF(C1157&lt;&gt;"",C1157,IF(P1157&lt;=IFERROR(INDEX(tblChannels[Watched Through],MATCH(N1157,tblChannels[Channel ID],0)),0),"Watched","Unwatched"))</f>
        <v/>
      </c>
      <c r="C1157" s="40" t="n"/>
      <c r="D1157" s="41" t="n"/>
      <c r="E1157" s="42" t="n">
        <v>44677.69652777778</v>
      </c>
      <c r="F1157" s="50" t="inlineStr">
        <is>
          <t>Super Carlin Brothers</t>
        </is>
      </c>
      <c r="G1157" t="inlineStr">
        <is>
          <t>The Elder Wand Has A BROTHER | Harry Potter Film Theory</t>
        </is>
      </c>
      <c r="H1157" s="44" t="n">
        <v>0.01050925925925926</v>
      </c>
      <c r="I1157" s="45" t="n">
        <v>680607</v>
      </c>
      <c r="J1157" s="45" t="n">
        <v>20875</v>
      </c>
      <c r="K1157" s="45" t="n">
        <v>1694</v>
      </c>
      <c r="L1157" s="46" t="n"/>
      <c r="M1157" s="47" t="n"/>
      <c r="N1157" s="47" t="inlineStr">
        <is>
          <t>UCKZo4N0lVPccBkSiuyVh4yg</t>
        </is>
      </c>
      <c r="O1157" s="48" t="n">
        <v>44677.86319444444</v>
      </c>
      <c r="P1157" s="49" t="n">
        <v>44677</v>
      </c>
      <c r="Q1157" s="47" t="n">
        <v>2111</v>
      </c>
      <c r="R1157" s="47" t="inlineStr">
        <is>
          <t>No Video ID yet</t>
        </is>
      </c>
      <c r="S1157" s="49" t="n"/>
      <c r="T1157" s="49" t="n"/>
      <c r="U1157" s="47" t="inlineStr">
        <is>
          <t>Today J dives into the Wizarding World of Harry Potter to discuss another of the secrets of Dumbledore and the the dark origin of his wand and how its related to the Elder Wand and the Peverell Brothers! #SuperCarlinBrothers #SecretsOfDumbledore #HarryPotter</t>
        </is>
      </c>
      <c r="V1157" s="47">
        <f>IF(AND(P1157&gt;=Calendar!$K$2,P1157&lt;EDATE(Calendar!$K$2,1),OR(Calendar!$K$4="*",N1157=Calendar!$K$4)),P1157*100+COUNTIFS($P$6:$P$3267,P1157,$Q$6:$Q$3267,"&lt;="&amp;Q1157,$N$6:$N$3267,Calendar!$K$4),"")</f>
        <v/>
      </c>
      <c r="W1157" s="47">
        <f>IF(AND(B1157=Queue!$C$4,OR(Queue!$K$4="*",N1157=Queue!$K$4)),Q1157,"")</f>
        <v/>
      </c>
    </row>
    <row r="1158">
      <c r="A1158" s="38">
        <f>IF(M1158="","",HYPERLINK("https://www.youtube.com/watch?v="&amp;M1158,"▶"))</f>
        <v/>
      </c>
      <c r="B1158" s="39">
        <f>IF(C1158&lt;&gt;"",C1158,IF(P1158&lt;=IFERROR(INDEX(tblChannels[Watched Through],MATCH(N1158,tblChannels[Channel ID],0)),0),"Watched","Unwatched"))</f>
        <v/>
      </c>
      <c r="C1158" s="40" t="n"/>
      <c r="D1158" s="41" t="n"/>
      <c r="E1158" s="42" t="n">
        <v>44673.41666666666</v>
      </c>
      <c r="F1158" s="43" t="inlineStr">
        <is>
          <t>Popcorn Culture</t>
        </is>
      </c>
      <c r="G1158" t="inlineStr">
        <is>
          <t>Ninjas vs. Aliens | Popcorn Culture</t>
        </is>
      </c>
      <c r="H1158" s="44" t="n">
        <v>0.0461574074074074</v>
      </c>
      <c r="I1158" s="45" t="n">
        <v>7058</v>
      </c>
      <c r="J1158" s="45" t="n">
        <v>349</v>
      </c>
      <c r="K1158" s="45" t="n">
        <v>26</v>
      </c>
      <c r="L1158" s="46" t="n"/>
      <c r="M1158" s="47" t="n"/>
      <c r="N1158" s="47" t="inlineStr">
        <is>
          <t>UCHfIbq9thHPC8yrKjAdJgDA</t>
        </is>
      </c>
      <c r="O1158" s="48" t="n">
        <v>44673.58333333334</v>
      </c>
      <c r="P1158" s="49" t="n">
        <v>44673</v>
      </c>
      <c r="Q1158" s="47" t="n">
        <v>2110</v>
      </c>
      <c r="R1158" s="47" t="inlineStr">
        <is>
          <t>No Video ID yet</t>
        </is>
      </c>
      <c r="S1158" s="49" t="n"/>
      <c r="T1158" s="49" t="n"/>
      <c r="U1158" s="47" t="inlineStr">
        <is>
          <t>In the 124th episode of the Pop, Ben and J discuss more health challenge updates, veins (skip to 09:15 if that freaks you out), dopamine hits, motivational sayings, woodworking, our generations retirement hobbies, toys, rocks and gemstones. Show Notes 7 Habits of Highly Effective People - Dopamine Nation - The Fault in Our Stars - Cars - Wall-E - Erosion machine - Snow White - I Will NOT Lose My Streak Gotta Show Everyone the Pythons You Can Do Hard Things You’ll Think of Something The 7 Dwarfs ACTUALLY Own the Kingdom It Always Comes Back to Treasure The Driveway STRIKES AGAIN! 00:00 - Intro, 75 Hard Update 06:41 - Weird Vein Talk 09:15 - Peloton Update 14:37 - Reading 23:03 - Motivational Phrases 33:41 - Words of Affirmation and Woodworking 39:50 - Elderly Hobbies and Toys 56:33 - Rock Tumblers and Gemstones</t>
        </is>
      </c>
      <c r="V1158" s="47">
        <f>IF(AND(P1158&gt;=Calendar!$K$2,P1158&lt;EDATE(Calendar!$K$2,1),OR(Calendar!$K$4="*",N1158=Calendar!$K$4)),P1158*100+COUNTIFS($P$6:$P$3267,P1158,$Q$6:$Q$3267,"&lt;="&amp;Q1158,$N$6:$N$3267,Calendar!$K$4),"")</f>
        <v/>
      </c>
      <c r="W1158" s="47">
        <f>IF(AND(B1158=Queue!$C$4,OR(Queue!$K$4="*",N1158=Queue!$K$4)),Q1158,"")</f>
        <v/>
      </c>
    </row>
    <row r="1159">
      <c r="A1159" s="38">
        <f>IF(M1159="","",HYPERLINK("https://www.youtube.com/watch?v="&amp;M1159,"▶"))</f>
        <v/>
      </c>
      <c r="B1159" s="39">
        <f>IF(C1159&lt;&gt;"",C1159,IF(P1159&lt;=IFERROR(INDEX(tblChannels[Watched Through],MATCH(N1159,tblChannels[Channel ID],0)),0),"Watched","Unwatched"))</f>
        <v/>
      </c>
      <c r="C1159" s="40" t="n"/>
      <c r="D1159" s="41" t="n"/>
      <c r="E1159" s="42" t="n">
        <v>44672.70347222222</v>
      </c>
      <c r="F1159" s="50" t="inlineStr">
        <is>
          <t>Super Carlin Brothers</t>
        </is>
      </c>
      <c r="G1159" t="inlineStr">
        <is>
          <t>The TRUTH About Thor's New Eyes | Marvel Love &amp; Thunder Film Theory</t>
        </is>
      </c>
      <c r="H1159" s="44" t="n">
        <v>0.0137037037037037</v>
      </c>
      <c r="I1159" s="45" t="n">
        <v>193355</v>
      </c>
      <c r="J1159" s="45" t="n">
        <v>7718</v>
      </c>
      <c r="K1159" s="45" t="n">
        <v>477</v>
      </c>
      <c r="L1159" s="46" t="n"/>
      <c r="M1159" s="47" t="n"/>
      <c r="N1159" s="47" t="inlineStr">
        <is>
          <t>UCKZo4N0lVPccBkSiuyVh4yg</t>
        </is>
      </c>
      <c r="O1159" s="48" t="n">
        <v>44672.87013888889</v>
      </c>
      <c r="P1159" s="49" t="n">
        <v>44672</v>
      </c>
      <c r="Q1159" s="47" t="n">
        <v>2109</v>
      </c>
      <c r="R1159" s="47" t="inlineStr">
        <is>
          <t>No Video ID yet</t>
        </is>
      </c>
      <c r="S1159" s="49" t="n"/>
      <c r="T1159" s="49" t="n"/>
      <c r="U1159" s="47" t="inlineStr">
        <is>
          <t>Go to and use code super to get 20% off your first monthly box. Today Ben dives into the Marvel Cinematic universe to discuss the new Thor: Love and Thunder Teaser trailer and give our full breakdown and predictions! #SuperCarlinBrothers #Marvel #ThorLoveAndThunder</t>
        </is>
      </c>
      <c r="V1159" s="47">
        <f>IF(AND(P1159&gt;=Calendar!$K$2,P1159&lt;EDATE(Calendar!$K$2,1),OR(Calendar!$K$4="*",N1159=Calendar!$K$4)),P1159*100+COUNTIFS($P$6:$P$3267,P1159,$Q$6:$Q$3267,"&lt;="&amp;Q1159,$N$6:$N$3267,Calendar!$K$4),"")</f>
        <v/>
      </c>
      <c r="W1159" s="47">
        <f>IF(AND(B1159=Queue!$C$4,OR(Queue!$K$4="*",N1159=Queue!$K$4)),Q1159,"")</f>
        <v/>
      </c>
    </row>
    <row r="1160">
      <c r="A1160" s="38">
        <f>IF(M1160="","",HYPERLINK("https://www.youtube.com/watch?v="&amp;M1160,"▶"))</f>
        <v/>
      </c>
      <c r="B1160" s="39">
        <f>IF(C1160&lt;&gt;"",C1160,IF(P1160&lt;=IFERROR(INDEX(tblChannels[Watched Through],MATCH(N1160,tblChannels[Channel ID],0)),0),"Watched","Unwatched"))</f>
        <v/>
      </c>
      <c r="C1160" s="40" t="n"/>
      <c r="D1160" s="41" t="n"/>
      <c r="E1160" s="42" t="n">
        <v>44671.625</v>
      </c>
      <c r="F1160" s="52" t="inlineStr">
        <is>
          <t>Super Carlin Gaming</t>
        </is>
      </c>
      <c r="G1160" t="inlineStr">
        <is>
          <t>WE GET A MAKEOVER  |  Pokémon Legends: Arceus Nuzlocke #8</t>
        </is>
      </c>
      <c r="H1160" s="44" t="n">
        <v>0.02675925925925926</v>
      </c>
      <c r="I1160" s="45" t="n">
        <v>10426</v>
      </c>
      <c r="J1160" s="45" t="n">
        <v>692</v>
      </c>
      <c r="K1160" s="45" t="n">
        <v>184</v>
      </c>
      <c r="L1160" s="46" t="n"/>
      <c r="M1160" s="47" t="n"/>
      <c r="N1160" s="47" t="inlineStr">
        <is>
          <t>UCor_9jRnNNZVzTuQ92PKsaQ</t>
        </is>
      </c>
      <c r="O1160" s="48" t="n">
        <v>44671.79166666666</v>
      </c>
      <c r="P1160" s="49" t="n">
        <v>44671</v>
      </c>
      <c r="Q1160" s="47" t="n">
        <v>2108</v>
      </c>
      <c r="R1160" s="47" t="inlineStr">
        <is>
          <t>No Video ID yet</t>
        </is>
      </c>
      <c r="S1160" s="49" t="n"/>
      <c r="T1160" s="49" t="n"/>
      <c r="U1160" s="47" t="inlineStr">
        <is>
          <t>This week J and the team continue catching new friends and struggle through research tasks to advance in the game, but most importantly GET A MAKEOVER!</t>
        </is>
      </c>
      <c r="V1160" s="47">
        <f>IF(AND(P1160&gt;=Calendar!$K$2,P1160&lt;EDATE(Calendar!$K$2,1),OR(Calendar!$K$4="*",N1160=Calendar!$K$4)),P1160*100+COUNTIFS($P$6:$P$3267,P1160,$Q$6:$Q$3267,"&lt;="&amp;Q1160,$N$6:$N$3267,Calendar!$K$4),"")</f>
        <v/>
      </c>
      <c r="W1160" s="47">
        <f>IF(AND(B1160=Queue!$C$4,OR(Queue!$K$4="*",N1160=Queue!$K$4)),Q1160,"")</f>
        <v/>
      </c>
    </row>
    <row r="1161">
      <c r="A1161" s="38">
        <f>IF(M1161="","",HYPERLINK("https://www.youtube.com/watch?v="&amp;M1161,"▶"))</f>
        <v/>
      </c>
      <c r="B1161" s="39">
        <f>IF(C1161&lt;&gt;"",C1161,IF(P1161&lt;=IFERROR(INDEX(tblChannels[Watched Through],MATCH(N1161,tblChannels[Channel ID],0)),0),"Watched","Unwatched"))</f>
        <v/>
      </c>
      <c r="C1161" s="40" t="n"/>
      <c r="D1161" s="41" t="n"/>
      <c r="E1161" s="42" t="n">
        <v>44670.65833333333</v>
      </c>
      <c r="F1161" s="50" t="inlineStr">
        <is>
          <t>Super Carlin Brothers</t>
        </is>
      </c>
      <c r="G1161" t="inlineStr">
        <is>
          <t>Top UNANSWERED Questions From Secrets of Dumbledore | Harry Potter Film Theory</t>
        </is>
      </c>
      <c r="H1161" s="44" t="n">
        <v>0.01046296296296296</v>
      </c>
      <c r="I1161" s="45" t="n">
        <v>626832</v>
      </c>
      <c r="J1161" s="45" t="n">
        <v>18125</v>
      </c>
      <c r="K1161" s="45" t="n">
        <v>1535</v>
      </c>
      <c r="L1161" s="46" t="n"/>
      <c r="M1161" s="47" t="n"/>
      <c r="N1161" s="47" t="inlineStr">
        <is>
          <t>UCKZo4N0lVPccBkSiuyVh4yg</t>
        </is>
      </c>
      <c r="O1161" s="48" t="n">
        <v>44670.825</v>
      </c>
      <c r="P1161" s="49" t="n">
        <v>44670</v>
      </c>
      <c r="Q1161" s="47" t="n">
        <v>2107</v>
      </c>
      <c r="R1161" s="47" t="inlineStr">
        <is>
          <t>No Video ID yet</t>
        </is>
      </c>
      <c r="S1161" s="49" t="n"/>
      <c r="T1161" s="49" t="n"/>
      <c r="U1161" s="47" t="inlineStr">
        <is>
          <t>Go to for 10% off plus free shipping. Today J dives into the Wizarding World of Harry Potter to discuss all of Super Carlin Brothers TOP unanswered questions from Fantastic Beasts: The Secrets of Dumbledore #SuperCarlinBrothers #HarryPotter #SecretsOfDumbeldore</t>
        </is>
      </c>
      <c r="V1161" s="47">
        <f>IF(AND(P1161&gt;=Calendar!$K$2,P1161&lt;EDATE(Calendar!$K$2,1),OR(Calendar!$K$4="*",N1161=Calendar!$K$4)),P1161*100+COUNTIFS($P$6:$P$3267,P1161,$Q$6:$Q$3267,"&lt;="&amp;Q1161,$N$6:$N$3267,Calendar!$K$4),"")</f>
        <v/>
      </c>
      <c r="W1161" s="47">
        <f>IF(AND(B1161=Queue!$C$4,OR(Queue!$K$4="*",N1161=Queue!$K$4)),Q1161,"")</f>
        <v/>
      </c>
    </row>
    <row r="1162">
      <c r="A1162" s="38">
        <f>IF(M1162="","",HYPERLINK("https://www.youtube.com/watch?v="&amp;M1162,"▶"))</f>
        <v/>
      </c>
      <c r="B1162" s="39">
        <f>IF(C1162&lt;&gt;"",C1162,IF(P1162&lt;=IFERROR(INDEX(tblChannels[Watched Through],MATCH(N1162,tblChannels[Channel ID],0)),0),"Watched","Unwatched"))</f>
        <v/>
      </c>
      <c r="C1162" s="40" t="n"/>
      <c r="D1162" s="41" t="n"/>
      <c r="E1162" s="42" t="n">
        <v>44670.625</v>
      </c>
      <c r="F1162" s="53" t="inlineStr">
        <is>
          <t>Jonathan Carlin</t>
        </is>
      </c>
      <c r="G1162" t="inlineStr">
        <is>
          <t>The COOLEST Shoes I've Ever Owned</t>
        </is>
      </c>
      <c r="H1162" s="44" t="n">
        <v>0.01070601851851852</v>
      </c>
      <c r="I1162" s="45" t="n">
        <v>12090</v>
      </c>
      <c r="J1162" s="45" t="n">
        <v>830</v>
      </c>
      <c r="K1162" s="45" t="n">
        <v>49</v>
      </c>
      <c r="L1162" s="46" t="n"/>
      <c r="M1162" s="47" t="n"/>
      <c r="N1162" s="47" t="inlineStr">
        <is>
          <t>UCYPKFe86e6nm4TVUYKLsFUQ</t>
        </is>
      </c>
      <c r="O1162" s="48" t="n">
        <v>44670.79166666666</v>
      </c>
      <c r="P1162" s="49" t="n">
        <v>44670</v>
      </c>
      <c r="Q1162" s="47" t="n">
        <v>2106</v>
      </c>
      <c r="R1162" s="47" t="inlineStr">
        <is>
          <t>No Video ID yet</t>
        </is>
      </c>
      <c r="S1162" s="49" t="n"/>
      <c r="T1162" s="49" t="n"/>
      <c r="U1162" s="47" t="inlineStr">
        <is>
          <t>This week J and Beth attend The Bachelor Live!, Ben and J get some AMAZING new shoes, Luke helps open some cards, and we plant some more flowers! Check out more from our Shoe Artist ::</t>
        </is>
      </c>
      <c r="V1162" s="47">
        <f>IF(AND(P1162&gt;=Calendar!$K$2,P1162&lt;EDATE(Calendar!$K$2,1),OR(Calendar!$K$4="*",N1162=Calendar!$K$4)),P1162*100+COUNTIFS($P$6:$P$3267,P1162,$Q$6:$Q$3267,"&lt;="&amp;Q1162,$N$6:$N$3267,Calendar!$K$4),"")</f>
        <v/>
      </c>
      <c r="W1162" s="47">
        <f>IF(AND(B1162=Queue!$C$4,OR(Queue!$K$4="*",N1162=Queue!$K$4)),Q1162,"")</f>
        <v/>
      </c>
    </row>
    <row r="1163">
      <c r="A1163" s="38">
        <f>IF(M1163="","",HYPERLINK("https://www.youtube.com/watch?v="&amp;M1163,"▶"))</f>
        <v/>
      </c>
      <c r="B1163" s="39">
        <f>IF(C1163&lt;&gt;"",C1163,IF(P1163&lt;=IFERROR(INDEX(tblChannels[Watched Through],MATCH(N1163,tblChannels[Channel ID],0)),0),"Watched","Unwatched"))</f>
        <v/>
      </c>
      <c r="C1163" s="40" t="n"/>
      <c r="D1163" s="41" t="n"/>
      <c r="E1163" s="42" t="n">
        <v>44667.68472222222</v>
      </c>
      <c r="F1163" s="52" t="inlineStr">
        <is>
          <t>Super Carlin Gaming</t>
        </is>
      </c>
      <c r="G1163" t="inlineStr">
        <is>
          <t>LIVE! - Let's Play some JOLTEON!</t>
        </is>
      </c>
      <c r="H1163" s="44" t="n">
        <v>0.03678240740740741</v>
      </c>
      <c r="I1163" s="45" t="n">
        <v>3692</v>
      </c>
      <c r="J1163" s="45" t="n">
        <v>173</v>
      </c>
      <c r="K1163" s="45" t="n">
        <v>12</v>
      </c>
      <c r="L1163" s="46" t="n"/>
      <c r="M1163" s="47" t="n"/>
      <c r="N1163" s="47" t="inlineStr">
        <is>
          <t>UCor_9jRnNNZVzTuQ92PKsaQ</t>
        </is>
      </c>
      <c r="O1163" s="48" t="n">
        <v>44667.85138888889</v>
      </c>
      <c r="P1163" s="49" t="n">
        <v>44667</v>
      </c>
      <c r="Q1163" s="47" t="n">
        <v>2105</v>
      </c>
      <c r="R1163" s="47" t="inlineStr">
        <is>
          <t>No Video ID yet</t>
        </is>
      </c>
      <c r="S1163" s="49" t="n"/>
      <c r="T1163" s="49" t="n"/>
      <c r="U1163" s="47" t="inlineStr">
        <is>
          <t>Just hanging out playing some Pokemon Cards and chatting!</t>
        </is>
      </c>
      <c r="V1163" s="47">
        <f>IF(AND(P1163&gt;=Calendar!$K$2,P1163&lt;EDATE(Calendar!$K$2,1),OR(Calendar!$K$4="*",N1163=Calendar!$K$4)),P1163*100+COUNTIFS($P$6:$P$3267,P1163,$Q$6:$Q$3267,"&lt;="&amp;Q1163,$N$6:$N$3267,Calendar!$K$4),"")</f>
        <v/>
      </c>
      <c r="W1163" s="47">
        <f>IF(AND(B1163=Queue!$C$4,OR(Queue!$K$4="*",N1163=Queue!$K$4)),Q1163,"")</f>
        <v/>
      </c>
    </row>
    <row r="1164">
      <c r="A1164" s="38">
        <f>IF(M1164="","",HYPERLINK("https://www.youtube.com/watch?v="&amp;M1164,"▶"))</f>
        <v/>
      </c>
      <c r="B1164" s="39">
        <f>IF(C1164&lt;&gt;"",C1164,IF(P1164&lt;=IFERROR(INDEX(tblChannels[Watched Through],MATCH(N1164,tblChannels[Channel ID],0)),0),"Watched","Unwatched"))</f>
        <v/>
      </c>
      <c r="C1164" s="40" t="n"/>
      <c r="D1164" s="41" t="n"/>
      <c r="E1164" s="42" t="n">
        <v>44666.59305555555</v>
      </c>
      <c r="F1164" s="50" t="inlineStr">
        <is>
          <t>Super Carlin Brothers</t>
        </is>
      </c>
      <c r="G1164" t="inlineStr">
        <is>
          <t>Fantastic Beasts: Secrets of Dumbledore Spoiler REVIEW</t>
        </is>
      </c>
      <c r="H1164" s="44" t="n">
        <v>0.04950231481481481</v>
      </c>
      <c r="I1164" s="45" t="n">
        <v>585479</v>
      </c>
      <c r="J1164" s="45" t="n">
        <v>15682</v>
      </c>
      <c r="K1164" s="45" t="n">
        <v>5830</v>
      </c>
      <c r="L1164" s="46" t="n"/>
      <c r="M1164" s="47" t="n"/>
      <c r="N1164" s="47" t="inlineStr">
        <is>
          <t>UCKZo4N0lVPccBkSiuyVh4yg</t>
        </is>
      </c>
      <c r="O1164" s="48" t="n">
        <v>44666.75972222222</v>
      </c>
      <c r="P1164" s="49" t="n">
        <v>44666</v>
      </c>
      <c r="Q1164" s="47" t="n">
        <v>2104</v>
      </c>
      <c r="R1164" s="47" t="inlineStr">
        <is>
          <t>No Video ID yet</t>
        </is>
      </c>
      <c r="S1164" s="49" t="n"/>
      <c r="T1164" s="49" t="n"/>
      <c r="U1164" s="47" t="inlineStr">
        <is>
          <t>Go to or use promo code jvsb to get 20% off your first order. Go to to get up to 60% off your subscription. J and Ben dive into the Wizarding World of Harry Potter to give their full SPOILER Review of Fantastic Beasts: Secrets of Dumbledore Yellow Common Room Candle ►►</t>
        </is>
      </c>
      <c r="V1164" s="47">
        <f>IF(AND(P1164&gt;=Calendar!$K$2,P1164&lt;EDATE(Calendar!$K$2,1),OR(Calendar!$K$4="*",N1164=Calendar!$K$4)),P1164*100+COUNTIFS($P$6:$P$3267,P1164,$Q$6:$Q$3267,"&lt;="&amp;Q1164,$N$6:$N$3267,Calendar!$K$4),"")</f>
        <v/>
      </c>
      <c r="W1164" s="47">
        <f>IF(AND(B1164=Queue!$C$4,OR(Queue!$K$4="*",N1164=Queue!$K$4)),Q1164,"")</f>
        <v/>
      </c>
    </row>
    <row r="1165">
      <c r="A1165" s="38">
        <f>IF(M1165="","",HYPERLINK("https://www.youtube.com/watch?v="&amp;M1165,"▶"))</f>
        <v/>
      </c>
      <c r="B1165" s="39">
        <f>IF(C1165&lt;&gt;"",C1165,IF(P1165&lt;=IFERROR(INDEX(tblChannels[Watched Through],MATCH(N1165,tblChannels[Channel ID],0)),0),"Watched","Unwatched"))</f>
        <v/>
      </c>
      <c r="C1165" s="40" t="n"/>
      <c r="D1165" s="41" t="n"/>
      <c r="E1165" s="42" t="n">
        <v>44666.41666666666</v>
      </c>
      <c r="F1165" s="43" t="inlineStr">
        <is>
          <t>Popcorn Culture</t>
        </is>
      </c>
      <c r="G1165" t="inlineStr">
        <is>
          <t>SPACE WINE! | Popcorn Culture</t>
        </is>
      </c>
      <c r="H1165" s="44" t="n">
        <v>0.04494212962962963</v>
      </c>
      <c r="I1165" s="45" t="n">
        <v>7007</v>
      </c>
      <c r="J1165" s="45" t="n">
        <v>363</v>
      </c>
      <c r="K1165" s="45" t="n">
        <v>63</v>
      </c>
      <c r="L1165" s="46" t="n"/>
      <c r="M1165" s="47" t="n"/>
      <c r="N1165" s="47" t="inlineStr">
        <is>
          <t>UCHfIbq9thHPC8yrKjAdJgDA</t>
        </is>
      </c>
      <c r="O1165" s="48" t="n">
        <v>44666.58333333334</v>
      </c>
      <c r="P1165" s="49" t="n">
        <v>44666</v>
      </c>
      <c r="Q1165" s="47" t="n">
        <v>2103</v>
      </c>
      <c r="R1165" s="47" t="inlineStr">
        <is>
          <t>No Video ID yet</t>
        </is>
      </c>
      <c r="S1165" s="49" t="n"/>
      <c r="T1165" s="49" t="n"/>
      <c r="U1165" s="47" t="inlineStr">
        <is>
          <t>In the 123rd episode of the Pop, Ben and J discuss the differences among pastas, fitness challenge updates, social media, flip phones for kids, Luke’s imagination, corn based powered wine aka bourbon, a 4 day work week (with a twist!), and swimming pools. Show Notes Dopamine Nation - J’s Vlog from last week - Pappy Van Winkle Bourbon 23 year - The Speggi and Meatballs Diet Don’t Get Me Started on Penne UGH, a Housephone?! This Is Not What J Meant Can You Powder Alcohol? The Pop Signal (better than) The Bat Signal Errands Day Now That I’m Off Social Media… Will It Pool? 00:00 - Intro, Pasta 06:50 - Fitness Challenges 18:06 - Quitting Social Media 27:29 - Flip Phones 38:08 - SCB Wine 50:07 - 4 Day Work Week 56:58 - “Will It __________”</t>
        </is>
      </c>
      <c r="V1165" s="47">
        <f>IF(AND(P1165&gt;=Calendar!$K$2,P1165&lt;EDATE(Calendar!$K$2,1),OR(Calendar!$K$4="*",N1165=Calendar!$K$4)),P1165*100+COUNTIFS($P$6:$P$3267,P1165,$Q$6:$Q$3267,"&lt;="&amp;Q1165,$N$6:$N$3267,Calendar!$K$4),"")</f>
        <v/>
      </c>
      <c r="W1165" s="47">
        <f>IF(AND(B1165=Queue!$C$4,OR(Queue!$K$4="*",N1165=Queue!$K$4)),Q1165,"")</f>
        <v/>
      </c>
    </row>
    <row r="1166">
      <c r="A1166" s="38">
        <f>IF(M1166="","",HYPERLINK("https://www.youtube.com/watch?v="&amp;M1166,"▶"))</f>
        <v/>
      </c>
      <c r="B1166" s="39">
        <f>IF(C1166&lt;&gt;"",C1166,IF(P1166&lt;=IFERROR(INDEX(tblChannels[Watched Through],MATCH(N1166,tblChannels[Channel ID],0)),0),"Watched","Unwatched"))</f>
        <v/>
      </c>
      <c r="C1166" s="40" t="n"/>
      <c r="D1166" s="41" t="n"/>
      <c r="E1166" s="42" t="n">
        <v>44664.625</v>
      </c>
      <c r="F1166" s="52" t="inlineStr">
        <is>
          <t>Super Carlin Gaming</t>
        </is>
      </c>
      <c r="G1166" t="inlineStr">
        <is>
          <t>Lilligant is Graceful but DEADLY | Pokémon Legends: Arceus Nuzlocke #7</t>
        </is>
      </c>
      <c r="H1166" s="44" t="n">
        <v>0.04152777777777777</v>
      </c>
      <c r="I1166" s="45" t="n">
        <v>10736</v>
      </c>
      <c r="J1166" s="45" t="n">
        <v>606</v>
      </c>
      <c r="K1166" s="45" t="n">
        <v>243</v>
      </c>
      <c r="L1166" s="46" t="n"/>
      <c r="M1166" s="47" t="n"/>
      <c r="N1166" s="47" t="inlineStr">
        <is>
          <t>UCor_9jRnNNZVzTuQ92PKsaQ</t>
        </is>
      </c>
      <c r="O1166" s="48" t="n">
        <v>44664.79166666666</v>
      </c>
      <c r="P1166" s="49" t="n">
        <v>44664</v>
      </c>
      <c r="Q1166" s="47" t="n">
        <v>2102</v>
      </c>
      <c r="R1166" s="47" t="inlineStr">
        <is>
          <t>No Video ID yet</t>
        </is>
      </c>
      <c r="S1166" s="49" t="n"/>
      <c r="T1166" s="49" t="n"/>
      <c r="U1166" s="47" t="inlineStr">
        <is>
          <t>This week J and the team challenge the Lady of the Ridge aka Lilligant the 2nd noble Pokemon! Lilligant is course very graceful, but also packs a mighty punch! Can the team survive this noble encounter?!</t>
        </is>
      </c>
      <c r="V1166" s="47">
        <f>IF(AND(P1166&gt;=Calendar!$K$2,P1166&lt;EDATE(Calendar!$K$2,1),OR(Calendar!$K$4="*",N1166=Calendar!$K$4)),P1166*100+COUNTIFS($P$6:$P$3267,P1166,$Q$6:$Q$3267,"&lt;="&amp;Q1166,$N$6:$N$3267,Calendar!$K$4),"")</f>
        <v/>
      </c>
      <c r="W1166" s="47">
        <f>IF(AND(B1166=Queue!$C$4,OR(Queue!$K$4="*",N1166=Queue!$K$4)),Q1166,"")</f>
        <v/>
      </c>
    </row>
    <row r="1167">
      <c r="A1167" s="38">
        <f>IF(M1167="","",HYPERLINK("https://www.youtube.com/watch?v="&amp;M1167,"▶"))</f>
        <v/>
      </c>
      <c r="B1167" s="39">
        <f>IF(C1167&lt;&gt;"",C1167,IF(P1167&lt;=IFERROR(INDEX(tblChannels[Watched Through],MATCH(N1167,tblChannels[Channel ID],0)),0),"Watched","Unwatched"))</f>
        <v/>
      </c>
      <c r="C1167" s="40" t="n"/>
      <c r="D1167" s="41" t="n"/>
      <c r="E1167" s="42" t="n">
        <v>44663.7125</v>
      </c>
      <c r="F1167" s="50" t="inlineStr">
        <is>
          <t>Super Carlin Brothers</t>
        </is>
      </c>
      <c r="G1167" t="inlineStr">
        <is>
          <t>What’s Behind Each Character’s Door? | Encanto Film Theory</t>
        </is>
      </c>
      <c r="H1167" s="44" t="n">
        <v>0.01050925925925926</v>
      </c>
      <c r="I1167" s="45" t="n">
        <v>2430431</v>
      </c>
      <c r="J1167" s="45" t="n">
        <v>33740</v>
      </c>
      <c r="K1167" s="45" t="n">
        <v>1424</v>
      </c>
      <c r="L1167" s="46" t="n"/>
      <c r="M1167" s="47" t="n"/>
      <c r="N1167" s="47" t="inlineStr">
        <is>
          <t>UCKZo4N0lVPccBkSiuyVh4yg</t>
        </is>
      </c>
      <c r="O1167" s="48" t="n">
        <v>44663.87916666667</v>
      </c>
      <c r="P1167" s="49" t="n">
        <v>44663</v>
      </c>
      <c r="Q1167" s="47" t="n">
        <v>2101</v>
      </c>
      <c r="R1167" s="47" t="inlineStr">
        <is>
          <t>No Video ID yet</t>
        </is>
      </c>
      <c r="S1167" s="49" t="n"/>
      <c r="T1167" s="49" t="n"/>
      <c r="U1167" s="47" t="inlineStr">
        <is>
          <t>Go to and use the code SUPERCARLIN to get a 4-week free trial, free postage, and a digital scale. Today J dives into the fantastical world of Encanto and the Family Madrigal with another film theory to reveal what resides behind each characters door and what their bedrooms look like! The Art of Encanto :: #SuperCarlinBrothers #Encanto</t>
        </is>
      </c>
      <c r="V1167" s="47">
        <f>IF(AND(P1167&gt;=Calendar!$K$2,P1167&lt;EDATE(Calendar!$K$2,1),OR(Calendar!$K$4="*",N1167=Calendar!$K$4)),P1167*100+COUNTIFS($P$6:$P$3267,P1167,$Q$6:$Q$3267,"&lt;="&amp;Q1167,$N$6:$N$3267,Calendar!$K$4),"")</f>
        <v/>
      </c>
      <c r="W1167" s="47">
        <f>IF(AND(B1167=Queue!$C$4,OR(Queue!$K$4="*",N1167=Queue!$K$4)),Q1167,"")</f>
        <v/>
      </c>
    </row>
    <row r="1168">
      <c r="A1168" s="38">
        <f>IF(M1168="","",HYPERLINK("https://www.youtube.com/watch?v="&amp;M1168,"▶"))</f>
        <v/>
      </c>
      <c r="B1168" s="39">
        <f>IF(C1168&lt;&gt;"",C1168,IF(P1168&lt;=IFERROR(INDEX(tblChannels[Watched Through],MATCH(N1168,tblChannels[Channel ID],0)),0),"Watched","Unwatched"))</f>
        <v/>
      </c>
      <c r="C1168" s="40" t="n"/>
      <c r="D1168" s="41" t="n"/>
      <c r="E1168" s="42" t="n">
        <v>44662.41666666666</v>
      </c>
      <c r="F1168" s="53" t="inlineStr">
        <is>
          <t>Jonathan Carlin</t>
        </is>
      </c>
      <c r="G1168" t="inlineStr">
        <is>
          <t>The One Where J Gets Into Plants</t>
        </is>
      </c>
      <c r="H1168" s="44" t="n">
        <v>0.01674768518518518</v>
      </c>
      <c r="I1168" s="45" t="n">
        <v>15385</v>
      </c>
      <c r="J1168" s="45" t="n">
        <v>938</v>
      </c>
      <c r="K1168" s="45" t="n">
        <v>108</v>
      </c>
      <c r="L1168" s="46" t="n"/>
      <c r="M1168" s="47" t="n"/>
      <c r="N1168" s="47" t="inlineStr">
        <is>
          <t>UCYPKFe86e6nm4TVUYKLsFUQ</t>
        </is>
      </c>
      <c r="O1168" s="48" t="n">
        <v>44662.58333333334</v>
      </c>
      <c r="P1168" s="49" t="n">
        <v>44662</v>
      </c>
      <c r="Q1168" s="47" t="n">
        <v>2100</v>
      </c>
      <c r="R1168" s="47" t="inlineStr">
        <is>
          <t>No Video ID yet</t>
        </is>
      </c>
      <c r="S1168" s="49" t="n"/>
      <c r="T1168" s="49" t="n"/>
      <c r="U1168" s="47" t="inlineStr">
        <is>
          <t>This week J hosts the POP, buys a lot of plants, plants a garden, caulks a bathroom, Nick &amp; Nate find the worlds happiest slide, Luke builds his first lego set, becomes a camera man and the SCB team builds a skateboard wall!</t>
        </is>
      </c>
      <c r="V1168" s="47">
        <f>IF(AND(P1168&gt;=Calendar!$K$2,P1168&lt;EDATE(Calendar!$K$2,1),OR(Calendar!$K$4="*",N1168=Calendar!$K$4)),P1168*100+COUNTIFS($P$6:$P$3267,P1168,$Q$6:$Q$3267,"&lt;="&amp;Q1168,$N$6:$N$3267,Calendar!$K$4),"")</f>
        <v/>
      </c>
      <c r="W1168" s="47">
        <f>IF(AND(B1168=Queue!$C$4,OR(Queue!$K$4="*",N1168=Queue!$K$4)),Q1168,"")</f>
        <v/>
      </c>
    </row>
    <row r="1169">
      <c r="A1169" s="38">
        <f>IF(M1169="","",HYPERLINK("https://www.youtube.com/watch?v="&amp;M1169,"▶"))</f>
        <v/>
      </c>
      <c r="B1169" s="39">
        <f>IF(C1169&lt;&gt;"",C1169,IF(P1169&lt;=IFERROR(INDEX(tblChannels[Watched Through],MATCH(N1169,tblChannels[Channel ID],0)),0),"Watched","Unwatched"))</f>
        <v/>
      </c>
      <c r="C1169" s="40" t="n"/>
      <c r="D1169" s="41" t="n"/>
      <c r="E1169" s="42" t="n">
        <v>44659.5</v>
      </c>
      <c r="F1169" s="54" t="inlineStr">
        <is>
          <t>With the Carlins</t>
        </is>
      </c>
      <c r="G1169" t="inlineStr">
        <is>
          <t>My Secret Chocolate Chip Cookie Recipe</t>
        </is>
      </c>
      <c r="H1169" s="44" t="n">
        <v>0.0194212962962963</v>
      </c>
      <c r="I1169" s="45" t="n">
        <v>14012</v>
      </c>
      <c r="J1169" s="45" t="n">
        <v>1038</v>
      </c>
      <c r="K1169" s="45" t="n">
        <v>130</v>
      </c>
      <c r="L1169" s="46" t="n"/>
      <c r="M1169" s="47" t="n"/>
      <c r="N1169" s="47" t="inlineStr">
        <is>
          <t>UCVBTjN9WJU5Ac8yU7b2K-5g</t>
        </is>
      </c>
      <c r="O1169" s="48" t="n">
        <v>44659.66666666666</v>
      </c>
      <c r="P1169" s="49" t="n">
        <v>44659</v>
      </c>
      <c r="Q1169" s="47" t="n">
        <v>2099</v>
      </c>
      <c r="R1169" s="47" t="inlineStr">
        <is>
          <t>No Video ID yet</t>
        </is>
      </c>
      <c r="S1169" s="49" t="n"/>
      <c r="T1169" s="49" t="n"/>
      <c r="U1169" s="47" t="inlineStr">
        <is>
          <t>This week (technically just a Sunday) Ally and I continue working on the garden, I mow the lawn, we get sushi, and we bake cookies! Wildflower Seeds: Follow Us! :: I N S T A G R A M➜ and Ben Carlin #SuperCarlinBrothers #CarlinFamily #FamilyVlog</t>
        </is>
      </c>
      <c r="V1169" s="47">
        <f>IF(AND(P1169&gt;=Calendar!$K$2,P1169&lt;EDATE(Calendar!$K$2,1),OR(Calendar!$K$4="*",N1169=Calendar!$K$4)),P1169*100+COUNTIFS($P$6:$P$3267,P1169,$Q$6:$Q$3267,"&lt;="&amp;Q1169,$N$6:$N$3267,Calendar!$K$4),"")</f>
        <v/>
      </c>
      <c r="W1169" s="47">
        <f>IF(AND(B1169=Queue!$C$4,OR(Queue!$K$4="*",N1169=Queue!$K$4)),Q1169,"")</f>
        <v/>
      </c>
    </row>
    <row r="1170">
      <c r="A1170" s="38">
        <f>IF(M1170="","",HYPERLINK("https://www.youtube.com/watch?v="&amp;M1170,"▶"))</f>
        <v/>
      </c>
      <c r="B1170" s="39">
        <f>IF(C1170&lt;&gt;"",C1170,IF(P1170&lt;=IFERROR(INDEX(tblChannels[Watched Through],MATCH(N1170,tblChannels[Channel ID],0)),0),"Watched","Unwatched"))</f>
        <v/>
      </c>
      <c r="C1170" s="40" t="n"/>
      <c r="D1170" s="41" t="n"/>
      <c r="E1170" s="42" t="n">
        <v>44659.41666666666</v>
      </c>
      <c r="F1170" s="43" t="inlineStr">
        <is>
          <t>Popcorn Culture</t>
        </is>
      </c>
      <c r="G1170" t="inlineStr">
        <is>
          <t>Black Flame Glasses | Popcorn Culture</t>
        </is>
      </c>
      <c r="H1170" s="44" t="n">
        <v>0.04895833333333333</v>
      </c>
      <c r="I1170" s="45" t="n">
        <v>9066</v>
      </c>
      <c r="J1170" s="45" t="n">
        <v>437</v>
      </c>
      <c r="K1170" s="45" t="n">
        <v>59</v>
      </c>
      <c r="L1170" s="46" t="n"/>
      <c r="M1170" s="47" t="n"/>
      <c r="N1170" s="47" t="inlineStr">
        <is>
          <t>UCHfIbq9thHPC8yrKjAdJgDA</t>
        </is>
      </c>
      <c r="O1170" s="48" t="n">
        <v>44659.58333333334</v>
      </c>
      <c r="P1170" s="49" t="n">
        <v>44659</v>
      </c>
      <c r="Q1170" s="47" t="n">
        <v>2098</v>
      </c>
      <c r="R1170" s="47" t="inlineStr">
        <is>
          <t>No Video ID yet</t>
        </is>
      </c>
      <c r="S1170" s="49" t="n"/>
      <c r="T1170" s="49" t="n"/>
      <c r="U1170" s="47" t="inlineStr">
        <is>
          <t>In the 122nd episode of the Pop, Ben and J discuss J’s new look, a Star Wars theory, eye prescriptions, Year One SCB schedule, changes and structure, surveys, echo chambers, Base Set Chansey, the Kadabra lore, Ben’s first massage and the concept of Severance. Star Wars: Rebels - The Mandalorian - Peloton - Nielsen Ratings - The Chansey Pokemon Card - Ben’s Wick of the Peek: getting a massage J’s Wick of the Peek: Severance - The Light Saber Incremental Changes The Immediacy of Tomorrow Triangles are Stronger Why Is No One on Twitter?! 00:00 - Intro, Glasses (with a Star Wars Side Journey) 8:50 - Changes and Structure 30:02 - Survey Stats 42:07 - Twitter and Echo Chambers 47:41 - Pokemon Cards 55:42 - Wicks of the Peek</t>
        </is>
      </c>
      <c r="V1170" s="47">
        <f>IF(AND(P1170&gt;=Calendar!$K$2,P1170&lt;EDATE(Calendar!$K$2,1),OR(Calendar!$K$4="*",N1170=Calendar!$K$4)),P1170*100+COUNTIFS($P$6:$P$3267,P1170,$Q$6:$Q$3267,"&lt;="&amp;Q1170,$N$6:$N$3267,Calendar!$K$4),"")</f>
        <v/>
      </c>
      <c r="W1170" s="47">
        <f>IF(AND(B1170=Queue!$C$4,OR(Queue!$K$4="*",N1170=Queue!$K$4)),Q1170,"")</f>
        <v/>
      </c>
    </row>
    <row r="1171">
      <c r="A1171" s="38">
        <f>IF(M1171="","",HYPERLINK("https://www.youtube.com/watch?v="&amp;M1171,"▶"))</f>
        <v/>
      </c>
      <c r="B1171" s="39">
        <f>IF(C1171&lt;&gt;"",C1171,IF(P1171&lt;=IFERROR(INDEX(tblChannels[Watched Through],MATCH(N1171,tblChannels[Channel ID],0)),0),"Watched","Unwatched"))</f>
        <v/>
      </c>
      <c r="C1171" s="40" t="n"/>
      <c r="D1171" s="41" t="n"/>
      <c r="E1171" s="42" t="n">
        <v>44658.70069444444</v>
      </c>
      <c r="F1171" s="50" t="inlineStr">
        <is>
          <t>Super Carlin Brothers</t>
        </is>
      </c>
      <c r="G1171" t="inlineStr">
        <is>
          <t>Ridiculously Cool Things You Haven’t Noticed In Encanto Yet | Disney Film Theory</t>
        </is>
      </c>
      <c r="H1171" s="44" t="n">
        <v>0.01282407407407407</v>
      </c>
      <c r="I1171" s="45" t="n">
        <v>279471</v>
      </c>
      <c r="J1171" s="45" t="n">
        <v>11301</v>
      </c>
      <c r="K1171" s="45" t="n">
        <v>878</v>
      </c>
      <c r="L1171" s="46" t="n"/>
      <c r="M1171" s="47" t="n"/>
      <c r="N1171" s="47" t="inlineStr">
        <is>
          <t>UCKZo4N0lVPccBkSiuyVh4yg</t>
        </is>
      </c>
      <c r="O1171" s="48" t="n">
        <v>44658.86736111111</v>
      </c>
      <c r="P1171" s="49" t="n">
        <v>44658</v>
      </c>
      <c r="Q1171" s="47" t="n">
        <v>2097</v>
      </c>
      <c r="R1171" s="47" t="inlineStr">
        <is>
          <t>No Video ID yet</t>
        </is>
      </c>
      <c r="S1171" s="49" t="n"/>
      <c r="T1171" s="49" t="n"/>
      <c r="U1171" s="47" t="inlineStr">
        <is>
          <t>Go to and use code super to get 20% off your first monthly box. Today Ben dives into the fantastical world of Encanto and the Family Madrigal to reveal 5 Ridiculously cool things you haven’t noticed yet! #SuperCarlinBrothers #Encanto</t>
        </is>
      </c>
      <c r="V1171" s="47">
        <f>IF(AND(P1171&gt;=Calendar!$K$2,P1171&lt;EDATE(Calendar!$K$2,1),OR(Calendar!$K$4="*",N1171=Calendar!$K$4)),P1171*100+COUNTIFS($P$6:$P$3267,P1171,$Q$6:$Q$3267,"&lt;="&amp;Q1171,$N$6:$N$3267,Calendar!$K$4),"")</f>
        <v/>
      </c>
      <c r="W1171" s="47">
        <f>IF(AND(B1171=Queue!$C$4,OR(Queue!$K$4="*",N1171=Queue!$K$4)),Q1171,"")</f>
        <v/>
      </c>
    </row>
    <row r="1172">
      <c r="A1172" s="38">
        <f>IF(M1172="","",HYPERLINK("https://www.youtube.com/watch?v="&amp;M1172,"▶"))</f>
        <v/>
      </c>
      <c r="B1172" s="39">
        <f>IF(C1172&lt;&gt;"",C1172,IF(P1172&lt;=IFERROR(INDEX(tblChannels[Watched Through],MATCH(N1172,tblChannels[Channel ID],0)),0),"Watched","Unwatched"))</f>
        <v/>
      </c>
      <c r="C1172" s="40" t="n"/>
      <c r="D1172" s="41" t="n"/>
      <c r="E1172" s="42" t="n">
        <v>44657.625</v>
      </c>
      <c r="F1172" s="52" t="inlineStr">
        <is>
          <t>Super Carlin Gaming</t>
        </is>
      </c>
      <c r="G1172" t="inlineStr">
        <is>
          <t>THE MOON BEAR STRIKES |  Pokémon Legends: Arceus Nuzlocke #6</t>
        </is>
      </c>
      <c r="H1172" s="44" t="n">
        <v>0.02877314814814815</v>
      </c>
      <c r="I1172" s="45" t="n">
        <v>12940</v>
      </c>
      <c r="J1172" s="45" t="n">
        <v>1001</v>
      </c>
      <c r="K1172" s="45" t="n">
        <v>192</v>
      </c>
      <c r="L1172" s="46" t="n"/>
      <c r="M1172" s="47" t="n"/>
      <c r="N1172" s="47" t="inlineStr">
        <is>
          <t>UCor_9jRnNNZVzTuQ92PKsaQ</t>
        </is>
      </c>
      <c r="O1172" s="48" t="n">
        <v>44657.79166666666</v>
      </c>
      <c r="P1172" s="49" t="n">
        <v>44657</v>
      </c>
      <c r="Q1172" s="47" t="n">
        <v>2096</v>
      </c>
      <c r="R1172" s="47" t="inlineStr">
        <is>
          <t>No Video ID yet</t>
        </is>
      </c>
      <c r="S1172" s="49" t="n"/>
      <c r="T1172" s="49" t="n"/>
      <c r="U1172" s="47" t="inlineStr">
        <is>
          <t>Today J and the team explore the Crimson Mirelands, catch new friends and challenge the mighty URSALUNA! Can they survive the encounter with this dangerous foe??</t>
        </is>
      </c>
      <c r="V1172" s="47">
        <f>IF(AND(P1172&gt;=Calendar!$K$2,P1172&lt;EDATE(Calendar!$K$2,1),OR(Calendar!$K$4="*",N1172=Calendar!$K$4)),P1172*100+COUNTIFS($P$6:$P$3267,P1172,$Q$6:$Q$3267,"&lt;="&amp;Q1172,$N$6:$N$3267,Calendar!$K$4),"")</f>
        <v/>
      </c>
      <c r="W1172" s="47">
        <f>IF(AND(B1172=Queue!$C$4,OR(Queue!$K$4="*",N1172=Queue!$K$4)),Q1172,"")</f>
        <v/>
      </c>
    </row>
    <row r="1173">
      <c r="A1173" s="38">
        <f>IF(M1173="","",HYPERLINK("https://www.youtube.com/watch?v="&amp;M1173,"▶"))</f>
        <v/>
      </c>
      <c r="B1173" s="39">
        <f>IF(C1173&lt;&gt;"",C1173,IF(P1173&lt;=IFERROR(INDEX(tblChannels[Watched Through],MATCH(N1173,tblChannels[Channel ID],0)),0),"Watched","Unwatched"))</f>
        <v/>
      </c>
      <c r="C1173" s="40" t="n"/>
      <c r="D1173" s="41" t="n"/>
      <c r="E1173" s="42" t="n">
        <v>44656.69583333333</v>
      </c>
      <c r="F1173" s="50" t="inlineStr">
        <is>
          <t>Super Carlin Brothers</t>
        </is>
      </c>
      <c r="G1173" t="inlineStr">
        <is>
          <t>Why Doesn't Harry Have Any Relatives? | Harry Potter Film Theory</t>
        </is>
      </c>
      <c r="H1173" s="44" t="n">
        <v>0.01059027777777778</v>
      </c>
      <c r="I1173" s="45" t="n">
        <v>464589</v>
      </c>
      <c r="J1173" s="45" t="n">
        <v>16870</v>
      </c>
      <c r="K1173" s="45" t="n">
        <v>1300</v>
      </c>
      <c r="L1173" s="46" t="n"/>
      <c r="M1173" s="47" t="n"/>
      <c r="N1173" s="47" t="inlineStr">
        <is>
          <t>UCKZo4N0lVPccBkSiuyVh4yg</t>
        </is>
      </c>
      <c r="O1173" s="48" t="n">
        <v>44656.8625</v>
      </c>
      <c r="P1173" s="49" t="n">
        <v>44656</v>
      </c>
      <c r="Q1173" s="47" t="n">
        <v>2095</v>
      </c>
      <c r="R1173" s="47" t="inlineStr">
        <is>
          <t>No Video ID yet</t>
        </is>
      </c>
      <c r="S1173" s="49" t="n"/>
      <c r="T1173" s="49" t="n"/>
      <c r="U1173" s="47" t="inlineStr">
        <is>
          <t>Go to to get 25% off your first Membership or 15% off your first order. Today J dives into the Wizarding World of Harry Potter to uncover what happened to the rest of the Potter family, why Harry had to live with the Dursleys, and whether Death himself cursed the entire family tree!</t>
        </is>
      </c>
      <c r="V1173" s="47">
        <f>IF(AND(P1173&gt;=Calendar!$K$2,P1173&lt;EDATE(Calendar!$K$2,1),OR(Calendar!$K$4="*",N1173=Calendar!$K$4)),P1173*100+COUNTIFS($P$6:$P$3267,P1173,$Q$6:$Q$3267,"&lt;="&amp;Q1173,$N$6:$N$3267,Calendar!$K$4),"")</f>
        <v/>
      </c>
      <c r="W1173" s="47">
        <f>IF(AND(B1173=Queue!$C$4,OR(Queue!$K$4="*",N1173=Queue!$K$4)),Q1173,"")</f>
        <v/>
      </c>
    </row>
    <row r="1174">
      <c r="A1174" s="38">
        <f>IF(M1174="","",HYPERLINK("https://www.youtube.com/watch?v="&amp;M1174,"▶"))</f>
        <v/>
      </c>
      <c r="B1174" s="39">
        <f>IF(C1174&lt;&gt;"",C1174,IF(P1174&lt;=IFERROR(INDEX(tblChannels[Watched Through],MATCH(N1174,tblChannels[Channel ID],0)),0),"Watched","Unwatched"))</f>
        <v/>
      </c>
      <c r="C1174" s="40" t="n"/>
      <c r="D1174" s="41" t="n"/>
      <c r="E1174" s="42" t="n">
        <v>44655.625</v>
      </c>
      <c r="F1174" s="53" t="inlineStr">
        <is>
          <t>Jonathan Carlin</t>
        </is>
      </c>
      <c r="G1174" t="inlineStr">
        <is>
          <t>Luke Becomes a SUPER SPY!</t>
        </is>
      </c>
      <c r="H1174" s="44" t="n">
        <v>0.00738425925925926</v>
      </c>
      <c r="I1174" s="45" t="n">
        <v>11125</v>
      </c>
      <c r="J1174" s="45" t="n">
        <v>836</v>
      </c>
      <c r="K1174" s="45" t="n">
        <v>0</v>
      </c>
      <c r="L1174" s="46" t="n"/>
      <c r="M1174" s="47" t="n"/>
      <c r="N1174" s="47" t="inlineStr">
        <is>
          <t>UCYPKFe86e6nm4TVUYKLsFUQ</t>
        </is>
      </c>
      <c r="O1174" s="48" t="n">
        <v>44655.79166666666</v>
      </c>
      <c r="P1174" s="49" t="n">
        <v>44655</v>
      </c>
      <c r="Q1174" s="47" t="n">
        <v>2094</v>
      </c>
      <c r="R1174" s="47" t="inlineStr">
        <is>
          <t>No Video ID yet</t>
        </is>
      </c>
      <c r="S1174" s="49" t="n"/>
      <c r="T1174" s="49" t="n"/>
      <c r="U1174" s="47" t="inlineStr">
        <is>
          <t>This week J and Ben build a skateboard, Luke becomes a spy and then everyone gets sick... BUT THAT RAIN YALL!</t>
        </is>
      </c>
      <c r="V1174" s="47">
        <f>IF(AND(P1174&gt;=Calendar!$K$2,P1174&lt;EDATE(Calendar!$K$2,1),OR(Calendar!$K$4="*",N1174=Calendar!$K$4)),P1174*100+COUNTIFS($P$6:$P$3267,P1174,$Q$6:$Q$3267,"&lt;="&amp;Q1174,$N$6:$N$3267,Calendar!$K$4),"")</f>
        <v/>
      </c>
      <c r="W1174" s="47">
        <f>IF(AND(B1174=Queue!$C$4,OR(Queue!$K$4="*",N1174=Queue!$K$4)),Q1174,"")</f>
        <v/>
      </c>
    </row>
    <row r="1175">
      <c r="A1175" s="38">
        <f>IF(M1175="","",HYPERLINK("https://www.youtube.com/watch?v="&amp;M1175,"▶"))</f>
        <v/>
      </c>
      <c r="B1175" s="39">
        <f>IF(C1175&lt;&gt;"",C1175,IF(P1175&lt;=IFERROR(INDEX(tblChannels[Watched Through],MATCH(N1175,tblChannels[Channel ID],0)),0),"Watched","Unwatched"))</f>
        <v/>
      </c>
      <c r="C1175" s="40" t="n"/>
      <c r="D1175" s="41" t="n"/>
      <c r="E1175" s="42" t="n">
        <v>44652.5</v>
      </c>
      <c r="F1175" s="54" t="inlineStr">
        <is>
          <t>With the Carlins</t>
        </is>
      </c>
      <c r="G1175" t="inlineStr">
        <is>
          <t>I Got A Full Sleeve Tattoo</t>
        </is>
      </c>
      <c r="H1175" s="44" t="n">
        <v>0.01939814814814815</v>
      </c>
      <c r="I1175" s="45" t="n">
        <v>21382</v>
      </c>
      <c r="J1175" s="45" t="n">
        <v>1227</v>
      </c>
      <c r="K1175" s="45" t="n">
        <v>151</v>
      </c>
      <c r="L1175" s="46" t="n"/>
      <c r="M1175" s="47" t="n"/>
      <c r="N1175" s="47" t="inlineStr">
        <is>
          <t>UCVBTjN9WJU5Ac8yU7b2K-5g</t>
        </is>
      </c>
      <c r="O1175" s="48" t="n">
        <v>44652.66666666666</v>
      </c>
      <c r="P1175" s="49" t="n">
        <v>44652</v>
      </c>
      <c r="Q1175" s="47" t="n">
        <v>2093</v>
      </c>
      <c r="R1175" s="47" t="inlineStr">
        <is>
          <t>No Video ID yet</t>
        </is>
      </c>
      <c r="S1175" s="49" t="n"/>
      <c r="T1175" s="49" t="n"/>
      <c r="U1175" s="47" t="inlineStr">
        <is>
          <t>This week I get my first tattoo, Ally and I throw away some eggshells and we work on some baby steps with Addy Family Tree by Molly Horrell: Follow Us! :: I N S T A G R A M➜ and Ben Carlin #SuperCarlinBrothers #CarlinFamily #FamilyVlog</t>
        </is>
      </c>
      <c r="V1175" s="47">
        <f>IF(AND(P1175&gt;=Calendar!$K$2,P1175&lt;EDATE(Calendar!$K$2,1),OR(Calendar!$K$4="*",N1175=Calendar!$K$4)),P1175*100+COUNTIFS($P$6:$P$3267,P1175,$Q$6:$Q$3267,"&lt;="&amp;Q1175,$N$6:$N$3267,Calendar!$K$4),"")</f>
        <v/>
      </c>
      <c r="W1175" s="47">
        <f>IF(AND(B1175=Queue!$C$4,OR(Queue!$K$4="*",N1175=Queue!$K$4)),Q1175,"")</f>
        <v/>
      </c>
    </row>
    <row r="1176">
      <c r="A1176" s="38">
        <f>IF(M1176="","",HYPERLINK("https://www.youtube.com/watch?v="&amp;M1176,"▶"))</f>
        <v/>
      </c>
      <c r="B1176" s="39">
        <f>IF(C1176&lt;&gt;"",C1176,IF(P1176&lt;=IFERROR(INDEX(tblChannels[Watched Through],MATCH(N1176,tblChannels[Channel ID],0)),0),"Watched","Unwatched"))</f>
        <v/>
      </c>
      <c r="C1176" s="40" t="n"/>
      <c r="D1176" s="41" t="n"/>
      <c r="E1176" s="42" t="n">
        <v>44652.41666666666</v>
      </c>
      <c r="F1176" s="43" t="inlineStr">
        <is>
          <t>Popcorn Culture</t>
        </is>
      </c>
      <c r="G1176" t="inlineStr">
        <is>
          <t>The One Where J Hosts | Popcorn Culture</t>
        </is>
      </c>
      <c r="H1176" s="44" t="n">
        <v>0.05025462962962963</v>
      </c>
      <c r="I1176" s="45" t="n">
        <v>10574</v>
      </c>
      <c r="J1176" s="45" t="n">
        <v>526</v>
      </c>
      <c r="K1176" s="45" t="n">
        <v>85</v>
      </c>
      <c r="L1176" s="46" t="n"/>
      <c r="M1176" s="47" t="n"/>
      <c r="N1176" s="47" t="inlineStr">
        <is>
          <t>UCHfIbq9thHPC8yrKjAdJgDA</t>
        </is>
      </c>
      <c r="O1176" s="48" t="n">
        <v>44652.58333333334</v>
      </c>
      <c r="P1176" s="49" t="n">
        <v>44652</v>
      </c>
      <c r="Q1176" s="47" t="n">
        <v>2092</v>
      </c>
      <c r="R1176" s="47" t="inlineStr">
        <is>
          <t>No Video ID yet</t>
        </is>
      </c>
      <c r="S1176" s="49" t="n"/>
      <c r="T1176" s="49" t="n"/>
      <c r="U1176" s="47" t="inlineStr">
        <is>
          <t>In the 121st episode of the pop, Ben and J discuss April Fools, Alyce’s bridal shop, the concept of future history, silver, gold and copper, Abe Lincoln, Pokémon, plants, children’s autonomy, mountain biking, the way Ben’s brain works, expectations, and shoe game. Go Follow @hi_my_name_is_riles_jr - The Next Generation - Alyce’s Bridal Shop - The Big Short - Sharon McMahon Instagram - Legends Arceus Golbat Description - Pop of the Mornin! The Life Cycle of a Joke Your Present is the Future’s History Do We Have More Influence Than We Know? Inside Out = Outside In Do We Compare Because of Expectations? 00:00 - Intro, The Tide Has Turned 03:36 - Present and Future History 10:47 - Precious Metals 15:20 - Corn Roots and Echo Chambers 26:18 - Impactful Moments for Children 39:28 - Batch of Classic Ben Thoughts</t>
        </is>
      </c>
      <c r="V1176" s="47">
        <f>IF(AND(P1176&gt;=Calendar!$K$2,P1176&lt;EDATE(Calendar!$K$2,1),OR(Calendar!$K$4="*",N1176=Calendar!$K$4)),P1176*100+COUNTIFS($P$6:$P$3267,P1176,$Q$6:$Q$3267,"&lt;="&amp;Q1176,$N$6:$N$3267,Calendar!$K$4),"")</f>
        <v/>
      </c>
      <c r="W1176" s="47">
        <f>IF(AND(B1176=Queue!$C$4,OR(Queue!$K$4="*",N1176=Queue!$K$4)),Q1176,"")</f>
        <v/>
      </c>
    </row>
    <row r="1177">
      <c r="A1177" s="38">
        <f>IF(M1177="","",HYPERLINK("https://www.youtube.com/watch?v="&amp;M1177,"▶"))</f>
        <v/>
      </c>
      <c r="B1177" s="39">
        <f>IF(C1177&lt;&gt;"",C1177,IF(P1177&lt;=IFERROR(INDEX(tblChannels[Watched Through],MATCH(N1177,tblChannels[Channel ID],0)),0),"Watched","Unwatched"))</f>
        <v/>
      </c>
      <c r="C1177" s="40" t="n"/>
      <c r="D1177" s="41" t="n"/>
      <c r="E1177" s="42" t="n">
        <v>44651.67013888889</v>
      </c>
      <c r="F1177" s="50" t="inlineStr">
        <is>
          <t>Super Carlin Brothers</t>
        </is>
      </c>
      <c r="G1177" t="inlineStr">
        <is>
          <t>The Madrigal’s Powers are From FEAR! | Encanto Disney Film Theory</t>
        </is>
      </c>
      <c r="H1177" s="44" t="n">
        <v>0.01097222222222222</v>
      </c>
      <c r="I1177" s="45" t="n">
        <v>203965</v>
      </c>
      <c r="J1177" s="45" t="n">
        <v>9604</v>
      </c>
      <c r="K1177" s="45" t="n">
        <v>762</v>
      </c>
      <c r="L1177" s="46" t="n"/>
      <c r="M1177" s="47" t="n"/>
      <c r="N1177" s="47" t="inlineStr">
        <is>
          <t>UCKZo4N0lVPccBkSiuyVh4yg</t>
        </is>
      </c>
      <c r="O1177" s="48" t="n">
        <v>44651.83680555555</v>
      </c>
      <c r="P1177" s="49" t="n">
        <v>44651</v>
      </c>
      <c r="Q1177" s="47" t="n">
        <v>2091</v>
      </c>
      <c r="R1177" s="47" t="inlineStr">
        <is>
          <t>No Video ID yet</t>
        </is>
      </c>
      <c r="S1177" s="49" t="n"/>
      <c r="T1177" s="49" t="n"/>
      <c r="U1177" s="47" t="inlineStr">
        <is>
          <t>Today J dives into the fantastical world of the Family Madrigal to discover why each family member had their specific powers and how it has to do with various coping mechanisms!</t>
        </is>
      </c>
      <c r="V1177" s="47">
        <f>IF(AND(P1177&gt;=Calendar!$K$2,P1177&lt;EDATE(Calendar!$K$2,1),OR(Calendar!$K$4="*",N1177=Calendar!$K$4)),P1177*100+COUNTIFS($P$6:$P$3267,P1177,$Q$6:$Q$3267,"&lt;="&amp;Q1177,$N$6:$N$3267,Calendar!$K$4),"")</f>
        <v/>
      </c>
      <c r="W1177" s="47">
        <f>IF(AND(B1177=Queue!$C$4,OR(Queue!$K$4="*",N1177=Queue!$K$4)),Q1177,"")</f>
        <v/>
      </c>
    </row>
    <row r="1178">
      <c r="A1178" s="38">
        <f>IF(M1178="","",HYPERLINK("https://www.youtube.com/watch?v="&amp;M1178,"▶"))</f>
        <v/>
      </c>
      <c r="B1178" s="39">
        <f>IF(C1178&lt;&gt;"",C1178,IF(P1178&lt;=IFERROR(INDEX(tblChannels[Watched Through],MATCH(N1178,tblChannels[Channel ID],0)),0),"Watched","Unwatched"))</f>
        <v/>
      </c>
      <c r="C1178" s="40" t="n"/>
      <c r="D1178" s="41" t="n"/>
      <c r="E1178" s="42" t="n">
        <v>44650.625</v>
      </c>
      <c r="F1178" s="52" t="inlineStr">
        <is>
          <t>Super Carlin Gaming</t>
        </is>
      </c>
      <c r="G1178" t="inlineStr">
        <is>
          <t>BULLDOZED  |  Pokémon Legends: Arceus Nuzlocke #5</t>
        </is>
      </c>
      <c r="H1178" s="44" t="n">
        <v>0.02479166666666667</v>
      </c>
      <c r="I1178" s="45" t="n">
        <v>14345</v>
      </c>
      <c r="J1178" s="45" t="n">
        <v>712</v>
      </c>
      <c r="K1178" s="45" t="n">
        <v>218</v>
      </c>
      <c r="L1178" s="46" t="n"/>
      <c r="M1178" s="47" t="n"/>
      <c r="N1178" s="47" t="inlineStr">
        <is>
          <t>UCor_9jRnNNZVzTuQ92PKsaQ</t>
        </is>
      </c>
      <c r="O1178" s="48" t="n">
        <v>44650.79166666666</v>
      </c>
      <c r="P1178" s="49" t="n">
        <v>44650</v>
      </c>
      <c r="Q1178" s="47" t="n">
        <v>2090</v>
      </c>
      <c r="R1178" s="47" t="inlineStr">
        <is>
          <t>No Video ID yet</t>
        </is>
      </c>
      <c r="S1178" s="49" t="n"/>
      <c r="T1178" s="49" t="n"/>
      <c r="U1178" s="47" t="inlineStr">
        <is>
          <t>This week J and the team head to the Crimson Mirelands to try and catch some new friends at quell another noble pokemon, are they ready for this new dangerous bog??</t>
        </is>
      </c>
      <c r="V1178" s="47">
        <f>IF(AND(P1178&gt;=Calendar!$K$2,P1178&lt;EDATE(Calendar!$K$2,1),OR(Calendar!$K$4="*",N1178=Calendar!$K$4)),P1178*100+COUNTIFS($P$6:$P$3267,P1178,$Q$6:$Q$3267,"&lt;="&amp;Q1178,$N$6:$N$3267,Calendar!$K$4),"")</f>
        <v/>
      </c>
      <c r="W1178" s="47">
        <f>IF(AND(B1178=Queue!$C$4,OR(Queue!$K$4="*",N1178=Queue!$K$4)),Q1178,"")</f>
        <v/>
      </c>
    </row>
    <row r="1179">
      <c r="A1179" s="38">
        <f>IF(M1179="","",HYPERLINK("https://www.youtube.com/watch?v="&amp;M1179,"▶"))</f>
        <v/>
      </c>
      <c r="B1179" s="39">
        <f>IF(C1179&lt;&gt;"",C1179,IF(P1179&lt;=IFERROR(INDEX(tblChannels[Watched Through],MATCH(N1179,tblChannels[Channel ID],0)),0),"Watched","Unwatched"))</f>
        <v/>
      </c>
      <c r="C1179" s="40" t="n"/>
      <c r="D1179" s="41" t="n"/>
      <c r="E1179" s="42" t="n">
        <v>44649.67291666667</v>
      </c>
      <c r="F1179" s="50" t="inlineStr">
        <is>
          <t>Super Carlin Brothers</t>
        </is>
      </c>
      <c r="G1179" t="inlineStr">
        <is>
          <t>J vs Ben: ULTIMATE Newt Scamander Quiz | Harry Potter Trivia</t>
        </is>
      </c>
      <c r="H1179" s="44" t="n">
        <v>0.01908564814814815</v>
      </c>
      <c r="I1179" s="45" t="n">
        <v>174459</v>
      </c>
      <c r="J1179" s="45" t="n">
        <v>7276</v>
      </c>
      <c r="K1179" s="45" t="n">
        <v>559</v>
      </c>
      <c r="L1179" s="46" t="n"/>
      <c r="M1179" s="47" t="n"/>
      <c r="N1179" s="47" t="inlineStr">
        <is>
          <t>UCKZo4N0lVPccBkSiuyVh4yg</t>
        </is>
      </c>
      <c r="O1179" s="48" t="n">
        <v>44649.83958333333</v>
      </c>
      <c r="P1179" s="49" t="n">
        <v>44649</v>
      </c>
      <c r="Q1179" s="47" t="n">
        <v>2089</v>
      </c>
      <c r="R1179" s="47" t="inlineStr">
        <is>
          <t>No Video ID yet</t>
        </is>
      </c>
      <c r="S1179" s="49" t="n"/>
      <c r="T1179" s="49" t="n"/>
      <c r="U1179" s="47" t="inlineStr">
        <is>
          <t>Go to to get Honey for free Get 25% off and zero delivery fees on your first order of $15 or more when you download the DoorDash app and enter code JVSB. Today J and Ben face off once more to find out who knows the Wizarding World and everyone’s favorite Magizoologist: Newton Scamander #SuperCarlinBrothers #HarryPotter #JvsBen</t>
        </is>
      </c>
      <c r="V1179" s="47">
        <f>IF(AND(P1179&gt;=Calendar!$K$2,P1179&lt;EDATE(Calendar!$K$2,1),OR(Calendar!$K$4="*",N1179=Calendar!$K$4)),P1179*100+COUNTIFS($P$6:$P$3267,P1179,$Q$6:$Q$3267,"&lt;="&amp;Q1179,$N$6:$N$3267,Calendar!$K$4),"")</f>
        <v/>
      </c>
      <c r="W1179" s="47">
        <f>IF(AND(B1179=Queue!$C$4,OR(Queue!$K$4="*",N1179=Queue!$K$4)),Q1179,"")</f>
        <v/>
      </c>
    </row>
    <row r="1180">
      <c r="A1180" s="38">
        <f>IF(M1180="","",HYPERLINK("https://www.youtube.com/watch?v="&amp;M1180,"▶"))</f>
        <v/>
      </c>
      <c r="B1180" s="39">
        <f>IF(C1180&lt;&gt;"",C1180,IF(P1180&lt;=IFERROR(INDEX(tblChannels[Watched Through],MATCH(N1180,tblChannels[Channel ID],0)),0),"Watched","Unwatched"))</f>
        <v/>
      </c>
      <c r="C1180" s="40" t="n"/>
      <c r="D1180" s="41" t="n"/>
      <c r="E1180" s="42" t="n">
        <v>44648.41666666666</v>
      </c>
      <c r="F1180" s="53" t="inlineStr">
        <is>
          <t>Jonathan Carlin</t>
        </is>
      </c>
      <c r="G1180" t="inlineStr">
        <is>
          <t>BETH LEFT ME ALONE WITH THE KIDS AGAIN</t>
        </is>
      </c>
      <c r="H1180" s="44" t="n">
        <v>0.01521990740740741</v>
      </c>
      <c r="I1180" s="45" t="n">
        <v>17886</v>
      </c>
      <c r="J1180" s="45" t="n">
        <v>1116</v>
      </c>
      <c r="K1180" s="45" t="n">
        <v>82</v>
      </c>
      <c r="L1180" s="46" t="n"/>
      <c r="M1180" s="47" t="n"/>
      <c r="N1180" s="47" t="inlineStr">
        <is>
          <t>UCYPKFe86e6nm4TVUYKLsFUQ</t>
        </is>
      </c>
      <c r="O1180" s="48" t="n">
        <v>44648.58333333334</v>
      </c>
      <c r="P1180" s="49" t="n">
        <v>44648</v>
      </c>
      <c r="Q1180" s="47" t="n">
        <v>2088</v>
      </c>
      <c r="R1180" s="47" t="inlineStr">
        <is>
          <t>No Video ID yet</t>
        </is>
      </c>
      <c r="S1180" s="49" t="n"/>
      <c r="T1180" s="49" t="n"/>
      <c r="U1180" s="47" t="inlineStr">
        <is>
          <t>This week J and Ben give a lecture at Virginia Tech, Luke picks out some cereal and then Beth goes to Ashville to run at the Biltmore while J is left at home with the kids for the weekend!</t>
        </is>
      </c>
      <c r="V1180" s="47">
        <f>IF(AND(P1180&gt;=Calendar!$K$2,P1180&lt;EDATE(Calendar!$K$2,1),OR(Calendar!$K$4="*",N1180=Calendar!$K$4)),P1180*100+COUNTIFS($P$6:$P$3267,P1180,$Q$6:$Q$3267,"&lt;="&amp;Q1180,$N$6:$N$3267,Calendar!$K$4),"")</f>
        <v/>
      </c>
      <c r="W1180" s="47">
        <f>IF(AND(B1180=Queue!$C$4,OR(Queue!$K$4="*",N1180=Queue!$K$4)),Q1180,"")</f>
        <v/>
      </c>
    </row>
    <row r="1181">
      <c r="A1181" s="38">
        <f>IF(M1181="","",HYPERLINK("https://www.youtube.com/watch?v="&amp;M1181,"▶"))</f>
        <v/>
      </c>
      <c r="B1181" s="39">
        <f>IF(C1181&lt;&gt;"",C1181,IF(P1181&lt;=IFERROR(INDEX(tblChannels[Watched Through],MATCH(N1181,tblChannels[Channel ID],0)),0),"Watched","Unwatched"))</f>
        <v/>
      </c>
      <c r="C1181" s="40" t="n"/>
      <c r="D1181" s="41" t="n"/>
      <c r="E1181" s="42" t="n">
        <v>44645.5</v>
      </c>
      <c r="F1181" s="54" t="inlineStr">
        <is>
          <t>With the Carlins</t>
        </is>
      </c>
      <c r="G1181" t="inlineStr">
        <is>
          <t>We Started 75 Hard!</t>
        </is>
      </c>
      <c r="H1181" s="44" t="n">
        <v>0.01336805555555555</v>
      </c>
      <c r="I1181" s="45" t="n">
        <v>15538</v>
      </c>
      <c r="J1181" s="45" t="n">
        <v>1200</v>
      </c>
      <c r="K1181" s="45" t="n">
        <v>91</v>
      </c>
      <c r="L1181" s="46" t="n"/>
      <c r="M1181" s="47" t="n"/>
      <c r="N1181" s="47" t="inlineStr">
        <is>
          <t>UCVBTjN9WJU5Ac8yU7b2K-5g</t>
        </is>
      </c>
      <c r="O1181" s="48" t="n">
        <v>44645.66666666666</v>
      </c>
      <c r="P1181" s="49" t="n">
        <v>44645</v>
      </c>
      <c r="Q1181" s="47" t="n">
        <v>2087</v>
      </c>
      <c r="R1181" s="47" t="inlineStr">
        <is>
          <t>No Video ID yet</t>
        </is>
      </c>
      <c r="S1181" s="49" t="n"/>
      <c r="T1181" s="49" t="n"/>
      <c r="U1181" s="47" t="inlineStr">
        <is>
          <t>This week we work on the garden, start a fitness challenge, and make pancakes! Follow Us! :: I N S T A G R A M➜ and Ben Carlin #SuperCarlinBrothers #CarlinFamily #FamilyVlog</t>
        </is>
      </c>
      <c r="V1181" s="47">
        <f>IF(AND(P1181&gt;=Calendar!$K$2,P1181&lt;EDATE(Calendar!$K$2,1),OR(Calendar!$K$4="*",N1181=Calendar!$K$4)),P1181*100+COUNTIFS($P$6:$P$3267,P1181,$Q$6:$Q$3267,"&lt;="&amp;Q1181,$N$6:$N$3267,Calendar!$K$4),"")</f>
        <v/>
      </c>
      <c r="W1181" s="47">
        <f>IF(AND(B1181=Queue!$C$4,OR(Queue!$K$4="*",N1181=Queue!$K$4)),Q1181,"")</f>
        <v/>
      </c>
    </row>
    <row r="1182">
      <c r="A1182" s="38">
        <f>IF(M1182="","",HYPERLINK("https://www.youtube.com/watch?v="&amp;M1182,"▶"))</f>
        <v/>
      </c>
      <c r="B1182" s="39">
        <f>IF(C1182&lt;&gt;"",C1182,IF(P1182&lt;=IFERROR(INDEX(tblChannels[Watched Through],MATCH(N1182,tblChannels[Channel ID],0)),0),"Watched","Unwatched"))</f>
        <v/>
      </c>
      <c r="C1182" s="40" t="n"/>
      <c r="D1182" s="41" t="n"/>
      <c r="E1182" s="42" t="n">
        <v>44645.41666666666</v>
      </c>
      <c r="F1182" s="43" t="inlineStr">
        <is>
          <t>Popcorn Culture</t>
        </is>
      </c>
      <c r="G1182" t="inlineStr">
        <is>
          <t>Hiding Money From Ourselves | Popcorn Culture</t>
        </is>
      </c>
      <c r="H1182" s="44" t="n">
        <v>0.04684027777777778</v>
      </c>
      <c r="I1182" s="45" t="n">
        <v>8147</v>
      </c>
      <c r="J1182" s="45" t="n">
        <v>413</v>
      </c>
      <c r="K1182" s="45" t="n">
        <v>47</v>
      </c>
      <c r="L1182" s="46" t="n"/>
      <c r="M1182" s="47" t="n"/>
      <c r="N1182" s="47" t="inlineStr">
        <is>
          <t>UCHfIbq9thHPC8yrKjAdJgDA</t>
        </is>
      </c>
      <c r="O1182" s="48" t="n">
        <v>44645.58333333334</v>
      </c>
      <c r="P1182" s="49" t="n">
        <v>44645</v>
      </c>
      <c r="Q1182" s="47" t="n">
        <v>2086</v>
      </c>
      <c r="R1182" s="47" t="inlineStr">
        <is>
          <t>No Video ID yet</t>
        </is>
      </c>
      <c r="S1182" s="49" t="n"/>
      <c r="T1182" s="49" t="n"/>
      <c r="U1182" s="47" t="inlineStr">
        <is>
          <t>In the 120th episode of the Pop, Ben and J discuss Koi ponding, lecturing at Virginia Tech, building habits and reframing, J rock climbing, accidentally building wealth, selling lawn care items, J’s purple cow wallet, giving famous people cool gifts, trees, cutting boards, mattress, and Ben’s perspective on reality TV. Acorns: Famous cow artist - Woody Jackson: Grace Potter: Brad Paisley: Japanese Cherry Blossom: Get Your Carlin Brothers Buttered Pancake Candle NOW!: Love is Blind: The Bachelor: Ben’s Wick of the Peek - Atomic Habits: Koi Ponding = Starting a YouTube Channel Lemme Tell You About A Game Called Heatwave J “The Igniter” Carlin Hiding Money From Ourselves COW-culate It Nothin’ Like a Good Tree 00:00 - Intro, Finding Business Ventures 06:12 - Guest Lecturing 14:43 - Ben’s Wick of the Peek 32:20 - Lawn Mower and Weed Wacker 38:20 - Gifts for Grace Potter and Brad Paisley 44:12 - What’s Your Favorite Tree? 49:05 - CBC Ideas 56:16 - Reality TV</t>
        </is>
      </c>
      <c r="V1182" s="47">
        <f>IF(AND(P1182&gt;=Calendar!$K$2,P1182&lt;EDATE(Calendar!$K$2,1),OR(Calendar!$K$4="*",N1182=Calendar!$K$4)),P1182*100+COUNTIFS($P$6:$P$3267,P1182,$Q$6:$Q$3267,"&lt;="&amp;Q1182,$N$6:$N$3267,Calendar!$K$4),"")</f>
        <v/>
      </c>
      <c r="W1182" s="47">
        <f>IF(AND(B1182=Queue!$C$4,OR(Queue!$K$4="*",N1182=Queue!$K$4)),Q1182,"")</f>
        <v/>
      </c>
    </row>
    <row r="1183">
      <c r="A1183" s="38">
        <f>IF(M1183="","",HYPERLINK("https://www.youtube.com/watch?v="&amp;M1183,"▶"))</f>
        <v/>
      </c>
      <c r="B1183" s="39">
        <f>IF(C1183&lt;&gt;"",C1183,IF(P1183&lt;=IFERROR(INDEX(tblChannels[Watched Through],MATCH(N1183,tblChannels[Channel ID],0)),0),"Watched","Unwatched"))</f>
        <v/>
      </c>
      <c r="C1183" s="40" t="n"/>
      <c r="D1183" s="41" t="n"/>
      <c r="E1183" s="42" t="n">
        <v>44644.81458333333</v>
      </c>
      <c r="F1183" s="50" t="inlineStr">
        <is>
          <t>Super Carlin Brothers</t>
        </is>
      </c>
      <c r="G1183" t="inlineStr">
        <is>
          <t>How do Time-Turners Work? | Harry Potter Film Theory</t>
        </is>
      </c>
      <c r="H1183" s="44" t="n">
        <v>0.01265046296296296</v>
      </c>
      <c r="I1183" s="45" t="n">
        <v>463514</v>
      </c>
      <c r="J1183" s="45" t="n">
        <v>16390</v>
      </c>
      <c r="K1183" s="45" t="n">
        <v>1380</v>
      </c>
      <c r="L1183" s="46" t="n"/>
      <c r="M1183" s="47" t="n"/>
      <c r="N1183" s="47" t="inlineStr">
        <is>
          <t>UCKZo4N0lVPccBkSiuyVh4yg</t>
        </is>
      </c>
      <c r="O1183" s="48" t="n">
        <v>44644.98125</v>
      </c>
      <c r="P1183" s="49" t="n">
        <v>44644</v>
      </c>
      <c r="Q1183" s="47" t="n">
        <v>2085</v>
      </c>
      <c r="R1183" s="47" t="inlineStr">
        <is>
          <t>No Video ID yet</t>
        </is>
      </c>
      <c r="S1183" s="49" t="n"/>
      <c r="T1183" s="49" t="n"/>
      <c r="U1183" s="47" t="inlineStr">
        <is>
          <t>Go to and use code super to get 20% off your first monthly box. Today Ben dives into the Wizarding World of Harry Potter try and answer an age old question: How do Time-Turners work?</t>
        </is>
      </c>
      <c r="V1183" s="47">
        <f>IF(AND(P1183&gt;=Calendar!$K$2,P1183&lt;EDATE(Calendar!$K$2,1),OR(Calendar!$K$4="*",N1183=Calendar!$K$4)),P1183*100+COUNTIFS($P$6:$P$3267,P1183,$Q$6:$Q$3267,"&lt;="&amp;Q1183,$N$6:$N$3267,Calendar!$K$4),"")</f>
        <v/>
      </c>
      <c r="W1183" s="47">
        <f>IF(AND(B1183=Queue!$C$4,OR(Queue!$K$4="*",N1183=Queue!$K$4)),Q1183,"")</f>
        <v/>
      </c>
    </row>
    <row r="1184">
      <c r="A1184" s="38">
        <f>IF(M1184="","",HYPERLINK("https://www.youtube.com/watch?v="&amp;M1184,"▶"))</f>
        <v/>
      </c>
      <c r="B1184" s="39">
        <f>IF(C1184&lt;&gt;"",C1184,IF(P1184&lt;=IFERROR(INDEX(tblChannels[Watched Through],MATCH(N1184,tblChannels[Channel ID],0)),0),"Watched","Unwatched"))</f>
        <v/>
      </c>
      <c r="C1184" s="40" t="n"/>
      <c r="D1184" s="41" t="n"/>
      <c r="E1184" s="42" t="n">
        <v>44643.41666666666</v>
      </c>
      <c r="F1184" s="52" t="inlineStr">
        <is>
          <t>Super Carlin Gaming</t>
        </is>
      </c>
      <c r="G1184" t="inlineStr">
        <is>
          <t>THE LORD OF THE WOODS | Pokémon Legends: Arceus Nuzlocke #4</t>
        </is>
      </c>
      <c r="H1184" s="44" t="n">
        <v>0.02211805555555555</v>
      </c>
      <c r="I1184" s="45" t="n">
        <v>13514</v>
      </c>
      <c r="J1184" s="45" t="n">
        <v>805</v>
      </c>
      <c r="K1184" s="45" t="n">
        <v>174</v>
      </c>
      <c r="L1184" s="46" t="n"/>
      <c r="M1184" s="47" t="n"/>
      <c r="N1184" s="47" t="inlineStr">
        <is>
          <t>UCor_9jRnNNZVzTuQ92PKsaQ</t>
        </is>
      </c>
      <c r="O1184" s="48" t="n">
        <v>44643.58333333334</v>
      </c>
      <c r="P1184" s="49" t="n">
        <v>44643</v>
      </c>
      <c r="Q1184" s="47" t="n">
        <v>2084</v>
      </c>
      <c r="R1184" s="47" t="inlineStr">
        <is>
          <t>No Video ID yet</t>
        </is>
      </c>
      <c r="S1184" s="49" t="n"/>
      <c r="T1184" s="49" t="n"/>
      <c r="U1184" s="47" t="inlineStr">
        <is>
          <t>This week J, Mercury and the team prepare for their first noble battle against Kleavor! Can the team survive this powerful foe?!!</t>
        </is>
      </c>
      <c r="V1184" s="47">
        <f>IF(AND(P1184&gt;=Calendar!$K$2,P1184&lt;EDATE(Calendar!$K$2,1),OR(Calendar!$K$4="*",N1184=Calendar!$K$4)),P1184*100+COUNTIFS($P$6:$P$3267,P1184,$Q$6:$Q$3267,"&lt;="&amp;Q1184,$N$6:$N$3267,Calendar!$K$4),"")</f>
        <v/>
      </c>
      <c r="W1184" s="47">
        <f>IF(AND(B1184=Queue!$C$4,OR(Queue!$K$4="*",N1184=Queue!$K$4)),Q1184,"")</f>
        <v/>
      </c>
    </row>
    <row r="1185">
      <c r="A1185" s="38">
        <f>IF(M1185="","",HYPERLINK("https://www.youtube.com/watch?v="&amp;M1185,"▶"))</f>
        <v/>
      </c>
      <c r="B1185" s="39">
        <f>IF(C1185&lt;&gt;"",C1185,IF(P1185&lt;=IFERROR(INDEX(tblChannels[Watched Through],MATCH(N1185,tblChannels[Channel ID],0)),0),"Watched","Unwatched"))</f>
        <v/>
      </c>
      <c r="C1185" s="40" t="n"/>
      <c r="D1185" s="41" t="n"/>
      <c r="E1185" s="42" t="n">
        <v>44642.68263888889</v>
      </c>
      <c r="F1185" s="50" t="inlineStr">
        <is>
          <t>Super Carlin Brothers</t>
        </is>
      </c>
      <c r="G1185" t="inlineStr">
        <is>
          <t>Dumbledore’s Secret Weapon | Harry Potter Film Theory</t>
        </is>
      </c>
      <c r="H1185" s="44" t="n">
        <v>0.01055555555555556</v>
      </c>
      <c r="I1185" s="45" t="n">
        <v>212505</v>
      </c>
      <c r="J1185" s="45" t="n">
        <v>9733</v>
      </c>
      <c r="K1185" s="45" t="n">
        <v>840</v>
      </c>
      <c r="L1185" s="46" t="n"/>
      <c r="M1185" s="47" t="n"/>
      <c r="N1185" s="47" t="inlineStr">
        <is>
          <t>UCKZo4N0lVPccBkSiuyVh4yg</t>
        </is>
      </c>
      <c r="O1185" s="48" t="n">
        <v>44642.84930555556</v>
      </c>
      <c r="P1185" s="49" t="n">
        <v>44642</v>
      </c>
      <c r="Q1185" s="47" t="n">
        <v>2083</v>
      </c>
      <c r="R1185" s="47" t="inlineStr">
        <is>
          <t>No Video ID yet</t>
        </is>
      </c>
      <c r="S1185" s="49" t="n"/>
      <c r="T1185" s="49" t="n"/>
      <c r="U1185" s="47" t="inlineStr">
        <is>
          <t>Go to for 10% off plus free shipping. Today J dives into the Wizarding World of Harry Potter to uncover Credence’s true identity and reveal Dumbledore's SECRET Weapon! #SuperCarlinBrothers #HarryPotter #secretsofdumbledore</t>
        </is>
      </c>
      <c r="V1185" s="47">
        <f>IF(AND(P1185&gt;=Calendar!$K$2,P1185&lt;EDATE(Calendar!$K$2,1),OR(Calendar!$K$4="*",N1185=Calendar!$K$4)),P1185*100+COUNTIFS($P$6:$P$3267,P1185,$Q$6:$Q$3267,"&lt;="&amp;Q1185,$N$6:$N$3267,Calendar!$K$4),"")</f>
        <v/>
      </c>
      <c r="W1185" s="47">
        <f>IF(AND(B1185=Queue!$C$4,OR(Queue!$K$4="*",N1185=Queue!$K$4)),Q1185,"")</f>
        <v/>
      </c>
    </row>
    <row r="1186">
      <c r="A1186" s="38">
        <f>IF(M1186="","",HYPERLINK("https://www.youtube.com/watch?v="&amp;M1186,"▶"))</f>
        <v/>
      </c>
      <c r="B1186" s="39">
        <f>IF(C1186&lt;&gt;"",C1186,IF(P1186&lt;=IFERROR(INDEX(tblChannels[Watched Through],MATCH(N1186,tblChannels[Channel ID],0)),0),"Watched","Unwatched"))</f>
        <v/>
      </c>
      <c r="C1186" s="40" t="n"/>
      <c r="D1186" s="41" t="n"/>
      <c r="E1186" s="42" t="n">
        <v>44641.41666666666</v>
      </c>
      <c r="F1186" s="53" t="inlineStr">
        <is>
          <t>Jonathan Carlin</t>
        </is>
      </c>
      <c r="G1186" t="inlineStr">
        <is>
          <t>Celebrating Our Houseiversary!</t>
        </is>
      </c>
      <c r="H1186" s="44" t="n">
        <v>0.01012731481481481</v>
      </c>
      <c r="I1186" s="45" t="n">
        <v>14497</v>
      </c>
      <c r="J1186" s="45" t="n">
        <v>927</v>
      </c>
      <c r="K1186" s="45" t="n">
        <v>54</v>
      </c>
      <c r="L1186" s="46" t="n"/>
      <c r="M1186" s="47" t="n"/>
      <c r="N1186" s="47" t="inlineStr">
        <is>
          <t>UCYPKFe86e6nm4TVUYKLsFUQ</t>
        </is>
      </c>
      <c r="O1186" s="48" t="n">
        <v>44641.58333333334</v>
      </c>
      <c r="P1186" s="49" t="n">
        <v>44641</v>
      </c>
      <c r="Q1186" s="47" t="n">
        <v>2082</v>
      </c>
      <c r="R1186" s="47" t="inlineStr">
        <is>
          <t>No Video ID yet</t>
        </is>
      </c>
      <c r="S1186" s="49" t="n"/>
      <c r="T1186" s="49" t="n"/>
      <c r="U1186" s="47" t="inlineStr">
        <is>
          <t>This week J and Ben redecorate the SCB set and try new coffee flavors for Carlin Brothers Coffee. Back at the house we celebrate our houseiversary and have our first ever family movie night with the boys! Carlin Brothers Coffee :: Emily Mariko TikTok ::</t>
        </is>
      </c>
      <c r="V1186" s="47">
        <f>IF(AND(P1186&gt;=Calendar!$K$2,P1186&lt;EDATE(Calendar!$K$2,1),OR(Calendar!$K$4="*",N1186=Calendar!$K$4)),P1186*100+COUNTIFS($P$6:$P$3267,P1186,$Q$6:$Q$3267,"&lt;="&amp;Q1186,$N$6:$N$3267,Calendar!$K$4),"")</f>
        <v/>
      </c>
      <c r="W1186" s="47">
        <f>IF(AND(B1186=Queue!$C$4,OR(Queue!$K$4="*",N1186=Queue!$K$4)),Q1186,"")</f>
        <v/>
      </c>
    </row>
    <row r="1187">
      <c r="A1187" s="38">
        <f>IF(M1187="","",HYPERLINK("https://www.youtube.com/watch?v="&amp;M1187,"▶"))</f>
        <v/>
      </c>
      <c r="B1187" s="39">
        <f>IF(C1187&lt;&gt;"",C1187,IF(P1187&lt;=IFERROR(INDEX(tblChannels[Watched Through],MATCH(N1187,tblChannels[Channel ID],0)),0),"Watched","Unwatched"))</f>
        <v/>
      </c>
      <c r="C1187" s="40" t="n"/>
      <c r="D1187" s="41" t="n"/>
      <c r="E1187" s="42" t="n">
        <v>44638.5</v>
      </c>
      <c r="F1187" s="54" t="inlineStr">
        <is>
          <t>With the Carlins</t>
        </is>
      </c>
      <c r="G1187" t="inlineStr">
        <is>
          <t>Addison Receives A Family Heirloom</t>
        </is>
      </c>
      <c r="H1187" s="44" t="n">
        <v>0.01520833333333333</v>
      </c>
      <c r="I1187" s="45" t="n">
        <v>12394</v>
      </c>
      <c r="J1187" s="45" t="n">
        <v>970</v>
      </c>
      <c r="K1187" s="45" t="n">
        <v>52</v>
      </c>
      <c r="L1187" s="46" t="n"/>
      <c r="M1187" s="47" t="n"/>
      <c r="N1187" s="47" t="inlineStr">
        <is>
          <t>UCVBTjN9WJU5Ac8yU7b2K-5g</t>
        </is>
      </c>
      <c r="O1187" s="48" t="n">
        <v>44638.66666666666</v>
      </c>
      <c r="P1187" s="49" t="n">
        <v>44638</v>
      </c>
      <c r="Q1187" s="47" t="n">
        <v>2081</v>
      </c>
      <c r="R1187" s="47" t="inlineStr">
        <is>
          <t>No Video ID yet</t>
        </is>
      </c>
      <c r="S1187" s="49" t="n"/>
      <c r="T1187" s="49" t="n"/>
      <c r="U1187" s="47" t="inlineStr">
        <is>
          <t>This week we start a garden, build a climbing wall and get a really cool thing in the mail! Follow Us! :: I N S T A G R A M➜ and Ben Carlin #SuperCarlinBrothers #CarlinFamily #FamilyVlog</t>
        </is>
      </c>
      <c r="V1187" s="47">
        <f>IF(AND(P1187&gt;=Calendar!$K$2,P1187&lt;EDATE(Calendar!$K$2,1),OR(Calendar!$K$4="*",N1187=Calendar!$K$4)),P1187*100+COUNTIFS($P$6:$P$3267,P1187,$Q$6:$Q$3267,"&lt;="&amp;Q1187,$N$6:$N$3267,Calendar!$K$4),"")</f>
        <v/>
      </c>
      <c r="W1187" s="47">
        <f>IF(AND(B1187=Queue!$C$4,OR(Queue!$K$4="*",N1187=Queue!$K$4)),Q1187,"")</f>
        <v/>
      </c>
    </row>
    <row r="1188">
      <c r="A1188" s="38">
        <f>IF(M1188="","",HYPERLINK("https://www.youtube.com/watch?v="&amp;M1188,"▶"))</f>
        <v/>
      </c>
      <c r="B1188" s="39">
        <f>IF(C1188&lt;&gt;"",C1188,IF(P1188&lt;=IFERROR(INDEX(tblChannels[Watched Through],MATCH(N1188,tblChannels[Channel ID],0)),0),"Watched","Unwatched"))</f>
        <v/>
      </c>
      <c r="C1188" s="40" t="n"/>
      <c r="D1188" s="41" t="n"/>
      <c r="E1188" s="42" t="n">
        <v>44638.41666666666</v>
      </c>
      <c r="F1188" s="43" t="inlineStr">
        <is>
          <t>Popcorn Culture</t>
        </is>
      </c>
      <c r="G1188" t="inlineStr">
        <is>
          <t>WHEELS OR DOORS?? | Popcorn Culture</t>
        </is>
      </c>
      <c r="H1188" s="44" t="n">
        <v>0.0475</v>
      </c>
      <c r="I1188" s="45" t="n">
        <v>7535</v>
      </c>
      <c r="J1188" s="45" t="n">
        <v>382</v>
      </c>
      <c r="K1188" s="45" t="n">
        <v>34</v>
      </c>
      <c r="L1188" s="46" t="n"/>
      <c r="M1188" s="47" t="n"/>
      <c r="N1188" s="47" t="inlineStr">
        <is>
          <t>UCHfIbq9thHPC8yrKjAdJgDA</t>
        </is>
      </c>
      <c r="O1188" s="48" t="n">
        <v>44638.58333333334</v>
      </c>
      <c r="P1188" s="49" t="n">
        <v>44638</v>
      </c>
      <c r="Q1188" s="47" t="n">
        <v>2080</v>
      </c>
      <c r="R1188" s="47" t="inlineStr">
        <is>
          <t>No Video ID yet</t>
        </is>
      </c>
      <c r="S1188" s="49" t="n"/>
      <c r="T1188" s="49" t="n"/>
      <c r="U1188" s="47" t="inlineStr">
        <is>
          <t>In the 119th episode of the Pop, Ben and J discuss interview tactics, presidential debates, Pokemon card strategy, Ben’s Entrepreneurial Management class, space tube explained, progress with the 75 Hard, J’s half gallon water bottle, glamping, the wheels vs doors debate, and invention vs. discovery. Ted Talk on Space Elevator - The Martian- Project Hail Mary- 75 Hard - How to Beat Mew A Metapod Deck?? Tethered to an Asteroid That Half Gallon Life A Competition Party Millennials Walking Around Like They Rent the Place What are Notes if not Numbers? 00:00 - Intro, Interviews 06:06 - Pokemon Cards and Ben’s Entrepreneurial Management Class 20:45 -Space Tubes 28:06 - 75 Hard Started 37:55 - Glamping! 51:16 - Wheel’s vs. Doors, Invention vs. Discovery</t>
        </is>
      </c>
      <c r="V1188" s="47">
        <f>IF(AND(P1188&gt;=Calendar!$K$2,P1188&lt;EDATE(Calendar!$K$2,1),OR(Calendar!$K$4="*",N1188=Calendar!$K$4)),P1188*100+COUNTIFS($P$6:$P$3267,P1188,$Q$6:$Q$3267,"&lt;="&amp;Q1188,$N$6:$N$3267,Calendar!$K$4),"")</f>
        <v/>
      </c>
      <c r="W1188" s="47">
        <f>IF(AND(B1188=Queue!$C$4,OR(Queue!$K$4="*",N1188=Queue!$K$4)),Q1188,"")</f>
        <v/>
      </c>
    </row>
    <row r="1189">
      <c r="A1189" s="38">
        <f>IF(M1189="","",HYPERLINK("https://www.youtube.com/watch?v="&amp;M1189,"▶"))</f>
        <v/>
      </c>
      <c r="B1189" s="39">
        <f>IF(C1189&lt;&gt;"",C1189,IF(P1189&lt;=IFERROR(INDEX(tblChannels[Watched Through],MATCH(N1189,tblChannels[Channel ID],0)),0),"Watched","Unwatched"))</f>
        <v/>
      </c>
      <c r="C1189" s="40" t="n"/>
      <c r="D1189" s="41" t="n"/>
      <c r="E1189" s="42" t="n">
        <v>44637.68819444445</v>
      </c>
      <c r="F1189" s="50" t="inlineStr">
        <is>
          <t>Super Carlin Brothers</t>
        </is>
      </c>
      <c r="G1189" t="inlineStr">
        <is>
          <t>How Turning Red Fits Into The Pixar Theory</t>
        </is>
      </c>
      <c r="H1189" s="44" t="n">
        <v>0.01234953703703704</v>
      </c>
      <c r="I1189" s="45" t="n">
        <v>381951</v>
      </c>
      <c r="J1189" s="45" t="n">
        <v>16297</v>
      </c>
      <c r="K1189" s="45" t="n">
        <v>1350</v>
      </c>
      <c r="L1189" s="46" t="n"/>
      <c r="M1189" s="47" t="n"/>
      <c r="N1189" s="47" t="inlineStr">
        <is>
          <t>UCKZo4N0lVPccBkSiuyVh4yg</t>
        </is>
      </c>
      <c r="O1189" s="48" t="n">
        <v>44637.85486111111</v>
      </c>
      <c r="P1189" s="49" t="n">
        <v>44637</v>
      </c>
      <c r="Q1189" s="47" t="n">
        <v>2079</v>
      </c>
      <c r="R1189" s="47" t="inlineStr">
        <is>
          <t>No Video ID yet</t>
        </is>
      </c>
      <c r="S1189" s="49" t="n"/>
      <c r="T1189" s="49" t="n"/>
      <c r="U1189" s="47" t="inlineStr">
        <is>
          <t>Today Ben dives into the wide world of the Pixar Theory to uncover how Turning Red fits into the Pixar Theory! Read Jon Negroni's original Pixar Theory Article :: #SuperCarlinBrothers #Pixar #TurningRed</t>
        </is>
      </c>
      <c r="V1189" s="47">
        <f>IF(AND(P1189&gt;=Calendar!$K$2,P1189&lt;EDATE(Calendar!$K$2,1),OR(Calendar!$K$4="*",N1189=Calendar!$K$4)),P1189*100+COUNTIFS($P$6:$P$3267,P1189,$Q$6:$Q$3267,"&lt;="&amp;Q1189,$N$6:$N$3267,Calendar!$K$4),"")</f>
        <v/>
      </c>
      <c r="W1189" s="47">
        <f>IF(AND(B1189=Queue!$C$4,OR(Queue!$K$4="*",N1189=Queue!$K$4)),Q1189,"")</f>
        <v/>
      </c>
    </row>
    <row r="1190">
      <c r="A1190" s="38">
        <f>IF(M1190="","",HYPERLINK("https://www.youtube.com/watch?v="&amp;M1190,"▶"))</f>
        <v/>
      </c>
      <c r="B1190" s="39">
        <f>IF(C1190&lt;&gt;"",C1190,IF(P1190&lt;=IFERROR(INDEX(tblChannels[Watched Through],MATCH(N1190,tblChannels[Channel ID],0)),0),"Watched","Unwatched"))</f>
        <v/>
      </c>
      <c r="C1190" s="40" t="n"/>
      <c r="D1190" s="41" t="n"/>
      <c r="E1190" s="42" t="n">
        <v>44636.41666666666</v>
      </c>
      <c r="F1190" s="52" t="inlineStr">
        <is>
          <t>Super Carlin Gaming</t>
        </is>
      </c>
      <c r="G1190" t="inlineStr">
        <is>
          <t>THE SWORD AND THE FPOON |  Pokémon Legends: Arceus Nuzlocke #3</t>
        </is>
      </c>
      <c r="H1190" s="44" t="n">
        <v>0.03280092592592593</v>
      </c>
      <c r="I1190" s="45" t="n">
        <v>18766</v>
      </c>
      <c r="J1190" s="45" t="n">
        <v>887</v>
      </c>
      <c r="K1190" s="45" t="n">
        <v>224</v>
      </c>
      <c r="L1190" s="46" t="n"/>
      <c r="M1190" s="47" t="n"/>
      <c r="N1190" s="47" t="inlineStr">
        <is>
          <t>UCor_9jRnNNZVzTuQ92PKsaQ</t>
        </is>
      </c>
      <c r="O1190" s="48" t="n">
        <v>44636.58333333334</v>
      </c>
      <c r="P1190" s="49" t="n">
        <v>44636</v>
      </c>
      <c r="Q1190" s="47" t="n">
        <v>2078</v>
      </c>
      <c r="R1190" s="47" t="inlineStr">
        <is>
          <t>No Video ID yet</t>
        </is>
      </c>
      <c r="S1190" s="49" t="n"/>
      <c r="T1190" s="49" t="n"/>
      <c r="U1190" s="47" t="inlineStr">
        <is>
          <t>This week J and the team deal with the loss of a team member on their way to fight the next big Pokémon. Will they catch any new friends along the way?!?</t>
        </is>
      </c>
      <c r="V1190" s="47">
        <f>IF(AND(P1190&gt;=Calendar!$K$2,P1190&lt;EDATE(Calendar!$K$2,1),OR(Calendar!$K$4="*",N1190=Calendar!$K$4)),P1190*100+COUNTIFS($P$6:$P$3267,P1190,$Q$6:$Q$3267,"&lt;="&amp;Q1190,$N$6:$N$3267,Calendar!$K$4),"")</f>
        <v/>
      </c>
      <c r="W1190" s="47">
        <f>IF(AND(B1190=Queue!$C$4,OR(Queue!$K$4="*",N1190=Queue!$K$4)),Q1190,"")</f>
        <v/>
      </c>
    </row>
    <row r="1191">
      <c r="A1191" s="38">
        <f>IF(M1191="","",HYPERLINK("https://www.youtube.com/watch?v="&amp;M1191,"▶"))</f>
        <v/>
      </c>
      <c r="B1191" s="39">
        <f>IF(C1191&lt;&gt;"",C1191,IF(P1191&lt;=IFERROR(INDEX(tblChannels[Watched Through],MATCH(N1191,tblChannels[Channel ID],0)),0),"Watched","Unwatched"))</f>
        <v/>
      </c>
      <c r="C1191" s="40" t="n"/>
      <c r="D1191" s="41" t="n"/>
      <c r="E1191" s="42" t="n">
        <v>44635.77569444444</v>
      </c>
      <c r="F1191" s="50" t="inlineStr">
        <is>
          <t>Super Carlin Brothers</t>
        </is>
      </c>
      <c r="G1191" t="inlineStr">
        <is>
          <t>Why You NEED To Watch Pixar's Turning Red! | J vs Ben: REVIEW</t>
        </is>
      </c>
      <c r="H1191" s="44" t="n">
        <v>0.03431712962962963</v>
      </c>
      <c r="I1191" s="45" t="n">
        <v>139024</v>
      </c>
      <c r="J1191" s="45" t="n">
        <v>5992</v>
      </c>
      <c r="K1191" s="45" t="n">
        <v>1055</v>
      </c>
      <c r="L1191" s="46" t="n"/>
      <c r="M1191" s="47" t="n"/>
      <c r="N1191" s="47" t="inlineStr">
        <is>
          <t>UCKZo4N0lVPccBkSiuyVh4yg</t>
        </is>
      </c>
      <c r="O1191" s="48" t="n">
        <v>44635.94236111111</v>
      </c>
      <c r="P1191" s="49" t="n">
        <v>44635</v>
      </c>
      <c r="Q1191" s="47" t="n">
        <v>2077</v>
      </c>
      <c r="R1191" s="47" t="inlineStr">
        <is>
          <t>No Video ID yet</t>
        </is>
      </c>
      <c r="S1191" s="49" t="n"/>
      <c r="T1191" s="49" t="n"/>
      <c r="U1191" s="47" t="inlineStr">
        <is>
          <t>Go to to get 3 months free when you buy a 1-year package. Go to and use code JVSB to get 3 months free with a 3-month subscription. Today J and Ben give their full spoiler review of Disney Pixar’s latest movie to drop on Disney Plus: Turning Red! Is it their new favorite Pixar movie?! Pancake Common Room Candle :: #SuperCarlinBrothers #Pixar #TurningRed</t>
        </is>
      </c>
      <c r="V1191" s="47">
        <f>IF(AND(P1191&gt;=Calendar!$K$2,P1191&lt;EDATE(Calendar!$K$2,1),OR(Calendar!$K$4="*",N1191=Calendar!$K$4)),P1191*100+COUNTIFS($P$6:$P$3267,P1191,$Q$6:$Q$3267,"&lt;="&amp;Q1191,$N$6:$N$3267,Calendar!$K$4),"")</f>
        <v/>
      </c>
      <c r="W1191" s="47">
        <f>IF(AND(B1191=Queue!$C$4,OR(Queue!$K$4="*",N1191=Queue!$K$4)),Q1191,"")</f>
        <v/>
      </c>
    </row>
    <row r="1192">
      <c r="A1192" s="38">
        <f>IF(M1192="","",HYPERLINK("https://www.youtube.com/watch?v="&amp;M1192,"▶"))</f>
        <v/>
      </c>
      <c r="B1192" s="39">
        <f>IF(C1192&lt;&gt;"",C1192,IF(P1192&lt;=IFERROR(INDEX(tblChannels[Watched Through],MATCH(N1192,tblChannels[Channel ID],0)),0),"Watched","Unwatched"))</f>
        <v/>
      </c>
      <c r="C1192" s="40" t="n"/>
      <c r="D1192" s="41" t="n"/>
      <c r="E1192" s="42" t="n">
        <v>44634.42708333334</v>
      </c>
      <c r="F1192" s="53" t="inlineStr">
        <is>
          <t>Jonathan Carlin</t>
        </is>
      </c>
      <c r="G1192" t="inlineStr">
        <is>
          <t>TRAMPOLINE PARK!</t>
        </is>
      </c>
      <c r="H1192" s="44" t="n">
        <v>0.01381944444444444</v>
      </c>
      <c r="I1192" s="45" t="n">
        <v>14600</v>
      </c>
      <c r="J1192" s="45" t="n">
        <v>984</v>
      </c>
      <c r="K1192" s="45" t="n">
        <v>0</v>
      </c>
      <c r="L1192" s="46" t="n"/>
      <c r="M1192" s="47" t="n"/>
      <c r="N1192" s="47" t="inlineStr">
        <is>
          <t>UCYPKFe86e6nm4TVUYKLsFUQ</t>
        </is>
      </c>
      <c r="O1192" s="48" t="n">
        <v>44634.59375</v>
      </c>
      <c r="P1192" s="49" t="n">
        <v>44634</v>
      </c>
      <c r="Q1192" s="47" t="n">
        <v>2076</v>
      </c>
      <c r="R1192" s="47" t="inlineStr">
        <is>
          <t>No Video ID yet</t>
        </is>
      </c>
      <c r="S1192" s="49" t="n"/>
      <c r="T1192" s="49" t="n"/>
      <c r="U1192" s="47" t="inlineStr">
        <is>
          <t>This week J and the fam have several picnics, visit the playground, open some Pokemon cards AND hit up a trampoline park for the first time ever!</t>
        </is>
      </c>
      <c r="V1192" s="47">
        <f>IF(AND(P1192&gt;=Calendar!$K$2,P1192&lt;EDATE(Calendar!$K$2,1),OR(Calendar!$K$4="*",N1192=Calendar!$K$4)),P1192*100+COUNTIFS($P$6:$P$3267,P1192,$Q$6:$Q$3267,"&lt;="&amp;Q1192,$N$6:$N$3267,Calendar!$K$4),"")</f>
        <v/>
      </c>
      <c r="W1192" s="47">
        <f>IF(AND(B1192=Queue!$C$4,OR(Queue!$K$4="*",N1192=Queue!$K$4)),Q1192,"")</f>
        <v/>
      </c>
    </row>
    <row r="1193">
      <c r="A1193" s="38">
        <f>IF(M1193="","",HYPERLINK("https://www.youtube.com/watch?v="&amp;M1193,"▶"))</f>
        <v/>
      </c>
      <c r="B1193" s="39">
        <f>IF(C1193&lt;&gt;"",C1193,IF(P1193&lt;=IFERROR(INDEX(tblChannels[Watched Through],MATCH(N1193,tblChannels[Channel ID],0)),0),"Watched","Unwatched"))</f>
        <v/>
      </c>
      <c r="C1193" s="40" t="n"/>
      <c r="D1193" s="41" t="n"/>
      <c r="E1193" s="42" t="n">
        <v>44631.67291666667</v>
      </c>
      <c r="F1193" s="54" t="inlineStr">
        <is>
          <t>With the Carlins</t>
        </is>
      </c>
      <c r="G1193" t="inlineStr">
        <is>
          <t>Addison's First Trip To Disney World!</t>
        </is>
      </c>
      <c r="H1193" s="44" t="n">
        <v>0.02001157407407407</v>
      </c>
      <c r="I1193" s="45" t="n">
        <v>16865</v>
      </c>
      <c r="J1193" s="45" t="n">
        <v>1116</v>
      </c>
      <c r="K1193" s="45" t="n">
        <v>70</v>
      </c>
      <c r="L1193" s="46" t="n"/>
      <c r="M1193" s="47" t="n"/>
      <c r="N1193" s="47" t="inlineStr">
        <is>
          <t>UCVBTjN9WJU5Ac8yU7b2K-5g</t>
        </is>
      </c>
      <c r="O1193" s="48" t="n">
        <v>44631.88125</v>
      </c>
      <c r="P1193" s="49" t="n">
        <v>44631</v>
      </c>
      <c r="Q1193" s="47" t="n">
        <v>2075</v>
      </c>
      <c r="R1193" s="47" t="inlineStr">
        <is>
          <t>No Video ID yet</t>
        </is>
      </c>
      <c r="S1193" s="49" t="n"/>
      <c r="T1193" s="49" t="n"/>
      <c r="U1193" s="47" t="inlineStr">
        <is>
          <t>This week Addy and Ally and I go to DISNEY WORLD! Follow Us! :: I N S T A G R A M➜ and Ben Carlin #SuperCarlinBrothers #CarlinFamily #FamilyVlog</t>
        </is>
      </c>
      <c r="V1193" s="47">
        <f>IF(AND(P1193&gt;=Calendar!$K$2,P1193&lt;EDATE(Calendar!$K$2,1),OR(Calendar!$K$4="*",N1193=Calendar!$K$4)),P1193*100+COUNTIFS($P$6:$P$3267,P1193,$Q$6:$Q$3267,"&lt;="&amp;Q1193,$N$6:$N$3267,Calendar!$K$4),"")</f>
        <v/>
      </c>
      <c r="W1193" s="47">
        <f>IF(AND(B1193=Queue!$C$4,OR(Queue!$K$4="*",N1193=Queue!$K$4)),Q1193,"")</f>
        <v/>
      </c>
    </row>
    <row r="1194">
      <c r="A1194" s="38">
        <f>IF(M1194="","",HYPERLINK("https://www.youtube.com/watch?v="&amp;M1194,"▶"))</f>
        <v/>
      </c>
      <c r="B1194" s="39">
        <f>IF(C1194&lt;&gt;"",C1194,IF(P1194&lt;=IFERROR(INDEX(tblChannels[Watched Through],MATCH(N1194,tblChannels[Channel ID],0)),0),"Watched","Unwatched"))</f>
        <v/>
      </c>
      <c r="C1194" s="40" t="n"/>
      <c r="D1194" s="41" t="n"/>
      <c r="E1194" s="42" t="n">
        <v>44631.41666666666</v>
      </c>
      <c r="F1194" s="43" t="inlineStr">
        <is>
          <t>Popcorn Culture</t>
        </is>
      </c>
      <c r="G1194" t="inlineStr">
        <is>
          <t>A Straw to Space | Popcorn Culture</t>
        </is>
      </c>
      <c r="H1194" s="44" t="n">
        <v>0.04513888888888889</v>
      </c>
      <c r="I1194" s="45" t="n">
        <v>7831</v>
      </c>
      <c r="J1194" s="45" t="n">
        <v>407</v>
      </c>
      <c r="K1194" s="45" t="n">
        <v>67</v>
      </c>
      <c r="L1194" s="46" t="n"/>
      <c r="M1194" s="47" t="n"/>
      <c r="N1194" s="47" t="inlineStr">
        <is>
          <t>UCHfIbq9thHPC8yrKjAdJgDA</t>
        </is>
      </c>
      <c r="O1194" s="48" t="n">
        <v>44631.625</v>
      </c>
      <c r="P1194" s="49" t="n">
        <v>44631</v>
      </c>
      <c r="Q1194" s="47" t="n">
        <v>2074</v>
      </c>
      <c r="R1194" s="47" t="inlineStr">
        <is>
          <t>No Video ID yet</t>
        </is>
      </c>
      <c r="S1194" s="49" t="n"/>
      <c r="T1194" s="49" t="n"/>
      <c r="U1194" s="47" t="inlineStr">
        <is>
          <t>In the 118th episode of the pop, Ben and J discuss Ben being out of office, penguins, Ze Frank, a structure to get to space, composting, gardening, wellness, 75 Hard Lifestyle Go follow @hi_my_name_is_riles_jr. on Instagram: Penguin Hockey Team - Ze Frank - True Facts Youtube Playlist - True Facts about Ze Frank - Pogs (aka Milk Caps?) - Dunning-Kruger Effect - 75 Hard - I Don’t Have Penguins Do You Remember Pogs? Imagine Staring thru a Rainbow at a Palm Tree Speaking of Composting 00:00 - Intro, Ben’s Absence 03:27 - Swiss Cheese 08:06 - Fun Facts about Humans 14:22 - Building a Structure to Space 27:28 - Composting and Gardening 47:28 - Wellness</t>
        </is>
      </c>
      <c r="V1194" s="47">
        <f>IF(AND(P1194&gt;=Calendar!$K$2,P1194&lt;EDATE(Calendar!$K$2,1),OR(Calendar!$K$4="*",N1194=Calendar!$K$4)),P1194*100+COUNTIFS($P$6:$P$3267,P1194,$Q$6:$Q$3267,"&lt;="&amp;Q1194,$N$6:$N$3267,Calendar!$K$4),"")</f>
        <v/>
      </c>
      <c r="W1194" s="47">
        <f>IF(AND(B1194=Queue!$C$4,OR(Queue!$K$4="*",N1194=Queue!$K$4)),Q1194,"")</f>
        <v/>
      </c>
    </row>
    <row r="1195">
      <c r="A1195" s="38">
        <f>IF(M1195="","",HYPERLINK("https://www.youtube.com/watch?v="&amp;M1195,"▶"))</f>
        <v/>
      </c>
      <c r="B1195" s="39">
        <f>IF(C1195&lt;&gt;"",C1195,IF(P1195&lt;=IFERROR(INDEX(tblChannels[Watched Through],MATCH(N1195,tblChannels[Channel ID],0)),0),"Watched","Unwatched"))</f>
        <v/>
      </c>
      <c r="C1195" s="40" t="n"/>
      <c r="D1195" s="41" t="n"/>
      <c r="E1195" s="42" t="n">
        <v>44630.68680555555</v>
      </c>
      <c r="F1195" s="50" t="inlineStr">
        <is>
          <t>Super Carlin Brothers</t>
        </is>
      </c>
      <c r="G1195" t="inlineStr">
        <is>
          <t>How Did Dumbledore Put The Stone In The Mirror? | Harry Potter Film Theory</t>
        </is>
      </c>
      <c r="H1195" s="44" t="n">
        <v>0.01145833333333333</v>
      </c>
      <c r="I1195" s="45" t="n">
        <v>392413</v>
      </c>
      <c r="J1195" s="45" t="n">
        <v>15658</v>
      </c>
      <c r="K1195" s="45" t="n">
        <v>1342</v>
      </c>
      <c r="L1195" s="46" t="n"/>
      <c r="M1195" s="47" t="n"/>
      <c r="N1195" s="47" t="inlineStr">
        <is>
          <t>UCKZo4N0lVPccBkSiuyVh4yg</t>
        </is>
      </c>
      <c r="O1195" s="48" t="n">
        <v>44630.89513888889</v>
      </c>
      <c r="P1195" s="49" t="n">
        <v>44630</v>
      </c>
      <c r="Q1195" s="47" t="n">
        <v>2073</v>
      </c>
      <c r="R1195" s="47" t="inlineStr">
        <is>
          <t>No Video ID yet</t>
        </is>
      </c>
      <c r="S1195" s="49" t="n"/>
      <c r="T1195" s="49" t="n"/>
      <c r="U1195" s="47" t="inlineStr">
        <is>
          <t>Go to and enter code SUPER at checkout for 20% off your first box! Today Ben dives into the Wizarding World of Harry Potter to try and determining how Dumbledore managed to get the Philosopher’s Stone into the Mirror of Erised!</t>
        </is>
      </c>
      <c r="V1195" s="47">
        <f>IF(AND(P1195&gt;=Calendar!$K$2,P1195&lt;EDATE(Calendar!$K$2,1),OR(Calendar!$K$4="*",N1195=Calendar!$K$4)),P1195*100+COUNTIFS($P$6:$P$3267,P1195,$Q$6:$Q$3267,"&lt;="&amp;Q1195,$N$6:$N$3267,Calendar!$K$4),"")</f>
        <v/>
      </c>
      <c r="W1195" s="47">
        <f>IF(AND(B1195=Queue!$C$4,OR(Queue!$K$4="*",N1195=Queue!$K$4)),Q1195,"")</f>
        <v/>
      </c>
    </row>
    <row r="1196">
      <c r="A1196" s="38">
        <f>IF(M1196="","",HYPERLINK("https://www.youtube.com/watch?v="&amp;M1196,"▶"))</f>
        <v/>
      </c>
      <c r="B1196" s="39">
        <f>IF(C1196&lt;&gt;"",C1196,IF(P1196&lt;=IFERROR(INDEX(tblChannels[Watched Through],MATCH(N1196,tblChannels[Channel ID],0)),0),"Watched","Unwatched"))</f>
        <v/>
      </c>
      <c r="C1196" s="40" t="n"/>
      <c r="D1196" s="41" t="n"/>
      <c r="E1196" s="42" t="n">
        <v>44629.41666666666</v>
      </c>
      <c r="F1196" s="52" t="inlineStr">
        <is>
          <t>Super Carlin Gaming</t>
        </is>
      </c>
      <c r="G1196" t="inlineStr">
        <is>
          <t>THE TUNE OF HORROR |  Pokémon Legends: Arceus Nuzlocke #2</t>
        </is>
      </c>
      <c r="H1196" s="44" t="n">
        <v>0.03953703703703704</v>
      </c>
      <c r="I1196" s="45" t="n">
        <v>26801</v>
      </c>
      <c r="J1196" s="45" t="n">
        <v>1242</v>
      </c>
      <c r="K1196" s="45" t="n">
        <v>393</v>
      </c>
      <c r="L1196" s="46" t="n"/>
      <c r="M1196" s="47" t="n"/>
      <c r="N1196" s="47" t="inlineStr">
        <is>
          <t>UCor_9jRnNNZVzTuQ92PKsaQ</t>
        </is>
      </c>
      <c r="O1196" s="48" t="n">
        <v>44629.625</v>
      </c>
      <c r="P1196" s="49" t="n">
        <v>44629</v>
      </c>
      <c r="Q1196" s="47" t="n">
        <v>2072</v>
      </c>
      <c r="R1196" s="47" t="inlineStr">
        <is>
          <t>No Video ID yet</t>
        </is>
      </c>
      <c r="S1196" s="49" t="n"/>
      <c r="T1196" s="49" t="n"/>
      <c r="U1196" s="47" t="inlineStr">
        <is>
          <t>This week J catches new friends and heads towards his first boss battle with an Alpha Kricketune! Will the team prevail or will they head home with a singing a sad tune?</t>
        </is>
      </c>
      <c r="V1196" s="47">
        <f>IF(AND(P1196&gt;=Calendar!$K$2,P1196&lt;EDATE(Calendar!$K$2,1),OR(Calendar!$K$4="*",N1196=Calendar!$K$4)),P1196*100+COUNTIFS($P$6:$P$3267,P1196,$Q$6:$Q$3267,"&lt;="&amp;Q1196,$N$6:$N$3267,Calendar!$K$4),"")</f>
        <v/>
      </c>
      <c r="W1196" s="47">
        <f>IF(AND(B1196=Queue!$C$4,OR(Queue!$K$4="*",N1196=Queue!$K$4)),Q1196,"")</f>
        <v/>
      </c>
    </row>
    <row r="1197">
      <c r="A1197" s="38">
        <f>IF(M1197="","",HYPERLINK("https://www.youtube.com/watch?v="&amp;M1197,"▶"))</f>
        <v/>
      </c>
      <c r="B1197" s="39">
        <f>IF(C1197&lt;&gt;"",C1197,IF(P1197&lt;=IFERROR(INDEX(tblChannels[Watched Through],MATCH(N1197,tblChannels[Channel ID],0)),0),"Watched","Unwatched"))</f>
        <v/>
      </c>
      <c r="C1197" s="40" t="n"/>
      <c r="D1197" s="41" t="n"/>
      <c r="E1197" s="42" t="n">
        <v>44628.66875</v>
      </c>
      <c r="F1197" s="50" t="inlineStr">
        <is>
          <t>Super Carlin Brothers</t>
        </is>
      </c>
      <c r="G1197" t="inlineStr">
        <is>
          <t>Pokémon’s LEAST Favorite Legendary Pokémon</t>
        </is>
      </c>
      <c r="H1197" s="44" t="n">
        <v>0.01422453703703704</v>
      </c>
      <c r="I1197" s="45" t="n">
        <v>90743</v>
      </c>
      <c r="J1197" s="45" t="n">
        <v>5230</v>
      </c>
      <c r="K1197" s="45" t="n">
        <v>693</v>
      </c>
      <c r="L1197" s="46" t="n"/>
      <c r="M1197" s="47" t="n"/>
      <c r="N1197" s="47" t="inlineStr">
        <is>
          <t>UCKZo4N0lVPccBkSiuyVh4yg</t>
        </is>
      </c>
      <c r="O1197" s="48" t="n">
        <v>44628.87708333333</v>
      </c>
      <c r="P1197" s="49" t="n">
        <v>44628</v>
      </c>
      <c r="Q1197" s="47" t="n">
        <v>2071</v>
      </c>
      <c r="R1197" s="47" t="inlineStr">
        <is>
          <t>No Video ID yet</t>
        </is>
      </c>
      <c r="S1197" s="49" t="n"/>
      <c r="T1197" s="49" t="n"/>
      <c r="U1197" s="47" t="inlineStr">
        <is>
          <t>Go to and use code SUPERCARLIN to claim your special offer today! Today J dives into the world of Pokémon to try and determine the Pokémon companies LEAST Favorite Legendary Pokemon of all time. They may be Legendary but does that not make their plight that much more tragic? #SuperCarlinBrothers #Pokemon</t>
        </is>
      </c>
      <c r="V1197" s="47">
        <f>IF(AND(P1197&gt;=Calendar!$K$2,P1197&lt;EDATE(Calendar!$K$2,1),OR(Calendar!$K$4="*",N1197=Calendar!$K$4)),P1197*100+COUNTIFS($P$6:$P$3267,P1197,$Q$6:$Q$3267,"&lt;="&amp;Q1197,$N$6:$N$3267,Calendar!$K$4),"")</f>
        <v/>
      </c>
      <c r="W1197" s="47">
        <f>IF(AND(B1197=Queue!$C$4,OR(Queue!$K$4="*",N1197=Queue!$K$4)),Q1197,"")</f>
        <v/>
      </c>
    </row>
    <row r="1198">
      <c r="A1198" s="38">
        <f>IF(M1198="","",HYPERLINK("https://www.youtube.com/watch?v="&amp;M1198,"▶"))</f>
        <v/>
      </c>
      <c r="B1198" s="39">
        <f>IF(C1198&lt;&gt;"",C1198,IF(P1198&lt;=IFERROR(INDEX(tblChannels[Watched Through],MATCH(N1198,tblChannels[Channel ID],0)),0),"Watched","Unwatched"))</f>
        <v/>
      </c>
      <c r="C1198" s="40" t="n"/>
      <c r="D1198" s="41" t="n"/>
      <c r="E1198" s="42" t="n">
        <v>44627.41666666666</v>
      </c>
      <c r="F1198" s="53" t="inlineStr">
        <is>
          <t>Jonathan Carlin</t>
        </is>
      </c>
      <c r="G1198" t="inlineStr">
        <is>
          <t>Our Trip on Star Wars: Galactic Starcruiser!</t>
        </is>
      </c>
      <c r="H1198" s="44" t="n">
        <v>0.02077546296296296</v>
      </c>
      <c r="I1198" s="45" t="n">
        <v>24617</v>
      </c>
      <c r="J1198" s="45" t="n">
        <v>1315</v>
      </c>
      <c r="K1198" s="45" t="n">
        <v>103</v>
      </c>
      <c r="L1198" s="46" t="n"/>
      <c r="M1198" s="47" t="n"/>
      <c r="N1198" s="47" t="inlineStr">
        <is>
          <t>UCYPKFe86e6nm4TVUYKLsFUQ</t>
        </is>
      </c>
      <c r="O1198" s="48" t="n">
        <v>44627.625</v>
      </c>
      <c r="P1198" s="49" t="n">
        <v>44627</v>
      </c>
      <c r="Q1198" s="47" t="n">
        <v>2070</v>
      </c>
      <c r="R1198" s="47" t="inlineStr">
        <is>
          <t>No Video ID yet</t>
        </is>
      </c>
      <c r="S1198" s="49" t="n"/>
      <c r="T1198" s="49" t="n"/>
      <c r="U1198" s="47" t="inlineStr">
        <is>
          <t>This week J, Beth and Ben travel to Disney world to get take an exclusive early voyage on Disney Worlds new Star Wars: Galactic Star Cruiser! The Halcyon is a Galactic cruise ship that gets taken over by the First Order, its a hyper immersive theatre experience like nothing else we have ever done before and if you like Star Wars you will love this trip. #SuperCarlinBrothers #CarlinFamily #StarWars #GalacticStarcruiser #Hosted</t>
        </is>
      </c>
      <c r="V1198" s="47">
        <f>IF(AND(P1198&gt;=Calendar!$K$2,P1198&lt;EDATE(Calendar!$K$2,1),OR(Calendar!$K$4="*",N1198=Calendar!$K$4)),P1198*100+COUNTIFS($P$6:$P$3267,P1198,$Q$6:$Q$3267,"&lt;="&amp;Q1198,$N$6:$N$3267,Calendar!$K$4),"")</f>
        <v/>
      </c>
      <c r="W1198" s="47">
        <f>IF(AND(B1198=Queue!$C$4,OR(Queue!$K$4="*",N1198=Queue!$K$4)),Q1198,"")</f>
        <v/>
      </c>
    </row>
    <row r="1199">
      <c r="A1199" s="38">
        <f>IF(M1199="","",HYPERLINK("https://www.youtube.com/watch?v="&amp;M1199,"▶"))</f>
        <v/>
      </c>
      <c r="B1199" s="39">
        <f>IF(C1199&lt;&gt;"",C1199,IF(P1199&lt;=IFERROR(INDEX(tblChannels[Watched Through],MATCH(N1199,tblChannels[Channel ID],0)),0),"Watched","Unwatched"))</f>
        <v/>
      </c>
      <c r="C1199" s="40" t="n"/>
      <c r="D1199" s="41" t="n"/>
      <c r="E1199" s="42" t="n">
        <v>44624.5</v>
      </c>
      <c r="F1199" s="53" t="inlineStr">
        <is>
          <t>Jonathan Carlin</t>
        </is>
      </c>
      <c r="G1199" t="inlineStr">
        <is>
          <t>The Twins' Second Birthday!</t>
        </is>
      </c>
      <c r="H1199" s="44" t="n">
        <v>0.008287037037037037</v>
      </c>
      <c r="I1199" s="45" t="n">
        <v>13190</v>
      </c>
      <c r="J1199" s="45" t="n">
        <v>969</v>
      </c>
      <c r="K1199" s="45" t="n">
        <v>71</v>
      </c>
      <c r="L1199" s="46" t="n"/>
      <c r="M1199" s="47" t="n"/>
      <c r="N1199" s="47" t="inlineStr">
        <is>
          <t>UCYPKFe86e6nm4TVUYKLsFUQ</t>
        </is>
      </c>
      <c r="O1199" s="48" t="n">
        <v>44624.70833333334</v>
      </c>
      <c r="P1199" s="49" t="n">
        <v>44624</v>
      </c>
      <c r="Q1199" s="47" t="n">
        <v>2069</v>
      </c>
      <c r="R1199" s="47" t="inlineStr">
        <is>
          <t>No Video ID yet</t>
        </is>
      </c>
      <c r="S1199" s="49" t="n"/>
      <c r="T1199" s="49" t="n"/>
      <c r="U1199" s="47" t="inlineStr">
        <is>
          <t>This week J and Beth celebrate Valentine's Day... a little late, and the TWINS TURN TWO YEARS OLD Edited by Ethan Edghill</t>
        </is>
      </c>
      <c r="V1199" s="47">
        <f>IF(AND(P1199&gt;=Calendar!$K$2,P1199&lt;EDATE(Calendar!$K$2,1),OR(Calendar!$K$4="*",N1199=Calendar!$K$4)),P1199*100+COUNTIFS($P$6:$P$3267,P1199,$Q$6:$Q$3267,"&lt;="&amp;Q1199,$N$6:$N$3267,Calendar!$K$4),"")</f>
        <v/>
      </c>
      <c r="W1199" s="47">
        <f>IF(AND(B1199=Queue!$C$4,OR(Queue!$K$4="*",N1199=Queue!$K$4)),Q1199,"")</f>
        <v/>
      </c>
    </row>
    <row r="1200">
      <c r="A1200" s="38">
        <f>IF(M1200="","",HYPERLINK("https://www.youtube.com/watch?v="&amp;M1200,"▶"))</f>
        <v/>
      </c>
      <c r="B1200" s="39">
        <f>IF(C1200&lt;&gt;"",C1200,IF(P1200&lt;=IFERROR(INDEX(tblChannels[Watched Through],MATCH(N1200,tblChannels[Channel ID],0)),0),"Watched","Unwatched"))</f>
        <v/>
      </c>
      <c r="C1200" s="40" t="n"/>
      <c r="D1200" s="41" t="n"/>
      <c r="E1200" s="42" t="n">
        <v>44624.41666666666</v>
      </c>
      <c r="F1200" s="43" t="inlineStr">
        <is>
          <t>Popcorn Culture</t>
        </is>
      </c>
      <c r="G1200" t="inlineStr">
        <is>
          <t>Theater, Space and The Galactic Starcruiser | Popcorn Culture</t>
        </is>
      </c>
      <c r="H1200" s="44" t="n">
        <v>0.04625</v>
      </c>
      <c r="I1200" s="45" t="n">
        <v>8015</v>
      </c>
      <c r="J1200" s="45" t="n">
        <v>423</v>
      </c>
      <c r="K1200" s="45" t="n">
        <v>40</v>
      </c>
      <c r="L1200" s="46" t="n"/>
      <c r="M1200" s="47" t="n"/>
      <c r="N1200" s="47" t="inlineStr">
        <is>
          <t>UCHfIbq9thHPC8yrKjAdJgDA</t>
        </is>
      </c>
      <c r="O1200" s="48" t="n">
        <v>44624.625</v>
      </c>
      <c r="P1200" s="49" t="n">
        <v>44624</v>
      </c>
      <c r="Q1200" s="47" t="n">
        <v>2068</v>
      </c>
      <c r="R1200" s="47" t="inlineStr">
        <is>
          <t>No Video ID yet</t>
        </is>
      </c>
      <c r="S1200" s="49" t="n"/>
      <c r="T1200" s="49" t="n"/>
      <c r="U1200" s="47" t="inlineStr">
        <is>
          <t>In the 117th episode of the Pop, Ben and J discuss pilots, wealthy people, security theater, Ender’s Game, and their experience with Disney’s Galactic Starcruiser. Crazy Rich Asians (book) - Last Week’s After the Final Pop Lincoln Special - TSA Security Theater - Ender’s Game (book) - Disney’s Galactic Starcruiser - J and Ben’s Review of the Galactic Starcruiser - Smooth As Molasses Tinfoil Hat Ben Lincoln Is The One True Prez Speaking of Theater and Space and Wars… 00:00 - Intro, Pilots 03:51 - Ben’s Tinfoil Hat Conspiracies 16:55 - GALACTIC STARCRUISER</t>
        </is>
      </c>
      <c r="V1200" s="47">
        <f>IF(AND(P1200&gt;=Calendar!$K$2,P1200&lt;EDATE(Calendar!$K$2,1),OR(Calendar!$K$4="*",N1200=Calendar!$K$4)),P1200*100+COUNTIFS($P$6:$P$3267,P1200,$Q$6:$Q$3267,"&lt;="&amp;Q1200,$N$6:$N$3267,Calendar!$K$4),"")</f>
        <v/>
      </c>
      <c r="W1200" s="47">
        <f>IF(AND(B1200=Queue!$C$4,OR(Queue!$K$4="*",N1200=Queue!$K$4)),Q1200,"")</f>
        <v/>
      </c>
    </row>
    <row r="1201">
      <c r="A1201" s="38">
        <f>IF(M1201="","",HYPERLINK("https://www.youtube.com/watch?v="&amp;M1201,"▶"))</f>
        <v/>
      </c>
      <c r="B1201" s="39">
        <f>IF(C1201&lt;&gt;"",C1201,IF(P1201&lt;=IFERROR(INDEX(tblChannels[Watched Through],MATCH(N1201,tblChannels[Channel ID],0)),0),"Watched","Unwatched"))</f>
        <v/>
      </c>
      <c r="C1201" s="40" t="n"/>
      <c r="D1201" s="41" t="n"/>
      <c r="E1201" s="42" t="n">
        <v>44623.66597222222</v>
      </c>
      <c r="F1201" s="50" t="inlineStr">
        <is>
          <t>Super Carlin Brothers</t>
        </is>
      </c>
      <c r="G1201" t="inlineStr">
        <is>
          <t>J vs Ben: ULTIMATE Ron &amp; Hermione TRIVIA Quiz</t>
        </is>
      </c>
      <c r="H1201" s="44" t="n">
        <v>0.01744212962962963</v>
      </c>
      <c r="I1201" s="45" t="n">
        <v>220577</v>
      </c>
      <c r="J1201" s="45" t="n">
        <v>8026</v>
      </c>
      <c r="K1201" s="45" t="n">
        <v>560</v>
      </c>
      <c r="L1201" s="46" t="n"/>
      <c r="M1201" s="47" t="n"/>
      <c r="N1201" s="47" t="inlineStr">
        <is>
          <t>UCKZo4N0lVPccBkSiuyVh4yg</t>
        </is>
      </c>
      <c r="O1201" s="48" t="n">
        <v>44623.87430555555</v>
      </c>
      <c r="P1201" s="49" t="n">
        <v>44623</v>
      </c>
      <c r="Q1201" s="47" t="n">
        <v>2067</v>
      </c>
      <c r="R1201" s="47" t="inlineStr">
        <is>
          <t>No Video ID yet</t>
        </is>
      </c>
      <c r="S1201" s="49" t="n"/>
      <c r="T1201" s="49" t="n"/>
      <c r="U1201" s="47" t="inlineStr">
        <is>
          <t>Go to to get Honey for free! Go to to get your free home try-on kit. Home Try-On Kits are US only. No international shipping. Today J and Ben dive into the Wizarding World to face off once more to find out who knows the most about Harry Potter’s… what like 4th favorite couple? Obviously you’ve got Arthur and Molly at #1, Lockhart and himself at #2, Dobby and Socks at #3… then Ron and Hermione? Yea, that sounds right. #SuperCarlinBrothers #HarryPotter #HarryPotter</t>
        </is>
      </c>
      <c r="V1201" s="47">
        <f>IF(AND(P1201&gt;=Calendar!$K$2,P1201&lt;EDATE(Calendar!$K$2,1),OR(Calendar!$K$4="*",N1201=Calendar!$K$4)),P1201*100+COUNTIFS($P$6:$P$3267,P1201,$Q$6:$Q$3267,"&lt;="&amp;Q1201,$N$6:$N$3267,Calendar!$K$4),"")</f>
        <v/>
      </c>
      <c r="W1201" s="47">
        <f>IF(AND(B1201=Queue!$C$4,OR(Queue!$K$4="*",N1201=Queue!$K$4)),Q1201,"")</f>
        <v/>
      </c>
    </row>
    <row r="1202">
      <c r="A1202" s="38">
        <f>IF(M1202="","",HYPERLINK("https://www.youtube.com/watch?v="&amp;M1202,"▶"))</f>
        <v/>
      </c>
      <c r="B1202" s="39">
        <f>IF(C1202&lt;&gt;"",C1202,IF(P1202&lt;=IFERROR(INDEX(tblChannels[Watched Through],MATCH(N1202,tblChannels[Channel ID],0)),0),"Watched","Unwatched"))</f>
        <v/>
      </c>
      <c r="C1202" s="40" t="n"/>
      <c r="D1202" s="41" t="n"/>
      <c r="E1202" s="42" t="n">
        <v>44622.41666666666</v>
      </c>
      <c r="F1202" s="52" t="inlineStr">
        <is>
          <t>Super Carlin Gaming</t>
        </is>
      </c>
      <c r="G1202" t="inlineStr">
        <is>
          <t>So It Begins... |  Pokémon Legends: Arceus Nuzlocke #1</t>
        </is>
      </c>
      <c r="H1202" s="44" t="n">
        <v>0.03252314814814815</v>
      </c>
      <c r="I1202" s="45" t="n">
        <v>46004</v>
      </c>
      <c r="J1202" s="45" t="n">
        <v>2103</v>
      </c>
      <c r="K1202" s="45" t="n">
        <v>897</v>
      </c>
      <c r="L1202" s="46" t="n"/>
      <c r="M1202" s="47" t="n"/>
      <c r="N1202" s="47" t="inlineStr">
        <is>
          <t>UCor_9jRnNNZVzTuQ92PKsaQ</t>
        </is>
      </c>
      <c r="O1202" s="48" t="n">
        <v>44622.625</v>
      </c>
      <c r="P1202" s="49" t="n">
        <v>44622</v>
      </c>
      <c r="Q1202" s="47" t="n">
        <v>2066</v>
      </c>
      <c r="R1202" s="47" t="inlineStr">
        <is>
          <t>No Video ID yet</t>
        </is>
      </c>
      <c r="S1202" s="49" t="n"/>
      <c r="T1202" s="49" t="n"/>
      <c r="U1202" s="47" t="inlineStr">
        <is>
          <t>Welcome back to the Super Carlin Gaming Nuzlocke Challenge! This week J sets off an a brand new adventure through the Hisui Region as he tries to complete the Legends Arceus Nuzlocke Challenge!</t>
        </is>
      </c>
      <c r="V1202" s="47">
        <f>IF(AND(P1202&gt;=Calendar!$K$2,P1202&lt;EDATE(Calendar!$K$2,1),OR(Calendar!$K$4="*",N1202=Calendar!$K$4)),P1202*100+COUNTIFS($P$6:$P$3267,P1202,$Q$6:$Q$3267,"&lt;="&amp;Q1202,$N$6:$N$3267,Calendar!$K$4),"")</f>
        <v/>
      </c>
      <c r="W1202" s="47">
        <f>IF(AND(B1202=Queue!$C$4,OR(Queue!$K$4="*",N1202=Queue!$K$4)),Q1202,"")</f>
        <v/>
      </c>
    </row>
    <row r="1203">
      <c r="A1203" s="38">
        <f>IF(M1203="","",HYPERLINK("https://www.youtube.com/watch?v="&amp;M1203,"▶"))</f>
        <v/>
      </c>
      <c r="B1203" s="39">
        <f>IF(C1203&lt;&gt;"",C1203,IF(P1203&lt;=IFERROR(INDEX(tblChannels[Watched Through],MATCH(N1203,tblChannels[Channel ID],0)),0),"Watched","Unwatched"))</f>
        <v/>
      </c>
      <c r="C1203" s="40" t="n"/>
      <c r="D1203" s="41" t="n"/>
      <c r="E1203" s="42" t="n">
        <v>44621.69930555556</v>
      </c>
      <c r="F1203" s="50" t="inlineStr">
        <is>
          <t>Super Carlin Brothers</t>
        </is>
      </c>
      <c r="G1203" t="inlineStr">
        <is>
          <t>Secrets of Dumbledore Trailer 2 Breakdown | Harry Potter Film Theory</t>
        </is>
      </c>
      <c r="H1203" s="44" t="n">
        <v>0.01530092592592593</v>
      </c>
      <c r="I1203" s="45" t="n">
        <v>270791</v>
      </c>
      <c r="J1203" s="45" t="n">
        <v>11021</v>
      </c>
      <c r="K1203" s="45" t="n">
        <v>1054</v>
      </c>
      <c r="L1203" s="46" t="n"/>
      <c r="M1203" s="47" t="n"/>
      <c r="N1203" s="47" t="inlineStr">
        <is>
          <t>UCKZo4N0lVPccBkSiuyVh4yg</t>
        </is>
      </c>
      <c r="O1203" s="48" t="n">
        <v>44621.90763888889</v>
      </c>
      <c r="P1203" s="49" t="n">
        <v>44621</v>
      </c>
      <c r="Q1203" s="47" t="n">
        <v>2065</v>
      </c>
      <c r="R1203" s="47" t="inlineStr">
        <is>
          <t>No Video ID yet</t>
        </is>
      </c>
      <c r="S1203" s="49" t="n"/>
      <c r="T1203" s="49" t="n"/>
      <c r="U1203" s="47" t="inlineStr">
        <is>
          <t>Go to to get 15% off your first order plus free shipping. Today J dives into the Wizarding World of Harry Potter to dissect the latest trailer for Fantastic Beasts: The Secrets of Dumbledore! Where is Tina? What is the deluminator doing? Are Grinelwald and Dumbledore going to fight? WAS THAT A BLAST ENDED SKREWT?! #SuperCarlinBrothers #HarryPotter #SecretsOfDumbledore</t>
        </is>
      </c>
      <c r="V1203" s="47">
        <f>IF(AND(P1203&gt;=Calendar!$K$2,P1203&lt;EDATE(Calendar!$K$2,1),OR(Calendar!$K$4="*",N1203=Calendar!$K$4)),P1203*100+COUNTIFS($P$6:$P$3267,P1203,$Q$6:$Q$3267,"&lt;="&amp;Q1203,$N$6:$N$3267,Calendar!$K$4),"")</f>
        <v/>
      </c>
      <c r="W1203" s="47">
        <f>IF(AND(B1203=Queue!$C$4,OR(Queue!$K$4="*",N1203=Queue!$K$4)),Q1203,"")</f>
        <v/>
      </c>
    </row>
    <row r="1204">
      <c r="A1204" s="38">
        <f>IF(M1204="","",HYPERLINK("https://www.youtube.com/watch?v="&amp;M1204,"▶"))</f>
        <v/>
      </c>
      <c r="B1204" s="39">
        <f>IF(C1204&lt;&gt;"",C1204,IF(P1204&lt;=IFERROR(INDEX(tblChannels[Watched Through],MATCH(N1204,tblChannels[Channel ID],0)),0),"Watched","Unwatched"))</f>
        <v/>
      </c>
      <c r="C1204" s="40" t="n"/>
      <c r="D1204" s="41" t="n"/>
      <c r="E1204" s="42" t="n">
        <v>44620.62152777778</v>
      </c>
      <c r="F1204" s="52" t="inlineStr">
        <is>
          <t>Super Carlin Gaming</t>
        </is>
      </c>
      <c r="G1204" t="inlineStr">
        <is>
          <t>LEGENDS ARCEUS NUZLOCKE | TEASER TRAILER</t>
        </is>
      </c>
      <c r="H1204" s="44" t="n">
        <v>0.0004976851851851852</v>
      </c>
      <c r="I1204" s="45" t="n">
        <v>15432</v>
      </c>
      <c r="J1204" s="45" t="n">
        <v>775</v>
      </c>
      <c r="K1204" s="45" t="n">
        <v>130</v>
      </c>
      <c r="L1204" s="46" t="n"/>
      <c r="M1204" s="47" t="n"/>
      <c r="N1204" s="47" t="inlineStr">
        <is>
          <t>UCor_9jRnNNZVzTuQ92PKsaQ</t>
        </is>
      </c>
      <c r="O1204" s="48" t="n">
        <v>44620.82986111111</v>
      </c>
      <c r="P1204" s="49" t="n">
        <v>44620</v>
      </c>
      <c r="Q1204" s="47" t="n">
        <v>2064</v>
      </c>
      <c r="R1204" s="47" t="inlineStr">
        <is>
          <t>No Video ID yet</t>
        </is>
      </c>
      <c r="S1204" s="49" t="n"/>
      <c r="T1204" s="49" t="n"/>
      <c r="U1204" s="47" t="inlineStr">
        <is>
          <t>Join us on March 2 at 10am Eastern for the premiere of the brand new Super Carlin Gaming Legends: Arceus NUZLOCKE CHALLENGE! This promises to be one of the hardest runs we've ever done... Will we make it to the end?</t>
        </is>
      </c>
      <c r="V1204" s="47">
        <f>IF(AND(P1204&gt;=Calendar!$K$2,P1204&lt;EDATE(Calendar!$K$2,1),OR(Calendar!$K$4="*",N1204=Calendar!$K$4)),P1204*100+COUNTIFS($P$6:$P$3267,P1204,$Q$6:$Q$3267,"&lt;="&amp;Q1204,$N$6:$N$3267,Calendar!$K$4),"")</f>
        <v/>
      </c>
      <c r="W1204" s="47">
        <f>IF(AND(B1204=Queue!$C$4,OR(Queue!$K$4="*",N1204=Queue!$K$4)),Q1204,"")</f>
        <v/>
      </c>
    </row>
    <row r="1205">
      <c r="A1205" s="38">
        <f>IF(M1205="","",HYPERLINK("https://www.youtube.com/watch?v="&amp;M1205,"▶"))</f>
        <v/>
      </c>
      <c r="B1205" s="39">
        <f>IF(C1205&lt;&gt;"",C1205,IF(P1205&lt;=IFERROR(INDEX(tblChannels[Watched Through],MATCH(N1205,tblChannels[Channel ID],0)),0),"Watched","Unwatched"))</f>
        <v/>
      </c>
      <c r="C1205" s="40" t="n"/>
      <c r="D1205" s="41" t="n"/>
      <c r="E1205" s="42" t="n">
        <v>44620.41666666666</v>
      </c>
      <c r="F1205" s="53" t="inlineStr">
        <is>
          <t>Jonathan Carlin</t>
        </is>
      </c>
      <c r="G1205" t="inlineStr">
        <is>
          <t>Luke's First Booster Pack!</t>
        </is>
      </c>
      <c r="H1205" s="44" t="n">
        <v>0.01315972222222222</v>
      </c>
      <c r="I1205" s="45" t="n">
        <v>13139</v>
      </c>
      <c r="J1205" s="45" t="n">
        <v>928</v>
      </c>
      <c r="K1205" s="45" t="n">
        <v>0</v>
      </c>
      <c r="L1205" s="46" t="n"/>
      <c r="M1205" s="47" t="n"/>
      <c r="N1205" s="47" t="inlineStr">
        <is>
          <t>UCYPKFe86e6nm4TVUYKLsFUQ</t>
        </is>
      </c>
      <c r="O1205" s="48" t="n">
        <v>44620.625</v>
      </c>
      <c r="P1205" s="49" t="n">
        <v>44620</v>
      </c>
      <c r="Q1205" s="47" t="n">
        <v>2063</v>
      </c>
      <c r="R1205" s="47" t="inlineStr">
        <is>
          <t>No Video ID yet</t>
        </is>
      </c>
      <c r="S1205" s="49" t="n"/>
      <c r="T1205" s="49" t="n"/>
      <c r="U1205" s="47" t="inlineStr">
        <is>
          <t>This week J and Ben prepare for a busy week, Beth and the boys head to the playground, and Luke helps J open up a box of Brilliant Stars Pokemon cards!</t>
        </is>
      </c>
      <c r="V1205" s="47">
        <f>IF(AND(P1205&gt;=Calendar!$K$2,P1205&lt;EDATE(Calendar!$K$2,1),OR(Calendar!$K$4="*",N1205=Calendar!$K$4)),P1205*100+COUNTIFS($P$6:$P$3267,P1205,$Q$6:$Q$3267,"&lt;="&amp;Q1205,$N$6:$N$3267,Calendar!$K$4),"")</f>
        <v/>
      </c>
      <c r="W1205" s="47">
        <f>IF(AND(B1205=Queue!$C$4,OR(Queue!$K$4="*",N1205=Queue!$K$4)),Q1205,"")</f>
        <v/>
      </c>
    </row>
    <row r="1206">
      <c r="A1206" s="38">
        <f>IF(M1206="","",HYPERLINK("https://www.youtube.com/watch?v="&amp;M1206,"▶"))</f>
        <v/>
      </c>
      <c r="B1206" s="39">
        <f>IF(C1206&lt;&gt;"",C1206,IF(P1206&lt;=IFERROR(INDEX(tblChannels[Watched Through],MATCH(N1206,tblChannels[Channel ID],0)),0),"Watched","Unwatched"))</f>
        <v/>
      </c>
      <c r="C1206" s="40" t="n"/>
      <c r="D1206" s="41" t="n"/>
      <c r="E1206" s="42" t="n">
        <v>44617.68194444444</v>
      </c>
      <c r="F1206" s="50" t="inlineStr">
        <is>
          <t>Super Carlin Brothers</t>
        </is>
      </c>
      <c r="G1206" t="inlineStr">
        <is>
          <t>Our UNBELIEVABLE Weekend at Star Wars: Galactic Starcruiser | REVIEW</t>
        </is>
      </c>
      <c r="H1206" s="44" t="n">
        <v>0.03657407407407407</v>
      </c>
      <c r="I1206" s="45" t="n">
        <v>114186</v>
      </c>
      <c r="J1206" s="45" t="n">
        <v>4730</v>
      </c>
      <c r="K1206" s="45" t="n">
        <v>893</v>
      </c>
      <c r="L1206" s="46" t="n"/>
      <c r="M1206" s="47" t="n"/>
      <c r="N1206" s="47" t="inlineStr">
        <is>
          <t>UCKZo4N0lVPccBkSiuyVh4yg</t>
        </is>
      </c>
      <c r="O1206" s="48" t="n">
        <v>44617.89027777778</v>
      </c>
      <c r="P1206" s="49" t="n">
        <v>44617</v>
      </c>
      <c r="Q1206" s="47" t="n">
        <v>2062</v>
      </c>
      <c r="R1206" s="47" t="inlineStr">
        <is>
          <t>No Video ID yet</t>
        </is>
      </c>
      <c r="S1206" s="49" t="n"/>
      <c r="T1206" s="49" t="n"/>
      <c r="U1206" s="47" t="inlineStr">
        <is>
          <t>Today J and Ben dive, quite literally, into the Star Wars Galaxy and give their full completely immersive review of Disney World's Galactic Starcruiser and try to answer all of your burning questions about this all new experience! Is it worth it? Is Galactic Starcruiser a Hotel? How much does it cost? Help Support Ukraine :: #SuperCarlinBrothers #GalacticStarcruiser #hosted</t>
        </is>
      </c>
      <c r="V1206" s="47">
        <f>IF(AND(P1206&gt;=Calendar!$K$2,P1206&lt;EDATE(Calendar!$K$2,1),OR(Calendar!$K$4="*",N1206=Calendar!$K$4)),P1206*100+COUNTIFS($P$6:$P$3267,P1206,$Q$6:$Q$3267,"&lt;="&amp;Q1206,$N$6:$N$3267,Calendar!$K$4),"")</f>
        <v/>
      </c>
      <c r="W1206" s="47">
        <f>IF(AND(B1206=Queue!$C$4,OR(Queue!$K$4="*",N1206=Queue!$K$4)),Q1206,"")</f>
        <v/>
      </c>
    </row>
    <row r="1207">
      <c r="A1207" s="38">
        <f>IF(M1207="","",HYPERLINK("https://www.youtube.com/watch?v="&amp;M1207,"▶"))</f>
        <v/>
      </c>
      <c r="B1207" s="39">
        <f>IF(C1207&lt;&gt;"",C1207,IF(P1207&lt;=IFERROR(INDEX(tblChannels[Watched Through],MATCH(N1207,tblChannels[Channel ID],0)),0),"Watched","Unwatched"))</f>
        <v/>
      </c>
      <c r="C1207" s="40" t="n"/>
      <c r="D1207" s="41" t="n"/>
      <c r="E1207" s="42" t="n">
        <v>44617.41736111111</v>
      </c>
      <c r="F1207" s="43" t="inlineStr">
        <is>
          <t>Popcorn Culture</t>
        </is>
      </c>
      <c r="G1207" t="inlineStr">
        <is>
          <t>You’re the Secret Sauce | Popcorn Culture</t>
        </is>
      </c>
      <c r="H1207" s="44" t="n">
        <v>0.048125</v>
      </c>
      <c r="I1207" s="45" t="n">
        <v>10848</v>
      </c>
      <c r="J1207" s="45" t="n">
        <v>704</v>
      </c>
      <c r="K1207" s="45" t="n">
        <v>121</v>
      </c>
      <c r="L1207" s="46" t="n"/>
      <c r="M1207" s="47" t="n"/>
      <c r="N1207" s="47" t="inlineStr">
        <is>
          <t>UCHfIbq9thHPC8yrKjAdJgDA</t>
        </is>
      </c>
      <c r="O1207" s="48" t="n">
        <v>44617.62569444445</v>
      </c>
      <c r="P1207" s="49" t="n">
        <v>44617</v>
      </c>
      <c r="Q1207" s="47" t="n">
        <v>2061</v>
      </c>
      <c r="R1207" s="47" t="inlineStr">
        <is>
          <t>No Video ID yet</t>
        </is>
      </c>
      <c r="S1207" s="49" t="n"/>
      <c r="T1207" s="49" t="n"/>
      <c r="U1207" s="47" t="inlineStr">
        <is>
          <t>In the 116th episode of the Pop, Ben and J discuss kids and sleep (or lack thereof), the braindesk, sleep regression training, obscure super powers, Ben’s aquarium conference, career pursuits and callings. GET YOUR WORDLE SHIRT: Cara Liss - Bad Batch - Shang Chi - Inflicted with the Reality of Having Children I Don’t Have Enough Bandwidth Revamp the Braindesk Baby Surveillance VidCon but for Aquariums If I had $100,000 00:00 - Intro, Tiredness and Having Kids 06:10 - Classes and Learning 11:02 - Sleep Regression 17:54 - Obscure Super Powers 30:27 - Fish Con 39:32 - If I Had $100,000 43:51 - Your Calling</t>
        </is>
      </c>
      <c r="V1207" s="47">
        <f>IF(AND(P1207&gt;=Calendar!$K$2,P1207&lt;EDATE(Calendar!$K$2,1),OR(Calendar!$K$4="*",N1207=Calendar!$K$4)),P1207*100+COUNTIFS($P$6:$P$3267,P1207,$Q$6:$Q$3267,"&lt;="&amp;Q1207,$N$6:$N$3267,Calendar!$K$4),"")</f>
        <v/>
      </c>
      <c r="W1207" s="47">
        <f>IF(AND(B1207=Queue!$C$4,OR(Queue!$K$4="*",N1207=Queue!$K$4)),Q1207,"")</f>
        <v/>
      </c>
    </row>
    <row r="1208">
      <c r="A1208" s="38">
        <f>IF(M1208="","",HYPERLINK("https://www.youtube.com/watch?v="&amp;M1208,"▶"))</f>
        <v/>
      </c>
      <c r="B1208" s="39">
        <f>IF(C1208&lt;&gt;"",C1208,IF(P1208&lt;=IFERROR(INDEX(tblChannels[Watched Through],MATCH(N1208,tblChannels[Channel ID],0)),0),"Watched","Unwatched"))</f>
        <v/>
      </c>
      <c r="C1208" s="40" t="n"/>
      <c r="D1208" s="41" t="n"/>
      <c r="E1208" s="42" t="n">
        <v>44615.66666666666</v>
      </c>
      <c r="F1208" s="50" t="inlineStr">
        <is>
          <t>Super Carlin Brothers</t>
        </is>
      </c>
      <c r="G1208" t="inlineStr">
        <is>
          <t>TOP 5 Secrets of Dumbledore Questions | Harry Potter Film Theory</t>
        </is>
      </c>
      <c r="H1208" s="44" t="n">
        <v>0.01487268518518518</v>
      </c>
      <c r="I1208" s="45" t="n">
        <v>193470</v>
      </c>
      <c r="J1208" s="45" t="n">
        <v>7876</v>
      </c>
      <c r="K1208" s="45" t="n">
        <v>954</v>
      </c>
      <c r="L1208" s="46" t="n"/>
      <c r="M1208" s="47" t="n"/>
      <c r="N1208" s="47" t="inlineStr">
        <is>
          <t>UCKZo4N0lVPccBkSiuyVh4yg</t>
        </is>
      </c>
      <c r="O1208" s="48" t="n">
        <v>44615.875</v>
      </c>
      <c r="P1208" s="49" t="n">
        <v>44615</v>
      </c>
      <c r="Q1208" s="47" t="n">
        <v>2060</v>
      </c>
      <c r="R1208" s="47" t="inlineStr">
        <is>
          <t>No Video ID yet</t>
        </is>
      </c>
      <c r="S1208" s="49" t="n"/>
      <c r="T1208" s="49" t="n"/>
      <c r="U1208" s="47" t="inlineStr">
        <is>
          <t>Go to and enter code SUPER at checkout for 20% off your first box! Today Ben dives deep into the most burning questions that he hopes Secrets of Dumbledore will answer... how will Voldemort fit into this story? What's up with Nagini?! Aurelius WHO!!? #SuperCarlinBrothers #HarryPotter #SecretsofDumbledore #FantasticBeasts Edited by : Riley Murtagh</t>
        </is>
      </c>
      <c r="V1208" s="47">
        <f>IF(AND(P1208&gt;=Calendar!$K$2,P1208&lt;EDATE(Calendar!$K$2,1),OR(Calendar!$K$4="*",N1208=Calendar!$K$4)),P1208*100+COUNTIFS($P$6:$P$3267,P1208,$Q$6:$Q$3267,"&lt;="&amp;Q1208,$N$6:$N$3267,Calendar!$K$4),"")</f>
        <v/>
      </c>
      <c r="W1208" s="47">
        <f>IF(AND(B1208=Queue!$C$4,OR(Queue!$K$4="*",N1208=Queue!$K$4)),Q1208,"")</f>
        <v/>
      </c>
    </row>
    <row r="1209">
      <c r="A1209" s="38">
        <f>IF(M1209="","",HYPERLINK("https://www.youtube.com/watch?v="&amp;M1209,"▶"))</f>
        <v/>
      </c>
      <c r="B1209" s="39">
        <f>IF(C1209&lt;&gt;"",C1209,IF(P1209&lt;=IFERROR(INDEX(tblChannels[Watched Through],MATCH(N1209,tblChannels[Channel ID],0)),0),"Watched","Unwatched"))</f>
        <v/>
      </c>
      <c r="C1209" s="40" t="n"/>
      <c r="D1209" s="41" t="n"/>
      <c r="E1209" s="42" t="n">
        <v>44614.66666666666</v>
      </c>
      <c r="F1209" s="50" t="inlineStr">
        <is>
          <t>Super Carlin Brothers</t>
        </is>
      </c>
      <c r="G1209" t="inlineStr">
        <is>
          <t>Answering Google's TOP 25 Encanto Questions | Encanto Explained</t>
        </is>
      </c>
      <c r="H1209" s="44" t="n">
        <v>0.01141203703703704</v>
      </c>
      <c r="I1209" s="45" t="n">
        <v>142529</v>
      </c>
      <c r="J1209" s="45" t="n">
        <v>6822</v>
      </c>
      <c r="K1209" s="45" t="n">
        <v>627</v>
      </c>
      <c r="L1209" s="46" t="n"/>
      <c r="M1209" s="47" t="n"/>
      <c r="N1209" s="47" t="inlineStr">
        <is>
          <t>UCKZo4N0lVPccBkSiuyVh4yg</t>
        </is>
      </c>
      <c r="O1209" s="48" t="n">
        <v>44614.875</v>
      </c>
      <c r="P1209" s="49" t="n">
        <v>44614</v>
      </c>
      <c r="Q1209" s="47" t="n">
        <v>2059</v>
      </c>
      <c r="R1209" s="47" t="inlineStr">
        <is>
          <t>No Video ID yet</t>
        </is>
      </c>
      <c r="S1209" s="49" t="n"/>
      <c r="T1209" s="49" t="n"/>
      <c r="U1209" s="47" t="inlineStr">
        <is>
          <t>Go to to get 10% off your first month! Check out our merch store at Today J addresses some of the internet's burning questions about Encanto. What does the title mean? Does Mirabel get a door?! Do we talk about Bruno (no no no)?! #SuperCarlinBrothers #Disney #Encanto</t>
        </is>
      </c>
      <c r="V1209" s="47">
        <f>IF(AND(P1209&gt;=Calendar!$K$2,P1209&lt;EDATE(Calendar!$K$2,1),OR(Calendar!$K$4="*",N1209=Calendar!$K$4)),P1209*100+COUNTIFS($P$6:$P$3267,P1209,$Q$6:$Q$3267,"&lt;="&amp;Q1209,$N$6:$N$3267,Calendar!$K$4),"")</f>
        <v/>
      </c>
      <c r="W1209" s="47">
        <f>IF(AND(B1209=Queue!$C$4,OR(Queue!$K$4="*",N1209=Queue!$K$4)),Q1209,"")</f>
        <v/>
      </c>
    </row>
    <row r="1210">
      <c r="A1210" s="38">
        <f>IF(M1210="","",HYPERLINK("https://www.youtube.com/watch?v="&amp;M1210,"▶"))</f>
        <v/>
      </c>
      <c r="B1210" s="39">
        <f>IF(C1210&lt;&gt;"",C1210,IF(P1210&lt;=IFERROR(INDEX(tblChannels[Watched Through],MATCH(N1210,tblChannels[Channel ID],0)),0),"Watched","Unwatched"))</f>
        <v/>
      </c>
      <c r="C1210" s="40" t="n"/>
      <c r="D1210" s="41" t="n"/>
      <c r="E1210" s="42" t="n">
        <v>44613.44652777778</v>
      </c>
      <c r="F1210" s="53" t="inlineStr">
        <is>
          <t>Jonathan Carlin</t>
        </is>
      </c>
      <c r="G1210" t="inlineStr">
        <is>
          <t>J TURNS 34!</t>
        </is>
      </c>
      <c r="H1210" s="44" t="n">
        <v>0.01383101851851852</v>
      </c>
      <c r="I1210" s="45" t="n">
        <v>16856</v>
      </c>
      <c r="J1210" s="45" t="n">
        <v>1140</v>
      </c>
      <c r="K1210" s="45" t="n">
        <v>109</v>
      </c>
      <c r="L1210" s="46" t="n"/>
      <c r="M1210" s="47" t="n"/>
      <c r="N1210" s="47" t="inlineStr">
        <is>
          <t>UCYPKFe86e6nm4TVUYKLsFUQ</t>
        </is>
      </c>
      <c r="O1210" s="48" t="n">
        <v>44613.65486111111</v>
      </c>
      <c r="P1210" s="49" t="n">
        <v>44613</v>
      </c>
      <c r="Q1210" s="47" t="n">
        <v>2058</v>
      </c>
      <c r="R1210" s="47" t="inlineStr">
        <is>
          <t>No Video ID yet</t>
        </is>
      </c>
      <c r="S1210" s="49" t="n"/>
      <c r="T1210" s="49" t="n"/>
      <c r="U1210" s="47" t="inlineStr">
        <is>
          <t>This week J gets a narwhal, Beth makes peasant bread, the kids play with beans, luke fixes a car and J HAS A BIRTHDAY Bread Recipe: Edited by Ethan Edghill</t>
        </is>
      </c>
      <c r="V1210" s="47">
        <f>IF(AND(P1210&gt;=Calendar!$K$2,P1210&lt;EDATE(Calendar!$K$2,1),OR(Calendar!$K$4="*",N1210=Calendar!$K$4)),P1210*100+COUNTIFS($P$6:$P$3267,P1210,$Q$6:$Q$3267,"&lt;="&amp;Q1210,$N$6:$N$3267,Calendar!$K$4),"")</f>
        <v/>
      </c>
      <c r="W1210" s="47">
        <f>IF(AND(B1210=Queue!$C$4,OR(Queue!$K$4="*",N1210=Queue!$K$4)),Q1210,"")</f>
        <v/>
      </c>
    </row>
    <row r="1211">
      <c r="A1211" s="38">
        <f>IF(M1211="","",HYPERLINK("https://www.youtube.com/watch?v="&amp;M1211,"▶"))</f>
        <v/>
      </c>
      <c r="B1211" s="39">
        <f>IF(C1211&lt;&gt;"",C1211,IF(P1211&lt;=IFERROR(INDEX(tblChannels[Watched Through],MATCH(N1211,tblChannels[Channel ID],0)),0),"Watched","Unwatched"))</f>
        <v/>
      </c>
      <c r="C1211" s="40" t="n"/>
      <c r="D1211" s="41" t="n"/>
      <c r="E1211" s="42" t="n">
        <v>44610.52083333334</v>
      </c>
      <c r="F1211" s="54" t="inlineStr">
        <is>
          <t>With the Carlins</t>
        </is>
      </c>
      <c r="G1211" t="inlineStr">
        <is>
          <t>Ben Roasts His Own Coffee</t>
        </is>
      </c>
      <c r="H1211" s="44" t="n">
        <v>0.01508101851851852</v>
      </c>
      <c r="I1211" s="45" t="n">
        <v>14208</v>
      </c>
      <c r="J1211" s="45" t="n">
        <v>1180</v>
      </c>
      <c r="K1211" s="45" t="n">
        <v>147</v>
      </c>
      <c r="L1211" s="46" t="n"/>
      <c r="M1211" s="47" t="n"/>
      <c r="N1211" s="47" t="inlineStr">
        <is>
          <t>UCVBTjN9WJU5Ac8yU7b2K-5g</t>
        </is>
      </c>
      <c r="O1211" s="48" t="n">
        <v>44610.72916666666</v>
      </c>
      <c r="P1211" s="49" t="n">
        <v>44610</v>
      </c>
      <c r="Q1211" s="47" t="n">
        <v>2057</v>
      </c>
      <c r="R1211" s="47" t="inlineStr">
        <is>
          <t>No Video ID yet</t>
        </is>
      </c>
      <c r="S1211" s="49" t="n"/>
      <c r="T1211" s="49" t="n"/>
      <c r="U1211" s="47" t="inlineStr">
        <is>
          <t>This week I make coffee. Follow Us! :: I N S T A G R A M➜ and Ben Carlin #SuperCarlinBrothers #CarlinFamily #FamilyVlog</t>
        </is>
      </c>
      <c r="V1211" s="47">
        <f>IF(AND(P1211&gt;=Calendar!$K$2,P1211&lt;EDATE(Calendar!$K$2,1),OR(Calendar!$K$4="*",N1211=Calendar!$K$4)),P1211*100+COUNTIFS($P$6:$P$3267,P1211,$Q$6:$Q$3267,"&lt;="&amp;Q1211,$N$6:$N$3267,Calendar!$K$4),"")</f>
        <v/>
      </c>
      <c r="W1211" s="47">
        <f>IF(AND(B1211=Queue!$C$4,OR(Queue!$K$4="*",N1211=Queue!$K$4)),Q1211,"")</f>
        <v/>
      </c>
    </row>
    <row r="1212">
      <c r="A1212" s="38">
        <f>IF(M1212="","",HYPERLINK("https://www.youtube.com/watch?v="&amp;M1212,"▶"))</f>
        <v/>
      </c>
      <c r="B1212" s="39">
        <f>IF(C1212&lt;&gt;"",C1212,IF(P1212&lt;=IFERROR(INDEX(tblChannels[Watched Through],MATCH(N1212,tblChannels[Channel ID],0)),0),"Watched","Unwatched"))</f>
        <v/>
      </c>
      <c r="C1212" s="40" t="n"/>
      <c r="D1212" s="41" t="n"/>
      <c r="E1212" s="42" t="n">
        <v>44610.41666666666</v>
      </c>
      <c r="F1212" s="43" t="inlineStr">
        <is>
          <t>Popcorn Culture</t>
        </is>
      </c>
      <c r="G1212" t="inlineStr">
        <is>
          <t>The Game that Shall Not Be Named | Popcorn Culture</t>
        </is>
      </c>
      <c r="H1212" s="44" t="n">
        <v>0.04978009259259259</v>
      </c>
      <c r="I1212" s="45" t="n">
        <v>8220</v>
      </c>
      <c r="J1212" s="45" t="n">
        <v>399</v>
      </c>
      <c r="K1212" s="45" t="n">
        <v>54</v>
      </c>
      <c r="L1212" s="46" t="n"/>
      <c r="M1212" s="47" t="n"/>
      <c r="N1212" s="47" t="inlineStr">
        <is>
          <t>UCHfIbq9thHPC8yrKjAdJgDA</t>
        </is>
      </c>
      <c r="O1212" s="48" t="n">
        <v>44610.625</v>
      </c>
      <c r="P1212" s="49" t="n">
        <v>44610</v>
      </c>
      <c r="Q1212" s="47" t="n">
        <v>2056</v>
      </c>
      <c r="R1212" s="47" t="inlineStr">
        <is>
          <t>No Video ID yet</t>
        </is>
      </c>
      <c r="S1212" s="49" t="n"/>
      <c r="T1212" s="49" t="n"/>
      <c r="U1212" s="47" t="inlineStr">
        <is>
          <t>In the 115th episode of the pop, Ben and J discuss Civil War pirates, seaball, Ben’s rebellious streak, water sports, the Superb Owl halftime show, misheard lyrics, leaning into the joke, artistic abilities, SPACE (it’s big!), and the Hedonic Treadmill vs Eudaimonic Approach. Take the Survey: GET YOUR WORDLE SHIRT: History of Piracy During the Civil War - “The Rocket” - Superbowl Halftime Show - “We Don’t Talk About Bruno” lyrics - “Sugar We’re Going Down “lyrics - “Semi-Charmed Life” lyrics - “White Woman’s Instagram” lyrics - Hedonic and Eudaimonic Approaches - Seaball - Ship to Ship Tennis Roger That, Quack Quack Meeveedagwan Goat Cheese Sammich You’re Barely a Whoville on a Snowflake 00:00 - Intro, Making Up History 05:10 - Fun Camp and Bachelor Party Stories 22:09 - The Worlde Shirt 29:01 - The Superb Owl 35:19 - Encanto and Other Lyrics 41:02 - Leaning into the Joke 50:37 - Art, Human Brain and Space 57:40 - Contentment</t>
        </is>
      </c>
      <c r="V1212" s="47">
        <f>IF(AND(P1212&gt;=Calendar!$K$2,P1212&lt;EDATE(Calendar!$K$2,1),OR(Calendar!$K$4="*",N1212=Calendar!$K$4)),P1212*100+COUNTIFS($P$6:$P$3267,P1212,$Q$6:$Q$3267,"&lt;="&amp;Q1212,$N$6:$N$3267,Calendar!$K$4),"")</f>
        <v/>
      </c>
      <c r="W1212" s="47">
        <f>IF(AND(B1212=Queue!$C$4,OR(Queue!$K$4="*",N1212=Queue!$K$4)),Q1212,"")</f>
        <v/>
      </c>
    </row>
    <row r="1213">
      <c r="A1213" s="38">
        <f>IF(M1213="","",HYPERLINK("https://www.youtube.com/watch?v="&amp;M1213,"▶"))</f>
        <v/>
      </c>
      <c r="B1213" s="39">
        <f>IF(C1213&lt;&gt;"",C1213,IF(P1213&lt;=IFERROR(INDEX(tblChannels[Watched Through],MATCH(N1213,tblChannels[Channel ID],0)),0),"Watched","Unwatched"))</f>
        <v/>
      </c>
      <c r="C1213" s="40" t="n"/>
      <c r="D1213" s="41" t="n"/>
      <c r="E1213" s="42" t="n">
        <v>44609.675</v>
      </c>
      <c r="F1213" s="50" t="inlineStr">
        <is>
          <t>Super Carlin Brothers</t>
        </is>
      </c>
      <c r="G1213" t="inlineStr">
        <is>
          <t>J vs Ben: ULTIMATE Crimes of Grindelwald Quiz | Harry Potter Trivia</t>
        </is>
      </c>
      <c r="H1213" s="44" t="n">
        <v>0.01987268518518518</v>
      </c>
      <c r="I1213" s="45" t="n">
        <v>148231</v>
      </c>
      <c r="J1213" s="45" t="n">
        <v>6194</v>
      </c>
      <c r="K1213" s="45" t="n">
        <v>543</v>
      </c>
      <c r="L1213" s="46" t="n"/>
      <c r="M1213" s="47" t="n"/>
      <c r="N1213" s="47" t="inlineStr">
        <is>
          <t>UCKZo4N0lVPccBkSiuyVh4yg</t>
        </is>
      </c>
      <c r="O1213" s="48" t="n">
        <v>44609.88333333333</v>
      </c>
      <c r="P1213" s="49" t="n">
        <v>44609</v>
      </c>
      <c r="Q1213" s="47" t="n">
        <v>2055</v>
      </c>
      <c r="R1213" s="47" t="inlineStr">
        <is>
          <t>No Video ID yet</t>
        </is>
      </c>
      <c r="S1213" s="49" t="n"/>
      <c r="T1213" s="49" t="n"/>
      <c r="U1213" s="47" t="inlineStr">
        <is>
          <t>Go to and use promo code JVSB to get 3 months free! Get 25% off and zero delivery fees on your first order of $15 or more when you download the DoorDash app and enter code JVSB. Today J and Ben Face off once more to find out who knows more about the Wizarding World of Harry Potter and Fantastic Beasts The Crimes of Grindelwald! #SuperCarlinBrothers #HarryPotter #JvsBen</t>
        </is>
      </c>
      <c r="V1213" s="47">
        <f>IF(AND(P1213&gt;=Calendar!$K$2,P1213&lt;EDATE(Calendar!$K$2,1),OR(Calendar!$K$4="*",N1213=Calendar!$K$4)),P1213*100+COUNTIFS($P$6:$P$3267,P1213,$Q$6:$Q$3267,"&lt;="&amp;Q1213,$N$6:$N$3267,Calendar!$K$4),"")</f>
        <v/>
      </c>
      <c r="W1213" s="47">
        <f>IF(AND(B1213=Queue!$C$4,OR(Queue!$K$4="*",N1213=Queue!$K$4)),Q1213,"")</f>
        <v/>
      </c>
    </row>
    <row r="1214">
      <c r="A1214" s="38">
        <f>IF(M1214="","",HYPERLINK("https://www.youtube.com/watch?v="&amp;M1214,"▶"))</f>
        <v/>
      </c>
      <c r="B1214" s="39">
        <f>IF(C1214&lt;&gt;"",C1214,IF(P1214&lt;=IFERROR(INDEX(tblChannels[Watched Through],MATCH(N1214,tblChannels[Channel ID],0)),0),"Watched","Unwatched"))</f>
        <v/>
      </c>
      <c r="C1214" s="40" t="n"/>
      <c r="D1214" s="41" t="n"/>
      <c r="E1214" s="42" t="n">
        <v>44607.7375</v>
      </c>
      <c r="F1214" s="50" t="inlineStr">
        <is>
          <t>Super Carlin Brothers</t>
        </is>
      </c>
      <c r="G1214" t="inlineStr">
        <is>
          <t>What Even IS The Multiverse of Madness? | Doctor Strange Film Theory</t>
        </is>
      </c>
      <c r="H1214" s="44" t="n">
        <v>0.01429398148148148</v>
      </c>
      <c r="I1214" s="45" t="n">
        <v>150704</v>
      </c>
      <c r="J1214" s="45" t="n">
        <v>8036</v>
      </c>
      <c r="K1214" s="45" t="n">
        <v>734</v>
      </c>
      <c r="L1214" s="46" t="n"/>
      <c r="M1214" s="47" t="n"/>
      <c r="N1214" s="47" t="inlineStr">
        <is>
          <t>UCKZo4N0lVPccBkSiuyVh4yg</t>
        </is>
      </c>
      <c r="O1214" s="48" t="n">
        <v>44607.94583333333</v>
      </c>
      <c r="P1214" s="49" t="n">
        <v>44607</v>
      </c>
      <c r="Q1214" s="47" t="n">
        <v>2054</v>
      </c>
      <c r="R1214" s="47" t="inlineStr">
        <is>
          <t>No Video ID yet</t>
        </is>
      </c>
      <c r="S1214" s="49" t="n"/>
      <c r="T1214" s="49" t="n"/>
      <c r="U1214" s="47" t="inlineStr">
        <is>
          <t>Go to and enter code SUPER at checkout for 20% off your first box! Trailer Breakdown - 12:45 Today J dives into the absolutely mind bending world of Doctor Strange to discuss what the Multiverse of Madness is and how the MCU arrived here. PLUS we breakdown the Super Bowl trailer for Doctor Strange in the Multiverse of Madness. #SuperCarlinBrothers #Marvel</t>
        </is>
      </c>
      <c r="V1214" s="47">
        <f>IF(AND(P1214&gt;=Calendar!$K$2,P1214&lt;EDATE(Calendar!$K$2,1),OR(Calendar!$K$4="*",N1214=Calendar!$K$4)),P1214*100+COUNTIFS($P$6:$P$3267,P1214,$Q$6:$Q$3267,"&lt;="&amp;Q1214,$N$6:$N$3267,Calendar!$K$4),"")</f>
        <v/>
      </c>
      <c r="W1214" s="47">
        <f>IF(AND(B1214=Queue!$C$4,OR(Queue!$K$4="*",N1214=Queue!$K$4)),Q1214,"")</f>
        <v/>
      </c>
    </row>
    <row r="1215">
      <c r="A1215" s="38">
        <f>IF(M1215="","",HYPERLINK("https://www.youtube.com/watch?v="&amp;M1215,"▶"))</f>
        <v/>
      </c>
      <c r="B1215" s="39">
        <f>IF(C1215&lt;&gt;"",C1215,IF(P1215&lt;=IFERROR(INDEX(tblChannels[Watched Through],MATCH(N1215,tblChannels[Channel ID],0)),0),"Watched","Unwatched"))</f>
        <v/>
      </c>
      <c r="C1215" s="40" t="n"/>
      <c r="D1215" s="41" t="n"/>
      <c r="E1215" s="42" t="n">
        <v>44603.5</v>
      </c>
      <c r="F1215" s="54" t="inlineStr">
        <is>
          <t>With the Carlins</t>
        </is>
      </c>
      <c r="G1215" t="inlineStr">
        <is>
          <t>Alyce Picks Out A Dress For The Ball</t>
        </is>
      </c>
      <c r="H1215" s="44" t="n">
        <v>0.0155787037037037</v>
      </c>
      <c r="I1215" s="45" t="n">
        <v>14429</v>
      </c>
      <c r="J1215" s="45" t="n">
        <v>1174</v>
      </c>
      <c r="K1215" s="45" t="n">
        <v>705</v>
      </c>
      <c r="L1215" s="46" t="n"/>
      <c r="M1215" s="47" t="n"/>
      <c r="N1215" s="47" t="inlineStr">
        <is>
          <t>UCVBTjN9WJU5Ac8yU7b2K-5g</t>
        </is>
      </c>
      <c r="O1215" s="48" t="n">
        <v>44603.70833333334</v>
      </c>
      <c r="P1215" s="49" t="n">
        <v>44603</v>
      </c>
      <c r="Q1215" s="47" t="n">
        <v>2053</v>
      </c>
      <c r="R1215" s="47" t="inlineStr">
        <is>
          <t>No Video ID yet</t>
        </is>
      </c>
      <c r="S1215" s="49" t="n"/>
      <c r="T1215" s="49" t="n"/>
      <c r="U1215" s="47" t="inlineStr">
        <is>
          <t>This week we make chocolate covered oranges, try out a desk based treadmill and Ally picks out some dresses! Tell us YOUR favorite down in the comments Follow Us! :: I N S T A G R A M➜ and Ben Carlin #SuperCarlinBrothers #CarlinFamily #FamilyVlog</t>
        </is>
      </c>
      <c r="V1215" s="47">
        <f>IF(AND(P1215&gt;=Calendar!$K$2,P1215&lt;EDATE(Calendar!$K$2,1),OR(Calendar!$K$4="*",N1215=Calendar!$K$4)),P1215*100+COUNTIFS($P$6:$P$3267,P1215,$Q$6:$Q$3267,"&lt;="&amp;Q1215,$N$6:$N$3267,Calendar!$K$4),"")</f>
        <v/>
      </c>
      <c r="W1215" s="47">
        <f>IF(AND(B1215=Queue!$C$4,OR(Queue!$K$4="*",N1215=Queue!$K$4)),Q1215,"")</f>
        <v/>
      </c>
    </row>
    <row r="1216">
      <c r="A1216" s="38">
        <f>IF(M1216="","",HYPERLINK("https://www.youtube.com/watch?v="&amp;M1216,"▶"))</f>
        <v/>
      </c>
      <c r="B1216" s="39">
        <f>IF(C1216&lt;&gt;"",C1216,IF(P1216&lt;=IFERROR(INDEX(tblChannels[Watched Through],MATCH(N1216,tblChannels[Channel ID],0)),0),"Watched","Unwatched"))</f>
        <v/>
      </c>
      <c r="C1216" s="40" t="n"/>
      <c r="D1216" s="41" t="n"/>
      <c r="E1216" s="42" t="n">
        <v>44603.41666666666</v>
      </c>
      <c r="F1216" s="43" t="inlineStr">
        <is>
          <t>Popcorn Culture</t>
        </is>
      </c>
      <c r="G1216" t="inlineStr">
        <is>
          <t>How to Win at Wordle | Popcorn Culture</t>
        </is>
      </c>
      <c r="H1216" s="44" t="n">
        <v>0.04594907407407407</v>
      </c>
      <c r="I1216" s="45" t="n">
        <v>8626</v>
      </c>
      <c r="J1216" s="45" t="n">
        <v>442</v>
      </c>
      <c r="K1216" s="45" t="n">
        <v>80</v>
      </c>
      <c r="L1216" s="46" t="n"/>
      <c r="M1216" s="47" t="n"/>
      <c r="N1216" s="47" t="inlineStr">
        <is>
          <t>UCHfIbq9thHPC8yrKjAdJgDA</t>
        </is>
      </c>
      <c r="O1216" s="48" t="n">
        <v>44603.625</v>
      </c>
      <c r="P1216" s="49" t="n">
        <v>44603</v>
      </c>
      <c r="Q1216" s="47" t="n">
        <v>2052</v>
      </c>
      <c r="R1216" s="47" t="inlineStr">
        <is>
          <t>No Video ID yet</t>
        </is>
      </c>
      <c r="S1216" s="49" t="n"/>
      <c r="T1216" s="49" t="n"/>
      <c r="U1216" s="47" t="inlineStr">
        <is>
          <t>In the 114th episode of the Pop, Ben and J discuss J’s newest Nuzlocke, the Wordle phenomenon and good Wordle strategies, the different light bulbs of your life, ticks and Paris, animals wandering, tackling the biggest problem in front of you, and their plan to steal Lincoln’s body. Pokemon Legends Arceus - Check out Super Carlin Gaming!!! - Wordle - www.Patreon.com/PopcornCulture The Sanctity of the Game J’s Secret First Word The Lightbulb Theory They’ll Suck the Blood Right Out of You You Can’t Actually Knock Over a Mountain Programming Snafu The Coordinates Lie with Lincoln’s Body 00:00 - Intro, Pokemon Legends Arceus 04:55 - Wordle 32:04 - The Lightbulb Theory 42:59 - The Corny Joke! 49:06 - The Next Right Thing 58:30 - Lincoln’s Body</t>
        </is>
      </c>
      <c r="V1216" s="47">
        <f>IF(AND(P1216&gt;=Calendar!$K$2,P1216&lt;EDATE(Calendar!$K$2,1),OR(Calendar!$K$4="*",N1216=Calendar!$K$4)),P1216*100+COUNTIFS($P$6:$P$3267,P1216,$Q$6:$Q$3267,"&lt;="&amp;Q1216,$N$6:$N$3267,Calendar!$K$4),"")</f>
        <v/>
      </c>
      <c r="W1216" s="47">
        <f>IF(AND(B1216=Queue!$C$4,OR(Queue!$K$4="*",N1216=Queue!$K$4)),Q1216,"")</f>
        <v/>
      </c>
    </row>
    <row r="1217">
      <c r="A1217" s="38">
        <f>IF(M1217="","",HYPERLINK("https://www.youtube.com/watch?v="&amp;M1217,"▶"))</f>
        <v/>
      </c>
      <c r="B1217" s="39">
        <f>IF(C1217&lt;&gt;"",C1217,IF(P1217&lt;=IFERROR(INDEX(tblChannels[Watched Through],MATCH(N1217,tblChannels[Channel ID],0)),0),"Watched","Unwatched"))</f>
        <v/>
      </c>
      <c r="C1217" s="40" t="n"/>
      <c r="D1217" s="41" t="n"/>
      <c r="E1217" s="42" t="n">
        <v>44602.69583333333</v>
      </c>
      <c r="F1217" s="50" t="inlineStr">
        <is>
          <t>Super Carlin Brothers</t>
        </is>
      </c>
      <c r="G1217" t="inlineStr">
        <is>
          <t>Did Elsa Actually Die In Frozen 2? | Frozen Film Theory</t>
        </is>
      </c>
      <c r="H1217" s="44" t="n">
        <v>0.01167824074074074</v>
      </c>
      <c r="I1217" s="45" t="n">
        <v>218490</v>
      </c>
      <c r="J1217" s="45" t="n">
        <v>9724</v>
      </c>
      <c r="K1217" s="45" t="n">
        <v>862</v>
      </c>
      <c r="L1217" s="46" t="n"/>
      <c r="M1217" s="47" t="n"/>
      <c r="N1217" s="47" t="inlineStr">
        <is>
          <t>UCKZo4N0lVPccBkSiuyVh4yg</t>
        </is>
      </c>
      <c r="O1217" s="48" t="n">
        <v>44602.90416666667</v>
      </c>
      <c r="P1217" s="49" t="n">
        <v>44602</v>
      </c>
      <c r="Q1217" s="47" t="n">
        <v>2051</v>
      </c>
      <c r="R1217" s="47" t="inlineStr">
        <is>
          <t>No Video ID yet</t>
        </is>
      </c>
      <c r="S1217" s="49" t="n"/>
      <c r="T1217" s="49" t="n"/>
      <c r="U1217" s="47" t="inlineStr">
        <is>
          <t>Go to and enter code SUPER at checkout for 20% off your first box! Today Ben dives into the frigid world of Disney’s Frozen to try and figure out exactly what even happened at the end of Frozen 2.. Did Elsa Die? Is she immortal? What does it mean to be a spirit? #SuperCarlinBrothers #Frozen</t>
        </is>
      </c>
      <c r="V1217" s="47">
        <f>IF(AND(P1217&gt;=Calendar!$K$2,P1217&lt;EDATE(Calendar!$K$2,1),OR(Calendar!$K$4="*",N1217=Calendar!$K$4)),P1217*100+COUNTIFS($P$6:$P$3267,P1217,$Q$6:$Q$3267,"&lt;="&amp;Q1217,$N$6:$N$3267,Calendar!$K$4),"")</f>
        <v/>
      </c>
      <c r="W1217" s="47">
        <f>IF(AND(B1217=Queue!$C$4,OR(Queue!$K$4="*",N1217=Queue!$K$4)),Q1217,"")</f>
        <v/>
      </c>
    </row>
    <row r="1218">
      <c r="A1218" s="38">
        <f>IF(M1218="","",HYPERLINK("https://www.youtube.com/watch?v="&amp;M1218,"▶"))</f>
        <v/>
      </c>
      <c r="B1218" s="39">
        <f>IF(C1218&lt;&gt;"",C1218,IF(P1218&lt;=IFERROR(INDEX(tblChannels[Watched Through],MATCH(N1218,tblChannels[Channel ID],0)),0),"Watched","Unwatched"))</f>
        <v/>
      </c>
      <c r="C1218" s="40" t="n"/>
      <c r="D1218" s="41" t="n"/>
      <c r="E1218" s="42" t="n">
        <v>44600.70972222222</v>
      </c>
      <c r="F1218" s="50" t="inlineStr">
        <is>
          <t>Super Carlin Brothers</t>
        </is>
      </c>
      <c r="G1218" t="inlineStr">
        <is>
          <t>Moana's Father Was The Chosen One Before Moana | Disney Film Theory</t>
        </is>
      </c>
      <c r="H1218" s="44" t="n">
        <v>0.00931712962962963</v>
      </c>
      <c r="I1218" s="45" t="n">
        <v>154998</v>
      </c>
      <c r="J1218" s="45" t="n">
        <v>8510</v>
      </c>
      <c r="K1218" s="45" t="n">
        <v>388</v>
      </c>
      <c r="L1218" s="46" t="n"/>
      <c r="M1218" s="47" t="n"/>
      <c r="N1218" s="47" t="inlineStr">
        <is>
          <t>UCKZo4N0lVPccBkSiuyVh4yg</t>
        </is>
      </c>
      <c r="O1218" s="48" t="n">
        <v>44600.91805555556</v>
      </c>
      <c r="P1218" s="49" t="n">
        <v>44600</v>
      </c>
      <c r="Q1218" s="47" t="n">
        <v>2050</v>
      </c>
      <c r="R1218" s="47" t="inlineStr">
        <is>
          <t>No Video ID yet</t>
        </is>
      </c>
      <c r="S1218" s="49" t="n"/>
      <c r="T1218" s="49" t="n"/>
      <c r="U1218" s="47" t="inlineStr">
        <is>
          <t>Go to and use code SUPERCARLIN to claim your special offer today! Today J dives into the world of Disney's Moana to determine if her father, Chief Tui was The Chosen one before she was, and if so... how did he fail?!</t>
        </is>
      </c>
      <c r="V1218" s="47">
        <f>IF(AND(P1218&gt;=Calendar!$K$2,P1218&lt;EDATE(Calendar!$K$2,1),OR(Calendar!$K$4="*",N1218=Calendar!$K$4)),P1218*100+COUNTIFS($P$6:$P$3267,P1218,$Q$6:$Q$3267,"&lt;="&amp;Q1218,$N$6:$N$3267,Calendar!$K$4),"")</f>
        <v/>
      </c>
      <c r="W1218" s="47">
        <f>IF(AND(B1218=Queue!$C$4,OR(Queue!$K$4="*",N1218=Queue!$K$4)),Q1218,"")</f>
        <v/>
      </c>
    </row>
    <row r="1219">
      <c r="A1219" s="38">
        <f>IF(M1219="","",HYPERLINK("https://www.youtube.com/watch?v="&amp;M1219,"▶"))</f>
        <v/>
      </c>
      <c r="B1219" s="39">
        <f>IF(C1219&lt;&gt;"",C1219,IF(P1219&lt;=IFERROR(INDEX(tblChannels[Watched Through],MATCH(N1219,tblChannels[Channel ID],0)),0),"Watched","Unwatched"))</f>
        <v/>
      </c>
      <c r="C1219" s="40" t="n"/>
      <c r="D1219" s="41" t="n"/>
      <c r="E1219" s="42" t="n">
        <v>44599.41666666666</v>
      </c>
      <c r="F1219" s="53" t="inlineStr">
        <is>
          <t>Jonathan Carlin</t>
        </is>
      </c>
      <c r="G1219" t="inlineStr">
        <is>
          <t>The Great Ski Adventure</t>
        </is>
      </c>
      <c r="H1219" s="44" t="n">
        <v>0.01394675925925926</v>
      </c>
      <c r="I1219" s="45" t="n">
        <v>13425</v>
      </c>
      <c r="J1219" s="45" t="n">
        <v>973</v>
      </c>
      <c r="K1219" s="45" t="n">
        <v>73</v>
      </c>
      <c r="L1219" s="46" t="n"/>
      <c r="M1219" s="47" t="n"/>
      <c r="N1219" s="47" t="inlineStr">
        <is>
          <t>UCYPKFe86e6nm4TVUYKLsFUQ</t>
        </is>
      </c>
      <c r="O1219" s="48" t="n">
        <v>44599.625</v>
      </c>
      <c r="P1219" s="49" t="n">
        <v>44599</v>
      </c>
      <c r="Q1219" s="47" t="n">
        <v>2049</v>
      </c>
      <c r="R1219" s="47" t="inlineStr">
        <is>
          <t>No Video ID yet</t>
        </is>
      </c>
      <c r="S1219" s="49" t="n"/>
      <c r="T1219" s="49" t="n"/>
      <c r="U1219" s="47" t="inlineStr">
        <is>
          <t>This week J and the fam have a snow day. Beth makes chili, J shovels the driveway, the SCB crew creates a FANTASTIC FISH ILLUSION, and then the whole fam gots on a Ski Trip to Wintergreen! The Shovel ::</t>
        </is>
      </c>
      <c r="V1219" s="47">
        <f>IF(AND(P1219&gt;=Calendar!$K$2,P1219&lt;EDATE(Calendar!$K$2,1),OR(Calendar!$K$4="*",N1219=Calendar!$K$4)),P1219*100+COUNTIFS($P$6:$P$3267,P1219,$Q$6:$Q$3267,"&lt;="&amp;Q1219,$N$6:$N$3267,Calendar!$K$4),"")</f>
        <v/>
      </c>
      <c r="W1219" s="47">
        <f>IF(AND(B1219=Queue!$C$4,OR(Queue!$K$4="*",N1219=Queue!$K$4)),Q1219,"")</f>
        <v/>
      </c>
    </row>
    <row r="1220">
      <c r="A1220" s="38">
        <f>IF(M1220="","",HYPERLINK("https://www.youtube.com/watch?v="&amp;M1220,"▶"))</f>
        <v/>
      </c>
      <c r="B1220" s="39">
        <f>IF(C1220&lt;&gt;"",C1220,IF(P1220&lt;=IFERROR(INDEX(tblChannels[Watched Through],MATCH(N1220,tblChannels[Channel ID],0)),0),"Watched","Unwatched"))</f>
        <v/>
      </c>
      <c r="C1220" s="40" t="n"/>
      <c r="D1220" s="41" t="n"/>
      <c r="E1220" s="42" t="n">
        <v>44596.5</v>
      </c>
      <c r="F1220" s="54" t="inlineStr">
        <is>
          <t>With the Carlins</t>
        </is>
      </c>
      <c r="G1220" t="inlineStr">
        <is>
          <t>I Build A Backyard Ice Bath</t>
        </is>
      </c>
      <c r="H1220" s="44" t="n">
        <v>0.01478009259259259</v>
      </c>
      <c r="I1220" s="45" t="n">
        <v>15957</v>
      </c>
      <c r="J1220" s="45" t="n">
        <v>1236</v>
      </c>
      <c r="K1220" s="45" t="n">
        <v>109</v>
      </c>
      <c r="L1220" s="46" t="n"/>
      <c r="M1220" s="47" t="n"/>
      <c r="N1220" s="47" t="inlineStr">
        <is>
          <t>UCVBTjN9WJU5Ac8yU7b2K-5g</t>
        </is>
      </c>
      <c r="O1220" s="48" t="n">
        <v>44596.70833333334</v>
      </c>
      <c r="P1220" s="49" t="n">
        <v>44596</v>
      </c>
      <c r="Q1220" s="47" t="n">
        <v>2048</v>
      </c>
      <c r="R1220" s="47" t="inlineStr">
        <is>
          <t>No Video ID yet</t>
        </is>
      </c>
      <c r="S1220" s="49" t="n"/>
      <c r="T1220" s="49" t="n"/>
      <c r="U1220" s="47" t="inlineStr">
        <is>
          <t>This week we go skiing, put together some Lego, I take a very cold bath and Addy turns 3 Months Old Follow Us! :: I N S T A G R A M➜ and Ben Carlin #SuperCarlinBrothers #CarlinFamily #FamilyVlog</t>
        </is>
      </c>
      <c r="V1220" s="47">
        <f>IF(AND(P1220&gt;=Calendar!$K$2,P1220&lt;EDATE(Calendar!$K$2,1),OR(Calendar!$K$4="*",N1220=Calendar!$K$4)),P1220*100+COUNTIFS($P$6:$P$3267,P1220,$Q$6:$Q$3267,"&lt;="&amp;Q1220,$N$6:$N$3267,Calendar!$K$4),"")</f>
        <v/>
      </c>
      <c r="W1220" s="47">
        <f>IF(AND(B1220=Queue!$C$4,OR(Queue!$K$4="*",N1220=Queue!$K$4)),Q1220,"")</f>
        <v/>
      </c>
    </row>
    <row r="1221">
      <c r="A1221" s="38">
        <f>IF(M1221="","",HYPERLINK("https://www.youtube.com/watch?v="&amp;M1221,"▶"))</f>
        <v/>
      </c>
      <c r="B1221" s="39">
        <f>IF(C1221&lt;&gt;"",C1221,IF(P1221&lt;=IFERROR(INDEX(tblChannels[Watched Through],MATCH(N1221,tblChannels[Channel ID],0)),0),"Watched","Unwatched"))</f>
        <v/>
      </c>
      <c r="C1221" s="40" t="n"/>
      <c r="D1221" s="41" t="n"/>
      <c r="E1221" s="42" t="n">
        <v>44596.41666666666</v>
      </c>
      <c r="F1221" s="43" t="inlineStr">
        <is>
          <t>Popcorn Culture</t>
        </is>
      </c>
      <c r="G1221" t="inlineStr">
        <is>
          <t>The Future Of Star Wars | Popcorn Culture</t>
        </is>
      </c>
      <c r="H1221" s="44" t="n">
        <v>0.04806712962962963</v>
      </c>
      <c r="I1221" s="45" t="n">
        <v>8369</v>
      </c>
      <c r="J1221" s="45" t="n">
        <v>461</v>
      </c>
      <c r="K1221" s="45" t="n">
        <v>49</v>
      </c>
      <c r="L1221" s="46" t="n"/>
      <c r="M1221" s="47" t="n"/>
      <c r="N1221" s="47" t="inlineStr">
        <is>
          <t>UCHfIbq9thHPC8yrKjAdJgDA</t>
        </is>
      </c>
      <c r="O1221" s="48" t="n">
        <v>44596.625</v>
      </c>
      <c r="P1221" s="49" t="n">
        <v>44596</v>
      </c>
      <c r="Q1221" s="47" t="n">
        <v>2047</v>
      </c>
      <c r="R1221" s="47" t="inlineStr">
        <is>
          <t>No Video ID yet</t>
        </is>
      </c>
      <c r="S1221" s="49" t="n"/>
      <c r="T1221" s="49" t="n"/>
      <c r="U1221" s="47" t="inlineStr">
        <is>
          <t>Ben and J discuss: school accolades, Ben’s worst date, fun and miserable GMA stories, awkward college orientation experiences, a friend breakup, “Natural Helpers”, our future predictions on Star Wars Linville Gorge - The Book of Boba Fett - All Jedi are Evil SCB Vid - All Fun Stories Include Misery Lemme Guess, Breakfast? It’s Not You, It’s Him! 8th Grade Game of Thrones The Sheer Glacial Passing of Time Cohesion Be Awesome 00:00 - Intro, Perfect Attendance 02:42 - Ben’s Worst Date 12:03 - Fun GMA Stories Include Misery 16:28 - Radford Orientation 28:29 - Friend Breakup 33:51 - Natural Helpers 40:29 - The Future of Star Wars</t>
        </is>
      </c>
      <c r="V1221" s="47">
        <f>IF(AND(P1221&gt;=Calendar!$K$2,P1221&lt;EDATE(Calendar!$K$2,1),OR(Calendar!$K$4="*",N1221=Calendar!$K$4)),P1221*100+COUNTIFS($P$6:$P$3267,P1221,$Q$6:$Q$3267,"&lt;="&amp;Q1221,$N$6:$N$3267,Calendar!$K$4),"")</f>
        <v/>
      </c>
      <c r="W1221" s="47">
        <f>IF(AND(B1221=Queue!$C$4,OR(Queue!$K$4="*",N1221=Queue!$K$4)),Q1221,"")</f>
        <v/>
      </c>
    </row>
    <row r="1222">
      <c r="A1222" s="38">
        <f>IF(M1222="","",HYPERLINK("https://www.youtube.com/watch?v="&amp;M1222,"▶"))</f>
        <v/>
      </c>
      <c r="B1222" s="39">
        <f>IF(C1222&lt;&gt;"",C1222,IF(P1222&lt;=IFERROR(INDEX(tblChannels[Watched Through],MATCH(N1222,tblChannels[Channel ID],0)),0),"Watched","Unwatched"))</f>
        <v/>
      </c>
      <c r="C1222" s="40" t="n"/>
      <c r="D1222" s="41" t="n"/>
      <c r="E1222" s="42" t="n">
        <v>44595.67708333334</v>
      </c>
      <c r="F1222" s="50" t="inlineStr">
        <is>
          <t>Super Carlin Brothers</t>
        </is>
      </c>
      <c r="G1222" t="inlineStr">
        <is>
          <t>J vs Ben: The PRETTY OBVIOUS Gilderoy Lockhart Harry Potter TRIVIA Quiz</t>
        </is>
      </c>
      <c r="H1222" s="44" t="n">
        <v>0.02068287037037037</v>
      </c>
      <c r="I1222" s="45" t="n">
        <v>291629</v>
      </c>
      <c r="J1222" s="45" t="n">
        <v>9969</v>
      </c>
      <c r="K1222" s="45" t="n">
        <v>591</v>
      </c>
      <c r="L1222" s="46" t="n"/>
      <c r="M1222" s="47" t="n"/>
      <c r="N1222" s="47" t="inlineStr">
        <is>
          <t>UCKZo4N0lVPccBkSiuyVh4yg</t>
        </is>
      </c>
      <c r="O1222" s="48" t="n">
        <v>44595.88541666666</v>
      </c>
      <c r="P1222" s="49" t="n">
        <v>44595</v>
      </c>
      <c r="Q1222" s="47" t="n">
        <v>2046</v>
      </c>
      <c r="R1222" s="47" t="inlineStr">
        <is>
          <t>No Video ID yet</t>
        </is>
      </c>
      <c r="S1222" s="49" t="n"/>
      <c r="T1222" s="49" t="n"/>
      <c r="U1222" s="47" t="inlineStr">
        <is>
          <t>Go to to get Honey for FREE! Get 25% off and zero delivery fees on your first order of $15 or more when you download the DoorDash app and enter code JVSB. Pretty STRAWBVIOUS Chocolate Bars :: Today J and Ben face off once more to find out who knows the most about Five Time Winner of Witch Weekly’s Most Charmin Smile Award, Honorary Member of the Dark Force Defense League and Order of Merlin Third Class: Gilderoy Lockhart Take the Quiz With Us :: #SuperCarlinBrothers #JvsBen #HarryPotter</t>
        </is>
      </c>
      <c r="V1222" s="47">
        <f>IF(AND(P1222&gt;=Calendar!$K$2,P1222&lt;EDATE(Calendar!$K$2,1),OR(Calendar!$K$4="*",N1222=Calendar!$K$4)),P1222*100+COUNTIFS($P$6:$P$3267,P1222,$Q$6:$Q$3267,"&lt;="&amp;Q1222,$N$6:$N$3267,Calendar!$K$4),"")</f>
        <v/>
      </c>
      <c r="W1222" s="47">
        <f>IF(AND(B1222=Queue!$C$4,OR(Queue!$K$4="*",N1222=Queue!$K$4)),Q1222,"")</f>
        <v/>
      </c>
    </row>
    <row r="1223">
      <c r="A1223" s="38">
        <f>IF(M1223="","",HYPERLINK("https://www.youtube.com/watch?v="&amp;M1223,"▶"))</f>
        <v/>
      </c>
      <c r="B1223" s="39">
        <f>IF(C1223&lt;&gt;"",C1223,IF(P1223&lt;=IFERROR(INDEX(tblChannels[Watched Through],MATCH(N1223,tblChannels[Channel ID],0)),0),"Watched","Unwatched"))</f>
        <v/>
      </c>
      <c r="C1223" s="40" t="n"/>
      <c r="D1223" s="41" t="n"/>
      <c r="E1223" s="42" t="n">
        <v>44593.56527777778</v>
      </c>
      <c r="F1223" s="50" t="inlineStr">
        <is>
          <t>Super Carlin Brothers</t>
        </is>
      </c>
      <c r="G1223" t="inlineStr">
        <is>
          <t>Did Maui Create the Druun?! | Disney Film Theory</t>
        </is>
      </c>
      <c r="H1223" s="44" t="n">
        <v>0.007731481481481482</v>
      </c>
      <c r="I1223" s="45" t="n">
        <v>190166</v>
      </c>
      <c r="J1223" s="45" t="n">
        <v>8800</v>
      </c>
      <c r="K1223" s="45" t="n">
        <v>476</v>
      </c>
      <c r="L1223" s="46" t="n"/>
      <c r="M1223" s="47" t="n"/>
      <c r="N1223" s="47" t="inlineStr">
        <is>
          <t>UCKZo4N0lVPccBkSiuyVh4yg</t>
        </is>
      </c>
      <c r="O1223" s="48" t="n">
        <v>44593.77361111111</v>
      </c>
      <c r="P1223" s="49" t="n">
        <v>44593</v>
      </c>
      <c r="Q1223" s="47" t="n">
        <v>2045</v>
      </c>
      <c r="R1223" s="47" t="inlineStr">
        <is>
          <t>No Video ID yet</t>
        </is>
      </c>
      <c r="S1223" s="49" t="n"/>
      <c r="T1223" s="49" t="n"/>
      <c r="U1223" s="47" t="inlineStr">
        <is>
          <t>Go to to get 25% off matching pairs, 15% off your first order, and free shipping! Today J dives into the world of Disney’s Raya and the Last Dragon and Moana to try and determine if Maui stealing the Heart of Te Fiti caused the creation of the Druun in Kumandra! #SuperCarlinBrothers #Disney</t>
        </is>
      </c>
      <c r="V1223" s="47">
        <f>IF(AND(P1223&gt;=Calendar!$K$2,P1223&lt;EDATE(Calendar!$K$2,1),OR(Calendar!$K$4="*",N1223=Calendar!$K$4)),P1223*100+COUNTIFS($P$6:$P$3267,P1223,$Q$6:$Q$3267,"&lt;="&amp;Q1223,$N$6:$N$3267,Calendar!$K$4),"")</f>
        <v/>
      </c>
      <c r="W1223" s="47">
        <f>IF(AND(B1223=Queue!$C$4,OR(Queue!$K$4="*",N1223=Queue!$K$4)),Q1223,"")</f>
        <v/>
      </c>
    </row>
    <row r="1224">
      <c r="A1224" s="38">
        <f>IF(M1224="","",HYPERLINK("https://www.youtube.com/watch?v="&amp;M1224,"▶"))</f>
        <v/>
      </c>
      <c r="B1224" s="39">
        <f>IF(C1224&lt;&gt;"",C1224,IF(P1224&lt;=IFERROR(INDEX(tblChannels[Watched Through],MATCH(N1224,tblChannels[Channel ID],0)),0),"Watched","Unwatched"))</f>
        <v/>
      </c>
      <c r="C1224" s="40" t="n"/>
      <c r="D1224" s="41" t="n"/>
      <c r="E1224" s="42" t="n">
        <v>44592.41666666666</v>
      </c>
      <c r="F1224" s="53" t="inlineStr">
        <is>
          <t>Jonathan Carlin</t>
        </is>
      </c>
      <c r="G1224" t="inlineStr">
        <is>
          <t>SNOW DAY!</t>
        </is>
      </c>
      <c r="H1224" s="44" t="n">
        <v>0.009606481481481481</v>
      </c>
      <c r="I1224" s="45" t="n">
        <v>12222</v>
      </c>
      <c r="J1224" s="45" t="n">
        <v>941</v>
      </c>
      <c r="K1224" s="45" t="n">
        <v>67</v>
      </c>
      <c r="L1224" s="46" t="n"/>
      <c r="M1224" s="47" t="n"/>
      <c r="N1224" s="47" t="inlineStr">
        <is>
          <t>UCYPKFe86e6nm4TVUYKLsFUQ</t>
        </is>
      </c>
      <c r="O1224" s="48" t="n">
        <v>44592.625</v>
      </c>
      <c r="P1224" s="49" t="n">
        <v>44592</v>
      </c>
      <c r="Q1224" s="47" t="n">
        <v>2044</v>
      </c>
      <c r="R1224" s="47" t="inlineStr">
        <is>
          <t>No Video ID yet</t>
        </is>
      </c>
      <c r="S1224" s="49" t="n"/>
      <c r="T1224" s="49" t="n"/>
      <c r="U1224" s="47" t="inlineStr">
        <is>
          <t>This week J and the fam enjoy a snow day, Ben and J open some Pokemon Cards, Beth goes for a FRIGID RUN, and Luke makes corn muffins!</t>
        </is>
      </c>
      <c r="V1224" s="47">
        <f>IF(AND(P1224&gt;=Calendar!$K$2,P1224&lt;EDATE(Calendar!$K$2,1),OR(Calendar!$K$4="*",N1224=Calendar!$K$4)),P1224*100+COUNTIFS($P$6:$P$3267,P1224,$Q$6:$Q$3267,"&lt;="&amp;Q1224,$N$6:$N$3267,Calendar!$K$4),"")</f>
        <v/>
      </c>
      <c r="W1224" s="47">
        <f>IF(AND(B1224=Queue!$C$4,OR(Queue!$K$4="*",N1224=Queue!$K$4)),Q1224,"")</f>
        <v/>
      </c>
    </row>
    <row r="1225">
      <c r="A1225" s="38">
        <f>IF(M1225="","",HYPERLINK("https://www.youtube.com/watch?v="&amp;M1225,"▶"))</f>
        <v/>
      </c>
      <c r="B1225" s="39">
        <f>IF(C1225&lt;&gt;"",C1225,IF(P1225&lt;=IFERROR(INDEX(tblChannels[Watched Through],MATCH(N1225,tblChannels[Channel ID],0)),0),"Watched","Unwatched"))</f>
        <v/>
      </c>
      <c r="C1225" s="40" t="n"/>
      <c r="D1225" s="41" t="n"/>
      <c r="E1225" s="42" t="n">
        <v>44589.41666666666</v>
      </c>
      <c r="F1225" s="43" t="inlineStr">
        <is>
          <t>Popcorn Culture</t>
        </is>
      </c>
      <c r="G1225" t="inlineStr">
        <is>
          <t>Should We Become Plungers?</t>
        </is>
      </c>
      <c r="H1225" s="44" t="n">
        <v>0.04723379629629629</v>
      </c>
      <c r="I1225" s="45" t="n">
        <v>7982</v>
      </c>
      <c r="J1225" s="45" t="n">
        <v>417</v>
      </c>
      <c r="K1225" s="45" t="n">
        <v>53</v>
      </c>
      <c r="L1225" s="46" t="n"/>
      <c r="M1225" s="47" t="n"/>
      <c r="N1225" s="47" t="inlineStr">
        <is>
          <t>UCHfIbq9thHPC8yrKjAdJgDA</t>
        </is>
      </c>
      <c r="O1225" s="48" t="n">
        <v>44589.625</v>
      </c>
      <c r="P1225" s="49" t="n">
        <v>44589</v>
      </c>
      <c r="Q1225" s="47" t="n">
        <v>2043</v>
      </c>
      <c r="R1225" s="47" t="inlineStr">
        <is>
          <t>No Video ID yet</t>
        </is>
      </c>
      <c r="S1225" s="49" t="n"/>
      <c r="T1225" s="49" t="n"/>
      <c r="U1225" s="47" t="inlineStr">
        <is>
          <t>Ben and J discuss: skiing, vacation packing as a parent, repeat travel vs. new adventures, doing things alone, hot springs and ice baths, comic con, and some fun paradoxes. Take the Annual Survey Here: Incredibles “We Get There When We Get There” clip - youtube.com/watch?v=fjsTZzP8nkI Roanoke valley Comic Con - untamedworlds.com/roanoke-valley-comicon Original Red Ranger- en.wikipedia.org/wiki/Jason_Lee_Scott SCB Encanto Theory Referenced - youtube.com/watch?v=1Pd24_2UNjM The Sorites Paradox -en.wikipedia.org/wiki/Sorites_paradox The Ship of Theseus Paradox - en.wikipedia.org/wiki/Ship_of_Theseus The Pittsburgh Potty - en.wikipedia.org/wiki/Pittsburgh_toilet Vlog of Restoring the Brass Doorknob - youtube.com/watch?v=tN7OxK6KT5w Why Were They So Tense?! Abruptly Woken Up By Packages Cartop Carrier = Failure I Can’t Think About the Wire Ball I Don’t Know If You Know How Secrets Work 00:00 - Intro and Ski Trip 04:58 - Vacation Packing 21:13 - Travel Traditions vs. New Adventures 33:12 - Hot Springs and Doing Things Alone 51:33 - Corny Joke! (With a Tangent) 53:37 - The Sorites Paradox</t>
        </is>
      </c>
      <c r="V1225" s="47">
        <f>IF(AND(P1225&gt;=Calendar!$K$2,P1225&lt;EDATE(Calendar!$K$2,1),OR(Calendar!$K$4="*",N1225=Calendar!$K$4)),P1225*100+COUNTIFS($P$6:$P$3267,P1225,$Q$6:$Q$3267,"&lt;="&amp;Q1225,$N$6:$N$3267,Calendar!$K$4),"")</f>
        <v/>
      </c>
      <c r="W1225" s="47">
        <f>IF(AND(B1225=Queue!$C$4,OR(Queue!$K$4="*",N1225=Queue!$K$4)),Q1225,"")</f>
        <v/>
      </c>
    </row>
    <row r="1226">
      <c r="A1226" s="38">
        <f>IF(M1226="","",HYPERLINK("https://www.youtube.com/watch?v="&amp;M1226,"▶"))</f>
        <v/>
      </c>
      <c r="B1226" s="39">
        <f>IF(C1226&lt;&gt;"",C1226,IF(P1226&lt;=IFERROR(INDEX(tblChannels[Watched Through],MATCH(N1226,tblChannels[Channel ID],0)),0),"Watched","Unwatched"))</f>
        <v/>
      </c>
      <c r="C1226" s="40" t="n"/>
      <c r="D1226" s="41" t="n"/>
      <c r="E1226" s="42" t="n">
        <v>44588.625</v>
      </c>
      <c r="F1226" s="50" t="inlineStr">
        <is>
          <t>Super Carlin Brothers</t>
        </is>
      </c>
      <c r="G1226" t="inlineStr">
        <is>
          <t>Does Pedro Become Casita? | Encanto Film Theory</t>
        </is>
      </c>
      <c r="H1226" s="44" t="n">
        <v>0.00982638888888889</v>
      </c>
      <c r="I1226" s="45" t="n">
        <v>219562</v>
      </c>
      <c r="J1226" s="45" t="n">
        <v>11340</v>
      </c>
      <c r="K1226" s="45" t="n">
        <v>1048</v>
      </c>
      <c r="L1226" s="46" t="n"/>
      <c r="M1226" s="47" t="n"/>
      <c r="N1226" s="47" t="inlineStr">
        <is>
          <t>UCKZo4N0lVPccBkSiuyVh4yg</t>
        </is>
      </c>
      <c r="O1226" s="48" t="n">
        <v>44588.83333333334</v>
      </c>
      <c r="P1226" s="49" t="n">
        <v>44588</v>
      </c>
      <c r="Q1226" s="47" t="n">
        <v>2042</v>
      </c>
      <c r="R1226" s="47" t="inlineStr">
        <is>
          <t>No Video ID yet</t>
        </is>
      </c>
      <c r="S1226" s="49" t="n"/>
      <c r="T1226" s="49" t="n"/>
      <c r="U1226" s="47" t="inlineStr">
        <is>
          <t>Go to and enter code SUPER at checkout for 20% off your first box! Follow: @hi_my_name_is_Riles_Jr Today Ben dives into the magical world of the Family Madrigal and Disney’s Encanto to try and determine if after his death Pedro became Casita! #SuperCarlinBrothers #Encanto</t>
        </is>
      </c>
      <c r="V1226" s="47">
        <f>IF(AND(P1226&gt;=Calendar!$K$2,P1226&lt;EDATE(Calendar!$K$2,1),OR(Calendar!$K$4="*",N1226=Calendar!$K$4)),P1226*100+COUNTIFS($P$6:$P$3267,P1226,$Q$6:$Q$3267,"&lt;="&amp;Q1226,$N$6:$N$3267,Calendar!$K$4),"")</f>
        <v/>
      </c>
      <c r="W1226" s="47">
        <f>IF(AND(B1226=Queue!$C$4,OR(Queue!$K$4="*",N1226=Queue!$K$4)),Q1226,"")</f>
        <v/>
      </c>
    </row>
    <row r="1227">
      <c r="A1227" s="38">
        <f>IF(M1227="","",HYPERLINK("https://www.youtube.com/watch?v="&amp;M1227,"▶"))</f>
        <v/>
      </c>
      <c r="B1227" s="39">
        <f>IF(C1227&lt;&gt;"",C1227,IF(P1227&lt;=IFERROR(INDEX(tblChannels[Watched Through],MATCH(N1227,tblChannels[Channel ID],0)),0),"Watched","Unwatched"))</f>
        <v/>
      </c>
      <c r="C1227" s="40" t="n"/>
      <c r="D1227" s="41" t="n"/>
      <c r="E1227" s="42" t="n">
        <v>44586.71041666667</v>
      </c>
      <c r="F1227" s="50" t="inlineStr">
        <is>
          <t>Super Carlin Brothers</t>
        </is>
      </c>
      <c r="G1227" t="inlineStr">
        <is>
          <t>What Is Abuela’s Gift? | Encanto Film Theory</t>
        </is>
      </c>
      <c r="H1227" s="44" t="n">
        <v>0.008506944444444444</v>
      </c>
      <c r="I1227" s="45" t="n">
        <v>324950</v>
      </c>
      <c r="J1227" s="45" t="n">
        <v>15444</v>
      </c>
      <c r="K1227" s="45" t="n">
        <v>1036</v>
      </c>
      <c r="L1227" s="46" t="n"/>
      <c r="M1227" s="47" t="n"/>
      <c r="N1227" s="47" t="inlineStr">
        <is>
          <t>UCKZo4N0lVPccBkSiuyVh4yg</t>
        </is>
      </c>
      <c r="O1227" s="48" t="n">
        <v>44586.91875</v>
      </c>
      <c r="P1227" s="49" t="n">
        <v>44586</v>
      </c>
      <c r="Q1227" s="47" t="n">
        <v>2041</v>
      </c>
      <c r="R1227" s="47" t="inlineStr">
        <is>
          <t>No Video ID yet</t>
        </is>
      </c>
      <c r="S1227" s="49" t="n"/>
      <c r="T1227" s="49" t="n"/>
      <c r="U1227" s="47" t="inlineStr">
        <is>
          <t>Take the SCB Annual Survey here - Today J dives into the magical world of the Family Madrigal and Disney’s Encanto try and uncover what Abuela’s gift is! #SuperCarlinBrothers #Encanto</t>
        </is>
      </c>
      <c r="V1227" s="47">
        <f>IF(AND(P1227&gt;=Calendar!$K$2,P1227&lt;EDATE(Calendar!$K$2,1),OR(Calendar!$K$4="*",N1227=Calendar!$K$4)),P1227*100+COUNTIFS($P$6:$P$3267,P1227,$Q$6:$Q$3267,"&lt;="&amp;Q1227,$N$6:$N$3267,Calendar!$K$4),"")</f>
        <v/>
      </c>
      <c r="W1227" s="47">
        <f>IF(AND(B1227=Queue!$C$4,OR(Queue!$K$4="*",N1227=Queue!$K$4)),Q1227,"")</f>
        <v/>
      </c>
    </row>
    <row r="1228">
      <c r="A1228" s="38">
        <f>IF(M1228="","",HYPERLINK("https://www.youtube.com/watch?v="&amp;M1228,"▶"))</f>
        <v/>
      </c>
      <c r="B1228" s="39">
        <f>IF(C1228&lt;&gt;"",C1228,IF(P1228&lt;=IFERROR(INDEX(tblChannels[Watched Through],MATCH(N1228,tblChannels[Channel ID],0)),0),"Watched","Unwatched"))</f>
        <v/>
      </c>
      <c r="C1228" s="40" t="n"/>
      <c r="D1228" s="41" t="n"/>
      <c r="E1228" s="42" t="n">
        <v>44585.41666666666</v>
      </c>
      <c r="F1228" s="53" t="inlineStr">
        <is>
          <t>Jonathan Carlin</t>
        </is>
      </c>
      <c r="G1228" t="inlineStr">
        <is>
          <t>Our Goals For 2022</t>
        </is>
      </c>
      <c r="H1228" s="44" t="n">
        <v>0.01216435185185185</v>
      </c>
      <c r="I1228" s="45" t="n">
        <v>14060</v>
      </c>
      <c r="J1228" s="45" t="n">
        <v>1045</v>
      </c>
      <c r="K1228" s="45" t="n">
        <v>104</v>
      </c>
      <c r="L1228" s="46" t="n"/>
      <c r="M1228" s="47" t="n"/>
      <c r="N1228" s="47" t="inlineStr">
        <is>
          <t>UCYPKFe86e6nm4TVUYKLsFUQ</t>
        </is>
      </c>
      <c r="O1228" s="48" t="n">
        <v>44585.625</v>
      </c>
      <c r="P1228" s="49" t="n">
        <v>44585</v>
      </c>
      <c r="Q1228" s="47" t="n">
        <v>2040</v>
      </c>
      <c r="R1228" s="47" t="inlineStr">
        <is>
          <t>No Video ID yet</t>
        </is>
      </c>
      <c r="S1228" s="49" t="n"/>
      <c r="T1228" s="49" t="n"/>
      <c r="U1228" s="47" t="inlineStr">
        <is>
          <t>This with J and the fam celebrate the new year, resolve to be more intentional with "friends" and clean out the fridge! Edited by Ethan Edghill</t>
        </is>
      </c>
      <c r="V1228" s="47">
        <f>IF(AND(P1228&gt;=Calendar!$K$2,P1228&lt;EDATE(Calendar!$K$2,1),OR(Calendar!$K$4="*",N1228=Calendar!$K$4)),P1228*100+COUNTIFS($P$6:$P$3267,P1228,$Q$6:$Q$3267,"&lt;="&amp;Q1228,$N$6:$N$3267,Calendar!$K$4),"")</f>
        <v/>
      </c>
      <c r="W1228" s="47">
        <f>IF(AND(B1228=Queue!$C$4,OR(Queue!$K$4="*",N1228=Queue!$K$4)),Q1228,"")</f>
        <v/>
      </c>
    </row>
    <row r="1229">
      <c r="A1229" s="38">
        <f>IF(M1229="","",HYPERLINK("https://www.youtube.com/watch?v="&amp;M1229,"▶"))</f>
        <v/>
      </c>
      <c r="B1229" s="39">
        <f>IF(C1229&lt;&gt;"",C1229,IF(P1229&lt;=IFERROR(INDEX(tblChannels[Watched Through],MATCH(N1229,tblChannels[Channel ID],0)),0),"Watched","Unwatched"))</f>
        <v/>
      </c>
      <c r="C1229" s="40" t="n"/>
      <c r="D1229" s="41" t="n"/>
      <c r="E1229" s="42" t="n">
        <v>44582.5</v>
      </c>
      <c r="F1229" s="54" t="inlineStr">
        <is>
          <t>With the Carlins</t>
        </is>
      </c>
      <c r="G1229" t="inlineStr">
        <is>
          <t>Addison's First Snow Day!</t>
        </is>
      </c>
      <c r="H1229" s="44" t="n">
        <v>0.01800925925925926</v>
      </c>
      <c r="I1229" s="45" t="n">
        <v>16135</v>
      </c>
      <c r="J1229" s="45" t="n">
        <v>1269</v>
      </c>
      <c r="K1229" s="45" t="n">
        <v>139</v>
      </c>
      <c r="L1229" s="46" t="n"/>
      <c r="M1229" s="47" t="n"/>
      <c r="N1229" s="47" t="inlineStr">
        <is>
          <t>UCVBTjN9WJU5Ac8yU7b2K-5g</t>
        </is>
      </c>
      <c r="O1229" s="48" t="n">
        <v>44582.70833333334</v>
      </c>
      <c r="P1229" s="49" t="n">
        <v>44582</v>
      </c>
      <c r="Q1229" s="47" t="n">
        <v>2039</v>
      </c>
      <c r="R1229" s="47" t="inlineStr">
        <is>
          <t>No Video ID yet</t>
        </is>
      </c>
      <c r="S1229" s="49" t="n"/>
      <c r="T1229" s="49" t="n"/>
      <c r="U1229" s="47" t="inlineStr">
        <is>
          <t>This week we make chocolate covered strawberries, deconstruct and then reconstruct a hundred year old door knob and Addy gets to enjoy snow for the first time! Follow Us! :: I N S T A G R A M➜ and Ben Carlin #SuperCarlinBrothers #CarlinFamily #FamilyVlog</t>
        </is>
      </c>
      <c r="V1229" s="47">
        <f>IF(AND(P1229&gt;=Calendar!$K$2,P1229&lt;EDATE(Calendar!$K$2,1),OR(Calendar!$K$4="*",N1229=Calendar!$K$4)),P1229*100+COUNTIFS($P$6:$P$3267,P1229,$Q$6:$Q$3267,"&lt;="&amp;Q1229,$N$6:$N$3267,Calendar!$K$4),"")</f>
        <v/>
      </c>
      <c r="W1229" s="47">
        <f>IF(AND(B1229=Queue!$C$4,OR(Queue!$K$4="*",N1229=Queue!$K$4)),Q1229,"")</f>
        <v/>
      </c>
    </row>
    <row r="1230">
      <c r="A1230" s="38">
        <f>IF(M1230="","",HYPERLINK("https://www.youtube.com/watch?v="&amp;M1230,"▶"))</f>
        <v/>
      </c>
      <c r="B1230" s="39">
        <f>IF(C1230&lt;&gt;"",C1230,IF(P1230&lt;=IFERROR(INDEX(tblChannels[Watched Through],MATCH(N1230,tblChannels[Channel ID],0)),0),"Watched","Unwatched"))</f>
        <v/>
      </c>
      <c r="C1230" s="40" t="n"/>
      <c r="D1230" s="41" t="n"/>
      <c r="E1230" s="42" t="n">
        <v>44582.41666666666</v>
      </c>
      <c r="F1230" s="43" t="inlineStr">
        <is>
          <t>Popcorn Culture</t>
        </is>
      </c>
      <c r="G1230" t="inlineStr">
        <is>
          <t>Full Contact Sledding | Popcorn Culture</t>
        </is>
      </c>
      <c r="H1230" s="44" t="n">
        <v>0.04648148148148148</v>
      </c>
      <c r="I1230" s="45" t="n">
        <v>8213</v>
      </c>
      <c r="J1230" s="45" t="n">
        <v>420</v>
      </c>
      <c r="K1230" s="45" t="n">
        <v>72</v>
      </c>
      <c r="L1230" s="46" t="n"/>
      <c r="M1230" s="47" t="n"/>
      <c r="N1230" s="47" t="inlineStr">
        <is>
          <t>UCHfIbq9thHPC8yrKjAdJgDA</t>
        </is>
      </c>
      <c r="O1230" s="48" t="n">
        <v>44582.625</v>
      </c>
      <c r="P1230" s="49" t="n">
        <v>44582</v>
      </c>
      <c r="Q1230" s="47" t="n">
        <v>2038</v>
      </c>
      <c r="R1230" s="47" t="inlineStr">
        <is>
          <t>No Video ID yet</t>
        </is>
      </c>
      <c r="S1230" s="49" t="n"/>
      <c r="T1230" s="49" t="n"/>
      <c r="U1230" s="47" t="inlineStr">
        <is>
          <t>In the 111th episode of the Pop, Ben and J discuss Pectus, extreme sledding, setting healthy expectations, a new board game idea, Q1 Merch Announcement! Egyptian Rat Screw, butter, cake baking, the current state of existence, training a dog, AND being an “and man.” Pectus- Pics from Ben's Pectus surgery - TV Show “Figure It Out” hosted by Summer Sanders - J’s video about the scar - Encanto - Kings Wild Project Playing Cards- Rules of Egyptian Rat Screw - Wendy's fpoon commercial - Carousel of Progress - 6th Grade Party Trick Adult Version of “Do You Wanna Come Out And Play?” Slap Doubles Fpoon Where Do You Keep Your Butter? You Can’t See the Forest Through the Trees</t>
        </is>
      </c>
      <c r="V1230" s="47">
        <f>IF(AND(P1230&gt;=Calendar!$K$2,P1230&lt;EDATE(Calendar!$K$2,1),OR(Calendar!$K$4="*",N1230=Calendar!$K$4)),P1230*100+COUNTIFS($P$6:$P$3267,P1230,$Q$6:$Q$3267,"&lt;="&amp;Q1230,$N$6:$N$3267,Calendar!$K$4),"")</f>
        <v/>
      </c>
      <c r="W1230" s="47">
        <f>IF(AND(B1230=Queue!$C$4,OR(Queue!$K$4="*",N1230=Queue!$K$4)),Q1230,"")</f>
        <v/>
      </c>
    </row>
    <row r="1231">
      <c r="A1231" s="38">
        <f>IF(M1231="","",HYPERLINK("https://www.youtube.com/watch?v="&amp;M1231,"▶"))</f>
        <v/>
      </c>
      <c r="B1231" s="39">
        <f>IF(C1231&lt;&gt;"",C1231,IF(P1231&lt;=IFERROR(INDEX(tblChannels[Watched Through],MATCH(N1231,tblChannels[Channel ID],0)),0),"Watched","Unwatched"))</f>
        <v/>
      </c>
      <c r="C1231" s="40" t="n"/>
      <c r="D1231" s="41" t="n"/>
      <c r="E1231" s="42" t="n">
        <v>44581.71944444445</v>
      </c>
      <c r="F1231" s="50" t="inlineStr">
        <is>
          <t>Super Carlin Brothers</t>
        </is>
      </c>
      <c r="G1231" t="inlineStr">
        <is>
          <t>Bruno’s SECRET Gift | Disney Encanto Film Theory</t>
        </is>
      </c>
      <c r="H1231" s="44" t="n">
        <v>0.007060185185185185</v>
      </c>
      <c r="I1231" s="45" t="n">
        <v>291372</v>
      </c>
      <c r="J1231" s="45" t="n">
        <v>14451</v>
      </c>
      <c r="K1231" s="45" t="n">
        <v>3351</v>
      </c>
      <c r="L1231" s="46" t="n"/>
      <c r="M1231" s="47" t="n"/>
      <c r="N1231" s="47" t="inlineStr">
        <is>
          <t>UCKZo4N0lVPccBkSiuyVh4yg</t>
        </is>
      </c>
      <c r="O1231" s="48" t="n">
        <v>44581.92777777778</v>
      </c>
      <c r="P1231" s="49" t="n">
        <v>44581</v>
      </c>
      <c r="Q1231" s="47" t="n">
        <v>2037</v>
      </c>
      <c r="R1231" s="47" t="inlineStr">
        <is>
          <t>No Video ID yet</t>
        </is>
      </c>
      <c r="S1231" s="49" t="n"/>
      <c r="T1231" s="49" t="n"/>
      <c r="U1231" s="47" t="inlineStr">
        <is>
          <t>Go to to get Honey for free! Today J dives into the magical world of the Family Madrigal and Disney’s Encanto to uh… Talk about Bruno and his SECRET Gift! #SuperCarlinBrothers #Encanto</t>
        </is>
      </c>
      <c r="V1231" s="47">
        <f>IF(AND(P1231&gt;=Calendar!$K$2,P1231&lt;EDATE(Calendar!$K$2,1),OR(Calendar!$K$4="*",N1231=Calendar!$K$4)),P1231*100+COUNTIFS($P$6:$P$3267,P1231,$Q$6:$Q$3267,"&lt;="&amp;Q1231,$N$6:$N$3267,Calendar!$K$4),"")</f>
        <v/>
      </c>
      <c r="W1231" s="47">
        <f>IF(AND(B1231=Queue!$C$4,OR(Queue!$K$4="*",N1231=Queue!$K$4)),Q1231,"")</f>
        <v/>
      </c>
    </row>
    <row r="1232">
      <c r="A1232" s="38">
        <f>IF(M1232="","",HYPERLINK("https://www.youtube.com/watch?v="&amp;M1232,"▶"))</f>
        <v/>
      </c>
      <c r="B1232" s="39">
        <f>IF(C1232&lt;&gt;"",C1232,IF(P1232&lt;=IFERROR(INDEX(tblChannels[Watched Through],MATCH(N1232,tblChannels[Channel ID],0)),0),"Watched","Unwatched"))</f>
        <v/>
      </c>
      <c r="C1232" s="40" t="n"/>
      <c r="D1232" s="41" t="n"/>
      <c r="E1232" s="42" t="n">
        <v>44579.7625</v>
      </c>
      <c r="F1232" s="50" t="inlineStr">
        <is>
          <t>Super Carlin Brothers</t>
        </is>
      </c>
      <c r="G1232" t="inlineStr">
        <is>
          <t>J vs Ben: ENCANTO Finish the Lyric Quiz!</t>
        </is>
      </c>
      <c r="H1232" s="44" t="n">
        <v>0.0165625</v>
      </c>
      <c r="I1232" s="45" t="n">
        <v>264057</v>
      </c>
      <c r="J1232" s="45" t="n">
        <v>9724</v>
      </c>
      <c r="K1232" s="45" t="n">
        <v>1316</v>
      </c>
      <c r="L1232" s="46" t="n"/>
      <c r="M1232" s="47" t="n"/>
      <c r="N1232" s="47" t="inlineStr">
        <is>
          <t>UCKZo4N0lVPccBkSiuyVh4yg</t>
        </is>
      </c>
      <c r="O1232" s="48" t="n">
        <v>44579.97083333333</v>
      </c>
      <c r="P1232" s="49" t="n">
        <v>44579</v>
      </c>
      <c r="Q1232" s="47" t="n">
        <v>2036</v>
      </c>
      <c r="R1232" s="47" t="inlineStr">
        <is>
          <t>No Video ID yet</t>
        </is>
      </c>
      <c r="S1232" s="49" t="n"/>
      <c r="T1232" s="49" t="n"/>
      <c r="U1232" s="47" t="inlineStr">
        <is>
          <t>Go to and use promo code JVSB to get an additional 3 months FREE! Go to and use code JVB to get 20% off with free shipping. Today J and Ben (who please remember are terrible at music) face off once more to find out who know the lyrics to the songs from Disney’s Encanto the best! #SuperCarlinBrothers #Encanto</t>
        </is>
      </c>
      <c r="V1232" s="47">
        <f>IF(AND(P1232&gt;=Calendar!$K$2,P1232&lt;EDATE(Calendar!$K$2,1),OR(Calendar!$K$4="*",N1232=Calendar!$K$4)),P1232*100+COUNTIFS($P$6:$P$3267,P1232,$Q$6:$Q$3267,"&lt;="&amp;Q1232,$N$6:$N$3267,Calendar!$K$4),"")</f>
        <v/>
      </c>
      <c r="W1232" s="47">
        <f>IF(AND(B1232=Queue!$C$4,OR(Queue!$K$4="*",N1232=Queue!$K$4)),Q1232,"")</f>
        <v/>
      </c>
    </row>
    <row r="1233">
      <c r="A1233" s="38">
        <f>IF(M1233="","",HYPERLINK("https://www.youtube.com/watch?v="&amp;M1233,"▶"))</f>
        <v/>
      </c>
      <c r="B1233" s="39">
        <f>IF(C1233&lt;&gt;"",C1233,IF(P1233&lt;=IFERROR(INDEX(tblChannels[Watched Through],MATCH(N1233,tblChannels[Channel ID],0)),0),"Watched","Unwatched"))</f>
        <v/>
      </c>
      <c r="C1233" s="40" t="n"/>
      <c r="D1233" s="41" t="n"/>
      <c r="E1233" s="42" t="n">
        <v>44578.88958333333</v>
      </c>
      <c r="F1233" s="53" t="inlineStr">
        <is>
          <t>Jonathan Carlin</t>
        </is>
      </c>
      <c r="G1233" t="inlineStr">
        <is>
          <t>NAAAAAAAAAATE!</t>
        </is>
      </c>
      <c r="H1233" s="44" t="n">
        <v>0.0007060185185185185</v>
      </c>
      <c r="I1233" s="45" t="n">
        <v>12427</v>
      </c>
      <c r="J1233" s="45" t="n">
        <v>1202</v>
      </c>
      <c r="K1233" s="45" t="n">
        <v>74</v>
      </c>
      <c r="L1233" s="46" t="n"/>
      <c r="M1233" s="47" t="n"/>
      <c r="N1233" s="47" t="inlineStr">
        <is>
          <t>UCYPKFe86e6nm4TVUYKLsFUQ</t>
        </is>
      </c>
      <c r="O1233" s="48" t="n">
        <v>44579.09791666667</v>
      </c>
      <c r="P1233" s="49" t="n">
        <v>44578</v>
      </c>
      <c r="Q1233" s="47" t="n">
        <v>2035</v>
      </c>
      <c r="R1233" s="47" t="inlineStr">
        <is>
          <t>No Video ID yet</t>
        </is>
      </c>
      <c r="S1233" s="49" t="n"/>
      <c r="T1233" s="49" t="n"/>
      <c r="U1233" s="47" t="inlineStr">
        <is>
          <t>Nick calling for NATE!</t>
        </is>
      </c>
      <c r="V1233" s="47">
        <f>IF(AND(P1233&gt;=Calendar!$K$2,P1233&lt;EDATE(Calendar!$K$2,1),OR(Calendar!$K$4="*",N1233=Calendar!$K$4)),P1233*100+COUNTIFS($P$6:$P$3267,P1233,$Q$6:$Q$3267,"&lt;="&amp;Q1233,$N$6:$N$3267,Calendar!$K$4),"")</f>
        <v/>
      </c>
      <c r="W1233" s="47">
        <f>IF(AND(B1233=Queue!$C$4,OR(Queue!$K$4="*",N1233=Queue!$K$4)),Q1233,"")</f>
        <v/>
      </c>
    </row>
    <row r="1234">
      <c r="A1234" s="38">
        <f>IF(M1234="","",HYPERLINK("https://www.youtube.com/watch?v="&amp;M1234,"▶"))</f>
        <v/>
      </c>
      <c r="B1234" s="39">
        <f>IF(C1234&lt;&gt;"",C1234,IF(P1234&lt;=IFERROR(INDEX(tblChannels[Watched Through],MATCH(N1234,tblChannels[Channel ID],0)),0),"Watched","Unwatched"))</f>
        <v/>
      </c>
      <c r="C1234" s="40" t="n"/>
      <c r="D1234" s="41" t="n"/>
      <c r="E1234" s="42" t="n">
        <v>44578.41666666666</v>
      </c>
      <c r="F1234" s="53" t="inlineStr">
        <is>
          <t>Jonathan Carlin</t>
        </is>
      </c>
      <c r="G1234" t="inlineStr">
        <is>
          <t>Luke Tries His New Bike!</t>
        </is>
      </c>
      <c r="H1234" s="44" t="n">
        <v>0.01150462962962963</v>
      </c>
      <c r="I1234" s="45" t="n">
        <v>16847</v>
      </c>
      <c r="J1234" s="45" t="n">
        <v>1147</v>
      </c>
      <c r="K1234" s="45" t="n">
        <v>0</v>
      </c>
      <c r="L1234" s="46" t="n"/>
      <c r="M1234" s="47" t="n"/>
      <c r="N1234" s="47" t="inlineStr">
        <is>
          <t>UCYPKFe86e6nm4TVUYKLsFUQ</t>
        </is>
      </c>
      <c r="O1234" s="48" t="n">
        <v>44578.625</v>
      </c>
      <c r="P1234" s="49" t="n">
        <v>44578</v>
      </c>
      <c r="Q1234" s="47" t="n">
        <v>2034</v>
      </c>
      <c r="R1234" s="47" t="inlineStr">
        <is>
          <t>No Video ID yet</t>
        </is>
      </c>
      <c r="S1234" s="49" t="n"/>
      <c r="T1234" s="49" t="n"/>
      <c r="U1234" s="47" t="inlineStr">
        <is>
          <t>This week J and the fam celebrate Christmas at the grandparents house, J tries to teach Luke how to ride his new bike, and the fam checks out Illuminights at Explore Park! Edited by Ethan Edghill</t>
        </is>
      </c>
      <c r="V1234" s="47">
        <f>IF(AND(P1234&gt;=Calendar!$K$2,P1234&lt;EDATE(Calendar!$K$2,1),OR(Calendar!$K$4="*",N1234=Calendar!$K$4)),P1234*100+COUNTIFS($P$6:$P$3267,P1234,$Q$6:$Q$3267,"&lt;="&amp;Q1234,$N$6:$N$3267,Calendar!$K$4),"")</f>
        <v/>
      </c>
      <c r="W1234" s="47">
        <f>IF(AND(B1234=Queue!$C$4,OR(Queue!$K$4="*",N1234=Queue!$K$4)),Q1234,"")</f>
        <v/>
      </c>
    </row>
    <row r="1235">
      <c r="A1235" s="38">
        <f>IF(M1235="","",HYPERLINK("https://www.youtube.com/watch?v="&amp;M1235,"▶"))</f>
        <v/>
      </c>
      <c r="B1235" s="39">
        <f>IF(C1235&lt;&gt;"",C1235,IF(P1235&lt;=IFERROR(INDEX(tblChannels[Watched Through],MATCH(N1235,tblChannels[Channel ID],0)),0),"Watched","Unwatched"))</f>
        <v/>
      </c>
      <c r="C1235" s="40" t="n"/>
      <c r="D1235" s="41" t="n"/>
      <c r="E1235" s="42" t="n">
        <v>44575.5</v>
      </c>
      <c r="F1235" s="54" t="inlineStr">
        <is>
          <t>With the Carlins</t>
        </is>
      </c>
      <c r="G1235" t="inlineStr">
        <is>
          <t>How To Make Clear Ice</t>
        </is>
      </c>
      <c r="H1235" s="44" t="n">
        <v>0.0153125</v>
      </c>
      <c r="I1235" s="45" t="n">
        <v>17670</v>
      </c>
      <c r="J1235" s="45" t="n">
        <v>1406</v>
      </c>
      <c r="K1235" s="45" t="n">
        <v>124</v>
      </c>
      <c r="L1235" s="46" t="n"/>
      <c r="M1235" s="47" t="n"/>
      <c r="N1235" s="47" t="inlineStr">
        <is>
          <t>UCVBTjN9WJU5Ac8yU7b2K-5g</t>
        </is>
      </c>
      <c r="O1235" s="48" t="n">
        <v>44575.70833333334</v>
      </c>
      <c r="P1235" s="49" t="n">
        <v>44575</v>
      </c>
      <c r="Q1235" s="47" t="n">
        <v>2033</v>
      </c>
      <c r="R1235" s="47" t="inlineStr">
        <is>
          <t>No Video ID yet</t>
        </is>
      </c>
      <c r="S1235" s="49" t="n"/>
      <c r="T1235" s="49" t="n"/>
      <c r="U1235" s="47" t="inlineStr">
        <is>
          <t>This week we celebrate two years of marriage, hang out in a salt cave and make clear ice! Follow Us! :: I N S T A G R A M➜ and Ben Carlin #SuperCarlinBrothers #CarlinFamily #FamilyVlog</t>
        </is>
      </c>
      <c r="V1235" s="47">
        <f>IF(AND(P1235&gt;=Calendar!$K$2,P1235&lt;EDATE(Calendar!$K$2,1),OR(Calendar!$K$4="*",N1235=Calendar!$K$4)),P1235*100+COUNTIFS($P$6:$P$3267,P1235,$Q$6:$Q$3267,"&lt;="&amp;Q1235,$N$6:$N$3267,Calendar!$K$4),"")</f>
        <v/>
      </c>
      <c r="W1235" s="47">
        <f>IF(AND(B1235=Queue!$C$4,OR(Queue!$K$4="*",N1235=Queue!$K$4)),Q1235,"")</f>
        <v/>
      </c>
    </row>
    <row r="1236">
      <c r="A1236" s="38">
        <f>IF(M1236="","",HYPERLINK("https://www.youtube.com/watch?v="&amp;M1236,"▶"))</f>
        <v/>
      </c>
      <c r="B1236" s="39">
        <f>IF(C1236&lt;&gt;"",C1236,IF(P1236&lt;=IFERROR(INDEX(tblChannels[Watched Through],MATCH(N1236,tblChannels[Channel ID],0)),0),"Watched","Unwatched"))</f>
        <v/>
      </c>
      <c r="C1236" s="40" t="n"/>
      <c r="D1236" s="41" t="n"/>
      <c r="E1236" s="42" t="n">
        <v>44575.41666666666</v>
      </c>
      <c r="F1236" s="43" t="inlineStr">
        <is>
          <t>Popcorn Culture</t>
        </is>
      </c>
      <c r="G1236" t="inlineStr">
        <is>
          <t>Hah Hah! Batman Wins</t>
        </is>
      </c>
      <c r="H1236" s="44" t="n">
        <v>0.05391203703703704</v>
      </c>
      <c r="I1236" s="45" t="n">
        <v>10277</v>
      </c>
      <c r="J1236" s="45" t="n">
        <v>460</v>
      </c>
      <c r="K1236" s="45" t="n">
        <v>52</v>
      </c>
      <c r="L1236" s="46" t="n"/>
      <c r="M1236" s="47" t="n"/>
      <c r="N1236" s="47" t="inlineStr">
        <is>
          <t>UCHfIbq9thHPC8yrKjAdJgDA</t>
        </is>
      </c>
      <c r="O1236" s="48" t="n">
        <v>44575.625</v>
      </c>
      <c r="P1236" s="49" t="n">
        <v>44575</v>
      </c>
      <c r="Q1236" s="47" t="n">
        <v>2032</v>
      </c>
      <c r="R1236" s="47" t="inlineStr">
        <is>
          <t>No Video ID yet</t>
        </is>
      </c>
      <c r="S1236" s="49" t="n"/>
      <c r="T1236" s="49" t="n"/>
      <c r="U1236" s="47" t="inlineStr">
        <is>
          <t>In the 110th episode of the Pop, Ben and J discuss being happy for other people’s success, Ben’s Spiderman suit, Walmart shenanigans, cop interactions, the people you surround yourself with, anonymity, dancing, VR is super fun, J’s Latin class, and Mexican restaurant stories. Indiana Jones Invisible Bridge Scene: Super Mario Brothers: Oculus Quest 2: O Brother Where Art Thou: J’s Wick of the Peek: Tic Tac KO and Beat Sabers on Oculus: and More Happier For People Making a Deal With Your Brain The Way to Win Mario Hah Hah! Batman Wins Four Teenage Boys Belting Green Day Getting Caught *NOT* Breaking the Rules 00:00 - Intro, Other People’s Success 04:44 - Anxiety Projection and Confidence 19:00 - GMA Story 26:30 - Interactions with Cops 32:59 - Are You the Average of the 5 People You Spend the Most Time With? 53:22 - Why is it so Hard to Dance? 1:10:57 - Latin Class</t>
        </is>
      </c>
      <c r="V1236" s="47">
        <f>IF(AND(P1236&gt;=Calendar!$K$2,P1236&lt;EDATE(Calendar!$K$2,1),OR(Calendar!$K$4="*",N1236=Calendar!$K$4)),P1236*100+COUNTIFS($P$6:$P$3267,P1236,$Q$6:$Q$3267,"&lt;="&amp;Q1236,$N$6:$N$3267,Calendar!$K$4),"")</f>
        <v/>
      </c>
      <c r="W1236" s="47">
        <f>IF(AND(B1236=Queue!$C$4,OR(Queue!$K$4="*",N1236=Queue!$K$4)),Q1236,"")</f>
        <v/>
      </c>
    </row>
    <row r="1237">
      <c r="A1237" s="38">
        <f>IF(M1237="","",HYPERLINK("https://www.youtube.com/watch?v="&amp;M1237,"▶"))</f>
        <v/>
      </c>
      <c r="B1237" s="39">
        <f>IF(C1237&lt;&gt;"",C1237,IF(P1237&lt;=IFERROR(INDEX(tblChannels[Watched Through],MATCH(N1237,tblChannels[Channel ID],0)),0),"Watched","Unwatched"))</f>
        <v/>
      </c>
      <c r="C1237" s="40" t="n"/>
      <c r="D1237" s="41" t="n"/>
      <c r="E1237" s="42" t="n">
        <v>44574.67638888889</v>
      </c>
      <c r="F1237" s="50" t="inlineStr">
        <is>
          <t>Super Carlin Brothers</t>
        </is>
      </c>
      <c r="G1237" t="inlineStr">
        <is>
          <t>Why Didn’t Mirabel Get A Gift? | Disney Encanto Film Theory</t>
        </is>
      </c>
      <c r="H1237" s="44" t="n">
        <v>0.01130787037037037</v>
      </c>
      <c r="I1237" s="45" t="n">
        <v>430833</v>
      </c>
      <c r="J1237" s="45" t="n">
        <v>18537</v>
      </c>
      <c r="K1237" s="45" t="n">
        <v>2212</v>
      </c>
      <c r="L1237" s="46" t="n"/>
      <c r="M1237" s="47" t="n"/>
      <c r="N1237" s="47" t="inlineStr">
        <is>
          <t>UCKZo4N0lVPccBkSiuyVh4yg</t>
        </is>
      </c>
      <c r="O1237" s="48" t="n">
        <v>44574.88472222222</v>
      </c>
      <c r="P1237" s="49" t="n">
        <v>44574</v>
      </c>
      <c r="Q1237" s="47" t="n">
        <v>2031</v>
      </c>
      <c r="R1237" s="47" t="inlineStr">
        <is>
          <t>No Video ID yet</t>
        </is>
      </c>
      <c r="S1237" s="49" t="n"/>
      <c r="T1237" s="49" t="n"/>
      <c r="U1237" s="47" t="inlineStr">
        <is>
          <t>Go to and use code SUPERCARLIN to claim your special offer today! Today Ben dives into the Magical world of Encanto and the Family Madrigal to find out Mirabel didn’t receive a gift from the miracle! #SuperCarlinBrothers #Encanto</t>
        </is>
      </c>
      <c r="V1237" s="47">
        <f>IF(AND(P1237&gt;=Calendar!$K$2,P1237&lt;EDATE(Calendar!$K$2,1),OR(Calendar!$K$4="*",N1237=Calendar!$K$4)),P1237*100+COUNTIFS($P$6:$P$3267,P1237,$Q$6:$Q$3267,"&lt;="&amp;Q1237,$N$6:$N$3267,Calendar!$K$4),"")</f>
        <v/>
      </c>
      <c r="W1237" s="47">
        <f>IF(AND(B1237=Queue!$C$4,OR(Queue!$K$4="*",N1237=Queue!$K$4)),Q1237,"")</f>
        <v/>
      </c>
    </row>
    <row r="1238">
      <c r="A1238" s="38">
        <f>IF(M1238="","",HYPERLINK("https://www.youtube.com/watch?v="&amp;M1238,"▶"))</f>
        <v/>
      </c>
      <c r="B1238" s="39">
        <f>IF(C1238&lt;&gt;"",C1238,IF(P1238&lt;=IFERROR(INDEX(tblChannels[Watched Through],MATCH(N1238,tblChannels[Channel ID],0)),0),"Watched","Unwatched"))</f>
        <v/>
      </c>
      <c r="C1238" s="40" t="n"/>
      <c r="D1238" s="41" t="n"/>
      <c r="E1238" s="42" t="n">
        <v>44572.70138888889</v>
      </c>
      <c r="F1238" s="50" t="inlineStr">
        <is>
          <t>Super Carlin Brothers</t>
        </is>
      </c>
      <c r="G1238" t="inlineStr">
        <is>
          <t>Are Boggarts Baby Dementors?? | Harry Potter Film Theory</t>
        </is>
      </c>
      <c r="H1238" s="44" t="n">
        <v>0.00986111111111111</v>
      </c>
      <c r="I1238" s="45" t="n">
        <v>379282</v>
      </c>
      <c r="J1238" s="45" t="n">
        <v>16977</v>
      </c>
      <c r="K1238" s="45" t="n">
        <v>1485</v>
      </c>
      <c r="L1238" s="46" t="n"/>
      <c r="M1238" s="47" t="n"/>
      <c r="N1238" s="47" t="inlineStr">
        <is>
          <t>UCKZo4N0lVPccBkSiuyVh4yg</t>
        </is>
      </c>
      <c r="O1238" s="48" t="n">
        <v>44572.90972222222</v>
      </c>
      <c r="P1238" s="49" t="n">
        <v>44572</v>
      </c>
      <c r="Q1238" s="47" t="n">
        <v>2030</v>
      </c>
      <c r="R1238" s="47" t="inlineStr">
        <is>
          <t>No Video ID yet</t>
        </is>
      </c>
      <c r="S1238" s="49" t="n"/>
      <c r="T1238" s="49" t="n"/>
      <c r="U1238" s="47" t="inlineStr">
        <is>
          <t>Go to to get 25% off matching pairs, 15% off your first order, and free shipping! Today J dives into the Wizarding World of Harry Potter to discuss the possible relation between two of the wizarding worlds most fearsome creatures: Boggarts and Dementors! Is it possible boggarts are simply undeveloped dementors? Roanoker Voting :: #SuperCarlinBrothers #Harry Potter</t>
        </is>
      </c>
      <c r="V1238" s="47">
        <f>IF(AND(P1238&gt;=Calendar!$K$2,P1238&lt;EDATE(Calendar!$K$2,1),OR(Calendar!$K$4="*",N1238=Calendar!$K$4)),P1238*100+COUNTIFS($P$6:$P$3267,P1238,$Q$6:$Q$3267,"&lt;="&amp;Q1238,$N$6:$N$3267,Calendar!$K$4),"")</f>
        <v/>
      </c>
      <c r="W1238" s="47">
        <f>IF(AND(B1238=Queue!$C$4,OR(Queue!$K$4="*",N1238=Queue!$K$4)),Q1238,"")</f>
        <v/>
      </c>
    </row>
    <row r="1239">
      <c r="A1239" s="38">
        <f>IF(M1239="","",HYPERLINK("https://www.youtube.com/watch?v="&amp;M1239,"▶"))</f>
        <v/>
      </c>
      <c r="B1239" s="39">
        <f>IF(C1239&lt;&gt;"",C1239,IF(P1239&lt;=IFERROR(INDEX(tblChannels[Watched Through],MATCH(N1239,tblChannels[Channel ID],0)),0),"Watched","Unwatched"))</f>
        <v/>
      </c>
      <c r="C1239" s="40" t="n"/>
      <c r="D1239" s="41" t="n"/>
      <c r="E1239" s="42" t="n">
        <v>44571.41666666666</v>
      </c>
      <c r="F1239" s="53" t="inlineStr">
        <is>
          <t>Jonathan Carlin</t>
        </is>
      </c>
      <c r="G1239" t="inlineStr">
        <is>
          <t>Christmas With The Carlins</t>
        </is>
      </c>
      <c r="H1239" s="44" t="n">
        <v>0.01295138888888889</v>
      </c>
      <c r="I1239" s="45" t="n">
        <v>17503</v>
      </c>
      <c r="J1239" s="45" t="n">
        <v>1270</v>
      </c>
      <c r="K1239" s="45" t="n">
        <v>0</v>
      </c>
      <c r="L1239" s="46" t="n"/>
      <c r="M1239" s="47" t="n"/>
      <c r="N1239" s="47" t="inlineStr">
        <is>
          <t>UCYPKFe86e6nm4TVUYKLsFUQ</t>
        </is>
      </c>
      <c r="O1239" s="48" t="n">
        <v>44571.625</v>
      </c>
      <c r="P1239" s="49" t="n">
        <v>44571</v>
      </c>
      <c r="Q1239" s="47" t="n">
        <v>2029</v>
      </c>
      <c r="R1239" s="47" t="inlineStr">
        <is>
          <t>No Video ID yet</t>
        </is>
      </c>
      <c r="S1239" s="49" t="n"/>
      <c r="T1239" s="49" t="n"/>
      <c r="U1239" s="47" t="inlineStr">
        <is>
          <t>This week Luke gets his first bike with pedals, J smashes some rocks... and a plate and everyone has a dance party! Luke's Bike :: Nick &amp; Nates Race Track :: Sky Lite :: Geodes :: Oculus Quest 2 :: Pirate Ship ::</t>
        </is>
      </c>
      <c r="V1239" s="47">
        <f>IF(AND(P1239&gt;=Calendar!$K$2,P1239&lt;EDATE(Calendar!$K$2,1),OR(Calendar!$K$4="*",N1239=Calendar!$K$4)),P1239*100+COUNTIFS($P$6:$P$3267,P1239,$Q$6:$Q$3267,"&lt;="&amp;Q1239,$N$6:$N$3267,Calendar!$K$4),"")</f>
        <v/>
      </c>
      <c r="W1239" s="47">
        <f>IF(AND(B1239=Queue!$C$4,OR(Queue!$K$4="*",N1239=Queue!$K$4)),Q1239,"")</f>
        <v/>
      </c>
    </row>
    <row r="1240">
      <c r="A1240" s="38">
        <f>IF(M1240="","",HYPERLINK("https://www.youtube.com/watch?v="&amp;M1240,"▶"))</f>
        <v/>
      </c>
      <c r="B1240" s="39">
        <f>IF(C1240&lt;&gt;"",C1240,IF(P1240&lt;=IFERROR(INDEX(tblChannels[Watched Through],MATCH(N1240,tblChannels[Channel ID],0)),0),"Watched","Unwatched"))</f>
        <v/>
      </c>
      <c r="C1240" s="40" t="n"/>
      <c r="D1240" s="41" t="n"/>
      <c r="E1240" s="42" t="n">
        <v>44569.41666666666</v>
      </c>
      <c r="F1240" s="50" t="inlineStr">
        <is>
          <t>Super Carlin Brothers</t>
        </is>
      </c>
      <c r="G1240" t="inlineStr">
        <is>
          <t>Encanto is Disney's BEST Movie in Years! | REVIEW</t>
        </is>
      </c>
      <c r="H1240" s="44" t="n">
        <v>0.03111111111111111</v>
      </c>
      <c r="I1240" s="45" t="n">
        <v>564460</v>
      </c>
      <c r="J1240" s="45" t="n">
        <v>12012</v>
      </c>
      <c r="K1240" s="45" t="n">
        <v>1812</v>
      </c>
      <c r="L1240" s="46" t="n"/>
      <c r="M1240" s="47" t="n"/>
      <c r="N1240" s="47" t="inlineStr">
        <is>
          <t>UCKZo4N0lVPccBkSiuyVh4yg</t>
        </is>
      </c>
      <c r="O1240" s="48" t="n">
        <v>44569.625</v>
      </c>
      <c r="P1240" s="49" t="n">
        <v>44569</v>
      </c>
      <c r="Q1240" s="47" t="n">
        <v>2028</v>
      </c>
      <c r="R1240" s="47" t="inlineStr">
        <is>
          <t>No Video ID yet</t>
        </is>
      </c>
      <c r="S1240" s="49" t="n"/>
      <c r="T1240" s="49" t="n"/>
      <c r="U1240" s="47" t="inlineStr">
        <is>
          <t>Today J and Ben dive into the magical home of the Family Madrigal and Disney’s Encanto to give it their full SPOILER Review! SCB in Podcast form :: #SuperCarlinBrothers #Disney</t>
        </is>
      </c>
      <c r="V1240" s="47">
        <f>IF(AND(P1240&gt;=Calendar!$K$2,P1240&lt;EDATE(Calendar!$K$2,1),OR(Calendar!$K$4="*",N1240=Calendar!$K$4)),P1240*100+COUNTIFS($P$6:$P$3267,P1240,$Q$6:$Q$3267,"&lt;="&amp;Q1240,$N$6:$N$3267,Calendar!$K$4),"")</f>
        <v/>
      </c>
      <c r="W1240" s="47">
        <f>IF(AND(B1240=Queue!$C$4,OR(Queue!$K$4="*",N1240=Queue!$K$4)),Q1240,"")</f>
        <v/>
      </c>
    </row>
    <row r="1241">
      <c r="A1241" s="38">
        <f>IF(M1241="","",HYPERLINK("https://www.youtube.com/watch?v="&amp;M1241,"▶"))</f>
        <v/>
      </c>
      <c r="B1241" s="39">
        <f>IF(C1241&lt;&gt;"",C1241,IF(P1241&lt;=IFERROR(INDEX(tblChannels[Watched Through],MATCH(N1241,tblChannels[Channel ID],0)),0),"Watched","Unwatched"))</f>
        <v/>
      </c>
      <c r="C1241" s="40" t="n"/>
      <c r="D1241" s="41" t="n"/>
      <c r="E1241" s="42" t="n">
        <v>44568.5</v>
      </c>
      <c r="F1241" s="54" t="inlineStr">
        <is>
          <t>With the Carlins</t>
        </is>
      </c>
      <c r="G1241" t="inlineStr">
        <is>
          <t>Addison's First Christmas!</t>
        </is>
      </c>
      <c r="H1241" s="44" t="n">
        <v>0.02072916666666667</v>
      </c>
      <c r="I1241" s="45" t="n">
        <v>18836</v>
      </c>
      <c r="J1241" s="45" t="n">
        <v>1359</v>
      </c>
      <c r="K1241" s="45" t="n">
        <v>123</v>
      </c>
      <c r="L1241" s="46" t="n"/>
      <c r="M1241" s="47" t="n"/>
      <c r="N1241" s="47" t="inlineStr">
        <is>
          <t>UCVBTjN9WJU5Ac8yU7b2K-5g</t>
        </is>
      </c>
      <c r="O1241" s="48" t="n">
        <v>44568.70833333334</v>
      </c>
      <c r="P1241" s="49" t="n">
        <v>44568</v>
      </c>
      <c r="Q1241" s="47" t="n">
        <v>2027</v>
      </c>
      <c r="R1241" s="47" t="inlineStr">
        <is>
          <t>No Video ID yet</t>
        </is>
      </c>
      <c r="S1241" s="49" t="n"/>
      <c r="T1241" s="49" t="n"/>
      <c r="U1241" s="47" t="inlineStr">
        <is>
          <t>This week we wrap more presents, hike up a mountain, make instant cocktails and celebrate Addison turning TWO MONTHS OLD (CAN YOU BELIEVE IT) Links for things in the video: Bartesian Cocktail Machine: Hollywood Mirror: Alyce's Vanity: Follow Us! :: I N S T A G R A M➜ and Ben Carlin #SuperCarlinBrothers #CarlinFamily #FamilyVlog</t>
        </is>
      </c>
      <c r="V1241" s="47">
        <f>IF(AND(P1241&gt;=Calendar!$K$2,P1241&lt;EDATE(Calendar!$K$2,1),OR(Calendar!$K$4="*",N1241=Calendar!$K$4)),P1241*100+COUNTIFS($P$6:$P$3267,P1241,$Q$6:$Q$3267,"&lt;="&amp;Q1241,$N$6:$N$3267,Calendar!$K$4),"")</f>
        <v/>
      </c>
      <c r="W1241" s="47">
        <f>IF(AND(B1241=Queue!$C$4,OR(Queue!$K$4="*",N1241=Queue!$K$4)),Q1241,"")</f>
        <v/>
      </c>
    </row>
    <row r="1242">
      <c r="A1242" s="38">
        <f>IF(M1242="","",HYPERLINK("https://www.youtube.com/watch?v="&amp;M1242,"▶"))</f>
        <v/>
      </c>
      <c r="B1242" s="39">
        <f>IF(C1242&lt;&gt;"",C1242,IF(P1242&lt;=IFERROR(INDEX(tblChannels[Watched Through],MATCH(N1242,tblChannels[Channel ID],0)),0),"Watched","Unwatched"))</f>
        <v/>
      </c>
      <c r="C1242" s="40" t="n"/>
      <c r="D1242" s="41" t="n"/>
      <c r="E1242" s="42" t="n">
        <v>44568.41666666666</v>
      </c>
      <c r="F1242" s="43" t="inlineStr">
        <is>
          <t>Popcorn Culture</t>
        </is>
      </c>
      <c r="G1242" t="inlineStr">
        <is>
          <t>J Is Really Good At Winning Raffles | Popcorn Culture</t>
        </is>
      </c>
      <c r="H1242" s="44" t="n">
        <v>0.04841435185185185</v>
      </c>
      <c r="I1242" s="45" t="n">
        <v>10149</v>
      </c>
      <c r="J1242" s="45" t="n">
        <v>486</v>
      </c>
      <c r="K1242" s="45" t="n">
        <v>66</v>
      </c>
      <c r="L1242" s="46" t="n"/>
      <c r="M1242" s="47" t="n"/>
      <c r="N1242" s="47" t="inlineStr">
        <is>
          <t>UCHfIbq9thHPC8yrKjAdJgDA</t>
        </is>
      </c>
      <c r="O1242" s="48" t="n">
        <v>44568.625</v>
      </c>
      <c r="P1242" s="49" t="n">
        <v>44568</v>
      </c>
      <c r="Q1242" s="47" t="n">
        <v>2026</v>
      </c>
      <c r="R1242" s="47" t="inlineStr">
        <is>
          <t>No Video ID yet</t>
        </is>
      </c>
      <c r="S1242" s="49" t="n"/>
      <c r="T1242" s="49" t="n"/>
      <c r="U1242" s="47" t="inlineStr">
        <is>
          <t>In the 109th episode of the Pop, Ben and J discuss time off from work, Hawkeye, vacation workouts, Christmas presents, Truman Show Multiverse Experience, manifesting, more Roanoker Magazine voting and the Washington Dinosaurs. Hawkeye - Gran Fondo definition - Space Projector - Vote for us! (Use First Name: Super, Last Name: Carlin Brothers) - Unicorn Scotland Animal - 00:00 - Intro, Talking about Time Off 04:50 - Hawkeye, Parenting and Hobbies 19:10 - Cool Christmas Presents 33:15 - Truman Show Experience and Manifesting 53:41 - Vote for Us on the Roanoker Magazine!!! 57:29 - Rudolph Alternate Lyric Updates Do You Know What A “Fondo” Is? The Best Christmas Present - A Block of Wood Starlight Family Dance Parties Sleep, Seat, Feet, Teeth Truman Show Meets Multiverse Manifestation Rocket The Washington Dinosaurs The NFL is a Soap Opera</t>
        </is>
      </c>
      <c r="V1242" s="47">
        <f>IF(AND(P1242&gt;=Calendar!$K$2,P1242&lt;EDATE(Calendar!$K$2,1),OR(Calendar!$K$4="*",N1242=Calendar!$K$4)),P1242*100+COUNTIFS($P$6:$P$3267,P1242,$Q$6:$Q$3267,"&lt;="&amp;Q1242,$N$6:$N$3267,Calendar!$K$4),"")</f>
        <v/>
      </c>
      <c r="W1242" s="47">
        <f>IF(AND(B1242=Queue!$C$4,OR(Queue!$K$4="*",N1242=Queue!$K$4)),Q1242,"")</f>
        <v/>
      </c>
    </row>
    <row r="1243">
      <c r="A1243" s="38">
        <f>IF(M1243="","",HYPERLINK("https://www.youtube.com/watch?v="&amp;M1243,"▶"))</f>
        <v/>
      </c>
      <c r="B1243" s="39">
        <f>IF(C1243&lt;&gt;"",C1243,IF(P1243&lt;=IFERROR(INDEX(tblChannels[Watched Through],MATCH(N1243,tblChannels[Channel ID],0)),0),"Watched","Unwatched"))</f>
        <v/>
      </c>
      <c r="C1243" s="40" t="n"/>
      <c r="D1243" s="41" t="n"/>
      <c r="E1243" s="42" t="n">
        <v>44567.67569444444</v>
      </c>
      <c r="F1243" s="50" t="inlineStr">
        <is>
          <t>Super Carlin Brothers</t>
        </is>
      </c>
      <c r="G1243" t="inlineStr">
        <is>
          <t>Bruno is Alberto’s Father?! | Pixar Theory</t>
        </is>
      </c>
      <c r="H1243" s="44" t="n">
        <v>0.009016203703703703</v>
      </c>
      <c r="I1243" s="45" t="n">
        <v>743525</v>
      </c>
      <c r="J1243" s="45" t="n">
        <v>23024</v>
      </c>
      <c r="K1243" s="45" t="n">
        <v>3260</v>
      </c>
      <c r="L1243" s="46" t="n"/>
      <c r="M1243" s="47" t="n"/>
      <c r="N1243" s="47" t="inlineStr">
        <is>
          <t>UCKZo4N0lVPccBkSiuyVh4yg</t>
        </is>
      </c>
      <c r="O1243" s="48" t="n">
        <v>44567.88402777778</v>
      </c>
      <c r="P1243" s="49" t="n">
        <v>44567</v>
      </c>
      <c r="Q1243" s="47" t="n">
        <v>2025</v>
      </c>
      <c r="R1243" s="47" t="inlineStr">
        <is>
          <t>No Video ID yet</t>
        </is>
      </c>
      <c r="S1243" s="49" t="n"/>
      <c r="T1243" s="49" t="n"/>
      <c r="U1243" s="47" t="inlineStr">
        <is>
          <t>Go to and use code SUPERCARLIN to claim your special offer today! Today Ben dives into the world of Disney and Pixar to try and determine if Bruno from Encanto is Alberto’s missing father in Luca! Check out Ben Stanley’s original TikTok :: #SuperCarlinBrothers #Pixar #Disney</t>
        </is>
      </c>
      <c r="V1243" s="47">
        <f>IF(AND(P1243&gt;=Calendar!$K$2,P1243&lt;EDATE(Calendar!$K$2,1),OR(Calendar!$K$4="*",N1243=Calendar!$K$4)),P1243*100+COUNTIFS($P$6:$P$3267,P1243,$Q$6:$Q$3267,"&lt;="&amp;Q1243,$N$6:$N$3267,Calendar!$K$4),"")</f>
        <v/>
      </c>
      <c r="W1243" s="47">
        <f>IF(AND(B1243=Queue!$C$4,OR(Queue!$K$4="*",N1243=Queue!$K$4)),Q1243,"")</f>
        <v/>
      </c>
    </row>
    <row r="1244">
      <c r="A1244" s="38">
        <f>IF(M1244="","",HYPERLINK("https://www.youtube.com/watch?v="&amp;M1244,"▶"))</f>
        <v/>
      </c>
      <c r="B1244" s="39">
        <f>IF(C1244&lt;&gt;"",C1244,IF(P1244&lt;=IFERROR(INDEX(tblChannels[Watched Through],MATCH(N1244,tblChannels[Channel ID],0)),0),"Watched","Unwatched"))</f>
        <v/>
      </c>
      <c r="C1244" s="40" t="n"/>
      <c r="D1244" s="41" t="n"/>
      <c r="E1244" s="42" t="n">
        <v>44565.72430555556</v>
      </c>
      <c r="F1244" s="50" t="inlineStr">
        <is>
          <t>Super Carlin Brothers</t>
        </is>
      </c>
      <c r="G1244" t="inlineStr">
        <is>
          <t>WE SORT EACH OTHER INTO HOGWARTS HOUSES! [J vs Ben]</t>
        </is>
      </c>
      <c r="H1244" s="44" t="n">
        <v>0.02407407407407407</v>
      </c>
      <c r="I1244" s="45" t="n">
        <v>321853</v>
      </c>
      <c r="J1244" s="45" t="n">
        <v>11475</v>
      </c>
      <c r="K1244" s="45" t="n">
        <v>1347</v>
      </c>
      <c r="L1244" s="46" t="n"/>
      <c r="M1244" s="47" t="n"/>
      <c r="N1244" s="47" t="inlineStr">
        <is>
          <t>UCKZo4N0lVPccBkSiuyVh4yg</t>
        </is>
      </c>
      <c r="O1244" s="48" t="n">
        <v>44565.93263888889</v>
      </c>
      <c r="P1244" s="49" t="n">
        <v>44565</v>
      </c>
      <c r="Q1244" s="47" t="n">
        <v>2024</v>
      </c>
      <c r="R1244" s="47" t="inlineStr">
        <is>
          <t>No Video ID yet</t>
        </is>
      </c>
      <c r="S1244" s="49" t="n"/>
      <c r="T1244" s="49" t="n"/>
      <c r="U1244" s="47" t="inlineStr">
        <is>
          <t>Visit to get Honey for free. Go to to get an extra 3 months FREE! Today J and Ben kick off 2022 by doing their annual resorting ceremony but this year with a twist! This year they will be taking the quiz on each other’s behalf to find out if they know each other better than they know themselves! #SuperCarlinBrothers #HarryPotter #JvsBen</t>
        </is>
      </c>
      <c r="V1244" s="47">
        <f>IF(AND(P1244&gt;=Calendar!$K$2,P1244&lt;EDATE(Calendar!$K$2,1),OR(Calendar!$K$4="*",N1244=Calendar!$K$4)),P1244*100+COUNTIFS($P$6:$P$3267,P1244,$Q$6:$Q$3267,"&lt;="&amp;Q1244,$N$6:$N$3267,Calendar!$K$4),"")</f>
        <v/>
      </c>
      <c r="W1244" s="47">
        <f>IF(AND(B1244=Queue!$C$4,OR(Queue!$K$4="*",N1244=Queue!$K$4)),Q1244,"")</f>
        <v/>
      </c>
    </row>
    <row r="1245">
      <c r="A1245" s="38">
        <f>IF(M1245="","",HYPERLINK("https://www.youtube.com/watch?v="&amp;M1245,"▶"))</f>
        <v/>
      </c>
      <c r="B1245" s="39">
        <f>IF(C1245&lt;&gt;"",C1245,IF(P1245&lt;=IFERROR(INDEX(tblChannels[Watched Through],MATCH(N1245,tblChannels[Channel ID],0)),0),"Watched","Unwatched"))</f>
        <v/>
      </c>
      <c r="C1245" s="40" t="n"/>
      <c r="D1245" s="41" t="n"/>
      <c r="E1245" s="42" t="n">
        <v>44564.69375</v>
      </c>
      <c r="F1245" s="53" t="inlineStr">
        <is>
          <t>Jonathan Carlin</t>
        </is>
      </c>
      <c r="G1245" t="inlineStr">
        <is>
          <t>Baking With Luke</t>
        </is>
      </c>
      <c r="H1245" s="44" t="n">
        <v>0.01243055555555556</v>
      </c>
      <c r="I1245" s="45" t="n">
        <v>15853</v>
      </c>
      <c r="J1245" s="45" t="n">
        <v>1202</v>
      </c>
      <c r="K1245" s="45" t="n">
        <v>137</v>
      </c>
      <c r="L1245" s="46" t="n"/>
      <c r="M1245" s="47" t="n"/>
      <c r="N1245" s="47" t="inlineStr">
        <is>
          <t>UCYPKFe86e6nm4TVUYKLsFUQ</t>
        </is>
      </c>
      <c r="O1245" s="48" t="n">
        <v>44564.90208333333</v>
      </c>
      <c r="P1245" s="49" t="n">
        <v>44564</v>
      </c>
      <c r="Q1245" s="47" t="n">
        <v>2023</v>
      </c>
      <c r="R1245" s="47" t="inlineStr">
        <is>
          <t>No Video ID yet</t>
        </is>
      </c>
      <c r="S1245" s="49" t="n"/>
      <c r="T1245" s="49" t="n"/>
      <c r="U1245" s="47" t="inlineStr">
        <is>
          <t>This week Luke takes to the Kitchen to bake up some scrumptious Banana Bread and some pancakes! J and Beth get boosted, and the boys head to a Children's Museum! Our favorite pancake mix ::</t>
        </is>
      </c>
      <c r="V1245" s="47">
        <f>IF(AND(P1245&gt;=Calendar!$K$2,P1245&lt;EDATE(Calendar!$K$2,1),OR(Calendar!$K$4="*",N1245=Calendar!$K$4)),P1245*100+COUNTIFS($P$6:$P$3267,P1245,$Q$6:$Q$3267,"&lt;="&amp;Q1245,$N$6:$N$3267,Calendar!$K$4),"")</f>
        <v/>
      </c>
      <c r="W1245" s="47">
        <f>IF(AND(B1245=Queue!$C$4,OR(Queue!$K$4="*",N1245=Queue!$K$4)),Q1245,"")</f>
        <v/>
      </c>
    </row>
    <row r="1246">
      <c r="A1246" s="38">
        <f>IF(M1246="","",HYPERLINK("https://www.youtube.com/watch?v="&amp;M1246,"▶"))</f>
        <v/>
      </c>
      <c r="B1246" s="39">
        <f>IF(C1246&lt;&gt;"",C1246,IF(P1246&lt;=IFERROR(INDEX(tblChannels[Watched Through],MATCH(N1246,tblChannels[Channel ID],0)),0),"Watched","Unwatched"))</f>
        <v/>
      </c>
      <c r="C1246" s="40" t="n"/>
      <c r="D1246" s="41" t="n"/>
      <c r="E1246" s="42" t="n">
        <v>44561.55069444444</v>
      </c>
      <c r="F1246" s="54" t="inlineStr">
        <is>
          <t>With the Carlins</t>
        </is>
      </c>
      <c r="G1246" t="inlineStr">
        <is>
          <t>Live Q&amp;A with Ben and Alyce!</t>
        </is>
      </c>
      <c r="H1246" s="44" t="n">
        <v>0.0487962962962963</v>
      </c>
      <c r="I1246" s="45" t="n">
        <v>12880</v>
      </c>
      <c r="J1246" s="45" t="n">
        <v>642</v>
      </c>
      <c r="K1246" s="45" t="n">
        <v>37</v>
      </c>
      <c r="L1246" s="46" t="n"/>
      <c r="M1246" s="47" t="n"/>
      <c r="N1246" s="47" t="inlineStr">
        <is>
          <t>UCVBTjN9WJU5Ac8yU7b2K-5g</t>
        </is>
      </c>
      <c r="O1246" s="48" t="n">
        <v>44561.75902777778</v>
      </c>
      <c r="P1246" s="49" t="n">
        <v>44561</v>
      </c>
      <c r="Q1246" s="47" t="n">
        <v>2022</v>
      </c>
      <c r="R1246" s="47" t="inlineStr">
        <is>
          <t>No Video ID yet</t>
        </is>
      </c>
      <c r="S1246" s="49" t="n"/>
      <c r="T1246" s="49" t="n"/>
      <c r="U1246" s="47" t="inlineStr">
        <is>
          <t>Hi Guys! Since we take the last week of the year off we wanted to go live for a Q&amp;A! Come hang out with us!</t>
        </is>
      </c>
      <c r="V1246" s="47">
        <f>IF(AND(P1246&gt;=Calendar!$K$2,P1246&lt;EDATE(Calendar!$K$2,1),OR(Calendar!$K$4="*",N1246=Calendar!$K$4)),P1246*100+COUNTIFS($P$6:$P$3267,P1246,$Q$6:$Q$3267,"&lt;="&amp;Q1246,$N$6:$N$3267,Calendar!$K$4),"")</f>
        <v/>
      </c>
      <c r="W1246" s="47">
        <f>IF(AND(B1246=Queue!$C$4,OR(Queue!$K$4="*",N1246=Queue!$K$4)),Q1246,"")</f>
        <v/>
      </c>
    </row>
    <row r="1247">
      <c r="A1247" s="38">
        <f>IF(M1247="","",HYPERLINK("https://www.youtube.com/watch?v="&amp;M1247,"▶"))</f>
        <v/>
      </c>
      <c r="B1247" s="39">
        <f>IF(C1247&lt;&gt;"",C1247,IF(P1247&lt;=IFERROR(INDEX(tblChannels[Watched Through],MATCH(N1247,tblChannels[Channel ID],0)),0),"Watched","Unwatched"))</f>
        <v/>
      </c>
      <c r="C1247" s="40" t="n"/>
      <c r="D1247" s="41" t="n"/>
      <c r="E1247" s="42" t="n">
        <v>44561.41666666666</v>
      </c>
      <c r="F1247" s="43" t="inlineStr">
        <is>
          <t>Popcorn Culture</t>
        </is>
      </c>
      <c r="G1247" t="inlineStr">
        <is>
          <t>The Year In Popcorn</t>
        </is>
      </c>
      <c r="H1247" s="44" t="n">
        <v>0.04363425925925926</v>
      </c>
      <c r="I1247" s="45" t="n">
        <v>8859</v>
      </c>
      <c r="J1247" s="45" t="n">
        <v>519</v>
      </c>
      <c r="K1247" s="45" t="n">
        <v>45</v>
      </c>
      <c r="L1247" s="46" t="n"/>
      <c r="M1247" s="47" t="n"/>
      <c r="N1247" s="47" t="inlineStr">
        <is>
          <t>UCHfIbq9thHPC8yrKjAdJgDA</t>
        </is>
      </c>
      <c r="O1247" s="48" t="n">
        <v>44561.625</v>
      </c>
      <c r="P1247" s="49" t="n">
        <v>44561</v>
      </c>
      <c r="Q1247" s="47" t="n">
        <v>2021</v>
      </c>
      <c r="R1247" s="47" t="inlineStr">
        <is>
          <t>No Video ID yet</t>
        </is>
      </c>
      <c r="S1247" s="49" t="n"/>
      <c r="T1247" s="49" t="n"/>
      <c r="U1247" s="47" t="inlineStr">
        <is>
          <t>In the last episode of 2021 we wanted to give you all some highlights from our favorite episodes! Everything from Christmas movies to vampire teeth straws to our worst breakups! Thank you all so much for listening and we’ll see you in the New Year!</t>
        </is>
      </c>
      <c r="V1247" s="47">
        <f>IF(AND(P1247&gt;=Calendar!$K$2,P1247&lt;EDATE(Calendar!$K$2,1),OR(Calendar!$K$4="*",N1247=Calendar!$K$4)),P1247*100+COUNTIFS($P$6:$P$3267,P1247,$Q$6:$Q$3267,"&lt;="&amp;Q1247,$N$6:$N$3267,Calendar!$K$4),"")</f>
        <v/>
      </c>
      <c r="W1247" s="47">
        <f>IF(AND(B1247=Queue!$C$4,OR(Queue!$K$4="*",N1247=Queue!$K$4)),Q1247,"")</f>
        <v/>
      </c>
    </row>
    <row r="1248">
      <c r="A1248" s="38">
        <f>IF(M1248="","",HYPERLINK("https://www.youtube.com/watch?v="&amp;M1248,"▶"))</f>
        <v/>
      </c>
      <c r="B1248" s="39">
        <f>IF(C1248&lt;&gt;"",C1248,IF(P1248&lt;=IFERROR(INDEX(tblChannels[Watched Through],MATCH(N1248,tblChannels[Channel ID],0)),0),"Watched","Unwatched"))</f>
        <v/>
      </c>
      <c r="C1248" s="40" t="n"/>
      <c r="D1248" s="41" t="n"/>
      <c r="E1248" s="42" t="n">
        <v>44557.41666666666</v>
      </c>
      <c r="F1248" s="53" t="inlineStr">
        <is>
          <t>Jonathan Carlin</t>
        </is>
      </c>
      <c r="G1248" t="inlineStr">
        <is>
          <t>The Kids Decorate the Tree!</t>
        </is>
      </c>
      <c r="H1248" s="44" t="n">
        <v>0.01011574074074074</v>
      </c>
      <c r="I1248" s="45" t="n">
        <v>15554</v>
      </c>
      <c r="J1248" s="45" t="n">
        <v>1232</v>
      </c>
      <c r="K1248" s="45" t="n">
        <v>0</v>
      </c>
      <c r="L1248" s="46" t="n"/>
      <c r="M1248" s="47" t="n"/>
      <c r="N1248" s="47" t="inlineStr">
        <is>
          <t>UCYPKFe86e6nm4TVUYKLsFUQ</t>
        </is>
      </c>
      <c r="O1248" s="48" t="n">
        <v>44557.625</v>
      </c>
      <c r="P1248" s="49" t="n">
        <v>44557</v>
      </c>
      <c r="Q1248" s="47" t="n">
        <v>2020</v>
      </c>
      <c r="R1248" s="47" t="inlineStr">
        <is>
          <t>No Video ID yet</t>
        </is>
      </c>
      <c r="S1248" s="49" t="n"/>
      <c r="T1248" s="49" t="n"/>
      <c r="U1248" s="47" t="inlineStr">
        <is>
          <t>This week J and the family decorate the tree, prepare for Christmas, go to the park, do some shopping and set some goals!</t>
        </is>
      </c>
      <c r="V1248" s="47">
        <f>IF(AND(P1248&gt;=Calendar!$K$2,P1248&lt;EDATE(Calendar!$K$2,1),OR(Calendar!$K$4="*",N1248=Calendar!$K$4)),P1248*100+COUNTIFS($P$6:$P$3267,P1248,$Q$6:$Q$3267,"&lt;="&amp;Q1248,$N$6:$N$3267,Calendar!$K$4),"")</f>
        <v/>
      </c>
      <c r="W1248" s="47">
        <f>IF(AND(B1248=Queue!$C$4,OR(Queue!$K$4="*",N1248=Queue!$K$4)),Q1248,"")</f>
        <v/>
      </c>
    </row>
    <row r="1249">
      <c r="A1249" s="38">
        <f>IF(M1249="","",HYPERLINK("https://www.youtube.com/watch?v="&amp;M1249,"▶"))</f>
        <v/>
      </c>
      <c r="B1249" s="39">
        <f>IF(C1249&lt;&gt;"",C1249,IF(P1249&lt;=IFERROR(INDEX(tblChannels[Watched Through],MATCH(N1249,tblChannels[Channel ID],0)),0),"Watched","Unwatched"))</f>
        <v/>
      </c>
      <c r="C1249" s="40" t="n"/>
      <c r="D1249" s="41" t="n"/>
      <c r="E1249" s="42" t="n">
        <v>44555.375</v>
      </c>
      <c r="F1249" s="50" t="inlineStr">
        <is>
          <t>Super Carlin Brothers</t>
        </is>
      </c>
      <c r="G1249" t="inlineStr">
        <is>
          <t>J vs Ben: ULTIMATE Harry Potter Christmas TRIVIA Quiz</t>
        </is>
      </c>
      <c r="H1249" s="44" t="n">
        <v>0.02256944444444444</v>
      </c>
      <c r="I1249" s="45" t="n">
        <v>310081</v>
      </c>
      <c r="J1249" s="45" t="n">
        <v>11842</v>
      </c>
      <c r="K1249" s="45" t="n">
        <v>1464</v>
      </c>
      <c r="L1249" s="46" t="n"/>
      <c r="M1249" s="47" t="n"/>
      <c r="N1249" s="47" t="inlineStr">
        <is>
          <t>UCKZo4N0lVPccBkSiuyVh4yg</t>
        </is>
      </c>
      <c r="O1249" s="48" t="n">
        <v>44555.58333333334</v>
      </c>
      <c r="P1249" s="49" t="n">
        <v>44555</v>
      </c>
      <c r="Q1249" s="47" t="n">
        <v>2019</v>
      </c>
      <c r="R1249" s="47" t="inlineStr">
        <is>
          <t>No Video ID yet</t>
        </is>
      </c>
      <c r="S1249" s="49" t="n"/>
      <c r="T1249" s="49" t="n"/>
      <c r="U1249" s="47" t="inlineStr">
        <is>
          <t>HAPPY CHRISTMAS! Today J and Ben face off once again to find out who knows more about what happens on Christmas in Harry Potter and are joined by a special guest host: THEIR DAD! Listen to SCB as a Podcast ::</t>
        </is>
      </c>
      <c r="V1249" s="47">
        <f>IF(AND(P1249&gt;=Calendar!$K$2,P1249&lt;EDATE(Calendar!$K$2,1),OR(Calendar!$K$4="*",N1249=Calendar!$K$4)),P1249*100+COUNTIFS($P$6:$P$3267,P1249,$Q$6:$Q$3267,"&lt;="&amp;Q1249,$N$6:$N$3267,Calendar!$K$4),"")</f>
        <v/>
      </c>
      <c r="W1249" s="47">
        <f>IF(AND(B1249=Queue!$C$4,OR(Queue!$K$4="*",N1249=Queue!$K$4)),Q1249,"")</f>
        <v/>
      </c>
    </row>
    <row r="1250">
      <c r="A1250" s="38">
        <f>IF(M1250="","",HYPERLINK("https://www.youtube.com/watch?v="&amp;M1250,"▶"))</f>
        <v/>
      </c>
      <c r="B1250" s="39">
        <f>IF(C1250&lt;&gt;"",C1250,IF(P1250&lt;=IFERROR(INDEX(tblChannels[Watched Through],MATCH(N1250,tblChannels[Channel ID],0)),0),"Watched","Unwatched"))</f>
        <v/>
      </c>
      <c r="C1250" s="40" t="n"/>
      <c r="D1250" s="41" t="n"/>
      <c r="E1250" s="42" t="n">
        <v>44554.5</v>
      </c>
      <c r="F1250" s="54" t="inlineStr">
        <is>
          <t>With the Carlins</t>
        </is>
      </c>
      <c r="G1250" t="inlineStr">
        <is>
          <t>Death by Push-Ups (and other stuff too!)</t>
        </is>
      </c>
      <c r="H1250" s="44" t="n">
        <v>0.01461805555555556</v>
      </c>
      <c r="I1250" s="45" t="n">
        <v>15486</v>
      </c>
      <c r="J1250" s="45" t="n">
        <v>1208</v>
      </c>
      <c r="K1250" s="45" t="n">
        <v>70</v>
      </c>
      <c r="L1250" s="46" t="n"/>
      <c r="M1250" s="47" t="n"/>
      <c r="N1250" s="47" t="inlineStr">
        <is>
          <t>UCVBTjN9WJU5Ac8yU7b2K-5g</t>
        </is>
      </c>
      <c r="O1250" s="48" t="n">
        <v>44554.70833333334</v>
      </c>
      <c r="P1250" s="49" t="n">
        <v>44554</v>
      </c>
      <c r="Q1250" s="47" t="n">
        <v>2018</v>
      </c>
      <c r="R1250" s="47" t="inlineStr">
        <is>
          <t>No Video ID yet</t>
        </is>
      </c>
      <c r="S1250" s="49" t="n"/>
      <c r="T1250" s="49" t="n"/>
      <c r="U1250" s="47" t="inlineStr">
        <is>
          <t>This week we build a rather libatious advent calendar, do some push-ups, Spider-Man SUIT UP for the No Way Home Premiere, do some more push-ups, wrap some gifts, and explore downtown! (and maybe a few more push-ups). Follow Us! :: I N S T A G R A M➜ and Ben Carlin #SuperCarlinBrothers #CarlinFamily #FamilyVlog</t>
        </is>
      </c>
      <c r="V1250" s="47">
        <f>IF(AND(P1250&gt;=Calendar!$K$2,P1250&lt;EDATE(Calendar!$K$2,1),OR(Calendar!$K$4="*",N1250=Calendar!$K$4)),P1250*100+COUNTIFS($P$6:$P$3267,P1250,$Q$6:$Q$3267,"&lt;="&amp;Q1250,$N$6:$N$3267,Calendar!$K$4),"")</f>
        <v/>
      </c>
      <c r="W1250" s="47">
        <f>IF(AND(B1250=Queue!$C$4,OR(Queue!$K$4="*",N1250=Queue!$K$4)),Q1250,"")</f>
        <v/>
      </c>
    </row>
    <row r="1251">
      <c r="A1251" s="38">
        <f>IF(M1251="","",HYPERLINK("https://www.youtube.com/watch?v="&amp;M1251,"▶"))</f>
        <v/>
      </c>
      <c r="B1251" s="39">
        <f>IF(C1251&lt;&gt;"",C1251,IF(P1251&lt;=IFERROR(INDEX(tblChannels[Watched Through],MATCH(N1251,tblChannels[Channel ID],0)),0),"Watched","Unwatched"))</f>
        <v/>
      </c>
      <c r="C1251" s="40" t="n"/>
      <c r="D1251" s="41" t="n"/>
      <c r="E1251" s="42" t="n">
        <v>44554.41666666666</v>
      </c>
      <c r="F1251" s="43" t="inlineStr">
        <is>
          <t>Popcorn Culture</t>
        </is>
      </c>
      <c r="G1251" t="inlineStr">
        <is>
          <t>Can I Tell You What I Love About Cheetahs (A Christmas Special)</t>
        </is>
      </c>
      <c r="H1251" s="44" t="n">
        <v>0.05586805555555555</v>
      </c>
      <c r="I1251" s="45" t="n">
        <v>10704</v>
      </c>
      <c r="J1251" s="45" t="n">
        <v>506</v>
      </c>
      <c r="K1251" s="45" t="n">
        <v>204</v>
      </c>
      <c r="L1251" s="46" t="n"/>
      <c r="M1251" s="47" t="n"/>
      <c r="N1251" s="47" t="inlineStr">
        <is>
          <t>UCHfIbq9thHPC8yrKjAdJgDA</t>
        </is>
      </c>
      <c r="O1251" s="48" t="n">
        <v>44554.625</v>
      </c>
      <c r="P1251" s="49" t="n">
        <v>44554</v>
      </c>
      <c r="Q1251" s="47" t="n">
        <v>2017</v>
      </c>
      <c r="R1251" s="47" t="inlineStr">
        <is>
          <t>No Video ID yet</t>
        </is>
      </c>
      <c r="S1251" s="49" t="n"/>
      <c r="T1251" s="49" t="n"/>
      <c r="U1251" s="47" t="inlineStr">
        <is>
          <t>In the 107th Christmas Episode of the Pop, Ben and J discuss Addison’s first Christmas plans, voting for the Roanoke Magazine, confusing Christmas song lyrics, skepticism, narwhals, unicorns and cheetahs, vegan food, and Christmas morning traditions. Sparkle Glitter Keds: Vote for us for Best Influencer and Best Podcast in Roanoke here!: Rudolph the Red-Nosed Reindeer: Parson Brown: Love Hard “Baby It’s Cold Outside” lyrics: When Did We Start Keeping Dogs for Pets: Signing “Dad” for the First Time Confusing Christmas Song Lyrics Christmas’s New Favorite Punching Bag “Uber” is the Future’s “Parson Brown” Is Skepticism a Healthy Part of the Collective Conscious? The Narwhal Conspiracy The Vegan Food is for Everyone, Right? A Splendid Pair of Socks</t>
        </is>
      </c>
      <c r="V1251" s="47">
        <f>IF(AND(P1251&gt;=Calendar!$K$2,P1251&lt;EDATE(Calendar!$K$2,1),OR(Calendar!$K$4="*",N1251=Calendar!$K$4)),P1251*100+COUNTIFS($P$6:$P$3267,P1251,$Q$6:$Q$3267,"&lt;="&amp;Q1251,$N$6:$N$3267,Calendar!$K$4),"")</f>
        <v/>
      </c>
      <c r="W1251" s="47">
        <f>IF(AND(B1251=Queue!$C$4,OR(Queue!$K$4="*",N1251=Queue!$K$4)),Q1251,"")</f>
        <v/>
      </c>
    </row>
    <row r="1252">
      <c r="A1252" s="38">
        <f>IF(M1252="","",HYPERLINK("https://www.youtube.com/watch?v="&amp;M1252,"▶"))</f>
        <v/>
      </c>
      <c r="B1252" s="39">
        <f>IF(C1252&lt;&gt;"",C1252,IF(P1252&lt;=IFERROR(INDEX(tblChannels[Watched Through],MATCH(N1252,tblChannels[Channel ID],0)),0),"Watched","Unwatched"))</f>
        <v/>
      </c>
      <c r="C1252" s="40" t="n"/>
      <c r="D1252" s="41" t="n"/>
      <c r="E1252" s="42" t="n">
        <v>44553.64861111111</v>
      </c>
      <c r="F1252" s="50" t="inlineStr">
        <is>
          <t>Super Carlin Brothers</t>
        </is>
      </c>
      <c r="G1252" t="inlineStr">
        <is>
          <t>Why They're Called Death Eaters | Harry Potter Theory</t>
        </is>
      </c>
      <c r="H1252" s="44" t="n">
        <v>0.008784722222222222</v>
      </c>
      <c r="I1252" s="45" t="n">
        <v>327795</v>
      </c>
      <c r="J1252" s="45" t="n">
        <v>13608</v>
      </c>
      <c r="K1252" s="45" t="n">
        <v>1439</v>
      </c>
      <c r="L1252" s="46" t="n"/>
      <c r="M1252" s="47" t="n"/>
      <c r="N1252" s="47" t="inlineStr">
        <is>
          <t>UCKZo4N0lVPccBkSiuyVh4yg</t>
        </is>
      </c>
      <c r="O1252" s="48" t="n">
        <v>44553.85694444444</v>
      </c>
      <c r="P1252" s="49" t="n">
        <v>44553</v>
      </c>
      <c r="Q1252" s="47" t="n">
        <v>2016</v>
      </c>
      <c r="R1252" s="47" t="inlineStr">
        <is>
          <t>No Video ID yet</t>
        </is>
      </c>
      <c r="S1252" s="49" t="n"/>
      <c r="T1252" s="49" t="n"/>
      <c r="U1252" s="47" t="inlineStr">
        <is>
          <t>Today Ben dives into the Wizarding World of Harry Potter to revisit an old question and add some additional context to WHY Voldemorts followers are called Death Eaters! Check out Kirby.Alice’s TikTok :: More reading about the Yew &amp; Holly Trees ::</t>
        </is>
      </c>
      <c r="V1252" s="47">
        <f>IF(AND(P1252&gt;=Calendar!$K$2,P1252&lt;EDATE(Calendar!$K$2,1),OR(Calendar!$K$4="*",N1252=Calendar!$K$4)),P1252*100+COUNTIFS($P$6:$P$3267,P1252,$Q$6:$Q$3267,"&lt;="&amp;Q1252,$N$6:$N$3267,Calendar!$K$4),"")</f>
        <v/>
      </c>
      <c r="W1252" s="47">
        <f>IF(AND(B1252=Queue!$C$4,OR(Queue!$K$4="*",N1252=Queue!$K$4)),Q1252,"")</f>
        <v/>
      </c>
    </row>
    <row r="1253">
      <c r="A1253" s="38">
        <f>IF(M1253="","",HYPERLINK("https://www.youtube.com/watch?v="&amp;M1253,"▶"))</f>
        <v/>
      </c>
      <c r="B1253" s="39">
        <f>IF(C1253&lt;&gt;"",C1253,IF(P1253&lt;=IFERROR(INDEX(tblChannels[Watched Through],MATCH(N1253,tblChannels[Channel ID],0)),0),"Watched","Unwatched"))</f>
        <v/>
      </c>
      <c r="C1253" s="40" t="n"/>
      <c r="D1253" s="41" t="n"/>
      <c r="E1253" s="42" t="n">
        <v>44551.68125</v>
      </c>
      <c r="F1253" s="50" t="inlineStr">
        <is>
          <t>Super Carlin Brothers</t>
        </is>
      </c>
      <c r="G1253" t="inlineStr">
        <is>
          <t>Why Spider-Man No Way Home is our New FAVORITE Marvel Movie | REVIEW [J vs Ben]</t>
        </is>
      </c>
      <c r="H1253" s="44" t="n">
        <v>0.03430555555555555</v>
      </c>
      <c r="I1253" s="45" t="n">
        <v>342256</v>
      </c>
      <c r="J1253" s="45" t="n">
        <v>11141</v>
      </c>
      <c r="K1253" s="45" t="n">
        <v>1825</v>
      </c>
      <c r="L1253" s="46" t="n"/>
      <c r="M1253" s="47" t="n"/>
      <c r="N1253" s="47" t="inlineStr">
        <is>
          <t>UCKZo4N0lVPccBkSiuyVh4yg</t>
        </is>
      </c>
      <c r="O1253" s="48" t="n">
        <v>44551.88958333333</v>
      </c>
      <c r="P1253" s="49" t="n">
        <v>44551</v>
      </c>
      <c r="Q1253" s="47" t="n">
        <v>2015</v>
      </c>
      <c r="R1253" s="47" t="inlineStr">
        <is>
          <t>No Video ID yet</t>
        </is>
      </c>
      <c r="S1253" s="49" t="n"/>
      <c r="T1253" s="49" t="n"/>
      <c r="U1253" s="47" t="inlineStr">
        <is>
          <t>Get 25% off and zero delivery fees on their first order of $15 or more, when you download the DoorDash app and enter code JVSB2021 Go to and enter code SUPER at checkout to get 20% off your first box! Today J and Ben give their full SPOILER Review of Spider-Man No Way Home and try and determine if is in fact the greatest Marvel movie ever made! #SuperCarlinBrothers #SpiderManNoWayHome #Marvel</t>
        </is>
      </c>
      <c r="V1253" s="47">
        <f>IF(AND(P1253&gt;=Calendar!$K$2,P1253&lt;EDATE(Calendar!$K$2,1),OR(Calendar!$K$4="*",N1253=Calendar!$K$4)),P1253*100+COUNTIFS($P$6:$P$3267,P1253,$Q$6:$Q$3267,"&lt;="&amp;Q1253,$N$6:$N$3267,Calendar!$K$4),"")</f>
        <v/>
      </c>
      <c r="W1253" s="47">
        <f>IF(AND(B1253=Queue!$C$4,OR(Queue!$K$4="*",N1253=Queue!$K$4)),Q1253,"")</f>
        <v/>
      </c>
    </row>
    <row r="1254">
      <c r="A1254" s="38">
        <f>IF(M1254="","",HYPERLINK("https://www.youtube.com/watch?v="&amp;M1254,"▶"))</f>
        <v/>
      </c>
      <c r="B1254" s="39">
        <f>IF(C1254&lt;&gt;"",C1254,IF(P1254&lt;=IFERROR(INDEX(tblChannels[Watched Through],MATCH(N1254,tblChannels[Channel ID],0)),0),"Watched","Unwatched"))</f>
        <v/>
      </c>
      <c r="C1254" s="40" t="n"/>
      <c r="D1254" s="41" t="n"/>
      <c r="E1254" s="42" t="n">
        <v>44550.41666666666</v>
      </c>
      <c r="F1254" s="53" t="inlineStr">
        <is>
          <t>Jonathan Carlin</t>
        </is>
      </c>
      <c r="G1254" t="inlineStr">
        <is>
          <t>Home Alone - Beths Lost in New York</t>
        </is>
      </c>
      <c r="H1254" s="44" t="n">
        <v>0.01605324074074074</v>
      </c>
      <c r="I1254" s="45" t="n">
        <v>22423</v>
      </c>
      <c r="J1254" s="45" t="n">
        <v>1524</v>
      </c>
      <c r="K1254" s="45" t="n">
        <v>145</v>
      </c>
      <c r="L1254" s="46" t="n"/>
      <c r="M1254" s="47" t="n"/>
      <c r="N1254" s="47" t="inlineStr">
        <is>
          <t>UCYPKFe86e6nm4TVUYKLsFUQ</t>
        </is>
      </c>
      <c r="O1254" s="48" t="n">
        <v>44550.625</v>
      </c>
      <c r="P1254" s="49" t="n">
        <v>44550</v>
      </c>
      <c r="Q1254" s="47" t="n">
        <v>2014</v>
      </c>
      <c r="R1254" s="47" t="inlineStr">
        <is>
          <t>No Video ID yet</t>
        </is>
      </c>
      <c r="S1254" s="49" t="n"/>
      <c r="T1254" s="49" t="n"/>
      <c r="U1254" s="47" t="inlineStr">
        <is>
          <t>This week J is Home Alone with the kids for a few days while Beth takes a trip to NYC! We also begin our Christmas celebrations with a Roanoke Classic: Dicken’s of a Christmas and trek out to find our own family Christmas tree!</t>
        </is>
      </c>
      <c r="V1254" s="47">
        <f>IF(AND(P1254&gt;=Calendar!$K$2,P1254&lt;EDATE(Calendar!$K$2,1),OR(Calendar!$K$4="*",N1254=Calendar!$K$4)),P1254*100+COUNTIFS($P$6:$P$3267,P1254,$Q$6:$Q$3267,"&lt;="&amp;Q1254,$N$6:$N$3267,Calendar!$K$4),"")</f>
        <v/>
      </c>
      <c r="W1254" s="47">
        <f>IF(AND(B1254=Queue!$C$4,OR(Queue!$K$4="*",N1254=Queue!$K$4)),Q1254,"")</f>
        <v/>
      </c>
    </row>
    <row r="1255">
      <c r="A1255" s="38">
        <f>IF(M1255="","",HYPERLINK("https://www.youtube.com/watch?v="&amp;M1255,"▶"))</f>
        <v/>
      </c>
      <c r="B1255" s="39">
        <f>IF(C1255&lt;&gt;"",C1255,IF(P1255&lt;=IFERROR(INDEX(tblChannels[Watched Through],MATCH(N1255,tblChannels[Channel ID],0)),0),"Watched","Unwatched"))</f>
        <v/>
      </c>
      <c r="C1255" s="40" t="n"/>
      <c r="D1255" s="41" t="n"/>
      <c r="E1255" s="42" t="n">
        <v>44547.5</v>
      </c>
      <c r="F1255" s="54" t="inlineStr">
        <is>
          <t>With the Carlins</t>
        </is>
      </c>
      <c r="G1255" t="inlineStr">
        <is>
          <t>The Great Office OVERHAUL(ish)</t>
        </is>
      </c>
      <c r="H1255" s="44" t="n">
        <v>0.01853009259259259</v>
      </c>
      <c r="I1255" s="45" t="n">
        <v>20343</v>
      </c>
      <c r="J1255" s="45" t="n">
        <v>1541</v>
      </c>
      <c r="K1255" s="45" t="n">
        <v>115</v>
      </c>
      <c r="L1255" s="46" t="n"/>
      <c r="M1255" s="47" t="n"/>
      <c r="N1255" s="47" t="inlineStr">
        <is>
          <t>UCVBTjN9WJU5Ac8yU7b2K-5g</t>
        </is>
      </c>
      <c r="O1255" s="48" t="n">
        <v>44547.70833333334</v>
      </c>
      <c r="P1255" s="49" t="n">
        <v>44547</v>
      </c>
      <c r="Q1255" s="47" t="n">
        <v>2013</v>
      </c>
      <c r="R1255" s="47" t="inlineStr">
        <is>
          <t>No Video ID yet</t>
        </is>
      </c>
      <c r="S1255" s="49" t="n"/>
      <c r="T1255" s="49" t="n"/>
      <c r="U1255" s="47" t="inlineStr">
        <is>
          <t>This week we go to dinner with some friends, finish a home project, start a home project, and reflect on how parenting is so, so worth it! In case you're at all interested: Desk: Chair: Follow Us! :: I N S T A G R A M➜ and Ben Carlin #SuperCarlinBrothers #CarlinFamily #FamilyVlog</t>
        </is>
      </c>
      <c r="V1255" s="47">
        <f>IF(AND(P1255&gt;=Calendar!$K$2,P1255&lt;EDATE(Calendar!$K$2,1),OR(Calendar!$K$4="*",N1255=Calendar!$K$4)),P1255*100+COUNTIFS($P$6:$P$3267,P1255,$Q$6:$Q$3267,"&lt;="&amp;Q1255,$N$6:$N$3267,Calendar!$K$4),"")</f>
        <v/>
      </c>
      <c r="W1255" s="47">
        <f>IF(AND(B1255=Queue!$C$4,OR(Queue!$K$4="*",N1255=Queue!$K$4)),Q1255,"")</f>
        <v/>
      </c>
    </row>
    <row r="1256">
      <c r="A1256" s="38">
        <f>IF(M1256="","",HYPERLINK("https://www.youtube.com/watch?v="&amp;M1256,"▶"))</f>
        <v/>
      </c>
      <c r="B1256" s="39">
        <f>IF(C1256&lt;&gt;"",C1256,IF(P1256&lt;=IFERROR(INDEX(tblChannels[Watched Through],MATCH(N1256,tblChannels[Channel ID],0)),0),"Watched","Unwatched"))</f>
        <v/>
      </c>
      <c r="C1256" s="40" t="n"/>
      <c r="D1256" s="41" t="n"/>
      <c r="E1256" s="42" t="n">
        <v>44547.41666666666</v>
      </c>
      <c r="F1256" s="43" t="inlineStr">
        <is>
          <t>Popcorn Culture</t>
        </is>
      </c>
      <c r="G1256" t="inlineStr">
        <is>
          <t>15 Page Long Banner of a Hot Dog | Popcorn Culture</t>
        </is>
      </c>
      <c r="H1256" s="44" t="n">
        <v>0.04542824074074074</v>
      </c>
      <c r="I1256" s="45" t="n">
        <v>8434</v>
      </c>
      <c r="J1256" s="45" t="n">
        <v>515</v>
      </c>
      <c r="K1256" s="45" t="n">
        <v>50</v>
      </c>
      <c r="L1256" s="46" t="n"/>
      <c r="M1256" s="47" t="n"/>
      <c r="N1256" s="47" t="inlineStr">
        <is>
          <t>UCHfIbq9thHPC8yrKjAdJgDA</t>
        </is>
      </c>
      <c r="O1256" s="48" t="n">
        <v>44547.625</v>
      </c>
      <c r="P1256" s="49" t="n">
        <v>44547</v>
      </c>
      <c r="Q1256" s="47" t="n">
        <v>2012</v>
      </c>
      <c r="R1256" s="47" t="inlineStr">
        <is>
          <t>No Video ID yet</t>
        </is>
      </c>
      <c r="S1256" s="49" t="n"/>
      <c r="T1256" s="49" t="n"/>
      <c r="U1256" s="47" t="inlineStr">
        <is>
          <t>In the 106th episode of the pop, Ben and J discuss utility problems, printer updates, the wide variety of baby products, THE dress, the breastfeeding conundrum, picking hold music, search engine optimization, and happiness related to security. Magnetic Onesie Online Store - Blue or Gold Dress - “Dude Where’s My Car” Tattoo Scene - Pop Flag Survey: The Time Ben Bought 300,000 Gallons of Water Not All Babies Are the Same NO SNAP ONESIES Is Happiness Related to Security? Cavemen vs. Insurance Salesmen</t>
        </is>
      </c>
      <c r="V1256" s="47">
        <f>IF(AND(P1256&gt;=Calendar!$K$2,P1256&lt;EDATE(Calendar!$K$2,1),OR(Calendar!$K$4="*",N1256=Calendar!$K$4)),P1256*100+COUNTIFS($P$6:$P$3267,P1256,$Q$6:$Q$3267,"&lt;="&amp;Q1256,$N$6:$N$3267,Calendar!$K$4),"")</f>
        <v/>
      </c>
      <c r="W1256" s="47">
        <f>IF(AND(B1256=Queue!$C$4,OR(Queue!$K$4="*",N1256=Queue!$K$4)),Q1256,"")</f>
        <v/>
      </c>
    </row>
    <row r="1257">
      <c r="A1257" s="38">
        <f>IF(M1257="","",HYPERLINK("https://www.youtube.com/watch?v="&amp;M1257,"▶"))</f>
        <v/>
      </c>
      <c r="B1257" s="39">
        <f>IF(C1257&lt;&gt;"",C1257,IF(P1257&lt;=IFERROR(INDEX(tblChannels[Watched Through],MATCH(N1257,tblChannels[Channel ID],0)),0),"Watched","Unwatched"))</f>
        <v/>
      </c>
      <c r="C1257" s="40" t="n"/>
      <c r="D1257" s="41" t="n"/>
      <c r="E1257" s="42" t="n">
        <v>44546.62638888889</v>
      </c>
      <c r="F1257" s="50" t="inlineStr">
        <is>
          <t>Super Carlin Brothers</t>
        </is>
      </c>
      <c r="G1257" t="inlineStr">
        <is>
          <t>Dumbledore's Big Plan: Fantastic Beasts [Harry Potter Theory]</t>
        </is>
      </c>
      <c r="H1257" s="44" t="n">
        <v>0.01207175925925926</v>
      </c>
      <c r="I1257" s="45" t="n">
        <v>359146</v>
      </c>
      <c r="J1257" s="45" t="n">
        <v>12970</v>
      </c>
      <c r="K1257" s="45" t="n">
        <v>1115</v>
      </c>
      <c r="L1257" s="46" t="n"/>
      <c r="M1257" s="47" t="n"/>
      <c r="N1257" s="47" t="inlineStr">
        <is>
          <t>UCKZo4N0lVPccBkSiuyVh4yg</t>
        </is>
      </c>
      <c r="O1257" s="48" t="n">
        <v>44546.83472222222</v>
      </c>
      <c r="P1257" s="49" t="n">
        <v>44546</v>
      </c>
      <c r="Q1257" s="47" t="n">
        <v>2011</v>
      </c>
      <c r="R1257" s="47" t="inlineStr">
        <is>
          <t>No Video ID yet</t>
        </is>
      </c>
      <c r="S1257" s="49" t="n"/>
      <c r="T1257" s="49" t="n"/>
      <c r="U1257" s="47" t="inlineStr">
        <is>
          <t>Go to and use promo code ‘SUPERCARLIN’ to claim your special offer today! Today Ben dives back into the Wizarding World of Harry Potter to analyze the wild mind of Albus Dumbledore and all the various ways he's secretly pulling the strings in Fantastic Beasts and Where to Find Them.</t>
        </is>
      </c>
      <c r="V1257" s="47">
        <f>IF(AND(P1257&gt;=Calendar!$K$2,P1257&lt;EDATE(Calendar!$K$2,1),OR(Calendar!$K$4="*",N1257=Calendar!$K$4)),P1257*100+COUNTIFS($P$6:$P$3267,P1257,$Q$6:$Q$3267,"&lt;="&amp;Q1257,$N$6:$N$3267,Calendar!$K$4),"")</f>
        <v/>
      </c>
      <c r="W1257" s="47">
        <f>IF(AND(B1257=Queue!$C$4,OR(Queue!$K$4="*",N1257=Queue!$K$4)),Q1257,"")</f>
        <v/>
      </c>
    </row>
    <row r="1258">
      <c r="A1258" s="38">
        <f>IF(M1258="","",HYPERLINK("https://www.youtube.com/watch?v="&amp;M1258,"▶"))</f>
        <v/>
      </c>
      <c r="B1258" s="39">
        <f>IF(C1258&lt;&gt;"",C1258,IF(P1258&lt;=IFERROR(INDEX(tblChannels[Watched Through],MATCH(N1258,tblChannels[Channel ID],0)),0),"Watched","Unwatched"))</f>
        <v/>
      </c>
      <c r="C1258" s="40" t="n"/>
      <c r="D1258" s="41" t="n"/>
      <c r="E1258" s="42" t="n">
        <v>44544.81805555556</v>
      </c>
      <c r="F1258" s="50" t="inlineStr">
        <is>
          <t>Super Carlin Brothers</t>
        </is>
      </c>
      <c r="G1258" t="inlineStr">
        <is>
          <t>Tobey WAS Uncle Ben in the MCU | Spider-Man Theory</t>
        </is>
      </c>
      <c r="H1258" s="44" t="n">
        <v>0.0007060185185185185</v>
      </c>
      <c r="I1258" s="45" t="n">
        <v>83250</v>
      </c>
      <c r="J1258" s="45" t="n">
        <v>4201</v>
      </c>
      <c r="K1258" s="45" t="n">
        <v>283</v>
      </c>
      <c r="L1258" s="46" t="n"/>
      <c r="M1258" s="47" t="n"/>
      <c r="N1258" s="47" t="inlineStr">
        <is>
          <t>UCKZo4N0lVPccBkSiuyVh4yg</t>
        </is>
      </c>
      <c r="O1258" s="48" t="n">
        <v>44545.02638888889</v>
      </c>
      <c r="P1258" s="49" t="n">
        <v>44544</v>
      </c>
      <c r="Q1258" s="47" t="n">
        <v>2010</v>
      </c>
      <c r="R1258" s="47" t="inlineStr">
        <is>
          <t>No Video ID yet</t>
        </is>
      </c>
      <c r="S1258" s="49" t="n"/>
      <c r="T1258" s="49" t="n"/>
      <c r="U1258" s="47" t="inlineStr">
        <is>
          <t>What if.. Uncle Ben in the MCU looked exactly like Peter Parker from anoyher universe..?</t>
        </is>
      </c>
      <c r="V1258" s="47">
        <f>IF(AND(P1258&gt;=Calendar!$K$2,P1258&lt;EDATE(Calendar!$K$2,1),OR(Calendar!$K$4="*",N1258=Calendar!$K$4)),P1258*100+COUNTIFS($P$6:$P$3267,P1258,$Q$6:$Q$3267,"&lt;="&amp;Q1258,$N$6:$N$3267,Calendar!$K$4),"")</f>
        <v/>
      </c>
      <c r="W1258" s="47">
        <f>IF(AND(B1258=Queue!$C$4,OR(Queue!$K$4="*",N1258=Queue!$K$4)),Q1258,"")</f>
        <v/>
      </c>
    </row>
    <row r="1259">
      <c r="A1259" s="38">
        <f>IF(M1259="","",HYPERLINK("https://www.youtube.com/watch?v="&amp;M1259,"▶"))</f>
        <v/>
      </c>
      <c r="B1259" s="39">
        <f>IF(C1259&lt;&gt;"",C1259,IF(P1259&lt;=IFERROR(INDEX(tblChannels[Watched Through],MATCH(N1259,tblChannels[Channel ID],0)),0),"Watched","Unwatched"))</f>
        <v/>
      </c>
      <c r="C1259" s="40" t="n"/>
      <c r="D1259" s="41" t="n"/>
      <c r="E1259" s="42" t="n">
        <v>44544.80555555555</v>
      </c>
      <c r="F1259" s="50" t="inlineStr">
        <is>
          <t>Super Carlin Brothers</t>
        </is>
      </c>
      <c r="G1259" t="inlineStr">
        <is>
          <t>Secrets of Dumbledore Trailer Breakdown | Harry Potter Theory</t>
        </is>
      </c>
      <c r="H1259" s="44" t="n">
        <v>0.01287037037037037</v>
      </c>
      <c r="I1259" s="45" t="n">
        <v>445596</v>
      </c>
      <c r="J1259" s="45" t="n">
        <v>17457</v>
      </c>
      <c r="K1259" s="45" t="n">
        <v>2194</v>
      </c>
      <c r="L1259" s="46" t="n"/>
      <c r="M1259" s="47" t="n"/>
      <c r="N1259" s="47" t="inlineStr">
        <is>
          <t>UCKZo4N0lVPccBkSiuyVh4yg</t>
        </is>
      </c>
      <c r="O1259" s="48" t="n">
        <v>44545.01388888889</v>
      </c>
      <c r="P1259" s="49" t="n">
        <v>44544</v>
      </c>
      <c r="Q1259" s="47" t="n">
        <v>2009</v>
      </c>
      <c r="R1259" s="47" t="inlineStr">
        <is>
          <t>No Video ID yet</t>
        </is>
      </c>
      <c r="S1259" s="49" t="n"/>
      <c r="T1259" s="49" t="n"/>
      <c r="U1259" s="47" t="inlineStr">
        <is>
          <t>​​Head on over to and take care of yourself. Today J dives into the Wizarding World of Harry Potter to breakdown the latest Fantastic Beasts: Secrets of Dumbledore trailer! Where is Tina? What memory was Grindelwald taking from Yusef? What are those odd crab creatures?! Check out the full trailer :: #SuperCarlinBrothers #HarryPotter #SecretsOfDumbledore</t>
        </is>
      </c>
      <c r="V1259" s="47">
        <f>IF(AND(P1259&gt;=Calendar!$K$2,P1259&lt;EDATE(Calendar!$K$2,1),OR(Calendar!$K$4="*",N1259=Calendar!$K$4)),P1259*100+COUNTIFS($P$6:$P$3267,P1259,$Q$6:$Q$3267,"&lt;="&amp;Q1259,$N$6:$N$3267,Calendar!$K$4),"")</f>
        <v/>
      </c>
      <c r="W1259" s="47">
        <f>IF(AND(B1259=Queue!$C$4,OR(Queue!$K$4="*",N1259=Queue!$K$4)),Q1259,"")</f>
        <v/>
      </c>
    </row>
    <row r="1260">
      <c r="A1260" s="38">
        <f>IF(M1260="","",HYPERLINK("https://www.youtube.com/watch?v="&amp;M1260,"▶"))</f>
        <v/>
      </c>
      <c r="B1260" s="39">
        <f>IF(C1260&lt;&gt;"",C1260,IF(P1260&lt;=IFERROR(INDEX(tblChannels[Watched Through],MATCH(N1260,tblChannels[Channel ID],0)),0),"Watched","Unwatched"))</f>
        <v/>
      </c>
      <c r="C1260" s="40" t="n"/>
      <c r="D1260" s="41" t="n"/>
      <c r="E1260" s="42" t="n">
        <v>44543.41666666666</v>
      </c>
      <c r="F1260" s="53" t="inlineStr">
        <is>
          <t>Jonathan Carlin</t>
        </is>
      </c>
      <c r="G1260" t="inlineStr">
        <is>
          <t>LUKE TURNS FOUR!</t>
        </is>
      </c>
      <c r="H1260" s="44" t="n">
        <v>0.01633101851851852</v>
      </c>
      <c r="I1260" s="45" t="n">
        <v>21315</v>
      </c>
      <c r="J1260" s="45" t="n">
        <v>1593</v>
      </c>
      <c r="K1260" s="45" t="n">
        <v>177</v>
      </c>
      <c r="L1260" s="46" t="n"/>
      <c r="M1260" s="47" t="n"/>
      <c r="N1260" s="47" t="inlineStr">
        <is>
          <t>UCYPKFe86e6nm4TVUYKLsFUQ</t>
        </is>
      </c>
      <c r="O1260" s="48" t="n">
        <v>44543.625</v>
      </c>
      <c r="P1260" s="49" t="n">
        <v>44543</v>
      </c>
      <c r="Q1260" s="47" t="n">
        <v>2008</v>
      </c>
      <c r="R1260" s="47" t="inlineStr">
        <is>
          <t>No Video ID yet</t>
        </is>
      </c>
      <c r="S1260" s="49" t="n"/>
      <c r="T1260" s="49" t="n"/>
      <c r="U1260" s="47" t="inlineStr">
        <is>
          <t>This week J and the family celebrate Thanksgiving, run a 5k, celebrate Luke’s 4th birthday. Also J struggles to build the Paw Patrol Tower. Paw Patrol Tower :: Dinosaur Eggs :: Fire Truck Puzzle :: Pokemon Chess Set ::</t>
        </is>
      </c>
      <c r="V1260" s="47">
        <f>IF(AND(P1260&gt;=Calendar!$K$2,P1260&lt;EDATE(Calendar!$K$2,1),OR(Calendar!$K$4="*",N1260=Calendar!$K$4)),P1260*100+COUNTIFS($P$6:$P$3267,P1260,$Q$6:$Q$3267,"&lt;="&amp;Q1260,$N$6:$N$3267,Calendar!$K$4),"")</f>
        <v/>
      </c>
      <c r="W1260" s="47">
        <f>IF(AND(B1260=Queue!$C$4,OR(Queue!$K$4="*",N1260=Queue!$K$4)),Q1260,"")</f>
        <v/>
      </c>
    </row>
    <row r="1261">
      <c r="A1261" s="38">
        <f>IF(M1261="","",HYPERLINK("https://www.youtube.com/watch?v="&amp;M1261,"▶"))</f>
        <v/>
      </c>
      <c r="B1261" s="39">
        <f>IF(C1261&lt;&gt;"",C1261,IF(P1261&lt;=IFERROR(INDEX(tblChannels[Watched Through],MATCH(N1261,tblChannels[Channel ID],0)),0),"Watched","Unwatched"))</f>
        <v/>
      </c>
      <c r="C1261" s="40" t="n"/>
      <c r="D1261" s="41" t="n"/>
      <c r="E1261" s="42" t="n">
        <v>44540.71944444445</v>
      </c>
      <c r="F1261" s="50" t="inlineStr">
        <is>
          <t>Super Carlin Brothers</t>
        </is>
      </c>
      <c r="G1261" t="inlineStr">
        <is>
          <t>Ranking EVERY Harry Potter Movie</t>
        </is>
      </c>
      <c r="H1261" s="44" t="n">
        <v>0.04184027777777777</v>
      </c>
      <c r="I1261" s="45" t="n">
        <v>940524</v>
      </c>
      <c r="J1261" s="45" t="n">
        <v>18753</v>
      </c>
      <c r="K1261" s="45" t="n">
        <v>3054</v>
      </c>
      <c r="L1261" s="46" t="n"/>
      <c r="M1261" s="47" t="n"/>
      <c r="N1261" s="47" t="inlineStr">
        <is>
          <t>UCKZo4N0lVPccBkSiuyVh4yg</t>
        </is>
      </c>
      <c r="O1261" s="48" t="n">
        <v>44540.92777777778</v>
      </c>
      <c r="P1261" s="49" t="n">
        <v>44540</v>
      </c>
      <c r="Q1261" s="47" t="n">
        <v>2007</v>
      </c>
      <c r="R1261" s="47" t="inlineStr">
        <is>
          <t>No Video ID yet</t>
        </is>
      </c>
      <c r="S1261" s="49" t="n"/>
      <c r="T1261" s="49" t="n"/>
      <c r="U1261" s="47" t="inlineStr">
        <is>
          <t>Be sure to check out the Secretlab Harry Potter Chair by going to: bit.ly/SecretlabSCB Go to and use code scb14 for up to 14 free meals AND 3 free gifts! Today J and Ben sit down (in some very comfy chairs) to rank EVERY Harry Potter movie from Sorcerer’s Stone to Fantastic Beasts The Crimes of Grindelwald Make your own tier list ::</t>
        </is>
      </c>
      <c r="V1261" s="47">
        <f>IF(AND(P1261&gt;=Calendar!$K$2,P1261&lt;EDATE(Calendar!$K$2,1),OR(Calendar!$K$4="*",N1261=Calendar!$K$4)),P1261*100+COUNTIFS($P$6:$P$3267,P1261,$Q$6:$Q$3267,"&lt;="&amp;Q1261,$N$6:$N$3267,Calendar!$K$4),"")</f>
        <v/>
      </c>
      <c r="W1261" s="47">
        <f>IF(AND(B1261=Queue!$C$4,OR(Queue!$K$4="*",N1261=Queue!$K$4)),Q1261,"")</f>
        <v/>
      </c>
    </row>
    <row r="1262">
      <c r="A1262" s="38">
        <f>IF(M1262="","",HYPERLINK("https://www.youtube.com/watch?v="&amp;M1262,"▶"))</f>
        <v/>
      </c>
      <c r="B1262" s="39">
        <f>IF(C1262&lt;&gt;"",C1262,IF(P1262&lt;=IFERROR(INDEX(tblChannels[Watched Through],MATCH(N1262,tblChannels[Channel ID],0)),0),"Watched","Unwatched"))</f>
        <v/>
      </c>
      <c r="C1262" s="40" t="n"/>
      <c r="D1262" s="41" t="n"/>
      <c r="E1262" s="42" t="n">
        <v>44540.5</v>
      </c>
      <c r="F1262" s="54" t="inlineStr">
        <is>
          <t>With the Carlins</t>
        </is>
      </c>
      <c r="G1262" t="inlineStr">
        <is>
          <t>Addison Meets Spider Man!</t>
        </is>
      </c>
      <c r="H1262" s="44" t="n">
        <v>0.01003472222222222</v>
      </c>
      <c r="I1262" s="45" t="n">
        <v>17218</v>
      </c>
      <c r="J1262" s="45" t="n">
        <v>1528</v>
      </c>
      <c r="K1262" s="45" t="n">
        <v>83</v>
      </c>
      <c r="L1262" s="46" t="n"/>
      <c r="M1262" s="47" t="n"/>
      <c r="N1262" s="47" t="inlineStr">
        <is>
          <t>UCVBTjN9WJU5Ac8yU7b2K-5g</t>
        </is>
      </c>
      <c r="O1262" s="48" t="n">
        <v>44540.70833333334</v>
      </c>
      <c r="P1262" s="49" t="n">
        <v>44540</v>
      </c>
      <c r="Q1262" s="47" t="n">
        <v>2006</v>
      </c>
      <c r="R1262" s="47" t="inlineStr">
        <is>
          <t>No Video ID yet</t>
        </is>
      </c>
      <c r="S1262" s="49" t="n"/>
      <c r="T1262" s="49" t="n"/>
      <c r="U1262" s="47" t="inlineStr">
        <is>
          <t>This week we take a long walk through our past, celebrate 1205 day, and Addison gets to meet Spider-Man! Follow Us! :: I N S T A G R A M➜ and Ben Carlin #SuperCarlinBrothers #CarlinFamily #FamilyVlog</t>
        </is>
      </c>
      <c r="V1262" s="47">
        <f>IF(AND(P1262&gt;=Calendar!$K$2,P1262&lt;EDATE(Calendar!$K$2,1),OR(Calendar!$K$4="*",N1262=Calendar!$K$4)),P1262*100+COUNTIFS($P$6:$P$3267,P1262,$Q$6:$Q$3267,"&lt;="&amp;Q1262,$N$6:$N$3267,Calendar!$K$4),"")</f>
        <v/>
      </c>
      <c r="W1262" s="47">
        <f>IF(AND(B1262=Queue!$C$4,OR(Queue!$K$4="*",N1262=Queue!$K$4)),Q1262,"")</f>
        <v/>
      </c>
    </row>
    <row r="1263">
      <c r="A1263" s="38">
        <f>IF(M1263="","",HYPERLINK("https://www.youtube.com/watch?v="&amp;M1263,"▶"))</f>
        <v/>
      </c>
      <c r="B1263" s="39">
        <f>IF(C1263&lt;&gt;"",C1263,IF(P1263&lt;=IFERROR(INDEX(tblChannels[Watched Through],MATCH(N1263,tblChannels[Channel ID],0)),0),"Watched","Unwatched"))</f>
        <v/>
      </c>
      <c r="C1263" s="40" t="n"/>
      <c r="D1263" s="41" t="n"/>
      <c r="E1263" s="42" t="n">
        <v>44540.41666666666</v>
      </c>
      <c r="F1263" s="43" t="inlineStr">
        <is>
          <t>Popcorn Culture</t>
        </is>
      </c>
      <c r="G1263" t="inlineStr">
        <is>
          <t>Is Disney World A Little Kernel?! | Popcorn Culture</t>
        </is>
      </c>
      <c r="H1263" s="44" t="n">
        <v>0.0500462962962963</v>
      </c>
      <c r="I1263" s="45" t="n">
        <v>10324</v>
      </c>
      <c r="J1263" s="45" t="n">
        <v>460</v>
      </c>
      <c r="K1263" s="45" t="n">
        <v>57</v>
      </c>
      <c r="L1263" s="46" t="n"/>
      <c r="M1263" s="47" t="n"/>
      <c r="N1263" s="47" t="inlineStr">
        <is>
          <t>UCHfIbq9thHPC8yrKjAdJgDA</t>
        </is>
      </c>
      <c r="O1263" s="48" t="n">
        <v>44540.625</v>
      </c>
      <c r="P1263" s="49" t="n">
        <v>44540</v>
      </c>
      <c r="Q1263" s="47" t="n">
        <v>2005</v>
      </c>
      <c r="R1263" s="47" t="inlineStr">
        <is>
          <t>No Video ID yet</t>
        </is>
      </c>
      <c r="S1263" s="49" t="n"/>
      <c r="T1263" s="49" t="n"/>
      <c r="U1263" s="47" t="inlineStr">
        <is>
          <t>On the 105th episode of the pop, Ben and J discuss The Duckorn, pizza places, satisficers vs. maximizers, movie theater experiences, ideal vacations, sand art, laser tag/arcades, the new Disney cookie, and the Berenstain Bears. Big Bang Theory: Satisficing Theory: X-Men arcade game: Disney’s Food and Wine Festival: The green eyed monster Berenstain bears: Pop Flag Survey:</t>
        </is>
      </c>
      <c r="V1263" s="47">
        <f>IF(AND(P1263&gt;=Calendar!$K$2,P1263&lt;EDATE(Calendar!$K$2,1),OR(Calendar!$K$4="*",N1263=Calendar!$K$4)),P1263*100+COUNTIFS($P$6:$P$3267,P1263,$Q$6:$Q$3267,"&lt;="&amp;Q1263,$N$6:$N$3267,Calendar!$K$4),"")</f>
        <v/>
      </c>
      <c r="W1263" s="47">
        <f>IF(AND(B1263=Queue!$C$4,OR(Queue!$K$4="*",N1263=Queue!$K$4)),Q1263,"")</f>
        <v/>
      </c>
    </row>
    <row r="1264">
      <c r="A1264" s="38">
        <f>IF(M1264="","",HYPERLINK("https://www.youtube.com/watch?v="&amp;M1264,"▶"))</f>
        <v/>
      </c>
      <c r="B1264" s="39">
        <f>IF(C1264&lt;&gt;"",C1264,IF(P1264&lt;=IFERROR(INDEX(tblChannels[Watched Through],MATCH(N1264,tblChannels[Channel ID],0)),0),"Watched","Unwatched"))</f>
        <v/>
      </c>
      <c r="C1264" s="40" t="n"/>
      <c r="D1264" s="41" t="n"/>
      <c r="E1264" s="42" t="n">
        <v>44539.70902777778</v>
      </c>
      <c r="F1264" s="50" t="inlineStr">
        <is>
          <t>Super Carlin Brothers</t>
        </is>
      </c>
      <c r="G1264" t="inlineStr">
        <is>
          <t>Will Mirabel Be A Disney Princess? | Disney Theory</t>
        </is>
      </c>
      <c r="H1264" s="44" t="n">
        <v>0.009444444444444445</v>
      </c>
      <c r="I1264" s="45" t="n">
        <v>234585</v>
      </c>
      <c r="J1264" s="45" t="n">
        <v>10497</v>
      </c>
      <c r="K1264" s="45" t="n">
        <v>1477</v>
      </c>
      <c r="L1264" s="46" t="n"/>
      <c r="M1264" s="47" t="n"/>
      <c r="N1264" s="47" t="inlineStr">
        <is>
          <t>UCKZo4N0lVPccBkSiuyVh4yg</t>
        </is>
      </c>
      <c r="O1264" s="48" t="n">
        <v>44539.91736111111</v>
      </c>
      <c r="P1264" s="49" t="n">
        <v>44539</v>
      </c>
      <c r="Q1264" s="47" t="n">
        <v>2004</v>
      </c>
      <c r="R1264" s="47" t="inlineStr">
        <is>
          <t>No Video ID yet</t>
        </is>
      </c>
      <c r="S1264" s="49" t="n"/>
      <c r="T1264" s="49" t="n"/>
      <c r="U1264" s="47" t="inlineStr">
        <is>
          <t>Visit to get Honey for free Get 25% off and zero delivery fees on their first order of $15 or more, when you download the DoorDash app and enter code JVSB2021. Today J dives into the magical world of Disney’s Encanto to try and determine if Mirabel will become an official Disney Princess! #SuperCarlinBrothers #Disney #Encanto #DisneyPrincess</t>
        </is>
      </c>
      <c r="V1264" s="47">
        <f>IF(AND(P1264&gt;=Calendar!$K$2,P1264&lt;EDATE(Calendar!$K$2,1),OR(Calendar!$K$4="*",N1264=Calendar!$K$4)),P1264*100+COUNTIFS($P$6:$P$3267,P1264,$Q$6:$Q$3267,"&lt;="&amp;Q1264,$N$6:$N$3267,Calendar!$K$4),"")</f>
        <v/>
      </c>
      <c r="W1264" s="47">
        <f>IF(AND(B1264=Queue!$C$4,OR(Queue!$K$4="*",N1264=Queue!$K$4)),Q1264,"")</f>
        <v/>
      </c>
    </row>
    <row r="1265">
      <c r="A1265" s="38">
        <f>IF(M1265="","",HYPERLINK("https://www.youtube.com/watch?v="&amp;M1265,"▶"))</f>
        <v/>
      </c>
      <c r="B1265" s="39">
        <f>IF(C1265&lt;&gt;"",C1265,IF(P1265&lt;=IFERROR(INDEX(tblChannels[Watched Through],MATCH(N1265,tblChannels[Channel ID],0)),0),"Watched","Unwatched"))</f>
        <v/>
      </c>
      <c r="C1265" s="40" t="n"/>
      <c r="D1265" s="41" t="n"/>
      <c r="E1265" s="42" t="n">
        <v>44537.76875</v>
      </c>
      <c r="F1265" s="50" t="inlineStr">
        <is>
          <t>Super Carlin Brothers</t>
        </is>
      </c>
      <c r="G1265" t="inlineStr">
        <is>
          <t>J vs Ben: ULTIMATE Golden Trio Harry Potter TRIVIA Quiz</t>
        </is>
      </c>
      <c r="H1265" s="44" t="n">
        <v>0.02199074074074074</v>
      </c>
      <c r="I1265" s="45" t="n">
        <v>396498</v>
      </c>
      <c r="J1265" s="45" t="n">
        <v>11496</v>
      </c>
      <c r="K1265" s="45" t="n">
        <v>997</v>
      </c>
      <c r="L1265" s="46" t="n"/>
      <c r="M1265" s="47" t="n"/>
      <c r="N1265" s="47" t="inlineStr">
        <is>
          <t>UCKZo4N0lVPccBkSiuyVh4yg</t>
        </is>
      </c>
      <c r="O1265" s="48" t="n">
        <v>44537.97708333333</v>
      </c>
      <c r="P1265" s="49" t="n">
        <v>44537</v>
      </c>
      <c r="Q1265" s="47" t="n">
        <v>2003</v>
      </c>
      <c r="R1265" s="47" t="inlineStr">
        <is>
          <t>No Video ID yet</t>
        </is>
      </c>
      <c r="S1265" s="49" t="n"/>
      <c r="T1265" s="49" t="n"/>
      <c r="U1265" s="47" t="inlineStr">
        <is>
          <t>Visit to get Honey for free Get 25% off and zero delivery fees on their first order of $15 or more, when you download the DoorDash app and enter code JVSB2021. Today J and Ben face off once more to find out who knows the most about the Wizarding Worlds Golden Trio: Harry Potter, Hermione Granger and Ron Weasley Play Along With Us ::</t>
        </is>
      </c>
      <c r="V1265" s="47">
        <f>IF(AND(P1265&gt;=Calendar!$K$2,P1265&lt;EDATE(Calendar!$K$2,1),OR(Calendar!$K$4="*",N1265=Calendar!$K$4)),P1265*100+COUNTIFS($P$6:$P$3267,P1265,$Q$6:$Q$3267,"&lt;="&amp;Q1265,$N$6:$N$3267,Calendar!$K$4),"")</f>
        <v/>
      </c>
      <c r="W1265" s="47">
        <f>IF(AND(B1265=Queue!$C$4,OR(Queue!$K$4="*",N1265=Queue!$K$4)),Q1265,"")</f>
        <v/>
      </c>
    </row>
    <row r="1266">
      <c r="A1266" s="38">
        <f>IF(M1266="","",HYPERLINK("https://www.youtube.com/watch?v="&amp;M1266,"▶"))</f>
        <v/>
      </c>
      <c r="B1266" s="39">
        <f>IF(C1266&lt;&gt;"",C1266,IF(P1266&lt;=IFERROR(INDEX(tblChannels[Watched Through],MATCH(N1266,tblChannels[Channel ID],0)),0),"Watched","Unwatched"))</f>
        <v/>
      </c>
      <c r="C1266" s="40" t="n"/>
      <c r="D1266" s="41" t="n"/>
      <c r="E1266" s="42" t="n">
        <v>44536.41666666666</v>
      </c>
      <c r="F1266" s="53" t="inlineStr">
        <is>
          <t>Jonathan Carlin</t>
        </is>
      </c>
      <c r="G1266" t="inlineStr">
        <is>
          <t>Beth Runs A Half-Marathon!</t>
        </is>
      </c>
      <c r="H1266" s="44" t="n">
        <v>0.01336805555555555</v>
      </c>
      <c r="I1266" s="45" t="n">
        <v>19154</v>
      </c>
      <c r="J1266" s="45" t="n">
        <v>1416</v>
      </c>
      <c r="K1266" s="45" t="n">
        <v>0</v>
      </c>
      <c r="L1266" s="46" t="n"/>
      <c r="M1266" s="47" t="n"/>
      <c r="N1266" s="47" t="inlineStr">
        <is>
          <t>UCYPKFe86e6nm4TVUYKLsFUQ</t>
        </is>
      </c>
      <c r="O1266" s="48" t="n">
        <v>44536.625</v>
      </c>
      <c r="P1266" s="49" t="n">
        <v>44536</v>
      </c>
      <c r="Q1266" s="47" t="n">
        <v>2002</v>
      </c>
      <c r="R1266" s="47" t="inlineStr">
        <is>
          <t>No Video ID yet</t>
        </is>
      </c>
      <c r="S1266" s="49" t="n"/>
      <c r="T1266" s="49" t="n"/>
      <c r="U1266" s="47" t="inlineStr">
        <is>
          <t>This week Beth, to the surprise of know one, reproves what a beast she is and completes her 2nd half marathon in a month with a crazy PR! Also J and Ben eat some Blazin wings, host a live stream and Luke cooks some dinner!</t>
        </is>
      </c>
      <c r="V1266" s="47">
        <f>IF(AND(P1266&gt;=Calendar!$K$2,P1266&lt;EDATE(Calendar!$K$2,1),OR(Calendar!$K$4="*",N1266=Calendar!$K$4)),P1266*100+COUNTIFS($P$6:$P$3267,P1266,$Q$6:$Q$3267,"&lt;="&amp;Q1266,$N$6:$N$3267,Calendar!$K$4),"")</f>
        <v/>
      </c>
      <c r="W1266" s="47">
        <f>IF(AND(B1266=Queue!$C$4,OR(Queue!$K$4="*",N1266=Queue!$K$4)),Q1266,"")</f>
        <v/>
      </c>
    </row>
    <row r="1267">
      <c r="A1267" s="38">
        <f>IF(M1267="","",HYPERLINK("https://www.youtube.com/watch?v="&amp;M1267,"▶"))</f>
        <v/>
      </c>
      <c r="B1267" s="39">
        <f>IF(C1267&lt;&gt;"",C1267,IF(P1267&lt;=IFERROR(INDEX(tblChannels[Watched Through],MATCH(N1267,tblChannels[Channel ID],0)),0),"Watched","Unwatched"))</f>
        <v/>
      </c>
      <c r="C1267" s="40" t="n"/>
      <c r="D1267" s="41" t="n"/>
      <c r="E1267" s="42" t="n">
        <v>44533.5</v>
      </c>
      <c r="F1267" s="54" t="inlineStr">
        <is>
          <t>With the Carlins</t>
        </is>
      </c>
      <c r="G1267" t="inlineStr">
        <is>
          <t>Addison is One Month Old!</t>
        </is>
      </c>
      <c r="H1267" s="44" t="n">
        <v>0.01211805555555556</v>
      </c>
      <c r="I1267" s="45" t="n">
        <v>19441</v>
      </c>
      <c r="J1267" s="45" t="n">
        <v>1721</v>
      </c>
      <c r="K1267" s="45" t="n">
        <v>182</v>
      </c>
      <c r="L1267" s="46" t="n"/>
      <c r="M1267" s="47" t="n"/>
      <c r="N1267" s="47" t="inlineStr">
        <is>
          <t>UCVBTjN9WJU5Ac8yU7b2K-5g</t>
        </is>
      </c>
      <c r="O1267" s="48" t="n">
        <v>44533.70833333334</v>
      </c>
      <c r="P1267" s="49" t="n">
        <v>44533</v>
      </c>
      <c r="Q1267" s="47" t="n">
        <v>2001</v>
      </c>
      <c r="R1267" s="47" t="inlineStr">
        <is>
          <t>No Video ID yet</t>
        </is>
      </c>
      <c r="S1267" s="49" t="n"/>
      <c r="T1267" s="49" t="n"/>
      <c r="U1267" s="47" t="inlineStr">
        <is>
          <t>This week we make our first ever turkey, decorate for Christmas and Addison turns 1-month old! Follow Us! :: I N S T A G R A M➜ and Ben Carlin #SuperCarlinBrothers #CarlinFamily #FamilyVlog</t>
        </is>
      </c>
      <c r="V1267" s="47">
        <f>IF(AND(P1267&gt;=Calendar!$K$2,P1267&lt;EDATE(Calendar!$K$2,1),OR(Calendar!$K$4="*",N1267=Calendar!$K$4)),P1267*100+COUNTIFS($P$6:$P$3267,P1267,$Q$6:$Q$3267,"&lt;="&amp;Q1267,$N$6:$N$3267,Calendar!$K$4),"")</f>
        <v/>
      </c>
      <c r="W1267" s="47">
        <f>IF(AND(B1267=Queue!$C$4,OR(Queue!$K$4="*",N1267=Queue!$K$4)),Q1267,"")</f>
        <v/>
      </c>
    </row>
    <row r="1268">
      <c r="A1268" s="38">
        <f>IF(M1268="","",HYPERLINK("https://www.youtube.com/watch?v="&amp;M1268,"▶"))</f>
        <v/>
      </c>
      <c r="B1268" s="39">
        <f>IF(C1268&lt;&gt;"",C1268,IF(P1268&lt;=IFERROR(INDEX(tblChannels[Watched Through],MATCH(N1268,tblChannels[Channel ID],0)),0),"Watched","Unwatched"))</f>
        <v/>
      </c>
      <c r="C1268" s="40" t="n"/>
      <c r="D1268" s="41" t="n"/>
      <c r="E1268" s="42" t="n">
        <v>44533.41666666666</v>
      </c>
      <c r="F1268" s="43" t="inlineStr">
        <is>
          <t>Popcorn Culture</t>
        </is>
      </c>
      <c r="G1268" t="inlineStr">
        <is>
          <t>It's... It's Not Dirt... | Popcorn Culture</t>
        </is>
      </c>
      <c r="H1268" s="44" t="n">
        <v>0.04637731481481482</v>
      </c>
      <c r="I1268" s="45" t="n">
        <v>9589</v>
      </c>
      <c r="J1268" s="45" t="n">
        <v>491</v>
      </c>
      <c r="K1268" s="45" t="n">
        <v>74</v>
      </c>
      <c r="L1268" s="46" t="n"/>
      <c r="M1268" s="47" t="n"/>
      <c r="N1268" s="47" t="inlineStr">
        <is>
          <t>UCHfIbq9thHPC8yrKjAdJgDA</t>
        </is>
      </c>
      <c r="O1268" s="48" t="n">
        <v>44533.625</v>
      </c>
      <c r="P1268" s="49" t="n">
        <v>44533</v>
      </c>
      <c r="Q1268" s="47" t="n">
        <v>2000</v>
      </c>
      <c r="R1268" s="47" t="inlineStr">
        <is>
          <t>No Video ID yet</t>
        </is>
      </c>
      <c r="S1268" s="49" t="n"/>
      <c r="T1268" s="49" t="n"/>
      <c r="U1268" s="47" t="inlineStr">
        <is>
          <t>In the 104th episode of the Pop, Ben and J discuss Star Wars changes, path to success in the film industry, Luke’s birthday presents, the VT/UVA football game, bath time pandemonium, and gave an update on the Pop flag. SCB Star Wars Video referenced: Dinosaur Egg Geodes: VT/UVA Game: Flag Submissions:</t>
        </is>
      </c>
      <c r="V1268" s="47">
        <f>IF(AND(P1268&gt;=Calendar!$K$2,P1268&lt;EDATE(Calendar!$K$2,1),OR(Calendar!$K$4="*",N1268=Calendar!$K$4)),P1268*100+COUNTIFS($P$6:$P$3267,P1268,$Q$6:$Q$3267,"&lt;="&amp;Q1268,$N$6:$N$3267,Calendar!$K$4),"")</f>
        <v/>
      </c>
      <c r="W1268" s="47">
        <f>IF(AND(B1268=Queue!$C$4,OR(Queue!$K$4="*",N1268=Queue!$K$4)),Q1268,"")</f>
        <v/>
      </c>
    </row>
    <row r="1269">
      <c r="A1269" s="38">
        <f>IF(M1269="","",HYPERLINK("https://www.youtube.com/watch?v="&amp;M1269,"▶"))</f>
        <v/>
      </c>
      <c r="B1269" s="39">
        <f>IF(C1269&lt;&gt;"",C1269,IF(P1269&lt;=IFERROR(INDEX(tblChannels[Watched Through],MATCH(N1269,tblChannels[Channel ID],0)),0),"Watched","Unwatched"))</f>
        <v/>
      </c>
      <c r="C1269" s="40" t="n"/>
      <c r="D1269" s="41" t="n"/>
      <c r="E1269" s="42" t="n">
        <v>44532.73472222222</v>
      </c>
      <c r="F1269" s="50" t="inlineStr">
        <is>
          <t>Super Carlin Brothers</t>
        </is>
      </c>
      <c r="G1269" t="inlineStr">
        <is>
          <t>I Fixed the Star Wars Sequel Trilogy | Star Wars Theory</t>
        </is>
      </c>
      <c r="H1269" s="44" t="n">
        <v>0.01334490740740741</v>
      </c>
      <c r="I1269" s="45" t="n">
        <v>159370</v>
      </c>
      <c r="J1269" s="45" t="n">
        <v>8614</v>
      </c>
      <c r="K1269" s="45" t="n">
        <v>1222</v>
      </c>
      <c r="L1269" s="46" t="n"/>
      <c r="M1269" s="47" t="n"/>
      <c r="N1269" s="47" t="inlineStr">
        <is>
          <t>UCKZo4N0lVPccBkSiuyVh4yg</t>
        </is>
      </c>
      <c r="O1269" s="48" t="n">
        <v>44532.94305555556</v>
      </c>
      <c r="P1269" s="49" t="n">
        <v>44532</v>
      </c>
      <c r="Q1269" s="47" t="n">
        <v>1999</v>
      </c>
      <c r="R1269" s="47" t="inlineStr">
        <is>
          <t>No Video ID yet</t>
        </is>
      </c>
      <c r="S1269" s="49" t="n"/>
      <c r="T1269" s="49" t="n"/>
      <c r="U1269" s="47" t="inlineStr">
        <is>
          <t>Go to to get 15% off your first orders and free shipping! Today Ben fixes the Star Wars sequel trilogy with a single change in each movie. LETS GO</t>
        </is>
      </c>
      <c r="V1269" s="47">
        <f>IF(AND(P1269&gt;=Calendar!$K$2,P1269&lt;EDATE(Calendar!$K$2,1),OR(Calendar!$K$4="*",N1269=Calendar!$K$4)),P1269*100+COUNTIFS($P$6:$P$3267,P1269,$Q$6:$Q$3267,"&lt;="&amp;Q1269,$N$6:$N$3267,Calendar!$K$4),"")</f>
        <v/>
      </c>
      <c r="W1269" s="47">
        <f>IF(AND(B1269=Queue!$C$4,OR(Queue!$K$4="*",N1269=Queue!$K$4)),Q1269,"")</f>
        <v/>
      </c>
    </row>
    <row r="1270">
      <c r="A1270" s="38">
        <f>IF(M1270="","",HYPERLINK("https://www.youtube.com/watch?v="&amp;M1270,"▶"))</f>
        <v/>
      </c>
      <c r="B1270" s="39">
        <f>IF(C1270&lt;&gt;"",C1270,IF(P1270&lt;=IFERROR(INDEX(tblChannels[Watched Through],MATCH(N1270,tblChannels[Channel ID],0)),0),"Watched","Unwatched"))</f>
        <v/>
      </c>
      <c r="C1270" s="40" t="n"/>
      <c r="D1270" s="41" t="n"/>
      <c r="E1270" s="42" t="n">
        <v>44530.61597222222</v>
      </c>
      <c r="F1270" s="50" t="inlineStr">
        <is>
          <t>Super Carlin Brothers</t>
        </is>
      </c>
      <c r="G1270" t="inlineStr">
        <is>
          <t>Dumbledore Was A Tri-Wizard Champion | Harry Potter Theory</t>
        </is>
      </c>
      <c r="H1270" s="44" t="n">
        <v>0.009097222222222222</v>
      </c>
      <c r="I1270" s="45" t="n">
        <v>556912</v>
      </c>
      <c r="J1270" s="45" t="n">
        <v>19430</v>
      </c>
      <c r="K1270" s="45" t="n">
        <v>1310</v>
      </c>
      <c r="L1270" s="46" t="n"/>
      <c r="M1270" s="47" t="n"/>
      <c r="N1270" s="47" t="inlineStr">
        <is>
          <t>UCKZo4N0lVPccBkSiuyVh4yg</t>
        </is>
      </c>
      <c r="O1270" s="48" t="n">
        <v>44530.82430555556</v>
      </c>
      <c r="P1270" s="49" t="n">
        <v>44530</v>
      </c>
      <c r="Q1270" s="47" t="n">
        <v>1998</v>
      </c>
      <c r="R1270" s="47" t="inlineStr">
        <is>
          <t>No Video ID yet</t>
        </is>
      </c>
      <c r="S1270" s="49" t="n"/>
      <c r="T1270" s="49" t="n"/>
      <c r="U1270" s="47" t="inlineStr">
        <is>
          <t>Go to to get 10% off and free shipping! Today J dives into the Wizarding World of Harry Potter to reveal yet another of Albus Dumbledore’s big lies to Harry that he too was a Tri-Wizard Champion.. And won!</t>
        </is>
      </c>
      <c r="V1270" s="47">
        <f>IF(AND(P1270&gt;=Calendar!$K$2,P1270&lt;EDATE(Calendar!$K$2,1),OR(Calendar!$K$4="*",N1270=Calendar!$K$4)),P1270*100+COUNTIFS($P$6:$P$3267,P1270,$Q$6:$Q$3267,"&lt;="&amp;Q1270,$N$6:$N$3267,Calendar!$K$4),"")</f>
        <v/>
      </c>
      <c r="W1270" s="47">
        <f>IF(AND(B1270=Queue!$C$4,OR(Queue!$K$4="*",N1270=Queue!$K$4)),Q1270,"")</f>
        <v/>
      </c>
    </row>
    <row r="1271">
      <c r="A1271" s="38">
        <f>IF(M1271="","",HYPERLINK("https://www.youtube.com/watch?v="&amp;M1271,"▶"))</f>
        <v/>
      </c>
      <c r="B1271" s="39">
        <f>IF(C1271&lt;&gt;"",C1271,IF(P1271&lt;=IFERROR(INDEX(tblChannels[Watched Through],MATCH(N1271,tblChannels[Channel ID],0)),0),"Watched","Unwatched"))</f>
        <v/>
      </c>
      <c r="C1271" s="40" t="n"/>
      <c r="D1271" s="41" t="n"/>
      <c r="E1271" s="42" t="n">
        <v>44529.41666666666</v>
      </c>
      <c r="F1271" s="53" t="inlineStr">
        <is>
          <t>Jonathan Carlin</t>
        </is>
      </c>
      <c r="G1271" t="inlineStr">
        <is>
          <t>Pancakes. Pancakes. Pancakes.</t>
        </is>
      </c>
      <c r="H1271" s="44" t="n">
        <v>0.01361111111111111</v>
      </c>
      <c r="I1271" s="45" t="n">
        <v>20573</v>
      </c>
      <c r="J1271" s="45" t="n">
        <v>1457</v>
      </c>
      <c r="K1271" s="45" t="n">
        <v>101</v>
      </c>
      <c r="L1271" s="46" t="n"/>
      <c r="M1271" s="47" t="n"/>
      <c r="N1271" s="47" t="inlineStr">
        <is>
          <t>UCYPKFe86e6nm4TVUYKLsFUQ</t>
        </is>
      </c>
      <c r="O1271" s="48" t="n">
        <v>44529.625</v>
      </c>
      <c r="P1271" s="49" t="n">
        <v>44529</v>
      </c>
      <c r="Q1271" s="47" t="n">
        <v>1997</v>
      </c>
      <c r="R1271" s="47" t="inlineStr">
        <is>
          <t>No Video ID yet</t>
        </is>
      </c>
      <c r="S1271" s="49" t="n"/>
      <c r="T1271" s="49" t="n"/>
      <c r="U1271" s="47" t="inlineStr">
        <is>
          <t>This week J and Luke make pancakes, buy pancakes, and eat pancakes and Nana’s. Also J unboxes some pokemon cards and goes hunting for some treasures at his parents house Ben’s Mimosa Recipe: 85-93% Champagne Add orange juice to color. ENJOY!</t>
        </is>
      </c>
      <c r="V1271" s="47">
        <f>IF(AND(P1271&gt;=Calendar!$K$2,P1271&lt;EDATE(Calendar!$K$2,1),OR(Calendar!$K$4="*",N1271=Calendar!$K$4)),P1271*100+COUNTIFS($P$6:$P$3267,P1271,$Q$6:$Q$3267,"&lt;="&amp;Q1271,$N$6:$N$3267,Calendar!$K$4),"")</f>
        <v/>
      </c>
      <c r="W1271" s="47">
        <f>IF(AND(B1271=Queue!$C$4,OR(Queue!$K$4="*",N1271=Queue!$K$4)),Q1271,"")</f>
        <v/>
      </c>
    </row>
    <row r="1272">
      <c r="A1272" s="38">
        <f>IF(M1272="","",HYPERLINK("https://www.youtube.com/watch?v="&amp;M1272,"▶"))</f>
        <v/>
      </c>
      <c r="B1272" s="39">
        <f>IF(C1272&lt;&gt;"",C1272,IF(P1272&lt;=IFERROR(INDEX(tblChannels[Watched Through],MATCH(N1272,tblChannels[Channel ID],0)),0),"Watched","Unwatched"))</f>
        <v/>
      </c>
      <c r="C1272" s="40" t="n"/>
      <c r="D1272" s="41" t="n"/>
      <c r="E1272" s="42" t="n">
        <v>44526.5</v>
      </c>
      <c r="F1272" s="54" t="inlineStr">
        <is>
          <t>With the Carlins</t>
        </is>
      </c>
      <c r="G1272" t="inlineStr">
        <is>
          <t>Addison's First Bath and Baking with Ben!</t>
        </is>
      </c>
      <c r="H1272" s="44" t="n">
        <v>0.0153587962962963</v>
      </c>
      <c r="I1272" s="45" t="n">
        <v>23299</v>
      </c>
      <c r="J1272" s="45" t="n">
        <v>1997</v>
      </c>
      <c r="K1272" s="45" t="n">
        <v>219</v>
      </c>
      <c r="L1272" s="46" t="n"/>
      <c r="M1272" s="47" t="n"/>
      <c r="N1272" s="47" t="inlineStr">
        <is>
          <t>UCVBTjN9WJU5Ac8yU7b2K-5g</t>
        </is>
      </c>
      <c r="O1272" s="48" t="n">
        <v>44526.70833333334</v>
      </c>
      <c r="P1272" s="49" t="n">
        <v>44526</v>
      </c>
      <c r="Q1272" s="47" t="n">
        <v>1996</v>
      </c>
      <c r="R1272" s="47" t="inlineStr">
        <is>
          <t>No Video ID yet</t>
        </is>
      </c>
      <c r="S1272" s="49" t="n"/>
      <c r="T1272" s="49" t="n"/>
      <c r="U1272" s="47" t="inlineStr">
        <is>
          <t>This week we go for a run, spend time with friends, give Addison a bath and BAKE! Macarons Recipe: Follow Us! :: I N S T A G R A M➜ and Ben Carlin #SuperCarlinBrothers #CarlinFamily #FamilyVlog</t>
        </is>
      </c>
      <c r="V1272" s="47">
        <f>IF(AND(P1272&gt;=Calendar!$K$2,P1272&lt;EDATE(Calendar!$K$2,1),OR(Calendar!$K$4="*",N1272=Calendar!$K$4)),P1272*100+COUNTIFS($P$6:$P$3267,P1272,$Q$6:$Q$3267,"&lt;="&amp;Q1272,$N$6:$N$3267,Calendar!$K$4),"")</f>
        <v/>
      </c>
      <c r="W1272" s="47">
        <f>IF(AND(B1272=Queue!$C$4,OR(Queue!$K$4="*",N1272=Queue!$K$4)),Q1272,"")</f>
        <v/>
      </c>
    </row>
    <row r="1273">
      <c r="A1273" s="38">
        <f>IF(M1273="","",HYPERLINK("https://www.youtube.com/watch?v="&amp;M1273,"▶"))</f>
        <v/>
      </c>
      <c r="B1273" s="39">
        <f>IF(C1273&lt;&gt;"",C1273,IF(P1273&lt;=IFERROR(INDEX(tblChannels[Watched Through],MATCH(N1273,tblChannels[Channel ID],0)),0),"Watched","Unwatched"))</f>
        <v/>
      </c>
      <c r="C1273" s="40" t="n"/>
      <c r="D1273" s="41" t="n"/>
      <c r="E1273" s="42" t="n">
        <v>44526.41666666666</v>
      </c>
      <c r="F1273" s="43" t="inlineStr">
        <is>
          <t>Popcorn Culture</t>
        </is>
      </c>
      <c r="G1273" t="inlineStr">
        <is>
          <t>We’ve Got 16 Years to Make Anti-Gravity Brooms | Popcorn Culture</t>
        </is>
      </c>
      <c r="H1273" s="44" t="n">
        <v>0.05012731481481481</v>
      </c>
      <c r="I1273" s="45" t="n">
        <v>11036</v>
      </c>
      <c r="J1273" s="45" t="n">
        <v>507</v>
      </c>
      <c r="K1273" s="45" t="n">
        <v>73</v>
      </c>
      <c r="L1273" s="46" t="n"/>
      <c r="M1273" s="47" t="n"/>
      <c r="N1273" s="47" t="inlineStr">
        <is>
          <t>UCHfIbq9thHPC8yrKjAdJgDA</t>
        </is>
      </c>
      <c r="O1273" s="48" t="n">
        <v>44526.625</v>
      </c>
      <c r="P1273" s="49" t="n">
        <v>44526</v>
      </c>
      <c r="Q1273" s="47" t="n">
        <v>1995</v>
      </c>
      <c r="R1273" s="47" t="inlineStr">
        <is>
          <t>No Video ID yet</t>
        </is>
      </c>
      <c r="S1273" s="49" t="n"/>
      <c r="T1273" s="49" t="n"/>
      <c r="U1273" s="47" t="inlineStr">
        <is>
          <t>In the 103rd episode of the pop, Ben and J discuss children's books, lack of boredom, libraries, individualism vs. collectivism, differences among states, college rivalries, flags, Black Friday, and nonsense cookie names. Berenstain bears books: Cultural Dimension of Individualism vs. Collectivism: Virginia Tech Mascot: University of Virginia Mascot: Roanoke’s Nicknames: Rail Yard Dogs: Various Cookie Sources:</t>
        </is>
      </c>
      <c r="V1273" s="47">
        <f>IF(AND(P1273&gt;=Calendar!$K$2,P1273&lt;EDATE(Calendar!$K$2,1),OR(Calendar!$K$4="*",N1273=Calendar!$K$4)),P1273*100+COUNTIFS($P$6:$P$3267,P1273,$Q$6:$Q$3267,"&lt;="&amp;Q1273,$N$6:$N$3267,Calendar!$K$4),"")</f>
        <v/>
      </c>
      <c r="W1273" s="47">
        <f>IF(AND(B1273=Queue!$C$4,OR(Queue!$K$4="*",N1273=Queue!$K$4)),Q1273,"")</f>
        <v/>
      </c>
    </row>
    <row r="1274">
      <c r="A1274" s="38">
        <f>IF(M1274="","",HYPERLINK("https://www.youtube.com/watch?v="&amp;M1274,"▶"))</f>
        <v/>
      </c>
      <c r="B1274" s="39">
        <f>IF(C1274&lt;&gt;"",C1274,IF(P1274&lt;=IFERROR(INDEX(tblChannels[Watched Through],MATCH(N1274,tblChannels[Channel ID],0)),0),"Watched","Unwatched"))</f>
        <v/>
      </c>
      <c r="C1274" s="40" t="n"/>
      <c r="D1274" s="41" t="n"/>
      <c r="E1274" s="42" t="n">
        <v>44525.625</v>
      </c>
      <c r="F1274" s="50" t="inlineStr">
        <is>
          <t>Super Carlin Brothers</t>
        </is>
      </c>
      <c r="G1274" t="inlineStr">
        <is>
          <t>J vs Ben: ULTIMATE Goblet of Fire Harry Potter Trivia | HOT WINGS PUNISHMENT</t>
        </is>
      </c>
      <c r="H1274" s="44" t="n">
        <v>0.02332175925925926</v>
      </c>
      <c r="I1274" s="45" t="n">
        <v>361613</v>
      </c>
      <c r="J1274" s="45" t="n">
        <v>13565</v>
      </c>
      <c r="K1274" s="45" t="n">
        <v>1267</v>
      </c>
      <c r="L1274" s="46" t="n"/>
      <c r="M1274" s="47" t="n"/>
      <c r="N1274" s="47" t="inlineStr">
        <is>
          <t>UCKZo4N0lVPccBkSiuyVh4yg</t>
        </is>
      </c>
      <c r="O1274" s="48" t="n">
        <v>44525.83333333334</v>
      </c>
      <c r="P1274" s="49" t="n">
        <v>44525</v>
      </c>
      <c r="Q1274" s="47" t="n">
        <v>1994</v>
      </c>
      <c r="R1274" s="47" t="inlineStr">
        <is>
          <t>No Video ID yet</t>
        </is>
      </c>
      <c r="S1274" s="49" t="n"/>
      <c r="T1274" s="49" t="n"/>
      <c r="U1274" s="47" t="inlineStr">
        <is>
          <t>Visit to get Honey for FREE! Go to to get 10% off your first month! Happy Thanksgiving! Today J and Ben face off once more to find out who knows more about Harry Potter, the Wizarding World and the GOBLET OF FIRE! PLUS as a Thanksgiving treat, anytime we miss a question we will be forced to some extremely hot BLAZIN WINGS!</t>
        </is>
      </c>
      <c r="V1274" s="47">
        <f>IF(AND(P1274&gt;=Calendar!$K$2,P1274&lt;EDATE(Calendar!$K$2,1),OR(Calendar!$K$4="*",N1274=Calendar!$K$4)),P1274*100+COUNTIFS($P$6:$P$3267,P1274,$Q$6:$Q$3267,"&lt;="&amp;Q1274,$N$6:$N$3267,Calendar!$K$4),"")</f>
        <v/>
      </c>
      <c r="W1274" s="47">
        <f>IF(AND(B1274=Queue!$C$4,OR(Queue!$K$4="*",N1274=Queue!$K$4)),Q1274,"")</f>
        <v/>
      </c>
    </row>
    <row r="1275">
      <c r="A1275" s="38">
        <f>IF(M1275="","",HYPERLINK("https://www.youtube.com/watch?v="&amp;M1275,"▶"))</f>
        <v/>
      </c>
      <c r="B1275" s="39">
        <f>IF(C1275&lt;&gt;"",C1275,IF(P1275&lt;=IFERROR(INDEX(tblChannels[Watched Through],MATCH(N1275,tblChannels[Channel ID],0)),0),"Watched","Unwatched"))</f>
        <v/>
      </c>
      <c r="C1275" s="40" t="n"/>
      <c r="D1275" s="41" t="n"/>
      <c r="E1275" s="42" t="n">
        <v>44523.63194444445</v>
      </c>
      <c r="F1275" s="50" t="inlineStr">
        <is>
          <t>Super Carlin Brothers</t>
        </is>
      </c>
      <c r="G1275" t="inlineStr">
        <is>
          <t>What is Neville Longbottom’s Patronus? | Harry Potter Theory</t>
        </is>
      </c>
      <c r="H1275" s="44" t="n">
        <v>0.01021990740740741</v>
      </c>
      <c r="I1275" s="45" t="n">
        <v>254937</v>
      </c>
      <c r="J1275" s="45" t="n">
        <v>12001</v>
      </c>
      <c r="K1275" s="45" t="n">
        <v>1402</v>
      </c>
      <c r="L1275" s="46" t="n"/>
      <c r="M1275" s="47" t="n"/>
      <c r="N1275" s="47" t="inlineStr">
        <is>
          <t>UCKZo4N0lVPccBkSiuyVh4yg</t>
        </is>
      </c>
      <c r="O1275" s="48" t="n">
        <v>44523.84027777778</v>
      </c>
      <c r="P1275" s="49" t="n">
        <v>44523</v>
      </c>
      <c r="Q1275" s="47" t="n">
        <v>1993</v>
      </c>
      <c r="R1275" s="47" t="inlineStr">
        <is>
          <t>No Video ID yet</t>
        </is>
      </c>
      <c r="S1275" s="49" t="n"/>
      <c r="T1275" s="49" t="n"/>
      <c r="U1275" s="47" t="inlineStr">
        <is>
          <t>Go to and use code SCB to save $75 on your starter kit! Today J dives into the Wizarding World of Harry Potter to try and determine the animal shape of Neville Longbottom’s Patronus!</t>
        </is>
      </c>
      <c r="V1275" s="47">
        <f>IF(AND(P1275&gt;=Calendar!$K$2,P1275&lt;EDATE(Calendar!$K$2,1),OR(Calendar!$K$4="*",N1275=Calendar!$K$4)),P1275*100+COUNTIFS($P$6:$P$3267,P1275,$Q$6:$Q$3267,"&lt;="&amp;Q1275,$N$6:$N$3267,Calendar!$K$4),"")</f>
        <v/>
      </c>
      <c r="W1275" s="47">
        <f>IF(AND(B1275=Queue!$C$4,OR(Queue!$K$4="*",N1275=Queue!$K$4)),Q1275,"")</f>
        <v/>
      </c>
    </row>
    <row r="1276">
      <c r="A1276" s="38">
        <f>IF(M1276="","",HYPERLINK("https://www.youtube.com/watch?v="&amp;M1276,"▶"))</f>
        <v/>
      </c>
      <c r="B1276" s="39">
        <f>IF(C1276&lt;&gt;"",C1276,IF(P1276&lt;=IFERROR(INDEX(tblChannels[Watched Through],MATCH(N1276,tblChannels[Channel ID],0)),0),"Watched","Unwatched"))</f>
        <v/>
      </c>
      <c r="C1276" s="40" t="n"/>
      <c r="D1276" s="41" t="n"/>
      <c r="E1276" s="42" t="n">
        <v>44522.41666666666</v>
      </c>
      <c r="F1276" s="53" t="inlineStr">
        <is>
          <t>Jonathan Carlin</t>
        </is>
      </c>
      <c r="G1276" t="inlineStr">
        <is>
          <t>I Applied for Survivor..</t>
        </is>
      </c>
      <c r="H1276" s="44" t="n">
        <v>0.01321759259259259</v>
      </c>
      <c r="I1276" s="45" t="n">
        <v>31951</v>
      </c>
      <c r="J1276" s="45" t="n">
        <v>2284</v>
      </c>
      <c r="K1276" s="45" t="n">
        <v>221</v>
      </c>
      <c r="L1276" s="46" t="n"/>
      <c r="M1276" s="47" t="n"/>
      <c r="N1276" s="47" t="inlineStr">
        <is>
          <t>UCYPKFe86e6nm4TVUYKLsFUQ</t>
        </is>
      </c>
      <c r="O1276" s="48" t="n">
        <v>44522.625</v>
      </c>
      <c r="P1276" s="49" t="n">
        <v>44522</v>
      </c>
      <c r="Q1276" s="47" t="n">
        <v>1992</v>
      </c>
      <c r="R1276" s="47" t="inlineStr">
        <is>
          <t>No Video ID yet</t>
        </is>
      </c>
      <c r="S1276" s="49" t="n"/>
      <c r="T1276" s="49" t="n"/>
      <c r="U1276" s="47" t="inlineStr">
        <is>
          <t>This week J and Beth deal with a sick Lukester all week, J applies to Survivor, the twins get into mischief, and of course we unbox some Pokemon stuff! Beth’s Autumn Mule Recipe: 1 Shot Bourbon 1 Shot Apple Cider Top off with Ginger Beer Squeeze of Orange Swirl and Garnish with Cinnamon Stick ENJOY! #Survivor Edited by Ethan Edghill</t>
        </is>
      </c>
      <c r="V1276" s="47">
        <f>IF(AND(P1276&gt;=Calendar!$K$2,P1276&lt;EDATE(Calendar!$K$2,1),OR(Calendar!$K$4="*",N1276=Calendar!$K$4)),P1276*100+COUNTIFS($P$6:$P$3267,P1276,$Q$6:$Q$3267,"&lt;="&amp;Q1276,$N$6:$N$3267,Calendar!$K$4),"")</f>
        <v/>
      </c>
      <c r="W1276" s="47">
        <f>IF(AND(B1276=Queue!$C$4,OR(Queue!$K$4="*",N1276=Queue!$K$4)),Q1276,"")</f>
        <v/>
      </c>
    </row>
    <row r="1277">
      <c r="A1277" s="38">
        <f>IF(M1277="","",HYPERLINK("https://www.youtube.com/watch?v="&amp;M1277,"▶"))</f>
        <v/>
      </c>
      <c r="B1277" s="39">
        <f>IF(C1277&lt;&gt;"",C1277,IF(P1277&lt;=IFERROR(INDEX(tblChannels[Watched Through],MATCH(N1277,tblChannels[Channel ID],0)),0),"Watched","Unwatched"))</f>
        <v/>
      </c>
      <c r="C1277" s="40" t="n"/>
      <c r="D1277" s="41" t="n"/>
      <c r="E1277" s="42" t="n">
        <v>44519.84583333333</v>
      </c>
      <c r="F1277" s="50" t="inlineStr">
        <is>
          <t>Super Carlin Brothers</t>
        </is>
      </c>
      <c r="G1277" t="inlineStr">
        <is>
          <t>ALL FANDOMS Trivia Night and House Mug Launch LIVE STREAM!</t>
        </is>
      </c>
      <c r="H1277" s="44" t="n">
        <v>0.09795138888888889</v>
      </c>
      <c r="I1277" s="45" t="n">
        <v>60810</v>
      </c>
      <c r="J1277" s="45" t="n">
        <v>1638</v>
      </c>
      <c r="K1277" s="45" t="n">
        <v>93</v>
      </c>
      <c r="L1277" s="46" t="n"/>
      <c r="M1277" s="47" t="n"/>
      <c r="N1277" s="47" t="inlineStr">
        <is>
          <t>UCKZo4N0lVPccBkSiuyVh4yg</t>
        </is>
      </c>
      <c r="O1277" s="48" t="n">
        <v>44520.05416666667</v>
      </c>
      <c r="P1277" s="49" t="n">
        <v>44519</v>
      </c>
      <c r="Q1277" s="47" t="n">
        <v>1991</v>
      </c>
      <c r="R1277" s="47" t="inlineStr">
        <is>
          <t>No Video ID yet</t>
        </is>
      </c>
      <c r="S1277" s="49" t="n"/>
      <c r="T1277" s="49" t="n"/>
      <c r="U1277" s="47" t="inlineStr">
        <is>
          <t>DO YOU HAVE WHAT IT TAKES TO BECOME THE CHAMPION OF ALL SIX FANDOMS?! - Test your knowledge of Disney, Pixar, Marvel, Star Wars, Harry Potter and Avatar: The Last Airbender! And check out some BRAND NEW products we're launching at carlinbrotherscoffee.com, including our 2021 House Mugs Series! Animal Mugs: Tankards: Holiday Bundle: Chocolate: Seasonal Coffee: Winners and Top Five email: secretcarlinbrothers@gmail.com with a screenshot of your winning score! You MUST Email by 11/29 to receive your prize! HOW TO PLAY Kahoot with the Carlins! 1. Download the Kahoot app to your mobile device, or go to Kahoot.it to join the game! If the app is already installed on your device we recommend making sure it is up to date before the game starts!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t>
        </is>
      </c>
      <c r="V1277" s="47">
        <f>IF(AND(P1277&gt;=Calendar!$K$2,P1277&lt;EDATE(Calendar!$K$2,1),OR(Calendar!$K$4="*",N1277=Calendar!$K$4)),P1277*100+COUNTIFS($P$6:$P$3267,P1277,$Q$6:$Q$3267,"&lt;="&amp;Q1277,$N$6:$N$3267,Calendar!$K$4),"")</f>
        <v/>
      </c>
      <c r="W1277" s="47">
        <f>IF(AND(B1277=Queue!$C$4,OR(Queue!$K$4="*",N1277=Queue!$K$4)),Q1277,"")</f>
        <v/>
      </c>
    </row>
    <row r="1278">
      <c r="A1278" s="38">
        <f>IF(M1278="","",HYPERLINK("https://www.youtube.com/watch?v="&amp;M1278,"▶"))</f>
        <v/>
      </c>
      <c r="B1278" s="39">
        <f>IF(C1278&lt;&gt;"",C1278,IF(P1278&lt;=IFERROR(INDEX(tblChannels[Watched Through],MATCH(N1278,tblChannels[Channel ID],0)),0),"Watched","Unwatched"))</f>
        <v/>
      </c>
      <c r="C1278" s="40" t="n"/>
      <c r="D1278" s="41" t="n"/>
      <c r="E1278" s="42" t="n">
        <v>44519.5</v>
      </c>
      <c r="F1278" s="54" t="inlineStr">
        <is>
          <t>With the Carlins</t>
        </is>
      </c>
      <c r="G1278" t="inlineStr">
        <is>
          <t>OUR First Baby Steps as New Parents</t>
        </is>
      </c>
      <c r="H1278" s="44" t="n">
        <v>0.01133101851851852</v>
      </c>
      <c r="I1278" s="45" t="n">
        <v>27409</v>
      </c>
      <c r="J1278" s="45" t="n">
        <v>2772</v>
      </c>
      <c r="K1278" s="45" t="n">
        <v>217</v>
      </c>
      <c r="L1278" s="46" t="n"/>
      <c r="M1278" s="47" t="n"/>
      <c r="N1278" s="47" t="inlineStr">
        <is>
          <t>UCVBTjN9WJU5Ac8yU7b2K-5g</t>
        </is>
      </c>
      <c r="O1278" s="48" t="n">
        <v>44519.70833333334</v>
      </c>
      <c r="P1278" s="49" t="n">
        <v>44519</v>
      </c>
      <c r="Q1278" s="47" t="n">
        <v>1990</v>
      </c>
      <c r="R1278" s="47" t="inlineStr">
        <is>
          <t>No Video ID yet</t>
        </is>
      </c>
      <c r="S1278" s="49" t="n"/>
      <c r="T1278" s="49" t="n"/>
      <c r="U1278" s="47" t="inlineStr">
        <is>
          <t>This week Alyce and I learned what it's like to be new parents and how even the smallest steps can feel like major accomplishments. Wood Splitting Tool: Follow Us! :: I N S T A G R A M➜ and Ben Carlin #SuperCarlinBrothers #CarlinFamily #FamilyVlog</t>
        </is>
      </c>
      <c r="V1278" s="47">
        <f>IF(AND(P1278&gt;=Calendar!$K$2,P1278&lt;EDATE(Calendar!$K$2,1),OR(Calendar!$K$4="*",N1278=Calendar!$K$4)),P1278*100+COUNTIFS($P$6:$P$3267,P1278,$Q$6:$Q$3267,"&lt;="&amp;Q1278,$N$6:$N$3267,Calendar!$K$4),"")</f>
        <v/>
      </c>
      <c r="W1278" s="47">
        <f>IF(AND(B1278=Queue!$C$4,OR(Queue!$K$4="*",N1278=Queue!$K$4)),Q1278,"")</f>
        <v/>
      </c>
    </row>
    <row r="1279">
      <c r="A1279" s="38">
        <f>IF(M1279="","",HYPERLINK("https://www.youtube.com/watch?v="&amp;M1279,"▶"))</f>
        <v/>
      </c>
      <c r="B1279" s="39">
        <f>IF(C1279&lt;&gt;"",C1279,IF(P1279&lt;=IFERROR(INDEX(tblChannels[Watched Through],MATCH(N1279,tblChannels[Channel ID],0)),0),"Watched","Unwatched"))</f>
        <v/>
      </c>
      <c r="C1279" s="40" t="n"/>
      <c r="D1279" s="41" t="n"/>
      <c r="E1279" s="42" t="n">
        <v>44519.41666666666</v>
      </c>
      <c r="F1279" s="43" t="inlineStr">
        <is>
          <t>Popcorn Culture</t>
        </is>
      </c>
      <c r="G1279" t="inlineStr">
        <is>
          <t>Cucumbers are Undercooked Pickles | Popcorn Culture</t>
        </is>
      </c>
      <c r="H1279" s="44" t="n">
        <v>0.04625</v>
      </c>
      <c r="I1279" s="45" t="n">
        <v>9843</v>
      </c>
      <c r="J1279" s="45" t="n">
        <v>524</v>
      </c>
      <c r="K1279" s="45" t="n">
        <v>103</v>
      </c>
      <c r="L1279" s="46" t="n"/>
      <c r="M1279" s="47" t="n"/>
      <c r="N1279" s="47" t="inlineStr">
        <is>
          <t>UCHfIbq9thHPC8yrKjAdJgDA</t>
        </is>
      </c>
      <c r="O1279" s="48" t="n">
        <v>44519.625</v>
      </c>
      <c r="P1279" s="49" t="n">
        <v>44519</v>
      </c>
      <c r="Q1279" s="47" t="n">
        <v>1989</v>
      </c>
      <c r="R1279" s="47" t="inlineStr">
        <is>
          <t>No Video ID yet</t>
        </is>
      </c>
      <c r="S1279" s="49" t="n"/>
      <c r="T1279" s="49" t="n"/>
      <c r="U1279" s="47" t="inlineStr">
        <is>
          <t>In the 102nd episode of the Pop, Ben and J discuss J’s breaducation, Ben’s Isuzu Trooper, gloves, disappointing foods, “toxic” people, and making things more difficult because it seems to be the right way to do things. Great British Baking Show: Big Bang Theory Sheldon knocking montage: Ethan’s Dog (probably) Pickles: Steamroller: Mannheim Steamroller: Millennial TikTok referenced: How I Met Your Mother episode referenced: Toxic People WebMD Article: Trivia Stream: J’s Wick of the Peek - The Shrink Next Door (TV Show): (Podcast):</t>
        </is>
      </c>
      <c r="V1279" s="47">
        <f>IF(AND(P1279&gt;=Calendar!$K$2,P1279&lt;EDATE(Calendar!$K$2,1),OR(Calendar!$K$4="*",N1279=Calendar!$K$4)),P1279*100+COUNTIFS($P$6:$P$3267,P1279,$Q$6:$Q$3267,"&lt;="&amp;Q1279,$N$6:$N$3267,Calendar!$K$4),"")</f>
        <v/>
      </c>
      <c r="W1279" s="47">
        <f>IF(AND(B1279=Queue!$C$4,OR(Queue!$K$4="*",N1279=Queue!$K$4)),Q1279,"")</f>
        <v/>
      </c>
    </row>
    <row r="1280">
      <c r="A1280" s="38">
        <f>IF(M1280="","",HYPERLINK("https://www.youtube.com/watch?v="&amp;M1280,"▶"))</f>
        <v/>
      </c>
      <c r="B1280" s="39">
        <f>IF(C1280&lt;&gt;"",C1280,IF(P1280&lt;=IFERROR(INDEX(tblChannels[Watched Through],MATCH(N1280,tblChannels[Channel ID],0)),0),"Watched","Unwatched"))</f>
        <v/>
      </c>
      <c r="C1280" s="40" t="n"/>
      <c r="D1280" s="41" t="n"/>
      <c r="E1280" s="42" t="n">
        <v>44518.69027777778</v>
      </c>
      <c r="F1280" s="50" t="inlineStr">
        <is>
          <t>Super Carlin Brothers</t>
        </is>
      </c>
      <c r="G1280" t="inlineStr">
        <is>
          <t>The Hogwarts Founders OTHER Secret Chambers | Harry Potter Theory</t>
        </is>
      </c>
      <c r="H1280" s="44" t="n">
        <v>0.01038194444444444</v>
      </c>
      <c r="I1280" s="45" t="n">
        <v>961693</v>
      </c>
      <c r="J1280" s="45" t="n">
        <v>33567</v>
      </c>
      <c r="K1280" s="45" t="n">
        <v>1904</v>
      </c>
      <c r="L1280" s="46" t="n"/>
      <c r="M1280" s="47" t="n"/>
      <c r="N1280" s="47" t="inlineStr">
        <is>
          <t>UCKZo4N0lVPccBkSiuyVh4yg</t>
        </is>
      </c>
      <c r="O1280" s="48" t="n">
        <v>44518.89861111111</v>
      </c>
      <c r="P1280" s="49" t="n">
        <v>44518</v>
      </c>
      <c r="Q1280" s="47" t="n">
        <v>1988</v>
      </c>
      <c r="R1280" s="47" t="inlineStr">
        <is>
          <t>No Video ID yet</t>
        </is>
      </c>
      <c r="S1280" s="49" t="n"/>
      <c r="T1280" s="49" t="n"/>
      <c r="U1280" s="47" t="inlineStr">
        <is>
          <t>Hogwarts is simply to full of secrets for only Salazar Slytherin to have created a secret chamber! Today J dives into the Wizarding World to discover which rooms Gryffindor, Ravenclaw and Hufflepuff hid in the castle as well! Set a Reminder NOW! Join us this Friday, November 19th at 6pm Eastern for a Trivia Live Stream where we will be revealing this years animal mugs and more fun coffee surprises!</t>
        </is>
      </c>
      <c r="V1280" s="47">
        <f>IF(AND(P1280&gt;=Calendar!$K$2,P1280&lt;EDATE(Calendar!$K$2,1),OR(Calendar!$K$4="*",N1280=Calendar!$K$4)),P1280*100+COUNTIFS($P$6:$P$3267,P1280,$Q$6:$Q$3267,"&lt;="&amp;Q1280,$N$6:$N$3267,Calendar!$K$4),"")</f>
        <v/>
      </c>
      <c r="W1280" s="47">
        <f>IF(AND(B1280=Queue!$C$4,OR(Queue!$K$4="*",N1280=Queue!$K$4)),Q1280,"")</f>
        <v/>
      </c>
    </row>
    <row r="1281">
      <c r="A1281" s="38">
        <f>IF(M1281="","",HYPERLINK("https://www.youtube.com/watch?v="&amp;M1281,"▶"))</f>
        <v/>
      </c>
      <c r="B1281" s="39">
        <f>IF(C1281&lt;&gt;"",C1281,IF(P1281&lt;=IFERROR(INDEX(tblChannels[Watched Through],MATCH(N1281,tblChannels[Channel ID],0)),0),"Watched","Unwatched"))</f>
        <v/>
      </c>
      <c r="C1281" s="40" t="n"/>
      <c r="D1281" s="41" t="n"/>
      <c r="E1281" s="42" t="n">
        <v>44516.69236111111</v>
      </c>
      <c r="F1281" s="50" t="inlineStr">
        <is>
          <t>Super Carlin Brothers</t>
        </is>
      </c>
      <c r="G1281" t="inlineStr">
        <is>
          <t>How Did Voldemort Get His Original Wand Back? | Harry Potter Theory</t>
        </is>
      </c>
      <c r="H1281" s="44" t="n">
        <v>0.008946759259259258</v>
      </c>
      <c r="I1281" s="45" t="n">
        <v>363690</v>
      </c>
      <c r="J1281" s="45" t="n">
        <v>14371</v>
      </c>
      <c r="K1281" s="45" t="n">
        <v>951</v>
      </c>
      <c r="L1281" s="46" t="n"/>
      <c r="M1281" s="47" t="n"/>
      <c r="N1281" s="47" t="inlineStr">
        <is>
          <t>UCKZo4N0lVPccBkSiuyVh4yg</t>
        </is>
      </c>
      <c r="O1281" s="48" t="n">
        <v>44516.90069444444</v>
      </c>
      <c r="P1281" s="49" t="n">
        <v>44516</v>
      </c>
      <c r="Q1281" s="47" t="n">
        <v>1987</v>
      </c>
      <c r="R1281" s="47" t="inlineStr">
        <is>
          <t>No Video ID yet</t>
        </is>
      </c>
      <c r="S1281" s="49" t="n"/>
      <c r="T1281" s="49" t="n"/>
      <c r="U1281" s="47" t="inlineStr">
        <is>
          <t>Go to to get 10% off and free shipping! Today J dives into the Wizarding World of Harry Potter to try and determine how Lord Voldemort reclaimed his original Yew Wand after returning in Goblet of Fire! Set a Reminder NOW! Join us this Friday, November 19th at 6pm Easter for a Trivia Live Stream where we will be revealing this years animal mugs and more fun coffee surprises!</t>
        </is>
      </c>
      <c r="V1281" s="47">
        <f>IF(AND(P1281&gt;=Calendar!$K$2,P1281&lt;EDATE(Calendar!$K$2,1),OR(Calendar!$K$4="*",N1281=Calendar!$K$4)),P1281*100+COUNTIFS($P$6:$P$3267,P1281,$Q$6:$Q$3267,"&lt;="&amp;Q1281,$N$6:$N$3267,Calendar!$K$4),"")</f>
        <v/>
      </c>
      <c r="W1281" s="47">
        <f>IF(AND(B1281=Queue!$C$4,OR(Queue!$K$4="*",N1281=Queue!$K$4)),Q1281,"")</f>
        <v/>
      </c>
    </row>
    <row r="1282">
      <c r="A1282" s="38">
        <f>IF(M1282="","",HYPERLINK("https://www.youtube.com/watch?v="&amp;M1282,"▶"))</f>
        <v/>
      </c>
      <c r="B1282" s="39">
        <f>IF(C1282&lt;&gt;"",C1282,IF(P1282&lt;=IFERROR(INDEX(tblChannels[Watched Through],MATCH(N1282,tblChannels[Channel ID],0)),0),"Watched","Unwatched"))</f>
        <v/>
      </c>
      <c r="C1282" s="40" t="n"/>
      <c r="D1282" s="41" t="n"/>
      <c r="E1282" s="42" t="n">
        <v>44515.41666666666</v>
      </c>
      <c r="F1282" s="53" t="inlineStr">
        <is>
          <t>Jonathan Carlin</t>
        </is>
      </c>
      <c r="G1282" t="inlineStr">
        <is>
          <t>The Boys First REAL Halloween!</t>
        </is>
      </c>
      <c r="H1282" s="44" t="n">
        <v>0.01369212962962963</v>
      </c>
      <c r="I1282" s="45" t="n">
        <v>26574</v>
      </c>
      <c r="J1282" s="45" t="n">
        <v>1991</v>
      </c>
      <c r="K1282" s="45" t="n">
        <v>148</v>
      </c>
      <c r="L1282" s="46" t="n"/>
      <c r="M1282" s="47" t="n"/>
      <c r="N1282" s="47" t="inlineStr">
        <is>
          <t>UCYPKFe86e6nm4TVUYKLsFUQ</t>
        </is>
      </c>
      <c r="O1282" s="48" t="n">
        <v>44515.625</v>
      </c>
      <c r="P1282" s="49" t="n">
        <v>44515</v>
      </c>
      <c r="Q1282" s="47" t="n">
        <v>1986</v>
      </c>
      <c r="R1282" s="47" t="inlineStr">
        <is>
          <t>No Video ID yet</t>
        </is>
      </c>
      <c r="S1282" s="49" t="n"/>
      <c r="T1282" s="49" t="n"/>
      <c r="U1282" s="47" t="inlineStr">
        <is>
          <t>This week J and the fam make up for last year when Halloween was effectively cancelled due to Covid - Luke, Nick and Nate all get their first real trick or treating experience AND Beth and J get to meet their new niece Addison!</t>
        </is>
      </c>
      <c r="V1282" s="47">
        <f>IF(AND(P1282&gt;=Calendar!$K$2,P1282&lt;EDATE(Calendar!$K$2,1),OR(Calendar!$K$4="*",N1282=Calendar!$K$4)),P1282*100+COUNTIFS($P$6:$P$3267,P1282,$Q$6:$Q$3267,"&lt;="&amp;Q1282,$N$6:$N$3267,Calendar!$K$4),"")</f>
        <v/>
      </c>
      <c r="W1282" s="47">
        <f>IF(AND(B1282=Queue!$C$4,OR(Queue!$K$4="*",N1282=Queue!$K$4)),Q1282,"")</f>
        <v/>
      </c>
    </row>
    <row r="1283">
      <c r="A1283" s="38">
        <f>IF(M1283="","",HYPERLINK("https://www.youtube.com/watch?v="&amp;M1283,"▶"))</f>
        <v/>
      </c>
      <c r="B1283" s="39">
        <f>IF(C1283&lt;&gt;"",C1283,IF(P1283&lt;=IFERROR(INDEX(tblChannels[Watched Through],MATCH(N1283,tblChannels[Channel ID],0)),0),"Watched","Unwatched"))</f>
        <v/>
      </c>
      <c r="C1283" s="40" t="n"/>
      <c r="D1283" s="41" t="n"/>
      <c r="E1283" s="42" t="n">
        <v>44512.5</v>
      </c>
      <c r="F1283" s="54" t="inlineStr">
        <is>
          <t>With the Carlins</t>
        </is>
      </c>
      <c r="G1283" t="inlineStr">
        <is>
          <t>Welcome to Life with the Carlins | Addison is Born</t>
        </is>
      </c>
      <c r="H1283" s="44" t="n">
        <v>0.00542824074074074</v>
      </c>
      <c r="I1283" s="45" t="n">
        <v>39858</v>
      </c>
      <c r="J1283" s="45" t="n">
        <v>4035</v>
      </c>
      <c r="K1283" s="45" t="n">
        <v>471</v>
      </c>
      <c r="L1283" s="46" t="n"/>
      <c r="M1283" s="47" t="n"/>
      <c r="N1283" s="47" t="inlineStr">
        <is>
          <t>UCVBTjN9WJU5Ac8yU7b2K-5g</t>
        </is>
      </c>
      <c r="O1283" s="48" t="n">
        <v>44512.70833333334</v>
      </c>
      <c r="P1283" s="49" t="n">
        <v>44512</v>
      </c>
      <c r="Q1283" s="47" t="n">
        <v>1985</v>
      </c>
      <c r="R1283" s="47" t="inlineStr">
        <is>
          <t>No Video ID yet</t>
        </is>
      </c>
      <c r="S1283" s="49" t="n"/>
      <c r="T1283" s="49" t="n"/>
      <c r="U1283" s="47" t="inlineStr">
        <is>
          <t>Welcome to Life with the Carlins! Tune in for weekly adventures with Ben, Alyce, and Addison as we enter parenthood, travel, track milestones, (maybe build a home?!), and so much more. Who are we? Alyce and I are both natives to Southwest Virginia. We both own small businesses, we were married at Disney World, are both huge dreamers and love adventure. We hope this project will be both entertaining for you and be a way to document the life of our growing family. Follow Us! :: I N S T A G R A M➜ and Ben Carlin #SuperCarlinBrothers #CarlinFamily #FamilyVlog</t>
        </is>
      </c>
      <c r="V1283" s="47">
        <f>IF(AND(P1283&gt;=Calendar!$K$2,P1283&lt;EDATE(Calendar!$K$2,1),OR(Calendar!$K$4="*",N1283=Calendar!$K$4)),P1283*100+COUNTIFS($P$6:$P$3267,P1283,$Q$6:$Q$3267,"&lt;="&amp;Q1283,$N$6:$N$3267,Calendar!$K$4),"")</f>
        <v/>
      </c>
      <c r="W1283" s="47">
        <f>IF(AND(B1283=Queue!$C$4,OR(Queue!$K$4="*",N1283=Queue!$K$4)),Q1283,"")</f>
        <v/>
      </c>
    </row>
    <row r="1284">
      <c r="A1284" s="38">
        <f>IF(M1284="","",HYPERLINK("https://www.youtube.com/watch?v="&amp;M1284,"▶"))</f>
        <v/>
      </c>
      <c r="B1284" s="39">
        <f>IF(C1284&lt;&gt;"",C1284,IF(P1284&lt;=IFERROR(INDEX(tblChannels[Watched Through],MATCH(N1284,tblChannels[Channel ID],0)),0),"Watched","Unwatched"))</f>
        <v/>
      </c>
      <c r="C1284" s="40" t="n"/>
      <c r="D1284" s="41" t="n"/>
      <c r="E1284" s="42" t="n">
        <v>44512.41666666666</v>
      </c>
      <c r="F1284" s="43" t="inlineStr">
        <is>
          <t>Popcorn Culture</t>
        </is>
      </c>
      <c r="G1284" t="inlineStr">
        <is>
          <t>The NONE True Host | Popcorn Culture</t>
        </is>
      </c>
      <c r="H1284" s="44" t="n">
        <v>0.04545138888888889</v>
      </c>
      <c r="I1284" s="45" t="n">
        <v>12369</v>
      </c>
      <c r="J1284" s="45" t="n">
        <v>812</v>
      </c>
      <c r="K1284" s="45" t="n">
        <v>176</v>
      </c>
      <c r="L1284" s="46" t="n"/>
      <c r="M1284" s="47" t="n"/>
      <c r="N1284" s="47" t="inlineStr">
        <is>
          <t>UCHfIbq9thHPC8yrKjAdJgDA</t>
        </is>
      </c>
      <c r="O1284" s="48" t="n">
        <v>44512.625</v>
      </c>
      <c r="P1284" s="49" t="n">
        <v>44512</v>
      </c>
      <c r="Q1284" s="47" t="n">
        <v>1984</v>
      </c>
      <c r="R1284" s="47" t="inlineStr">
        <is>
          <t>No Video ID yet</t>
        </is>
      </c>
      <c r="S1284" s="49" t="n"/>
      <c r="T1284" s="49" t="n"/>
      <c r="U1284" s="47" t="inlineStr">
        <is>
          <t>In this emotional episode of the Pop, Ben and J discuss: Ben being a dad!!! Ben and Alyce’s incredible doctor, snickerdoodles and fruitcake, J applying for Survivor and Survivor strategies. Snickerdoodles: Snickers: Russell on Survivor: J’s Wick of the Peek - Survivor</t>
        </is>
      </c>
      <c r="V1284" s="47">
        <f>IF(AND(P1284&gt;=Calendar!$K$2,P1284&lt;EDATE(Calendar!$K$2,1),OR(Calendar!$K$4="*",N1284=Calendar!$K$4)),P1284*100+COUNTIFS($P$6:$P$3267,P1284,$Q$6:$Q$3267,"&lt;="&amp;Q1284,$N$6:$N$3267,Calendar!$K$4),"")</f>
        <v/>
      </c>
      <c r="W1284" s="47">
        <f>IF(AND(B1284=Queue!$C$4,OR(Queue!$K$4="*",N1284=Queue!$K$4)),Q1284,"")</f>
        <v/>
      </c>
    </row>
    <row r="1285">
      <c r="A1285" s="38">
        <f>IF(M1285="","",HYPERLINK("https://www.youtube.com/watch?v="&amp;M1285,"▶"))</f>
        <v/>
      </c>
      <c r="B1285" s="39">
        <f>IF(C1285&lt;&gt;"",C1285,IF(P1285&lt;=IFERROR(INDEX(tblChannels[Watched Through],MATCH(N1285,tblChannels[Channel ID],0)),0),"Watched","Unwatched"))</f>
        <v/>
      </c>
      <c r="C1285" s="40" t="n"/>
      <c r="D1285" s="41" t="n"/>
      <c r="E1285" s="42" t="n">
        <v>44511.69722222222</v>
      </c>
      <c r="F1285" s="50" t="inlineStr">
        <is>
          <t>Super Carlin Brothers</t>
        </is>
      </c>
      <c r="G1285" t="inlineStr">
        <is>
          <t>J vs Ben: ULTIMATE Defense Against The Dark Arts Professor TRIVIA Quiz</t>
        </is>
      </c>
      <c r="H1285" s="44" t="n">
        <v>0.01585648148148148</v>
      </c>
      <c r="I1285" s="45" t="n">
        <v>222012</v>
      </c>
      <c r="J1285" s="45" t="n">
        <v>8485</v>
      </c>
      <c r="K1285" s="45" t="n">
        <v>526</v>
      </c>
      <c r="L1285" s="46" t="n"/>
      <c r="M1285" s="47" t="n"/>
      <c r="N1285" s="47" t="inlineStr">
        <is>
          <t>UCKZo4N0lVPccBkSiuyVh4yg</t>
        </is>
      </c>
      <c r="O1285" s="48" t="n">
        <v>44511.90555555555</v>
      </c>
      <c r="P1285" s="49" t="n">
        <v>44511</v>
      </c>
      <c r="Q1285" s="47" t="n">
        <v>1983</v>
      </c>
      <c r="R1285" s="47" t="inlineStr">
        <is>
          <t>No Video ID yet</t>
        </is>
      </c>
      <c r="S1285" s="49" t="n"/>
      <c r="T1285" s="49" t="n"/>
      <c r="U1285" s="47" t="inlineStr">
        <is>
          <t>Go to and enter code super at checkout to get 20% off your first monthly box! Get 25% off and zero delivery fees on their first order of $15 or more, when you download the DoorDash app and enter code JVSB2021 Today J and Ben face off once more to determine who knows everybody’s favorite rotation post at Hogwarts: Defense Against The Dark Arts Professor! Ben's V L O G➜ Play Along with us: #SuperCarlinBrothers #JvsBen #HarryPotter</t>
        </is>
      </c>
      <c r="V1285" s="47">
        <f>IF(AND(P1285&gt;=Calendar!$K$2,P1285&lt;EDATE(Calendar!$K$2,1),OR(Calendar!$K$4="*",N1285=Calendar!$K$4)),P1285*100+COUNTIFS($P$6:$P$3267,P1285,$Q$6:$Q$3267,"&lt;="&amp;Q1285,$N$6:$N$3267,Calendar!$K$4),"")</f>
        <v/>
      </c>
      <c r="W1285" s="47">
        <f>IF(AND(B1285=Queue!$C$4,OR(Queue!$K$4="*",N1285=Queue!$K$4)),Q1285,"")</f>
        <v/>
      </c>
    </row>
    <row r="1286">
      <c r="A1286" s="38">
        <f>IF(M1286="","",HYPERLINK("https://www.youtube.com/watch?v="&amp;M1286,"▶"))</f>
        <v/>
      </c>
      <c r="B1286" s="39">
        <f>IF(C1286&lt;&gt;"",C1286,IF(P1286&lt;=IFERROR(INDEX(tblChannels[Watched Through],MATCH(N1286,tblChannels[Channel ID],0)),0),"Watched","Unwatched"))</f>
        <v/>
      </c>
      <c r="C1286" s="40" t="n"/>
      <c r="D1286" s="41" t="n"/>
      <c r="E1286" s="42" t="n">
        <v>44509.70347222222</v>
      </c>
      <c r="F1286" s="50" t="inlineStr">
        <is>
          <t>Super Carlin Brothers</t>
        </is>
      </c>
      <c r="G1286" t="inlineStr">
        <is>
          <t>Eternals Post Credit Scene Explained: Who Is The Black Knight?</t>
        </is>
      </c>
      <c r="H1286" s="44" t="n">
        <v>0.01087962962962963</v>
      </c>
      <c r="I1286" s="45" t="n">
        <v>132613</v>
      </c>
      <c r="J1286" s="45" t="n">
        <v>5560</v>
      </c>
      <c r="K1286" s="45" t="n">
        <v>370</v>
      </c>
      <c r="L1286" s="46" t="n"/>
      <c r="M1286" s="47" t="n"/>
      <c r="N1286" s="47" t="inlineStr">
        <is>
          <t>UCKZo4N0lVPccBkSiuyVh4yg</t>
        </is>
      </c>
      <c r="O1286" s="48" t="n">
        <v>44509.91180555556</v>
      </c>
      <c r="P1286" s="49" t="n">
        <v>44509</v>
      </c>
      <c r="Q1286" s="47" t="n">
        <v>1982</v>
      </c>
      <c r="R1286" s="47" t="inlineStr">
        <is>
          <t>No Video ID yet</t>
        </is>
      </c>
      <c r="S1286" s="49" t="n"/>
      <c r="T1286" s="49" t="n"/>
      <c r="U1286" s="47" t="inlineStr">
        <is>
          <t>Head over to and take care of yourself! Go to to get an extra 3 months FREE! J’s Vlog :: Ben’s Vlog :: Today J dives in to the Marvel Cinematic Universe to explain the mid-credit scene and post credit scene from the Eternals. Who is the Black Knight? Who is Dane Whitman? Who is Eros aka Starfox aka Harry Styles?? Today we find out! #SuperCarlinBrothers #Marvel #TheEternals #YouKnowNothingDaneWhitman</t>
        </is>
      </c>
      <c r="V1286" s="47">
        <f>IF(AND(P1286&gt;=Calendar!$K$2,P1286&lt;EDATE(Calendar!$K$2,1),OR(Calendar!$K$4="*",N1286=Calendar!$K$4)),P1286*100+COUNTIFS($P$6:$P$3267,P1286,$Q$6:$Q$3267,"&lt;="&amp;Q1286,$N$6:$N$3267,Calendar!$K$4),"")</f>
        <v/>
      </c>
      <c r="W1286" s="47">
        <f>IF(AND(B1286=Queue!$C$4,OR(Queue!$K$4="*",N1286=Queue!$K$4)),Q1286,"")</f>
        <v/>
      </c>
    </row>
    <row r="1287">
      <c r="A1287" s="38">
        <f>IF(M1287="","",HYPERLINK("https://www.youtube.com/watch?v="&amp;M1287,"▶"))</f>
        <v/>
      </c>
      <c r="B1287" s="39">
        <f>IF(C1287&lt;&gt;"",C1287,IF(P1287&lt;=IFERROR(INDEX(tblChannels[Watched Through],MATCH(N1287,tblChannels[Channel ID],0)),0),"Watched","Unwatched"))</f>
        <v/>
      </c>
      <c r="C1287" s="40" t="n"/>
      <c r="D1287" s="41" t="n"/>
      <c r="E1287" s="42" t="n">
        <v>44508.41666666666</v>
      </c>
      <c r="F1287" s="53" t="inlineStr">
        <is>
          <t>Jonathan Carlin</t>
        </is>
      </c>
      <c r="G1287" t="inlineStr">
        <is>
          <t>THE VLOG IS BACK!</t>
        </is>
      </c>
      <c r="H1287" s="44" t="n">
        <v>0.01766203703703704</v>
      </c>
      <c r="I1287" s="45" t="n">
        <v>35380</v>
      </c>
      <c r="J1287" s="45" t="n">
        <v>2741</v>
      </c>
      <c r="K1287" s="45" t="n">
        <v>239</v>
      </c>
      <c r="L1287" s="46" t="n"/>
      <c r="M1287" s="47" t="n"/>
      <c r="N1287" s="47" t="inlineStr">
        <is>
          <t>UCYPKFe86e6nm4TVUYKLsFUQ</t>
        </is>
      </c>
      <c r="O1287" s="48" t="n">
        <v>44508.625</v>
      </c>
      <c r="P1287" s="49" t="n">
        <v>44508</v>
      </c>
      <c r="Q1287" s="47" t="n">
        <v>1981</v>
      </c>
      <c r="R1287" s="47" t="inlineStr">
        <is>
          <t>No Video ID yet</t>
        </is>
      </c>
      <c r="S1287" s="49" t="n"/>
      <c r="T1287" s="49" t="n"/>
      <c r="U1287" s="47" t="inlineStr">
        <is>
          <t>The Vlog is Back!! This week J and the fam head to Season's Yield Farm for some Fall time fun, Ben preps for his incoming baby, Nick and Nate get haircuts, and we open a lot of Pokemon Cards! Subscribe to Ben's Vlog ::</t>
        </is>
      </c>
      <c r="V1287" s="47">
        <f>IF(AND(P1287&gt;=Calendar!$K$2,P1287&lt;EDATE(Calendar!$K$2,1),OR(Calendar!$K$4="*",N1287=Calendar!$K$4)),P1287*100+COUNTIFS($P$6:$P$3267,P1287,$Q$6:$Q$3267,"&lt;="&amp;Q1287,$N$6:$N$3267,Calendar!$K$4),"")</f>
        <v/>
      </c>
      <c r="W1287" s="47">
        <f>IF(AND(B1287=Queue!$C$4,OR(Queue!$K$4="*",N1287=Queue!$K$4)),Q1287,"")</f>
        <v/>
      </c>
    </row>
    <row r="1288">
      <c r="A1288" s="38">
        <f>IF(M1288="","",HYPERLINK("https://www.youtube.com/watch?v="&amp;M1288,"▶"))</f>
        <v/>
      </c>
      <c r="B1288" s="39">
        <f>IF(C1288&lt;&gt;"",C1288,IF(P1288&lt;=IFERROR(INDEX(tblChannels[Watched Through],MATCH(N1288,tblChannels[Channel ID],0)),0),"Watched","Unwatched"))</f>
        <v/>
      </c>
      <c r="C1288" s="40" t="n"/>
      <c r="D1288" s="41" t="n"/>
      <c r="E1288" s="42" t="n">
        <v>44505.41666666666</v>
      </c>
      <c r="F1288" s="43" t="inlineStr">
        <is>
          <t>Popcorn Culture</t>
        </is>
      </c>
      <c r="G1288" t="inlineStr">
        <is>
          <t>The Wives Episode - How to be Effortlessly Cool | Popcorn Culture</t>
        </is>
      </c>
      <c r="H1288" s="44" t="n">
        <v>0.05927083333333334</v>
      </c>
      <c r="I1288" s="45" t="n">
        <v>24667</v>
      </c>
      <c r="J1288" s="45" t="n">
        <v>1049</v>
      </c>
      <c r="K1288" s="45" t="n">
        <v>109</v>
      </c>
      <c r="L1288" s="46" t="n"/>
      <c r="M1288" s="47" t="n"/>
      <c r="N1288" s="47" t="inlineStr">
        <is>
          <t>UCHfIbq9thHPC8yrKjAdJgDA</t>
        </is>
      </c>
      <c r="O1288" s="48" t="n">
        <v>44505.58333333334</v>
      </c>
      <c r="P1288" s="49" t="n">
        <v>44505</v>
      </c>
      <c r="Q1288" s="47" t="n">
        <v>1980</v>
      </c>
      <c r="R1288" s="47" t="inlineStr">
        <is>
          <t>No Video ID yet</t>
        </is>
      </c>
      <c r="S1288" s="49" t="n"/>
      <c r="T1288" s="49" t="n"/>
      <c r="U1288" s="47" t="inlineStr">
        <is>
          <t>In the 100th EPISODE (!!!) of the Pop, Ben and J AND Beth and Alyce discuss parenthood, work/life balance, sick days as kids, different perspectives, eyebrows and tweezers, family mottos, ideal Sundays, social media vices, and trying to be cool. Beth’s Instagram: Alyce’s Instagram: Alyce’s Bridal Shop: Questions for game pulled from: J’s Wick of the Peek - Revlon tweezers:</t>
        </is>
      </c>
      <c r="V1288" s="47">
        <f>IF(AND(P1288&gt;=Calendar!$K$2,P1288&lt;EDATE(Calendar!$K$2,1),OR(Calendar!$K$4="*",N1288=Calendar!$K$4)),P1288*100+COUNTIFS($P$6:$P$3267,P1288,$Q$6:$Q$3267,"&lt;="&amp;Q1288,$N$6:$N$3267,Calendar!$K$4),"")</f>
        <v/>
      </c>
      <c r="W1288" s="47">
        <f>IF(AND(B1288=Queue!$C$4,OR(Queue!$K$4="*",N1288=Queue!$K$4)),Q1288,"")</f>
        <v/>
      </c>
    </row>
    <row r="1289">
      <c r="A1289" s="38">
        <f>IF(M1289="","",HYPERLINK("https://www.youtube.com/watch?v="&amp;M1289,"▶"))</f>
        <v/>
      </c>
      <c r="B1289" s="39">
        <f>IF(C1289&lt;&gt;"",C1289,IF(P1289&lt;=IFERROR(INDEX(tblChannels[Watched Through],MATCH(N1289,tblChannels[Channel ID],0)),0),"Watched","Unwatched"))</f>
        <v/>
      </c>
      <c r="C1289" s="40" t="n"/>
      <c r="D1289" s="41" t="n"/>
      <c r="E1289" s="42" t="n">
        <v>44504.61388888889</v>
      </c>
      <c r="F1289" s="50" t="inlineStr">
        <is>
          <t>Super Carlin Brothers</t>
        </is>
      </c>
      <c r="G1289" t="inlineStr">
        <is>
          <t>Pokemon’s OTHER Least Favorite Pokemon | Theory</t>
        </is>
      </c>
      <c r="H1289" s="44" t="n">
        <v>0.01101851851851852</v>
      </c>
      <c r="I1289" s="45" t="n">
        <v>250186</v>
      </c>
      <c r="J1289" s="45" t="n">
        <v>12091</v>
      </c>
      <c r="K1289" s="45" t="n">
        <v>2042</v>
      </c>
      <c r="L1289" s="46" t="n"/>
      <c r="M1289" s="47" t="n"/>
      <c r="N1289" s="47" t="inlineStr">
        <is>
          <t>UCKZo4N0lVPccBkSiuyVh4yg</t>
        </is>
      </c>
      <c r="O1289" s="48" t="n">
        <v>44504.78055555555</v>
      </c>
      <c r="P1289" s="49" t="n">
        <v>44504</v>
      </c>
      <c r="Q1289" s="47" t="n">
        <v>1979</v>
      </c>
      <c r="R1289" s="47" t="inlineStr">
        <is>
          <t>No Video ID yet</t>
        </is>
      </c>
      <c r="S1289" s="49" t="n"/>
      <c r="T1289" s="49" t="n"/>
      <c r="U1289" s="47" t="inlineStr">
        <is>
          <t>Head over to and take care of yourself! Go to to get your new wireless plan for just $15 a month! Today J dives into the world of Pokemon to discuss the oft forgotten, overlooked, and snubbed evolution of Pikachu: Raichu. #SuperCarlinBrothers #Pokemon</t>
        </is>
      </c>
      <c r="V1289" s="47">
        <f>IF(AND(P1289&gt;=Calendar!$K$2,P1289&lt;EDATE(Calendar!$K$2,1),OR(Calendar!$K$4="*",N1289=Calendar!$K$4)),P1289*100+COUNTIFS($P$6:$P$3267,P1289,$Q$6:$Q$3267,"&lt;="&amp;Q1289,$N$6:$N$3267,Calendar!$K$4),"")</f>
        <v/>
      </c>
      <c r="W1289" s="47">
        <f>IF(AND(B1289=Queue!$C$4,OR(Queue!$K$4="*",N1289=Queue!$K$4)),Q1289,"")</f>
        <v/>
      </c>
    </row>
    <row r="1290">
      <c r="A1290" s="38">
        <f>IF(M1290="","",HYPERLINK("https://www.youtube.com/watch?v="&amp;M1290,"▶"))</f>
        <v/>
      </c>
      <c r="B1290" s="39">
        <f>IF(C1290&lt;&gt;"",C1290,IF(P1290&lt;=IFERROR(INDEX(tblChannels[Watched Through],MATCH(N1290,tblChannels[Channel ID],0)),0),"Watched","Unwatched"))</f>
        <v/>
      </c>
      <c r="C1290" s="40" t="n"/>
      <c r="D1290" s="41" t="n"/>
      <c r="E1290" s="42" t="n">
        <v>44502.61319444444</v>
      </c>
      <c r="F1290" s="50" t="inlineStr">
        <is>
          <t>Super Carlin Brothers</t>
        </is>
      </c>
      <c r="G1290" t="inlineStr">
        <is>
          <t>Viktor Krum’s BIG Secret | Harry Potter Theory</t>
        </is>
      </c>
      <c r="H1290" s="44" t="n">
        <v>0.009027777777777777</v>
      </c>
      <c r="I1290" s="45" t="n">
        <v>451618</v>
      </c>
      <c r="J1290" s="45" t="n">
        <v>19847</v>
      </c>
      <c r="K1290" s="45" t="n">
        <v>1905</v>
      </c>
      <c r="L1290" s="46" t="n"/>
      <c r="M1290" s="47" t="n"/>
      <c r="N1290" s="47" t="inlineStr">
        <is>
          <t>UCKZo4N0lVPccBkSiuyVh4yg</t>
        </is>
      </c>
      <c r="O1290" s="48" t="n">
        <v>44502.77986111111</v>
      </c>
      <c r="P1290" s="49" t="n">
        <v>44502</v>
      </c>
      <c r="Q1290" s="47" t="n">
        <v>1978</v>
      </c>
      <c r="R1290" s="47" t="inlineStr">
        <is>
          <t>No Video ID yet</t>
        </is>
      </c>
      <c r="S1290" s="49" t="n"/>
      <c r="T1290" s="49" t="n"/>
      <c r="U1290" s="47" t="inlineStr">
        <is>
          <t>Head on over to to get 10% off your order. Head over to and take care of yourself! Today J dives deep into the Wizarding World and Hogwarts Great Lake to learn the TRUTH about Viktor Krum’s BIG Secret!</t>
        </is>
      </c>
      <c r="V1290" s="47">
        <f>IF(AND(P1290&gt;=Calendar!$K$2,P1290&lt;EDATE(Calendar!$K$2,1),OR(Calendar!$K$4="*",N1290=Calendar!$K$4)),P1290*100+COUNTIFS($P$6:$P$3267,P1290,$Q$6:$Q$3267,"&lt;="&amp;Q1290,$N$6:$N$3267,Calendar!$K$4),"")</f>
        <v/>
      </c>
      <c r="W1290" s="47">
        <f>IF(AND(B1290=Queue!$C$4,OR(Queue!$K$4="*",N1290=Queue!$K$4)),Q1290,"")</f>
        <v/>
      </c>
    </row>
    <row r="1291">
      <c r="A1291" s="38">
        <f>IF(M1291="","",HYPERLINK("https://www.youtube.com/watch?v="&amp;M1291,"▶"))</f>
        <v/>
      </c>
      <c r="B1291" s="39">
        <f>IF(C1291&lt;&gt;"",C1291,IF(P1291&lt;=IFERROR(INDEX(tblChannels[Watched Through],MATCH(N1291,tblChannels[Channel ID],0)),0),"Watched","Unwatched"))</f>
        <v/>
      </c>
      <c r="C1291" s="40" t="n"/>
      <c r="D1291" s="41" t="n"/>
      <c r="E1291" s="42" t="n">
        <v>44501.59652777778</v>
      </c>
      <c r="F1291" s="53" t="inlineStr">
        <is>
          <t>Jonathan Carlin</t>
        </is>
      </c>
      <c r="G1291" t="inlineStr">
        <is>
          <t>Return of the VLOG | Trailer</t>
        </is>
      </c>
      <c r="H1291" s="44" t="n">
        <v>0.0006828703703703704</v>
      </c>
      <c r="I1291" s="45" t="n">
        <v>16754</v>
      </c>
      <c r="J1291" s="45" t="n">
        <v>2067</v>
      </c>
      <c r="K1291" s="45" t="n">
        <v>274</v>
      </c>
      <c r="L1291" s="46" t="n"/>
      <c r="M1291" s="47" t="n"/>
      <c r="N1291" s="47" t="inlineStr">
        <is>
          <t>UCYPKFe86e6nm4TVUYKLsFUQ</t>
        </is>
      </c>
      <c r="O1291" s="48" t="n">
        <v>44501.76319444444</v>
      </c>
      <c r="P1291" s="49" t="n">
        <v>44501</v>
      </c>
      <c r="Q1291" s="47" t="n">
        <v>1977</v>
      </c>
      <c r="R1291" s="47" t="inlineStr">
        <is>
          <t>No Video ID yet</t>
        </is>
      </c>
      <c r="S1291" s="49" t="n"/>
      <c r="T1291" s="49" t="n"/>
      <c r="U1291" s="47" t="inlineStr">
        <is>
          <t>On November 8th... we're back!</t>
        </is>
      </c>
      <c r="V1291" s="47">
        <f>IF(AND(P1291&gt;=Calendar!$K$2,P1291&lt;EDATE(Calendar!$K$2,1),OR(Calendar!$K$4="*",N1291=Calendar!$K$4)),P1291*100+COUNTIFS($P$6:$P$3267,P1291,$Q$6:$Q$3267,"&lt;="&amp;Q1291,$N$6:$N$3267,Calendar!$K$4),"")</f>
        <v/>
      </c>
      <c r="W1291" s="47">
        <f>IF(AND(B1291=Queue!$C$4,OR(Queue!$K$4="*",N1291=Queue!$K$4)),Q1291,"")</f>
        <v/>
      </c>
    </row>
    <row r="1292">
      <c r="A1292" s="38">
        <f>IF(M1292="","",HYPERLINK("https://www.youtube.com/watch?v="&amp;M1292,"▶"))</f>
        <v/>
      </c>
      <c r="B1292" s="39">
        <f>IF(C1292&lt;&gt;"",C1292,IF(P1292&lt;=IFERROR(INDEX(tblChannels[Watched Through],MATCH(N1292,tblChannels[Channel ID],0)),0),"Watched","Unwatched"))</f>
        <v/>
      </c>
      <c r="C1292" s="40" t="n"/>
      <c r="D1292" s="41" t="n"/>
      <c r="E1292" s="42" t="n">
        <v>44501.41666666666</v>
      </c>
      <c r="F1292" s="52" t="inlineStr">
        <is>
          <t>Super Carlin Gaming</t>
        </is>
      </c>
      <c r="G1292" t="inlineStr">
        <is>
          <t>THE RED BATTLE |  Pokémon SoulSilver Randomizer Nuzlocke #33</t>
        </is>
      </c>
      <c r="H1292" s="44" t="n">
        <v>0.02525462962962963</v>
      </c>
      <c r="I1292" s="45" t="n">
        <v>12173</v>
      </c>
      <c r="J1292" s="45" t="n">
        <v>841</v>
      </c>
      <c r="K1292" s="45" t="n">
        <v>246</v>
      </c>
      <c r="L1292" s="46" t="n"/>
      <c r="M1292" s="47" t="n"/>
      <c r="N1292" s="47" t="inlineStr">
        <is>
          <t>UCor_9jRnNNZVzTuQ92PKsaQ</t>
        </is>
      </c>
      <c r="O1292" s="48" t="n">
        <v>44501.58333333334</v>
      </c>
      <c r="P1292" s="49" t="n">
        <v>44501</v>
      </c>
      <c r="Q1292" s="47" t="n">
        <v>1976</v>
      </c>
      <c r="R1292" s="47" t="inlineStr">
        <is>
          <t>No Video ID yet</t>
        </is>
      </c>
      <c r="S1292" s="49" t="n"/>
      <c r="T1292" s="49" t="n"/>
      <c r="U1292" s="47" t="inlineStr">
        <is>
          <t>It all comes down to this. J finally takes on Red for the last battle of a tough, loss-filled Nuzlocke. Does the remaining team stand a chance against Red's INSANE Pokémon?</t>
        </is>
      </c>
      <c r="V1292" s="47">
        <f>IF(AND(P1292&gt;=Calendar!$K$2,P1292&lt;EDATE(Calendar!$K$2,1),OR(Calendar!$K$4="*",N1292=Calendar!$K$4)),P1292*100+COUNTIFS($P$6:$P$3267,P1292,$Q$6:$Q$3267,"&lt;="&amp;Q1292,$N$6:$N$3267,Calendar!$K$4),"")</f>
        <v/>
      </c>
      <c r="W1292" s="47">
        <f>IF(AND(B1292=Queue!$C$4,OR(Queue!$K$4="*",N1292=Queue!$K$4)),Q1292,"")</f>
        <v/>
      </c>
    </row>
    <row r="1293">
      <c r="A1293" s="38">
        <f>IF(M1293="","",HYPERLINK("https://www.youtube.com/watch?v="&amp;M1293,"▶"))</f>
        <v/>
      </c>
      <c r="B1293" s="39">
        <f>IF(C1293&lt;&gt;"",C1293,IF(P1293&lt;=IFERROR(INDEX(tblChannels[Watched Through],MATCH(N1293,tblChannels[Channel ID],0)),0),"Watched","Unwatched"))</f>
        <v/>
      </c>
      <c r="C1293" s="40" t="n"/>
      <c r="D1293" s="41" t="n"/>
      <c r="E1293" s="42" t="n">
        <v>44498.69513888889</v>
      </c>
      <c r="F1293" s="50" t="inlineStr">
        <is>
          <t>Super Carlin Brothers</t>
        </is>
      </c>
      <c r="G1293" t="inlineStr">
        <is>
          <t>Ranking EVERY Marvel Movie | 2021</t>
        </is>
      </c>
      <c r="H1293" s="44" t="n">
        <v>0.04454861111111111</v>
      </c>
      <c r="I1293" s="45" t="n">
        <v>247902</v>
      </c>
      <c r="J1293" s="45" t="n">
        <v>6819</v>
      </c>
      <c r="K1293" s="45" t="n">
        <v>1081</v>
      </c>
      <c r="L1293" s="46" t="n"/>
      <c r="M1293" s="47" t="n"/>
      <c r="N1293" s="47" t="inlineStr">
        <is>
          <t>UCKZo4N0lVPccBkSiuyVh4yg</t>
        </is>
      </c>
      <c r="O1293" s="48" t="n">
        <v>44498.86180555556</v>
      </c>
      <c r="P1293" s="49" t="n">
        <v>44498</v>
      </c>
      <c r="Q1293" s="47" t="n">
        <v>1975</v>
      </c>
      <c r="R1293" s="47" t="inlineStr">
        <is>
          <t>No Video ID yet</t>
        </is>
      </c>
      <c r="S1293" s="49" t="n"/>
      <c r="T1293" s="49" t="n"/>
      <c r="U1293" s="47" t="inlineStr">
        <is>
          <t>Get your own Marvel Dice Throne Here: Today J and Ben compare notes as they RANK every single movie in the MCU thus far! Make your own tier list and share it with us :: #SuperCarlinBrothers #Pixar #Lightyear</t>
        </is>
      </c>
      <c r="V1293" s="47">
        <f>IF(AND(P1293&gt;=Calendar!$K$2,P1293&lt;EDATE(Calendar!$K$2,1),OR(Calendar!$K$4="*",N1293=Calendar!$K$4)),P1293*100+COUNTIFS($P$6:$P$3267,P1293,$Q$6:$Q$3267,"&lt;="&amp;Q1293,$N$6:$N$3267,Calendar!$K$4),"")</f>
        <v/>
      </c>
      <c r="W1293" s="47">
        <f>IF(AND(B1293=Queue!$C$4,OR(Queue!$K$4="*",N1293=Queue!$K$4)),Q1293,"")</f>
        <v/>
      </c>
    </row>
    <row r="1294">
      <c r="A1294" s="38">
        <f>IF(M1294="","",HYPERLINK("https://www.youtube.com/watch?v="&amp;M1294,"▶"))</f>
        <v/>
      </c>
      <c r="B1294" s="39">
        <f>IF(C1294&lt;&gt;"",C1294,IF(P1294&lt;=IFERROR(INDEX(tblChannels[Watched Through],MATCH(N1294,tblChannels[Channel ID],0)),0),"Watched","Unwatched"))</f>
        <v/>
      </c>
      <c r="C1294" s="40" t="n"/>
      <c r="D1294" s="41" t="n"/>
      <c r="E1294" s="42" t="n">
        <v>44498.41666666666</v>
      </c>
      <c r="F1294" s="43" t="inlineStr">
        <is>
          <t>Popcorn Culture</t>
        </is>
      </c>
      <c r="G1294" t="inlineStr">
        <is>
          <t>How Do You Throw Away a Trash Can? | Popcorn Culture</t>
        </is>
      </c>
      <c r="H1294" s="44" t="n">
        <v>0.04766203703703704</v>
      </c>
      <c r="I1294" s="45" t="n">
        <v>11269</v>
      </c>
      <c r="J1294" s="45" t="n">
        <v>536</v>
      </c>
      <c r="K1294" s="45" t="n">
        <v>44</v>
      </c>
      <c r="L1294" s="46" t="n"/>
      <c r="M1294" s="47" t="n"/>
      <c r="N1294" s="47" t="inlineStr">
        <is>
          <t>UCHfIbq9thHPC8yrKjAdJgDA</t>
        </is>
      </c>
      <c r="O1294" s="48" t="n">
        <v>44498.58333333334</v>
      </c>
      <c r="P1294" s="49" t="n">
        <v>44498</v>
      </c>
      <c r="Q1294" s="47" t="n">
        <v>1974</v>
      </c>
      <c r="R1294" s="47" t="inlineStr">
        <is>
          <t>No Video ID yet</t>
        </is>
      </c>
      <c r="S1294" s="49" t="n"/>
      <c r="T1294" s="49" t="n"/>
      <c r="U1294" s="47" t="inlineStr">
        <is>
          <t>In the 99th (!!!) episode of the Pop, Ben and J discuss ALL the birthdays, Carp Girl, the Marie Kondo method, cardboard mountains, shredding things, alibis, trash cans, and Luke’s Christmas gifts for mommy. Serial Podcast: J’s Wick of the Peek: “The Life-Changing Magic of Tidying Up” by Marie Kondo:</t>
        </is>
      </c>
      <c r="V1294" s="47">
        <f>IF(AND(P1294&gt;=Calendar!$K$2,P1294&lt;EDATE(Calendar!$K$2,1),OR(Calendar!$K$4="*",N1294=Calendar!$K$4)),P1294*100+COUNTIFS($P$6:$P$3267,P1294,$Q$6:$Q$3267,"&lt;="&amp;Q1294,$N$6:$N$3267,Calendar!$K$4),"")</f>
        <v/>
      </c>
      <c r="W1294" s="47">
        <f>IF(AND(B1294=Queue!$C$4,OR(Queue!$K$4="*",N1294=Queue!$K$4)),Q1294,"")</f>
        <v/>
      </c>
    </row>
    <row r="1295">
      <c r="A1295" s="38">
        <f>IF(M1295="","",HYPERLINK("https://www.youtube.com/watch?v="&amp;M1295,"▶"))</f>
        <v/>
      </c>
      <c r="B1295" s="39">
        <f>IF(C1295&lt;&gt;"",C1295,IF(P1295&lt;=IFERROR(INDEX(tblChannels[Watched Through],MATCH(N1295,tblChannels[Channel ID],0)),0),"Watched","Unwatched"))</f>
        <v/>
      </c>
      <c r="C1295" s="40" t="n"/>
      <c r="D1295" s="41" t="n"/>
      <c r="E1295" s="42" t="n">
        <v>44497.71180555555</v>
      </c>
      <c r="F1295" s="50" t="inlineStr">
        <is>
          <t>Super Carlin Brothers</t>
        </is>
      </c>
      <c r="G1295" t="inlineStr">
        <is>
          <t>Lightyear Trailer CONFIRMS Time Travel! | Pixar Theory</t>
        </is>
      </c>
      <c r="H1295" s="44" t="n">
        <v>0.01006944444444445</v>
      </c>
      <c r="I1295" s="45" t="n">
        <v>225925</v>
      </c>
      <c r="J1295" s="45" t="n">
        <v>10726</v>
      </c>
      <c r="K1295" s="45" t="n">
        <v>1324</v>
      </c>
      <c r="L1295" s="46" t="n"/>
      <c r="M1295" s="47" t="n"/>
      <c r="N1295" s="47" t="inlineStr">
        <is>
          <t>UCKZo4N0lVPccBkSiuyVh4yg</t>
        </is>
      </c>
      <c r="O1295" s="48" t="n">
        <v>44497.87847222222</v>
      </c>
      <c r="P1295" s="49" t="n">
        <v>44497</v>
      </c>
      <c r="Q1295" s="47" t="n">
        <v>1973</v>
      </c>
      <c r="R1295" s="47" t="inlineStr">
        <is>
          <t>No Video ID yet</t>
        </is>
      </c>
      <c r="S1295" s="49" t="n"/>
      <c r="T1295" s="49" t="n"/>
      <c r="U1295" s="47" t="inlineStr">
        <is>
          <t>Go to to get 10% off your first month! Go to and use code SCB to save $75 on your starter kit! Today J travels to Infinity and Beyond to breakdown the latest Lightyear trailer from Pixar, to try and figure out Zurg’s plan, and what Buzz’s mission is! #SuperCarlinBrothers #Pixar #Lightyear</t>
        </is>
      </c>
      <c r="V1295" s="47">
        <f>IF(AND(P1295&gt;=Calendar!$K$2,P1295&lt;EDATE(Calendar!$K$2,1),OR(Calendar!$K$4="*",N1295=Calendar!$K$4)),P1295*100+COUNTIFS($P$6:$P$3267,P1295,$Q$6:$Q$3267,"&lt;="&amp;Q1295,$N$6:$N$3267,Calendar!$K$4),"")</f>
        <v/>
      </c>
      <c r="W1295" s="47">
        <f>IF(AND(B1295=Queue!$C$4,OR(Queue!$K$4="*",N1295=Queue!$K$4)),Q1295,"")</f>
        <v/>
      </c>
    </row>
    <row r="1296">
      <c r="A1296" s="38">
        <f>IF(M1296="","",HYPERLINK("https://www.youtube.com/watch?v="&amp;M1296,"▶"))</f>
        <v/>
      </c>
      <c r="B1296" s="39">
        <f>IF(C1296&lt;&gt;"",C1296,IF(P1296&lt;=IFERROR(INDEX(tblChannels[Watched Through],MATCH(N1296,tblChannels[Channel ID],0)),0),"Watched","Unwatched"))</f>
        <v/>
      </c>
      <c r="C1296" s="40" t="n"/>
      <c r="D1296" s="41" t="n"/>
      <c r="E1296" s="42" t="n">
        <v>44495.66111111111</v>
      </c>
      <c r="F1296" s="50" t="inlineStr">
        <is>
          <t>Super Carlin Brothers</t>
        </is>
      </c>
      <c r="G1296" t="inlineStr">
        <is>
          <t>J vs Ben: HARDEST Marvel Trivia Quiz EVER [Quiz Master Edition]</t>
        </is>
      </c>
      <c r="H1296" s="44" t="n">
        <v>0.01861111111111111</v>
      </c>
      <c r="I1296" s="45" t="n">
        <v>167245</v>
      </c>
      <c r="J1296" s="45" t="n">
        <v>7063</v>
      </c>
      <c r="K1296" s="45" t="n">
        <v>638</v>
      </c>
      <c r="L1296" s="46" t="n"/>
      <c r="M1296" s="47" t="n"/>
      <c r="N1296" s="47" t="inlineStr">
        <is>
          <t>UCKZo4N0lVPccBkSiuyVh4yg</t>
        </is>
      </c>
      <c r="O1296" s="48" t="n">
        <v>44495.82777777778</v>
      </c>
      <c r="P1296" s="49" t="n">
        <v>44495</v>
      </c>
      <c r="Q1296" s="47" t="n">
        <v>1972</v>
      </c>
      <c r="R1296" s="47" t="inlineStr">
        <is>
          <t>No Video ID yet</t>
        </is>
      </c>
      <c r="S1296" s="49" t="n"/>
      <c r="T1296" s="49" t="n"/>
      <c r="U1296" s="47" t="inlineStr">
        <is>
          <t>Visit to get Honey for FREE! Get your own Marvel Dice Throne Here: Today J and Ben face off once more to find out who knows the most about the Marvel Cinematic Universe by answering questions submitted by our Quiz Masters! #SuperCarlinBrothers #Marvel #jvsben</t>
        </is>
      </c>
      <c r="V1296" s="47">
        <f>IF(AND(P1296&gt;=Calendar!$K$2,P1296&lt;EDATE(Calendar!$K$2,1),OR(Calendar!$K$4="*",N1296=Calendar!$K$4)),P1296*100+COUNTIFS($P$6:$P$3267,P1296,$Q$6:$Q$3267,"&lt;="&amp;Q1296,$N$6:$N$3267,Calendar!$K$4),"")</f>
        <v/>
      </c>
      <c r="W1296" s="47">
        <f>IF(AND(B1296=Queue!$C$4,OR(Queue!$K$4="*",N1296=Queue!$K$4)),Q1296,"")</f>
        <v/>
      </c>
    </row>
    <row r="1297">
      <c r="A1297" s="38">
        <f>IF(M1297="","",HYPERLINK("https://www.youtube.com/watch?v="&amp;M1297,"▶"))</f>
        <v/>
      </c>
      <c r="B1297" s="39">
        <f>IF(C1297&lt;&gt;"",C1297,IF(P1297&lt;=IFERROR(INDEX(tblChannels[Watched Through],MATCH(N1297,tblChannels[Channel ID],0)),0),"Watched","Unwatched"))</f>
        <v/>
      </c>
      <c r="C1297" s="40" t="n"/>
      <c r="D1297" s="41" t="n"/>
      <c r="E1297" s="42" t="n">
        <v>44494.41666666666</v>
      </c>
      <c r="F1297" s="52" t="inlineStr">
        <is>
          <t>Super Carlin Gaming</t>
        </is>
      </c>
      <c r="G1297" t="inlineStr">
        <is>
          <t>THE POKEMON LEAGUE'S REVENGE |  Pokémon SoulSilver Randomizer Nuzlocke #32</t>
        </is>
      </c>
      <c r="H1297" s="44" t="n">
        <v>0.04865740740740741</v>
      </c>
      <c r="I1297" s="45" t="n">
        <v>14506</v>
      </c>
      <c r="J1297" s="45" t="n">
        <v>764</v>
      </c>
      <c r="K1297" s="45" t="n">
        <v>226</v>
      </c>
      <c r="L1297" s="46" t="n"/>
      <c r="M1297" s="47" t="n"/>
      <c r="N1297" s="47" t="inlineStr">
        <is>
          <t>UCor_9jRnNNZVzTuQ92PKsaQ</t>
        </is>
      </c>
      <c r="O1297" s="48" t="n">
        <v>44494.58333333334</v>
      </c>
      <c r="P1297" s="49" t="n">
        <v>44494</v>
      </c>
      <c r="Q1297" s="47" t="n">
        <v>1971</v>
      </c>
      <c r="R1297" s="47" t="inlineStr">
        <is>
          <t>No Video ID yet</t>
        </is>
      </c>
      <c r="S1297" s="49" t="n"/>
      <c r="T1297" s="49" t="n"/>
      <c r="U1297" s="47" t="inlineStr">
        <is>
          <t>In this episode, J and the team take their second shot at the Pokémon league. Will Lance let them through? Will they survive to take on Red?</t>
        </is>
      </c>
      <c r="V1297" s="47">
        <f>IF(AND(P1297&gt;=Calendar!$K$2,P1297&lt;EDATE(Calendar!$K$2,1),OR(Calendar!$K$4="*",N1297=Calendar!$K$4)),P1297*100+COUNTIFS($P$6:$P$3267,P1297,$Q$6:$Q$3267,"&lt;="&amp;Q1297,$N$6:$N$3267,Calendar!$K$4),"")</f>
        <v/>
      </c>
      <c r="W1297" s="47">
        <f>IF(AND(B1297=Queue!$C$4,OR(Queue!$K$4="*",N1297=Queue!$K$4)),Q1297,"")</f>
        <v/>
      </c>
    </row>
    <row r="1298">
      <c r="A1298" s="38">
        <f>IF(M1298="","",HYPERLINK("https://www.youtube.com/watch?v="&amp;M1298,"▶"))</f>
        <v/>
      </c>
      <c r="B1298" s="39">
        <f>IF(C1298&lt;&gt;"",C1298,IF(P1298&lt;=IFERROR(INDEX(tblChannels[Watched Through],MATCH(N1298,tblChannels[Channel ID],0)),0),"Watched","Unwatched"))</f>
        <v/>
      </c>
      <c r="C1298" s="40" t="n"/>
      <c r="D1298" s="41" t="n"/>
      <c r="E1298" s="42" t="n">
        <v>44491.41666666666</v>
      </c>
      <c r="F1298" s="43" t="inlineStr">
        <is>
          <t>Popcorn Culture</t>
        </is>
      </c>
      <c r="G1298" t="inlineStr">
        <is>
          <t>Cows Make Bad Currency | Popcorn Culture</t>
        </is>
      </c>
      <c r="H1298" s="44" t="n">
        <v>0.04597222222222222</v>
      </c>
      <c r="I1298" s="45" t="n">
        <v>9900</v>
      </c>
      <c r="J1298" s="45" t="n">
        <v>477</v>
      </c>
      <c r="K1298" s="45" t="n">
        <v>56</v>
      </c>
      <c r="L1298" s="46" t="n"/>
      <c r="M1298" s="47" t="n"/>
      <c r="N1298" s="47" t="inlineStr">
        <is>
          <t>UCHfIbq9thHPC8yrKjAdJgDA</t>
        </is>
      </c>
      <c r="O1298" s="48" t="n">
        <v>44491.58333333334</v>
      </c>
      <c r="P1298" s="49" t="n">
        <v>44491</v>
      </c>
      <c r="Q1298" s="47" t="n">
        <v>1970</v>
      </c>
      <c r="R1298" s="47" t="inlineStr">
        <is>
          <t>No Video ID yet</t>
        </is>
      </c>
      <c r="S1298" s="49" t="n"/>
      <c r="T1298" s="49" t="n"/>
      <c r="U1298" s="47" t="inlineStr">
        <is>
          <t>In the 98th Episode of the Pop, Ben and J discuss: vinyl records, health trends, people disagreeing, alien invasions, the word “culture”, the pope, scarcity mindsets, Squidgame, and barely broken things “Project Hail Mary” by Andy Weir: “Parks and Recreation” episode referenced: J’s Wick of the Peek: Squidgame:</t>
        </is>
      </c>
      <c r="V1298" s="47">
        <f>IF(AND(P1298&gt;=Calendar!$K$2,P1298&lt;EDATE(Calendar!$K$2,1),OR(Calendar!$K$4="*",N1298=Calendar!$K$4)),P1298*100+COUNTIFS($P$6:$P$3267,P1298,$Q$6:$Q$3267,"&lt;="&amp;Q1298,$N$6:$N$3267,Calendar!$K$4),"")</f>
        <v/>
      </c>
      <c r="W1298" s="47">
        <f>IF(AND(B1298=Queue!$C$4,OR(Queue!$K$4="*",N1298=Queue!$K$4)),Q1298,"")</f>
        <v/>
      </c>
    </row>
    <row r="1299">
      <c r="A1299" s="38">
        <f>IF(M1299="","",HYPERLINK("https://www.youtube.com/watch?v="&amp;M1299,"▶"))</f>
        <v/>
      </c>
      <c r="B1299" s="39">
        <f>IF(C1299&lt;&gt;"",C1299,IF(P1299&lt;=IFERROR(INDEX(tblChannels[Watched Through],MATCH(N1299,tblChannels[Channel ID],0)),0),"Watched","Unwatched"))</f>
        <v/>
      </c>
      <c r="C1299" s="40" t="n"/>
      <c r="D1299" s="41" t="n"/>
      <c r="E1299" s="42" t="n">
        <v>44490.68541666667</v>
      </c>
      <c r="F1299" s="50" t="inlineStr">
        <is>
          <t>Super Carlin Brothers</t>
        </is>
      </c>
      <c r="G1299" t="inlineStr">
        <is>
          <t>Will Newt Give Up His Magic? | Harry Potter Theory</t>
        </is>
      </c>
      <c r="H1299" s="44" t="n">
        <v>0.01021990740740741</v>
      </c>
      <c r="I1299" s="45" t="n">
        <v>200048</v>
      </c>
      <c r="J1299" s="45" t="n">
        <v>9043</v>
      </c>
      <c r="K1299" s="45" t="n">
        <v>694</v>
      </c>
      <c r="L1299" s="46" t="n"/>
      <c r="M1299" s="47" t="n"/>
      <c r="N1299" s="47" t="inlineStr">
        <is>
          <t>UCKZo4N0lVPccBkSiuyVh4yg</t>
        </is>
      </c>
      <c r="O1299" s="48" t="n">
        <v>44490.85208333333</v>
      </c>
      <c r="P1299" s="49" t="n">
        <v>44490</v>
      </c>
      <c r="Q1299" s="47" t="n">
        <v>1969</v>
      </c>
      <c r="R1299" s="47" t="inlineStr">
        <is>
          <t>No Video ID yet</t>
        </is>
      </c>
      <c r="S1299" s="49" t="n"/>
      <c r="T1299" s="49" t="n"/>
      <c r="U1299" s="47" t="inlineStr">
        <is>
          <t>Head over to to get 10% off your first month! Today Ben dives into the Wizarding World of Harry Potter to try and determine if Newt Scamander will give up his magical powers in order to save Credence by the end of the Fantastic Beasts movies!</t>
        </is>
      </c>
      <c r="V1299" s="47">
        <f>IF(AND(P1299&gt;=Calendar!$K$2,P1299&lt;EDATE(Calendar!$K$2,1),OR(Calendar!$K$4="*",N1299=Calendar!$K$4)),P1299*100+COUNTIFS($P$6:$P$3267,P1299,$Q$6:$Q$3267,"&lt;="&amp;Q1299,$N$6:$N$3267,Calendar!$K$4),"")</f>
        <v/>
      </c>
      <c r="W1299" s="47">
        <f>IF(AND(B1299=Queue!$C$4,OR(Queue!$K$4="*",N1299=Queue!$K$4)),Q1299,"")</f>
        <v/>
      </c>
    </row>
    <row r="1300">
      <c r="A1300" s="38">
        <f>IF(M1300="","",HYPERLINK("https://www.youtube.com/watch?v="&amp;M1300,"▶"))</f>
        <v/>
      </c>
      <c r="B1300" s="39">
        <f>IF(C1300&lt;&gt;"",C1300,IF(P1300&lt;=IFERROR(INDEX(tblChannels[Watched Through],MATCH(N1300,tblChannels[Channel ID],0)),0),"Watched","Unwatched"))</f>
        <v/>
      </c>
      <c r="C1300" s="40" t="n"/>
      <c r="D1300" s="41" t="n"/>
      <c r="E1300" s="42" t="n">
        <v>44488.69930555556</v>
      </c>
      <c r="F1300" s="50" t="inlineStr">
        <is>
          <t>Super Carlin Brothers</t>
        </is>
      </c>
      <c r="G1300" t="inlineStr">
        <is>
          <t>Can A Wizard Run Out Of Magic? | Harry Potter Theory</t>
        </is>
      </c>
      <c r="H1300" s="44" t="n">
        <v>0.0100462962962963</v>
      </c>
      <c r="I1300" s="45" t="n">
        <v>369002</v>
      </c>
      <c r="J1300" s="45" t="n">
        <v>15228</v>
      </c>
      <c r="K1300" s="45" t="n">
        <v>1093</v>
      </c>
      <c r="L1300" s="46" t="n"/>
      <c r="M1300" s="47" t="n"/>
      <c r="N1300" s="47" t="inlineStr">
        <is>
          <t>UCKZo4N0lVPccBkSiuyVh4yg</t>
        </is>
      </c>
      <c r="O1300" s="48" t="n">
        <v>44488.86597222222</v>
      </c>
      <c r="P1300" s="49" t="n">
        <v>44488</v>
      </c>
      <c r="Q1300" s="47" t="n">
        <v>1968</v>
      </c>
      <c r="R1300" s="47" t="inlineStr">
        <is>
          <t>No Video ID yet</t>
        </is>
      </c>
      <c r="S1300" s="49" t="n"/>
      <c r="T1300" s="49" t="n"/>
      <c r="U1300" s="47" t="inlineStr">
        <is>
          <t>Go to to get 15% off your first order and free shipping! Head over to and take care of yourself! Today J dives into the wizarding world of Harry Potter to determine if witches and wizards can ever run out of magic or if they ever need to recharge in order to perform more spells!</t>
        </is>
      </c>
      <c r="V1300" s="47">
        <f>IF(AND(P1300&gt;=Calendar!$K$2,P1300&lt;EDATE(Calendar!$K$2,1),OR(Calendar!$K$4="*",N1300=Calendar!$K$4)),P1300*100+COUNTIFS($P$6:$P$3267,P1300,$Q$6:$Q$3267,"&lt;="&amp;Q1300,$N$6:$N$3267,Calendar!$K$4),"")</f>
        <v/>
      </c>
      <c r="W1300" s="47">
        <f>IF(AND(B1300=Queue!$C$4,OR(Queue!$K$4="*",N1300=Queue!$K$4)),Q1300,"")</f>
        <v/>
      </c>
    </row>
    <row r="1301">
      <c r="A1301" s="38">
        <f>IF(M1301="","",HYPERLINK("https://www.youtube.com/watch?v="&amp;M1301,"▶"))</f>
        <v/>
      </c>
      <c r="B1301" s="39">
        <f>IF(C1301&lt;&gt;"",C1301,IF(P1301&lt;=IFERROR(INDEX(tblChannels[Watched Through],MATCH(N1301,tblChannels[Channel ID],0)),0),"Watched","Unwatched"))</f>
        <v/>
      </c>
      <c r="C1301" s="40" t="n"/>
      <c r="D1301" s="41" t="n"/>
      <c r="E1301" s="42" t="n">
        <v>44487.4625</v>
      </c>
      <c r="F1301" s="52" t="inlineStr">
        <is>
          <t>Super Carlin Gaming</t>
        </is>
      </c>
      <c r="G1301" t="inlineStr">
        <is>
          <t>SCG Super Smash Brothers Saturday SHOWDOWN</t>
        </is>
      </c>
      <c r="H1301" s="44" t="n">
        <v>0.02494212962962963</v>
      </c>
      <c r="I1301" s="45" t="n">
        <v>5854</v>
      </c>
      <c r="J1301" s="45" t="n">
        <v>339</v>
      </c>
      <c r="K1301" s="45" t="n">
        <v>29</v>
      </c>
      <c r="L1301" s="46" t="n"/>
      <c r="M1301" s="47" t="n"/>
      <c r="N1301" s="47" t="inlineStr">
        <is>
          <t>UCor_9jRnNNZVzTuQ92PKsaQ</t>
        </is>
      </c>
      <c r="O1301" s="48" t="n">
        <v>44487.62916666667</v>
      </c>
      <c r="P1301" s="49" t="n">
        <v>44487</v>
      </c>
      <c r="Q1301" s="47" t="n">
        <v>1967</v>
      </c>
      <c r="R1301" s="47" t="inlineStr">
        <is>
          <t>No Video ID yet</t>
        </is>
      </c>
      <c r="S1301" s="49" t="n"/>
      <c r="T1301" s="49" t="n"/>
      <c r="U1301" s="47" t="inlineStr">
        <is>
          <t>Welcome to the Super Carlin Gaming Super Smash Brothers Saturday Morning Showdown (or SCGSSBSMS for short)! In lieu of today's Nuzlocke, we give you this week's Patreon-exclusive bonus gaming content! Join the SCB team as they battle it out in epic Smash Brothers fashion while answering YOUR questions on topics ranging from desert island desserts, comfort movies and the great Nightmare Before Christmas debate. Join the $5 tier on Patreon.com/SuperCarlinGaming for access to bonus gaming EVERY WEEK!</t>
        </is>
      </c>
      <c r="V1301" s="47">
        <f>IF(AND(P1301&gt;=Calendar!$K$2,P1301&lt;EDATE(Calendar!$K$2,1),OR(Calendar!$K$4="*",N1301=Calendar!$K$4)),P1301*100+COUNTIFS($P$6:$P$3267,P1301,$Q$6:$Q$3267,"&lt;="&amp;Q1301,$N$6:$N$3267,Calendar!$K$4),"")</f>
        <v/>
      </c>
      <c r="W1301" s="47">
        <f>IF(AND(B1301=Queue!$C$4,OR(Queue!$K$4="*",N1301=Queue!$K$4)),Q1301,"")</f>
        <v/>
      </c>
    </row>
    <row r="1302">
      <c r="A1302" s="38">
        <f>IF(M1302="","",HYPERLINK("https://www.youtube.com/watch?v="&amp;M1302,"▶"))</f>
        <v/>
      </c>
      <c r="B1302" s="39">
        <f>IF(C1302&lt;&gt;"",C1302,IF(P1302&lt;=IFERROR(INDEX(tblChannels[Watched Through],MATCH(N1302,tblChannels[Channel ID],0)),0),"Watched","Unwatched"))</f>
        <v/>
      </c>
      <c r="C1302" s="40" t="n"/>
      <c r="D1302" s="41" t="n"/>
      <c r="E1302" s="42" t="n">
        <v>44484.41666666666</v>
      </c>
      <c r="F1302" s="43" t="inlineStr">
        <is>
          <t>Popcorn Culture</t>
        </is>
      </c>
      <c r="G1302" t="inlineStr">
        <is>
          <t>All My Interests Have Cheated On Me | Popcorn Culture</t>
        </is>
      </c>
      <c r="H1302" s="44" t="n">
        <v>0.04726851851851852</v>
      </c>
      <c r="I1302" s="45" t="n">
        <v>10878</v>
      </c>
      <c r="J1302" s="45" t="n">
        <v>539</v>
      </c>
      <c r="K1302" s="45" t="n">
        <v>87</v>
      </c>
      <c r="L1302" s="46" t="n"/>
      <c r="M1302" s="47" t="n"/>
      <c r="N1302" s="47" t="inlineStr">
        <is>
          <t>UCHfIbq9thHPC8yrKjAdJgDA</t>
        </is>
      </c>
      <c r="O1302" s="48" t="n">
        <v>44484.58333333334</v>
      </c>
      <c r="P1302" s="49" t="n">
        <v>44484</v>
      </c>
      <c r="Q1302" s="47" t="n">
        <v>1966</v>
      </c>
      <c r="R1302" s="47" t="inlineStr">
        <is>
          <t>No Video ID yet</t>
        </is>
      </c>
      <c r="S1302" s="49" t="n"/>
      <c r="T1302" s="49" t="n"/>
      <c r="U1302" s="47" t="inlineStr">
        <is>
          <t>In the 97th episode of the Pop, Ben and J discuss trains of thought, how memory works, animated shows, the “let people enjoy things” meme, getting into the nitty gritty, trust issues with our interests, and going viral on TikTok. “The Mind, Explained” (Netflix documentary on memory): “Criminal” (podcast): “Hey! Arnold”: “Reply All” (podcast): “Daniel Tiger”: “Avatar: The Last Airbender””: “The Ren &amp; Stimpy Show”: “CatDog”: “Let People Enjoy Things” meme: Jason Sudekis/Chris Evans suit: “Ratatouille” Trailer:</t>
        </is>
      </c>
      <c r="V1302" s="47">
        <f>IF(AND(P1302&gt;=Calendar!$K$2,P1302&lt;EDATE(Calendar!$K$2,1),OR(Calendar!$K$4="*",N1302=Calendar!$K$4)),P1302*100+COUNTIFS($P$6:$P$3267,P1302,$Q$6:$Q$3267,"&lt;="&amp;Q1302,$N$6:$N$3267,Calendar!$K$4),"")</f>
        <v/>
      </c>
      <c r="W1302" s="47">
        <f>IF(AND(B1302=Queue!$C$4,OR(Queue!$K$4="*",N1302=Queue!$K$4)),Q1302,"")</f>
        <v/>
      </c>
    </row>
    <row r="1303">
      <c r="A1303" s="38">
        <f>IF(M1303="","",HYPERLINK("https://www.youtube.com/watch?v="&amp;M1303,"▶"))</f>
        <v/>
      </c>
      <c r="B1303" s="39">
        <f>IF(C1303&lt;&gt;"",C1303,IF(P1303&lt;=IFERROR(INDEX(tblChannels[Watched Through],MATCH(N1303,tblChannels[Channel ID],0)),0),"Watched","Unwatched"))</f>
        <v/>
      </c>
      <c r="C1303" s="40" t="n"/>
      <c r="D1303" s="41" t="n"/>
      <c r="E1303" s="42" t="n">
        <v>44483.70694444444</v>
      </c>
      <c r="F1303" s="50" t="inlineStr">
        <is>
          <t>Super Carlin Brothers</t>
        </is>
      </c>
      <c r="G1303" t="inlineStr">
        <is>
          <t>J vs Ben: ULTIMATE Harry Potter Ghosts Trivia Quiz</t>
        </is>
      </c>
      <c r="H1303" s="44" t="n">
        <v>0.02034722222222222</v>
      </c>
      <c r="I1303" s="45" t="n">
        <v>272843</v>
      </c>
      <c r="J1303" s="45" t="n">
        <v>9126</v>
      </c>
      <c r="K1303" s="45" t="n">
        <v>815</v>
      </c>
      <c r="L1303" s="46" t="n"/>
      <c r="M1303" s="47" t="n"/>
      <c r="N1303" s="47" t="inlineStr">
        <is>
          <t>UCKZo4N0lVPccBkSiuyVh4yg</t>
        </is>
      </c>
      <c r="O1303" s="48" t="n">
        <v>44483.87361111111</v>
      </c>
      <c r="P1303" s="49" t="n">
        <v>44483</v>
      </c>
      <c r="Q1303" s="47" t="n">
        <v>1965</v>
      </c>
      <c r="R1303" s="47" t="inlineStr">
        <is>
          <t>No Video ID yet</t>
        </is>
      </c>
      <c r="S1303" s="49" t="n"/>
      <c r="T1303" s="49" t="n"/>
      <c r="U1303" s="47" t="inlineStr">
        <is>
          <t>Get 25% off and zero delivery fees on their first order of $15 or more, when you download the DoorDash app and enter code JVSB2021 Go to and enter code super at checkout to get 20% off your first monthly box! SCB PUZZLE :: Today J and Ben face off once more to find out who knows the most about Nearly Headless Nick, Moaning Myrtle, They Gray Lady and the rest of the ghosts in Harry Potter! (also Helen Hunt) Get your own SCB Trivia Night Puzzle :: #SuperCarlinBrothers #HarryPotter #JvsBen</t>
        </is>
      </c>
      <c r="V1303" s="47">
        <f>IF(AND(P1303&gt;=Calendar!$K$2,P1303&lt;EDATE(Calendar!$K$2,1),OR(Calendar!$K$4="*",N1303=Calendar!$K$4)),P1303*100+COUNTIFS($P$6:$P$3267,P1303,$Q$6:$Q$3267,"&lt;="&amp;Q1303,$N$6:$N$3267,Calendar!$K$4),"")</f>
        <v/>
      </c>
      <c r="W1303" s="47">
        <f>IF(AND(B1303=Queue!$C$4,OR(Queue!$K$4="*",N1303=Queue!$K$4)),Q1303,"")</f>
        <v/>
      </c>
    </row>
    <row r="1304">
      <c r="A1304" s="38">
        <f>IF(M1304="","",HYPERLINK("https://www.youtube.com/watch?v="&amp;M1304,"▶"))</f>
        <v/>
      </c>
      <c r="B1304" s="39">
        <f>IF(C1304&lt;&gt;"",C1304,IF(P1304&lt;=IFERROR(INDEX(tblChannels[Watched Through],MATCH(N1304,tblChannels[Channel ID],0)),0),"Watched","Unwatched"))</f>
        <v/>
      </c>
      <c r="C1304" s="40" t="n"/>
      <c r="D1304" s="41" t="n"/>
      <c r="E1304" s="42" t="n">
        <v>44481.64236111111</v>
      </c>
      <c r="F1304" s="50" t="inlineStr">
        <is>
          <t>Super Carlin Brothers</t>
        </is>
      </c>
      <c r="G1304" t="inlineStr">
        <is>
          <t>Could The Veil Kill A Ghost? | Harry Potter Theory</t>
        </is>
      </c>
      <c r="H1304" s="44" t="n">
        <v>0.00974537037037037</v>
      </c>
      <c r="I1304" s="45" t="n">
        <v>255074</v>
      </c>
      <c r="J1304" s="45" t="n">
        <v>11098</v>
      </c>
      <c r="K1304" s="45" t="n">
        <v>1271</v>
      </c>
      <c r="L1304" s="46" t="n"/>
      <c r="M1304" s="47" t="n"/>
      <c r="N1304" s="47" t="inlineStr">
        <is>
          <t>UCKZo4N0lVPccBkSiuyVh4yg</t>
        </is>
      </c>
      <c r="O1304" s="48" t="n">
        <v>44481.80902777778</v>
      </c>
      <c r="P1304" s="49" t="n">
        <v>44481</v>
      </c>
      <c r="Q1304" s="47" t="n">
        <v>1964</v>
      </c>
      <c r="R1304" s="47" t="inlineStr">
        <is>
          <t>No Video ID yet</t>
        </is>
      </c>
      <c r="S1304" s="49" t="n"/>
      <c r="T1304" s="49" t="n"/>
      <c r="U1304" s="47" t="inlineStr">
        <is>
          <t>Head on over to to get 10% off your first month! Video Sponsored by Ridge Wallet. Check them out here: Use Code “SCB” for 10% off your order Today J dives into the Wizarding World of Harry Potter to try and determine what would happen if a ghost traveled through the Veil in the Department of Mysteries?! T I K T O K ➜</t>
        </is>
      </c>
      <c r="V1304" s="47">
        <f>IF(AND(P1304&gt;=Calendar!$K$2,P1304&lt;EDATE(Calendar!$K$2,1),OR(Calendar!$K$4="*",N1304=Calendar!$K$4)),P1304*100+COUNTIFS($P$6:$P$3267,P1304,$Q$6:$Q$3267,"&lt;="&amp;Q1304,$N$6:$N$3267,Calendar!$K$4),"")</f>
        <v/>
      </c>
      <c r="W1304" s="47">
        <f>IF(AND(B1304=Queue!$C$4,OR(Queue!$K$4="*",N1304=Queue!$K$4)),Q1304,"")</f>
        <v/>
      </c>
    </row>
    <row r="1305">
      <c r="A1305" s="38">
        <f>IF(M1305="","",HYPERLINK("https://www.youtube.com/watch?v="&amp;M1305,"▶"))</f>
        <v/>
      </c>
      <c r="B1305" s="39">
        <f>IF(C1305&lt;&gt;"",C1305,IF(P1305&lt;=IFERROR(INDEX(tblChannels[Watched Through],MATCH(N1305,tblChannels[Channel ID],0)),0),"Watched","Unwatched"))</f>
        <v/>
      </c>
      <c r="C1305" s="40" t="n"/>
      <c r="D1305" s="41" t="n"/>
      <c r="E1305" s="42" t="n">
        <v>44480.41666666666</v>
      </c>
      <c r="F1305" s="52" t="inlineStr">
        <is>
          <t>Super Carlin Gaming</t>
        </is>
      </c>
      <c r="G1305" t="inlineStr">
        <is>
          <t>BATTLE PREPARATIONS! |  Pokémon SoulSilver Randomizer Nuzlocke #31</t>
        </is>
      </c>
      <c r="H1305" s="44" t="n">
        <v>0.02902777777777778</v>
      </c>
      <c r="I1305" s="45" t="n">
        <v>11162</v>
      </c>
      <c r="J1305" s="45" t="n">
        <v>611</v>
      </c>
      <c r="K1305" s="45" t="n">
        <v>110</v>
      </c>
      <c r="L1305" s="46" t="n"/>
      <c r="M1305" s="47" t="n"/>
      <c r="N1305" s="47" t="inlineStr">
        <is>
          <t>UCor_9jRnNNZVzTuQ92PKsaQ</t>
        </is>
      </c>
      <c r="O1305" s="48" t="n">
        <v>44480.58333333334</v>
      </c>
      <c r="P1305" s="49" t="n">
        <v>44480</v>
      </c>
      <c r="Q1305" s="47" t="n">
        <v>1963</v>
      </c>
      <c r="R1305" s="47" t="inlineStr">
        <is>
          <t>No Video ID yet</t>
        </is>
      </c>
      <c r="S1305" s="49" t="n"/>
      <c r="T1305" s="49" t="n"/>
      <c r="U1305" s="47" t="inlineStr">
        <is>
          <t>Today J Rutana and the team prepare for the coming battles, and try to level up as much as they can!</t>
        </is>
      </c>
      <c r="V1305" s="47">
        <f>IF(AND(P1305&gt;=Calendar!$K$2,P1305&lt;EDATE(Calendar!$K$2,1),OR(Calendar!$K$4="*",N1305=Calendar!$K$4)),P1305*100+COUNTIFS($P$6:$P$3267,P1305,$Q$6:$Q$3267,"&lt;="&amp;Q1305,$N$6:$N$3267,Calendar!$K$4),"")</f>
        <v/>
      </c>
      <c r="W1305" s="47">
        <f>IF(AND(B1305=Queue!$C$4,OR(Queue!$K$4="*",N1305=Queue!$K$4)),Q1305,"")</f>
        <v/>
      </c>
    </row>
    <row r="1306">
      <c r="A1306" s="38">
        <f>IF(M1306="","",HYPERLINK("https://www.youtube.com/watch?v="&amp;M1306,"▶"))</f>
        <v/>
      </c>
      <c r="B1306" s="39">
        <f>IF(C1306&lt;&gt;"",C1306,IF(P1306&lt;=IFERROR(INDEX(tblChannels[Watched Through],MATCH(N1306,tblChannels[Channel ID],0)),0),"Watched","Unwatched"))</f>
        <v/>
      </c>
      <c r="C1306" s="40" t="n"/>
      <c r="D1306" s="41" t="n"/>
      <c r="E1306" s="42" t="n">
        <v>44477.48680555556</v>
      </c>
      <c r="F1306" s="52" t="inlineStr">
        <is>
          <t>Super Carlin Gaming</t>
        </is>
      </c>
      <c r="G1306" t="inlineStr">
        <is>
          <t>Can We Pull a CHARIZARD? | Pokemon Celebrations UNBOXING</t>
        </is>
      </c>
      <c r="H1306" s="44" t="n">
        <v>0.02350694444444444</v>
      </c>
      <c r="I1306" s="45" t="n">
        <v>6584</v>
      </c>
      <c r="J1306" s="45" t="n">
        <v>391</v>
      </c>
      <c r="K1306" s="45" t="n">
        <v>56</v>
      </c>
      <c r="L1306" s="46" t="n"/>
      <c r="M1306" s="47" t="n"/>
      <c r="N1306" s="47" t="inlineStr">
        <is>
          <t>UCor_9jRnNNZVzTuQ92PKsaQ</t>
        </is>
      </c>
      <c r="O1306" s="48" t="n">
        <v>44477.65347222222</v>
      </c>
      <c r="P1306" s="49" t="n">
        <v>44477</v>
      </c>
      <c r="Q1306" s="47" t="n">
        <v>1962</v>
      </c>
      <c r="R1306" s="47" t="inlineStr">
        <is>
          <t>No Video ID yet</t>
        </is>
      </c>
      <c r="S1306" s="49" t="n"/>
      <c r="T1306" s="49" t="n"/>
      <c r="U1306" s="47" t="inlineStr">
        <is>
          <t>Today J unboxes a HUGE gift box of the Pokemon Trading Card Game Celebrations set (courtesy of Pokemon) to try and pull a Base Set Charizard, Venusaur, Blastoise, or Full Art Pikachu. Wouldn't mind a GOLD MEW either... just saying.. #Pokemon #PokemonTradingCardGame Edited by: Riley Murtagh</t>
        </is>
      </c>
      <c r="V1306" s="47">
        <f>IF(AND(P1306&gt;=Calendar!$K$2,P1306&lt;EDATE(Calendar!$K$2,1),OR(Calendar!$K$4="*",N1306=Calendar!$K$4)),P1306*100+COUNTIFS($P$6:$P$3267,P1306,$Q$6:$Q$3267,"&lt;="&amp;Q1306,$N$6:$N$3267,Calendar!$K$4),"")</f>
        <v/>
      </c>
      <c r="W1306" s="47">
        <f>IF(AND(B1306=Queue!$C$4,OR(Queue!$K$4="*",N1306=Queue!$K$4)),Q1306,"")</f>
        <v/>
      </c>
    </row>
    <row r="1307">
      <c r="A1307" s="38">
        <f>IF(M1307="","",HYPERLINK("https://www.youtube.com/watch?v="&amp;M1307,"▶"))</f>
        <v/>
      </c>
      <c r="B1307" s="39">
        <f>IF(C1307&lt;&gt;"",C1307,IF(P1307&lt;=IFERROR(INDEX(tblChannels[Watched Through],MATCH(N1307,tblChannels[Channel ID],0)),0),"Watched","Unwatched"))</f>
        <v/>
      </c>
      <c r="C1307" s="40" t="n"/>
      <c r="D1307" s="41" t="n"/>
      <c r="E1307" s="42" t="n">
        <v>44477.41666666666</v>
      </c>
      <c r="F1307" s="43" t="inlineStr">
        <is>
          <t>Popcorn Culture</t>
        </is>
      </c>
      <c r="G1307" t="inlineStr">
        <is>
          <t>Follow Your Dreams... UNLESS | Popcorn Culture</t>
        </is>
      </c>
      <c r="H1307" s="44" t="n">
        <v>0.04498842592592592</v>
      </c>
      <c r="I1307" s="45" t="n">
        <v>9493</v>
      </c>
      <c r="J1307" s="45" t="n">
        <v>482</v>
      </c>
      <c r="K1307" s="45" t="n">
        <v>66</v>
      </c>
      <c r="L1307" s="46" t="n"/>
      <c r="M1307" s="47" t="n"/>
      <c r="N1307" s="47" t="inlineStr">
        <is>
          <t>UCHfIbq9thHPC8yrKjAdJgDA</t>
        </is>
      </c>
      <c r="O1307" s="48" t="n">
        <v>44477.58333333334</v>
      </c>
      <c r="P1307" s="49" t="n">
        <v>44477</v>
      </c>
      <c r="Q1307" s="47" t="n">
        <v>1961</v>
      </c>
      <c r="R1307" s="47" t="inlineStr">
        <is>
          <t>No Video ID yet</t>
        </is>
      </c>
      <c r="S1307" s="49" t="n"/>
      <c r="T1307" s="49" t="n"/>
      <c r="U1307" s="47" t="inlineStr">
        <is>
          <t>In the 96th episode of the Pop, Ben and J discuss nesting and prepping, pre-kid limbo, billionaires’ race to space, childhood dreams, being a pro Pokémon player, the age of nostalgia, evolution of social media, vintage apps, Gossip Girl, underground weightlifting, 17 inch biceps, and tattoos. Billionaire Space Race - Play Pokémon events - Gossip Girl - Pokémon World Championships -</t>
        </is>
      </c>
      <c r="V1307" s="47">
        <f>IF(AND(P1307&gt;=Calendar!$K$2,P1307&lt;EDATE(Calendar!$K$2,1),OR(Calendar!$K$4="*",N1307=Calendar!$K$4)),P1307*100+COUNTIFS($P$6:$P$3267,P1307,$Q$6:$Q$3267,"&lt;="&amp;Q1307,$N$6:$N$3267,Calendar!$K$4),"")</f>
        <v/>
      </c>
      <c r="W1307" s="47">
        <f>IF(AND(B1307=Queue!$C$4,OR(Queue!$K$4="*",N1307=Queue!$K$4)),Q1307,"")</f>
        <v/>
      </c>
    </row>
    <row r="1308">
      <c r="A1308" s="38">
        <f>IF(M1308="","",HYPERLINK("https://www.youtube.com/watch?v="&amp;M1308,"▶"))</f>
        <v/>
      </c>
      <c r="B1308" s="39">
        <f>IF(C1308&lt;&gt;"",C1308,IF(P1308&lt;=IFERROR(INDEX(tblChannels[Watched Through],MATCH(N1308,tblChannels[Channel ID],0)),0),"Watched","Unwatched"))</f>
        <v/>
      </c>
      <c r="C1308" s="40" t="n"/>
      <c r="D1308" s="41" t="n"/>
      <c r="E1308" s="42" t="n">
        <v>44476.63055555556</v>
      </c>
      <c r="F1308" s="50" t="inlineStr">
        <is>
          <t>Super Carlin Brothers</t>
        </is>
      </c>
      <c r="G1308" t="inlineStr">
        <is>
          <t>Mother Gothel Is Meg from Hercules | Disney Theory</t>
        </is>
      </c>
      <c r="H1308" s="44" t="n">
        <v>0.01033564814814815</v>
      </c>
      <c r="I1308" s="45" t="n">
        <v>475265</v>
      </c>
      <c r="J1308" s="45" t="n">
        <v>23274</v>
      </c>
      <c r="K1308" s="45" t="n">
        <v>2276</v>
      </c>
      <c r="L1308" s="46" t="n"/>
      <c r="M1308" s="47" t="n"/>
      <c r="N1308" s="47" t="inlineStr">
        <is>
          <t>UCKZo4N0lVPccBkSiuyVh4yg</t>
        </is>
      </c>
      <c r="O1308" s="48" t="n">
        <v>44476.79722222222</v>
      </c>
      <c r="P1308" s="49" t="n">
        <v>44476</v>
      </c>
      <c r="Q1308" s="47" t="n">
        <v>1960</v>
      </c>
      <c r="R1308" s="47" t="inlineStr">
        <is>
          <t>No Video ID yet</t>
        </is>
      </c>
      <c r="S1308" s="49" t="n"/>
      <c r="T1308" s="49" t="n"/>
      <c r="U1308" s="47" t="inlineStr">
        <is>
          <t>Head on over to to get 10% off your first month! Today Ben dives into the world of Disney to discuss two absolute classics: Hercules and Tangled and uncovers the TRUTH about Mother Gothel and her origins as none other than: MEG! #SuperCarlinBrothers #Disney #Theory Edited by: Riley Murtagh</t>
        </is>
      </c>
      <c r="V1308" s="47">
        <f>IF(AND(P1308&gt;=Calendar!$K$2,P1308&lt;EDATE(Calendar!$K$2,1),OR(Calendar!$K$4="*",N1308=Calendar!$K$4)),P1308*100+COUNTIFS($P$6:$P$3267,P1308,$Q$6:$Q$3267,"&lt;="&amp;Q1308,$N$6:$N$3267,Calendar!$K$4),"")</f>
        <v/>
      </c>
      <c r="W1308" s="47">
        <f>IF(AND(B1308=Queue!$C$4,OR(Queue!$K$4="*",N1308=Queue!$K$4)),Q1308,"")</f>
        <v/>
      </c>
    </row>
    <row r="1309">
      <c r="A1309" s="38">
        <f>IF(M1309="","",HYPERLINK("https://www.youtube.com/watch?v="&amp;M1309,"▶"))</f>
        <v/>
      </c>
      <c r="B1309" s="39">
        <f>IF(C1309&lt;&gt;"",C1309,IF(P1309&lt;=IFERROR(INDEX(tblChannels[Watched Through],MATCH(N1309,tblChannels[Channel ID],0)),0),"Watched","Unwatched"))</f>
        <v/>
      </c>
      <c r="C1309" s="40" t="n"/>
      <c r="D1309" s="41" t="n"/>
      <c r="E1309" s="42" t="n">
        <v>44475.41666666666</v>
      </c>
      <c r="F1309" s="52" t="inlineStr">
        <is>
          <t>Super Carlin Gaming</t>
        </is>
      </c>
      <c r="G1309" t="inlineStr">
        <is>
          <t>BLUE'S BETRAYAL |  Pokémon SoulSilver Randomizer Nuzlocke #30</t>
        </is>
      </c>
      <c r="H1309" s="44" t="n">
        <v>0.02832175925925926</v>
      </c>
      <c r="I1309" s="45" t="n">
        <v>10877</v>
      </c>
      <c r="J1309" s="45" t="n">
        <v>661</v>
      </c>
      <c r="K1309" s="45" t="n">
        <v>160</v>
      </c>
      <c r="L1309" s="46" t="n"/>
      <c r="M1309" s="47" t="n"/>
      <c r="N1309" s="47" t="inlineStr">
        <is>
          <t>UCor_9jRnNNZVzTuQ92PKsaQ</t>
        </is>
      </c>
      <c r="O1309" s="48" t="n">
        <v>44475.58333333334</v>
      </c>
      <c r="P1309" s="49" t="n">
        <v>44475</v>
      </c>
      <c r="Q1309" s="47" t="n">
        <v>1959</v>
      </c>
      <c r="R1309" s="47" t="inlineStr">
        <is>
          <t>No Video ID yet</t>
        </is>
      </c>
      <c r="S1309" s="49" t="n"/>
      <c r="T1309" s="49" t="n"/>
      <c r="U1309" s="47" t="inlineStr">
        <is>
          <t>Today J and the team attempt to earn their final Kanto badge by defeating Blue... but are they prepared for his dastardly plan of attack???</t>
        </is>
      </c>
      <c r="V1309" s="47">
        <f>IF(AND(P1309&gt;=Calendar!$K$2,P1309&lt;EDATE(Calendar!$K$2,1),OR(Calendar!$K$4="*",N1309=Calendar!$K$4)),P1309*100+COUNTIFS($P$6:$P$3267,P1309,$Q$6:$Q$3267,"&lt;="&amp;Q1309,$N$6:$N$3267,Calendar!$K$4),"")</f>
        <v/>
      </c>
      <c r="W1309" s="47">
        <f>IF(AND(B1309=Queue!$C$4,OR(Queue!$K$4="*",N1309=Queue!$K$4)),Q1309,"")</f>
        <v/>
      </c>
    </row>
    <row r="1310">
      <c r="A1310" s="38">
        <f>IF(M1310="","",HYPERLINK("https://www.youtube.com/watch?v="&amp;M1310,"▶"))</f>
        <v/>
      </c>
      <c r="B1310" s="39">
        <f>IF(C1310&lt;&gt;"",C1310,IF(P1310&lt;=IFERROR(INDEX(tblChannels[Watched Through],MATCH(N1310,tblChannels[Channel ID],0)),0),"Watched","Unwatched"))</f>
        <v/>
      </c>
      <c r="C1310" s="40" t="n"/>
      <c r="D1310" s="41" t="n"/>
      <c r="E1310" s="42" t="n">
        <v>44474.69861111111</v>
      </c>
      <c r="F1310" s="50" t="inlineStr">
        <is>
          <t>Super Carlin Brothers</t>
        </is>
      </c>
      <c r="G1310" t="inlineStr">
        <is>
          <t>Answering Google's TOP 25 Disney Princess Questions</t>
        </is>
      </c>
      <c r="H1310" s="44" t="n">
        <v>0.01001157407407407</v>
      </c>
      <c r="I1310" s="45" t="n">
        <v>113015</v>
      </c>
      <c r="J1310" s="45" t="n">
        <v>5754</v>
      </c>
      <c r="K1310" s="45" t="n">
        <v>678</v>
      </c>
      <c r="L1310" s="46" t="n"/>
      <c r="M1310" s="47" t="n"/>
      <c r="N1310" s="47" t="inlineStr">
        <is>
          <t>UCKZo4N0lVPccBkSiuyVh4yg</t>
        </is>
      </c>
      <c r="O1310" s="48" t="n">
        <v>44474.86527777778</v>
      </c>
      <c r="P1310" s="49" t="n">
        <v>44474</v>
      </c>
      <c r="Q1310" s="47" t="n">
        <v>1958</v>
      </c>
      <c r="R1310" s="47" t="inlineStr">
        <is>
          <t>No Video ID yet</t>
        </is>
      </c>
      <c r="S1310" s="49" t="n"/>
      <c r="T1310" s="49" t="n"/>
      <c r="U1310" s="47" t="inlineStr">
        <is>
          <t>Visit to get an extra 3 months for free! Today J dives into the wonderful world of Disney Princesses to answer all of Google’s TOP questions about everyone’s favorite characters! #SuperCarlinBrothers #DisneyPrincesses</t>
        </is>
      </c>
      <c r="V1310" s="47">
        <f>IF(AND(P1310&gt;=Calendar!$K$2,P1310&lt;EDATE(Calendar!$K$2,1),OR(Calendar!$K$4="*",N1310=Calendar!$K$4)),P1310*100+COUNTIFS($P$6:$P$3267,P1310,$Q$6:$Q$3267,"&lt;="&amp;Q1310,$N$6:$N$3267,Calendar!$K$4),"")</f>
        <v/>
      </c>
      <c r="W1310" s="47">
        <f>IF(AND(B1310=Queue!$C$4,OR(Queue!$K$4="*",N1310=Queue!$K$4)),Q1310,"")</f>
        <v/>
      </c>
    </row>
    <row r="1311">
      <c r="A1311" s="38">
        <f>IF(M1311="","",HYPERLINK("https://www.youtube.com/watch?v="&amp;M1311,"▶"))</f>
        <v/>
      </c>
      <c r="B1311" s="39">
        <f>IF(C1311&lt;&gt;"",C1311,IF(P1311&lt;=IFERROR(INDEX(tblChannels[Watched Through],MATCH(N1311,tblChannels[Channel ID],0)),0),"Watched","Unwatched"))</f>
        <v/>
      </c>
      <c r="C1311" s="40" t="n"/>
      <c r="D1311" s="41" t="n"/>
      <c r="E1311" s="42" t="n">
        <v>44473.41666666666</v>
      </c>
      <c r="F1311" s="52" t="inlineStr">
        <is>
          <t>Super Carlin Gaming</t>
        </is>
      </c>
      <c r="G1311" t="inlineStr">
        <is>
          <t>CELEBI'S SURPRISE |  Pokémon SoulSilver Randomizer Nuzlocke #29</t>
        </is>
      </c>
      <c r="H1311" s="44" t="n">
        <v>0.03685185185185185</v>
      </c>
      <c r="I1311" s="45" t="n">
        <v>12445</v>
      </c>
      <c r="J1311" s="45" t="n">
        <v>621</v>
      </c>
      <c r="K1311" s="45" t="n">
        <v>155</v>
      </c>
      <c r="L1311" s="46" t="n"/>
      <c r="M1311" s="47" t="n"/>
      <c r="N1311" s="47" t="inlineStr">
        <is>
          <t>UCor_9jRnNNZVzTuQ92PKsaQ</t>
        </is>
      </c>
      <c r="O1311" s="48" t="n">
        <v>44473.58333333334</v>
      </c>
      <c r="P1311" s="49" t="n">
        <v>44473</v>
      </c>
      <c r="Q1311" s="47" t="n">
        <v>1957</v>
      </c>
      <c r="R1311" s="47" t="inlineStr">
        <is>
          <t>No Video ID yet</t>
        </is>
      </c>
      <c r="S1311" s="49" t="n"/>
      <c r="T1311" s="49" t="n"/>
      <c r="U1311" s="47" t="inlineStr">
        <is>
          <t>Today J, Rutana and the team head down to Cinnabar island in search of Blaine and our 15th Gym Badge! Are we prepared for his high powered team??</t>
        </is>
      </c>
      <c r="V1311" s="47">
        <f>IF(AND(P1311&gt;=Calendar!$K$2,P1311&lt;EDATE(Calendar!$K$2,1),OR(Calendar!$K$4="*",N1311=Calendar!$K$4)),P1311*100+COUNTIFS($P$6:$P$3267,P1311,$Q$6:$Q$3267,"&lt;="&amp;Q1311,$N$6:$N$3267,Calendar!$K$4),"")</f>
        <v/>
      </c>
      <c r="W1311" s="47">
        <f>IF(AND(B1311=Queue!$C$4,OR(Queue!$K$4="*",N1311=Queue!$K$4)),Q1311,"")</f>
        <v/>
      </c>
    </row>
    <row r="1312">
      <c r="A1312" s="38">
        <f>IF(M1312="","",HYPERLINK("https://www.youtube.com/watch?v="&amp;M1312,"▶"))</f>
        <v/>
      </c>
      <c r="B1312" s="39">
        <f>IF(C1312&lt;&gt;"",C1312,IF(P1312&lt;=IFERROR(INDEX(tblChannels[Watched Through],MATCH(N1312,tblChannels[Channel ID],0)),0),"Watched","Unwatched"))</f>
        <v/>
      </c>
      <c r="C1312" s="40" t="n"/>
      <c r="D1312" s="41" t="n"/>
      <c r="E1312" s="42" t="n">
        <v>44471.51388888889</v>
      </c>
      <c r="F1312" s="50" t="inlineStr">
        <is>
          <t>Super Carlin Brothers</t>
        </is>
      </c>
      <c r="G1312" t="inlineStr">
        <is>
          <t>SCB and Fandom Forward 10k for CHARITY!</t>
        </is>
      </c>
      <c r="H1312" s="44" t="n">
        <v>0.1316666666666667</v>
      </c>
      <c r="I1312" s="45" t="n">
        <v>46414</v>
      </c>
      <c r="J1312" s="45" t="n">
        <v>644</v>
      </c>
      <c r="K1312" s="45" t="n">
        <v>31</v>
      </c>
      <c r="L1312" s="46" t="n"/>
      <c r="M1312" s="47" t="n"/>
      <c r="N1312" s="47" t="inlineStr">
        <is>
          <t>UCKZo4N0lVPccBkSiuyVh4yg</t>
        </is>
      </c>
      <c r="O1312" s="48" t="n">
        <v>44471.68055555555</v>
      </c>
      <c r="P1312" s="49" t="n">
        <v>44471</v>
      </c>
      <c r="Q1312" s="47" t="n">
        <v>1956</v>
      </c>
      <c r="R1312" s="47" t="inlineStr">
        <is>
          <t>No Video ID yet</t>
        </is>
      </c>
      <c r="S1312" s="49" t="n"/>
      <c r="T1312" s="49" t="n"/>
      <c r="U1312" s="47" t="inlineStr">
        <is>
          <t>Join us in our Charity 10k Read and Run! You can participate by moving your body 10 kilometers (6.2 miles) by Walking, Running, Biking, Hiking, Rolling, or however you move! OR move your mind for 10k by reading for 10,000 seconds (about 2 hours and 47 minutes). We'll be live during the whole event with a kickoff stream starting at 8:30am EDT (1:30pm BST). Then we'll hit the starting lines at 9am EDT (2pm BST)! Finally, we'll come back after our readers finish at 11:47am EDT (4:47 BST) and celebrate our fundraising, our fandoms, and ourselves with a special medal ceremony! Get your own medal here:</t>
        </is>
      </c>
      <c r="V1312" s="47">
        <f>IF(AND(P1312&gt;=Calendar!$K$2,P1312&lt;EDATE(Calendar!$K$2,1),OR(Calendar!$K$4="*",N1312=Calendar!$K$4)),P1312*100+COUNTIFS($P$6:$P$3267,P1312,$Q$6:$Q$3267,"&lt;="&amp;Q1312,$N$6:$N$3267,Calendar!$K$4),"")</f>
        <v/>
      </c>
      <c r="W1312" s="47">
        <f>IF(AND(B1312=Queue!$C$4,OR(Queue!$K$4="*",N1312=Queue!$K$4)),Q1312,"")</f>
        <v/>
      </c>
    </row>
    <row r="1313">
      <c r="A1313" s="38">
        <f>IF(M1313="","",HYPERLINK("https://www.youtube.com/watch?v="&amp;M1313,"▶"))</f>
        <v/>
      </c>
      <c r="B1313" s="39">
        <f>IF(C1313&lt;&gt;"",C1313,IF(P1313&lt;=IFERROR(INDEX(tblChannels[Watched Through],MATCH(N1313,tblChannels[Channel ID],0)),0),"Watched","Unwatched"))</f>
        <v/>
      </c>
      <c r="C1313" s="40" t="n"/>
      <c r="D1313" s="41" t="n"/>
      <c r="E1313" s="42" t="n">
        <v>44470.41666666666</v>
      </c>
      <c r="F1313" s="43" t="inlineStr">
        <is>
          <t>Popcorn Culture</t>
        </is>
      </c>
      <c r="G1313" t="inlineStr">
        <is>
          <t>Hot Wheels: A History | Popcorn Culture</t>
        </is>
      </c>
      <c r="H1313" s="44" t="n">
        <v>0.04813657407407407</v>
      </c>
      <c r="I1313" s="45" t="n">
        <v>10266</v>
      </c>
      <c r="J1313" s="45" t="n">
        <v>472</v>
      </c>
      <c r="K1313" s="45" t="n">
        <v>62</v>
      </c>
      <c r="L1313" s="46" t="n"/>
      <c r="M1313" s="47" t="n"/>
      <c r="N1313" s="47" t="inlineStr">
        <is>
          <t>UCHfIbq9thHPC8yrKjAdJgDA</t>
        </is>
      </c>
      <c r="O1313" s="48" t="n">
        <v>44470.58333333334</v>
      </c>
      <c r="P1313" s="49" t="n">
        <v>44470</v>
      </c>
      <c r="Q1313" s="47" t="n">
        <v>1955</v>
      </c>
      <c r="R1313" s="47" t="inlineStr">
        <is>
          <t>No Video ID yet</t>
        </is>
      </c>
      <c r="S1313" s="49" t="n"/>
      <c r="T1313" s="49" t="n"/>
      <c r="U1313" s="47" t="inlineStr">
        <is>
          <t>In the 95th episode of the POP, Ben and J discuss bean bag chairs, new Patreon quarterly merch announcements (!!), hot wheels, 6th grade history project contest, the Something Store, therapy breakthroughs, and more chatbot giggles. LoveSacs: Litographs: Sugar Caddy pic Diablo 2 Resurrected: Difference between anxiety and nerves: People pleasing: Super Carlin Chatbot: Ben’s Wick of the Peek - Creamer before coffee (Perpetual Wick of the Peek- Ted Lasso: www.Patreon.com/PopcornCulture</t>
        </is>
      </c>
      <c r="V1313" s="47">
        <f>IF(AND(P1313&gt;=Calendar!$K$2,P1313&lt;EDATE(Calendar!$K$2,1),OR(Calendar!$K$4="*",N1313=Calendar!$K$4)),P1313*100+COUNTIFS($P$6:$P$3267,P1313,$Q$6:$Q$3267,"&lt;="&amp;Q1313,$N$6:$N$3267,Calendar!$K$4),"")</f>
        <v/>
      </c>
      <c r="W1313" s="47">
        <f>IF(AND(B1313=Queue!$C$4,OR(Queue!$K$4="*",N1313=Queue!$K$4)),Q1313,"")</f>
        <v/>
      </c>
    </row>
    <row r="1314">
      <c r="A1314" s="38">
        <f>IF(M1314="","",HYPERLINK("https://www.youtube.com/watch?v="&amp;M1314,"▶"))</f>
        <v/>
      </c>
      <c r="B1314" s="39">
        <f>IF(C1314&lt;&gt;"",C1314,IF(P1314&lt;=IFERROR(INDEX(tblChannels[Watched Through],MATCH(N1314,tblChannels[Channel ID],0)),0),"Watched","Unwatched"))</f>
        <v/>
      </c>
      <c r="C1314" s="40" t="n"/>
      <c r="D1314" s="41" t="n"/>
      <c r="E1314" s="42" t="n">
        <v>44469.70763888889</v>
      </c>
      <c r="F1314" s="50" t="inlineStr">
        <is>
          <t>Super Carlin Brothers</t>
        </is>
      </c>
      <c r="G1314" t="inlineStr">
        <is>
          <t>J vs Ben: Can We SPELL Harry Potter Spells?</t>
        </is>
      </c>
      <c r="H1314" s="44" t="n">
        <v>0.01855324074074074</v>
      </c>
      <c r="I1314" s="45" t="n">
        <v>176335</v>
      </c>
      <c r="J1314" s="45" t="n">
        <v>7386</v>
      </c>
      <c r="K1314" s="45" t="n">
        <v>865</v>
      </c>
      <c r="L1314" s="46" t="n"/>
      <c r="M1314" s="47" t="n"/>
      <c r="N1314" s="47" t="inlineStr">
        <is>
          <t>UCKZo4N0lVPccBkSiuyVh4yg</t>
        </is>
      </c>
      <c r="O1314" s="48" t="n">
        <v>44469.87430555555</v>
      </c>
      <c r="P1314" s="49" t="n">
        <v>44469</v>
      </c>
      <c r="Q1314" s="47" t="n">
        <v>1954</v>
      </c>
      <c r="R1314" s="47" t="inlineStr">
        <is>
          <t>No Video ID yet</t>
        </is>
      </c>
      <c r="S1314" s="49" t="n"/>
      <c r="T1314" s="49" t="n"/>
      <c r="U1314" s="47" t="inlineStr">
        <is>
          <t>Head on over to to get an extra 3 months FREE! Get 25% off and zero delivery fees on their first order of $15 or more, when you download the DoorDash app and enter code JVSB2021. Today J and Ben face off once more in their first ever Harry Potter SPELL-ing Bee to determine who can spell more Harry Potter Spell correctly! #SuperCarlinBrothers #HarryPotter #JvsBen</t>
        </is>
      </c>
      <c r="V1314" s="47">
        <f>IF(AND(P1314&gt;=Calendar!$K$2,P1314&lt;EDATE(Calendar!$K$2,1),OR(Calendar!$K$4="*",N1314=Calendar!$K$4)),P1314*100+COUNTIFS($P$6:$P$3267,P1314,$Q$6:$Q$3267,"&lt;="&amp;Q1314,$N$6:$N$3267,Calendar!$K$4),"")</f>
        <v/>
      </c>
      <c r="W1314" s="47">
        <f>IF(AND(B1314=Queue!$C$4,OR(Queue!$K$4="*",N1314=Queue!$K$4)),Q1314,"")</f>
        <v/>
      </c>
    </row>
    <row r="1315">
      <c r="A1315" s="38">
        <f>IF(M1315="","",HYPERLINK("https://www.youtube.com/watch?v="&amp;M1315,"▶"))</f>
        <v/>
      </c>
      <c r="B1315" s="39">
        <f>IF(C1315&lt;&gt;"",C1315,IF(P1315&lt;=IFERROR(INDEX(tblChannels[Watched Through],MATCH(N1315,tblChannels[Channel ID],0)),0),"Watched","Unwatched"))</f>
        <v/>
      </c>
      <c r="C1315" s="40" t="n"/>
      <c r="D1315" s="41" t="n"/>
      <c r="E1315" s="42" t="n">
        <v>44468.41666666666</v>
      </c>
      <c r="F1315" s="52" t="inlineStr">
        <is>
          <t>Super Carlin Gaming</t>
        </is>
      </c>
      <c r="G1315" t="inlineStr">
        <is>
          <t>CELERY'S SURPRISE |  Pokémon SoulSilver Randomizer Nuzlocke #28</t>
        </is>
      </c>
      <c r="H1315" s="44" t="n">
        <v>0.02862268518518519</v>
      </c>
      <c r="I1315" s="45" t="n">
        <v>11535</v>
      </c>
      <c r="J1315" s="45" t="n">
        <v>654</v>
      </c>
      <c r="K1315" s="45" t="n">
        <v>200</v>
      </c>
      <c r="L1315" s="46" t="n"/>
      <c r="M1315" s="47" t="n"/>
      <c r="N1315" s="47" t="inlineStr">
        <is>
          <t>UCor_9jRnNNZVzTuQ92PKsaQ</t>
        </is>
      </c>
      <c r="O1315" s="48" t="n">
        <v>44468.58333333334</v>
      </c>
      <c r="P1315" s="49" t="n">
        <v>44468</v>
      </c>
      <c r="Q1315" s="47" t="n">
        <v>1953</v>
      </c>
      <c r="R1315" s="47" t="inlineStr">
        <is>
          <t>No Video ID yet</t>
        </is>
      </c>
      <c r="S1315" s="49" t="n"/>
      <c r="T1315" s="49" t="n"/>
      <c r="U1315" s="47" t="inlineStr">
        <is>
          <t>Today J, Rutana and the team head towards Mt. Moon in search or new friends.. but instead find nothing but an old smelly enemy: CELERY! Is the team prepared for his SNEAK ATTACK?? #Pokemon #Nuzlocke Edited by: Riley Murtagh</t>
        </is>
      </c>
      <c r="V1315" s="47">
        <f>IF(AND(P1315&gt;=Calendar!$K$2,P1315&lt;EDATE(Calendar!$K$2,1),OR(Calendar!$K$4="*",N1315=Calendar!$K$4)),P1315*100+COUNTIFS($P$6:$P$3267,P1315,$Q$6:$Q$3267,"&lt;="&amp;Q1315,$N$6:$N$3267,Calendar!$K$4),"")</f>
        <v/>
      </c>
      <c r="W1315" s="47">
        <f>IF(AND(B1315=Queue!$C$4,OR(Queue!$K$4="*",N1315=Queue!$K$4)),Q1315,"")</f>
        <v/>
      </c>
    </row>
    <row r="1316">
      <c r="A1316" s="38">
        <f>IF(M1316="","",HYPERLINK("https://www.youtube.com/watch?v="&amp;M1316,"▶"))</f>
        <v/>
      </c>
      <c r="B1316" s="39">
        <f>IF(C1316&lt;&gt;"",C1316,IF(P1316&lt;=IFERROR(INDEX(tblChannels[Watched Through],MATCH(N1316,tblChannels[Channel ID],0)),0),"Watched","Unwatched"))</f>
        <v/>
      </c>
      <c r="C1316" s="40" t="n"/>
      <c r="D1316" s="41" t="n"/>
      <c r="E1316" s="42" t="n">
        <v>44467.7125</v>
      </c>
      <c r="F1316" s="50" t="inlineStr">
        <is>
          <t>Super Carlin Brothers</t>
        </is>
      </c>
      <c r="G1316" t="inlineStr">
        <is>
          <t>Why Umbridge Is The WORST Kind of EVIL | Harry Potter Film Theory</t>
        </is>
      </c>
      <c r="H1316" s="44" t="n">
        <v>0.01228009259259259</v>
      </c>
      <c r="I1316" s="45" t="n">
        <v>643006</v>
      </c>
      <c r="J1316" s="45" t="n">
        <v>22681</v>
      </c>
      <c r="K1316" s="45" t="n">
        <v>4544</v>
      </c>
      <c r="L1316" s="46" t="n"/>
      <c r="M1316" s="47" t="n"/>
      <c r="N1316" s="47" t="inlineStr">
        <is>
          <t>UCKZo4N0lVPccBkSiuyVh4yg</t>
        </is>
      </c>
      <c r="O1316" s="48" t="n">
        <v>44467.87916666667</v>
      </c>
      <c r="P1316" s="49" t="n">
        <v>44467</v>
      </c>
      <c r="Q1316" s="47" t="n">
        <v>1952</v>
      </c>
      <c r="R1316" s="47" t="inlineStr">
        <is>
          <t>No Video ID yet</t>
        </is>
      </c>
      <c r="S1316" s="49" t="n"/>
      <c r="T1316" s="49" t="n"/>
      <c r="U1316" s="47" t="inlineStr">
        <is>
          <t>Go to and use code SCB to save $75 on your starter kit! Today J dives into the Wizarding World of Harry Potter to sort the characters into the 9 moral alignments popularized by Dungeons and Dragons! Who’s Chaotic Neutral? Who is Lawful Good? Find out today!</t>
        </is>
      </c>
      <c r="V1316" s="47">
        <f>IF(AND(P1316&gt;=Calendar!$K$2,P1316&lt;EDATE(Calendar!$K$2,1),OR(Calendar!$K$4="*",N1316=Calendar!$K$4)),P1316*100+COUNTIFS($P$6:$P$3267,P1316,$Q$6:$Q$3267,"&lt;="&amp;Q1316,$N$6:$N$3267,Calendar!$K$4),"")</f>
        <v/>
      </c>
      <c r="W1316" s="47">
        <f>IF(AND(B1316=Queue!$C$4,OR(Queue!$K$4="*",N1316=Queue!$K$4)),Q1316,"")</f>
        <v/>
      </c>
    </row>
    <row r="1317">
      <c r="A1317" s="38">
        <f>IF(M1317="","",HYPERLINK("https://www.youtube.com/watch?v="&amp;M1317,"▶"))</f>
        <v/>
      </c>
      <c r="B1317" s="39">
        <f>IF(C1317&lt;&gt;"",C1317,IF(P1317&lt;=IFERROR(INDEX(tblChannels[Watched Through],MATCH(N1317,tblChannels[Channel ID],0)),0),"Watched","Unwatched"))</f>
        <v/>
      </c>
      <c r="C1317" s="40" t="n"/>
      <c r="D1317" s="41" t="n"/>
      <c r="E1317" s="42" t="n">
        <v>44466.41666666666</v>
      </c>
      <c r="F1317" s="52" t="inlineStr">
        <is>
          <t>Super Carlin Gaming</t>
        </is>
      </c>
      <c r="G1317" t="inlineStr">
        <is>
          <t>BROCK AND MISTY |  Pokémon SoulSilver Randomizer Nuzlocke #27</t>
        </is>
      </c>
      <c r="H1317" s="44" t="n">
        <v>0.04034722222222222</v>
      </c>
      <c r="I1317" s="45" t="n">
        <v>13646</v>
      </c>
      <c r="J1317" s="45" t="n">
        <v>667</v>
      </c>
      <c r="K1317" s="45" t="n">
        <v>227</v>
      </c>
      <c r="L1317" s="46" t="n"/>
      <c r="M1317" s="47" t="n"/>
      <c r="N1317" s="47" t="inlineStr">
        <is>
          <t>UCor_9jRnNNZVzTuQ92PKsaQ</t>
        </is>
      </c>
      <c r="O1317" s="48" t="n">
        <v>44466.58333333334</v>
      </c>
      <c r="P1317" s="49" t="n">
        <v>44466</v>
      </c>
      <c r="Q1317" s="47" t="n">
        <v>1951</v>
      </c>
      <c r="R1317" s="47" t="inlineStr">
        <is>
          <t>No Video ID yet</t>
        </is>
      </c>
      <c r="S1317" s="49" t="n"/>
      <c r="T1317" s="49" t="n"/>
      <c r="U1317" s="47" t="inlineStr">
        <is>
          <t>Today J, Rutana and the team take on Kanto's most famous Gym Leaders Brock and Misty.. can they survive the legends teams?? #Pokemon #Nuzlocke</t>
        </is>
      </c>
      <c r="V1317" s="47">
        <f>IF(AND(P1317&gt;=Calendar!$K$2,P1317&lt;EDATE(Calendar!$K$2,1),OR(Calendar!$K$4="*",N1317=Calendar!$K$4)),P1317*100+COUNTIFS($P$6:$P$3267,P1317,$Q$6:$Q$3267,"&lt;="&amp;Q1317,$N$6:$N$3267,Calendar!$K$4),"")</f>
        <v/>
      </c>
      <c r="W1317" s="47">
        <f>IF(AND(B1317=Queue!$C$4,OR(Queue!$K$4="*",N1317=Queue!$K$4)),Q1317,"")</f>
        <v/>
      </c>
    </row>
    <row r="1318">
      <c r="A1318" s="38">
        <f>IF(M1318="","",HYPERLINK("https://www.youtube.com/watch?v="&amp;M1318,"▶"))</f>
        <v/>
      </c>
      <c r="B1318" s="39">
        <f>IF(C1318&lt;&gt;"",C1318,IF(P1318&lt;=IFERROR(INDEX(tblChannels[Watched Through],MATCH(N1318,tblChannels[Channel ID],0)),0),"Watched","Unwatched"))</f>
        <v/>
      </c>
      <c r="C1318" s="40" t="n"/>
      <c r="D1318" s="41" t="n"/>
      <c r="E1318" s="42" t="n">
        <v>44463.84236111111</v>
      </c>
      <c r="F1318" s="50" t="inlineStr">
        <is>
          <t>Super Carlin Brothers</t>
        </is>
      </c>
      <c r="G1318" t="inlineStr">
        <is>
          <t>ALL FANDOMS Trivia Night and Coffee Product Reveal LIVE STREAM!</t>
        </is>
      </c>
      <c r="H1318" s="44" t="n">
        <v>0.08123842592592592</v>
      </c>
      <c r="I1318" s="45" t="n">
        <v>42175</v>
      </c>
      <c r="J1318" s="45" t="n">
        <v>1326</v>
      </c>
      <c r="K1318" s="45" t="n">
        <v>60</v>
      </c>
      <c r="L1318" s="46" t="n"/>
      <c r="M1318" s="47" t="n"/>
      <c r="N1318" s="47" t="inlineStr">
        <is>
          <t>UCKZo4N0lVPccBkSiuyVh4yg</t>
        </is>
      </c>
      <c r="O1318" s="48" t="n">
        <v>44464.00902777778</v>
      </c>
      <c r="P1318" s="49" t="n">
        <v>44463</v>
      </c>
      <c r="Q1318" s="47" t="n">
        <v>1950</v>
      </c>
      <c r="R1318" s="47" t="inlineStr">
        <is>
          <t>No Video ID yet</t>
        </is>
      </c>
      <c r="S1318" s="49" t="n"/>
      <c r="T1318" s="49" t="n"/>
      <c r="U1318" s="47" t="inlineStr">
        <is>
          <t>DO YOU HAVE WHAT IT TAKES TO BECOME THE CHAMPION OF ALL SIX FANDOMS?! - Test your knowledge of Disney, Pixar, Marvel, Star Wars, Harry Potter and Avatar: The Last Airbender! And check out some BRAND NEW products we're launching at carlinbrotherscoffee.com! Winners and Top Five email: secretcarlinbrothers@gmail.com with a screenshot of your winning score! HOW TO PLAY Kahoot with the Carlins! 1. Download the Kahoot app to your mobile device, or go to Kahoot.it to join the game! If the app is already installed on your device we recommend making sure it is up to date before the game starts!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t>
        </is>
      </c>
      <c r="V1318" s="47">
        <f>IF(AND(P1318&gt;=Calendar!$K$2,P1318&lt;EDATE(Calendar!$K$2,1),OR(Calendar!$K$4="*",N1318=Calendar!$K$4)),P1318*100+COUNTIFS($P$6:$P$3267,P1318,$Q$6:$Q$3267,"&lt;="&amp;Q1318,$N$6:$N$3267,Calendar!$K$4),"")</f>
        <v/>
      </c>
      <c r="W1318" s="47">
        <f>IF(AND(B1318=Queue!$C$4,OR(Queue!$K$4="*",N1318=Queue!$K$4)),Q1318,"")</f>
        <v/>
      </c>
    </row>
    <row r="1319">
      <c r="A1319" s="38">
        <f>IF(M1319="","",HYPERLINK("https://www.youtube.com/watch?v="&amp;M1319,"▶"))</f>
        <v/>
      </c>
      <c r="B1319" s="39">
        <f>IF(C1319&lt;&gt;"",C1319,IF(P1319&lt;=IFERROR(INDEX(tblChannels[Watched Through],MATCH(N1319,tblChannels[Channel ID],0)),0),"Watched","Unwatched"))</f>
        <v/>
      </c>
      <c r="C1319" s="40" t="n"/>
      <c r="D1319" s="41" t="n"/>
      <c r="E1319" s="42" t="n">
        <v>44463.41666666666</v>
      </c>
      <c r="F1319" s="43" t="inlineStr">
        <is>
          <t>Popcorn Culture</t>
        </is>
      </c>
      <c r="G1319" t="inlineStr">
        <is>
          <t>50 First Dates of Frozen | Popcorn Culture</t>
        </is>
      </c>
      <c r="H1319" s="44" t="n">
        <v>0.04846064814814815</v>
      </c>
      <c r="I1319" s="45" t="n">
        <v>11460</v>
      </c>
      <c r="J1319" s="45" t="n">
        <v>535</v>
      </c>
      <c r="K1319" s="45" t="n">
        <v>68</v>
      </c>
      <c r="L1319" s="46" t="n"/>
      <c r="M1319" s="47" t="n"/>
      <c r="N1319" s="47" t="inlineStr">
        <is>
          <t>UCHfIbq9thHPC8yrKjAdJgDA</t>
        </is>
      </c>
      <c r="O1319" s="48" t="n">
        <v>44463.58333333334</v>
      </c>
      <c r="P1319" s="49" t="n">
        <v>44463</v>
      </c>
      <c r="Q1319" s="47" t="n">
        <v>1949</v>
      </c>
      <c r="R1319" s="47" t="inlineStr">
        <is>
          <t>No Video ID yet</t>
        </is>
      </c>
      <c r="S1319" s="49" t="n"/>
      <c r="T1319" s="49" t="n"/>
      <c r="U1319" s="47" t="inlineStr">
        <is>
          <t>In the 94th episode of the Pop, Ben and J discuss van life escapism, first breakups, Beard episode of Ted Lasso, comfort movies, flying in a Tie Fighter, get-shuffle chat bot, update on Facebook events button and texting habits. Vandwelling wiki: Ben’s favorite movie trailer playlist: Check out this awesome chatbot!!! (Literally sooooo funny! Screenshot the answers and share them to us with #popcornculture on instagram or twitter, or email them to us) SmarterChild wiki: SmarterChild example pic: J’s Wick of the Peek - Project Hail Mary by Andy Weir: (Perpetual Wick of the Peek- Ted Lasso: Get your Popcast Bingo Card:</t>
        </is>
      </c>
      <c r="V1319" s="47">
        <f>IF(AND(P1319&gt;=Calendar!$K$2,P1319&lt;EDATE(Calendar!$K$2,1),OR(Calendar!$K$4="*",N1319=Calendar!$K$4)),P1319*100+COUNTIFS($P$6:$P$3267,P1319,$Q$6:$Q$3267,"&lt;="&amp;Q1319,$N$6:$N$3267,Calendar!$K$4),"")</f>
        <v/>
      </c>
      <c r="W1319" s="47">
        <f>IF(AND(B1319=Queue!$C$4,OR(Queue!$K$4="*",N1319=Queue!$K$4)),Q1319,"")</f>
        <v/>
      </c>
    </row>
    <row r="1320">
      <c r="A1320" s="38">
        <f>IF(M1320="","",HYPERLINK("https://www.youtube.com/watch?v="&amp;M1320,"▶"))</f>
        <v/>
      </c>
      <c r="B1320" s="39">
        <f>IF(C1320&lt;&gt;"",C1320,IF(P1320&lt;=IFERROR(INDEX(tblChannels[Watched Through],MATCH(N1320,tblChannels[Channel ID],0)),0),"Watched","Unwatched"))</f>
        <v/>
      </c>
      <c r="C1320" s="40" t="n"/>
      <c r="D1320" s="41" t="n"/>
      <c r="E1320" s="42" t="n">
        <v>44462.66875</v>
      </c>
      <c r="F1320" s="50" t="inlineStr">
        <is>
          <t>Super Carlin Brothers</t>
        </is>
      </c>
      <c r="G1320" t="inlineStr">
        <is>
          <t>"The Secrets of Dumbledore" Title Explained | Harry Potter Theory</t>
        </is>
      </c>
      <c r="H1320" s="44" t="n">
        <v>0.01009259259259259</v>
      </c>
      <c r="I1320" s="45" t="n">
        <v>267643</v>
      </c>
      <c r="J1320" s="45" t="n">
        <v>12234</v>
      </c>
      <c r="K1320" s="45" t="n">
        <v>1229</v>
      </c>
      <c r="L1320" s="46" t="n"/>
      <c r="M1320" s="47" t="n"/>
      <c r="N1320" s="47" t="inlineStr">
        <is>
          <t>UCKZo4N0lVPccBkSiuyVh4yg</t>
        </is>
      </c>
      <c r="O1320" s="48" t="n">
        <v>44462.83541666667</v>
      </c>
      <c r="P1320" s="49" t="n">
        <v>44462</v>
      </c>
      <c r="Q1320" s="47" t="n">
        <v>1948</v>
      </c>
      <c r="R1320" s="47" t="inlineStr">
        <is>
          <t>No Video ID yet</t>
        </is>
      </c>
      <c r="S1320" s="49" t="n"/>
      <c r="T1320" s="49" t="n"/>
      <c r="U1320" s="47" t="inlineStr">
        <is>
          <t>Head on over to to for 10% off! Today Ben dives into the Wizarding World of Harry Potter to discuss the newly revealed title of the next Fantastic Beasts movie: The Secrets of Dumbledore!</t>
        </is>
      </c>
      <c r="V1320" s="47">
        <f>IF(AND(P1320&gt;=Calendar!$K$2,P1320&lt;EDATE(Calendar!$K$2,1),OR(Calendar!$K$4="*",N1320=Calendar!$K$4)),P1320*100+COUNTIFS($P$6:$P$3267,P1320,$Q$6:$Q$3267,"&lt;="&amp;Q1320,$N$6:$N$3267,Calendar!$K$4),"")</f>
        <v/>
      </c>
      <c r="W1320" s="47">
        <f>IF(AND(B1320=Queue!$C$4,OR(Queue!$K$4="*",N1320=Queue!$K$4)),Q1320,"")</f>
        <v/>
      </c>
    </row>
    <row r="1321">
      <c r="A1321" s="38">
        <f>IF(M1321="","",HYPERLINK("https://www.youtube.com/watch?v="&amp;M1321,"▶"))</f>
        <v/>
      </c>
      <c r="B1321" s="39">
        <f>IF(C1321&lt;&gt;"",C1321,IF(P1321&lt;=IFERROR(INDEX(tblChannels[Watched Through],MATCH(N1321,tblChannels[Channel ID],0)),0),"Watched","Unwatched"))</f>
        <v/>
      </c>
      <c r="C1321" s="40" t="n"/>
      <c r="D1321" s="41" t="n"/>
      <c r="E1321" s="42" t="n">
        <v>44461.41666666666</v>
      </c>
      <c r="F1321" s="52" t="inlineStr">
        <is>
          <t>Super Carlin Gaming</t>
        </is>
      </c>
      <c r="G1321" t="inlineStr">
        <is>
          <t>ICE. ICE. BABY. |  Pokémon SoulSilver Randomizer Nuzlocke #26</t>
        </is>
      </c>
      <c r="H1321" s="44" t="n">
        <v>0.02555555555555556</v>
      </c>
      <c r="I1321" s="45" t="n">
        <v>12592</v>
      </c>
      <c r="J1321" s="45" t="n">
        <v>695</v>
      </c>
      <c r="K1321" s="45" t="n">
        <v>96</v>
      </c>
      <c r="L1321" s="46" t="n"/>
      <c r="M1321" s="47" t="n"/>
      <c r="N1321" s="47" t="inlineStr">
        <is>
          <t>UCor_9jRnNNZVzTuQ92PKsaQ</t>
        </is>
      </c>
      <c r="O1321" s="48" t="n">
        <v>44461.58333333334</v>
      </c>
      <c r="P1321" s="49" t="n">
        <v>44461</v>
      </c>
      <c r="Q1321" s="47" t="n">
        <v>1947</v>
      </c>
      <c r="R1321" s="47" t="inlineStr">
        <is>
          <t>No Video ID yet</t>
        </is>
      </c>
      <c r="S1321" s="49" t="n"/>
      <c r="T1321" s="49" t="n"/>
      <c r="U1321" s="47" t="inlineStr">
        <is>
          <t>Today J, Rutana, Ice and the team try to catch lots of new friends and fix the Power Plant! You know.. a regular job for a 10 year old. Also Ice uses his literal canon for an arm... A LOT.</t>
        </is>
      </c>
      <c r="V1321" s="47">
        <f>IF(AND(P1321&gt;=Calendar!$K$2,P1321&lt;EDATE(Calendar!$K$2,1),OR(Calendar!$K$4="*",N1321=Calendar!$K$4)),P1321*100+COUNTIFS($P$6:$P$3267,P1321,$Q$6:$Q$3267,"&lt;="&amp;Q1321,$N$6:$N$3267,Calendar!$K$4),"")</f>
        <v/>
      </c>
      <c r="W1321" s="47">
        <f>IF(AND(B1321=Queue!$C$4,OR(Queue!$K$4="*",N1321=Queue!$K$4)),Q1321,"")</f>
        <v/>
      </c>
    </row>
    <row r="1322">
      <c r="A1322" s="38">
        <f>IF(M1322="","",HYPERLINK("https://www.youtube.com/watch?v="&amp;M1322,"▶"))</f>
        <v/>
      </c>
      <c r="B1322" s="39">
        <f>IF(C1322&lt;&gt;"",C1322,IF(P1322&lt;=IFERROR(INDEX(tblChannels[Watched Through],MATCH(N1322,tblChannels[Channel ID],0)),0),"Watched","Unwatched"))</f>
        <v/>
      </c>
      <c r="C1322" s="40" t="n"/>
      <c r="D1322" s="41" t="n"/>
      <c r="E1322" s="42" t="n">
        <v>44460.70694444444</v>
      </c>
      <c r="F1322" s="50" t="inlineStr">
        <is>
          <t>Super Carlin Brothers</t>
        </is>
      </c>
      <c r="G1322" t="inlineStr">
        <is>
          <t>The THUNDERBOLTS Are Coming! | Marvel Film Theory</t>
        </is>
      </c>
      <c r="H1322" s="44" t="n">
        <v>0.01140046296296296</v>
      </c>
      <c r="I1322" s="45" t="n">
        <v>156616</v>
      </c>
      <c r="J1322" s="45" t="n">
        <v>8083</v>
      </c>
      <c r="K1322" s="45" t="n">
        <v>875</v>
      </c>
      <c r="L1322" s="46" t="n"/>
      <c r="M1322" s="47" t="n"/>
      <c r="N1322" s="47" t="inlineStr">
        <is>
          <t>UCKZo4N0lVPccBkSiuyVh4yg</t>
        </is>
      </c>
      <c r="O1322" s="48" t="n">
        <v>44460.87361111111</v>
      </c>
      <c r="P1322" s="49" t="n">
        <v>44460</v>
      </c>
      <c r="Q1322" s="47" t="n">
        <v>1946</v>
      </c>
      <c r="R1322" s="47" t="inlineStr">
        <is>
          <t>No Video ID yet</t>
        </is>
      </c>
      <c r="S1322" s="49" t="n"/>
      <c r="T1322" s="49" t="n"/>
      <c r="U1322" s="47" t="inlineStr">
        <is>
          <t>Go to to get 15% off your first order plus free shipping! Today J dives into the Marvel Cinematic Universe to try and predict what Val’s big plan is - is she assembling the THUNDERBOLTS and if so who are the potential members?? #SuperCarlinBrothers #Marvel #Thunderbolts</t>
        </is>
      </c>
      <c r="V1322" s="47">
        <f>IF(AND(P1322&gt;=Calendar!$K$2,P1322&lt;EDATE(Calendar!$K$2,1),OR(Calendar!$K$4="*",N1322=Calendar!$K$4)),P1322*100+COUNTIFS($P$6:$P$3267,P1322,$Q$6:$Q$3267,"&lt;="&amp;Q1322,$N$6:$N$3267,Calendar!$K$4),"")</f>
        <v/>
      </c>
      <c r="W1322" s="47">
        <f>IF(AND(B1322=Queue!$C$4,OR(Queue!$K$4="*",N1322=Queue!$K$4)),Q1322,"")</f>
        <v/>
      </c>
    </row>
    <row r="1323">
      <c r="A1323" s="38">
        <f>IF(M1323="","",HYPERLINK("https://www.youtube.com/watch?v="&amp;M1323,"▶"))</f>
        <v/>
      </c>
      <c r="B1323" s="39">
        <f>IF(C1323&lt;&gt;"",C1323,IF(P1323&lt;=IFERROR(INDEX(tblChannels[Watched Through],MATCH(N1323,tblChannels[Channel ID],0)),0),"Watched","Unwatched"))</f>
        <v/>
      </c>
      <c r="C1323" s="40" t="n"/>
      <c r="D1323" s="41" t="n"/>
      <c r="E1323" s="42" t="n">
        <v>44459.41666666666</v>
      </c>
      <c r="F1323" s="52" t="inlineStr">
        <is>
          <t>Super Carlin Gaming</t>
        </is>
      </c>
      <c r="G1323" t="inlineStr">
        <is>
          <t>THE BUG'S LIFE |  Pokémon SoulSilver Randomizer Nuzlocke #25</t>
        </is>
      </c>
      <c r="H1323" s="44" t="n">
        <v>0.0319675925925926</v>
      </c>
      <c r="I1323" s="45" t="n">
        <v>14262</v>
      </c>
      <c r="J1323" s="45" t="n">
        <v>741</v>
      </c>
      <c r="K1323" s="45" t="n">
        <v>158</v>
      </c>
      <c r="L1323" s="46" t="n"/>
      <c r="M1323" s="47" t="n"/>
      <c r="N1323" s="47" t="inlineStr">
        <is>
          <t>UCor_9jRnNNZVzTuQ92PKsaQ</t>
        </is>
      </c>
      <c r="O1323" s="48" t="n">
        <v>44459.58333333334</v>
      </c>
      <c r="P1323" s="49" t="n">
        <v>44459</v>
      </c>
      <c r="Q1323" s="47" t="n">
        <v>1945</v>
      </c>
      <c r="R1323" s="47" t="inlineStr">
        <is>
          <t>No Video ID yet</t>
        </is>
      </c>
      <c r="S1323" s="49" t="n"/>
      <c r="T1323" s="49" t="n"/>
      <c r="U1323" s="47" t="inlineStr">
        <is>
          <t>Today J, Rutana and the team face off against Janine for their 4th Kanto Gym Badge! Can they navigate her invisible walls and walk away safe?!?!</t>
        </is>
      </c>
      <c r="V1323" s="47">
        <f>IF(AND(P1323&gt;=Calendar!$K$2,P1323&lt;EDATE(Calendar!$K$2,1),OR(Calendar!$K$4="*",N1323=Calendar!$K$4)),P1323*100+COUNTIFS($P$6:$P$3267,P1323,$Q$6:$Q$3267,"&lt;="&amp;Q1323,$N$6:$N$3267,Calendar!$K$4),"")</f>
        <v/>
      </c>
      <c r="W1323" s="47">
        <f>IF(AND(B1323=Queue!$C$4,OR(Queue!$K$4="*",N1323=Queue!$K$4)),Q1323,"")</f>
        <v/>
      </c>
    </row>
    <row r="1324">
      <c r="A1324" s="38">
        <f>IF(M1324="","",HYPERLINK("https://www.youtube.com/watch?v="&amp;M1324,"▶"))</f>
        <v/>
      </c>
      <c r="B1324" s="39">
        <f>IF(C1324&lt;&gt;"",C1324,IF(P1324&lt;=IFERROR(INDEX(tblChannels[Watched Through],MATCH(N1324,tblChannels[Channel ID],0)),0),"Watched","Unwatched"))</f>
        <v/>
      </c>
      <c r="C1324" s="40" t="n"/>
      <c r="D1324" s="41" t="n"/>
      <c r="E1324" s="42" t="n">
        <v>44456.41666666666</v>
      </c>
      <c r="F1324" s="43" t="inlineStr">
        <is>
          <t>Popcorn Culture</t>
        </is>
      </c>
      <c r="G1324" t="inlineStr">
        <is>
          <t>How to Win at Tic-Tac-Toe | Popcorn Culture</t>
        </is>
      </c>
      <c r="H1324" s="44" t="n">
        <v>0.05668981481481482</v>
      </c>
      <c r="I1324" s="45" t="n">
        <v>14599</v>
      </c>
      <c r="J1324" s="45" t="n">
        <v>668</v>
      </c>
      <c r="K1324" s="45" t="n">
        <v>99</v>
      </c>
      <c r="L1324" s="46" t="n"/>
      <c r="M1324" s="47" t="n"/>
      <c r="N1324" s="47" t="inlineStr">
        <is>
          <t>UCHfIbq9thHPC8yrKjAdJgDA</t>
        </is>
      </c>
      <c r="O1324" s="48" t="n">
        <v>44456.58333333334</v>
      </c>
      <c r="P1324" s="49" t="n">
        <v>44456</v>
      </c>
      <c r="Q1324" s="47" t="n">
        <v>1944</v>
      </c>
      <c r="R1324" s="47" t="inlineStr">
        <is>
          <t>No Video ID yet</t>
        </is>
      </c>
      <c r="S1324" s="49" t="n"/>
      <c r="T1324" s="49" t="n"/>
      <c r="U1324" s="47" t="inlineStr">
        <is>
          <t>In the 93rd Episode of the Pop, Ben and J discuss: couponing (sort of), social media frustrations, macarons vs. macaroons, simple game strategies, Solo Stoves basically being dryer drums, return of football, and meanings behind greetings. Article on Social Media Addiction: The Social Dilemma trailer: Tic-Tak-KO Unicorns vs. Dragons: Carlin Brother’s Candles: Ben’s Wick of the Peek - Solo Stove: J’s Wick of the Peek - Nine Perfect Strangers: (Perpetual Wick of the Peek- Ted Lasso:</t>
        </is>
      </c>
      <c r="V1324" s="47">
        <f>IF(AND(P1324&gt;=Calendar!$K$2,P1324&lt;EDATE(Calendar!$K$2,1),OR(Calendar!$K$4="*",N1324=Calendar!$K$4)),P1324*100+COUNTIFS($P$6:$P$3267,P1324,$Q$6:$Q$3267,"&lt;="&amp;Q1324,$N$6:$N$3267,Calendar!$K$4),"")</f>
        <v/>
      </c>
      <c r="W1324" s="47">
        <f>IF(AND(B1324=Queue!$C$4,OR(Queue!$K$4="*",N1324=Queue!$K$4)),Q1324,"")</f>
        <v/>
      </c>
    </row>
    <row r="1325">
      <c r="A1325" s="38">
        <f>IF(M1325="","",HYPERLINK("https://www.youtube.com/watch?v="&amp;M1325,"▶"))</f>
        <v/>
      </c>
      <c r="B1325" s="39">
        <f>IF(C1325&lt;&gt;"",C1325,IF(P1325&lt;=IFERROR(INDEX(tblChannels[Watched Through],MATCH(N1325,tblChannels[Channel ID],0)),0),"Watched","Unwatched"))</f>
        <v/>
      </c>
      <c r="C1325" s="40" t="n"/>
      <c r="D1325" s="41" t="n"/>
      <c r="E1325" s="42" t="n">
        <v>44455.70416666667</v>
      </c>
      <c r="F1325" s="50" t="inlineStr">
        <is>
          <t>Super Carlin Brothers</t>
        </is>
      </c>
      <c r="G1325" t="inlineStr">
        <is>
          <t>J vs Ben: IMPOSSIBLE Marvel “Who Said It?” GAME</t>
        </is>
      </c>
      <c r="H1325" s="44" t="n">
        <v>0.01979166666666667</v>
      </c>
      <c r="I1325" s="45" t="n">
        <v>200007</v>
      </c>
      <c r="J1325" s="45" t="n">
        <v>8595</v>
      </c>
      <c r="K1325" s="45" t="n">
        <v>700</v>
      </c>
      <c r="L1325" s="46" t="n"/>
      <c r="M1325" s="47" t="n"/>
      <c r="N1325" s="47" t="inlineStr">
        <is>
          <t>UCKZo4N0lVPccBkSiuyVh4yg</t>
        </is>
      </c>
      <c r="O1325" s="48" t="n">
        <v>44455.87083333333</v>
      </c>
      <c r="P1325" s="49" t="n">
        <v>44455</v>
      </c>
      <c r="Q1325" s="47" t="n">
        <v>1943</v>
      </c>
      <c r="R1325" s="47" t="inlineStr">
        <is>
          <t>No Video ID yet</t>
        </is>
      </c>
      <c r="S1325" s="49" t="n"/>
      <c r="T1325" s="49" t="n"/>
      <c r="U1325" s="47" t="inlineStr">
        <is>
          <t>Head on over to and use code ‘SUPER’ to get 20% off your first box. Visit to get Honey for FREE! Today J and Ben face off once more to see who can remember which iconic Marvel characters said which Iconic lines in their first ever Marvel “Who Said It?” Game! #Marvel #JvsBen #SuperCarlinBrothers</t>
        </is>
      </c>
      <c r="V1325" s="47">
        <f>IF(AND(P1325&gt;=Calendar!$K$2,P1325&lt;EDATE(Calendar!$K$2,1),OR(Calendar!$K$4="*",N1325=Calendar!$K$4)),P1325*100+COUNTIFS($P$6:$P$3267,P1325,$Q$6:$Q$3267,"&lt;="&amp;Q1325,$N$6:$N$3267,Calendar!$K$4),"")</f>
        <v/>
      </c>
      <c r="W1325" s="47">
        <f>IF(AND(B1325=Queue!$C$4,OR(Queue!$K$4="*",N1325=Queue!$K$4)),Q1325,"")</f>
        <v/>
      </c>
    </row>
    <row r="1326">
      <c r="A1326" s="38">
        <f>IF(M1326="","",HYPERLINK("https://www.youtube.com/watch?v="&amp;M1326,"▶"))</f>
        <v/>
      </c>
      <c r="B1326" s="39">
        <f>IF(C1326&lt;&gt;"",C1326,IF(P1326&lt;=IFERROR(INDEX(tblChannels[Watched Through],MATCH(N1326,tblChannels[Channel ID],0)),0),"Watched","Unwatched"))</f>
        <v/>
      </c>
      <c r="C1326" s="40" t="n"/>
      <c r="D1326" s="41" t="n"/>
      <c r="E1326" s="42" t="n">
        <v>44454.73888888889</v>
      </c>
      <c r="F1326" s="52" t="inlineStr">
        <is>
          <t>Super Carlin Gaming</t>
        </is>
      </c>
      <c r="G1326" t="inlineStr">
        <is>
          <t>LIVE! MASSIVE POKÉMON CARD UNBOXING - EVOLVING SKIES</t>
        </is>
      </c>
      <c r="H1326" s="44" t="n">
        <v>0.1006828703703704</v>
      </c>
      <c r="I1326" s="45" t="n">
        <v>6575</v>
      </c>
      <c r="J1326" s="45" t="n">
        <v>226</v>
      </c>
      <c r="K1326" s="45" t="n">
        <v>22</v>
      </c>
      <c r="L1326" s="46" t="n"/>
      <c r="M1326" s="47" t="n"/>
      <c r="N1326" s="47" t="inlineStr">
        <is>
          <t>UCor_9jRnNNZVzTuQ92PKsaQ</t>
        </is>
      </c>
      <c r="O1326" s="48" t="n">
        <v>44454.90555555555</v>
      </c>
      <c r="P1326" s="49" t="n">
        <v>44454</v>
      </c>
      <c r="Q1326" s="47" t="n">
        <v>1942</v>
      </c>
      <c r="R1326" s="47" t="inlineStr">
        <is>
          <t>No Video ID yet</t>
        </is>
      </c>
      <c r="S1326" s="49" t="n"/>
      <c r="T1326" s="49" t="n"/>
      <c r="U1326" s="47" t="inlineStr">
        <is>
          <t>J &amp; Ben are opening TWELVE boxes of the latest Pokemon Card Set: Evolving Skies! Can they pull the extremely rare Alternate Art Rayquaza VMAX? Or maybe the Alt Art Umbreon Vmax?? The BIG cards we are chasing down are the alt art versions of: Rayquaza Vmax , Umberon Vmax, Sylveon Vmax, Glaceon Vmax, Leafeon Vmax, Espeon V and Dragonite V!</t>
        </is>
      </c>
      <c r="V1326" s="47">
        <f>IF(AND(P1326&gt;=Calendar!$K$2,P1326&lt;EDATE(Calendar!$K$2,1),OR(Calendar!$K$4="*",N1326=Calendar!$K$4)),P1326*100+COUNTIFS($P$6:$P$3267,P1326,$Q$6:$Q$3267,"&lt;="&amp;Q1326,$N$6:$N$3267,Calendar!$K$4),"")</f>
        <v/>
      </c>
      <c r="W1326" s="47">
        <f>IF(AND(B1326=Queue!$C$4,OR(Queue!$K$4="*",N1326=Queue!$K$4)),Q1326,"")</f>
        <v/>
      </c>
    </row>
    <row r="1327">
      <c r="A1327" s="38">
        <f>IF(M1327="","",HYPERLINK("https://www.youtube.com/watch?v="&amp;M1327,"▶"))</f>
        <v/>
      </c>
      <c r="B1327" s="39">
        <f>IF(C1327&lt;&gt;"",C1327,IF(P1327&lt;=IFERROR(INDEX(tblChannels[Watched Through],MATCH(N1327,tblChannels[Channel ID],0)),0),"Watched","Unwatched"))</f>
        <v/>
      </c>
      <c r="C1327" s="40" t="n"/>
      <c r="D1327" s="41" t="n"/>
      <c r="E1327" s="42" t="n">
        <v>44453.67361111111</v>
      </c>
      <c r="F1327" s="50" t="inlineStr">
        <is>
          <t>Super Carlin Brothers</t>
        </is>
      </c>
      <c r="G1327" t="inlineStr">
        <is>
          <t>The Lestrange Family’s SECRET Origins | Harry Potter Theory</t>
        </is>
      </c>
      <c r="H1327" s="44" t="n">
        <v>0.01216435185185185</v>
      </c>
      <c r="I1327" s="45" t="n">
        <v>341497</v>
      </c>
      <c r="J1327" s="45" t="n">
        <v>13767</v>
      </c>
      <c r="K1327" s="45" t="n">
        <v>894</v>
      </c>
      <c r="L1327" s="46" t="n"/>
      <c r="M1327" s="47" t="n"/>
      <c r="N1327" s="47" t="inlineStr">
        <is>
          <t>UCKZo4N0lVPccBkSiuyVh4yg</t>
        </is>
      </c>
      <c r="O1327" s="48" t="n">
        <v>44453.84027777778</v>
      </c>
      <c r="P1327" s="49" t="n">
        <v>44453</v>
      </c>
      <c r="Q1327" s="47" t="n">
        <v>1941</v>
      </c>
      <c r="R1327" s="47" t="inlineStr">
        <is>
          <t>No Video ID yet</t>
        </is>
      </c>
      <c r="S1327" s="49" t="n"/>
      <c r="T1327" s="49" t="n"/>
      <c r="U1327" s="47" t="inlineStr">
        <is>
          <t>Head on over to and take care of yourself. Go to for 10% off! Go to and use code SCB to save $75 on your starter kit! Today, J dives into the Wizarding World of Harry Potter to reveal the Lestrange Family’s SECRET Origins!</t>
        </is>
      </c>
      <c r="V1327" s="47">
        <f>IF(AND(P1327&gt;=Calendar!$K$2,P1327&lt;EDATE(Calendar!$K$2,1),OR(Calendar!$K$4="*",N1327=Calendar!$K$4)),P1327*100+COUNTIFS($P$6:$P$3267,P1327,$Q$6:$Q$3267,"&lt;="&amp;Q1327,$N$6:$N$3267,Calendar!$K$4),"")</f>
        <v/>
      </c>
      <c r="W1327" s="47">
        <f>IF(AND(B1327=Queue!$C$4,OR(Queue!$K$4="*",N1327=Queue!$K$4)),Q1327,"")</f>
        <v/>
      </c>
    </row>
    <row r="1328">
      <c r="A1328" s="38">
        <f>IF(M1328="","",HYPERLINK("https://www.youtube.com/watch?v="&amp;M1328,"▶"))</f>
        <v/>
      </c>
      <c r="B1328" s="39">
        <f>IF(C1328&lt;&gt;"",C1328,IF(P1328&lt;=IFERROR(INDEX(tblChannels[Watched Through],MATCH(N1328,tblChannels[Channel ID],0)),0),"Watched","Unwatched"))</f>
        <v/>
      </c>
      <c r="C1328" s="40" t="n"/>
      <c r="D1328" s="41" t="n"/>
      <c r="E1328" s="42" t="n">
        <v>44452.41666666666</v>
      </c>
      <c r="F1328" s="52" t="inlineStr">
        <is>
          <t>Super Carlin Gaming</t>
        </is>
      </c>
      <c r="G1328" t="inlineStr">
        <is>
          <t>DANCE OF THE DRAGONS |  Pokémon SoulSilver Randomizer Nuzlocke #24</t>
        </is>
      </c>
      <c r="H1328" s="44" t="n">
        <v>0.02576388888888889</v>
      </c>
      <c r="I1328" s="45" t="n">
        <v>14230</v>
      </c>
      <c r="J1328" s="45" t="n">
        <v>804</v>
      </c>
      <c r="K1328" s="45" t="n">
        <v>135</v>
      </c>
      <c r="L1328" s="46" t="n"/>
      <c r="M1328" s="47" t="n"/>
      <c r="N1328" s="47" t="inlineStr">
        <is>
          <t>UCor_9jRnNNZVzTuQ92PKsaQ</t>
        </is>
      </c>
      <c r="O1328" s="48" t="n">
        <v>44452.58333333334</v>
      </c>
      <c r="P1328" s="49" t="n">
        <v>44452</v>
      </c>
      <c r="Q1328" s="47" t="n">
        <v>1940</v>
      </c>
      <c r="R1328" s="47" t="inlineStr">
        <is>
          <t>No Video ID yet</t>
        </is>
      </c>
      <c r="S1328" s="49" t="n"/>
      <c r="T1328" s="49" t="n"/>
      <c r="U1328" s="47" t="inlineStr">
        <is>
          <t>Today J, Rutana and the team head to Celadon CIty to take on Erika... are we ready for her Pokemon?! Edited by: Riley Murtagh</t>
        </is>
      </c>
      <c r="V1328" s="47">
        <f>IF(AND(P1328&gt;=Calendar!$K$2,P1328&lt;EDATE(Calendar!$K$2,1),OR(Calendar!$K$4="*",N1328=Calendar!$K$4)),P1328*100+COUNTIFS($P$6:$P$3267,P1328,$Q$6:$Q$3267,"&lt;="&amp;Q1328,$N$6:$N$3267,Calendar!$K$4),"")</f>
        <v/>
      </c>
      <c r="W1328" s="47">
        <f>IF(AND(B1328=Queue!$C$4,OR(Queue!$K$4="*",N1328=Queue!$K$4)),Q1328,"")</f>
        <v/>
      </c>
    </row>
    <row r="1329">
      <c r="A1329" s="38">
        <f>IF(M1329="","",HYPERLINK("https://www.youtube.com/watch?v="&amp;M1329,"▶"))</f>
        <v/>
      </c>
      <c r="B1329" s="39">
        <f>IF(C1329&lt;&gt;"",C1329,IF(P1329&lt;=IFERROR(INDEX(tblChannels[Watched Through],MATCH(N1329,tblChannels[Channel ID],0)),0),"Watched","Unwatched"))</f>
        <v/>
      </c>
      <c r="C1329" s="40" t="n"/>
      <c r="D1329" s="41" t="n"/>
      <c r="E1329" s="42" t="n">
        <v>44449.41666666666</v>
      </c>
      <c r="F1329" s="43" t="inlineStr">
        <is>
          <t>Popcorn Culture</t>
        </is>
      </c>
      <c r="G1329" t="inlineStr">
        <is>
          <t>YouTube is a Glacier Moving Through Time | Popcorn Culture</t>
        </is>
      </c>
      <c r="H1329" s="44" t="n">
        <v>0.0467824074074074</v>
      </c>
      <c r="I1329" s="45" t="n">
        <v>10344</v>
      </c>
      <c r="J1329" s="45" t="n">
        <v>474</v>
      </c>
      <c r="K1329" s="45" t="n">
        <v>99</v>
      </c>
      <c r="L1329" s="46" t="n"/>
      <c r="M1329" s="47" t="n"/>
      <c r="N1329" s="47" t="inlineStr">
        <is>
          <t>UCHfIbq9thHPC8yrKjAdJgDA</t>
        </is>
      </c>
      <c r="O1329" s="48" t="n">
        <v>44449.58333333334</v>
      </c>
      <c r="P1329" s="49" t="n">
        <v>44449</v>
      </c>
      <c r="Q1329" s="47" t="n">
        <v>1939</v>
      </c>
      <c r="R1329" s="47" t="inlineStr">
        <is>
          <t>No Video ID yet</t>
        </is>
      </c>
      <c r="S1329" s="49" t="n"/>
      <c r="T1329" s="49" t="n"/>
      <c r="U1329" s="47" t="inlineStr">
        <is>
          <t>In the 92nd episode of the pop, Ben and J discuss being veterans of the Internet, influencer marketing, more on vampires drinking blood, Jonathan the Seagull’s origin, souvenir cactuses, and pandemic renovation/baby name/color/phrase/movie trends Cave Spring High School Wiki: What Is Influencer Marketing?: Vampire Reddit Poll: Jonathan Livingston Seagull: All about color trends: Collective consciousness: Batman Begins came out in 2005: Ben’s Wick of the Peek - It’s a Wonderful Day in the Neighborhood: J’s Wick of the Peek - Bluey: (Perpetual Wick of the Peek- Ted Lasso:</t>
        </is>
      </c>
      <c r="V1329" s="47">
        <f>IF(AND(P1329&gt;=Calendar!$K$2,P1329&lt;EDATE(Calendar!$K$2,1),OR(Calendar!$K$4="*",N1329=Calendar!$K$4)),P1329*100+COUNTIFS($P$6:$P$3267,P1329,$Q$6:$Q$3267,"&lt;="&amp;Q1329,$N$6:$N$3267,Calendar!$K$4),"")</f>
        <v/>
      </c>
      <c r="W1329" s="47">
        <f>IF(AND(B1329=Queue!$C$4,OR(Queue!$K$4="*",N1329=Queue!$K$4)),Q1329,"")</f>
        <v/>
      </c>
    </row>
    <row r="1330">
      <c r="A1330" s="38">
        <f>IF(M1330="","",HYPERLINK("https://www.youtube.com/watch?v="&amp;M1330,"▶"))</f>
        <v/>
      </c>
      <c r="B1330" s="39">
        <f>IF(C1330&lt;&gt;"",C1330,IF(P1330&lt;=IFERROR(INDEX(tblChannels[Watched Through],MATCH(N1330,tblChannels[Channel ID],0)),0),"Watched","Unwatched"))</f>
        <v/>
      </c>
      <c r="C1330" s="40" t="n"/>
      <c r="D1330" s="41" t="n"/>
      <c r="E1330" s="42" t="n">
        <v>44448.70625</v>
      </c>
      <c r="F1330" s="50" t="inlineStr">
        <is>
          <t>Super Carlin Brothers</t>
        </is>
      </c>
      <c r="G1330" t="inlineStr">
        <is>
          <t>Where Did The Ten Rings Come From? | Marvel Theory</t>
        </is>
      </c>
      <c r="H1330" s="44" t="n">
        <v>0.009375</v>
      </c>
      <c r="I1330" s="45" t="n">
        <v>168341</v>
      </c>
      <c r="J1330" s="45" t="n">
        <v>6724</v>
      </c>
      <c r="K1330" s="45" t="n">
        <v>638</v>
      </c>
      <c r="L1330" s="46" t="n"/>
      <c r="M1330" s="47" t="n"/>
      <c r="N1330" s="47" t="inlineStr">
        <is>
          <t>UCKZo4N0lVPccBkSiuyVh4yg</t>
        </is>
      </c>
      <c r="O1330" s="48" t="n">
        <v>44448.87291666667</v>
      </c>
      <c r="P1330" s="49" t="n">
        <v>44448</v>
      </c>
      <c r="Q1330" s="47" t="n">
        <v>1938</v>
      </c>
      <c r="R1330" s="47" t="inlineStr">
        <is>
          <t>No Video ID yet</t>
        </is>
      </c>
      <c r="S1330" s="49" t="n"/>
      <c r="T1330" s="49" t="n"/>
      <c r="U1330" s="47" t="inlineStr">
        <is>
          <t>Head on over to and take care of yourself. Today Ben dives into the Marvel Cinematic Universe to answer the biggest unanswered question from Shang-Chi: Where Did the Ten Rings Come from? Edited by: Riley Murtagh #Marvel #ShangChi #SpaceDragons #SuperCarlinBrothers</t>
        </is>
      </c>
      <c r="V1330" s="47">
        <f>IF(AND(P1330&gt;=Calendar!$K$2,P1330&lt;EDATE(Calendar!$K$2,1),OR(Calendar!$K$4="*",N1330=Calendar!$K$4)),P1330*100+COUNTIFS($P$6:$P$3267,P1330,$Q$6:$Q$3267,"&lt;="&amp;Q1330,$N$6:$N$3267,Calendar!$K$4),"")</f>
        <v/>
      </c>
      <c r="W1330" s="47">
        <f>IF(AND(B1330=Queue!$C$4,OR(Queue!$K$4="*",N1330=Queue!$K$4)),Q1330,"")</f>
        <v/>
      </c>
    </row>
    <row r="1331">
      <c r="A1331" s="38">
        <f>IF(M1331="","",HYPERLINK("https://www.youtube.com/watch?v="&amp;M1331,"▶"))</f>
        <v/>
      </c>
      <c r="B1331" s="39">
        <f>IF(C1331&lt;&gt;"",C1331,IF(P1331&lt;=IFERROR(INDEX(tblChannels[Watched Through],MATCH(N1331,tblChannels[Channel ID],0)),0),"Watched","Unwatched"))</f>
        <v/>
      </c>
      <c r="C1331" s="40" t="n"/>
      <c r="D1331" s="41" t="n"/>
      <c r="E1331" s="42" t="n">
        <v>44447.41666666666</v>
      </c>
      <c r="F1331" s="52" t="inlineStr">
        <is>
          <t>Super Carlin Gaming</t>
        </is>
      </c>
      <c r="G1331" t="inlineStr">
        <is>
          <t>A SLASH TOO SOON |  Pokémon SoulSilver Randomizer Nuzlocke #23</t>
        </is>
      </c>
      <c r="H1331" s="44" t="n">
        <v>0.02949074074074074</v>
      </c>
      <c r="I1331" s="45" t="n">
        <v>15108</v>
      </c>
      <c r="J1331" s="45" t="n">
        <v>1011</v>
      </c>
      <c r="K1331" s="45" t="n">
        <v>307</v>
      </c>
      <c r="L1331" s="46" t="n"/>
      <c r="M1331" s="47" t="n"/>
      <c r="N1331" s="47" t="inlineStr">
        <is>
          <t>UCor_9jRnNNZVzTuQ92PKsaQ</t>
        </is>
      </c>
      <c r="O1331" s="48" t="n">
        <v>44447.58333333334</v>
      </c>
      <c r="P1331" s="49" t="n">
        <v>44447</v>
      </c>
      <c r="Q1331" s="47" t="n">
        <v>1937</v>
      </c>
      <c r="R1331" s="47" t="inlineStr">
        <is>
          <t>No Video ID yet</t>
        </is>
      </c>
      <c r="S1331" s="49" t="n"/>
      <c r="T1331" s="49" t="n"/>
      <c r="U1331" s="47" t="inlineStr">
        <is>
          <t>Today, J and his team of champions test their will against Sabrina as they make their way through Kanto. Can the team stand up to Sabrina and her cohorts? Will she surrender the Marsh Badge?</t>
        </is>
      </c>
      <c r="V1331" s="47">
        <f>IF(AND(P1331&gt;=Calendar!$K$2,P1331&lt;EDATE(Calendar!$K$2,1),OR(Calendar!$K$4="*",N1331=Calendar!$K$4)),P1331*100+COUNTIFS($P$6:$P$3267,P1331,$Q$6:$Q$3267,"&lt;="&amp;Q1331,$N$6:$N$3267,Calendar!$K$4),"")</f>
        <v/>
      </c>
      <c r="W1331" s="47">
        <f>IF(AND(B1331=Queue!$C$4,OR(Queue!$K$4="*",N1331=Queue!$K$4)),Q1331,"")</f>
        <v/>
      </c>
    </row>
    <row r="1332">
      <c r="A1332" s="38">
        <f>IF(M1332="","",HYPERLINK("https://www.youtube.com/watch?v="&amp;M1332,"▶"))</f>
        <v/>
      </c>
      <c r="B1332" s="39">
        <f>IF(C1332&lt;&gt;"",C1332,IF(P1332&lt;=IFERROR(INDEX(tblChannels[Watched Through],MATCH(N1332,tblChannels[Channel ID],0)),0),"Watched","Unwatched"))</f>
        <v/>
      </c>
      <c r="C1332" s="40" t="n"/>
      <c r="D1332" s="41" t="n"/>
      <c r="E1332" s="42" t="n">
        <v>44446.71458333333</v>
      </c>
      <c r="F1332" s="50" t="inlineStr">
        <is>
          <t>Super Carlin Brothers</t>
        </is>
      </c>
      <c r="G1332" t="inlineStr">
        <is>
          <t>Shang-Chi and the Legend of the Ten Rings | REVIEW &amp; Theories</t>
        </is>
      </c>
      <c r="H1332" s="44" t="n">
        <v>0.03608796296296296</v>
      </c>
      <c r="I1332" s="45" t="n">
        <v>111495</v>
      </c>
      <c r="J1332" s="45" t="n">
        <v>4420</v>
      </c>
      <c r="K1332" s="45" t="n">
        <v>878</v>
      </c>
      <c r="L1332" s="46" t="n"/>
      <c r="M1332" s="47" t="n"/>
      <c r="N1332" s="47" t="inlineStr">
        <is>
          <t>UCKZo4N0lVPccBkSiuyVh4yg</t>
        </is>
      </c>
      <c r="O1332" s="48" t="n">
        <v>44446.88125</v>
      </c>
      <c r="P1332" s="49" t="n">
        <v>44446</v>
      </c>
      <c r="Q1332" s="47" t="n">
        <v>1936</v>
      </c>
      <c r="R1332" s="47" t="inlineStr">
        <is>
          <t>No Video ID yet</t>
        </is>
      </c>
      <c r="S1332" s="49" t="n"/>
      <c r="T1332" s="49" t="n"/>
      <c r="U1332" s="47" t="inlineStr">
        <is>
          <t>Head on over to and take care of yourself. Go to and get an extra 3 months free! Today J and Ben dive into the Marvel Cinematic Universe and give their full SPOILER review of Shang-Chi: The Legend of the Ten Rings - Is it the new best Marvel movie?</t>
        </is>
      </c>
      <c r="V1332" s="47">
        <f>IF(AND(P1332&gt;=Calendar!$K$2,P1332&lt;EDATE(Calendar!$K$2,1),OR(Calendar!$K$4="*",N1332=Calendar!$K$4)),P1332*100+COUNTIFS($P$6:$P$3267,P1332,$Q$6:$Q$3267,"&lt;="&amp;Q1332,$N$6:$N$3267,Calendar!$K$4),"")</f>
        <v/>
      </c>
      <c r="W1332" s="47">
        <f>IF(AND(B1332=Queue!$C$4,OR(Queue!$K$4="*",N1332=Queue!$K$4)),Q1332,"")</f>
        <v/>
      </c>
    </row>
    <row r="1333">
      <c r="A1333" s="38">
        <f>IF(M1333="","",HYPERLINK("https://www.youtube.com/watch?v="&amp;M1333,"▶"))</f>
        <v/>
      </c>
      <c r="B1333" s="39">
        <f>IF(C1333&lt;&gt;"",C1333,IF(P1333&lt;=IFERROR(INDEX(tblChannels[Watched Through],MATCH(N1333,tblChannels[Channel ID],0)),0),"Watched","Unwatched"))</f>
        <v/>
      </c>
      <c r="C1333" s="40" t="n"/>
      <c r="D1333" s="41" t="n"/>
      <c r="E1333" s="42" t="n">
        <v>44442.41666666666</v>
      </c>
      <c r="F1333" s="43" t="inlineStr">
        <is>
          <t>Popcorn Culture</t>
        </is>
      </c>
      <c r="G1333" t="inlineStr">
        <is>
          <t>Vampire Straw Teeth | Popcorn Culture</t>
        </is>
      </c>
      <c r="H1333" s="44" t="n">
        <v>0.05142361111111111</v>
      </c>
      <c r="I1333" s="45" t="n">
        <v>11227</v>
      </c>
      <c r="J1333" s="45" t="n">
        <v>505</v>
      </c>
      <c r="K1333" s="45" t="n">
        <v>93</v>
      </c>
      <c r="L1333" s="46" t="n"/>
      <c r="M1333" s="47" t="n"/>
      <c r="N1333" s="47" t="inlineStr">
        <is>
          <t>UCHfIbq9thHPC8yrKjAdJgDA</t>
        </is>
      </c>
      <c r="O1333" s="48" t="n">
        <v>44442.58333333334</v>
      </c>
      <c r="P1333" s="49" t="n">
        <v>44442</v>
      </c>
      <c r="Q1333" s="47" t="n">
        <v>1935</v>
      </c>
      <c r="R1333" s="47" t="inlineStr">
        <is>
          <t>No Video ID yet</t>
        </is>
      </c>
      <c r="S1333" s="49" t="n"/>
      <c r="T1333" s="49" t="n"/>
      <c r="U1333" s="47" t="inlineStr">
        <is>
          <t>In the 91st episode of the Pop, Ben and J discuss: going to Disney, recognizing your limits, year round school, vampires, donating blood, sawmills and hyperfixation, the McDonalds purple slide, ball pits, and Star Wars Cillian Murphy IMDB: Year round schooling: Diablo 2 Resurrected: “Obi Wan taught you well” and “High Ground” scenes: Ben’s Wick of the Peek - Collecting in general J’s Wick of the Peek - Atypical (Netflix):</t>
        </is>
      </c>
      <c r="V1333" s="47">
        <f>IF(AND(P1333&gt;=Calendar!$K$2,P1333&lt;EDATE(Calendar!$K$2,1),OR(Calendar!$K$4="*",N1333=Calendar!$K$4)),P1333*100+COUNTIFS($P$6:$P$3267,P1333,$Q$6:$Q$3267,"&lt;="&amp;Q1333,$N$6:$N$3267,Calendar!$K$4),"")</f>
        <v/>
      </c>
      <c r="W1333" s="47">
        <f>IF(AND(B1333=Queue!$C$4,OR(Queue!$K$4="*",N1333=Queue!$K$4)),Q1333,"")</f>
        <v/>
      </c>
    </row>
    <row r="1334">
      <c r="A1334" s="38">
        <f>IF(M1334="","",HYPERLINK("https://www.youtube.com/watch?v="&amp;M1334,"▶"))</f>
        <v/>
      </c>
      <c r="B1334" s="39">
        <f>IF(C1334&lt;&gt;"",C1334,IF(P1334&lt;=IFERROR(INDEX(tblChannels[Watched Through],MATCH(N1334,tblChannels[Channel ID],0)),0),"Watched","Unwatched"))</f>
        <v/>
      </c>
      <c r="C1334" s="40" t="n"/>
      <c r="D1334" s="41" t="n"/>
      <c r="E1334" s="42" t="n">
        <v>44441.67986111111</v>
      </c>
      <c r="F1334" s="50" t="inlineStr">
        <is>
          <t>Super Carlin Brothers</t>
        </is>
      </c>
      <c r="G1334" t="inlineStr">
        <is>
          <t>J vs Ben: Sorting MORE Marvel Characters into Hogwarts Houses</t>
        </is>
      </c>
      <c r="H1334" s="44" t="n">
        <v>0.02253472222222222</v>
      </c>
      <c r="I1334" s="45" t="n">
        <v>154026</v>
      </c>
      <c r="J1334" s="45" t="n">
        <v>6843</v>
      </c>
      <c r="K1334" s="45" t="n">
        <v>880</v>
      </c>
      <c r="L1334" s="46" t="n"/>
      <c r="M1334" s="47" t="n"/>
      <c r="N1334" s="47" t="inlineStr">
        <is>
          <t>UCKZo4N0lVPccBkSiuyVh4yg</t>
        </is>
      </c>
      <c r="O1334" s="48" t="n">
        <v>44441.84652777778</v>
      </c>
      <c r="P1334" s="49" t="n">
        <v>44441</v>
      </c>
      <c r="Q1334" s="47" t="n">
        <v>1934</v>
      </c>
      <c r="R1334" s="47" t="inlineStr">
        <is>
          <t>No Video ID yet</t>
        </is>
      </c>
      <c r="S1334" s="49" t="n"/>
      <c r="T1334" s="49" t="n"/>
      <c r="U1334" s="47" t="inlineStr">
        <is>
          <t>Go to and get an extra 3 months free! Get 25% off and zero delivery fees on your first order of $15 or more, when you download the DoorDash app and enter code JVSB2021. Today J and Ben talk the MCU and sort more Marvel characters into Hogwarts houses, with the correct answers determined by our quizmasters over on Patreon! To get your question in the quiz or to vote on questions for the quizzes, join the quizmaster tier at Do you agree with the quizmaster rulings? Let us know in the towel section below and vote at Get Your Own Celebrate Yourself shirt ::</t>
        </is>
      </c>
      <c r="V1334" s="47">
        <f>IF(AND(P1334&gt;=Calendar!$K$2,P1334&lt;EDATE(Calendar!$K$2,1),OR(Calendar!$K$4="*",N1334=Calendar!$K$4)),P1334*100+COUNTIFS($P$6:$P$3267,P1334,$Q$6:$Q$3267,"&lt;="&amp;Q1334,$N$6:$N$3267,Calendar!$K$4),"")</f>
        <v/>
      </c>
      <c r="W1334" s="47">
        <f>IF(AND(B1334=Queue!$C$4,OR(Queue!$K$4="*",N1334=Queue!$K$4)),Q1334,"")</f>
        <v/>
      </c>
    </row>
    <row r="1335">
      <c r="A1335" s="38">
        <f>IF(M1335="","",HYPERLINK("https://www.youtube.com/watch?v="&amp;M1335,"▶"))</f>
        <v/>
      </c>
      <c r="B1335" s="39">
        <f>IF(C1335&lt;&gt;"",C1335,IF(P1335&lt;=IFERROR(INDEX(tblChannels[Watched Through],MATCH(N1335,tblChannels[Channel ID],0)),0),"Watched","Unwatched"))</f>
        <v/>
      </c>
      <c r="C1335" s="40" t="n"/>
      <c r="D1335" s="41" t="n"/>
      <c r="E1335" s="42" t="n">
        <v>44440.41666666666</v>
      </c>
      <c r="F1335" s="52" t="inlineStr">
        <is>
          <t>Super Carlin Gaming</t>
        </is>
      </c>
      <c r="G1335" t="inlineStr">
        <is>
          <t>THE JOURNEY TO KANTO |  Pokémon SoulSilver Randomizer Nuzlocke #22</t>
        </is>
      </c>
      <c r="H1335" s="44" t="n">
        <v>0.02482638888888889</v>
      </c>
      <c r="I1335" s="45" t="n">
        <v>15815</v>
      </c>
      <c r="J1335" s="45" t="n">
        <v>904</v>
      </c>
      <c r="K1335" s="45" t="n">
        <v>242</v>
      </c>
      <c r="L1335" s="46" t="n"/>
      <c r="M1335" s="47" t="n"/>
      <c r="N1335" s="47" t="inlineStr">
        <is>
          <t>UCor_9jRnNNZVzTuQ92PKsaQ</t>
        </is>
      </c>
      <c r="O1335" s="48" t="n">
        <v>44440.58333333334</v>
      </c>
      <c r="P1335" s="49" t="n">
        <v>44440</v>
      </c>
      <c r="Q1335" s="47" t="n">
        <v>1933</v>
      </c>
      <c r="R1335" s="47" t="inlineStr">
        <is>
          <t>No Video ID yet</t>
        </is>
      </c>
      <c r="S1335" s="49" t="n"/>
      <c r="T1335" s="49" t="n"/>
      <c r="U1335" s="47" t="inlineStr">
        <is>
          <t>Today J and his team of champions make their way across the sea to Kanto for a victory lap... but could the shocking appearance of an old foe dampen their quest???</t>
        </is>
      </c>
      <c r="V1335" s="47">
        <f>IF(AND(P1335&gt;=Calendar!$K$2,P1335&lt;EDATE(Calendar!$K$2,1),OR(Calendar!$K$4="*",N1335=Calendar!$K$4)),P1335*100+COUNTIFS($P$6:$P$3267,P1335,$Q$6:$Q$3267,"&lt;="&amp;Q1335,$N$6:$N$3267,Calendar!$K$4),"")</f>
        <v/>
      </c>
      <c r="W1335" s="47">
        <f>IF(AND(B1335=Queue!$C$4,OR(Queue!$K$4="*",N1335=Queue!$K$4)),Q1335,"")</f>
        <v/>
      </c>
    </row>
    <row r="1336">
      <c r="A1336" s="38">
        <f>IF(M1336="","",HYPERLINK("https://www.youtube.com/watch?v="&amp;M1336,"▶"))</f>
        <v/>
      </c>
      <c r="B1336" s="39">
        <f>IF(C1336&lt;&gt;"",C1336,IF(P1336&lt;=IFERROR(INDEX(tblChannels[Watched Through],MATCH(N1336,tblChannels[Channel ID],0)),0),"Watched","Unwatched"))</f>
        <v/>
      </c>
      <c r="C1336" s="40" t="n"/>
      <c r="D1336" s="41" t="n"/>
      <c r="E1336" s="42" t="n">
        <v>44439.63263888889</v>
      </c>
      <c r="F1336" s="50" t="inlineStr">
        <is>
          <t>Super Carlin Brothers</t>
        </is>
      </c>
      <c r="G1336" t="inlineStr">
        <is>
          <t>Answering Google's TOP 50 Harry Potter Questions | Harry Potter Explained</t>
        </is>
      </c>
      <c r="H1336" s="44" t="n">
        <v>0.02091435185185185</v>
      </c>
      <c r="I1336" s="45" t="n">
        <v>459775</v>
      </c>
      <c r="J1336" s="45" t="n">
        <v>15946</v>
      </c>
      <c r="K1336" s="45" t="n">
        <v>1860</v>
      </c>
      <c r="L1336" s="46" t="n"/>
      <c r="M1336" s="47" t="n"/>
      <c r="N1336" s="47" t="inlineStr">
        <is>
          <t>UCKZo4N0lVPccBkSiuyVh4yg</t>
        </is>
      </c>
      <c r="O1336" s="48" t="n">
        <v>44439.79930555556</v>
      </c>
      <c r="P1336" s="49" t="n">
        <v>44439</v>
      </c>
      <c r="Q1336" s="47" t="n">
        <v>1932</v>
      </c>
      <c r="R1336" s="47" t="inlineStr">
        <is>
          <t>No Video ID yet</t>
        </is>
      </c>
      <c r="S1336" s="49" t="n"/>
      <c r="T1336" s="49" t="n"/>
      <c r="U1336" s="47" t="inlineStr">
        <is>
          <t>Head on over to and take care of yourself. Go to and use code SCB to save $75 on your starter kit! Today, J attempts to answer Google's TOP 50 Harry Potter questions with the caveat that he has only 15 SECONDS to answer each of them. How will he fare??? Do you want to see more videos like this? Let us know in the towel section below!!!</t>
        </is>
      </c>
      <c r="V1336" s="47">
        <f>IF(AND(P1336&gt;=Calendar!$K$2,P1336&lt;EDATE(Calendar!$K$2,1),OR(Calendar!$K$4="*",N1336=Calendar!$K$4)),P1336*100+COUNTIFS($P$6:$P$3267,P1336,$Q$6:$Q$3267,"&lt;="&amp;Q1336,$N$6:$N$3267,Calendar!$K$4),"")</f>
        <v/>
      </c>
      <c r="W1336" s="47">
        <f>IF(AND(B1336=Queue!$C$4,OR(Queue!$K$4="*",N1336=Queue!$K$4)),Q1336,"")</f>
        <v/>
      </c>
    </row>
    <row r="1337">
      <c r="A1337" s="38">
        <f>IF(M1337="","",HYPERLINK("https://www.youtube.com/watch?v="&amp;M1337,"▶"))</f>
        <v/>
      </c>
      <c r="B1337" s="39">
        <f>IF(C1337&lt;&gt;"",C1337,IF(P1337&lt;=IFERROR(INDEX(tblChannels[Watched Through],MATCH(N1337,tblChannels[Channel ID],0)),0),"Watched","Unwatched"))</f>
        <v/>
      </c>
      <c r="C1337" s="40" t="n"/>
      <c r="D1337" s="41" t="n"/>
      <c r="E1337" s="42" t="n">
        <v>44438.41666666666</v>
      </c>
      <c r="F1337" s="52" t="inlineStr">
        <is>
          <t>Super Carlin Gaming</t>
        </is>
      </c>
      <c r="G1337" t="inlineStr">
        <is>
          <t>THE POKEMON LEAGUE |  Pokémon SoulSilver Randomizer Nuzlocke #21</t>
        </is>
      </c>
      <c r="H1337" s="44" t="n">
        <v>0.05023148148148148</v>
      </c>
      <c r="I1337" s="45" t="n">
        <v>21555</v>
      </c>
      <c r="J1337" s="45" t="n">
        <v>1387</v>
      </c>
      <c r="K1337" s="45" t="n">
        <v>265</v>
      </c>
      <c r="L1337" s="46" t="n"/>
      <c r="M1337" s="47" t="n"/>
      <c r="N1337" s="47" t="inlineStr">
        <is>
          <t>UCor_9jRnNNZVzTuQ92PKsaQ</t>
        </is>
      </c>
      <c r="O1337" s="48" t="n">
        <v>44438.58333333334</v>
      </c>
      <c r="P1337" s="49" t="n">
        <v>44438</v>
      </c>
      <c r="Q1337" s="47" t="n">
        <v>1931</v>
      </c>
      <c r="R1337" s="47" t="inlineStr">
        <is>
          <t>No Video ID yet</t>
        </is>
      </c>
      <c r="S1337" s="49" t="n"/>
      <c r="T1337" s="49" t="n"/>
      <c r="U1337" s="47" t="inlineStr">
        <is>
          <t>Today J, Noel and the team grind up for the Elite 4 and hopefully the Champion.. are they ready for the toughest fights Johto has to offer??</t>
        </is>
      </c>
      <c r="V1337" s="47">
        <f>IF(AND(P1337&gt;=Calendar!$K$2,P1337&lt;EDATE(Calendar!$K$2,1),OR(Calendar!$K$4="*",N1337=Calendar!$K$4)),P1337*100+COUNTIFS($P$6:$P$3267,P1337,$Q$6:$Q$3267,"&lt;="&amp;Q1337,$N$6:$N$3267,Calendar!$K$4),"")</f>
        <v/>
      </c>
      <c r="W1337" s="47">
        <f>IF(AND(B1337=Queue!$C$4,OR(Queue!$K$4="*",N1337=Queue!$K$4)),Q1337,"")</f>
        <v/>
      </c>
    </row>
    <row r="1338">
      <c r="A1338" s="38">
        <f>IF(M1338="","",HYPERLINK("https://www.youtube.com/watch?v="&amp;M1338,"▶"))</f>
        <v/>
      </c>
      <c r="B1338" s="39">
        <f>IF(C1338&lt;&gt;"",C1338,IF(P1338&lt;=IFERROR(INDEX(tblChannels[Watched Through],MATCH(N1338,tblChannels[Channel ID],0)),0),"Watched","Unwatched"))</f>
        <v/>
      </c>
      <c r="C1338" s="40" t="n"/>
      <c r="D1338" s="41" t="n"/>
      <c r="E1338" s="42" t="n">
        <v>44435.41666666666</v>
      </c>
      <c r="F1338" s="43" t="inlineStr">
        <is>
          <t>Popcorn Culture</t>
        </is>
      </c>
      <c r="G1338" t="inlineStr">
        <is>
          <t>Luke's First Movie | Popcorn Culture</t>
        </is>
      </c>
      <c r="H1338" s="44" t="n">
        <v>0.05391203703703704</v>
      </c>
      <c r="I1338" s="45" t="n">
        <v>12386</v>
      </c>
      <c r="J1338" s="45" t="n">
        <v>590</v>
      </c>
      <c r="K1338" s="45" t="n">
        <v>110</v>
      </c>
      <c r="L1338" s="46" t="n"/>
      <c r="M1338" s="47" t="n"/>
      <c r="N1338" s="47" t="inlineStr">
        <is>
          <t>UCHfIbq9thHPC8yrKjAdJgDA</t>
        </is>
      </c>
      <c r="O1338" s="48" t="n">
        <v>44435.58333333334</v>
      </c>
      <c r="P1338" s="49" t="n">
        <v>44435</v>
      </c>
      <c r="Q1338" s="47" t="n">
        <v>1930</v>
      </c>
      <c r="R1338" s="47" t="inlineStr">
        <is>
          <t>No Video ID yet</t>
        </is>
      </c>
      <c r="S1338" s="49" t="n"/>
      <c r="T1338" s="49" t="n"/>
      <c r="U1338" s="47" t="inlineStr">
        <is>
          <t>On the 90th episode of the Pop, Ben and J discuss internships and job titles, The Washington Football Team and Arizona Coyote updates, controlling vs. suppressing feelings, the best kind of donuts, and the Paw Patrol Movie. The difference between “Secretary” and “Administrative Assistant”: Puppy Dog Pals: The Washington Football Team Name possibilities: Arizona Coyotes stats: Paw Patrol trailer: Ben’s Pick of the Week: Jane the Virgin (Netflix): J’s Pick of the Week: Titans (HBO Max): www.Patreon.com/PopcornCulture</t>
        </is>
      </c>
      <c r="V1338" s="47">
        <f>IF(AND(P1338&gt;=Calendar!$K$2,P1338&lt;EDATE(Calendar!$K$2,1),OR(Calendar!$K$4="*",N1338=Calendar!$K$4)),P1338*100+COUNTIFS($P$6:$P$3267,P1338,$Q$6:$Q$3267,"&lt;="&amp;Q1338,$N$6:$N$3267,Calendar!$K$4),"")</f>
        <v/>
      </c>
      <c r="W1338" s="47">
        <f>IF(AND(B1338=Queue!$C$4,OR(Queue!$K$4="*",N1338=Queue!$K$4)),Q1338,"")</f>
        <v/>
      </c>
    </row>
    <row r="1339">
      <c r="A1339" s="38">
        <f>IF(M1339="","",HYPERLINK("https://www.youtube.com/watch?v="&amp;M1339,"▶"))</f>
        <v/>
      </c>
      <c r="B1339" s="39">
        <f>IF(C1339&lt;&gt;"",C1339,IF(P1339&lt;=IFERROR(INDEX(tblChannels[Watched Through],MATCH(N1339,tblChannels[Channel ID],0)),0),"Watched","Unwatched"))</f>
        <v/>
      </c>
      <c r="C1339" s="40" t="n"/>
      <c r="D1339" s="41" t="n"/>
      <c r="E1339" s="42" t="n">
        <v>44434.73819444444</v>
      </c>
      <c r="F1339" s="50" t="inlineStr">
        <is>
          <t>Super Carlin Brothers</t>
        </is>
      </c>
      <c r="G1339" t="inlineStr">
        <is>
          <t>Doctor Strange is NOT Mephisto | Spider-Man: NO WAY HOME Theory &amp; Trailer Breakdown</t>
        </is>
      </c>
      <c r="H1339" s="44" t="n">
        <v>0.01193287037037037</v>
      </c>
      <c r="I1339" s="45" t="n">
        <v>180463</v>
      </c>
      <c r="J1339" s="45" t="n">
        <v>9719</v>
      </c>
      <c r="K1339" s="45" t="n">
        <v>1148</v>
      </c>
      <c r="L1339" s="46" t="n"/>
      <c r="M1339" s="47" t="n"/>
      <c r="N1339" s="47" t="inlineStr">
        <is>
          <t>UCKZo4N0lVPccBkSiuyVh4yg</t>
        </is>
      </c>
      <c r="O1339" s="48" t="n">
        <v>44434.90486111111</v>
      </c>
      <c r="P1339" s="49" t="n">
        <v>44434</v>
      </c>
      <c r="Q1339" s="47" t="n">
        <v>1929</v>
      </c>
      <c r="R1339" s="47" t="inlineStr">
        <is>
          <t>No Video ID yet</t>
        </is>
      </c>
      <c r="S1339" s="49" t="n"/>
      <c r="T1339" s="49" t="n"/>
      <c r="U1339" s="47" t="inlineStr">
        <is>
          <t>Head on over to and take care of yourself. Go to to get your new wireless plan for just $15 a month! Today Ben dives into the SPIDER-MAN: NO WAY HOME - Official Teaser Trailer and breaksdown all the hidden easter eggs, potential villains, theories and misdirects! Is Doctor Strange Mephisto? Is Matt Murdock aka Dare Devil Peter’s Lawyer? Is the Sinister Six Confirmed? 10k Info :: #SuperCarlinBrothers #SpiderManNoWayHome #Marvel</t>
        </is>
      </c>
      <c r="V1339" s="47">
        <f>IF(AND(P1339&gt;=Calendar!$K$2,P1339&lt;EDATE(Calendar!$K$2,1),OR(Calendar!$K$4="*",N1339=Calendar!$K$4)),P1339*100+COUNTIFS($P$6:$P$3267,P1339,$Q$6:$Q$3267,"&lt;="&amp;Q1339,$N$6:$N$3267,Calendar!$K$4),"")</f>
        <v/>
      </c>
      <c r="W1339" s="47">
        <f>IF(AND(B1339=Queue!$C$4,OR(Queue!$K$4="*",N1339=Queue!$K$4)),Q1339,"")</f>
        <v/>
      </c>
    </row>
    <row r="1340">
      <c r="A1340" s="38">
        <f>IF(M1340="","",HYPERLINK("https://www.youtube.com/watch?v="&amp;M1340,"▶"))</f>
        <v/>
      </c>
      <c r="B1340" s="39">
        <f>IF(C1340&lt;&gt;"",C1340,IF(P1340&lt;=IFERROR(INDEX(tblChannels[Watched Through],MATCH(N1340,tblChannels[Channel ID],0)),0),"Watched","Unwatched"))</f>
        <v/>
      </c>
      <c r="C1340" s="40" t="n"/>
      <c r="D1340" s="41" t="n"/>
      <c r="E1340" s="42" t="n">
        <v>44433.41666666666</v>
      </c>
      <c r="F1340" s="52" t="inlineStr">
        <is>
          <t>Super Carlin Gaming</t>
        </is>
      </c>
      <c r="G1340" t="inlineStr">
        <is>
          <t>CELERY'S FINAL STAND |  Pokémon SoulSilver Randomizer Nuzlocke #20</t>
        </is>
      </c>
      <c r="H1340" s="44" t="n">
        <v>0.03369212962962963</v>
      </c>
      <c r="I1340" s="45" t="n">
        <v>18025</v>
      </c>
      <c r="J1340" s="45" t="n">
        <v>1159</v>
      </c>
      <c r="K1340" s="45" t="n">
        <v>169</v>
      </c>
      <c r="L1340" s="46" t="n"/>
      <c r="M1340" s="47" t="n"/>
      <c r="N1340" s="47" t="inlineStr">
        <is>
          <t>UCor_9jRnNNZVzTuQ92PKsaQ</t>
        </is>
      </c>
      <c r="O1340" s="48" t="n">
        <v>44433.58333333334</v>
      </c>
      <c r="P1340" s="49" t="n">
        <v>44433</v>
      </c>
      <c r="Q1340" s="47" t="n">
        <v>1928</v>
      </c>
      <c r="R1340" s="47" t="inlineStr">
        <is>
          <t>No Video ID yet</t>
        </is>
      </c>
      <c r="S1340" s="49" t="n"/>
      <c r="T1340" s="49" t="n"/>
      <c r="U1340" s="47" t="inlineStr">
        <is>
          <t>Today J, Noel and the team head to Victory Road and travel the Final Kilometers to the Pokemon League... but there is one GIANT UGLY STALK OF CELERY standing in our way... are we ready for our final rival battle??</t>
        </is>
      </c>
      <c r="V1340" s="47">
        <f>IF(AND(P1340&gt;=Calendar!$K$2,P1340&lt;EDATE(Calendar!$K$2,1),OR(Calendar!$K$4="*",N1340=Calendar!$K$4)),P1340*100+COUNTIFS($P$6:$P$3267,P1340,$Q$6:$Q$3267,"&lt;="&amp;Q1340,$N$6:$N$3267,Calendar!$K$4),"")</f>
        <v/>
      </c>
      <c r="W1340" s="47">
        <f>IF(AND(B1340=Queue!$C$4,OR(Queue!$K$4="*",N1340=Queue!$K$4)),Q1340,"")</f>
        <v/>
      </c>
    </row>
    <row r="1341">
      <c r="A1341" s="38">
        <f>IF(M1341="","",HYPERLINK("https://www.youtube.com/watch?v="&amp;M1341,"▶"))</f>
        <v/>
      </c>
      <c r="B1341" s="39">
        <f>IF(C1341&lt;&gt;"",C1341,IF(P1341&lt;=IFERROR(INDEX(tblChannels[Watched Through],MATCH(N1341,tblChannels[Channel ID],0)),0),"Watched","Unwatched"))</f>
        <v/>
      </c>
      <c r="C1341" s="40" t="n"/>
      <c r="D1341" s="41" t="n"/>
      <c r="E1341" s="42" t="n">
        <v>44432.65902777778</v>
      </c>
      <c r="F1341" s="50" t="inlineStr">
        <is>
          <t>Super Carlin Brothers</t>
        </is>
      </c>
      <c r="G1341" t="inlineStr">
        <is>
          <t>How Did Harry Come Back To Life? | Harry Potter Explained</t>
        </is>
      </c>
      <c r="H1341" s="44" t="n">
        <v>0.007777777777777778</v>
      </c>
      <c r="I1341" s="45" t="n">
        <v>227419</v>
      </c>
      <c r="J1341" s="45" t="n">
        <v>11089</v>
      </c>
      <c r="K1341" s="45" t="n">
        <v>1296</v>
      </c>
      <c r="L1341" s="46" t="n"/>
      <c r="M1341" s="47" t="n"/>
      <c r="N1341" s="47" t="inlineStr">
        <is>
          <t>UCKZo4N0lVPccBkSiuyVh4yg</t>
        </is>
      </c>
      <c r="O1341" s="48" t="n">
        <v>44432.82569444444</v>
      </c>
      <c r="P1341" s="49" t="n">
        <v>44432</v>
      </c>
      <c r="Q1341" s="47" t="n">
        <v>1927</v>
      </c>
      <c r="R1341" s="47" t="inlineStr">
        <is>
          <t>No Video ID yet</t>
        </is>
      </c>
      <c r="S1341" s="49" t="n"/>
      <c r="T1341" s="49" t="n"/>
      <c r="U1341" s="47" t="inlineStr">
        <is>
          <t>Go to to get 15% off your first order, free shipping, and a 100% satisfaction guarantee! Today J dives into the Wizarding World of Harry Potter to answer an often confusing question: How did Harry Potter come back to life?</t>
        </is>
      </c>
      <c r="V1341" s="47">
        <f>IF(AND(P1341&gt;=Calendar!$K$2,P1341&lt;EDATE(Calendar!$K$2,1),OR(Calendar!$K$4="*",N1341=Calendar!$K$4)),P1341*100+COUNTIFS($P$6:$P$3267,P1341,$Q$6:$Q$3267,"&lt;="&amp;Q1341,$N$6:$N$3267,Calendar!$K$4),"")</f>
        <v/>
      </c>
      <c r="W1341" s="47">
        <f>IF(AND(B1341=Queue!$C$4,OR(Queue!$K$4="*",N1341=Queue!$K$4)),Q1341,"")</f>
        <v/>
      </c>
    </row>
    <row r="1342">
      <c r="A1342" s="38">
        <f>IF(M1342="","",HYPERLINK("https://www.youtube.com/watch?v="&amp;M1342,"▶"))</f>
        <v/>
      </c>
      <c r="B1342" s="39">
        <f>IF(C1342&lt;&gt;"",C1342,IF(P1342&lt;=IFERROR(INDEX(tblChannels[Watched Through],MATCH(N1342,tblChannels[Channel ID],0)),0),"Watched","Unwatched"))</f>
        <v/>
      </c>
      <c r="C1342" s="40" t="n"/>
      <c r="D1342" s="41" t="n"/>
      <c r="E1342" s="42" t="n">
        <v>44431.41666666666</v>
      </c>
      <c r="F1342" s="52" t="inlineStr">
        <is>
          <t>Super Carlin Gaming</t>
        </is>
      </c>
      <c r="G1342" t="inlineStr">
        <is>
          <t>LET'S KICK SOME ACE | Pokémon SoulSilver Randomizer Nuzlocke #19</t>
        </is>
      </c>
      <c r="H1342" s="44" t="n">
        <v>0.0275</v>
      </c>
      <c r="I1342" s="45" t="n">
        <v>16611</v>
      </c>
      <c r="J1342" s="45" t="n">
        <v>864</v>
      </c>
      <c r="K1342" s="45" t="n">
        <v>182</v>
      </c>
      <c r="L1342" s="46" t="n"/>
      <c r="M1342" s="47" t="n"/>
      <c r="N1342" s="47" t="inlineStr">
        <is>
          <t>UCor_9jRnNNZVzTuQ92PKsaQ</t>
        </is>
      </c>
      <c r="O1342" s="48" t="n">
        <v>44431.58333333334</v>
      </c>
      <c r="P1342" s="49" t="n">
        <v>44431</v>
      </c>
      <c r="Q1342" s="47" t="n">
        <v>1926</v>
      </c>
      <c r="R1342" s="47" t="inlineStr">
        <is>
          <t>No Video ID yet</t>
        </is>
      </c>
      <c r="S1342" s="49" t="n"/>
      <c r="T1342" s="49" t="n"/>
      <c r="U1342" s="47" t="inlineStr">
        <is>
          <t>Today J, Noel and the team Face off against the Kimono Girls and then venture to the Whirl Islands to discover this games "Lugia" What will it be and will it join the team?!?!</t>
        </is>
      </c>
      <c r="V1342" s="47">
        <f>IF(AND(P1342&gt;=Calendar!$K$2,P1342&lt;EDATE(Calendar!$K$2,1),OR(Calendar!$K$4="*",N1342=Calendar!$K$4)),P1342*100+COUNTIFS($P$6:$P$3267,P1342,$Q$6:$Q$3267,"&lt;="&amp;Q1342,$N$6:$N$3267,Calendar!$K$4),"")</f>
        <v/>
      </c>
      <c r="W1342" s="47">
        <f>IF(AND(B1342=Queue!$C$4,OR(Queue!$K$4="*",N1342=Queue!$K$4)),Q1342,"")</f>
        <v/>
      </c>
    </row>
    <row r="1343">
      <c r="A1343" s="38">
        <f>IF(M1343="","",HYPERLINK("https://www.youtube.com/watch?v="&amp;M1343,"▶"))</f>
        <v/>
      </c>
      <c r="B1343" s="39">
        <f>IF(C1343&lt;&gt;"",C1343,IF(P1343&lt;=IFERROR(INDEX(tblChannels[Watched Through],MATCH(N1343,tblChannels[Channel ID],0)),0),"Watched","Unwatched"))</f>
        <v/>
      </c>
      <c r="C1343" s="40" t="n"/>
      <c r="D1343" s="41" t="n"/>
      <c r="E1343" s="42" t="n">
        <v>44428.84027777778</v>
      </c>
      <c r="F1343" s="50" t="inlineStr">
        <is>
          <t>Super Carlin Brothers</t>
        </is>
      </c>
      <c r="G1343" t="inlineStr">
        <is>
          <t>ALL FANDOMS Trivia Night LIVE STREAM!</t>
        </is>
      </c>
      <c r="H1343" s="44" t="n">
        <v>0.08123842592592592</v>
      </c>
      <c r="I1343" s="45" t="n">
        <v>56545</v>
      </c>
      <c r="J1343" s="45" t="n">
        <v>1577</v>
      </c>
      <c r="K1343" s="45" t="n">
        <v>95</v>
      </c>
      <c r="L1343" s="46" t="n"/>
      <c r="M1343" s="47" t="n"/>
      <c r="N1343" s="47" t="inlineStr">
        <is>
          <t>UCKZo4N0lVPccBkSiuyVh4yg</t>
        </is>
      </c>
      <c r="O1343" s="48" t="n">
        <v>44429.00694444445</v>
      </c>
      <c r="P1343" s="49" t="n">
        <v>44428</v>
      </c>
      <c r="Q1343" s="47" t="n">
        <v>1925</v>
      </c>
      <c r="R1343" s="47" t="inlineStr">
        <is>
          <t>No Video ID yet</t>
        </is>
      </c>
      <c r="S1343" s="49" t="n"/>
      <c r="T1343" s="49" t="n"/>
      <c r="U1343" s="47" t="inlineStr">
        <is>
          <t>DO YOU HAVE WHAT IT TAKES TO BECOME THE CHAMPION OF ALL SIX FANDOMS?! - Tonight we test your knowledge of Disney, Pixar, Marvel, Star Wars, Harry Potter and Avatar: The Last Airbender! Use coupon code MrBobsBig2 for $2 off Coffee orders! Winners email: secretcarlinbrothers@gmail.com with a screenshot of your winning score!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6. Follow along with the stream and answer the questions as they appear in the stream! If your stream is behind, you might see a different question than what is on screen, so make sure your live stream is caught up! You can skip ahead in the video, or set your video speed to 2x to catch up! (</t>
        </is>
      </c>
      <c r="V1343" s="47">
        <f>IF(AND(P1343&gt;=Calendar!$K$2,P1343&lt;EDATE(Calendar!$K$2,1),OR(Calendar!$K$4="*",N1343=Calendar!$K$4)),P1343*100+COUNTIFS($P$6:$P$3267,P1343,$Q$6:$Q$3267,"&lt;="&amp;Q1343,$N$6:$N$3267,Calendar!$K$4),"")</f>
        <v/>
      </c>
      <c r="W1343" s="47">
        <f>IF(AND(B1343=Queue!$C$4,OR(Queue!$K$4="*",N1343=Queue!$K$4)),Q1343,"")</f>
        <v/>
      </c>
    </row>
    <row r="1344">
      <c r="A1344" s="38">
        <f>IF(M1344="","",HYPERLINK("https://www.youtube.com/watch?v="&amp;M1344,"▶"))</f>
        <v/>
      </c>
      <c r="B1344" s="39">
        <f>IF(C1344&lt;&gt;"",C1344,IF(P1344&lt;=IFERROR(INDEX(tblChannels[Watched Through],MATCH(N1344,tblChannels[Channel ID],0)),0),"Watched","Unwatched"))</f>
        <v/>
      </c>
      <c r="C1344" s="40" t="n"/>
      <c r="D1344" s="41" t="n"/>
      <c r="E1344" s="42" t="n">
        <v>44428.41666666666</v>
      </c>
      <c r="F1344" s="43" t="inlineStr">
        <is>
          <t>Popcorn Culture</t>
        </is>
      </c>
      <c r="G1344" t="inlineStr">
        <is>
          <t>The Frog in the Night | Popcorn Culture</t>
        </is>
      </c>
      <c r="H1344" s="44" t="n">
        <v>0.04960648148148148</v>
      </c>
      <c r="I1344" s="45" t="n">
        <v>14631</v>
      </c>
      <c r="J1344" s="45" t="n">
        <v>547</v>
      </c>
      <c r="K1344" s="45" t="n">
        <v>89</v>
      </c>
      <c r="L1344" s="46" t="n"/>
      <c r="M1344" s="47" t="n"/>
      <c r="N1344" s="47" t="inlineStr">
        <is>
          <t>UCHfIbq9thHPC8yrKjAdJgDA</t>
        </is>
      </c>
      <c r="O1344" s="48" t="n">
        <v>44428.58333333334</v>
      </c>
      <c r="P1344" s="49" t="n">
        <v>44428</v>
      </c>
      <c r="Q1344" s="47" t="n">
        <v>1924</v>
      </c>
      <c r="R1344" s="47" t="inlineStr">
        <is>
          <t>No Video ID yet</t>
        </is>
      </c>
      <c r="S1344" s="49" t="n"/>
      <c r="T1344" s="49" t="n"/>
      <c r="U1344" s="47" t="inlineStr">
        <is>
          <t>In this week's episode of the Pop, J and Ben discuss wedding speeches, broadway shows, stiff jeans, “Manship”, car frogs, keyboard and chord order, the evolution of texting, being in the zone Seinfeld episode referenced: Everything you need to know about typing: Gen Z-ers and rotary phones: The woman behind the voice of siri: Rocket Power: Get your Popcast Bingo Card: www.Patreon.com/PopcornCulture</t>
        </is>
      </c>
      <c r="V1344" s="47">
        <f>IF(AND(P1344&gt;=Calendar!$K$2,P1344&lt;EDATE(Calendar!$K$2,1),OR(Calendar!$K$4="*",N1344=Calendar!$K$4)),P1344*100+COUNTIFS($P$6:$P$3267,P1344,$Q$6:$Q$3267,"&lt;="&amp;Q1344,$N$6:$N$3267,Calendar!$K$4),"")</f>
        <v/>
      </c>
      <c r="W1344" s="47">
        <f>IF(AND(B1344=Queue!$C$4,OR(Queue!$K$4="*",N1344=Queue!$K$4)),Q1344,"")</f>
        <v/>
      </c>
    </row>
    <row r="1345">
      <c r="A1345" s="38">
        <f>IF(M1345="","",HYPERLINK("https://www.youtube.com/watch?v="&amp;M1345,"▶"))</f>
        <v/>
      </c>
      <c r="B1345" s="39">
        <f>IF(C1345&lt;&gt;"",C1345,IF(P1345&lt;=IFERROR(INDEX(tblChannels[Watched Through],MATCH(N1345,tblChannels[Channel ID],0)),0),"Watched","Unwatched"))</f>
        <v/>
      </c>
      <c r="C1345" s="40" t="n"/>
      <c r="D1345" s="41" t="n"/>
      <c r="E1345" s="42" t="n">
        <v>44427.60138888889</v>
      </c>
      <c r="F1345" s="50" t="inlineStr">
        <is>
          <t>Super Carlin Brothers</t>
        </is>
      </c>
      <c r="G1345" t="inlineStr">
        <is>
          <t>J vs Ben: EXPERT Quidditch World Cup Harry Potter TRIVIA Quiz</t>
        </is>
      </c>
      <c r="H1345" s="44" t="n">
        <v>0.02541666666666667</v>
      </c>
      <c r="I1345" s="45" t="n">
        <v>322904</v>
      </c>
      <c r="J1345" s="45" t="n">
        <v>10475</v>
      </c>
      <c r="K1345" s="45" t="n">
        <v>924</v>
      </c>
      <c r="L1345" s="46" t="n"/>
      <c r="M1345" s="47" t="n"/>
      <c r="N1345" s="47" t="inlineStr">
        <is>
          <t>UCKZo4N0lVPccBkSiuyVh4yg</t>
        </is>
      </c>
      <c r="O1345" s="48" t="n">
        <v>44427.76805555556</v>
      </c>
      <c r="P1345" s="49" t="n">
        <v>44427</v>
      </c>
      <c r="Q1345" s="47" t="n">
        <v>1923</v>
      </c>
      <c r="R1345" s="47" t="inlineStr">
        <is>
          <t>No Video ID yet</t>
        </is>
      </c>
      <c r="S1345" s="49" t="n"/>
      <c r="T1345" s="49" t="n"/>
      <c r="U1345" s="47" t="inlineStr">
        <is>
          <t>Download the DoorDash app in the App Store and enter code JVSB2021 to get 25% off and zero delivery fees on your first order! Go to and use code super to get 20% off your first box. Today J and Ben face off once more in possibly the hardest quiz they ever taken to determine who knows the most about the Quidditch World Cup!</t>
        </is>
      </c>
      <c r="V1345" s="47">
        <f>IF(AND(P1345&gt;=Calendar!$K$2,P1345&lt;EDATE(Calendar!$K$2,1),OR(Calendar!$K$4="*",N1345=Calendar!$K$4)),P1345*100+COUNTIFS($P$6:$P$3267,P1345,$Q$6:$Q$3267,"&lt;="&amp;Q1345,$N$6:$N$3267,Calendar!$K$4),"")</f>
        <v/>
      </c>
      <c r="W1345" s="47">
        <f>IF(AND(B1345=Queue!$C$4,OR(Queue!$K$4="*",N1345=Queue!$K$4)),Q1345,"")</f>
        <v/>
      </c>
    </row>
    <row r="1346">
      <c r="A1346" s="38">
        <f>IF(M1346="","",HYPERLINK("https://www.youtube.com/watch?v="&amp;M1346,"▶"))</f>
        <v/>
      </c>
      <c r="B1346" s="39">
        <f>IF(C1346&lt;&gt;"",C1346,IF(P1346&lt;=IFERROR(INDEX(tblChannels[Watched Through],MATCH(N1346,tblChannels[Channel ID],0)),0),"Watched","Unwatched"))</f>
        <v/>
      </c>
      <c r="C1346" s="40" t="n"/>
      <c r="D1346" s="41" t="n"/>
      <c r="E1346" s="42" t="n">
        <v>44426.95347222222</v>
      </c>
      <c r="F1346" s="52" t="inlineStr">
        <is>
          <t>Super Carlin Gaming</t>
        </is>
      </c>
      <c r="G1346" t="inlineStr">
        <is>
          <t>LIVE! - Rapid Strike Urshifu &amp; Friends</t>
        </is>
      </c>
      <c r="H1346" s="44" t="n">
        <v>0.07648148148148148</v>
      </c>
      <c r="I1346" s="45" t="n">
        <v>3608</v>
      </c>
      <c r="J1346" s="45" t="n">
        <v>160</v>
      </c>
      <c r="K1346" s="45" t="n">
        <v>9</v>
      </c>
      <c r="L1346" s="46" t="n"/>
      <c r="M1346" s="47" t="n"/>
      <c r="N1346" s="47" t="inlineStr">
        <is>
          <t>UCor_9jRnNNZVzTuQ92PKsaQ</t>
        </is>
      </c>
      <c r="O1346" s="48" t="n">
        <v>44427.12013888889</v>
      </c>
      <c r="P1346" s="49" t="n">
        <v>44426</v>
      </c>
      <c r="Q1346" s="47" t="n">
        <v>1922</v>
      </c>
      <c r="R1346" s="47" t="inlineStr">
        <is>
          <t>No Video ID yet</t>
        </is>
      </c>
      <c r="S1346" s="49" t="n"/>
      <c r="T1346" s="49" t="n"/>
      <c r="U1346" s="47" t="inlineStr">
        <is>
          <t>J is testing out different decks and just hanging out answering questions!</t>
        </is>
      </c>
      <c r="V1346" s="47">
        <f>IF(AND(P1346&gt;=Calendar!$K$2,P1346&lt;EDATE(Calendar!$K$2,1),OR(Calendar!$K$4="*",N1346=Calendar!$K$4)),P1346*100+COUNTIFS($P$6:$P$3267,P1346,$Q$6:$Q$3267,"&lt;="&amp;Q1346,$N$6:$N$3267,Calendar!$K$4),"")</f>
        <v/>
      </c>
      <c r="W1346" s="47">
        <f>IF(AND(B1346=Queue!$C$4,OR(Queue!$K$4="*",N1346=Queue!$K$4)),Q1346,"")</f>
        <v/>
      </c>
    </row>
    <row r="1347">
      <c r="A1347" s="38">
        <f>IF(M1347="","",HYPERLINK("https://www.youtube.com/watch?v="&amp;M1347,"▶"))</f>
        <v/>
      </c>
      <c r="B1347" s="39">
        <f>IF(C1347&lt;&gt;"",C1347,IF(P1347&lt;=IFERROR(INDEX(tblChannels[Watched Through],MATCH(N1347,tblChannels[Channel ID],0)),0),"Watched","Unwatched"))</f>
        <v/>
      </c>
      <c r="C1347" s="40" t="n"/>
      <c r="D1347" s="41" t="n"/>
      <c r="E1347" s="42" t="n">
        <v>44426.41666666666</v>
      </c>
      <c r="F1347" s="52" t="inlineStr">
        <is>
          <t>Super Carlin Gaming</t>
        </is>
      </c>
      <c r="G1347" t="inlineStr">
        <is>
          <t>OH. MY. GOD. | Pokémon SoulSilver Randomizer Nuzlocke #18</t>
        </is>
      </c>
      <c r="H1347" s="44" t="n">
        <v>0.03131944444444444</v>
      </c>
      <c r="I1347" s="45" t="n">
        <v>17620</v>
      </c>
      <c r="J1347" s="45" t="n">
        <v>1231</v>
      </c>
      <c r="K1347" s="45" t="n">
        <v>343</v>
      </c>
      <c r="L1347" s="46" t="n"/>
      <c r="M1347" s="47" t="n"/>
      <c r="N1347" s="47" t="inlineStr">
        <is>
          <t>UCor_9jRnNNZVzTuQ92PKsaQ</t>
        </is>
      </c>
      <c r="O1347" s="48" t="n">
        <v>44426.58333333334</v>
      </c>
      <c r="P1347" s="49" t="n">
        <v>44426</v>
      </c>
      <c r="Q1347" s="47" t="n">
        <v>1921</v>
      </c>
      <c r="R1347" s="47" t="inlineStr">
        <is>
          <t>No Video ID yet</t>
        </is>
      </c>
      <c r="S1347" s="49" t="n"/>
      <c r="T1347" s="49" t="n"/>
      <c r="U1347" s="47" t="inlineStr">
        <is>
          <t>Today J, Noel and the team head to their 8th and FINAL gym battle (until Kanto) Claire boasts a level 41 ACE Pokemon.. is the team ready?</t>
        </is>
      </c>
      <c r="V1347" s="47">
        <f>IF(AND(P1347&gt;=Calendar!$K$2,P1347&lt;EDATE(Calendar!$K$2,1),OR(Calendar!$K$4="*",N1347=Calendar!$K$4)),P1347*100+COUNTIFS($P$6:$P$3267,P1347,$Q$6:$Q$3267,"&lt;="&amp;Q1347,$N$6:$N$3267,Calendar!$K$4),"")</f>
        <v/>
      </c>
      <c r="W1347" s="47">
        <f>IF(AND(B1347=Queue!$C$4,OR(Queue!$K$4="*",N1347=Queue!$K$4)),Q1347,"")</f>
        <v/>
      </c>
    </row>
    <row r="1348">
      <c r="A1348" s="38">
        <f>IF(M1348="","",HYPERLINK("https://www.youtube.com/watch?v="&amp;M1348,"▶"))</f>
        <v/>
      </c>
      <c r="B1348" s="39">
        <f>IF(C1348&lt;&gt;"",C1348,IF(P1348&lt;=IFERROR(INDEX(tblChannels[Watched Through],MATCH(N1348,tblChannels[Channel ID],0)),0),"Watched","Unwatched"))</f>
        <v/>
      </c>
      <c r="C1348" s="40" t="n"/>
      <c r="D1348" s="41" t="n"/>
      <c r="E1348" s="42" t="n">
        <v>44425.69791666666</v>
      </c>
      <c r="F1348" s="50" t="inlineStr">
        <is>
          <t>Super Carlin Brothers</t>
        </is>
      </c>
      <c r="G1348" t="inlineStr">
        <is>
          <t>Credence is a GAUNT | Harry Potter Theory</t>
        </is>
      </c>
      <c r="H1348" s="44" t="n">
        <v>0.01107638888888889</v>
      </c>
      <c r="I1348" s="45" t="n">
        <v>291431</v>
      </c>
      <c r="J1348" s="45" t="n">
        <v>12519</v>
      </c>
      <c r="K1348" s="45" t="n">
        <v>1081</v>
      </c>
      <c r="L1348" s="46" t="n"/>
      <c r="M1348" s="47" t="n"/>
      <c r="N1348" s="47" t="inlineStr">
        <is>
          <t>UCKZo4N0lVPccBkSiuyVh4yg</t>
        </is>
      </c>
      <c r="O1348" s="48" t="n">
        <v>44425.86458333334</v>
      </c>
      <c r="P1348" s="49" t="n">
        <v>44425</v>
      </c>
      <c r="Q1348" s="47" t="n">
        <v>1920</v>
      </c>
      <c r="R1348" s="47" t="inlineStr">
        <is>
          <t>No Video ID yet</t>
        </is>
      </c>
      <c r="S1348" s="49" t="n"/>
      <c r="T1348" s="49" t="n"/>
      <c r="U1348" s="47" t="inlineStr">
        <is>
          <t>Head on over to to get 10% off your order Today J dives into the Wizarding World of Harry Potter to discuss Credence’s TRUE identity and how he’s related to none other than Lord Voldemort! #SuperCarlinBrothers #HarryPotter #FantasticBeasts</t>
        </is>
      </c>
      <c r="V1348" s="47">
        <f>IF(AND(P1348&gt;=Calendar!$K$2,P1348&lt;EDATE(Calendar!$K$2,1),OR(Calendar!$K$4="*",N1348=Calendar!$K$4)),P1348*100+COUNTIFS($P$6:$P$3267,P1348,$Q$6:$Q$3267,"&lt;="&amp;Q1348,$N$6:$N$3267,Calendar!$K$4),"")</f>
        <v/>
      </c>
      <c r="W1348" s="47">
        <f>IF(AND(B1348=Queue!$C$4,OR(Queue!$K$4="*",N1348=Queue!$K$4)),Q1348,"")</f>
        <v/>
      </c>
    </row>
    <row r="1349">
      <c r="A1349" s="38">
        <f>IF(M1349="","",HYPERLINK("https://www.youtube.com/watch?v="&amp;M1349,"▶"))</f>
        <v/>
      </c>
      <c r="B1349" s="39">
        <f>IF(C1349&lt;&gt;"",C1349,IF(P1349&lt;=IFERROR(INDEX(tblChannels[Watched Through],MATCH(N1349,tblChannels[Channel ID],0)),0),"Watched","Unwatched"))</f>
        <v/>
      </c>
      <c r="C1349" s="40" t="n"/>
      <c r="D1349" s="41" t="n"/>
      <c r="E1349" s="42" t="n">
        <v>44424.41666666666</v>
      </c>
      <c r="F1349" s="52" t="inlineStr">
        <is>
          <t>Super Carlin Gaming</t>
        </is>
      </c>
      <c r="G1349" t="inlineStr">
        <is>
          <t>THE GUARDIAN APPEARS |  Pokémon SoulSilver Randomizer Nuzlocke #17</t>
        </is>
      </c>
      <c r="H1349" s="44" t="n">
        <v>0.02847222222222222</v>
      </c>
      <c r="I1349" s="45" t="n">
        <v>17947</v>
      </c>
      <c r="J1349" s="45" t="n">
        <v>996</v>
      </c>
      <c r="K1349" s="45" t="n">
        <v>191</v>
      </c>
      <c r="L1349" s="46" t="n"/>
      <c r="M1349" s="47" t="n"/>
      <c r="N1349" s="47" t="inlineStr">
        <is>
          <t>UCor_9jRnNNZVzTuQ92PKsaQ</t>
        </is>
      </c>
      <c r="O1349" s="48" t="n">
        <v>44424.58333333334</v>
      </c>
      <c r="P1349" s="49" t="n">
        <v>44424</v>
      </c>
      <c r="Q1349" s="47" t="n">
        <v>1919</v>
      </c>
      <c r="R1349" s="47" t="inlineStr">
        <is>
          <t>No Video ID yet</t>
        </is>
      </c>
      <c r="S1349" s="49" t="n"/>
      <c r="T1349" s="49" t="n"/>
      <c r="U1349" s="47" t="inlineStr">
        <is>
          <t>Today J, Noel and the team fight their way through the ice cave and toward the 8th gym, but are they prepared for... THE GUARDIAN!?</t>
        </is>
      </c>
      <c r="V1349" s="47">
        <f>IF(AND(P1349&gt;=Calendar!$K$2,P1349&lt;EDATE(Calendar!$K$2,1),OR(Calendar!$K$4="*",N1349=Calendar!$K$4)),P1349*100+COUNTIFS($P$6:$P$3267,P1349,$Q$6:$Q$3267,"&lt;="&amp;Q1349,$N$6:$N$3267,Calendar!$K$4),"")</f>
        <v/>
      </c>
      <c r="W1349" s="47">
        <f>IF(AND(B1349=Queue!$C$4,OR(Queue!$K$4="*",N1349=Queue!$K$4)),Q1349,"")</f>
        <v/>
      </c>
    </row>
    <row r="1350">
      <c r="A1350" s="38">
        <f>IF(M1350="","",HYPERLINK("https://www.youtube.com/watch?v="&amp;M1350,"▶"))</f>
        <v/>
      </c>
      <c r="B1350" s="39">
        <f>IF(C1350&lt;&gt;"",C1350,IF(P1350&lt;=IFERROR(INDEX(tblChannels[Watched Through],MATCH(N1350,tblChannels[Channel ID],0)),0),"Watched","Unwatched"))</f>
        <v/>
      </c>
      <c r="C1350" s="40" t="n"/>
      <c r="D1350" s="41" t="n"/>
      <c r="E1350" s="42" t="n">
        <v>44421.41666666666</v>
      </c>
      <c r="F1350" s="43" t="inlineStr">
        <is>
          <t>Popcorn Culture</t>
        </is>
      </c>
      <c r="G1350" t="inlineStr">
        <is>
          <t>Are All Christmas Movies Classics? | Popcorn Culture</t>
        </is>
      </c>
      <c r="H1350" s="44" t="n">
        <v>0.04737268518518518</v>
      </c>
      <c r="I1350" s="45" t="n">
        <v>13247</v>
      </c>
      <c r="J1350" s="45" t="n">
        <v>619</v>
      </c>
      <c r="K1350" s="45" t="n">
        <v>77</v>
      </c>
      <c r="L1350" s="46" t="n"/>
      <c r="M1350" s="47" t="n"/>
      <c r="N1350" s="47" t="inlineStr">
        <is>
          <t>UCHfIbq9thHPC8yrKjAdJgDA</t>
        </is>
      </c>
      <c r="O1350" s="48" t="n">
        <v>44421.58333333334</v>
      </c>
      <c r="P1350" s="49" t="n">
        <v>44421</v>
      </c>
      <c r="Q1350" s="47" t="n">
        <v>1918</v>
      </c>
      <c r="R1350" s="47" t="inlineStr">
        <is>
          <t>No Video ID yet</t>
        </is>
      </c>
      <c r="S1350" s="49" t="n"/>
      <c r="T1350" s="49" t="n"/>
      <c r="U1350" s="47" t="inlineStr">
        <is>
          <t>In this episode, Ben and J discuss wedding clichés, revisiting 27 Butts, classic Christmas and Halloween movies, alien therapists, Olympics hype, US Men’s Soccer vs. US Women’s Soccer, car detailing frustrations, J’s unbelievable nostalgia brain, and people’s driving motivations. Link to “27 Butts” After the Final Pop episode: Christmas and Halloween Movie trailer playlist: Rose McIver as a power ranger: Olympic kayaking: 400 meter hurdle: Mens US soccer team stats world cup: Womens US soccer team stats: Mighty Ducks: The Game Changers trailer Miracle trailer: Get your Popcast Bingo Card: www.Patreon.com/PopcornCulture</t>
        </is>
      </c>
      <c r="V1350" s="47">
        <f>IF(AND(P1350&gt;=Calendar!$K$2,P1350&lt;EDATE(Calendar!$K$2,1),OR(Calendar!$K$4="*",N1350=Calendar!$K$4)),P1350*100+COUNTIFS($P$6:$P$3267,P1350,$Q$6:$Q$3267,"&lt;="&amp;Q1350,$N$6:$N$3267,Calendar!$K$4),"")</f>
        <v/>
      </c>
      <c r="W1350" s="47">
        <f>IF(AND(B1350=Queue!$C$4,OR(Queue!$K$4="*",N1350=Queue!$K$4)),Q1350,"")</f>
        <v/>
      </c>
    </row>
    <row r="1351">
      <c r="A1351" s="38">
        <f>IF(M1351="","",HYPERLINK("https://www.youtube.com/watch?v="&amp;M1351,"▶"))</f>
        <v/>
      </c>
      <c r="B1351" s="39">
        <f>IF(C1351&lt;&gt;"",C1351,IF(P1351&lt;=IFERROR(INDEX(tblChannels[Watched Through],MATCH(N1351,tblChannels[Channel ID],0)),0),"Watched","Unwatched"))</f>
        <v/>
      </c>
      <c r="C1351" s="40" t="n"/>
      <c r="D1351" s="41" t="n"/>
      <c r="E1351" s="42" t="n">
        <v>44420.68194444444</v>
      </c>
      <c r="F1351" s="50" t="inlineStr">
        <is>
          <t>Super Carlin Brothers</t>
        </is>
      </c>
      <c r="G1351" t="inlineStr">
        <is>
          <t>Aurelius Dumbledore SOLVED | Harry Potter Theory</t>
        </is>
      </c>
      <c r="H1351" s="44" t="n">
        <v>0.01157407407407407</v>
      </c>
      <c r="I1351" s="45" t="n">
        <v>495793</v>
      </c>
      <c r="J1351" s="45" t="n">
        <v>17068</v>
      </c>
      <c r="K1351" s="45" t="n">
        <v>1867</v>
      </c>
      <c r="L1351" s="46" t="n"/>
      <c r="M1351" s="47" t="n"/>
      <c r="N1351" s="47" t="inlineStr">
        <is>
          <t>UCKZo4N0lVPccBkSiuyVh4yg</t>
        </is>
      </c>
      <c r="O1351" s="48" t="n">
        <v>44420.84861111111</v>
      </c>
      <c r="P1351" s="49" t="n">
        <v>44420</v>
      </c>
      <c r="Q1351" s="47" t="n">
        <v>1917</v>
      </c>
      <c r="R1351" s="47" t="inlineStr">
        <is>
          <t>No Video ID yet</t>
        </is>
      </c>
      <c r="S1351" s="49" t="n"/>
      <c r="T1351" s="49" t="n"/>
      <c r="U1351" s="47" t="inlineStr">
        <is>
          <t>Today J dives into the Wizarding World of Harry Potter to discuss the grand reveal at the end of Fantastic Beasts: The Crimes of Grindelwald about Credences “true” identity as Aurelius Dumbledore… or is it? #SuperCarlinBrothers #HarryPotter #FantasticBeasts</t>
        </is>
      </c>
      <c r="V1351" s="47">
        <f>IF(AND(P1351&gt;=Calendar!$K$2,P1351&lt;EDATE(Calendar!$K$2,1),OR(Calendar!$K$4="*",N1351=Calendar!$K$4)),P1351*100+COUNTIFS($P$6:$P$3267,P1351,$Q$6:$Q$3267,"&lt;="&amp;Q1351,$N$6:$N$3267,Calendar!$K$4),"")</f>
        <v/>
      </c>
      <c r="W1351" s="47">
        <f>IF(AND(B1351=Queue!$C$4,OR(Queue!$K$4="*",N1351=Queue!$K$4)),Q1351,"")</f>
        <v/>
      </c>
    </row>
    <row r="1352">
      <c r="A1352" s="38">
        <f>IF(M1352="","",HYPERLINK("https://www.youtube.com/watch?v="&amp;M1352,"▶"))</f>
        <v/>
      </c>
      <c r="B1352" s="39">
        <f>IF(C1352&lt;&gt;"",C1352,IF(P1352&lt;=IFERROR(INDEX(tblChannels[Watched Through],MATCH(N1352,tblChannels[Channel ID],0)),0),"Watched","Unwatched"))</f>
        <v/>
      </c>
      <c r="C1352" s="40" t="n"/>
      <c r="D1352" s="41" t="n"/>
      <c r="E1352" s="42" t="n">
        <v>44419.41666666666</v>
      </c>
      <c r="F1352" s="52" t="inlineStr">
        <is>
          <t>Super Carlin Gaming</t>
        </is>
      </c>
      <c r="G1352" t="inlineStr">
        <is>
          <t>SKUNKED! |  Pokémon SoulSilver Randomizer Nuzlocke #16</t>
        </is>
      </c>
      <c r="H1352" s="44" t="n">
        <v>0.03332175925925926</v>
      </c>
      <c r="I1352" s="45" t="n">
        <v>19923</v>
      </c>
      <c r="J1352" s="45" t="n">
        <v>1063</v>
      </c>
      <c r="K1352" s="45" t="n">
        <v>190</v>
      </c>
      <c r="L1352" s="46" t="n"/>
      <c r="M1352" s="47" t="n"/>
      <c r="N1352" s="47" t="inlineStr">
        <is>
          <t>UCor_9jRnNNZVzTuQ92PKsaQ</t>
        </is>
      </c>
      <c r="O1352" s="48" t="n">
        <v>44419.58333333334</v>
      </c>
      <c r="P1352" s="49" t="n">
        <v>44419</v>
      </c>
      <c r="Q1352" s="47" t="n">
        <v>1916</v>
      </c>
      <c r="R1352" s="47" t="inlineStr">
        <is>
          <t>No Video ID yet</t>
        </is>
      </c>
      <c r="S1352" s="49" t="n"/>
      <c r="T1352" s="49" t="n"/>
      <c r="U1352" s="47" t="inlineStr">
        <is>
          <t>Today J and the Team attempt to eradicate Team Rocket from the Radio Tower. Will they succeed, or will they be... SKUNKED?!</t>
        </is>
      </c>
      <c r="V1352" s="47">
        <f>IF(AND(P1352&gt;=Calendar!$K$2,P1352&lt;EDATE(Calendar!$K$2,1),OR(Calendar!$K$4="*",N1352=Calendar!$K$4)),P1352*100+COUNTIFS($P$6:$P$3267,P1352,$Q$6:$Q$3267,"&lt;="&amp;Q1352,$N$6:$N$3267,Calendar!$K$4),"")</f>
        <v/>
      </c>
      <c r="W1352" s="47">
        <f>IF(AND(B1352=Queue!$C$4,OR(Queue!$K$4="*",N1352=Queue!$K$4)),Q1352,"")</f>
        <v/>
      </c>
    </row>
    <row r="1353">
      <c r="A1353" s="38">
        <f>IF(M1353="","",HYPERLINK("https://www.youtube.com/watch?v="&amp;M1353,"▶"))</f>
        <v/>
      </c>
      <c r="B1353" s="39">
        <f>IF(C1353&lt;&gt;"",C1353,IF(P1353&lt;=IFERROR(INDEX(tblChannels[Watched Through],MATCH(N1353,tblChannels[Channel ID],0)),0),"Watched","Unwatched"))</f>
        <v/>
      </c>
      <c r="C1353" s="40" t="n"/>
      <c r="D1353" s="41" t="n"/>
      <c r="E1353" s="42" t="n">
        <v>44418.62083333333</v>
      </c>
      <c r="F1353" s="50" t="inlineStr">
        <is>
          <t>Super Carlin Brothers</t>
        </is>
      </c>
      <c r="G1353" t="inlineStr">
        <is>
          <t>Genie Is A Robot | Disney Theory</t>
        </is>
      </c>
      <c r="H1353" s="44" t="n">
        <v>0.01054398148148148</v>
      </c>
      <c r="I1353" s="45" t="n">
        <v>206797</v>
      </c>
      <c r="J1353" s="45" t="n">
        <v>9841</v>
      </c>
      <c r="K1353" s="45" t="n">
        <v>667</v>
      </c>
      <c r="L1353" s="46" t="n"/>
      <c r="M1353" s="47" t="n"/>
      <c r="N1353" s="47" t="inlineStr">
        <is>
          <t>UCKZo4N0lVPccBkSiuyVh4yg</t>
        </is>
      </c>
      <c r="O1353" s="48" t="n">
        <v>44418.7875</v>
      </c>
      <c r="P1353" s="49" t="n">
        <v>44418</v>
      </c>
      <c r="Q1353" s="47" t="n">
        <v>1915</v>
      </c>
      <c r="R1353" s="47" t="inlineStr">
        <is>
          <t>No Video ID yet</t>
        </is>
      </c>
      <c r="S1353" s="49" t="n"/>
      <c r="T1353" s="49" t="n"/>
      <c r="U1353" s="47" t="inlineStr">
        <is>
          <t>Go to and get an extra 3 months FREE! Today Ben ventures to Agrabah to discuss the timeline of Aladdin and whether the Genie could be... a ROBOT?!?</t>
        </is>
      </c>
      <c r="V1353" s="47">
        <f>IF(AND(P1353&gt;=Calendar!$K$2,P1353&lt;EDATE(Calendar!$K$2,1),OR(Calendar!$K$4="*",N1353=Calendar!$K$4)),P1353*100+COUNTIFS($P$6:$P$3267,P1353,$Q$6:$Q$3267,"&lt;="&amp;Q1353,$N$6:$N$3267,Calendar!$K$4),"")</f>
        <v/>
      </c>
      <c r="W1353" s="47">
        <f>IF(AND(B1353=Queue!$C$4,OR(Queue!$K$4="*",N1353=Queue!$K$4)),Q1353,"")</f>
        <v/>
      </c>
    </row>
    <row r="1354">
      <c r="A1354" s="38">
        <f>IF(M1354="","",HYPERLINK("https://www.youtube.com/watch?v="&amp;M1354,"▶"))</f>
        <v/>
      </c>
      <c r="B1354" s="39">
        <f>IF(C1354&lt;&gt;"",C1354,IF(P1354&lt;=IFERROR(INDEX(tblChannels[Watched Through],MATCH(N1354,tblChannels[Channel ID],0)),0),"Watched","Unwatched"))</f>
        <v/>
      </c>
      <c r="C1354" s="40" t="n"/>
      <c r="D1354" s="41" t="n"/>
      <c r="E1354" s="42" t="n">
        <v>44417.41666666666</v>
      </c>
      <c r="F1354" s="52" t="inlineStr">
        <is>
          <t>Super Carlin Gaming</t>
        </is>
      </c>
      <c r="G1354" t="inlineStr">
        <is>
          <t>THE GOD OF SPACE RETURNS | Pokémon SoulSilver Randomizer Nuzlocke #15</t>
        </is>
      </c>
      <c r="H1354" s="44" t="n">
        <v>0.02902777777777778</v>
      </c>
      <c r="I1354" s="45" t="n">
        <v>19840</v>
      </c>
      <c r="J1354" s="45" t="n">
        <v>1334</v>
      </c>
      <c r="K1354" s="45" t="n">
        <v>259</v>
      </c>
      <c r="L1354" s="46" t="n"/>
      <c r="M1354" s="47" t="n"/>
      <c r="N1354" s="47" t="inlineStr">
        <is>
          <t>UCor_9jRnNNZVzTuQ92PKsaQ</t>
        </is>
      </c>
      <c r="O1354" s="48" t="n">
        <v>44417.58333333334</v>
      </c>
      <c r="P1354" s="49" t="n">
        <v>44417</v>
      </c>
      <c r="Q1354" s="47" t="n">
        <v>1914</v>
      </c>
      <c r="R1354" s="47" t="inlineStr">
        <is>
          <t>No Video ID yet</t>
        </is>
      </c>
      <c r="S1354" s="49" t="n"/>
      <c r="T1354" s="49" t="n"/>
      <c r="U1354" s="47" t="inlineStr">
        <is>
          <t>Today J and the Team head to the Radio Tower to try and clear out Team Rocket and have another EPIC Throwdown with our hated Rival: CELERY! Can the team survive the encounter!?</t>
        </is>
      </c>
      <c r="V1354" s="47">
        <f>IF(AND(P1354&gt;=Calendar!$K$2,P1354&lt;EDATE(Calendar!$K$2,1),OR(Calendar!$K$4="*",N1354=Calendar!$K$4)),P1354*100+COUNTIFS($P$6:$P$3267,P1354,$Q$6:$Q$3267,"&lt;="&amp;Q1354,$N$6:$N$3267,Calendar!$K$4),"")</f>
        <v/>
      </c>
      <c r="W1354" s="47">
        <f>IF(AND(B1354=Queue!$C$4,OR(Queue!$K$4="*",N1354=Queue!$K$4)),Q1354,"")</f>
        <v/>
      </c>
    </row>
    <row r="1355">
      <c r="A1355" s="38">
        <f>IF(M1355="","",HYPERLINK("https://www.youtube.com/watch?v="&amp;M1355,"▶"))</f>
        <v/>
      </c>
      <c r="B1355" s="39">
        <f>IF(C1355&lt;&gt;"",C1355,IF(P1355&lt;=IFERROR(INDEX(tblChannels[Watched Through],MATCH(N1355,tblChannels[Channel ID],0)),0),"Watched","Unwatched"))</f>
        <v/>
      </c>
      <c r="C1355" s="40" t="n"/>
      <c r="D1355" s="41" t="n"/>
      <c r="E1355" s="42" t="n">
        <v>44414.41666666666</v>
      </c>
      <c r="F1355" s="50" t="inlineStr">
        <is>
          <t>Super Carlin Brothers</t>
        </is>
      </c>
      <c r="G1355" t="inlineStr">
        <is>
          <t>Are Pokémon Living Creatures? | Popcorn Culture</t>
        </is>
      </c>
      <c r="H1355" s="44" t="n">
        <v>0.0484375</v>
      </c>
      <c r="I1355" s="45" t="n">
        <v>24620</v>
      </c>
      <c r="J1355" s="45" t="n">
        <v>955</v>
      </c>
      <c r="K1355" s="45" t="n">
        <v>125</v>
      </c>
      <c r="L1355" s="46" t="n"/>
      <c r="M1355" s="47" t="n"/>
      <c r="N1355" s="47" t="inlineStr">
        <is>
          <t>UCKZo4N0lVPccBkSiuyVh4yg</t>
        </is>
      </c>
      <c r="O1355" s="48" t="n">
        <v>44414.58333333334</v>
      </c>
      <c r="P1355" s="49" t="n">
        <v>44414</v>
      </c>
      <c r="Q1355" s="47" t="n">
        <v>1913</v>
      </c>
      <c r="R1355" s="47" t="inlineStr">
        <is>
          <t>No Video ID yet</t>
        </is>
      </c>
      <c r="S1355" s="49" t="n"/>
      <c r="T1355" s="49" t="n"/>
      <c r="U1355" s="47" t="inlineStr">
        <is>
          <t>In the 87th episode of the Pop, Ben and J discuss rationalizing sickness away, whether or not Pokémon are living creatures, virtual reality, what does it mean to follow your dreams, Ted Lasso, being direct in conversations, the idea of blame and anger New popcorn culture youtube channel: Ready Player One trailer: Check out our most recent trivia stream! Ted Lasso is the best show ever! Season 1 trailer: Verses J referenced in Proverbs: Proverbs 19:11 (ESV) and Proverbs 15:1 (ESV) Get your Popcast Bingo Card:</t>
        </is>
      </c>
      <c r="V1355" s="47">
        <f>IF(AND(P1355&gt;=Calendar!$K$2,P1355&lt;EDATE(Calendar!$K$2,1),OR(Calendar!$K$4="*",N1355=Calendar!$K$4)),P1355*100+COUNTIFS($P$6:$P$3267,P1355,$Q$6:$Q$3267,"&lt;="&amp;Q1355,$N$6:$N$3267,Calendar!$K$4),"")</f>
        <v/>
      </c>
      <c r="W1355" s="47">
        <f>IF(AND(B1355=Queue!$C$4,OR(Queue!$K$4="*",N1355=Queue!$K$4)),Q1355,"")</f>
        <v/>
      </c>
    </row>
    <row r="1356">
      <c r="A1356" s="38">
        <f>IF(M1356="","",HYPERLINK("https://www.youtube.com/watch?v="&amp;M1356,"▶"))</f>
        <v/>
      </c>
      <c r="B1356" s="39">
        <f>IF(C1356&lt;&gt;"",C1356,IF(P1356&lt;=IFERROR(INDEX(tblChannels[Watched Through],MATCH(N1356,tblChannels[Channel ID],0)),0),"Watched","Unwatched"))</f>
        <v/>
      </c>
      <c r="C1356" s="40" t="n"/>
      <c r="D1356" s="41" t="n"/>
      <c r="E1356" s="42" t="n">
        <v>44414.25</v>
      </c>
      <c r="F1356" s="43" t="inlineStr">
        <is>
          <t>Popcorn Culture</t>
        </is>
      </c>
      <c r="G1356" t="inlineStr">
        <is>
          <t>87 - Are Pokémon Living Creatures?</t>
        </is>
      </c>
      <c r="H1356" s="44" t="n">
        <v>0.04528935185185185</v>
      </c>
      <c r="I1356" s="45" t="n">
        <v>2729</v>
      </c>
      <c r="J1356" s="45" t="n">
        <v>113</v>
      </c>
      <c r="K1356" s="45" t="n">
        <v>10</v>
      </c>
      <c r="L1356" s="46" t="n"/>
      <c r="M1356" s="47" t="n"/>
      <c r="N1356" s="47" t="inlineStr">
        <is>
          <t>UCHfIbq9thHPC8yrKjAdJgDA</t>
        </is>
      </c>
      <c r="O1356" s="48" t="n">
        <v>44414.41666666666</v>
      </c>
      <c r="P1356" s="49" t="n">
        <v>44414</v>
      </c>
      <c r="Q1356" s="47" t="n">
        <v>1912</v>
      </c>
      <c r="R1356" s="47" t="inlineStr">
        <is>
          <t>No Video ID yet</t>
        </is>
      </c>
      <c r="S1356" s="49" t="n"/>
      <c r="T1356" s="49" t="n"/>
      <c r="U1356" s="47" t="inlineStr">
        <is>
          <t>Ben and J discuss: rationalizing sickness away, whether or not Pokémon are living creatures, virtual reality, what does it mean to follow your dreams, Ted Lasso, being direct in conversations, the idea of blame and anger. New popcorn culture youtube channel: Ready Player One trailer: Check out our most recent trivia stream! Ted Lasso is the best show ever! Season 1 trailer: Verses J referenced in Proverbs: Proverbs 19:11 (ESV) and Proverbs 15:1 (ESV)</t>
        </is>
      </c>
      <c r="V1356" s="47">
        <f>IF(AND(P1356&gt;=Calendar!$K$2,P1356&lt;EDATE(Calendar!$K$2,1),OR(Calendar!$K$4="*",N1356=Calendar!$K$4)),P1356*100+COUNTIFS($P$6:$P$3267,P1356,$Q$6:$Q$3267,"&lt;="&amp;Q1356,$N$6:$N$3267,Calendar!$K$4),"")</f>
        <v/>
      </c>
      <c r="W1356" s="47">
        <f>IF(AND(B1356=Queue!$C$4,OR(Queue!$K$4="*",N1356=Queue!$K$4)),Q1356,"")</f>
        <v/>
      </c>
    </row>
    <row r="1357">
      <c r="A1357" s="38">
        <f>IF(M1357="","",HYPERLINK("https://www.youtube.com/watch?v="&amp;M1357,"▶"))</f>
        <v/>
      </c>
      <c r="B1357" s="39">
        <f>IF(C1357&lt;&gt;"",C1357,IF(P1357&lt;=IFERROR(INDEX(tblChannels[Watched Through],MATCH(N1357,tblChannels[Channel ID],0)),0),"Watched","Unwatched"))</f>
        <v/>
      </c>
      <c r="C1357" s="40" t="n"/>
      <c r="D1357" s="41" t="n"/>
      <c r="E1357" s="42" t="n">
        <v>44413.58333333334</v>
      </c>
      <c r="F1357" s="50" t="inlineStr">
        <is>
          <t>Super Carlin Brothers</t>
        </is>
      </c>
      <c r="G1357" t="inlineStr">
        <is>
          <t>Did Philosopher’s Stone Predict EVERYTHING? | Harry Potter Film Theory</t>
        </is>
      </c>
      <c r="H1357" s="44" t="n">
        <v>0.01119212962962963</v>
      </c>
      <c r="I1357" s="45" t="n">
        <v>803868</v>
      </c>
      <c r="J1357" s="45" t="n">
        <v>26435</v>
      </c>
      <c r="K1357" s="45" t="n">
        <v>1930</v>
      </c>
      <c r="L1357" s="46" t="n"/>
      <c r="M1357" s="47" t="n"/>
      <c r="N1357" s="47" t="inlineStr">
        <is>
          <t>UCKZo4N0lVPccBkSiuyVh4yg</t>
        </is>
      </c>
      <c r="O1357" s="48" t="n">
        <v>44413.75</v>
      </c>
      <c r="P1357" s="49" t="n">
        <v>44413</v>
      </c>
      <c r="Q1357" s="47" t="n">
        <v>1911</v>
      </c>
      <c r="R1357" s="47" t="inlineStr">
        <is>
          <t>No Video ID yet</t>
        </is>
      </c>
      <c r="S1357" s="49" t="n"/>
      <c r="T1357" s="49" t="n"/>
      <c r="U1357" s="47" t="inlineStr">
        <is>
          <t>Go to and take care of yourself Go to and use code SCB to save $75 on your starter kit! Today J dives into the Wizarding World of Harry Potter to determine if the obstacle course at the end of Philosopher’s Stone secretly predicted what would happen in each of the following Harry Potter books!</t>
        </is>
      </c>
      <c r="V1357" s="47">
        <f>IF(AND(P1357&gt;=Calendar!$K$2,P1357&lt;EDATE(Calendar!$K$2,1),OR(Calendar!$K$4="*",N1357=Calendar!$K$4)),P1357*100+COUNTIFS($P$6:$P$3267,P1357,$Q$6:$Q$3267,"&lt;="&amp;Q1357,$N$6:$N$3267,Calendar!$K$4),"")</f>
        <v/>
      </c>
      <c r="W1357" s="47">
        <f>IF(AND(B1357=Queue!$C$4,OR(Queue!$K$4="*",N1357=Queue!$K$4)),Q1357,"")</f>
        <v/>
      </c>
    </row>
    <row r="1358">
      <c r="A1358" s="38">
        <f>IF(M1358="","",HYPERLINK("https://www.youtube.com/watch?v="&amp;M1358,"▶"))</f>
        <v/>
      </c>
      <c r="B1358" s="39">
        <f>IF(C1358&lt;&gt;"",C1358,IF(P1358&lt;=IFERROR(INDEX(tblChannels[Watched Through],MATCH(N1358,tblChannels[Channel ID],0)),0),"Watched","Unwatched"))</f>
        <v/>
      </c>
      <c r="C1358" s="40" t="n"/>
      <c r="D1358" s="41" t="n"/>
      <c r="E1358" s="42" t="n">
        <v>44412.41666666666</v>
      </c>
      <c r="F1358" s="52" t="inlineStr">
        <is>
          <t>Super Carlin Gaming</t>
        </is>
      </c>
      <c r="G1358" t="inlineStr">
        <is>
          <t>A High Pryce To Pay.. | Pokémon SoulSilver Randomizer Nuzlocke #14</t>
        </is>
      </c>
      <c r="H1358" s="44" t="n">
        <v>0.02263888888888889</v>
      </c>
      <c r="I1358" s="45" t="n">
        <v>18381</v>
      </c>
      <c r="J1358" s="45" t="n">
        <v>1202</v>
      </c>
      <c r="K1358" s="45" t="n">
        <v>499</v>
      </c>
      <c r="L1358" s="46" t="n"/>
      <c r="M1358" s="47" t="n"/>
      <c r="N1358" s="47" t="inlineStr">
        <is>
          <t>UCor_9jRnNNZVzTuQ92PKsaQ</t>
        </is>
      </c>
      <c r="O1358" s="48" t="n">
        <v>44412.58333333334</v>
      </c>
      <c r="P1358" s="49" t="n">
        <v>44412</v>
      </c>
      <c r="Q1358" s="47" t="n">
        <v>1910</v>
      </c>
      <c r="R1358" s="47" t="inlineStr">
        <is>
          <t>No Video ID yet</t>
        </is>
      </c>
      <c r="S1358" s="49" t="n"/>
      <c r="T1358" s="49" t="n"/>
      <c r="U1358" s="47" t="inlineStr">
        <is>
          <t>Today J, Megan and the team head to their 7th Gym battle with Pryce! The team is looking as MONSTROUS as ever.. but are we ready for his team?!</t>
        </is>
      </c>
      <c r="V1358" s="47">
        <f>IF(AND(P1358&gt;=Calendar!$K$2,P1358&lt;EDATE(Calendar!$K$2,1),OR(Calendar!$K$4="*",N1358=Calendar!$K$4)),P1358*100+COUNTIFS($P$6:$P$3267,P1358,$Q$6:$Q$3267,"&lt;="&amp;Q1358,$N$6:$N$3267,Calendar!$K$4),"")</f>
        <v/>
      </c>
      <c r="W1358" s="47">
        <f>IF(AND(B1358=Queue!$C$4,OR(Queue!$K$4="*",N1358=Queue!$K$4)),Q1358,"")</f>
        <v/>
      </c>
    </row>
    <row r="1359">
      <c r="A1359" s="38">
        <f>IF(M1359="","",HYPERLINK("https://www.youtube.com/watch?v="&amp;M1359,"▶"))</f>
        <v/>
      </c>
      <c r="B1359" s="39">
        <f>IF(C1359&lt;&gt;"",C1359,IF(P1359&lt;=IFERROR(INDEX(tblChannels[Watched Through],MATCH(N1359,tblChannels[Channel ID],0)),0),"Watched","Unwatched"))</f>
        <v/>
      </c>
      <c r="C1359" s="40" t="n"/>
      <c r="D1359" s="41" t="n"/>
      <c r="E1359" s="42" t="n">
        <v>44411.70833333334</v>
      </c>
      <c r="F1359" s="50" t="inlineStr">
        <is>
          <t>Super Carlin Brothers</t>
        </is>
      </c>
      <c r="G1359" t="inlineStr">
        <is>
          <t>J vs Ben: Most EXPENSIVE Disney Artifacts | GAME</t>
        </is>
      </c>
      <c r="H1359" s="44" t="n">
        <v>0.02362268518518518</v>
      </c>
      <c r="I1359" s="45" t="n">
        <v>144303</v>
      </c>
      <c r="J1359" s="45" t="n">
        <v>5471</v>
      </c>
      <c r="K1359" s="45" t="n">
        <v>510</v>
      </c>
      <c r="L1359" s="46" t="n"/>
      <c r="M1359" s="47" t="n"/>
      <c r="N1359" s="47" t="inlineStr">
        <is>
          <t>UCKZo4N0lVPccBkSiuyVh4yg</t>
        </is>
      </c>
      <c r="O1359" s="48" t="n">
        <v>44411.875</v>
      </c>
      <c r="P1359" s="49" t="n">
        <v>44411</v>
      </c>
      <c r="Q1359" s="47" t="n">
        <v>1909</v>
      </c>
      <c r="R1359" s="47" t="inlineStr">
        <is>
          <t>No Video ID yet</t>
        </is>
      </c>
      <c r="S1359" s="49" t="n"/>
      <c r="T1359" s="49" t="n"/>
      <c r="U1359" s="47" t="inlineStr">
        <is>
          <t>Visit to get Honey for free. Go to and get an extra 3 months FREE! Today J and Ben Face off once more to try and guess the exact price of various Disney, Pixar, Marvel and Star Wars items, merch, and jewelry available at ShopDisney.com. Feel free to play along with us and see if you can out score us! #SuperCarlinBrothers #Disney #DisneyStore</t>
        </is>
      </c>
      <c r="V1359" s="47">
        <f>IF(AND(P1359&gt;=Calendar!$K$2,P1359&lt;EDATE(Calendar!$K$2,1),OR(Calendar!$K$4="*",N1359=Calendar!$K$4)),P1359*100+COUNTIFS($P$6:$P$3267,P1359,$Q$6:$Q$3267,"&lt;="&amp;Q1359,$N$6:$N$3267,Calendar!$K$4),"")</f>
        <v/>
      </c>
      <c r="W1359" s="47">
        <f>IF(AND(B1359=Queue!$C$4,OR(Queue!$K$4="*",N1359=Queue!$K$4)),Q1359,"")</f>
        <v/>
      </c>
    </row>
    <row r="1360">
      <c r="A1360" s="38">
        <f>IF(M1360="","",HYPERLINK("https://www.youtube.com/watch?v="&amp;M1360,"▶"))</f>
        <v/>
      </c>
      <c r="B1360" s="39">
        <f>IF(C1360&lt;&gt;"",C1360,IF(P1360&lt;=IFERROR(INDEX(tblChannels[Watched Through],MATCH(N1360,tblChannels[Channel ID],0)),0),"Watched","Unwatched"))</f>
        <v/>
      </c>
      <c r="C1360" s="40" t="n"/>
      <c r="D1360" s="41" t="n"/>
      <c r="E1360" s="42" t="n">
        <v>44410.41666666666</v>
      </c>
      <c r="F1360" s="52" t="inlineStr">
        <is>
          <t>Super Carlin Gaming</t>
        </is>
      </c>
      <c r="G1360" t="inlineStr">
        <is>
          <t>THE REGI-ROCKET | Pokémon SoulSilver Randomizer Nuzlocke #13</t>
        </is>
      </c>
      <c r="H1360" s="44" t="n">
        <v>0.0340162037037037</v>
      </c>
      <c r="I1360" s="45" t="n">
        <v>21402</v>
      </c>
      <c r="J1360" s="45" t="n">
        <v>1126</v>
      </c>
      <c r="K1360" s="45" t="n">
        <v>378</v>
      </c>
      <c r="L1360" s="46" t="n"/>
      <c r="M1360" s="47" t="n"/>
      <c r="N1360" s="47" t="inlineStr">
        <is>
          <t>UCor_9jRnNNZVzTuQ92PKsaQ</t>
        </is>
      </c>
      <c r="O1360" s="48" t="n">
        <v>44410.58333333334</v>
      </c>
      <c r="P1360" s="49" t="n">
        <v>44410</v>
      </c>
      <c r="Q1360" s="47" t="n">
        <v>1908</v>
      </c>
      <c r="R1360" s="47" t="inlineStr">
        <is>
          <t>No Video ID yet</t>
        </is>
      </c>
      <c r="S1360" s="49" t="n"/>
      <c r="T1360" s="49" t="n"/>
      <c r="U1360" s="47" t="inlineStr">
        <is>
          <t>Today J, Megan and the team decide to clear out Team Rocket.. but are they prepared for their sneaky tactics?!</t>
        </is>
      </c>
      <c r="V1360" s="47">
        <f>IF(AND(P1360&gt;=Calendar!$K$2,P1360&lt;EDATE(Calendar!$K$2,1),OR(Calendar!$K$4="*",N1360=Calendar!$K$4)),P1360*100+COUNTIFS($P$6:$P$3267,P1360,$Q$6:$Q$3267,"&lt;="&amp;Q1360,$N$6:$N$3267,Calendar!$K$4),"")</f>
        <v/>
      </c>
      <c r="W1360" s="47">
        <f>IF(AND(B1360=Queue!$C$4,OR(Queue!$K$4="*",N1360=Queue!$K$4)),Q1360,"")</f>
        <v/>
      </c>
    </row>
    <row r="1361">
      <c r="A1361" s="38">
        <f>IF(M1361="","",HYPERLINK("https://www.youtube.com/watch?v="&amp;M1361,"▶"))</f>
        <v/>
      </c>
      <c r="B1361" s="39">
        <f>IF(C1361&lt;&gt;"",C1361,IF(P1361&lt;=IFERROR(INDEX(tblChannels[Watched Through],MATCH(N1361,tblChannels[Channel ID],0)),0),"Watched","Unwatched"))</f>
        <v/>
      </c>
      <c r="C1361" s="40" t="n"/>
      <c r="D1361" s="41" t="n"/>
      <c r="E1361" s="42" t="n">
        <v>44407.41666666666</v>
      </c>
      <c r="F1361" s="50" t="inlineStr">
        <is>
          <t>Super Carlin Brothers</t>
        </is>
      </c>
      <c r="G1361" t="inlineStr">
        <is>
          <t>Sponges Are Inevitable | Popcorn Culture</t>
        </is>
      </c>
      <c r="H1361" s="44" t="n">
        <v>0.04721064814814815</v>
      </c>
      <c r="I1361" s="45" t="n">
        <v>19435</v>
      </c>
      <c r="J1361" s="45" t="n">
        <v>738</v>
      </c>
      <c r="K1361" s="45" t="n">
        <v>76</v>
      </c>
      <c r="L1361" s="46" t="n"/>
      <c r="M1361" s="47" t="n"/>
      <c r="N1361" s="47" t="inlineStr">
        <is>
          <t>UCKZo4N0lVPccBkSiuyVh4yg</t>
        </is>
      </c>
      <c r="O1361" s="48" t="n">
        <v>44407.58333333334</v>
      </c>
      <c r="P1361" s="49" t="n">
        <v>44407</v>
      </c>
      <c r="Q1361" s="47" t="n">
        <v>1907</v>
      </c>
      <c r="R1361" s="47" t="inlineStr">
        <is>
          <t>No Video ID yet</t>
        </is>
      </c>
      <c r="S1361" s="49" t="n"/>
      <c r="T1361" s="49" t="n"/>
      <c r="U1361" s="47" t="inlineStr">
        <is>
          <t>In the 86th episode of the pop, Ben and J discuss parental inevitabilities, energy drinks, “sponges,” tanning, the nuances of confidence, rock climbing, poker, and the concept of shields on the TV show Survivor The #1 Wizarding World Resource: Good Mythical Morning video on drinking Monster: Good Mythical Morning video on drinking RedBull: Tanning does not help acne: The history of Podcasting: Get your Popcast Bingo Card:</t>
        </is>
      </c>
      <c r="V1361" s="47">
        <f>IF(AND(P1361&gt;=Calendar!$K$2,P1361&lt;EDATE(Calendar!$K$2,1),OR(Calendar!$K$4="*",N1361=Calendar!$K$4)),P1361*100+COUNTIFS($P$6:$P$3267,P1361,$Q$6:$Q$3267,"&lt;="&amp;Q1361,$N$6:$N$3267,Calendar!$K$4),"")</f>
        <v/>
      </c>
      <c r="W1361" s="47">
        <f>IF(AND(B1361=Queue!$C$4,OR(Queue!$K$4="*",N1361=Queue!$K$4)),Q1361,"")</f>
        <v/>
      </c>
    </row>
    <row r="1362">
      <c r="A1362" s="38">
        <f>IF(M1362="","",HYPERLINK("https://www.youtube.com/watch?v="&amp;M1362,"▶"))</f>
        <v/>
      </c>
      <c r="B1362" s="39">
        <f>IF(C1362&lt;&gt;"",C1362,IF(P1362&lt;=IFERROR(INDEX(tblChannels[Watched Through],MATCH(N1362,tblChannels[Channel ID],0)),0),"Watched","Unwatched"))</f>
        <v/>
      </c>
      <c r="C1362" s="40" t="n"/>
      <c r="D1362" s="41" t="n"/>
      <c r="E1362" s="42" t="n">
        <v>44407.25</v>
      </c>
      <c r="F1362" s="43" t="inlineStr">
        <is>
          <t>Popcorn Culture</t>
        </is>
      </c>
      <c r="G1362" t="inlineStr">
        <is>
          <t>86 - Sponges are Inevitable</t>
        </is>
      </c>
      <c r="H1362" s="44" t="n">
        <v>0.04626157407407407</v>
      </c>
      <c r="I1362" s="45" t="n">
        <v>1729</v>
      </c>
      <c r="J1362" s="45" t="n">
        <v>104</v>
      </c>
      <c r="K1362" s="45" t="n">
        <v>4</v>
      </c>
      <c r="L1362" s="46" t="n"/>
      <c r="M1362" s="47" t="n"/>
      <c r="N1362" s="47" t="inlineStr">
        <is>
          <t>UCHfIbq9thHPC8yrKjAdJgDA</t>
        </is>
      </c>
      <c r="O1362" s="48" t="n">
        <v>44407.41666666666</v>
      </c>
      <c r="P1362" s="49" t="n">
        <v>44407</v>
      </c>
      <c r="Q1362" s="47" t="n">
        <v>1906</v>
      </c>
      <c r="R1362" s="47" t="inlineStr">
        <is>
          <t>No Video ID yet</t>
        </is>
      </c>
      <c r="S1362" s="49" t="n"/>
      <c r="T1362" s="49" t="n"/>
      <c r="U1362" s="47" t="inlineStr">
        <is>
          <t>Ben and J discuss: parental inevitabilities, energy drinks, “sponges,” tanning, the nuances of confidence, rock climbing, poker, and the concept of shields on the TV show Survivor Get your coffee, tea, hot chocolate, and candles at The #1 Wizarding World Resource: Good Mythical Morning video on drinking Monster: Good Mythical Morning video on drinking RedBull: Tanning does not help acne: The history of Podcasting:</t>
        </is>
      </c>
      <c r="V1362" s="47">
        <f>IF(AND(P1362&gt;=Calendar!$K$2,P1362&lt;EDATE(Calendar!$K$2,1),OR(Calendar!$K$4="*",N1362=Calendar!$K$4)),P1362*100+COUNTIFS($P$6:$P$3267,P1362,$Q$6:$Q$3267,"&lt;="&amp;Q1362,$N$6:$N$3267,Calendar!$K$4),"")</f>
        <v/>
      </c>
      <c r="W1362" s="47">
        <f>IF(AND(B1362=Queue!$C$4,OR(Queue!$K$4="*",N1362=Queue!$K$4)),Q1362,"")</f>
        <v/>
      </c>
    </row>
    <row r="1363">
      <c r="A1363" s="38">
        <f>IF(M1363="","",HYPERLINK("https://www.youtube.com/watch?v="&amp;M1363,"▶"))</f>
        <v/>
      </c>
      <c r="B1363" s="39">
        <f>IF(C1363&lt;&gt;"",C1363,IF(P1363&lt;=IFERROR(INDEX(tblChannels[Watched Through],MATCH(N1363,tblChannels[Channel ID],0)),0),"Watched","Unwatched"))</f>
        <v/>
      </c>
      <c r="C1363" s="40" t="n"/>
      <c r="D1363" s="41" t="n"/>
      <c r="E1363" s="42" t="n">
        <v>44406.84513888889</v>
      </c>
      <c r="F1363" s="50" t="inlineStr">
        <is>
          <t>Super Carlin Brothers</t>
        </is>
      </c>
      <c r="G1363" t="inlineStr">
        <is>
          <t>Top 10 ODDEST Casting Calls In Harry Potter Movies</t>
        </is>
      </c>
      <c r="H1363" s="44" t="n">
        <v>0.01303240740740741</v>
      </c>
      <c r="I1363" s="45" t="n">
        <v>382303</v>
      </c>
      <c r="J1363" s="45" t="n">
        <v>18065</v>
      </c>
      <c r="K1363" s="45" t="n">
        <v>1783</v>
      </c>
      <c r="L1363" s="46" t="n"/>
      <c r="M1363" s="47" t="n"/>
      <c r="N1363" s="47" t="inlineStr">
        <is>
          <t>UCKZo4N0lVPccBkSiuyVh4yg</t>
        </is>
      </c>
      <c r="O1363" s="48" t="n">
        <v>44407.01180555556</v>
      </c>
      <c r="P1363" s="49" t="n">
        <v>44406</v>
      </c>
      <c r="Q1363" s="47" t="n">
        <v>1905</v>
      </c>
      <c r="R1363" s="47" t="inlineStr">
        <is>
          <t>No Video ID yet</t>
        </is>
      </c>
      <c r="S1363" s="49" t="n"/>
      <c r="T1363" s="49" t="n"/>
      <c r="U1363" s="47" t="inlineStr">
        <is>
          <t>Go to and use promo code SUPERCARLIN to claim your special offer today! Today Ben dives into the Wizarding World of Harry Potter to break down ten of the oddest casting calls made in the Harry Potter movies.</t>
        </is>
      </c>
      <c r="V1363" s="47">
        <f>IF(AND(P1363&gt;=Calendar!$K$2,P1363&lt;EDATE(Calendar!$K$2,1),OR(Calendar!$K$4="*",N1363=Calendar!$K$4)),P1363*100+COUNTIFS($P$6:$P$3267,P1363,$Q$6:$Q$3267,"&lt;="&amp;Q1363,$N$6:$N$3267,Calendar!$K$4),"")</f>
        <v/>
      </c>
      <c r="W1363" s="47">
        <f>IF(AND(B1363=Queue!$C$4,OR(Queue!$K$4="*",N1363=Queue!$K$4)),Q1363,"")</f>
        <v/>
      </c>
    </row>
    <row r="1364">
      <c r="A1364" s="38">
        <f>IF(M1364="","",HYPERLINK("https://www.youtube.com/watch?v="&amp;M1364,"▶"))</f>
        <v/>
      </c>
      <c r="B1364" s="39">
        <f>IF(C1364&lt;&gt;"",C1364,IF(P1364&lt;=IFERROR(INDEX(tblChannels[Watched Through],MATCH(N1364,tblChannels[Channel ID],0)),0),"Watched","Unwatched"))</f>
        <v/>
      </c>
      <c r="C1364" s="40" t="n"/>
      <c r="D1364" s="41" t="n"/>
      <c r="E1364" s="42" t="n">
        <v>44405.41666666666</v>
      </c>
      <c r="F1364" s="52" t="inlineStr">
        <is>
          <t>Super Carlin Gaming</t>
        </is>
      </c>
      <c r="G1364" t="inlineStr">
        <is>
          <t>THE SHINY IN THE LAKE OF RAGE | Pokémon SoulSilver Randomizer Nuzlocke #12</t>
        </is>
      </c>
      <c r="H1364" s="44" t="n">
        <v>0.02444444444444445</v>
      </c>
      <c r="I1364" s="45" t="n">
        <v>20909</v>
      </c>
      <c r="J1364" s="45" t="n">
        <v>1619</v>
      </c>
      <c r="K1364" s="45" t="n">
        <v>366</v>
      </c>
      <c r="L1364" s="46" t="n"/>
      <c r="M1364" s="47" t="n"/>
      <c r="N1364" s="47" t="inlineStr">
        <is>
          <t>UCor_9jRnNNZVzTuQ92PKsaQ</t>
        </is>
      </c>
      <c r="O1364" s="48" t="n">
        <v>44405.58333333334</v>
      </c>
      <c r="P1364" s="49" t="n">
        <v>44405</v>
      </c>
      <c r="Q1364" s="47" t="n">
        <v>1904</v>
      </c>
      <c r="R1364" s="47" t="inlineStr">
        <is>
          <t>No Video ID yet</t>
        </is>
      </c>
      <c r="S1364" s="49" t="n"/>
      <c r="T1364" s="49" t="n"/>
      <c r="U1364" s="47" t="inlineStr">
        <is>
          <t>Today J, Megan and the team head towards the Lake of Rage with hopes of catching a new SHINY team member.. but are they up to the task? Edited by: Riley Murtagh</t>
        </is>
      </c>
      <c r="V1364" s="47">
        <f>IF(AND(P1364&gt;=Calendar!$K$2,P1364&lt;EDATE(Calendar!$K$2,1),OR(Calendar!$K$4="*",N1364=Calendar!$K$4)),P1364*100+COUNTIFS($P$6:$P$3267,P1364,$Q$6:$Q$3267,"&lt;="&amp;Q1364,$N$6:$N$3267,Calendar!$K$4),"")</f>
        <v/>
      </c>
      <c r="W1364" s="47">
        <f>IF(AND(B1364=Queue!$C$4,OR(Queue!$K$4="*",N1364=Queue!$K$4)),Q1364,"")</f>
        <v/>
      </c>
    </row>
    <row r="1365">
      <c r="A1365" s="38">
        <f>IF(M1365="","",HYPERLINK("https://www.youtube.com/watch?v="&amp;M1365,"▶"))</f>
        <v/>
      </c>
      <c r="B1365" s="39">
        <f>IF(C1365&lt;&gt;"",C1365,IF(P1365&lt;=IFERROR(INDEX(tblChannels[Watched Through],MATCH(N1365,tblChannels[Channel ID],0)),0),"Watched","Unwatched"))</f>
        <v/>
      </c>
      <c r="C1365" s="40" t="n"/>
      <c r="D1365" s="41" t="n"/>
      <c r="E1365" s="42" t="n">
        <v>44404.84305555555</v>
      </c>
      <c r="F1365" s="50" t="inlineStr">
        <is>
          <t>Super Carlin Brothers</t>
        </is>
      </c>
      <c r="G1365" t="inlineStr">
        <is>
          <t>Who Is Giulia’s Monster? | Pixar Theory</t>
        </is>
      </c>
      <c r="H1365" s="44" t="n">
        <v>0.01200231481481481</v>
      </c>
      <c r="I1365" s="45" t="n">
        <v>585691</v>
      </c>
      <c r="J1365" s="45" t="n">
        <v>18389</v>
      </c>
      <c r="K1365" s="45" t="n">
        <v>1318</v>
      </c>
      <c r="L1365" s="46" t="n"/>
      <c r="M1365" s="47" t="n"/>
      <c r="N1365" s="47" t="inlineStr">
        <is>
          <t>UCKZo4N0lVPccBkSiuyVh4yg</t>
        </is>
      </c>
      <c r="O1365" s="48" t="n">
        <v>44405.00972222222</v>
      </c>
      <c r="P1365" s="49" t="n">
        <v>44404</v>
      </c>
      <c r="Q1365" s="47" t="n">
        <v>1903</v>
      </c>
      <c r="R1365" s="47" t="inlineStr">
        <is>
          <t>No Video ID yet</t>
        </is>
      </c>
      <c r="S1365" s="49" t="n"/>
      <c r="T1365" s="49" t="n"/>
      <c r="U1365" s="47" t="inlineStr">
        <is>
          <t>Go to to get 15% off your first order, free shipping, and a 100% satisfaction guarantee Go to to take care of yourself Today J dives into the ever growing world of the Pixar Universe to try and answer who is Giulia’s Monster from Luca! #SuperCarlinBrothers #Pixar</t>
        </is>
      </c>
      <c r="V1365" s="47">
        <f>IF(AND(P1365&gt;=Calendar!$K$2,P1365&lt;EDATE(Calendar!$K$2,1),OR(Calendar!$K$4="*",N1365=Calendar!$K$4)),P1365*100+COUNTIFS($P$6:$P$3267,P1365,$Q$6:$Q$3267,"&lt;="&amp;Q1365,$N$6:$N$3267,Calendar!$K$4),"")</f>
        <v/>
      </c>
      <c r="W1365" s="47">
        <f>IF(AND(B1365=Queue!$C$4,OR(Queue!$K$4="*",N1365=Queue!$K$4)),Q1365,"")</f>
        <v/>
      </c>
    </row>
    <row r="1366">
      <c r="A1366" s="38">
        <f>IF(M1366="","",HYPERLINK("https://www.youtube.com/watch?v="&amp;M1366,"▶"))</f>
        <v/>
      </c>
      <c r="B1366" s="39">
        <f>IF(C1366&lt;&gt;"",C1366,IF(P1366&lt;=IFERROR(INDEX(tblChannels[Watched Through],MATCH(N1366,tblChannels[Channel ID],0)),0),"Watched","Unwatched"))</f>
        <v/>
      </c>
      <c r="C1366" s="40" t="n"/>
      <c r="D1366" s="41" t="n"/>
      <c r="E1366" s="42" t="n">
        <v>44403.41666666666</v>
      </c>
      <c r="F1366" s="52" t="inlineStr">
        <is>
          <t>Super Carlin Gaming</t>
        </is>
      </c>
      <c r="G1366" t="inlineStr">
        <is>
          <t>JASMINE'S WRATH |  Pokémon SoulSilver Randomizer Nuzlocke #11</t>
        </is>
      </c>
      <c r="H1366" s="44" t="n">
        <v>0.02217592592592593</v>
      </c>
      <c r="I1366" s="45" t="n">
        <v>20111</v>
      </c>
      <c r="J1366" s="45" t="n">
        <v>1396</v>
      </c>
      <c r="K1366" s="45" t="n">
        <v>374</v>
      </c>
      <c r="L1366" s="46" t="n"/>
      <c r="M1366" s="47" t="n"/>
      <c r="N1366" s="47" t="inlineStr">
        <is>
          <t>UCor_9jRnNNZVzTuQ92PKsaQ</t>
        </is>
      </c>
      <c r="O1366" s="48" t="n">
        <v>44403.58333333334</v>
      </c>
      <c r="P1366" s="49" t="n">
        <v>44403</v>
      </c>
      <c r="Q1366" s="47" t="n">
        <v>1902</v>
      </c>
      <c r="R1366" s="47" t="inlineStr">
        <is>
          <t>No Video ID yet</t>
        </is>
      </c>
      <c r="S1366" s="49" t="n"/>
      <c r="T1366" s="49" t="n"/>
      <c r="U1366" s="47" t="inlineStr">
        <is>
          <t>J, Megan and the team head to Jasmine's Gym to try and win their 6th badge, but has the team recovered enough from their losses to handle her Pokemon?!</t>
        </is>
      </c>
      <c r="V1366" s="47">
        <f>IF(AND(P1366&gt;=Calendar!$K$2,P1366&lt;EDATE(Calendar!$K$2,1),OR(Calendar!$K$4="*",N1366=Calendar!$K$4)),P1366*100+COUNTIFS($P$6:$P$3267,P1366,$Q$6:$Q$3267,"&lt;="&amp;Q1366,$N$6:$N$3267,Calendar!$K$4),"")</f>
        <v/>
      </c>
      <c r="W1366" s="47">
        <f>IF(AND(B1366=Queue!$C$4,OR(Queue!$K$4="*",N1366=Queue!$K$4)),Q1366,"")</f>
        <v/>
      </c>
    </row>
    <row r="1367">
      <c r="A1367" s="38">
        <f>IF(M1367="","",HYPERLINK("https://www.youtube.com/watch?v="&amp;M1367,"▶"))</f>
        <v/>
      </c>
      <c r="B1367" s="39">
        <f>IF(C1367&lt;&gt;"",C1367,IF(P1367&lt;=IFERROR(INDEX(tblChannels[Watched Through],MATCH(N1367,tblChannels[Channel ID],0)),0),"Watched","Unwatched"))</f>
        <v/>
      </c>
      <c r="C1367" s="40" t="n"/>
      <c r="D1367" s="41" t="n"/>
      <c r="E1367" s="42" t="n">
        <v>44400.89236111111</v>
      </c>
      <c r="F1367" s="50" t="inlineStr">
        <is>
          <t>Super Carlin Brothers</t>
        </is>
      </c>
      <c r="G1367" t="inlineStr">
        <is>
          <t>SKREWTs Trivia SCB vs MuggleNet vs the World</t>
        </is>
      </c>
      <c r="H1367" s="44" t="n">
        <v>0.09283564814814815</v>
      </c>
      <c r="I1367" s="45" t="n">
        <v>57797</v>
      </c>
      <c r="J1367" s="45" t="n">
        <v>1659</v>
      </c>
      <c r="K1367" s="45" t="n">
        <v>144</v>
      </c>
      <c r="L1367" s="46" t="n"/>
      <c r="M1367" s="47" t="n"/>
      <c r="N1367" s="47" t="inlineStr">
        <is>
          <t>UCKZo4N0lVPccBkSiuyVh4yg</t>
        </is>
      </c>
      <c r="O1367" s="48" t="n">
        <v>44401.05902777778</v>
      </c>
      <c r="P1367" s="49" t="n">
        <v>44400</v>
      </c>
      <c r="Q1367" s="47" t="n">
        <v>1901</v>
      </c>
      <c r="R1367" s="47" t="inlineStr">
        <is>
          <t>No Video ID yet</t>
        </is>
      </c>
      <c r="S1367" s="49" t="n"/>
      <c r="T1367" s="49" t="n"/>
      <c r="U1367" s="47" t="inlineStr">
        <is>
          <t>Super Carlin Brothers and MuggleNet face off in the ultimate trivia challenge, for charity! Join us in the trivia game and raising funds for an amazing cause: It Gets Better! Learn more about It Gets Better here: And Check out MuggleNet here: HOW TO PLAY Kahoot with the Carlins! 1. Download the Kahoot app to your mobile device, or go to Kahoot.it to join the game! 2. We recommend having the stream and Kahoot on 2 different devices, but opening 2 windows on the same device works as well. 3. Shortly before we start the game, we will announce the game PIN. Enter the pin into your Kahoot App or at Kahoot.it 4. Enter a nickname for yourself and join the game! 5. Points are awarded for accuracy and speed! The questions and answers will appear on your screen so if your stream is behind, it may be different from what is on your quiz! You can always set your stream to 2x time to catch up. 6. Follow along with the stream and answer the questions as they appear in the stream! Choose the color and shape which corresponds with the correct answer for multiple choice. Write in your answers for fill in the blank answers! There will be a lot of typing answers, so you may want to turn OFF your autoc</t>
        </is>
      </c>
      <c r="V1367" s="47">
        <f>IF(AND(P1367&gt;=Calendar!$K$2,P1367&lt;EDATE(Calendar!$K$2,1),OR(Calendar!$K$4="*",N1367=Calendar!$K$4)),P1367*100+COUNTIFS($P$6:$P$3267,P1367,$Q$6:$Q$3267,"&lt;="&amp;Q1367,$N$6:$N$3267,Calendar!$K$4),"")</f>
        <v/>
      </c>
      <c r="W1367" s="47">
        <f>IF(AND(B1367=Queue!$C$4,OR(Queue!$K$4="*",N1367=Queue!$K$4)),Q1367,"")</f>
        <v/>
      </c>
    </row>
    <row r="1368">
      <c r="A1368" s="38">
        <f>IF(M1368="","",HYPERLINK("https://www.youtube.com/watch?v="&amp;M1368,"▶"))</f>
        <v/>
      </c>
      <c r="B1368" s="39">
        <f>IF(C1368&lt;&gt;"",C1368,IF(P1368&lt;=IFERROR(INDEX(tblChannels[Watched Through],MATCH(N1368,tblChannels[Channel ID],0)),0),"Watched","Unwatched"))</f>
        <v/>
      </c>
      <c r="C1368" s="40" t="n"/>
      <c r="D1368" s="41" t="n"/>
      <c r="E1368" s="42" t="n">
        <v>44400.41666666666</v>
      </c>
      <c r="F1368" s="50" t="inlineStr">
        <is>
          <t>Super Carlin Brothers</t>
        </is>
      </c>
      <c r="G1368" t="inlineStr">
        <is>
          <t>Everyone Loves a Trick Shot | Popcorn Culture</t>
        </is>
      </c>
      <c r="H1368" s="44" t="n">
        <v>0.05332175925925926</v>
      </c>
      <c r="I1368" s="45" t="n">
        <v>19146</v>
      </c>
      <c r="J1368" s="45" t="n">
        <v>825</v>
      </c>
      <c r="K1368" s="45" t="n">
        <v>86</v>
      </c>
      <c r="L1368" s="46" t="n"/>
      <c r="M1368" s="47" t="n"/>
      <c r="N1368" s="47" t="inlineStr">
        <is>
          <t>UCKZo4N0lVPccBkSiuyVh4yg</t>
        </is>
      </c>
      <c r="O1368" s="48" t="n">
        <v>44400.58333333334</v>
      </c>
      <c r="P1368" s="49" t="n">
        <v>44400</v>
      </c>
      <c r="Q1368" s="47" t="n">
        <v>1900</v>
      </c>
      <c r="R1368" s="47" t="inlineStr">
        <is>
          <t>No Video ID yet</t>
        </is>
      </c>
      <c r="S1368" s="49" t="n"/>
      <c r="T1368" s="49" t="n"/>
      <c r="U1368" s="47" t="inlineStr">
        <is>
          <t>In the 85th episode of the Pop, Ben and J discuss: ducks in cups, YouTube consumption, hand sanitizer, coyotes, giant sloths, fossils, clowns, real life conversations, Red Bull Space Jump, Pokemon Cards, silent auctions, and fun gifts to give. Coyote Vest: The Proposal Trailer: Eagle Kidnaps Dog: Tanque Loma Mystery: Hippos are Incredibly Dangerous: “Chernobyl” Amusement Park: Red Bull Space Jump:</t>
        </is>
      </c>
      <c r="V1368" s="47">
        <f>IF(AND(P1368&gt;=Calendar!$K$2,P1368&lt;EDATE(Calendar!$K$2,1),OR(Calendar!$K$4="*",N1368=Calendar!$K$4)),P1368*100+COUNTIFS($P$6:$P$3267,P1368,$Q$6:$Q$3267,"&lt;="&amp;Q1368,$N$6:$N$3267,Calendar!$K$4),"")</f>
        <v/>
      </c>
      <c r="W1368" s="47">
        <f>IF(AND(B1368=Queue!$C$4,OR(Queue!$K$4="*",N1368=Queue!$K$4)),Q1368,"")</f>
        <v/>
      </c>
    </row>
    <row r="1369">
      <c r="A1369" s="38">
        <f>IF(M1369="","",HYPERLINK("https://www.youtube.com/watch?v="&amp;M1369,"▶"))</f>
        <v/>
      </c>
      <c r="B1369" s="39">
        <f>IF(C1369&lt;&gt;"",C1369,IF(P1369&lt;=IFERROR(INDEX(tblChannels[Watched Through],MATCH(N1369,tblChannels[Channel ID],0)),0),"Watched","Unwatched"))</f>
        <v/>
      </c>
      <c r="C1369" s="40" t="n"/>
      <c r="D1369" s="41" t="n"/>
      <c r="E1369" s="42" t="n">
        <v>44400.25</v>
      </c>
      <c r="F1369" s="43" t="inlineStr">
        <is>
          <t>Popcorn Culture</t>
        </is>
      </c>
      <c r="G1369" t="inlineStr">
        <is>
          <t>85 - Everyone Loves a Trick Shot</t>
        </is>
      </c>
      <c r="H1369" s="44" t="n">
        <v>0.05271990740740741</v>
      </c>
      <c r="I1369" s="45" t="n">
        <v>1650</v>
      </c>
      <c r="J1369" s="45" t="n">
        <v>83</v>
      </c>
      <c r="K1369" s="45" t="n">
        <v>6</v>
      </c>
      <c r="L1369" s="46" t="n"/>
      <c r="M1369" s="47" t="n"/>
      <c r="N1369" s="47" t="inlineStr">
        <is>
          <t>UCHfIbq9thHPC8yrKjAdJgDA</t>
        </is>
      </c>
      <c r="O1369" s="48" t="n">
        <v>44400.41666666666</v>
      </c>
      <c r="P1369" s="49" t="n">
        <v>44400</v>
      </c>
      <c r="Q1369" s="47" t="n">
        <v>1899</v>
      </c>
      <c r="R1369" s="47" t="inlineStr">
        <is>
          <t>No Video ID yet</t>
        </is>
      </c>
      <c r="S1369" s="49" t="n"/>
      <c r="T1369" s="49" t="n"/>
      <c r="U1369" s="47" t="inlineStr">
        <is>
          <t>Ben and J discuss: ducks in cups, YouTube consumption, hand sanitizer, coyotes, giant sloths, fossils, clowns, real life conversations, Red Bull Space Jump, Pokemon Cards, silent auctions, and fun gifts to give. Coyote Vest: The Proposal Trailer: Eagle Kidnaps Dog: Tanque Loma Mystery: Hippos are Incredibly Dangerous: “Chernobyl” Amusement Park: Red Bull Space Jump:</t>
        </is>
      </c>
      <c r="V1369" s="47">
        <f>IF(AND(P1369&gt;=Calendar!$K$2,P1369&lt;EDATE(Calendar!$K$2,1),OR(Calendar!$K$4="*",N1369=Calendar!$K$4)),P1369*100+COUNTIFS($P$6:$P$3267,P1369,$Q$6:$Q$3267,"&lt;="&amp;Q1369,$N$6:$N$3267,Calendar!$K$4),"")</f>
        <v/>
      </c>
      <c r="W1369" s="47">
        <f>IF(AND(B1369=Queue!$C$4,OR(Queue!$K$4="*",N1369=Queue!$K$4)),Q1369,"")</f>
        <v/>
      </c>
    </row>
    <row r="1370">
      <c r="A1370" s="38">
        <f>IF(M1370="","",HYPERLINK("https://www.youtube.com/watch?v="&amp;M1370,"▶"))</f>
        <v/>
      </c>
      <c r="B1370" s="39">
        <f>IF(C1370&lt;&gt;"",C1370,IF(P1370&lt;=IFERROR(INDEX(tblChannels[Watched Through],MATCH(N1370,tblChannels[Channel ID],0)),0),"Watched","Unwatched"))</f>
        <v/>
      </c>
      <c r="C1370" s="40" t="n"/>
      <c r="D1370" s="41" t="n"/>
      <c r="E1370" s="42" t="n">
        <v>44399.68680555555</v>
      </c>
      <c r="F1370" s="50" t="inlineStr">
        <is>
          <t>Super Carlin Brothers</t>
        </is>
      </c>
      <c r="G1370" t="inlineStr">
        <is>
          <t>J vs Ben: ULTIMATE Harry Potter Summer TRIVIA Quiz</t>
        </is>
      </c>
      <c r="H1370" s="44" t="n">
        <v>0.01924768518518518</v>
      </c>
      <c r="I1370" s="45" t="n">
        <v>329810</v>
      </c>
      <c r="J1370" s="45" t="n">
        <v>11340</v>
      </c>
      <c r="K1370" s="45" t="n">
        <v>1094</v>
      </c>
      <c r="L1370" s="46" t="n"/>
      <c r="M1370" s="47" t="n"/>
      <c r="N1370" s="47" t="inlineStr">
        <is>
          <t>UCKZo4N0lVPccBkSiuyVh4yg</t>
        </is>
      </c>
      <c r="O1370" s="48" t="n">
        <v>44399.85347222222</v>
      </c>
      <c r="P1370" s="49" t="n">
        <v>44399</v>
      </c>
      <c r="Q1370" s="47" t="n">
        <v>1898</v>
      </c>
      <c r="R1370" s="47" t="inlineStr">
        <is>
          <t>No Video ID yet</t>
        </is>
      </c>
      <c r="S1370" s="49" t="n"/>
      <c r="T1370" s="49" t="n"/>
      <c r="U1370" s="47" t="inlineStr">
        <is>
          <t>Download the DoorDash app in the App Store and enter code JVSB2021 to get 25% off and zero delivery fees on your first order! Go to and enter code super at checkout to get 20% off your first monthly box! Today J and Ben face off once more to find out who knows more about what happens during the wild and crazy summers of Harry Potter! Edited by: Riley Murtagh #SuperCarlinBrothers #HarryPotter #JvsBen</t>
        </is>
      </c>
      <c r="V1370" s="47">
        <f>IF(AND(P1370&gt;=Calendar!$K$2,P1370&lt;EDATE(Calendar!$K$2,1),OR(Calendar!$K$4="*",N1370=Calendar!$K$4)),P1370*100+COUNTIFS($P$6:$P$3267,P1370,$Q$6:$Q$3267,"&lt;="&amp;Q1370,$N$6:$N$3267,Calendar!$K$4),"")</f>
        <v/>
      </c>
      <c r="W1370" s="47">
        <f>IF(AND(B1370=Queue!$C$4,OR(Queue!$K$4="*",N1370=Queue!$K$4)),Q1370,"")</f>
        <v/>
      </c>
    </row>
    <row r="1371">
      <c r="A1371" s="38">
        <f>IF(M1371="","",HYPERLINK("https://www.youtube.com/watch?v="&amp;M1371,"▶"))</f>
        <v/>
      </c>
      <c r="B1371" s="39">
        <f>IF(C1371&lt;&gt;"",C1371,IF(P1371&lt;=IFERROR(INDEX(tblChannels[Watched Through],MATCH(N1371,tblChannels[Channel ID],0)),0),"Watched","Unwatched"))</f>
        <v/>
      </c>
      <c r="C1371" s="40" t="n"/>
      <c r="D1371" s="41" t="n"/>
      <c r="E1371" s="42" t="n">
        <v>44398.41666666666</v>
      </c>
      <c r="F1371" s="52" t="inlineStr">
        <is>
          <t>Super Carlin Gaming</t>
        </is>
      </c>
      <c r="G1371" t="inlineStr">
        <is>
          <t>THE GOD OF SPACE |  Pokémon SoulSilver Randomizer Nuzlocke #10</t>
        </is>
      </c>
      <c r="H1371" s="44" t="n">
        <v>0.02543981481481481</v>
      </c>
      <c r="I1371" s="45" t="n">
        <v>22436</v>
      </c>
      <c r="J1371" s="45" t="n">
        <v>1755</v>
      </c>
      <c r="K1371" s="45" t="n">
        <v>712</v>
      </c>
      <c r="L1371" s="46" t="n"/>
      <c r="M1371" s="47" t="n"/>
      <c r="N1371" s="47" t="inlineStr">
        <is>
          <t>UCor_9jRnNNZVzTuQ92PKsaQ</t>
        </is>
      </c>
      <c r="O1371" s="48" t="n">
        <v>44398.58333333334</v>
      </c>
      <c r="P1371" s="49" t="n">
        <v>44398</v>
      </c>
      <c r="Q1371" s="47" t="n">
        <v>1897</v>
      </c>
      <c r="R1371" s="47" t="inlineStr">
        <is>
          <t>No Video ID yet</t>
        </is>
      </c>
      <c r="S1371" s="49" t="n"/>
      <c r="T1371" s="49" t="n"/>
      <c r="U1371" s="47" t="inlineStr">
        <is>
          <t>Today J, Miles and the team head to the Safari Zone to try an catch some new Pokemon and instead find themselves face to face with a GOD.</t>
        </is>
      </c>
      <c r="V1371" s="47">
        <f>IF(AND(P1371&gt;=Calendar!$K$2,P1371&lt;EDATE(Calendar!$K$2,1),OR(Calendar!$K$4="*",N1371=Calendar!$K$4)),P1371*100+COUNTIFS($P$6:$P$3267,P1371,$Q$6:$Q$3267,"&lt;="&amp;Q1371,$N$6:$N$3267,Calendar!$K$4),"")</f>
        <v/>
      </c>
      <c r="W1371" s="47">
        <f>IF(AND(B1371=Queue!$C$4,OR(Queue!$K$4="*",N1371=Queue!$K$4)),Q1371,"")</f>
        <v/>
      </c>
    </row>
    <row r="1372">
      <c r="A1372" s="38">
        <f>IF(M1372="","",HYPERLINK("https://www.youtube.com/watch?v="&amp;M1372,"▶"))</f>
        <v/>
      </c>
      <c r="B1372" s="39">
        <f>IF(C1372&lt;&gt;"",C1372,IF(P1372&lt;=IFERROR(INDEX(tblChannels[Watched Through],MATCH(N1372,tblChannels[Channel ID],0)),0),"Watched","Unwatched"))</f>
        <v/>
      </c>
      <c r="C1372" s="40" t="n"/>
      <c r="D1372" s="41" t="n"/>
      <c r="E1372" s="42" t="n">
        <v>44397.68541666667</v>
      </c>
      <c r="F1372" s="50" t="inlineStr">
        <is>
          <t>Super Carlin Brothers</t>
        </is>
      </c>
      <c r="G1372" t="inlineStr">
        <is>
          <t>Could Each Horcrux Become A New Voldemort? | Harry Potter Theory</t>
        </is>
      </c>
      <c r="H1372" s="44" t="n">
        <v>0.009768518518518518</v>
      </c>
      <c r="I1372" s="45" t="n">
        <v>482077</v>
      </c>
      <c r="J1372" s="45" t="n">
        <v>18094</v>
      </c>
      <c r="K1372" s="45" t="n">
        <v>1953</v>
      </c>
      <c r="L1372" s="46" t="n"/>
      <c r="M1372" s="47" t="n"/>
      <c r="N1372" s="47" t="inlineStr">
        <is>
          <t>UCKZo4N0lVPccBkSiuyVh4yg</t>
        </is>
      </c>
      <c r="O1372" s="48" t="n">
        <v>44397.85208333333</v>
      </c>
      <c r="P1372" s="49" t="n">
        <v>44397</v>
      </c>
      <c r="Q1372" s="47" t="n">
        <v>1896</v>
      </c>
      <c r="R1372" s="47" t="inlineStr">
        <is>
          <t>No Video ID yet</t>
        </is>
      </c>
      <c r="S1372" s="49" t="n"/>
      <c r="T1372" s="49" t="n"/>
      <c r="U1372" s="47" t="inlineStr">
        <is>
          <t>Today J dives into the Wizarding World of Harry Potter to determine if each Horcrux was capable of coming back as another Voldemort like Tom Riddle and the Diary in Chamber of Secrets! Play Trivia Friday or watch along here:</t>
        </is>
      </c>
      <c r="V1372" s="47">
        <f>IF(AND(P1372&gt;=Calendar!$K$2,P1372&lt;EDATE(Calendar!$K$2,1),OR(Calendar!$K$4="*",N1372=Calendar!$K$4)),P1372*100+COUNTIFS($P$6:$P$3267,P1372,$Q$6:$Q$3267,"&lt;="&amp;Q1372,$N$6:$N$3267,Calendar!$K$4),"")</f>
        <v/>
      </c>
      <c r="W1372" s="47">
        <f>IF(AND(B1372=Queue!$C$4,OR(Queue!$K$4="*",N1372=Queue!$K$4)),Q1372,"")</f>
        <v/>
      </c>
    </row>
    <row r="1373">
      <c r="A1373" s="38">
        <f>IF(M1373="","",HYPERLINK("https://www.youtube.com/watch?v="&amp;M1373,"▶"))</f>
        <v/>
      </c>
      <c r="B1373" s="39">
        <f>IF(C1373&lt;&gt;"",C1373,IF(P1373&lt;=IFERROR(INDEX(tblChannels[Watched Through],MATCH(N1373,tblChannels[Channel ID],0)),0),"Watched","Unwatched"))</f>
        <v/>
      </c>
      <c r="C1373" s="40" t="n"/>
      <c r="D1373" s="41" t="n"/>
      <c r="E1373" s="42" t="n">
        <v>44396.64583333334</v>
      </c>
      <c r="F1373" s="50" t="inlineStr">
        <is>
          <t>Super Carlin Brothers</t>
        </is>
      </c>
      <c r="G1373" t="inlineStr">
        <is>
          <t>A New TRIVIA Challenger Approaches?!</t>
        </is>
      </c>
      <c r="H1373" s="44" t="n">
        <v>0.001527777777777778</v>
      </c>
      <c r="I1373" s="45" t="n">
        <v>21807</v>
      </c>
      <c r="J1373" s="45" t="n">
        <v>1466</v>
      </c>
      <c r="K1373" s="45" t="n">
        <v>110</v>
      </c>
      <c r="L1373" s="46" t="n"/>
      <c r="M1373" s="47" t="n"/>
      <c r="N1373" s="47" t="inlineStr">
        <is>
          <t>UCKZo4N0lVPccBkSiuyVh4yg</t>
        </is>
      </c>
      <c r="O1373" s="48" t="n">
        <v>44396.8125</v>
      </c>
      <c r="P1373" s="49" t="n">
        <v>44396</v>
      </c>
      <c r="Q1373" s="47" t="n">
        <v>1895</v>
      </c>
      <c r="R1373" s="47" t="inlineStr">
        <is>
          <t>No Video ID yet</t>
        </is>
      </c>
      <c r="S1373" s="49" t="n"/>
      <c r="T1373" s="49" t="n"/>
      <c r="U1373" s="47" t="inlineStr">
        <is>
          <t>Super Carlin Brothers and MuggleNet face off in the ultimate trivia challenge, for charity! Join us in the trivia game and raising funds for an amazing cause: It Gets Better! Play Trivia Friday or watch along here: Edited by :: Jordan Balke</t>
        </is>
      </c>
      <c r="V1373" s="47">
        <f>IF(AND(P1373&gt;=Calendar!$K$2,P1373&lt;EDATE(Calendar!$K$2,1),OR(Calendar!$K$4="*",N1373=Calendar!$K$4)),P1373*100+COUNTIFS($P$6:$P$3267,P1373,$Q$6:$Q$3267,"&lt;="&amp;Q1373,$N$6:$N$3267,Calendar!$K$4),"")</f>
        <v/>
      </c>
      <c r="W1373" s="47">
        <f>IF(AND(B1373=Queue!$C$4,OR(Queue!$K$4="*",N1373=Queue!$K$4)),Q1373,"")</f>
        <v/>
      </c>
    </row>
    <row r="1374">
      <c r="A1374" s="38">
        <f>IF(M1374="","",HYPERLINK("https://www.youtube.com/watch?v="&amp;M1374,"▶"))</f>
        <v/>
      </c>
      <c r="B1374" s="39">
        <f>IF(C1374&lt;&gt;"",C1374,IF(P1374&lt;=IFERROR(INDEX(tblChannels[Watched Through],MATCH(N1374,tblChannels[Channel ID],0)),0),"Watched","Unwatched"))</f>
        <v/>
      </c>
      <c r="C1374" s="40" t="n"/>
      <c r="D1374" s="41" t="n"/>
      <c r="E1374" s="42" t="n">
        <v>44396.41666666666</v>
      </c>
      <c r="F1374" s="52" t="inlineStr">
        <is>
          <t>Super Carlin Gaming</t>
        </is>
      </c>
      <c r="G1374" t="inlineStr">
        <is>
          <t>The ROGUE LICKILICKY |  Pokémon SoulSilver Randomizer Nuzlocke #9</t>
        </is>
      </c>
      <c r="H1374" s="44" t="n">
        <v>0.03206018518518518</v>
      </c>
      <c r="I1374" s="45" t="n">
        <v>24672</v>
      </c>
      <c r="J1374" s="45" t="n">
        <v>1319</v>
      </c>
      <c r="K1374" s="45" t="n">
        <v>302</v>
      </c>
      <c r="L1374" s="46" t="n"/>
      <c r="M1374" s="47" t="n"/>
      <c r="N1374" s="47" t="inlineStr">
        <is>
          <t>UCor_9jRnNNZVzTuQ92PKsaQ</t>
        </is>
      </c>
      <c r="O1374" s="48" t="n">
        <v>44396.58333333334</v>
      </c>
      <c r="P1374" s="49" t="n">
        <v>44396</v>
      </c>
      <c r="Q1374" s="47" t="n">
        <v>1894</v>
      </c>
      <c r="R1374" s="47" t="inlineStr">
        <is>
          <t>No Video ID yet</t>
        </is>
      </c>
      <c r="S1374" s="49" t="n"/>
      <c r="T1374" s="49" t="n"/>
      <c r="U1374" s="47" t="inlineStr">
        <is>
          <t>This week J, Miles and the team head towards their 5th gym badge.. BUT will they even make it there in one piece...?</t>
        </is>
      </c>
      <c r="V1374" s="47">
        <f>IF(AND(P1374&gt;=Calendar!$K$2,P1374&lt;EDATE(Calendar!$K$2,1),OR(Calendar!$K$4="*",N1374=Calendar!$K$4)),P1374*100+COUNTIFS($P$6:$P$3267,P1374,$Q$6:$Q$3267,"&lt;="&amp;Q1374,$N$6:$N$3267,Calendar!$K$4),"")</f>
        <v/>
      </c>
      <c r="W1374" s="47">
        <f>IF(AND(B1374=Queue!$C$4,OR(Queue!$K$4="*",N1374=Queue!$K$4)),Q1374,"")</f>
        <v/>
      </c>
    </row>
    <row r="1375">
      <c r="A1375" s="38">
        <f>IF(M1375="","",HYPERLINK("https://www.youtube.com/watch?v="&amp;M1375,"▶"))</f>
        <v/>
      </c>
      <c r="B1375" s="39">
        <f>IF(C1375&lt;&gt;"",C1375,IF(P1375&lt;=IFERROR(INDEX(tblChannels[Watched Through],MATCH(N1375,tblChannels[Channel ID],0)),0),"Watched","Unwatched"))</f>
        <v/>
      </c>
      <c r="C1375" s="40" t="n"/>
      <c r="D1375" s="41" t="n"/>
      <c r="E1375" s="42" t="n">
        <v>44393.41666666666</v>
      </c>
      <c r="F1375" s="50" t="inlineStr">
        <is>
          <t>Super Carlin Brothers</t>
        </is>
      </c>
      <c r="G1375" t="inlineStr">
        <is>
          <t>Why Frozen is Our Favorite | Popcorn Culture</t>
        </is>
      </c>
      <c r="H1375" s="44" t="n">
        <v>0.04829861111111111</v>
      </c>
      <c r="I1375" s="45" t="n">
        <v>24237</v>
      </c>
      <c r="J1375" s="45" t="n">
        <v>1136</v>
      </c>
      <c r="K1375" s="45" t="n">
        <v>160</v>
      </c>
      <c r="L1375" s="46" t="n"/>
      <c r="M1375" s="47" t="n"/>
      <c r="N1375" s="47" t="inlineStr">
        <is>
          <t>UCKZo4N0lVPccBkSiuyVh4yg</t>
        </is>
      </c>
      <c r="O1375" s="48" t="n">
        <v>44393.58333333334</v>
      </c>
      <c r="P1375" s="49" t="n">
        <v>44393</v>
      </c>
      <c r="Q1375" s="47" t="n">
        <v>1893</v>
      </c>
      <c r="R1375" s="47" t="inlineStr">
        <is>
          <t>No Video ID yet</t>
        </is>
      </c>
      <c r="S1375" s="49" t="n"/>
      <c r="T1375" s="49" t="n"/>
      <c r="U1375" s="47" t="inlineStr">
        <is>
          <t>In the 84th Episode of the Pop, Ben and J discuss: mountain biking, fandom unity, two-way streets, hair changes, subversion of expectations, topics without obvious answers, and the Academy Awards. Spoilers for Last Jedi, Frozen, Zootopia, WandaVision. Berm: First Aid Kit: Adam Grant Post:</t>
        </is>
      </c>
      <c r="V1375" s="47">
        <f>IF(AND(P1375&gt;=Calendar!$K$2,P1375&lt;EDATE(Calendar!$K$2,1),OR(Calendar!$K$4="*",N1375=Calendar!$K$4)),P1375*100+COUNTIFS($P$6:$P$3267,P1375,$Q$6:$Q$3267,"&lt;="&amp;Q1375,$N$6:$N$3267,Calendar!$K$4),"")</f>
        <v/>
      </c>
      <c r="W1375" s="47">
        <f>IF(AND(B1375=Queue!$C$4,OR(Queue!$K$4="*",N1375=Queue!$K$4)),Q1375,"")</f>
        <v/>
      </c>
    </row>
    <row r="1376">
      <c r="A1376" s="38">
        <f>IF(M1376="","",HYPERLINK("https://www.youtube.com/watch?v="&amp;M1376,"▶"))</f>
        <v/>
      </c>
      <c r="B1376" s="39">
        <f>IF(C1376&lt;&gt;"",C1376,IF(P1376&lt;=IFERROR(INDEX(tblChannels[Watched Through],MATCH(N1376,tblChannels[Channel ID],0)),0),"Watched","Unwatched"))</f>
        <v/>
      </c>
      <c r="C1376" s="40" t="n"/>
      <c r="D1376" s="41" t="n"/>
      <c r="E1376" s="42" t="n">
        <v>44393.25</v>
      </c>
      <c r="F1376" s="43" t="inlineStr">
        <is>
          <t>Popcorn Culture</t>
        </is>
      </c>
      <c r="G1376" t="inlineStr">
        <is>
          <t>84 - Why Frozen is Our Favorite</t>
        </is>
      </c>
      <c r="H1376" s="44" t="n">
        <v>0.04642361111111111</v>
      </c>
      <c r="I1376" s="45" t="n">
        <v>1901</v>
      </c>
      <c r="J1376" s="45" t="n">
        <v>68</v>
      </c>
      <c r="K1376" s="45" t="n">
        <v>10</v>
      </c>
      <c r="L1376" s="46" t="n"/>
      <c r="M1376" s="47" t="n"/>
      <c r="N1376" s="47" t="inlineStr">
        <is>
          <t>UCHfIbq9thHPC8yrKjAdJgDA</t>
        </is>
      </c>
      <c r="O1376" s="48" t="n">
        <v>44393.41666666666</v>
      </c>
      <c r="P1376" s="49" t="n">
        <v>44393</v>
      </c>
      <c r="Q1376" s="47" t="n">
        <v>1892</v>
      </c>
      <c r="R1376" s="47" t="inlineStr">
        <is>
          <t>No Video ID yet</t>
        </is>
      </c>
      <c r="S1376" s="49" t="n"/>
      <c r="T1376" s="49" t="n"/>
      <c r="U1376" s="47" t="inlineStr">
        <is>
          <t>Ben and J discuss: mountain biking, fandom unity, two-way streets, hair changes, subversion of expectations, topics without obvious answers, and the Academy Awards. Spoilers for Last Jedi, Frozen, Zootopia, WandaVision. Berm: First Aid Kit: Adam Grant Post:</t>
        </is>
      </c>
      <c r="V1376" s="47">
        <f>IF(AND(P1376&gt;=Calendar!$K$2,P1376&lt;EDATE(Calendar!$K$2,1),OR(Calendar!$K$4="*",N1376=Calendar!$K$4)),P1376*100+COUNTIFS($P$6:$P$3267,P1376,$Q$6:$Q$3267,"&lt;="&amp;Q1376,$N$6:$N$3267,Calendar!$K$4),"")</f>
        <v/>
      </c>
      <c r="W1376" s="47">
        <f>IF(AND(B1376=Queue!$C$4,OR(Queue!$K$4="*",N1376=Queue!$K$4)),Q1376,"")</f>
        <v/>
      </c>
    </row>
    <row r="1377">
      <c r="A1377" s="38">
        <f>IF(M1377="","",HYPERLINK("https://www.youtube.com/watch?v="&amp;M1377,"▶"))</f>
        <v/>
      </c>
      <c r="B1377" s="39">
        <f>IF(C1377&lt;&gt;"",C1377,IF(P1377&lt;=IFERROR(INDEX(tblChannels[Watched Through],MATCH(N1377,tblChannels[Channel ID],0)),0),"Watched","Unwatched"))</f>
        <v/>
      </c>
      <c r="C1377" s="40" t="n"/>
      <c r="D1377" s="41" t="n"/>
      <c r="E1377" s="42" t="n">
        <v>44392.70416666667</v>
      </c>
      <c r="F1377" s="50" t="inlineStr">
        <is>
          <t>Super Carlin Brothers</t>
        </is>
      </c>
      <c r="G1377" t="inlineStr">
        <is>
          <t>Black Widow REVIEW | Was Our Theory Better?</t>
        </is>
      </c>
      <c r="H1377" s="44" t="n">
        <v>0.03065972222222222</v>
      </c>
      <c r="I1377" s="45" t="n">
        <v>93720</v>
      </c>
      <c r="J1377" s="45" t="n">
        <v>4638</v>
      </c>
      <c r="K1377" s="45" t="n">
        <v>1307</v>
      </c>
      <c r="L1377" s="46" t="n"/>
      <c r="M1377" s="47" t="n"/>
      <c r="N1377" s="47" t="inlineStr">
        <is>
          <t>UCKZo4N0lVPccBkSiuyVh4yg</t>
        </is>
      </c>
      <c r="O1377" s="48" t="n">
        <v>44392.87083333333</v>
      </c>
      <c r="P1377" s="49" t="n">
        <v>44392</v>
      </c>
      <c r="Q1377" s="47" t="n">
        <v>1891</v>
      </c>
      <c r="R1377" s="47" t="inlineStr">
        <is>
          <t>No Video ID yet</t>
        </is>
      </c>
      <c r="S1377" s="49" t="n"/>
      <c r="T1377" s="49" t="n"/>
      <c r="U1377" s="47" t="inlineStr">
        <is>
          <t>Go to to get 10% off your first month! Today J and Ben give their full spoiler review of the latest movie to join the Marvel Cinematic Universe: Black Widow! #SuperCarlinBrothers #Marvel</t>
        </is>
      </c>
      <c r="V1377" s="47">
        <f>IF(AND(P1377&gt;=Calendar!$K$2,P1377&lt;EDATE(Calendar!$K$2,1),OR(Calendar!$K$4="*",N1377=Calendar!$K$4)),P1377*100+COUNTIFS($P$6:$P$3267,P1377,$Q$6:$Q$3267,"&lt;="&amp;Q1377,$N$6:$N$3267,Calendar!$K$4),"")</f>
        <v/>
      </c>
      <c r="W1377" s="47">
        <f>IF(AND(B1377=Queue!$C$4,OR(Queue!$K$4="*",N1377=Queue!$K$4)),Q1377,"")</f>
        <v/>
      </c>
    </row>
    <row r="1378">
      <c r="A1378" s="38">
        <f>IF(M1378="","",HYPERLINK("https://www.youtube.com/watch?v="&amp;M1378,"▶"))</f>
        <v/>
      </c>
      <c r="B1378" s="39">
        <f>IF(C1378&lt;&gt;"",C1378,IF(P1378&lt;=IFERROR(INDEX(tblChannels[Watched Through],MATCH(N1378,tblChannels[Channel ID],0)),0),"Watched","Unwatched"))</f>
        <v/>
      </c>
      <c r="C1378" s="40" t="n"/>
      <c r="D1378" s="41" t="n"/>
      <c r="E1378" s="42" t="n">
        <v>44391.41666666666</v>
      </c>
      <c r="F1378" s="52" t="inlineStr">
        <is>
          <t>Super Carlin Gaming</t>
        </is>
      </c>
      <c r="G1378" t="inlineStr">
        <is>
          <t>The Dangerous Lighthouse |  Pokémon SoulSilver Randomizer Nuzlocke #8</t>
        </is>
      </c>
      <c r="H1378" s="44" t="n">
        <v>0.02471064814814815</v>
      </c>
      <c r="I1378" s="45" t="n">
        <v>26438</v>
      </c>
      <c r="J1378" s="45" t="n">
        <v>1415</v>
      </c>
      <c r="K1378" s="45" t="n">
        <v>315</v>
      </c>
      <c r="L1378" s="46" t="n"/>
      <c r="M1378" s="47" t="n"/>
      <c r="N1378" s="47" t="inlineStr">
        <is>
          <t>UCor_9jRnNNZVzTuQ92PKsaQ</t>
        </is>
      </c>
      <c r="O1378" s="48" t="n">
        <v>44391.58333333334</v>
      </c>
      <c r="P1378" s="49" t="n">
        <v>44391</v>
      </c>
      <c r="Q1378" s="47" t="n">
        <v>1890</v>
      </c>
      <c r="R1378" s="47" t="inlineStr">
        <is>
          <t>No Video ID yet</t>
        </is>
      </c>
      <c r="S1378" s="49" t="n"/>
      <c r="T1378" s="49" t="n"/>
      <c r="U1378" s="47" t="inlineStr">
        <is>
          <t>Today J and the team head towards their 5th gym badge and attempt to rescue Ampharos from the Lighthouse... but there are many dangers lurking within.. Get your Rain Dance Team Print!</t>
        </is>
      </c>
      <c r="V1378" s="47">
        <f>IF(AND(P1378&gt;=Calendar!$K$2,P1378&lt;EDATE(Calendar!$K$2,1),OR(Calendar!$K$4="*",N1378=Calendar!$K$4)),P1378*100+COUNTIFS($P$6:$P$3267,P1378,$Q$6:$Q$3267,"&lt;="&amp;Q1378,$N$6:$N$3267,Calendar!$K$4),"")</f>
        <v/>
      </c>
      <c r="W1378" s="47">
        <f>IF(AND(B1378=Queue!$C$4,OR(Queue!$K$4="*",N1378=Queue!$K$4)),Q1378,"")</f>
        <v/>
      </c>
    </row>
    <row r="1379">
      <c r="A1379" s="38">
        <f>IF(M1379="","",HYPERLINK("https://www.youtube.com/watch?v="&amp;M1379,"▶"))</f>
        <v/>
      </c>
      <c r="B1379" s="39">
        <f>IF(C1379&lt;&gt;"",C1379,IF(P1379&lt;=IFERROR(INDEX(tblChannels[Watched Through],MATCH(N1379,tblChannels[Channel ID],0)),0),"Watched","Unwatched"))</f>
        <v/>
      </c>
      <c r="C1379" s="40" t="n"/>
      <c r="D1379" s="41" t="n"/>
      <c r="E1379" s="42" t="n">
        <v>44390.71875</v>
      </c>
      <c r="F1379" s="50" t="inlineStr">
        <is>
          <t>Super Carlin Brothers</t>
        </is>
      </c>
      <c r="G1379" t="inlineStr">
        <is>
          <t>Why Hela CAN Hold Thor’s Hammer | Marvel Theory</t>
        </is>
      </c>
      <c r="H1379" s="44" t="n">
        <v>0.00880787037037037</v>
      </c>
      <c r="I1379" s="45" t="n">
        <v>252007</v>
      </c>
      <c r="J1379" s="45" t="n">
        <v>13239</v>
      </c>
      <c r="K1379" s="45" t="n">
        <v>1674</v>
      </c>
      <c r="L1379" s="46" t="n"/>
      <c r="M1379" s="47" t="n"/>
      <c r="N1379" s="47" t="inlineStr">
        <is>
          <t>UCKZo4N0lVPccBkSiuyVh4yg</t>
        </is>
      </c>
      <c r="O1379" s="48" t="n">
        <v>44390.88541666666</v>
      </c>
      <c r="P1379" s="49" t="n">
        <v>44390</v>
      </c>
      <c r="Q1379" s="47" t="n">
        <v>1889</v>
      </c>
      <c r="R1379" s="47" t="inlineStr">
        <is>
          <t>No Video ID yet</t>
        </is>
      </c>
      <c r="S1379" s="49" t="n"/>
      <c r="T1379" s="49" t="n"/>
      <c r="U1379" s="47" t="inlineStr">
        <is>
          <t>Go to to get an extra 3 months FREE! Today J dives into the Marvel Cinematic Universe to reveal HOW and WHY Hela is able to catch (and subsequently destroy) Mjolnir despite DEFINITELY not being worthy! #SuperCarlinBrothers #Marvel</t>
        </is>
      </c>
      <c r="V1379" s="47">
        <f>IF(AND(P1379&gt;=Calendar!$K$2,P1379&lt;EDATE(Calendar!$K$2,1),OR(Calendar!$K$4="*",N1379=Calendar!$K$4)),P1379*100+COUNTIFS($P$6:$P$3267,P1379,$Q$6:$Q$3267,"&lt;="&amp;Q1379,$N$6:$N$3267,Calendar!$K$4),"")</f>
        <v/>
      </c>
      <c r="W1379" s="47">
        <f>IF(AND(B1379=Queue!$C$4,OR(Queue!$K$4="*",N1379=Queue!$K$4)),Q1379,"")</f>
        <v/>
      </c>
    </row>
    <row r="1380">
      <c r="A1380" s="38">
        <f>IF(M1380="","",HYPERLINK("https://www.youtube.com/watch?v="&amp;M1380,"▶"))</f>
        <v/>
      </c>
      <c r="B1380" s="39">
        <f>IF(C1380&lt;&gt;"",C1380,IF(P1380&lt;=IFERROR(INDEX(tblChannels[Watched Through],MATCH(N1380,tblChannels[Channel ID],0)),0),"Watched","Unwatched"))</f>
        <v/>
      </c>
      <c r="C1380" s="40" t="n"/>
      <c r="D1380" s="41" t="n"/>
      <c r="E1380" s="42" t="n">
        <v>44389.41666666666</v>
      </c>
      <c r="F1380" s="52" t="inlineStr">
        <is>
          <t>Super Carlin Gaming</t>
        </is>
      </c>
      <c r="G1380" t="inlineStr">
        <is>
          <t>ENTER THE DRAGON | Pokémon SoulSilver Randomizer Nuzlocke #7</t>
        </is>
      </c>
      <c r="H1380" s="44" t="n">
        <v>0.03612268518518519</v>
      </c>
      <c r="I1380" s="45" t="n">
        <v>31215</v>
      </c>
      <c r="J1380" s="45" t="n">
        <v>1716</v>
      </c>
      <c r="K1380" s="45" t="n">
        <v>470</v>
      </c>
      <c r="L1380" s="46" t="n"/>
      <c r="M1380" s="47" t="n"/>
      <c r="N1380" s="47" t="inlineStr">
        <is>
          <t>UCor_9jRnNNZVzTuQ92PKsaQ</t>
        </is>
      </c>
      <c r="O1380" s="48" t="n">
        <v>44389.58333333334</v>
      </c>
      <c r="P1380" s="49" t="n">
        <v>44389</v>
      </c>
      <c r="Q1380" s="47" t="n">
        <v>1888</v>
      </c>
      <c r="R1380" s="47" t="inlineStr">
        <is>
          <t>No Video ID yet</t>
        </is>
      </c>
      <c r="S1380" s="49" t="n"/>
      <c r="T1380" s="49" t="n"/>
      <c r="U1380" s="47" t="inlineStr">
        <is>
          <t>J, Miles and the team head to Ecruteak City to try and earn their 4th gym badge... also we find out if we catch the Moltres!</t>
        </is>
      </c>
      <c r="V1380" s="47">
        <f>IF(AND(P1380&gt;=Calendar!$K$2,P1380&lt;EDATE(Calendar!$K$2,1),OR(Calendar!$K$4="*",N1380=Calendar!$K$4)),P1380*100+COUNTIFS($P$6:$P$3267,P1380,$Q$6:$Q$3267,"&lt;="&amp;Q1380,$N$6:$N$3267,Calendar!$K$4),"")</f>
        <v/>
      </c>
      <c r="W1380" s="47">
        <f>IF(AND(B1380=Queue!$C$4,OR(Queue!$K$4="*",N1380=Queue!$K$4)),Q1380,"")</f>
        <v/>
      </c>
    </row>
    <row r="1381">
      <c r="A1381" s="38">
        <f>IF(M1381="","",HYPERLINK("https://www.youtube.com/watch?v="&amp;M1381,"▶"))</f>
        <v/>
      </c>
      <c r="B1381" s="39">
        <f>IF(C1381&lt;&gt;"",C1381,IF(P1381&lt;=IFERROR(INDEX(tblChannels[Watched Through],MATCH(N1381,tblChannels[Channel ID],0)),0),"Watched","Unwatched"))</f>
        <v/>
      </c>
      <c r="C1381" s="40" t="n"/>
      <c r="D1381" s="41" t="n"/>
      <c r="E1381" s="42" t="n">
        <v>44386.42708333334</v>
      </c>
      <c r="F1381" s="50" t="inlineStr">
        <is>
          <t>Super Carlin Brothers</t>
        </is>
      </c>
      <c r="G1381" t="inlineStr">
        <is>
          <t>You vs The Mirror | Popcorn Culture</t>
        </is>
      </c>
      <c r="H1381" s="44" t="n">
        <v>0.05289351851851852</v>
      </c>
      <c r="I1381" s="45" t="n">
        <v>25145</v>
      </c>
      <c r="J1381" s="45" t="n">
        <v>841</v>
      </c>
      <c r="K1381" s="45" t="n">
        <v>109</v>
      </c>
      <c r="L1381" s="46" t="n"/>
      <c r="M1381" s="47" t="n"/>
      <c r="N1381" s="47" t="inlineStr">
        <is>
          <t>UCKZo4N0lVPccBkSiuyVh4yg</t>
        </is>
      </c>
      <c r="O1381" s="48" t="n">
        <v>44386.59375</v>
      </c>
      <c r="P1381" s="49" t="n">
        <v>44386</v>
      </c>
      <c r="Q1381" s="47" t="n">
        <v>1887</v>
      </c>
      <c r="R1381" s="47" t="inlineStr">
        <is>
          <t>No Video ID yet</t>
        </is>
      </c>
      <c r="S1381" s="49" t="n"/>
      <c r="T1381" s="49" t="n"/>
      <c r="U1381" s="47" t="inlineStr">
        <is>
          <t>Ben and J discuss: having ideas early, the metagame, defining “a lot”, starting new things, lost objects, travel compartmentalization, mirrors and photographs, information you shouldn’t have, and fake butt dials. Cola for Nausea: Glasses and Photography:</t>
        </is>
      </c>
      <c r="V1381" s="47">
        <f>IF(AND(P1381&gt;=Calendar!$K$2,P1381&lt;EDATE(Calendar!$K$2,1),OR(Calendar!$K$4="*",N1381=Calendar!$K$4)),P1381*100+COUNTIFS($P$6:$P$3267,P1381,$Q$6:$Q$3267,"&lt;="&amp;Q1381,$N$6:$N$3267,Calendar!$K$4),"")</f>
        <v/>
      </c>
      <c r="W1381" s="47">
        <f>IF(AND(B1381=Queue!$C$4,OR(Queue!$K$4="*",N1381=Queue!$K$4)),Q1381,"")</f>
        <v/>
      </c>
    </row>
    <row r="1382">
      <c r="A1382" s="38">
        <f>IF(M1382="","",HYPERLINK("https://www.youtube.com/watch?v="&amp;M1382,"▶"))</f>
        <v/>
      </c>
      <c r="B1382" s="39">
        <f>IF(C1382&lt;&gt;"",C1382,IF(P1382&lt;=IFERROR(INDEX(tblChannels[Watched Through],MATCH(N1382,tblChannels[Channel ID],0)),0),"Watched","Unwatched"))</f>
        <v/>
      </c>
      <c r="C1382" s="40" t="n"/>
      <c r="D1382" s="41" t="n"/>
      <c r="E1382" s="42" t="n">
        <v>44386.25</v>
      </c>
      <c r="F1382" s="43" t="inlineStr">
        <is>
          <t>Popcorn Culture</t>
        </is>
      </c>
      <c r="G1382" t="inlineStr">
        <is>
          <t>83 - Trapped Between a Vacuum and a Squeaky Door Place</t>
        </is>
      </c>
      <c r="H1382" s="44" t="n">
        <v>0.05048611111111111</v>
      </c>
      <c r="I1382" s="45" t="n">
        <v>2761</v>
      </c>
      <c r="J1382" s="45" t="n">
        <v>77</v>
      </c>
      <c r="K1382" s="45" t="n">
        <v>9</v>
      </c>
      <c r="L1382" s="46" t="n"/>
      <c r="M1382" s="47" t="n"/>
      <c r="N1382" s="47" t="inlineStr">
        <is>
          <t>UCHfIbq9thHPC8yrKjAdJgDA</t>
        </is>
      </c>
      <c r="O1382" s="48" t="n">
        <v>44386.41666666666</v>
      </c>
      <c r="P1382" s="49" t="n">
        <v>44386</v>
      </c>
      <c r="Q1382" s="47" t="n">
        <v>1886</v>
      </c>
      <c r="R1382" s="47" t="inlineStr">
        <is>
          <t>No Video ID yet</t>
        </is>
      </c>
      <c r="S1382" s="49" t="n"/>
      <c r="T1382" s="49" t="n"/>
      <c r="U1382" s="47" t="inlineStr">
        <is>
          <t>Ben and J discuss: having ideas early, the metagame, defining “a lot”, starting new things, lost objects, travel compartmentalization, mirrors and photographs, information you shouldn’t have, and fake butt dials. Cola for Nausea: Glasses and Photography:</t>
        </is>
      </c>
      <c r="V1382" s="47">
        <f>IF(AND(P1382&gt;=Calendar!$K$2,P1382&lt;EDATE(Calendar!$K$2,1),OR(Calendar!$K$4="*",N1382=Calendar!$K$4)),P1382*100+COUNTIFS($P$6:$P$3267,P1382,$Q$6:$Q$3267,"&lt;="&amp;Q1382,$N$6:$N$3267,Calendar!$K$4),"")</f>
        <v/>
      </c>
      <c r="W1382" s="47">
        <f>IF(AND(B1382=Queue!$C$4,OR(Queue!$K$4="*",N1382=Queue!$K$4)),Q1382,"")</f>
        <v/>
      </c>
    </row>
    <row r="1383">
      <c r="A1383" s="38">
        <f>IF(M1383="","",HYPERLINK("https://www.youtube.com/watch?v="&amp;M1383,"▶"))</f>
        <v/>
      </c>
      <c r="B1383" s="39">
        <f>IF(C1383&lt;&gt;"",C1383,IF(P1383&lt;=IFERROR(INDEX(tblChannels[Watched Through],MATCH(N1383,tblChannels[Channel ID],0)),0),"Watched","Unwatched"))</f>
        <v/>
      </c>
      <c r="C1383" s="40" t="n"/>
      <c r="D1383" s="41" t="n"/>
      <c r="E1383" s="42" t="n">
        <v>44385.62291666667</v>
      </c>
      <c r="F1383" s="50" t="inlineStr">
        <is>
          <t>Super Carlin Brothers</t>
        </is>
      </c>
      <c r="G1383" t="inlineStr">
        <is>
          <t>J vs Ben: ULTIMATE Black Widow TRIVIA Quiz</t>
        </is>
      </c>
      <c r="H1383" s="44" t="n">
        <v>0.01775462962962963</v>
      </c>
      <c r="I1383" s="45" t="n">
        <v>98238</v>
      </c>
      <c r="J1383" s="45" t="n">
        <v>4827</v>
      </c>
      <c r="K1383" s="45" t="n">
        <v>718</v>
      </c>
      <c r="L1383" s="46" t="n"/>
      <c r="M1383" s="47" t="n"/>
      <c r="N1383" s="47" t="inlineStr">
        <is>
          <t>UCKZo4N0lVPccBkSiuyVh4yg</t>
        </is>
      </c>
      <c r="O1383" s="48" t="n">
        <v>44385.78958333333</v>
      </c>
      <c r="P1383" s="49" t="n">
        <v>44385</v>
      </c>
      <c r="Q1383" s="47" t="n">
        <v>1885</v>
      </c>
      <c r="R1383" s="47" t="inlineStr">
        <is>
          <t>No Video ID yet</t>
        </is>
      </c>
      <c r="S1383" s="49" t="n"/>
      <c r="T1383" s="49" t="n"/>
      <c r="U1383" s="47" t="inlineStr">
        <is>
          <t>Go to to get an extra 3 months for free! Download the DoorDash app in the App Store and enter code JVSB2021 to get 25% off and zero delivery fees on your first order Today J and Ben face off once more to find out who knows more about Marvel’s greatest spy: Natasha Romanov aka Black Widow! #SuperCarlinBrothers #BlackWidow #JvsBen</t>
        </is>
      </c>
      <c r="V1383" s="47">
        <f>IF(AND(P1383&gt;=Calendar!$K$2,P1383&lt;EDATE(Calendar!$K$2,1),OR(Calendar!$K$4="*",N1383=Calendar!$K$4)),P1383*100+COUNTIFS($P$6:$P$3267,P1383,$Q$6:$Q$3267,"&lt;="&amp;Q1383,$N$6:$N$3267,Calendar!$K$4),"")</f>
        <v/>
      </c>
      <c r="W1383" s="47">
        <f>IF(AND(B1383=Queue!$C$4,OR(Queue!$K$4="*",N1383=Queue!$K$4)),Q1383,"")</f>
        <v/>
      </c>
    </row>
    <row r="1384">
      <c r="A1384" s="38">
        <f>IF(M1384="","",HYPERLINK("https://www.youtube.com/watch?v="&amp;M1384,"▶"))</f>
        <v/>
      </c>
      <c r="B1384" s="39">
        <f>IF(C1384&lt;&gt;"",C1384,IF(P1384&lt;=IFERROR(INDEX(tblChannels[Watched Through],MATCH(N1384,tblChannels[Channel ID],0)),0),"Watched","Unwatched"))</f>
        <v/>
      </c>
      <c r="C1384" s="40" t="n"/>
      <c r="D1384" s="41" t="n"/>
      <c r="E1384" s="42" t="n">
        <v>44384.41666666666</v>
      </c>
      <c r="F1384" s="52" t="inlineStr">
        <is>
          <t>Super Carlin Gaming</t>
        </is>
      </c>
      <c r="G1384" t="inlineStr">
        <is>
          <t>THE PHOENIX COMETH |  Pokémon SoulSilver Randomizer Nuzlocke #6</t>
        </is>
      </c>
      <c r="H1384" s="44" t="n">
        <v>0.03270833333333333</v>
      </c>
      <c r="I1384" s="45" t="n">
        <v>30672</v>
      </c>
      <c r="J1384" s="45" t="n">
        <v>1273</v>
      </c>
      <c r="K1384" s="45" t="n">
        <v>659</v>
      </c>
      <c r="L1384" s="46" t="n"/>
      <c r="M1384" s="47" t="n"/>
      <c r="N1384" s="47" t="inlineStr">
        <is>
          <t>UCor_9jRnNNZVzTuQ92PKsaQ</t>
        </is>
      </c>
      <c r="O1384" s="48" t="n">
        <v>44384.58333333334</v>
      </c>
      <c r="P1384" s="49" t="n">
        <v>44384</v>
      </c>
      <c r="Q1384" s="47" t="n">
        <v>1884</v>
      </c>
      <c r="R1384" s="47" t="inlineStr">
        <is>
          <t>No Video ID yet</t>
        </is>
      </c>
      <c r="S1384" s="49" t="n"/>
      <c r="T1384" s="49" t="n"/>
      <c r="U1384" s="47" t="inlineStr">
        <is>
          <t>This week J, Miles and the team head towards their 4th gym badge and encounter many new potential and powerful team members, but will they be able survive and catch them?</t>
        </is>
      </c>
      <c r="V1384" s="47">
        <f>IF(AND(P1384&gt;=Calendar!$K$2,P1384&lt;EDATE(Calendar!$K$2,1),OR(Calendar!$K$4="*",N1384=Calendar!$K$4)),P1384*100+COUNTIFS($P$6:$P$3267,P1384,$Q$6:$Q$3267,"&lt;="&amp;Q1384,$N$6:$N$3267,Calendar!$K$4),"")</f>
        <v/>
      </c>
      <c r="W1384" s="47">
        <f>IF(AND(B1384=Queue!$C$4,OR(Queue!$K$4="*",N1384=Queue!$K$4)),Q1384,"")</f>
        <v/>
      </c>
    </row>
    <row r="1385">
      <c r="A1385" s="38">
        <f>IF(M1385="","",HYPERLINK("https://www.youtube.com/watch?v="&amp;M1385,"▶"))</f>
        <v/>
      </c>
      <c r="B1385" s="39">
        <f>IF(C1385&lt;&gt;"",C1385,IF(P1385&lt;=IFERROR(INDEX(tblChannels[Watched Through],MATCH(N1385,tblChannels[Channel ID],0)),0),"Watched","Unwatched"))</f>
        <v/>
      </c>
      <c r="C1385" s="40" t="n"/>
      <c r="D1385" s="41" t="n"/>
      <c r="E1385" s="42" t="n">
        <v>44383.71805555555</v>
      </c>
      <c r="F1385" s="50" t="inlineStr">
        <is>
          <t>Super Carlin Brothers</t>
        </is>
      </c>
      <c r="G1385" t="inlineStr">
        <is>
          <t>Which Harry Potter Characters Could Lift Thor's Hammer? | Harry Potter Theory</t>
        </is>
      </c>
      <c r="H1385" s="44" t="n">
        <v>0.01265046296296296</v>
      </c>
      <c r="I1385" s="45" t="n">
        <v>271590</v>
      </c>
      <c r="J1385" s="45" t="n">
        <v>12848</v>
      </c>
      <c r="K1385" s="45" t="n">
        <v>2723</v>
      </c>
      <c r="L1385" s="46" t="n"/>
      <c r="M1385" s="47" t="n"/>
      <c r="N1385" s="47" t="inlineStr">
        <is>
          <t>UCKZo4N0lVPccBkSiuyVh4yg</t>
        </is>
      </c>
      <c r="O1385" s="48" t="n">
        <v>44383.88472222222</v>
      </c>
      <c r="P1385" s="49" t="n">
        <v>44383</v>
      </c>
      <c r="Q1385" s="47" t="n">
        <v>1883</v>
      </c>
      <c r="R1385" s="47" t="inlineStr">
        <is>
          <t>No Video ID yet</t>
        </is>
      </c>
      <c r="S1385" s="49" t="n"/>
      <c r="T1385" s="49" t="n"/>
      <c r="U1385" s="47" t="inlineStr">
        <is>
          <t>Go to and use code SCB to save $75 on your starter kit! NEW INSTAGRAM ►► Today J dives into the Wizarding World of Harry Potter to try and determine which characters could lift Thor's Mighty Hammer: Mjolnir!</t>
        </is>
      </c>
      <c r="V1385" s="47">
        <f>IF(AND(P1385&gt;=Calendar!$K$2,P1385&lt;EDATE(Calendar!$K$2,1),OR(Calendar!$K$4="*",N1385=Calendar!$K$4)),P1385*100+COUNTIFS($P$6:$P$3267,P1385,$Q$6:$Q$3267,"&lt;="&amp;Q1385,$N$6:$N$3267,Calendar!$K$4),"")</f>
        <v/>
      </c>
      <c r="W1385" s="47">
        <f>IF(AND(B1385=Queue!$C$4,OR(Queue!$K$4="*",N1385=Queue!$K$4)),Q1385,"")</f>
        <v/>
      </c>
    </row>
    <row r="1386">
      <c r="A1386" s="38">
        <f>IF(M1386="","",HYPERLINK("https://www.youtube.com/watch?v="&amp;M1386,"▶"))</f>
        <v/>
      </c>
      <c r="B1386" s="39">
        <f>IF(C1386&lt;&gt;"",C1386,IF(P1386&lt;=IFERROR(INDEX(tblChannels[Watched Through],MATCH(N1386,tblChannels[Channel ID],0)),0),"Watched","Unwatched"))</f>
        <v/>
      </c>
      <c r="C1386" s="40" t="n"/>
      <c r="D1386" s="41" t="n"/>
      <c r="E1386" s="42" t="n">
        <v>44382.41666666666</v>
      </c>
      <c r="F1386" s="52" t="inlineStr">
        <is>
          <t>Super Carlin Gaming</t>
        </is>
      </c>
      <c r="G1386" t="inlineStr">
        <is>
          <t>THE ACCURSED REGIROCK |  Pokémon SoulSilver Randomizer Nuzlocke #5</t>
        </is>
      </c>
      <c r="H1386" s="44" t="n">
        <v>0.04358796296296296</v>
      </c>
      <c r="I1386" s="45" t="n">
        <v>38045</v>
      </c>
      <c r="J1386" s="45" t="n">
        <v>1577</v>
      </c>
      <c r="K1386" s="45" t="n">
        <v>529</v>
      </c>
      <c r="L1386" s="46" t="n"/>
      <c r="M1386" s="47" t="n"/>
      <c r="N1386" s="47" t="inlineStr">
        <is>
          <t>UCor_9jRnNNZVzTuQ92PKsaQ</t>
        </is>
      </c>
      <c r="O1386" s="48" t="n">
        <v>44382.58333333334</v>
      </c>
      <c r="P1386" s="49" t="n">
        <v>44382</v>
      </c>
      <c r="Q1386" s="47" t="n">
        <v>1882</v>
      </c>
      <c r="R1386" s="47" t="inlineStr">
        <is>
          <t>No Video ID yet</t>
        </is>
      </c>
      <c r="S1386" s="49" t="n"/>
      <c r="T1386" s="49" t="n"/>
      <c r="U1386" s="47" t="inlineStr">
        <is>
          <t>Today J, Miles and the team head to Whitney's Gym to try and win their 3rd gym badge and encounter a dangerous Legendary Pokemon.. will they survive?!</t>
        </is>
      </c>
      <c r="V1386" s="47">
        <f>IF(AND(P1386&gt;=Calendar!$K$2,P1386&lt;EDATE(Calendar!$K$2,1),OR(Calendar!$K$4="*",N1386=Calendar!$K$4)),P1386*100+COUNTIFS($P$6:$P$3267,P1386,$Q$6:$Q$3267,"&lt;="&amp;Q1386,$N$6:$N$3267,Calendar!$K$4),"")</f>
        <v/>
      </c>
      <c r="W1386" s="47">
        <f>IF(AND(B1386=Queue!$C$4,OR(Queue!$K$4="*",N1386=Queue!$K$4)),Q1386,"")</f>
        <v/>
      </c>
    </row>
    <row r="1387">
      <c r="A1387" s="38">
        <f>IF(M1387="","",HYPERLINK("https://www.youtube.com/watch?v="&amp;M1387,"▶"))</f>
        <v/>
      </c>
      <c r="B1387" s="39">
        <f>IF(C1387&lt;&gt;"",C1387,IF(P1387&lt;=IFERROR(INDEX(tblChannels[Watched Through],MATCH(N1387,tblChannels[Channel ID],0)),0),"Watched","Unwatched"))</f>
        <v/>
      </c>
      <c r="C1387" s="40" t="n"/>
      <c r="D1387" s="41" t="n"/>
      <c r="E1387" s="42" t="n">
        <v>44379.41666666666</v>
      </c>
      <c r="F1387" s="50" t="inlineStr">
        <is>
          <t>Super Carlin Brothers</t>
        </is>
      </c>
      <c r="G1387" t="inlineStr">
        <is>
          <t>The Logical Fallacy Fallacy | Popcorn Culture</t>
        </is>
      </c>
      <c r="H1387" s="44" t="n">
        <v>0.04658564814814815</v>
      </c>
      <c r="I1387" s="45" t="n">
        <v>20952</v>
      </c>
      <c r="J1387" s="45" t="n">
        <v>793</v>
      </c>
      <c r="K1387" s="45" t="n">
        <v>167</v>
      </c>
      <c r="L1387" s="46" t="n"/>
      <c r="M1387" s="47" t="n"/>
      <c r="N1387" s="47" t="inlineStr">
        <is>
          <t>UCKZo4N0lVPccBkSiuyVh4yg</t>
        </is>
      </c>
      <c r="O1387" s="48" t="n">
        <v>44379.58333333334</v>
      </c>
      <c r="P1387" s="49" t="n">
        <v>44379</v>
      </c>
      <c r="Q1387" s="47" t="n">
        <v>1881</v>
      </c>
      <c r="R1387" s="47" t="inlineStr">
        <is>
          <t>No Video ID yet</t>
        </is>
      </c>
      <c r="S1387" s="49" t="n"/>
      <c r="T1387" s="49" t="n"/>
      <c r="U1387" s="47" t="inlineStr">
        <is>
          <t>In the 82nd episode of the POP, Ben and J discuss: sports apparel, wallet chains, the southern accent, the North American Vowels Shift, words, Sears, How to be an adult, and crushing cans. North American Vowels Shift: Dictionary Time Traveler: Genericized words: How to Adult: J on How To Adult:</t>
        </is>
      </c>
      <c r="V1387" s="47">
        <f>IF(AND(P1387&gt;=Calendar!$K$2,P1387&lt;EDATE(Calendar!$K$2,1),OR(Calendar!$K$4="*",N1387=Calendar!$K$4)),P1387*100+COUNTIFS($P$6:$P$3267,P1387,$Q$6:$Q$3267,"&lt;="&amp;Q1387,$N$6:$N$3267,Calendar!$K$4),"")</f>
        <v/>
      </c>
      <c r="W1387" s="47">
        <f>IF(AND(B1387=Queue!$C$4,OR(Queue!$K$4="*",N1387=Queue!$K$4)),Q1387,"")</f>
        <v/>
      </c>
    </row>
    <row r="1388">
      <c r="A1388" s="38">
        <f>IF(M1388="","",HYPERLINK("https://www.youtube.com/watch?v="&amp;M1388,"▶"))</f>
        <v/>
      </c>
      <c r="B1388" s="39">
        <f>IF(C1388&lt;&gt;"",C1388,IF(P1388&lt;=IFERROR(INDEX(tblChannels[Watched Through],MATCH(N1388,tblChannels[Channel ID],0)),0),"Watched","Unwatched"))</f>
        <v/>
      </c>
      <c r="C1388" s="40" t="n"/>
      <c r="D1388" s="41" t="n"/>
      <c r="E1388" s="42" t="n">
        <v>44379.25</v>
      </c>
      <c r="F1388" s="43" t="inlineStr">
        <is>
          <t>Popcorn Culture</t>
        </is>
      </c>
      <c r="G1388" t="inlineStr">
        <is>
          <t>82 - The Logical Fallacy Fallacy</t>
        </is>
      </c>
      <c r="H1388" s="44" t="n">
        <v>0.04420138888888889</v>
      </c>
      <c r="I1388" s="45" t="n">
        <v>1377</v>
      </c>
      <c r="J1388" s="45" t="n">
        <v>64</v>
      </c>
      <c r="K1388" s="45" t="n">
        <v>10</v>
      </c>
      <c r="L1388" s="46" t="n"/>
      <c r="M1388" s="47" t="n"/>
      <c r="N1388" s="47" t="inlineStr">
        <is>
          <t>UCHfIbq9thHPC8yrKjAdJgDA</t>
        </is>
      </c>
      <c r="O1388" s="48" t="n">
        <v>44379.41666666666</v>
      </c>
      <c r="P1388" s="49" t="n">
        <v>44379</v>
      </c>
      <c r="Q1388" s="47" t="n">
        <v>1880</v>
      </c>
      <c r="R1388" s="47" t="inlineStr">
        <is>
          <t>No Video ID yet</t>
        </is>
      </c>
      <c r="S1388" s="49" t="n"/>
      <c r="T1388" s="49" t="n"/>
      <c r="U1388" s="47" t="inlineStr">
        <is>
          <t>Ben and J discuss: sports apparel, wallet chains, the southern accent, the North American Vowels Shift, words, Sears, How to be an adult, and crushing cans. North American Vowels Shift: Dictionary Time Traveler: Genericized words: How to Adult: J on How To Adult:</t>
        </is>
      </c>
      <c r="V1388" s="47">
        <f>IF(AND(P1388&gt;=Calendar!$K$2,P1388&lt;EDATE(Calendar!$K$2,1),OR(Calendar!$K$4="*",N1388=Calendar!$K$4)),P1388*100+COUNTIFS($P$6:$P$3267,P1388,$Q$6:$Q$3267,"&lt;="&amp;Q1388,$N$6:$N$3267,Calendar!$K$4),"")</f>
        <v/>
      </c>
      <c r="W1388" s="47">
        <f>IF(AND(B1388=Queue!$C$4,OR(Queue!$K$4="*",N1388=Queue!$K$4)),Q1388,"")</f>
        <v/>
      </c>
    </row>
    <row r="1389">
      <c r="A1389" s="38">
        <f>IF(M1389="","",HYPERLINK("https://www.youtube.com/watch?v="&amp;M1389,"▶"))</f>
        <v/>
      </c>
      <c r="B1389" s="39">
        <f>IF(C1389&lt;&gt;"",C1389,IF(P1389&lt;=IFERROR(INDEX(tblChannels[Watched Through],MATCH(N1389,tblChannels[Channel ID],0)),0),"Watched","Unwatched"))</f>
        <v/>
      </c>
      <c r="C1389" s="40" t="n"/>
      <c r="D1389" s="41" t="n"/>
      <c r="E1389" s="42" t="n">
        <v>44378.7125</v>
      </c>
      <c r="F1389" s="50" t="inlineStr">
        <is>
          <t>Super Carlin Brothers</t>
        </is>
      </c>
      <c r="G1389" t="inlineStr">
        <is>
          <t>Do Broomsticks Have Magical Cores? | Harry Potter Theory</t>
        </is>
      </c>
      <c r="H1389" s="44" t="n">
        <v>0.01099537037037037</v>
      </c>
      <c r="I1389" s="45" t="n">
        <v>406706</v>
      </c>
      <c r="J1389" s="45" t="n">
        <v>15873</v>
      </c>
      <c r="K1389" s="45" t="n">
        <v>1884</v>
      </c>
      <c r="L1389" s="46" t="n"/>
      <c r="M1389" s="47" t="n"/>
      <c r="N1389" s="47" t="inlineStr">
        <is>
          <t>UCKZo4N0lVPccBkSiuyVh4yg</t>
        </is>
      </c>
      <c r="O1389" s="48" t="n">
        <v>44378.87916666667</v>
      </c>
      <c r="P1389" s="49" t="n">
        <v>44378</v>
      </c>
      <c r="Q1389" s="47" t="n">
        <v>1879</v>
      </c>
      <c r="R1389" s="47" t="inlineStr">
        <is>
          <t>No Video ID yet</t>
        </is>
      </c>
      <c r="S1389" s="49" t="n"/>
      <c r="T1389" s="49" t="n"/>
      <c r="U1389" s="47" t="inlineStr">
        <is>
          <t>Go to to get 15% off your first order plus free shipping. Today J dives into the Wizarding World of Harry Potter to determine if Broomsticks, like wands, have magical cores and what that means for the greater Wizarding World</t>
        </is>
      </c>
      <c r="V1389" s="47">
        <f>IF(AND(P1389&gt;=Calendar!$K$2,P1389&lt;EDATE(Calendar!$K$2,1),OR(Calendar!$K$4="*",N1389=Calendar!$K$4)),P1389*100+COUNTIFS($P$6:$P$3267,P1389,$Q$6:$Q$3267,"&lt;="&amp;Q1389,$N$6:$N$3267,Calendar!$K$4),"")</f>
        <v/>
      </c>
      <c r="W1389" s="47">
        <f>IF(AND(B1389=Queue!$C$4,OR(Queue!$K$4="*",N1389=Queue!$K$4)),Q1389,"")</f>
        <v/>
      </c>
    </row>
    <row r="1390">
      <c r="A1390" s="38">
        <f>IF(M1390="","",HYPERLINK("https://www.youtube.com/watch?v="&amp;M1390,"▶"))</f>
        <v/>
      </c>
      <c r="B1390" s="39">
        <f>IF(C1390&lt;&gt;"",C1390,IF(P1390&lt;=IFERROR(INDEX(tblChannels[Watched Through],MATCH(N1390,tblChannels[Channel ID],0)),0),"Watched","Unwatched"))</f>
        <v/>
      </c>
      <c r="C1390" s="40" t="n"/>
      <c r="D1390" s="41" t="n"/>
      <c r="E1390" s="42" t="n">
        <v>44377.41666666666</v>
      </c>
      <c r="F1390" s="52" t="inlineStr">
        <is>
          <t>Super Carlin Gaming</t>
        </is>
      </c>
      <c r="G1390" t="inlineStr">
        <is>
          <t>THE KISS OF DEATH |  Pokémon SoulSilver Randomizer Nuzlocke #4</t>
        </is>
      </c>
      <c r="H1390" s="44" t="n">
        <v>0.02456018518518518</v>
      </c>
      <c r="I1390" s="45" t="n">
        <v>33525</v>
      </c>
      <c r="J1390" s="45" t="n">
        <v>2321</v>
      </c>
      <c r="K1390" s="45" t="n">
        <v>675</v>
      </c>
      <c r="L1390" s="46" t="n"/>
      <c r="M1390" s="47" t="n"/>
      <c r="N1390" s="47" t="inlineStr">
        <is>
          <t>UCor_9jRnNNZVzTuQ92PKsaQ</t>
        </is>
      </c>
      <c r="O1390" s="48" t="n">
        <v>44377.58333333334</v>
      </c>
      <c r="P1390" s="49" t="n">
        <v>44377</v>
      </c>
      <c r="Q1390" s="47" t="n">
        <v>1878</v>
      </c>
      <c r="R1390" s="47" t="inlineStr">
        <is>
          <t>No Video ID yet</t>
        </is>
      </c>
      <c r="S1390" s="49" t="n"/>
      <c r="T1390" s="49" t="n"/>
      <c r="U1390" s="47" t="inlineStr">
        <is>
          <t>Today J, Miles and the team take on Bugsy to try and earn their 2nd Gym Badge.. but can the whole team survive the encounter??</t>
        </is>
      </c>
      <c r="V1390" s="47">
        <f>IF(AND(P1390&gt;=Calendar!$K$2,P1390&lt;EDATE(Calendar!$K$2,1),OR(Calendar!$K$4="*",N1390=Calendar!$K$4)),P1390*100+COUNTIFS($P$6:$P$3267,P1390,$Q$6:$Q$3267,"&lt;="&amp;Q1390,$N$6:$N$3267,Calendar!$K$4),"")</f>
        <v/>
      </c>
      <c r="W1390" s="47">
        <f>IF(AND(B1390=Queue!$C$4,OR(Queue!$K$4="*",N1390=Queue!$K$4)),Q1390,"")</f>
        <v/>
      </c>
    </row>
    <row r="1391">
      <c r="A1391" s="38">
        <f>IF(M1391="","",HYPERLINK("https://www.youtube.com/watch?v="&amp;M1391,"▶"))</f>
        <v/>
      </c>
      <c r="B1391" s="39">
        <f>IF(C1391&lt;&gt;"",C1391,IF(P1391&lt;=IFERROR(INDEX(tblChannels[Watched Through],MATCH(N1391,tblChannels[Channel ID],0)),0),"Watched","Unwatched"))</f>
        <v/>
      </c>
      <c r="C1391" s="40" t="n"/>
      <c r="D1391" s="41" t="n"/>
      <c r="E1391" s="42" t="n">
        <v>44376.70069444444</v>
      </c>
      <c r="F1391" s="50" t="inlineStr">
        <is>
          <t>Super Carlin Brothers</t>
        </is>
      </c>
      <c r="G1391" t="inlineStr">
        <is>
          <t>How Luca Fits Into The Pixar Theory</t>
        </is>
      </c>
      <c r="H1391" s="44" t="n">
        <v>0.0096875</v>
      </c>
      <c r="I1391" s="45" t="n">
        <v>879162</v>
      </c>
      <c r="J1391" s="45" t="n">
        <v>41079</v>
      </c>
      <c r="K1391" s="45" t="n">
        <v>2292</v>
      </c>
      <c r="L1391" s="46" t="n"/>
      <c r="M1391" s="47" t="n"/>
      <c r="N1391" s="47" t="inlineStr">
        <is>
          <t>UCKZo4N0lVPccBkSiuyVh4yg</t>
        </is>
      </c>
      <c r="O1391" s="48" t="n">
        <v>44376.86736111111</v>
      </c>
      <c r="P1391" s="49" t="n">
        <v>44376</v>
      </c>
      <c r="Q1391" s="47" t="n">
        <v>1877</v>
      </c>
      <c r="R1391" s="47" t="inlineStr">
        <is>
          <t>No Video ID yet</t>
        </is>
      </c>
      <c r="S1391" s="49" t="n"/>
      <c r="T1391" s="49" t="n"/>
      <c r="U1391" s="47" t="inlineStr">
        <is>
          <t>Today J dives into the Pixar Universe to reveal how Luca fits into the ever growing Pixar Theory! #SuperCarlinBrothers #Pixar #Luca</t>
        </is>
      </c>
      <c r="V1391" s="47">
        <f>IF(AND(P1391&gt;=Calendar!$K$2,P1391&lt;EDATE(Calendar!$K$2,1),OR(Calendar!$K$4="*",N1391=Calendar!$K$4)),P1391*100+COUNTIFS($P$6:$P$3267,P1391,$Q$6:$Q$3267,"&lt;="&amp;Q1391,$N$6:$N$3267,Calendar!$K$4),"")</f>
        <v/>
      </c>
      <c r="W1391" s="47">
        <f>IF(AND(B1391=Queue!$C$4,OR(Queue!$K$4="*",N1391=Queue!$K$4)),Q1391,"")</f>
        <v/>
      </c>
    </row>
    <row r="1392">
      <c r="A1392" s="38">
        <f>IF(M1392="","",HYPERLINK("https://www.youtube.com/watch?v="&amp;M1392,"▶"))</f>
        <v/>
      </c>
      <c r="B1392" s="39">
        <f>IF(C1392&lt;&gt;"",C1392,IF(P1392&lt;=IFERROR(INDEX(tblChannels[Watched Through],MATCH(N1392,tblChannels[Channel ID],0)),0),"Watched","Unwatched"))</f>
        <v/>
      </c>
      <c r="C1392" s="40" t="n"/>
      <c r="D1392" s="41" t="n"/>
      <c r="E1392" s="42" t="n">
        <v>44375.41666666666</v>
      </c>
      <c r="F1392" s="52" t="inlineStr">
        <is>
          <t>Super Carlin Gaming</t>
        </is>
      </c>
      <c r="G1392" t="inlineStr">
        <is>
          <t>THE EGG IS HATCHING |  Pokémon Soul Silver Randomizer Nuzlocke #3</t>
        </is>
      </c>
      <c r="H1392" s="44" t="n">
        <v>0.02961805555555556</v>
      </c>
      <c r="I1392" s="45" t="n">
        <v>42407</v>
      </c>
      <c r="J1392" s="45" t="n">
        <v>1957</v>
      </c>
      <c r="K1392" s="45" t="n">
        <v>635</v>
      </c>
      <c r="L1392" s="46" t="n"/>
      <c r="M1392" s="47" t="n"/>
      <c r="N1392" s="47" t="inlineStr">
        <is>
          <t>UCor_9jRnNNZVzTuQ92PKsaQ</t>
        </is>
      </c>
      <c r="O1392" s="48" t="n">
        <v>44375.58333333334</v>
      </c>
      <c r="P1392" s="49" t="n">
        <v>44375</v>
      </c>
      <c r="Q1392" s="47" t="n">
        <v>1876</v>
      </c>
      <c r="R1392" s="47" t="inlineStr">
        <is>
          <t>No Video ID yet</t>
        </is>
      </c>
      <c r="S1392" s="49" t="n"/>
      <c r="T1392" s="49" t="n"/>
      <c r="U1392" s="47" t="inlineStr">
        <is>
          <t>This week J, Miles and the team make their way to Azelia Town and try and catch as many new teammates as possible. Oh and also THE EGG IS HATCHING!!</t>
        </is>
      </c>
      <c r="V1392" s="47">
        <f>IF(AND(P1392&gt;=Calendar!$K$2,P1392&lt;EDATE(Calendar!$K$2,1),OR(Calendar!$K$4="*",N1392=Calendar!$K$4)),P1392*100+COUNTIFS($P$6:$P$3267,P1392,$Q$6:$Q$3267,"&lt;="&amp;Q1392,$N$6:$N$3267,Calendar!$K$4),"")</f>
        <v/>
      </c>
      <c r="W1392" s="47">
        <f>IF(AND(B1392=Queue!$C$4,OR(Queue!$K$4="*",N1392=Queue!$K$4)),Q1392,"")</f>
        <v/>
      </c>
    </row>
    <row r="1393">
      <c r="A1393" s="38">
        <f>IF(M1393="","",HYPERLINK("https://www.youtube.com/watch?v="&amp;M1393,"▶"))</f>
        <v/>
      </c>
      <c r="B1393" s="39">
        <f>IF(C1393&lt;&gt;"",C1393,IF(P1393&lt;=IFERROR(INDEX(tblChannels[Watched Through],MATCH(N1393,tblChannels[Channel ID],0)),0),"Watched","Unwatched"))</f>
        <v/>
      </c>
      <c r="C1393" s="40" t="n"/>
      <c r="D1393" s="41" t="n"/>
      <c r="E1393" s="42" t="n">
        <v>44372.75833333333</v>
      </c>
      <c r="F1393" s="52" t="inlineStr">
        <is>
          <t>Super Carlin Gaming</t>
        </is>
      </c>
      <c r="G1393" t="inlineStr">
        <is>
          <t>LIVE! MASSIVE POKÉMON CARD UNBOXING - CHILLING REIGN</t>
        </is>
      </c>
      <c r="H1393" s="44" t="n">
        <v>0.1228703703703704</v>
      </c>
      <c r="I1393" s="45" t="n">
        <v>9628</v>
      </c>
      <c r="J1393" s="45" t="n">
        <v>348</v>
      </c>
      <c r="K1393" s="45" t="n">
        <v>25</v>
      </c>
      <c r="L1393" s="46" t="n"/>
      <c r="M1393" s="47" t="n"/>
      <c r="N1393" s="47" t="inlineStr">
        <is>
          <t>UCor_9jRnNNZVzTuQ92PKsaQ</t>
        </is>
      </c>
      <c r="O1393" s="48" t="n">
        <v>44372.925</v>
      </c>
      <c r="P1393" s="49" t="n">
        <v>44372</v>
      </c>
      <c r="Q1393" s="47" t="n">
        <v>1875</v>
      </c>
      <c r="R1393" s="47" t="inlineStr">
        <is>
          <t>No Video ID yet</t>
        </is>
      </c>
      <c r="S1393" s="49" t="n"/>
      <c r="T1393" s="49" t="n"/>
      <c r="U1393" s="47" t="inlineStr">
        <is>
          <t>J &amp; Ben are closing out the week with a MASSIVE Unboxing of the latest Pokemon Card Set: Chilling Reign! The BIG cards we are chasing down are: Shadow Rider Calyrex VMAX, Blaziken VMAX (alt art), and Galarian Moltres V (alt art)</t>
        </is>
      </c>
      <c r="V1393" s="47">
        <f>IF(AND(P1393&gt;=Calendar!$K$2,P1393&lt;EDATE(Calendar!$K$2,1),OR(Calendar!$K$4="*",N1393=Calendar!$K$4)),P1393*100+COUNTIFS($P$6:$P$3267,P1393,$Q$6:$Q$3267,"&lt;="&amp;Q1393,$N$6:$N$3267,Calendar!$K$4),"")</f>
        <v/>
      </c>
      <c r="W1393" s="47">
        <f>IF(AND(B1393=Queue!$C$4,OR(Queue!$K$4="*",N1393=Queue!$K$4)),Q1393,"")</f>
        <v/>
      </c>
    </row>
    <row r="1394">
      <c r="A1394" s="38">
        <f>IF(M1394="","",HYPERLINK("https://www.youtube.com/watch?v="&amp;M1394,"▶"))</f>
        <v/>
      </c>
      <c r="B1394" s="39">
        <f>IF(C1394&lt;&gt;"",C1394,IF(P1394&lt;=IFERROR(INDEX(tblChannels[Watched Through],MATCH(N1394,tblChannels[Channel ID],0)),0),"Watched","Unwatched"))</f>
        <v/>
      </c>
      <c r="C1394" s="40" t="n"/>
      <c r="D1394" s="41" t="n"/>
      <c r="E1394" s="42" t="n">
        <v>44372.41666666666</v>
      </c>
      <c r="F1394" s="50" t="inlineStr">
        <is>
          <t>Super Carlin Brothers</t>
        </is>
      </c>
      <c r="G1394" t="inlineStr">
        <is>
          <t>Marshmallows Are The Worst | Popcorn Culture</t>
        </is>
      </c>
      <c r="H1394" s="44" t="n">
        <v>0.04604166666666667</v>
      </c>
      <c r="I1394" s="45" t="n">
        <v>21216</v>
      </c>
      <c r="J1394" s="45" t="n">
        <v>822</v>
      </c>
      <c r="K1394" s="45" t="n">
        <v>114</v>
      </c>
      <c r="L1394" s="46" t="n"/>
      <c r="M1394" s="47" t="n"/>
      <c r="N1394" s="47" t="inlineStr">
        <is>
          <t>UCKZo4N0lVPccBkSiuyVh4yg</t>
        </is>
      </c>
      <c r="O1394" s="48" t="n">
        <v>44372.58333333334</v>
      </c>
      <c r="P1394" s="49" t="n">
        <v>44372</v>
      </c>
      <c r="Q1394" s="47" t="n">
        <v>1874</v>
      </c>
      <c r="R1394" s="47" t="inlineStr">
        <is>
          <t>No Video ID yet</t>
        </is>
      </c>
      <c r="S1394" s="49" t="n"/>
      <c r="T1394" s="49" t="n"/>
      <c r="U1394" s="47" t="inlineStr">
        <is>
          <t>In the 81st Episode of the POP, Ben and J discuss: marshmallows, commercials, cryptocurrency, smoothies, feeling bad about doing good, COWS, coupons, forgiveness and empathy, and the One True Host! All About Marshmallows: Get your very own candle:</t>
        </is>
      </c>
      <c r="V1394" s="47">
        <f>IF(AND(P1394&gt;=Calendar!$K$2,P1394&lt;EDATE(Calendar!$K$2,1),OR(Calendar!$K$4="*",N1394=Calendar!$K$4)),P1394*100+COUNTIFS($P$6:$P$3267,P1394,$Q$6:$Q$3267,"&lt;="&amp;Q1394,$N$6:$N$3267,Calendar!$K$4),"")</f>
        <v/>
      </c>
      <c r="W1394" s="47">
        <f>IF(AND(B1394=Queue!$C$4,OR(Queue!$K$4="*",N1394=Queue!$K$4)),Q1394,"")</f>
        <v/>
      </c>
    </row>
    <row r="1395">
      <c r="A1395" s="38">
        <f>IF(M1395="","",HYPERLINK("https://www.youtube.com/watch?v="&amp;M1395,"▶"))</f>
        <v/>
      </c>
      <c r="B1395" s="39">
        <f>IF(C1395&lt;&gt;"",C1395,IF(P1395&lt;=IFERROR(INDEX(tblChannels[Watched Through],MATCH(N1395,tblChannels[Channel ID],0)),0),"Watched","Unwatched"))</f>
        <v/>
      </c>
      <c r="C1395" s="40" t="n"/>
      <c r="D1395" s="41" t="n"/>
      <c r="E1395" s="42" t="n">
        <v>44372.25</v>
      </c>
      <c r="F1395" s="43" t="inlineStr">
        <is>
          <t>Popcorn Culture</t>
        </is>
      </c>
      <c r="G1395" t="inlineStr">
        <is>
          <t>81 - Best Ways to Roast a Marshmallow</t>
        </is>
      </c>
      <c r="H1395" s="44" t="n">
        <v>0.04472222222222222</v>
      </c>
      <c r="I1395" s="45" t="n">
        <v>1445</v>
      </c>
      <c r="J1395" s="45" t="n">
        <v>69</v>
      </c>
      <c r="K1395" s="45" t="n">
        <v>5</v>
      </c>
      <c r="L1395" s="46" t="n"/>
      <c r="M1395" s="47" t="n"/>
      <c r="N1395" s="47" t="inlineStr">
        <is>
          <t>UCHfIbq9thHPC8yrKjAdJgDA</t>
        </is>
      </c>
      <c r="O1395" s="48" t="n">
        <v>44372.41666666666</v>
      </c>
      <c r="P1395" s="49" t="n">
        <v>44372</v>
      </c>
      <c r="Q1395" s="47" t="n">
        <v>1873</v>
      </c>
      <c r="R1395" s="47" t="inlineStr">
        <is>
          <t>No Video ID yet</t>
        </is>
      </c>
      <c r="S1395" s="49" t="n"/>
      <c r="T1395" s="49" t="n"/>
      <c r="U1395" s="47" t="inlineStr">
        <is>
          <t>Ben and J discuss: marshmallows, commercials, cryptocurrency, smoothies, feeling bad about doing good, COWS, coupons, forgiveness and empathy, and the One True Host! All About Marshmallows: Get your very own candle:</t>
        </is>
      </c>
      <c r="V1395" s="47">
        <f>IF(AND(P1395&gt;=Calendar!$K$2,P1395&lt;EDATE(Calendar!$K$2,1),OR(Calendar!$K$4="*",N1395=Calendar!$K$4)),P1395*100+COUNTIFS($P$6:$P$3267,P1395,$Q$6:$Q$3267,"&lt;="&amp;Q1395,$N$6:$N$3267,Calendar!$K$4),"")</f>
        <v/>
      </c>
      <c r="W1395" s="47">
        <f>IF(AND(B1395=Queue!$C$4,OR(Queue!$K$4="*",N1395=Queue!$K$4)),Q1395,"")</f>
        <v/>
      </c>
    </row>
    <row r="1396">
      <c r="A1396" s="38">
        <f>IF(M1396="","",HYPERLINK("https://www.youtube.com/watch?v="&amp;M1396,"▶"))</f>
        <v/>
      </c>
      <c r="B1396" s="39">
        <f>IF(C1396&lt;&gt;"",C1396,IF(P1396&lt;=IFERROR(INDEX(tblChannels[Watched Through],MATCH(N1396,tblChannels[Channel ID],0)),0),"Watched","Unwatched"))</f>
        <v/>
      </c>
      <c r="C1396" s="40" t="n"/>
      <c r="D1396" s="41" t="n"/>
      <c r="E1396" s="42" t="n">
        <v>44371.70486111111</v>
      </c>
      <c r="F1396" s="50" t="inlineStr">
        <is>
          <t>Super Carlin Brothers</t>
        </is>
      </c>
      <c r="G1396" t="inlineStr">
        <is>
          <t>What Happened To Alberto’s Father? | Pixar Theory</t>
        </is>
      </c>
      <c r="H1396" s="44" t="n">
        <v>0.009201388888888889</v>
      </c>
      <c r="I1396" s="45" t="n">
        <v>1981429</v>
      </c>
      <c r="J1396" s="45" t="n">
        <v>34421</v>
      </c>
      <c r="K1396" s="45" t="n">
        <v>2359</v>
      </c>
      <c r="L1396" s="46" t="n"/>
      <c r="M1396" s="47" t="n"/>
      <c r="N1396" s="47" t="inlineStr">
        <is>
          <t>UCKZo4N0lVPccBkSiuyVh4yg</t>
        </is>
      </c>
      <c r="O1396" s="48" t="n">
        <v>44371.87152777778</v>
      </c>
      <c r="P1396" s="49" t="n">
        <v>44371</v>
      </c>
      <c r="Q1396" s="47" t="n">
        <v>1872</v>
      </c>
      <c r="R1396" s="47" t="inlineStr">
        <is>
          <t>No Video ID yet</t>
        </is>
      </c>
      <c r="S1396" s="49" t="n"/>
      <c r="T1396" s="49" t="n"/>
      <c r="U1396" s="47" t="inlineStr">
        <is>
          <t>Go to and use code ‘SUPERCARLIN’ to get $5 off Magic Spoon Today Ben dives into Italian Riviera to discuss Pixar’s Luca and discover what happened to Alberto’s father! #SuperCarlinBrothers #Pixar #Luca</t>
        </is>
      </c>
      <c r="V1396" s="47">
        <f>IF(AND(P1396&gt;=Calendar!$K$2,P1396&lt;EDATE(Calendar!$K$2,1),OR(Calendar!$K$4="*",N1396=Calendar!$K$4)),P1396*100+COUNTIFS($P$6:$P$3267,P1396,$Q$6:$Q$3267,"&lt;="&amp;Q1396,$N$6:$N$3267,Calendar!$K$4),"")</f>
        <v/>
      </c>
      <c r="W1396" s="47">
        <f>IF(AND(B1396=Queue!$C$4,OR(Queue!$K$4="*",N1396=Queue!$K$4)),Q1396,"")</f>
        <v/>
      </c>
    </row>
    <row r="1397">
      <c r="A1397" s="38">
        <f>IF(M1397="","",HYPERLINK("https://www.youtube.com/watch?v="&amp;M1397,"▶"))</f>
        <v/>
      </c>
      <c r="B1397" s="39">
        <f>IF(C1397&lt;&gt;"",C1397,IF(P1397&lt;=IFERROR(INDEX(tblChannels[Watched Through],MATCH(N1397,tblChannels[Channel ID],0)),0),"Watched","Unwatched"))</f>
        <v/>
      </c>
      <c r="C1397" s="40" t="n"/>
      <c r="D1397" s="41" t="n"/>
      <c r="E1397" s="42" t="n">
        <v>44371.41666666666</v>
      </c>
      <c r="F1397" s="52" t="inlineStr">
        <is>
          <t>Super Carlin Gaming</t>
        </is>
      </c>
      <c r="G1397" t="inlineStr">
        <is>
          <t>7 Steps To Build a Competitive Pokemon Card Deck! [Feat: The Sableyes]</t>
        </is>
      </c>
      <c r="H1397" s="44" t="n">
        <v>0.02988425925925926</v>
      </c>
      <c r="I1397" s="45" t="n">
        <v>36042</v>
      </c>
      <c r="J1397" s="45" t="n">
        <v>752</v>
      </c>
      <c r="K1397" s="45" t="n">
        <v>50</v>
      </c>
      <c r="L1397" s="46" t="n"/>
      <c r="M1397" s="47" t="n"/>
      <c r="N1397" s="47" t="inlineStr">
        <is>
          <t>UCor_9jRnNNZVzTuQ92PKsaQ</t>
        </is>
      </c>
      <c r="O1397" s="48" t="n">
        <v>44371.58333333334</v>
      </c>
      <c r="P1397" s="49" t="n">
        <v>44371</v>
      </c>
      <c r="Q1397" s="47" t="n">
        <v>1871</v>
      </c>
      <c r="R1397" s="47" t="inlineStr">
        <is>
          <t>No Video ID yet</t>
        </is>
      </c>
      <c r="S1397" s="49" t="n"/>
      <c r="T1397" s="49" t="n"/>
      <c r="U1397" s="47" t="inlineStr">
        <is>
          <t>Today J dives into the world the Pokemon Trading Card Game Online, and teams up with Mitch from the Sableyes to learn his 7 steps for building a competitive deck. Together they craft an "UNSTOPPABLE" Eternatus VMAX deck feat. Galarian Moltres! See Mitch Play THIS Deck in action :: youtu.be/7JGlJalcinI Subscribe to The Sableyes :: ****** Pokémon Trading Card Game Deck List ****** ##Pokémon - 20 * 4 Crobat V DAA 104 * 4 Eternatus V SHF 194 * 2 Galarian Moltres V CRE 97 * 4 Galarian Zigzagoon SSH 117 * 1 Liepard V CRE 104 * 1 Yveltal TEU 95 * 4 Eternatus VMAX SHF 195 ##Trainer Cards - 30 * 4 Quick Ball SSH 179 * 4 Switch EVO 88 * 3 Boss's Orders RCL 200 * 2 Chaotic Swell CEC 187 * 4 Pokémon Communication TEU 152 * 4 Professor's Research CPA 62 * 3 Great Ball SSH 164 * 3 Marnie CPA 56 * 3 Energy Switch SSH 162 ##Energy - 10 * 3 Weakness Guard Energy UNM 213 * 7 Darkness Energy Energy 7 Total Cards - 60 ****** Deck List Generated by the Pokémon TCG Online www.pokemon.com/TCGO ******</t>
        </is>
      </c>
      <c r="V1397" s="47">
        <f>IF(AND(P1397&gt;=Calendar!$K$2,P1397&lt;EDATE(Calendar!$K$2,1),OR(Calendar!$K$4="*",N1397=Calendar!$K$4)),P1397*100+COUNTIFS($P$6:$P$3267,P1397,$Q$6:$Q$3267,"&lt;="&amp;Q1397,$N$6:$N$3267,Calendar!$K$4),"")</f>
        <v/>
      </c>
      <c r="W1397" s="47">
        <f>IF(AND(B1397=Queue!$C$4,OR(Queue!$K$4="*",N1397=Queue!$K$4)),Q1397,"")</f>
        <v/>
      </c>
    </row>
    <row r="1398">
      <c r="A1398" s="38">
        <f>IF(M1398="","",HYPERLINK("https://www.youtube.com/watch?v="&amp;M1398,"▶"))</f>
        <v/>
      </c>
      <c r="B1398" s="39">
        <f>IF(C1398&lt;&gt;"",C1398,IF(P1398&lt;=IFERROR(INDEX(tblChannels[Watched Through],MATCH(N1398,tblChannels[Channel ID],0)),0),"Watched","Unwatched"))</f>
        <v/>
      </c>
      <c r="C1398" s="40" t="n"/>
      <c r="D1398" s="41" t="n"/>
      <c r="E1398" s="42" t="n">
        <v>44370.41666666666</v>
      </c>
      <c r="F1398" s="52" t="inlineStr">
        <is>
          <t>Super Carlin Gaming</t>
        </is>
      </c>
      <c r="G1398" t="inlineStr">
        <is>
          <t>A LITERAL Cannon For An Arm |  Pokémon SoulSilver Randomizer Nuzlocke #2</t>
        </is>
      </c>
      <c r="H1398" s="44" t="n">
        <v>0.02458333333333333</v>
      </c>
      <c r="I1398" s="45" t="n">
        <v>44905</v>
      </c>
      <c r="J1398" s="45" t="n">
        <v>2907</v>
      </c>
      <c r="K1398" s="45" t="n">
        <v>818</v>
      </c>
      <c r="L1398" s="46" t="n"/>
      <c r="M1398" s="47" t="n"/>
      <c r="N1398" s="47" t="inlineStr">
        <is>
          <t>UCor_9jRnNNZVzTuQ92PKsaQ</t>
        </is>
      </c>
      <c r="O1398" s="48" t="n">
        <v>44370.58333333334</v>
      </c>
      <c r="P1398" s="49" t="n">
        <v>44370</v>
      </c>
      <c r="Q1398" s="47" t="n">
        <v>1870</v>
      </c>
      <c r="R1398" s="47" t="inlineStr">
        <is>
          <t>No Video ID yet</t>
        </is>
      </c>
      <c r="S1398" s="49" t="n"/>
      <c r="T1398" s="49" t="n"/>
      <c r="U1398" s="47" t="inlineStr">
        <is>
          <t>Today J, Miles and the team take on Bellsprout Tower and attempt to win their first Gym Badge against Falkner! Can the team survive these treacherous battles? Will J remember to buy Pokeballs?!</t>
        </is>
      </c>
      <c r="V1398" s="47">
        <f>IF(AND(P1398&gt;=Calendar!$K$2,P1398&lt;EDATE(Calendar!$K$2,1),OR(Calendar!$K$4="*",N1398=Calendar!$K$4)),P1398*100+COUNTIFS($P$6:$P$3267,P1398,$Q$6:$Q$3267,"&lt;="&amp;Q1398,$N$6:$N$3267,Calendar!$K$4),"")</f>
        <v/>
      </c>
      <c r="W1398" s="47">
        <f>IF(AND(B1398=Queue!$C$4,OR(Queue!$K$4="*",N1398=Queue!$K$4)),Q1398,"")</f>
        <v/>
      </c>
    </row>
    <row r="1399">
      <c r="A1399" s="38">
        <f>IF(M1399="","",HYPERLINK("https://www.youtube.com/watch?v="&amp;M1399,"▶"))</f>
        <v/>
      </c>
      <c r="B1399" s="39">
        <f>IF(C1399&lt;&gt;"",C1399,IF(P1399&lt;=IFERROR(INDEX(tblChannels[Watched Through],MATCH(N1399,tblChannels[Channel ID],0)),0),"Watched","Unwatched"))</f>
        <v/>
      </c>
      <c r="C1399" s="40" t="n"/>
      <c r="D1399" s="41" t="n"/>
      <c r="E1399" s="42" t="n">
        <v>44369.79375</v>
      </c>
      <c r="F1399" s="50" t="inlineStr">
        <is>
          <t>Super Carlin Brothers</t>
        </is>
      </c>
      <c r="G1399" t="inlineStr">
        <is>
          <t>LUCA REVIEW: Pixar's New Best? [J vs Ben]</t>
        </is>
      </c>
      <c r="H1399" s="44" t="n">
        <v>0.03909722222222222</v>
      </c>
      <c r="I1399" s="45" t="n">
        <v>310496</v>
      </c>
      <c r="J1399" s="45" t="n">
        <v>8103</v>
      </c>
      <c r="K1399" s="45" t="n">
        <v>1777</v>
      </c>
      <c r="L1399" s="46" t="n"/>
      <c r="M1399" s="47" t="n"/>
      <c r="N1399" s="47" t="inlineStr">
        <is>
          <t>UCKZo4N0lVPccBkSiuyVh4yg</t>
        </is>
      </c>
      <c r="O1399" s="48" t="n">
        <v>44369.96041666667</v>
      </c>
      <c r="P1399" s="49" t="n">
        <v>44369</v>
      </c>
      <c r="Q1399" s="47" t="n">
        <v>1869</v>
      </c>
      <c r="R1399" s="47" t="inlineStr">
        <is>
          <t>No Video ID yet</t>
        </is>
      </c>
      <c r="S1399" s="49" t="n"/>
      <c r="T1399" s="49" t="n"/>
      <c r="U1399" s="47" t="inlineStr">
        <is>
          <t>Visit to get Honey for free! Get 20% off your first monthly box when you sign up at and enter the code SUPER at checkout! Today J and Ben give their full spoiler review of Pixar's latest animated movie and discuss how it expertly represents friendship, jealously, marginalization and pasta.</t>
        </is>
      </c>
      <c r="V1399" s="47">
        <f>IF(AND(P1399&gt;=Calendar!$K$2,P1399&lt;EDATE(Calendar!$K$2,1),OR(Calendar!$K$4="*",N1399=Calendar!$K$4)),P1399*100+COUNTIFS($P$6:$P$3267,P1399,$Q$6:$Q$3267,"&lt;="&amp;Q1399,$N$6:$N$3267,Calendar!$K$4),"")</f>
        <v/>
      </c>
      <c r="W1399" s="47">
        <f>IF(AND(B1399=Queue!$C$4,OR(Queue!$K$4="*",N1399=Queue!$K$4)),Q1399,"")</f>
        <v/>
      </c>
    </row>
    <row r="1400">
      <c r="A1400" s="38">
        <f>IF(M1400="","",HYPERLINK("https://www.youtube.com/watch?v="&amp;M1400,"▶"))</f>
        <v/>
      </c>
      <c r="B1400" s="39">
        <f>IF(C1400&lt;&gt;"",C1400,IF(P1400&lt;=IFERROR(INDEX(tblChannels[Watched Through],MATCH(N1400,tblChannels[Channel ID],0)),0),"Watched","Unwatched"))</f>
        <v/>
      </c>
      <c r="C1400" s="40" t="n"/>
      <c r="D1400" s="41" t="n"/>
      <c r="E1400" s="42" t="n">
        <v>44368.41666666666</v>
      </c>
      <c r="F1400" s="52" t="inlineStr">
        <is>
          <t>Super Carlin Gaming</t>
        </is>
      </c>
      <c r="G1400" t="inlineStr">
        <is>
          <t>Choosing Our Starter! |  Pokémon SoulSilver Randomizer Nuzlocke #1</t>
        </is>
      </c>
      <c r="H1400" s="44" t="n">
        <v>0.03265046296296296</v>
      </c>
      <c r="I1400" s="45" t="n">
        <v>108387</v>
      </c>
      <c r="J1400" s="45" t="n">
        <v>3725</v>
      </c>
      <c r="K1400" s="45" t="n">
        <v>1063</v>
      </c>
      <c r="L1400" s="46" t="n"/>
      <c r="M1400" s="47" t="n"/>
      <c r="N1400" s="47" t="inlineStr">
        <is>
          <t>UCor_9jRnNNZVzTuQ92PKsaQ</t>
        </is>
      </c>
      <c r="O1400" s="48" t="n">
        <v>44368.58333333334</v>
      </c>
      <c r="P1400" s="49" t="n">
        <v>44368</v>
      </c>
      <c r="Q1400" s="47" t="n">
        <v>1868</v>
      </c>
      <c r="R1400" s="47" t="inlineStr">
        <is>
          <t>No Video ID yet</t>
        </is>
      </c>
      <c r="S1400" s="49" t="n"/>
      <c r="T1400" s="49" t="n"/>
      <c r="U1400" s="47" t="inlineStr">
        <is>
          <t>Today a new journey begins as J sets off on a Randomizer Nuzlocke challenge through SoulSilver and the Johto region! Who will our new starter be and can the survive the first encounter with our Rival?! FIND OUT!</t>
        </is>
      </c>
      <c r="V1400" s="47">
        <f>IF(AND(P1400&gt;=Calendar!$K$2,P1400&lt;EDATE(Calendar!$K$2,1),OR(Calendar!$K$4="*",N1400=Calendar!$K$4)),P1400*100+COUNTIFS($P$6:$P$3267,P1400,$Q$6:$Q$3267,"&lt;="&amp;Q1400,$N$6:$N$3267,Calendar!$K$4),"")</f>
        <v/>
      </c>
      <c r="W1400" s="47">
        <f>IF(AND(B1400=Queue!$C$4,OR(Queue!$K$4="*",N1400=Queue!$K$4)),Q1400,"")</f>
        <v/>
      </c>
    </row>
    <row r="1401">
      <c r="A1401" s="38">
        <f>IF(M1401="","",HYPERLINK("https://www.youtube.com/watch?v="&amp;M1401,"▶"))</f>
        <v/>
      </c>
      <c r="B1401" s="39">
        <f>IF(C1401&lt;&gt;"",C1401,IF(P1401&lt;=IFERROR(INDEX(tblChannels[Watched Through],MATCH(N1401,tblChannels[Channel ID],0)),0),"Watched","Unwatched"))</f>
        <v/>
      </c>
      <c r="C1401" s="40" t="n"/>
      <c r="D1401" s="41" t="n"/>
      <c r="E1401" s="42" t="n">
        <v>44365.41666666666</v>
      </c>
      <c r="F1401" s="50" t="inlineStr">
        <is>
          <t>Super Carlin Brothers</t>
        </is>
      </c>
      <c r="G1401" t="inlineStr">
        <is>
          <t>Your Personal Hotseat | Popcorn Culture</t>
        </is>
      </c>
      <c r="H1401" s="44" t="n">
        <v>0.04842592592592593</v>
      </c>
      <c r="I1401" s="45" t="n">
        <v>19304</v>
      </c>
      <c r="J1401" s="45" t="n">
        <v>863</v>
      </c>
      <c r="K1401" s="45" t="n">
        <v>147</v>
      </c>
      <c r="L1401" s="46" t="n"/>
      <c r="M1401" s="47" t="n"/>
      <c r="N1401" s="47" t="inlineStr">
        <is>
          <t>UCKZo4N0lVPccBkSiuyVh4yg</t>
        </is>
      </c>
      <c r="O1401" s="48" t="n">
        <v>44365.58333333334</v>
      </c>
      <c r="P1401" s="49" t="n">
        <v>44365</v>
      </c>
      <c r="Q1401" s="47" t="n">
        <v>1867</v>
      </c>
      <c r="R1401" s="47" t="inlineStr">
        <is>
          <t>No Video ID yet</t>
        </is>
      </c>
      <c r="S1401" s="49" t="n"/>
      <c r="T1401" s="49" t="n"/>
      <c r="U1401" s="47" t="inlineStr">
        <is>
          <t>In the 80th Episode of the Pop, Ben and J discuss: bad smelling things, past worst moves, life stats, resentment, how to deal with conflict, forgiveness, the one dollar difference, and slide ideas. Sign up for Quarterly Exclusive Merch including the One True Plush Trophy! Bingo card: Showers vs Baths: Get your very own candle:</t>
        </is>
      </c>
      <c r="V1401" s="47">
        <f>IF(AND(P1401&gt;=Calendar!$K$2,P1401&lt;EDATE(Calendar!$K$2,1),OR(Calendar!$K$4="*",N1401=Calendar!$K$4)),P1401*100+COUNTIFS($P$6:$P$3267,P1401,$Q$6:$Q$3267,"&lt;="&amp;Q1401,$N$6:$N$3267,Calendar!$K$4),"")</f>
        <v/>
      </c>
      <c r="W1401" s="47">
        <f>IF(AND(B1401=Queue!$C$4,OR(Queue!$K$4="*",N1401=Queue!$K$4)),Q1401,"")</f>
        <v/>
      </c>
    </row>
    <row r="1402">
      <c r="A1402" s="38">
        <f>IF(M1402="","",HYPERLINK("https://www.youtube.com/watch?v="&amp;M1402,"▶"))</f>
        <v/>
      </c>
      <c r="B1402" s="39">
        <f>IF(C1402&lt;&gt;"",C1402,IF(P1402&lt;=IFERROR(INDEX(tblChannels[Watched Through],MATCH(N1402,tblChannels[Channel ID],0)),0),"Watched","Unwatched"))</f>
        <v/>
      </c>
      <c r="C1402" s="40" t="n"/>
      <c r="D1402" s="41" t="n"/>
      <c r="E1402" s="42" t="n">
        <v>44365.25</v>
      </c>
      <c r="F1402" s="43" t="inlineStr">
        <is>
          <t>Popcorn Culture</t>
        </is>
      </c>
      <c r="G1402" t="inlineStr">
        <is>
          <t>80 - Your Personal Hotseat</t>
        </is>
      </c>
      <c r="H1402" s="44" t="n">
        <v>0.04686342592592593</v>
      </c>
      <c r="I1402" s="45" t="n">
        <v>1167</v>
      </c>
      <c r="J1402" s="45" t="n">
        <v>59</v>
      </c>
      <c r="K1402" s="45" t="n">
        <v>3</v>
      </c>
      <c r="L1402" s="46" t="n"/>
      <c r="M1402" s="47" t="n"/>
      <c r="N1402" s="47" t="inlineStr">
        <is>
          <t>UCHfIbq9thHPC8yrKjAdJgDA</t>
        </is>
      </c>
      <c r="O1402" s="48" t="n">
        <v>44365.41666666666</v>
      </c>
      <c r="P1402" s="49" t="n">
        <v>44365</v>
      </c>
      <c r="Q1402" s="47" t="n">
        <v>1866</v>
      </c>
      <c r="R1402" s="47" t="inlineStr">
        <is>
          <t>No Video ID yet</t>
        </is>
      </c>
      <c r="S1402" s="49" t="n"/>
      <c r="T1402" s="49" t="n"/>
      <c r="U1402" s="47" t="inlineStr">
        <is>
          <t>Ben and J discuss: bad smelling things, past worst moves, life stats, resentment, how to deal with conflict, forgiveness, the one-dollar difference, and slide ideas. Showers vs Baths: Get your very own candle:</t>
        </is>
      </c>
      <c r="V1402" s="47">
        <f>IF(AND(P1402&gt;=Calendar!$K$2,P1402&lt;EDATE(Calendar!$K$2,1),OR(Calendar!$K$4="*",N1402=Calendar!$K$4)),P1402*100+COUNTIFS($P$6:$P$3267,P1402,$Q$6:$Q$3267,"&lt;="&amp;Q1402,$N$6:$N$3267,Calendar!$K$4),"")</f>
        <v/>
      </c>
      <c r="W1402" s="47">
        <f>IF(AND(B1402=Queue!$C$4,OR(Queue!$K$4="*",N1402=Queue!$K$4)),Q1402,"")</f>
        <v/>
      </c>
    </row>
    <row r="1403">
      <c r="A1403" s="38">
        <f>IF(M1403="","",HYPERLINK("https://www.youtube.com/watch?v="&amp;M1403,"▶"))</f>
        <v/>
      </c>
      <c r="B1403" s="39">
        <f>IF(C1403&lt;&gt;"",C1403,IF(P1403&lt;=IFERROR(INDEX(tblChannels[Watched Through],MATCH(N1403,tblChannels[Channel ID],0)),0),"Watched","Unwatched"))</f>
        <v/>
      </c>
      <c r="C1403" s="40" t="n"/>
      <c r="D1403" s="41" t="n"/>
      <c r="E1403" s="42" t="n">
        <v>44364.78472222222</v>
      </c>
      <c r="F1403" s="50" t="inlineStr">
        <is>
          <t>Super Carlin Brothers</t>
        </is>
      </c>
      <c r="G1403" t="inlineStr">
        <is>
          <t>Wait.. Did Loki SURVIVE Thanos In Infinity War? | Marvel Theory</t>
        </is>
      </c>
      <c r="H1403" s="44" t="n">
        <v>0.01111111111111111</v>
      </c>
      <c r="I1403" s="45" t="n">
        <v>238329</v>
      </c>
      <c r="J1403" s="45" t="n">
        <v>11455</v>
      </c>
      <c r="K1403" s="45" t="n">
        <v>1268</v>
      </c>
      <c r="L1403" s="46" t="n"/>
      <c r="M1403" s="47" t="n"/>
      <c r="N1403" s="47" t="inlineStr">
        <is>
          <t>UCKZo4N0lVPccBkSiuyVh4yg</t>
        </is>
      </c>
      <c r="O1403" s="48" t="n">
        <v>44364.95138888889</v>
      </c>
      <c r="P1403" s="49" t="n">
        <v>44364</v>
      </c>
      <c r="Q1403" s="47" t="n">
        <v>1865</v>
      </c>
      <c r="R1403" s="47" t="inlineStr">
        <is>
          <t>No Video ID yet</t>
        </is>
      </c>
      <c r="S1403" s="49" t="n"/>
      <c r="T1403" s="49" t="n"/>
      <c r="U1403" s="47" t="inlineStr">
        <is>
          <t>Go to to get 10% off your first month of BetterHelp! Today Ben dives into the wild world of Disney Plus’ LOKI to try and figure out who the true villain is, what Lady Loki is up to, and if Thanos failed to kill Loki at all in Infinity War! #SuperCarlinBrothers #marvel #Loki</t>
        </is>
      </c>
      <c r="V1403" s="47">
        <f>IF(AND(P1403&gt;=Calendar!$K$2,P1403&lt;EDATE(Calendar!$K$2,1),OR(Calendar!$K$4="*",N1403=Calendar!$K$4)),P1403*100+COUNTIFS($P$6:$P$3267,P1403,$Q$6:$Q$3267,"&lt;="&amp;Q1403,$N$6:$N$3267,Calendar!$K$4),"")</f>
        <v/>
      </c>
      <c r="W1403" s="47">
        <f>IF(AND(B1403=Queue!$C$4,OR(Queue!$K$4="*",N1403=Queue!$K$4)),Q1403,"")</f>
        <v/>
      </c>
    </row>
    <row r="1404">
      <c r="A1404" s="38">
        <f>IF(M1404="","",HYPERLINK("https://www.youtube.com/watch?v="&amp;M1404,"▶"))</f>
        <v/>
      </c>
      <c r="B1404" s="39">
        <f>IF(C1404&lt;&gt;"",C1404,IF(P1404&lt;=IFERROR(INDEX(tblChannels[Watched Through],MATCH(N1404,tblChannels[Channel ID],0)),0),"Watched","Unwatched"))</f>
        <v/>
      </c>
      <c r="C1404" s="40" t="n"/>
      <c r="D1404" s="41" t="n"/>
      <c r="E1404" s="42" t="n">
        <v>44363.53888888889</v>
      </c>
      <c r="F1404" s="52" t="inlineStr">
        <is>
          <t>Super Carlin Gaming</t>
        </is>
      </c>
      <c r="G1404" t="inlineStr">
        <is>
          <t>NEW NUZLOCKE | Teaser Trailer</t>
        </is>
      </c>
      <c r="H1404" s="44" t="n">
        <v>0.0005787037037037037</v>
      </c>
      <c r="I1404" s="45" t="n">
        <v>9293</v>
      </c>
      <c r="J1404" s="45" t="n">
        <v>1111</v>
      </c>
      <c r="K1404" s="45" t="n">
        <v>267</v>
      </c>
      <c r="L1404" s="46" t="n"/>
      <c r="M1404" s="47" t="n"/>
      <c r="N1404" s="47" t="inlineStr">
        <is>
          <t>UCor_9jRnNNZVzTuQ92PKsaQ</t>
        </is>
      </c>
      <c r="O1404" s="48" t="n">
        <v>44363.70555555556</v>
      </c>
      <c r="P1404" s="49" t="n">
        <v>44363</v>
      </c>
      <c r="Q1404" s="47" t="n">
        <v>1864</v>
      </c>
      <c r="R1404" s="47" t="inlineStr">
        <is>
          <t>No Video ID yet</t>
        </is>
      </c>
      <c r="S1404" s="49" t="n"/>
      <c r="T1404" s="49" t="n"/>
      <c r="U1404" s="47" t="inlineStr">
        <is>
          <t>Coming June 21st.. THE SUPER CARLIN GAMING SOUL SILVER RANDOMIZER NUZLOCKE CHALLENGE!</t>
        </is>
      </c>
      <c r="V1404" s="47">
        <f>IF(AND(P1404&gt;=Calendar!$K$2,P1404&lt;EDATE(Calendar!$K$2,1),OR(Calendar!$K$4="*",N1404=Calendar!$K$4)),P1404*100+COUNTIFS($P$6:$P$3267,P1404,$Q$6:$Q$3267,"&lt;="&amp;Q1404,$N$6:$N$3267,Calendar!$K$4),"")</f>
        <v/>
      </c>
      <c r="W1404" s="47">
        <f>IF(AND(B1404=Queue!$C$4,OR(Queue!$K$4="*",N1404=Queue!$K$4)),Q1404,"")</f>
        <v/>
      </c>
    </row>
    <row r="1405">
      <c r="A1405" s="38">
        <f>IF(M1405="","",HYPERLINK("https://www.youtube.com/watch?v="&amp;M1405,"▶"))</f>
        <v/>
      </c>
      <c r="B1405" s="39">
        <f>IF(C1405&lt;&gt;"",C1405,IF(P1405&lt;=IFERROR(INDEX(tblChannels[Watched Through],MATCH(N1405,tblChannels[Channel ID],0)),0),"Watched","Unwatched"))</f>
        <v/>
      </c>
      <c r="C1405" s="40" t="n"/>
      <c r="D1405" s="41" t="n"/>
      <c r="E1405" s="42" t="n">
        <v>44362.68958333333</v>
      </c>
      <c r="F1405" s="50" t="inlineStr">
        <is>
          <t>Super Carlin Brothers</t>
        </is>
      </c>
      <c r="G1405" t="inlineStr">
        <is>
          <t>Lady Loki Is Coming | Marvel Theory</t>
        </is>
      </c>
      <c r="H1405" s="44" t="n">
        <v>0.01015046296296296</v>
      </c>
      <c r="I1405" s="45" t="n">
        <v>100379</v>
      </c>
      <c r="J1405" s="45" t="n">
        <v>6140</v>
      </c>
      <c r="K1405" s="45" t="n">
        <v>1539</v>
      </c>
      <c r="L1405" s="46" t="n"/>
      <c r="M1405" s="47" t="n"/>
      <c r="N1405" s="47" t="inlineStr">
        <is>
          <t>UCKZo4N0lVPccBkSiuyVh4yg</t>
        </is>
      </c>
      <c r="O1405" s="48" t="n">
        <v>44362.85625</v>
      </c>
      <c r="P1405" s="49" t="n">
        <v>44362</v>
      </c>
      <c r="Q1405" s="47" t="n">
        <v>1863</v>
      </c>
      <c r="R1405" s="47" t="inlineStr">
        <is>
          <t>No Video ID yet</t>
        </is>
      </c>
      <c r="S1405" s="49" t="n"/>
      <c r="T1405" s="49" t="n"/>
      <c r="U1405" s="47" t="inlineStr">
        <is>
          <t>Go to to get an extra 3 months FREE on a 1-year package. Today J dives into the Marvel Cinematic Universe to breakdown LOKI Season 1 Episode 1! Is Lady Loki coming? Young Loki? Is Marvel building a Young Avengers Team? Who is the Devil? Mephisto? Nightmare? What about the Kablooie blue Gum?! #SuperCarlinBrothers #marvel #Loki</t>
        </is>
      </c>
      <c r="V1405" s="47">
        <f>IF(AND(P1405&gt;=Calendar!$K$2,P1405&lt;EDATE(Calendar!$K$2,1),OR(Calendar!$K$4="*",N1405=Calendar!$K$4)),P1405*100+COUNTIFS($P$6:$P$3267,P1405,$Q$6:$Q$3267,"&lt;="&amp;Q1405,$N$6:$N$3267,Calendar!$K$4),"")</f>
        <v/>
      </c>
      <c r="W1405" s="47">
        <f>IF(AND(B1405=Queue!$C$4,OR(Queue!$K$4="*",N1405=Queue!$K$4)),Q1405,"")</f>
        <v/>
      </c>
    </row>
    <row r="1406">
      <c r="A1406" s="38">
        <f>IF(M1406="","",HYPERLINK("https://www.youtube.com/watch?v="&amp;M1406,"▶"))</f>
        <v/>
      </c>
      <c r="B1406" s="39">
        <f>IF(C1406&lt;&gt;"",C1406,IF(P1406&lt;=IFERROR(INDEX(tblChannels[Watched Through],MATCH(N1406,tblChannels[Channel ID],0)),0),"Watched","Unwatched"))</f>
        <v/>
      </c>
      <c r="C1406" s="40" t="n"/>
      <c r="D1406" s="41" t="n"/>
      <c r="E1406" s="42" t="n">
        <v>44358.41666666666</v>
      </c>
      <c r="F1406" s="50" t="inlineStr">
        <is>
          <t>Super Carlin Brothers</t>
        </is>
      </c>
      <c r="G1406" t="inlineStr">
        <is>
          <t>There are GIANT SLOTHS?!? | Popcorn Culture</t>
        </is>
      </c>
      <c r="H1406" s="44" t="n">
        <v>0.05143518518518519</v>
      </c>
      <c r="I1406" s="45" t="n">
        <v>22162</v>
      </c>
      <c r="J1406" s="45" t="n">
        <v>957</v>
      </c>
      <c r="K1406" s="45" t="n">
        <v>161</v>
      </c>
      <c r="L1406" s="46" t="n"/>
      <c r="M1406" s="47" t="n"/>
      <c r="N1406" s="47" t="inlineStr">
        <is>
          <t>UCKZo4N0lVPccBkSiuyVh4yg</t>
        </is>
      </c>
      <c r="O1406" s="48" t="n">
        <v>44358.58333333334</v>
      </c>
      <c r="P1406" s="49" t="n">
        <v>44358</v>
      </c>
      <c r="Q1406" s="47" t="n">
        <v>1862</v>
      </c>
      <c r="R1406" s="47" t="inlineStr">
        <is>
          <t>No Video ID yet</t>
        </is>
      </c>
      <c r="S1406" s="49" t="n"/>
      <c r="T1406" s="49" t="n"/>
      <c r="U1406" s="47" t="inlineStr">
        <is>
          <t>In the 79th episode of the Pop, Ben and J discuss: wedding dresses, mountain biking, boy scouts, sleepover struggles, dad magic, professional validation, card games, dinosaurs, numbers and letters, and the Bachelorette. Ombre - Order of the Arrow: Pectus: Why were dinosaurs so big: Giant Land Sloth: New Alphabet Song: Get your very own candle:</t>
        </is>
      </c>
      <c r="V1406" s="47">
        <f>IF(AND(P1406&gt;=Calendar!$K$2,P1406&lt;EDATE(Calendar!$K$2,1),OR(Calendar!$K$4="*",N1406=Calendar!$K$4)),P1406*100+COUNTIFS($P$6:$P$3267,P1406,$Q$6:$Q$3267,"&lt;="&amp;Q1406,$N$6:$N$3267,Calendar!$K$4),"")</f>
        <v/>
      </c>
      <c r="W1406" s="47">
        <f>IF(AND(B1406=Queue!$C$4,OR(Queue!$K$4="*",N1406=Queue!$K$4)),Q1406,"")</f>
        <v/>
      </c>
    </row>
    <row r="1407">
      <c r="A1407" s="38">
        <f>IF(M1407="","",HYPERLINK("https://www.youtube.com/watch?v="&amp;M1407,"▶"))</f>
        <v/>
      </c>
      <c r="B1407" s="39">
        <f>IF(C1407&lt;&gt;"",C1407,IF(P1407&lt;=IFERROR(INDEX(tblChannels[Watched Through],MATCH(N1407,tblChannels[Channel ID],0)),0),"Watched","Unwatched"))</f>
        <v/>
      </c>
      <c r="C1407" s="40" t="n"/>
      <c r="D1407" s="41" t="n"/>
      <c r="E1407" s="42" t="n">
        <v>44358.25</v>
      </c>
      <c r="F1407" s="43" t="inlineStr">
        <is>
          <t>Popcorn Culture</t>
        </is>
      </c>
      <c r="G1407" t="inlineStr">
        <is>
          <t>79 - There Were GIANT Sloths?!?</t>
        </is>
      </c>
      <c r="H1407" s="44" t="n">
        <v>0.04986111111111111</v>
      </c>
      <c r="I1407" s="45" t="n">
        <v>1207</v>
      </c>
      <c r="J1407" s="45" t="n">
        <v>60</v>
      </c>
      <c r="K1407" s="45" t="n">
        <v>10</v>
      </c>
      <c r="L1407" s="46" t="n"/>
      <c r="M1407" s="47" t="n"/>
      <c r="N1407" s="47" t="inlineStr">
        <is>
          <t>UCHfIbq9thHPC8yrKjAdJgDA</t>
        </is>
      </c>
      <c r="O1407" s="48" t="n">
        <v>44358.41666666666</v>
      </c>
      <c r="P1407" s="49" t="n">
        <v>44358</v>
      </c>
      <c r="Q1407" s="47" t="n">
        <v>1861</v>
      </c>
      <c r="R1407" s="47" t="inlineStr">
        <is>
          <t>No Video ID yet</t>
        </is>
      </c>
      <c r="S1407" s="49" t="n"/>
      <c r="T1407" s="49" t="n"/>
      <c r="U1407" s="47" t="inlineStr">
        <is>
          <t>Ben and J discuss: wedding dresses, mountain biking, boy scouts, sleepover struggles, dad magic, professional validation, card games, dinosaurs, numbers and letters, and the Bachelorette. Ombre - Order of the Arrow: Pectus: Why were dinosaurs so big: Giant Land Sloth: New Alphabet Song: Get your very own candle:</t>
        </is>
      </c>
      <c r="V1407" s="47">
        <f>IF(AND(P1407&gt;=Calendar!$K$2,P1407&lt;EDATE(Calendar!$K$2,1),OR(Calendar!$K$4="*",N1407=Calendar!$K$4)),P1407*100+COUNTIFS($P$6:$P$3267,P1407,$Q$6:$Q$3267,"&lt;="&amp;Q1407,$N$6:$N$3267,Calendar!$K$4),"")</f>
        <v/>
      </c>
      <c r="W1407" s="47">
        <f>IF(AND(B1407=Queue!$C$4,OR(Queue!$K$4="*",N1407=Queue!$K$4)),Q1407,"")</f>
        <v/>
      </c>
    </row>
    <row r="1408">
      <c r="A1408" s="38">
        <f>IF(M1408="","",HYPERLINK("https://www.youtube.com/watch?v="&amp;M1408,"▶"))</f>
        <v/>
      </c>
      <c r="B1408" s="39">
        <f>IF(C1408&lt;&gt;"",C1408,IF(P1408&lt;=IFERROR(INDEX(tblChannels[Watched Through],MATCH(N1408,tblChannels[Channel ID],0)),0),"Watched","Unwatched"))</f>
        <v/>
      </c>
      <c r="C1408" s="40" t="n"/>
      <c r="D1408" s="41" t="n"/>
      <c r="E1408" s="42" t="n">
        <v>44357.69097222222</v>
      </c>
      <c r="F1408" s="50" t="inlineStr">
        <is>
          <t>Super Carlin Brothers</t>
        </is>
      </c>
      <c r="G1408" t="inlineStr">
        <is>
          <t>J vs Ben: HARDEST LOKI TRIVIA QUIZ</t>
        </is>
      </c>
      <c r="H1408" s="44" t="n">
        <v>0.0224537037037037</v>
      </c>
      <c r="I1408" s="45" t="n">
        <v>169686</v>
      </c>
      <c r="J1408" s="45" t="n">
        <v>7560</v>
      </c>
      <c r="K1408" s="45" t="n">
        <v>774</v>
      </c>
      <c r="L1408" s="46" t="n"/>
      <c r="M1408" s="47" t="n"/>
      <c r="N1408" s="47" t="inlineStr">
        <is>
          <t>UCKZo4N0lVPccBkSiuyVh4yg</t>
        </is>
      </c>
      <c r="O1408" s="48" t="n">
        <v>44357.85763888889</v>
      </c>
      <c r="P1408" s="49" t="n">
        <v>44357</v>
      </c>
      <c r="Q1408" s="47" t="n">
        <v>1860</v>
      </c>
      <c r="R1408" s="47" t="inlineStr">
        <is>
          <t>No Video ID yet</t>
        </is>
      </c>
      <c r="S1408" s="49" t="n"/>
      <c r="T1408" s="49" t="n"/>
      <c r="U1408" s="47" t="inlineStr">
        <is>
          <t>Download the DoorDash app in the App Store and enter code JVSB2021 to get 25% off and zero delivery fees on your first order! Go to to get 10% off plus free shipping! Where Is Loki The Rightful Heir To? What Did Thanos Give Loki In A Deal For The Tesseract? What Were Loki's Last Words To Thanos? In celebration of his new show on Disney Plus Today J and Ben face off once more to find out who knows more about the God of Mischief LOKI! #SuperCarlinBrothers #marvel #Loki #jvsben Check out Nerdsync ::</t>
        </is>
      </c>
      <c r="V1408" s="47">
        <f>IF(AND(P1408&gt;=Calendar!$K$2,P1408&lt;EDATE(Calendar!$K$2,1),OR(Calendar!$K$4="*",N1408=Calendar!$K$4)),P1408*100+COUNTIFS($P$6:$P$3267,P1408,$Q$6:$Q$3267,"&lt;="&amp;Q1408,$N$6:$N$3267,Calendar!$K$4),"")</f>
        <v/>
      </c>
      <c r="W1408" s="47">
        <f>IF(AND(B1408=Queue!$C$4,OR(Queue!$K$4="*",N1408=Queue!$K$4)),Q1408,"")</f>
        <v/>
      </c>
    </row>
    <row r="1409">
      <c r="A1409" s="38">
        <f>IF(M1409="","",HYPERLINK("https://www.youtube.com/watch?v="&amp;M1409,"▶"))</f>
        <v/>
      </c>
      <c r="B1409" s="39">
        <f>IF(C1409&lt;&gt;"",C1409,IF(P1409&lt;=IFERROR(INDEX(tblChannels[Watched Through],MATCH(N1409,tblChannels[Channel ID],0)),0),"Watched","Unwatched"))</f>
        <v/>
      </c>
      <c r="C1409" s="40" t="n"/>
      <c r="D1409" s="41" t="n"/>
      <c r="E1409" s="42" t="n">
        <v>44355.68680555555</v>
      </c>
      <c r="F1409" s="50" t="inlineStr">
        <is>
          <t>Super Carlin Brothers</t>
        </is>
      </c>
      <c r="G1409" t="inlineStr">
        <is>
          <t>Floo Powder’s SECRET Ingredient | Harry Potter Theory</t>
        </is>
      </c>
      <c r="H1409" s="44" t="n">
        <v>0.0109837962962963</v>
      </c>
      <c r="I1409" s="45" t="n">
        <v>388086</v>
      </c>
      <c r="J1409" s="45" t="n">
        <v>16000</v>
      </c>
      <c r="K1409" s="45" t="n">
        <v>1615</v>
      </c>
      <c r="L1409" s="46" t="n"/>
      <c r="M1409" s="47" t="n"/>
      <c r="N1409" s="47" t="inlineStr">
        <is>
          <t>UCKZo4N0lVPccBkSiuyVh4yg</t>
        </is>
      </c>
      <c r="O1409" s="48" t="n">
        <v>44355.85347222222</v>
      </c>
      <c r="P1409" s="49" t="n">
        <v>44355</v>
      </c>
      <c r="Q1409" s="47" t="n">
        <v>1859</v>
      </c>
      <c r="R1409" s="47" t="inlineStr">
        <is>
          <t>No Video ID yet</t>
        </is>
      </c>
      <c r="S1409" s="49" t="n"/>
      <c r="T1409" s="49" t="n"/>
      <c r="U1409" s="47" t="inlineStr">
        <is>
          <t>Go to and use code SCB to save $75 on your starter kit! Ever wonder what makes Floo Powder work? Today J dives into the Wizarding World of Harry Potter to try and solve the secret ingredient that makes Floo Powder work, and why nobody has been able to crack the code until now!</t>
        </is>
      </c>
      <c r="V1409" s="47">
        <f>IF(AND(P1409&gt;=Calendar!$K$2,P1409&lt;EDATE(Calendar!$K$2,1),OR(Calendar!$K$4="*",N1409=Calendar!$K$4)),P1409*100+COUNTIFS($P$6:$P$3267,P1409,$Q$6:$Q$3267,"&lt;="&amp;Q1409,$N$6:$N$3267,Calendar!$K$4),"")</f>
        <v/>
      </c>
      <c r="W1409" s="47">
        <f>IF(AND(B1409=Queue!$C$4,OR(Queue!$K$4="*",N1409=Queue!$K$4)),Q1409,"")</f>
        <v/>
      </c>
    </row>
    <row r="1410">
      <c r="A1410" s="38">
        <f>IF(M1410="","",HYPERLINK("https://www.youtube.com/watch?v="&amp;M1410,"▶"))</f>
        <v/>
      </c>
      <c r="B1410" s="39">
        <f>IF(C1410&lt;&gt;"",C1410,IF(P1410&lt;=IFERROR(INDEX(tblChannels[Watched Through],MATCH(N1410,tblChannels[Channel ID],0)),0),"Watched","Unwatched"))</f>
        <v/>
      </c>
      <c r="C1410" s="40" t="n"/>
      <c r="D1410" s="41" t="n"/>
      <c r="E1410" s="42" t="n">
        <v>44354.41666666666</v>
      </c>
      <c r="F1410" s="52" t="inlineStr">
        <is>
          <t>Super Carlin Gaming</t>
        </is>
      </c>
      <c r="G1410" t="inlineStr">
        <is>
          <t>THE FINAL BATTLE |  Pokémon LeafGreen Randomizer Nuzlocke #22</t>
        </is>
      </c>
      <c r="H1410" s="44" t="n">
        <v>0.03966435185185185</v>
      </c>
      <c r="I1410" s="45" t="n">
        <v>22815</v>
      </c>
      <c r="J1410" s="45" t="n">
        <v>1615</v>
      </c>
      <c r="K1410" s="45" t="n">
        <v>507</v>
      </c>
      <c r="L1410" s="46" t="n"/>
      <c r="M1410" s="47" t="n"/>
      <c r="N1410" s="47" t="inlineStr">
        <is>
          <t>UCor_9jRnNNZVzTuQ92PKsaQ</t>
        </is>
      </c>
      <c r="O1410" s="48" t="n">
        <v>44354.58333333334</v>
      </c>
      <c r="P1410" s="49" t="n">
        <v>44354</v>
      </c>
      <c r="Q1410" s="47" t="n">
        <v>1858</v>
      </c>
      <c r="R1410" s="47" t="inlineStr">
        <is>
          <t>No Video ID yet</t>
        </is>
      </c>
      <c r="S1410" s="49" t="n"/>
      <c r="T1410" s="49" t="n"/>
      <c r="U1410" s="47" t="inlineStr">
        <is>
          <t>Today J, Happy, Sporkles and the team attempt to take on the Elite 4 and the Champion! Win, Lose or Draw, it all ends here!</t>
        </is>
      </c>
      <c r="V1410" s="47">
        <f>IF(AND(P1410&gt;=Calendar!$K$2,P1410&lt;EDATE(Calendar!$K$2,1),OR(Calendar!$K$4="*",N1410=Calendar!$K$4)),P1410*100+COUNTIFS($P$6:$P$3267,P1410,$Q$6:$Q$3267,"&lt;="&amp;Q1410,$N$6:$N$3267,Calendar!$K$4),"")</f>
        <v/>
      </c>
      <c r="W1410" s="47">
        <f>IF(AND(B1410=Queue!$C$4,OR(Queue!$K$4="*",N1410=Queue!$K$4)),Q1410,"")</f>
        <v/>
      </c>
    </row>
    <row r="1411">
      <c r="A1411" s="38">
        <f>IF(M1411="","",HYPERLINK("https://www.youtube.com/watch?v="&amp;M1411,"▶"))</f>
        <v/>
      </c>
      <c r="B1411" s="39">
        <f>IF(C1411&lt;&gt;"",C1411,IF(P1411&lt;=IFERROR(INDEX(tblChannels[Watched Through],MATCH(N1411,tblChannels[Channel ID],0)),0),"Watched","Unwatched"))</f>
        <v/>
      </c>
      <c r="C1411" s="40" t="n"/>
      <c r="D1411" s="41" t="n"/>
      <c r="E1411" s="42" t="n">
        <v>44351.41666666666</v>
      </c>
      <c r="F1411" s="50" t="inlineStr">
        <is>
          <t>Super Carlin Brothers</t>
        </is>
      </c>
      <c r="G1411" t="inlineStr">
        <is>
          <t>The Cupcake Dilemma | Popcorn Culture</t>
        </is>
      </c>
      <c r="H1411" s="44" t="n">
        <v>0.05521990740740741</v>
      </c>
      <c r="I1411" s="45" t="n">
        <v>30528</v>
      </c>
      <c r="J1411" s="45" t="n">
        <v>1021</v>
      </c>
      <c r="K1411" s="45" t="n">
        <v>162</v>
      </c>
      <c r="L1411" s="46" t="n"/>
      <c r="M1411" s="47" t="n"/>
      <c r="N1411" s="47" t="inlineStr">
        <is>
          <t>UCKZo4N0lVPccBkSiuyVh4yg</t>
        </is>
      </c>
      <c r="O1411" s="48" t="n">
        <v>44351.58333333334</v>
      </c>
      <c r="P1411" s="49" t="n">
        <v>44351</v>
      </c>
      <c r="Q1411" s="47" t="n">
        <v>1857</v>
      </c>
      <c r="R1411" s="47" t="inlineStr">
        <is>
          <t>No Video ID yet</t>
        </is>
      </c>
      <c r="S1411" s="49" t="n"/>
      <c r="T1411" s="49" t="n"/>
      <c r="U1411" s="47" t="inlineStr">
        <is>
          <t>In the 78th episode of the Pop, Ben and J discuss: cakes and cupcakes, strong opinions, nerd credibility, Pokemon cards, Ben's Boat "The Maime", philosophy revisit, the social contract, and morality. Bubblecake (#notsponsored): Ship of Theseus: Prisoner’s Dilemma Game Show: Cooperate or Cheat Game: Stages of Moral Development: Get your very own candle: #PopcornCulture #SuperCarlinBrothers</t>
        </is>
      </c>
      <c r="V1411" s="47">
        <f>IF(AND(P1411&gt;=Calendar!$K$2,P1411&lt;EDATE(Calendar!$K$2,1),OR(Calendar!$K$4="*",N1411=Calendar!$K$4)),P1411*100+COUNTIFS($P$6:$P$3267,P1411,$Q$6:$Q$3267,"&lt;="&amp;Q1411,$N$6:$N$3267,Calendar!$K$4),"")</f>
        <v/>
      </c>
      <c r="W1411" s="47">
        <f>IF(AND(B1411=Queue!$C$4,OR(Queue!$K$4="*",N1411=Queue!$K$4)),Q1411,"")</f>
        <v/>
      </c>
    </row>
    <row r="1412">
      <c r="A1412" s="38">
        <f>IF(M1412="","",HYPERLINK("https://www.youtube.com/watch?v="&amp;M1412,"▶"))</f>
        <v/>
      </c>
      <c r="B1412" s="39">
        <f>IF(C1412&lt;&gt;"",C1412,IF(P1412&lt;=IFERROR(INDEX(tblChannels[Watched Through],MATCH(N1412,tblChannels[Channel ID],0)),0),"Watched","Unwatched"))</f>
        <v/>
      </c>
      <c r="C1412" s="40" t="n"/>
      <c r="D1412" s="41" t="n"/>
      <c r="E1412" s="42" t="n">
        <v>44351.25</v>
      </c>
      <c r="F1412" s="43" t="inlineStr">
        <is>
          <t>Popcorn Culture</t>
        </is>
      </c>
      <c r="G1412" t="inlineStr">
        <is>
          <t>78 - The Cupcake Dilemma</t>
        </is>
      </c>
      <c r="H1412" s="44" t="n">
        <v>0.05359953703703704</v>
      </c>
      <c r="I1412" s="45" t="n">
        <v>1603</v>
      </c>
      <c r="J1412" s="45" t="n">
        <v>64</v>
      </c>
      <c r="K1412" s="45" t="n">
        <v>4</v>
      </c>
      <c r="L1412" s="46" t="n"/>
      <c r="M1412" s="47" t="n"/>
      <c r="N1412" s="47" t="inlineStr">
        <is>
          <t>UCHfIbq9thHPC8yrKjAdJgDA</t>
        </is>
      </c>
      <c r="O1412" s="48" t="n">
        <v>44351.41666666666</v>
      </c>
      <c r="P1412" s="49" t="n">
        <v>44351</v>
      </c>
      <c r="Q1412" s="47" t="n">
        <v>1856</v>
      </c>
      <c r="R1412" s="47" t="inlineStr">
        <is>
          <t>No Video ID yet</t>
        </is>
      </c>
      <c r="S1412" s="49" t="n"/>
      <c r="T1412" s="49" t="n"/>
      <c r="U1412" s="47" t="inlineStr">
        <is>
          <t>Ben and J discuss: cakes and cupcakes, strong opinions, nerd credibility, Pokemon cards, the Maime, philosophy revisit, the social contract, and morality. Bubblecake (#notsponsored): Ship of Theseus: Prisoner’s Dilemma Game Show: Cooperate or Cheat Game: Stages of Moral Development: Get your very own candle:</t>
        </is>
      </c>
      <c r="V1412" s="47">
        <f>IF(AND(P1412&gt;=Calendar!$K$2,P1412&lt;EDATE(Calendar!$K$2,1),OR(Calendar!$K$4="*",N1412=Calendar!$K$4)),P1412*100+COUNTIFS($P$6:$P$3267,P1412,$Q$6:$Q$3267,"&lt;="&amp;Q1412,$N$6:$N$3267,Calendar!$K$4),"")</f>
        <v/>
      </c>
      <c r="W1412" s="47">
        <f>IF(AND(B1412=Queue!$C$4,OR(Queue!$K$4="*",N1412=Queue!$K$4)),Q1412,"")</f>
        <v/>
      </c>
    </row>
    <row r="1413">
      <c r="A1413" s="38">
        <f>IF(M1413="","",HYPERLINK("https://www.youtube.com/watch?v="&amp;M1413,"▶"))</f>
        <v/>
      </c>
      <c r="B1413" s="39">
        <f>IF(C1413&lt;&gt;"",C1413,IF(P1413&lt;=IFERROR(INDEX(tblChannels[Watched Through],MATCH(N1413,tblChannels[Channel ID],0)),0),"Watched","Unwatched"))</f>
        <v/>
      </c>
      <c r="C1413" s="40" t="n"/>
      <c r="D1413" s="41" t="n"/>
      <c r="E1413" s="42" t="n">
        <v>44350.69583333333</v>
      </c>
      <c r="F1413" s="50" t="inlineStr">
        <is>
          <t>Super Carlin Brothers</t>
        </is>
      </c>
      <c r="G1413" t="inlineStr">
        <is>
          <t>The SECRET Descendents of Ravenclaw | Harry Potter Theory</t>
        </is>
      </c>
      <c r="H1413" s="44" t="n">
        <v>0.01216435185185185</v>
      </c>
      <c r="I1413" s="45" t="n">
        <v>404334</v>
      </c>
      <c r="J1413" s="45" t="n">
        <v>15945</v>
      </c>
      <c r="K1413" s="45" t="n">
        <v>1597</v>
      </c>
      <c r="L1413" s="46" t="n"/>
      <c r="M1413" s="47" t="n"/>
      <c r="N1413" s="47" t="inlineStr">
        <is>
          <t>UCKZo4N0lVPccBkSiuyVh4yg</t>
        </is>
      </c>
      <c r="O1413" s="48" t="n">
        <v>44350.8625</v>
      </c>
      <c r="P1413" s="49" t="n">
        <v>44350</v>
      </c>
      <c r="Q1413" s="47" t="n">
        <v>1855</v>
      </c>
      <c r="R1413" s="47" t="inlineStr">
        <is>
          <t>No Video ID yet</t>
        </is>
      </c>
      <c r="S1413" s="49" t="n"/>
      <c r="T1413" s="49" t="n"/>
      <c r="U1413" s="47" t="inlineStr">
        <is>
          <t>Head on over to to get 10% off! Today Ben dives into the Wizarding World of Harry Potter to uncover a Black Family secret: They are all descendants of Ravenclaw just not Rowena Ravenclaw...</t>
        </is>
      </c>
      <c r="V1413" s="47">
        <f>IF(AND(P1413&gt;=Calendar!$K$2,P1413&lt;EDATE(Calendar!$K$2,1),OR(Calendar!$K$4="*",N1413=Calendar!$K$4)),P1413*100+COUNTIFS($P$6:$P$3267,P1413,$Q$6:$Q$3267,"&lt;="&amp;Q1413,$N$6:$N$3267,Calendar!$K$4),"")</f>
        <v/>
      </c>
      <c r="W1413" s="47">
        <f>IF(AND(B1413=Queue!$C$4,OR(Queue!$K$4="*",N1413=Queue!$K$4)),Q1413,"")</f>
        <v/>
      </c>
    </row>
    <row r="1414">
      <c r="A1414" s="38">
        <f>IF(M1414="","",HYPERLINK("https://www.youtube.com/watch?v="&amp;M1414,"▶"))</f>
        <v/>
      </c>
      <c r="B1414" s="39">
        <f>IF(C1414&lt;&gt;"",C1414,IF(P1414&lt;=IFERROR(INDEX(tblChannels[Watched Through],MATCH(N1414,tblChannels[Channel ID],0)),0),"Watched","Unwatched"))</f>
        <v/>
      </c>
      <c r="C1414" s="40" t="n"/>
      <c r="D1414" s="41" t="n"/>
      <c r="E1414" s="42" t="n">
        <v>44349.41666666666</v>
      </c>
      <c r="F1414" s="52" t="inlineStr">
        <is>
          <t>Super Carlin Gaming</t>
        </is>
      </c>
      <c r="G1414" t="inlineStr">
        <is>
          <t>DESTINY AWAITS.. |  Pokémon LeafGreen Randomizer Nuzlocke #21</t>
        </is>
      </c>
      <c r="H1414" s="44" t="n">
        <v>0.03944444444444444</v>
      </c>
      <c r="I1414" s="45" t="n">
        <v>23353</v>
      </c>
      <c r="J1414" s="45" t="n">
        <v>1485</v>
      </c>
      <c r="K1414" s="45" t="n">
        <v>552</v>
      </c>
      <c r="L1414" s="46" t="n"/>
      <c r="M1414" s="47" t="n"/>
      <c r="N1414" s="47" t="inlineStr">
        <is>
          <t>UCor_9jRnNNZVzTuQ92PKsaQ</t>
        </is>
      </c>
      <c r="O1414" s="48" t="n">
        <v>44349.58333333334</v>
      </c>
      <c r="P1414" s="49" t="n">
        <v>44349</v>
      </c>
      <c r="Q1414" s="47" t="n">
        <v>1854</v>
      </c>
      <c r="R1414" s="47" t="inlineStr">
        <is>
          <t>No Video ID yet</t>
        </is>
      </c>
      <c r="S1414" s="49" t="n"/>
      <c r="T1414" s="49" t="n"/>
      <c r="U1414" s="47" t="inlineStr">
        <is>
          <t>This week J, Happy, Sporkles and the team head to Victory Road to take on our hardest route of trainers yet and prepare for the Elite 4! Can the team survive the final path to destiny!?</t>
        </is>
      </c>
      <c r="V1414" s="47">
        <f>IF(AND(P1414&gt;=Calendar!$K$2,P1414&lt;EDATE(Calendar!$K$2,1),OR(Calendar!$K$4="*",N1414=Calendar!$K$4)),P1414*100+COUNTIFS($P$6:$P$3267,P1414,$Q$6:$Q$3267,"&lt;="&amp;Q1414,$N$6:$N$3267,Calendar!$K$4),"")</f>
        <v/>
      </c>
      <c r="W1414" s="47">
        <f>IF(AND(B1414=Queue!$C$4,OR(Queue!$K$4="*",N1414=Queue!$K$4)),Q1414,"")</f>
        <v/>
      </c>
    </row>
    <row r="1415">
      <c r="A1415" s="38">
        <f>IF(M1415="","",HYPERLINK("https://www.youtube.com/watch?v="&amp;M1415,"▶"))</f>
        <v/>
      </c>
      <c r="B1415" s="39">
        <f>IF(C1415&lt;&gt;"",C1415,IF(P1415&lt;=IFERROR(INDEX(tblChannels[Watched Through],MATCH(N1415,tblChannels[Channel ID],0)),0),"Watched","Unwatched"))</f>
        <v/>
      </c>
      <c r="C1415" s="40" t="n"/>
      <c r="D1415" s="41" t="n"/>
      <c r="E1415" s="42" t="n">
        <v>44348.72152777778</v>
      </c>
      <c r="F1415" s="50" t="inlineStr">
        <is>
          <t>Super Carlin Brothers</t>
        </is>
      </c>
      <c r="G1415" t="inlineStr">
        <is>
          <t>Mrs. Norris is a Maledictus SOLVED | Harry Potter Theory</t>
        </is>
      </c>
      <c r="H1415" s="44" t="n">
        <v>0.01082175925925926</v>
      </c>
      <c r="I1415" s="45" t="n">
        <v>493467</v>
      </c>
      <c r="J1415" s="45" t="n">
        <v>18821</v>
      </c>
      <c r="K1415" s="45" t="n">
        <v>2655</v>
      </c>
      <c r="L1415" s="46" t="n"/>
      <c r="M1415" s="47" t="n"/>
      <c r="N1415" s="47" t="inlineStr">
        <is>
          <t>UCKZo4N0lVPccBkSiuyVh4yg</t>
        </is>
      </c>
      <c r="O1415" s="48" t="n">
        <v>44348.88819444444</v>
      </c>
      <c r="P1415" s="49" t="n">
        <v>44348</v>
      </c>
      <c r="Q1415" s="47" t="n">
        <v>1853</v>
      </c>
      <c r="R1415" s="47" t="inlineStr">
        <is>
          <t>No Video ID yet</t>
        </is>
      </c>
      <c r="S1415" s="49" t="n"/>
      <c r="T1415" s="49" t="n"/>
      <c r="U1415" s="47" t="inlineStr">
        <is>
          <t>Go to or text ‘SUPERCARLIN’ to 500-500! Don’t Hate! Join GESTATE! :: Today J dives into the Wizarding World of Harry Potter to get to the bottom Mrs. Norris and prove once and for all that she MUST have been a Maledictus. It all comes down to the map! #SuperCarlinBrothers #HarryPotter #GESTATE</t>
        </is>
      </c>
      <c r="V1415" s="47">
        <f>IF(AND(P1415&gt;=Calendar!$K$2,P1415&lt;EDATE(Calendar!$K$2,1),OR(Calendar!$K$4="*",N1415=Calendar!$K$4)),P1415*100+COUNTIFS($P$6:$P$3267,P1415,$Q$6:$Q$3267,"&lt;="&amp;Q1415,$N$6:$N$3267,Calendar!$K$4),"")</f>
        <v/>
      </c>
      <c r="W1415" s="47">
        <f>IF(AND(B1415=Queue!$C$4,OR(Queue!$K$4="*",N1415=Queue!$K$4)),Q1415,"")</f>
        <v/>
      </c>
    </row>
    <row r="1416">
      <c r="A1416" s="38">
        <f>IF(M1416="","",HYPERLINK("https://www.youtube.com/watch?v="&amp;M1416,"▶"))</f>
        <v/>
      </c>
      <c r="B1416" s="39">
        <f>IF(C1416&lt;&gt;"",C1416,IF(P1416&lt;=IFERROR(INDEX(tblChannels[Watched Through],MATCH(N1416,tblChannels[Channel ID],0)),0),"Watched","Unwatched"))</f>
        <v/>
      </c>
      <c r="C1416" s="40" t="n"/>
      <c r="D1416" s="41" t="n"/>
      <c r="E1416" s="42" t="n">
        <v>44347.41666666666</v>
      </c>
      <c r="F1416" s="52" t="inlineStr">
        <is>
          <t>Super Carlin Gaming</t>
        </is>
      </c>
      <c r="G1416" t="inlineStr">
        <is>
          <t>THE BATTLE OF SEAFOAM |  Pokémon LeafGreen Randomizer Nuzlocke #20</t>
        </is>
      </c>
      <c r="H1416" s="44" t="n">
        <v>0.03111111111111111</v>
      </c>
      <c r="I1416" s="45" t="n">
        <v>20004</v>
      </c>
      <c r="J1416" s="45" t="n">
        <v>2136</v>
      </c>
      <c r="K1416" s="45" t="n">
        <v>471</v>
      </c>
      <c r="L1416" s="46" t="n"/>
      <c r="M1416" s="47" t="n"/>
      <c r="N1416" s="47" t="inlineStr">
        <is>
          <t>UCor_9jRnNNZVzTuQ92PKsaQ</t>
        </is>
      </c>
      <c r="O1416" s="48" t="n">
        <v>44347.58333333334</v>
      </c>
      <c r="P1416" s="49" t="n">
        <v>44347</v>
      </c>
      <c r="Q1416" s="47" t="n">
        <v>1852</v>
      </c>
      <c r="R1416" s="47" t="inlineStr">
        <is>
          <t>No Video ID yet</t>
        </is>
      </c>
      <c r="S1416" s="49" t="n"/>
      <c r="T1416" s="49" t="n"/>
      <c r="U1416" s="47" t="inlineStr">
        <is>
          <t>This week J, Happy, Sporkles and the team head to the Seafoam Islands to try and hunt down another legendary Pokemon, and THIS TIME they bring a legendary of their own!</t>
        </is>
      </c>
      <c r="V1416" s="47">
        <f>IF(AND(P1416&gt;=Calendar!$K$2,P1416&lt;EDATE(Calendar!$K$2,1),OR(Calendar!$K$4="*",N1416=Calendar!$K$4)),P1416*100+COUNTIFS($P$6:$P$3267,P1416,$Q$6:$Q$3267,"&lt;="&amp;Q1416,$N$6:$N$3267,Calendar!$K$4),"")</f>
        <v/>
      </c>
      <c r="W1416" s="47">
        <f>IF(AND(B1416=Queue!$C$4,OR(Queue!$K$4="*",N1416=Queue!$K$4)),Q1416,"")</f>
        <v/>
      </c>
    </row>
    <row r="1417">
      <c r="A1417" s="38">
        <f>IF(M1417="","",HYPERLINK("https://www.youtube.com/watch?v="&amp;M1417,"▶"))</f>
        <v/>
      </c>
      <c r="B1417" s="39">
        <f>IF(C1417&lt;&gt;"",C1417,IF(P1417&lt;=IFERROR(INDEX(tblChannels[Watched Through],MATCH(N1417,tblChannels[Channel ID],0)),0),"Watched","Unwatched"))</f>
        <v/>
      </c>
      <c r="C1417" s="40" t="n"/>
      <c r="D1417" s="41" t="n"/>
      <c r="E1417" s="42" t="n">
        <v>44344.41666666666</v>
      </c>
      <c r="F1417" s="50" t="inlineStr">
        <is>
          <t>Super Carlin Brothers</t>
        </is>
      </c>
      <c r="G1417" t="inlineStr">
        <is>
          <t>Which Superhero Was Right? | Popcorn Culture</t>
        </is>
      </c>
      <c r="H1417" s="44" t="n">
        <v>0.05501157407407407</v>
      </c>
      <c r="I1417" s="45" t="n">
        <v>48049</v>
      </c>
      <c r="J1417" s="45" t="n">
        <v>1566</v>
      </c>
      <c r="K1417" s="45" t="n">
        <v>187</v>
      </c>
      <c r="L1417" s="46" t="n"/>
      <c r="M1417" s="47" t="n"/>
      <c r="N1417" s="47" t="inlineStr">
        <is>
          <t>UCKZo4N0lVPccBkSiuyVh4yg</t>
        </is>
      </c>
      <c r="O1417" s="48" t="n">
        <v>44344.58333333334</v>
      </c>
      <c r="P1417" s="49" t="n">
        <v>44344</v>
      </c>
      <c r="Q1417" s="47" t="n">
        <v>1851</v>
      </c>
      <c r="R1417" s="47" t="inlineStr">
        <is>
          <t>No Video ID yet</t>
        </is>
      </c>
      <c r="S1417" s="49" t="n"/>
      <c r="T1417" s="49" t="n"/>
      <c r="U1417" s="47" t="inlineStr">
        <is>
          <t>In the 77th Episode of the Pop, Ben and J discuss: dream cars and car modifications, the mid-life crisis, superhero philosophy, courage and consideration, and how to pick a restaurant for a group. Thanos’s Plan Wouldn’t Work: Deontology: New Patreon Tiers: Highlight’s Magazine (#notspon): Coyote Videos: #PopcornCulture #SuperCarlinBrothers</t>
        </is>
      </c>
      <c r="V1417" s="47">
        <f>IF(AND(P1417&gt;=Calendar!$K$2,P1417&lt;EDATE(Calendar!$K$2,1),OR(Calendar!$K$4="*",N1417=Calendar!$K$4)),P1417*100+COUNTIFS($P$6:$P$3267,P1417,$Q$6:$Q$3267,"&lt;="&amp;Q1417,$N$6:$N$3267,Calendar!$K$4),"")</f>
        <v/>
      </c>
      <c r="W1417" s="47">
        <f>IF(AND(B1417=Queue!$C$4,OR(Queue!$K$4="*",N1417=Queue!$K$4)),Q1417,"")</f>
        <v/>
      </c>
    </row>
    <row r="1418">
      <c r="A1418" s="38">
        <f>IF(M1418="","",HYPERLINK("https://www.youtube.com/watch?v="&amp;M1418,"▶"))</f>
        <v/>
      </c>
      <c r="B1418" s="39">
        <f>IF(C1418&lt;&gt;"",C1418,IF(P1418&lt;=IFERROR(INDEX(tblChannels[Watched Through],MATCH(N1418,tblChannels[Channel ID],0)),0),"Watched","Unwatched"))</f>
        <v/>
      </c>
      <c r="C1418" s="40" t="n"/>
      <c r="D1418" s="41" t="n"/>
      <c r="E1418" s="42" t="n">
        <v>44344.25</v>
      </c>
      <c r="F1418" s="43" t="inlineStr">
        <is>
          <t>Popcorn Culture</t>
        </is>
      </c>
      <c r="G1418" t="inlineStr">
        <is>
          <t>77 - Are We Too Old For Subwoofers?</t>
        </is>
      </c>
      <c r="H1418" s="44" t="n">
        <v>0.05369212962962963</v>
      </c>
      <c r="I1418" s="45" t="n">
        <v>1258</v>
      </c>
      <c r="J1418" s="45" t="n">
        <v>61</v>
      </c>
      <c r="K1418" s="45" t="n">
        <v>4</v>
      </c>
      <c r="L1418" s="46" t="n"/>
      <c r="M1418" s="47" t="n"/>
      <c r="N1418" s="47" t="inlineStr">
        <is>
          <t>UCHfIbq9thHPC8yrKjAdJgDA</t>
        </is>
      </c>
      <c r="O1418" s="48" t="n">
        <v>44344.41666666666</v>
      </c>
      <c r="P1418" s="49" t="n">
        <v>44344</v>
      </c>
      <c r="Q1418" s="47" t="n">
        <v>1850</v>
      </c>
      <c r="R1418" s="47" t="inlineStr">
        <is>
          <t>No Video ID yet</t>
        </is>
      </c>
      <c r="S1418" s="49" t="n"/>
      <c r="T1418" s="49" t="n"/>
      <c r="U1418" s="47" t="inlineStr">
        <is>
          <t>Ben and J discuss: dream cars and car modifications, the mid-life crisis, superhero philosophy, courage and consideration, and how to pick a restaurant for a group. Thanos’s Plan Wouldn’t Work: Deontology: New Patreon Tiers: Highlight’s Magazine (#notspon): Coyote Videos:</t>
        </is>
      </c>
      <c r="V1418" s="47">
        <f>IF(AND(P1418&gt;=Calendar!$K$2,P1418&lt;EDATE(Calendar!$K$2,1),OR(Calendar!$K$4="*",N1418=Calendar!$K$4)),P1418*100+COUNTIFS($P$6:$P$3267,P1418,$Q$6:$Q$3267,"&lt;="&amp;Q1418,$N$6:$N$3267,Calendar!$K$4),"")</f>
        <v/>
      </c>
      <c r="W1418" s="47">
        <f>IF(AND(B1418=Queue!$C$4,OR(Queue!$K$4="*",N1418=Queue!$K$4)),Q1418,"")</f>
        <v/>
      </c>
    </row>
    <row r="1419">
      <c r="A1419" s="38">
        <f>IF(M1419="","",HYPERLINK("https://www.youtube.com/watch?v="&amp;M1419,"▶"))</f>
        <v/>
      </c>
      <c r="B1419" s="39">
        <f>IF(C1419&lt;&gt;"",C1419,IF(P1419&lt;=IFERROR(INDEX(tblChannels[Watched Through],MATCH(N1419,tblChannels[Channel ID],0)),0),"Watched","Unwatched"))</f>
        <v/>
      </c>
      <c r="C1419" s="40" t="n"/>
      <c r="D1419" s="41" t="n"/>
      <c r="E1419" s="42" t="n">
        <v>44343.68125</v>
      </c>
      <c r="F1419" s="50" t="inlineStr">
        <is>
          <t>Super Carlin Brothers</t>
        </is>
      </c>
      <c r="G1419" t="inlineStr">
        <is>
          <t>J vs Ben: HARDEST Harry Potter Portraits TRIVIA Quiz</t>
        </is>
      </c>
      <c r="H1419" s="44" t="n">
        <v>0.01622685185185185</v>
      </c>
      <c r="I1419" s="45" t="n">
        <v>204576</v>
      </c>
      <c r="J1419" s="45" t="n">
        <v>8335</v>
      </c>
      <c r="K1419" s="45" t="n">
        <v>650</v>
      </c>
      <c r="L1419" s="46" t="n"/>
      <c r="M1419" s="47" t="n"/>
      <c r="N1419" s="47" t="inlineStr">
        <is>
          <t>UCKZo4N0lVPccBkSiuyVh4yg</t>
        </is>
      </c>
      <c r="O1419" s="48" t="n">
        <v>44343.84791666667</v>
      </c>
      <c r="P1419" s="49" t="n">
        <v>44343</v>
      </c>
      <c r="Q1419" s="47" t="n">
        <v>1849</v>
      </c>
      <c r="R1419" s="47" t="inlineStr">
        <is>
          <t>No Video ID yet</t>
        </is>
      </c>
      <c r="S1419" s="49" t="n"/>
      <c r="T1419" s="49" t="n"/>
      <c r="U1419" s="47" t="inlineStr">
        <is>
          <t>Download the DoorDash app in the App Store and enter code JVSB2021 to get 25% off and zero delivery fees on your first order! Visit to get Honey for free! Today J and Ben face off once more to determine who is the greater art lover and who knows the most about the Portraits in Hogwarts castle! Sign up for the 10k and your finisher medal here: Check out the 13-week "Couch to 10k" Program here: #JvsBen #HarryPotter #SCB10k Think you can stump us?? Become a quiz master! ➜</t>
        </is>
      </c>
      <c r="V1419" s="47">
        <f>IF(AND(P1419&gt;=Calendar!$K$2,P1419&lt;EDATE(Calendar!$K$2,1),OR(Calendar!$K$4="*",N1419=Calendar!$K$4)),P1419*100+COUNTIFS($P$6:$P$3267,P1419,$Q$6:$Q$3267,"&lt;="&amp;Q1419,$N$6:$N$3267,Calendar!$K$4),"")</f>
        <v/>
      </c>
      <c r="W1419" s="47">
        <f>IF(AND(B1419=Queue!$C$4,OR(Queue!$K$4="*",N1419=Queue!$K$4)),Q1419,"")</f>
        <v/>
      </c>
    </row>
    <row r="1420">
      <c r="A1420" s="38">
        <f>IF(M1420="","",HYPERLINK("https://www.youtube.com/watch?v="&amp;M1420,"▶"))</f>
        <v/>
      </c>
      <c r="B1420" s="39">
        <f>IF(C1420&lt;&gt;"",C1420,IF(P1420&lt;=IFERROR(INDEX(tblChannels[Watched Through],MATCH(N1420,tblChannels[Channel ID],0)),0),"Watched","Unwatched"))</f>
        <v/>
      </c>
      <c r="C1420" s="40" t="n"/>
      <c r="D1420" s="41" t="n"/>
      <c r="E1420" s="42" t="n">
        <v>44342.41666666666</v>
      </c>
      <c r="F1420" s="52" t="inlineStr">
        <is>
          <t>Super Carlin Gaming</t>
        </is>
      </c>
      <c r="G1420" t="inlineStr">
        <is>
          <t>RISE OF THE DRAGON |  Pokémon LeafGreen Randomizer Nuzlocke #19</t>
        </is>
      </c>
      <c r="H1420" s="44" t="n">
        <v>0.03709490740740741</v>
      </c>
      <c r="I1420" s="45" t="n">
        <v>22474</v>
      </c>
      <c r="J1420" s="45" t="n">
        <v>1368</v>
      </c>
      <c r="K1420" s="45" t="n">
        <v>348</v>
      </c>
      <c r="L1420" s="46" t="n"/>
      <c r="M1420" s="47" t="n"/>
      <c r="N1420" s="47" t="inlineStr">
        <is>
          <t>UCor_9jRnNNZVzTuQ92PKsaQ</t>
        </is>
      </c>
      <c r="O1420" s="48" t="n">
        <v>44342.58333333334</v>
      </c>
      <c r="P1420" s="49" t="n">
        <v>44342</v>
      </c>
      <c r="Q1420" s="47" t="n">
        <v>1848</v>
      </c>
      <c r="R1420" s="47" t="inlineStr">
        <is>
          <t>No Video ID yet</t>
        </is>
      </c>
      <c r="S1420" s="49" t="n"/>
      <c r="T1420" s="49" t="n"/>
      <c r="U1420" s="47" t="inlineStr">
        <is>
          <t>This week J and the team head to the Sevii Islands to look for a lost girl, catch some Pokemon and then take on our FINAL GYM BATTLE!</t>
        </is>
      </c>
      <c r="V1420" s="47">
        <f>IF(AND(P1420&gt;=Calendar!$K$2,P1420&lt;EDATE(Calendar!$K$2,1),OR(Calendar!$K$4="*",N1420=Calendar!$K$4)),P1420*100+COUNTIFS($P$6:$P$3267,P1420,$Q$6:$Q$3267,"&lt;="&amp;Q1420,$N$6:$N$3267,Calendar!$K$4),"")</f>
        <v/>
      </c>
      <c r="W1420" s="47">
        <f>IF(AND(B1420=Queue!$C$4,OR(Queue!$K$4="*",N1420=Queue!$K$4)),Q1420,"")</f>
        <v/>
      </c>
    </row>
    <row r="1421">
      <c r="A1421" s="38">
        <f>IF(M1421="","",HYPERLINK("https://www.youtube.com/watch?v="&amp;M1421,"▶"))</f>
        <v/>
      </c>
      <c r="B1421" s="39">
        <f>IF(C1421&lt;&gt;"",C1421,IF(P1421&lt;=IFERROR(INDEX(tblChannels[Watched Through],MATCH(N1421,tblChannels[Channel ID],0)),0),"Watched","Unwatched"))</f>
        <v/>
      </c>
      <c r="C1421" s="40" t="n"/>
      <c r="D1421" s="41" t="n"/>
      <c r="E1421" s="42" t="n">
        <v>44341.9875</v>
      </c>
      <c r="F1421" s="52" t="inlineStr">
        <is>
          <t>Super Carlin Gaming</t>
        </is>
      </c>
      <c r="G1421" t="inlineStr">
        <is>
          <t>LIVE! - Pokemon Trading Card Game | Players Cup IV</t>
        </is>
      </c>
      <c r="H1421" s="44" t="n">
        <v>0.1134722222222222</v>
      </c>
      <c r="I1421" s="45" t="n">
        <v>8128</v>
      </c>
      <c r="J1421" s="45" t="n">
        <v>307</v>
      </c>
      <c r="K1421" s="45" t="n">
        <v>6</v>
      </c>
      <c r="L1421" s="46" t="n"/>
      <c r="M1421" s="47" t="n"/>
      <c r="N1421" s="47" t="inlineStr">
        <is>
          <t>UCor_9jRnNNZVzTuQ92PKsaQ</t>
        </is>
      </c>
      <c r="O1421" s="48" t="n">
        <v>44342.15416666667</v>
      </c>
      <c r="P1421" s="49" t="n">
        <v>44341</v>
      </c>
      <c r="Q1421" s="47" t="n">
        <v>1847</v>
      </c>
      <c r="R1421" s="47" t="inlineStr">
        <is>
          <t>No Video ID yet</t>
        </is>
      </c>
      <c r="S1421" s="49" t="n"/>
      <c r="T1421" s="49" t="n"/>
      <c r="U1421" s="47" t="inlineStr">
        <is>
          <t>J is taking his Single Strike Urshifu Deck into Players Cup IV to try and win as many points as possible before tomorrows deadline!</t>
        </is>
      </c>
      <c r="V1421" s="47">
        <f>IF(AND(P1421&gt;=Calendar!$K$2,P1421&lt;EDATE(Calendar!$K$2,1),OR(Calendar!$K$4="*",N1421=Calendar!$K$4)),P1421*100+COUNTIFS($P$6:$P$3267,P1421,$Q$6:$Q$3267,"&lt;="&amp;Q1421,$N$6:$N$3267,Calendar!$K$4),"")</f>
        <v/>
      </c>
      <c r="W1421" s="47">
        <f>IF(AND(B1421=Queue!$C$4,OR(Queue!$K$4="*",N1421=Queue!$K$4)),Q1421,"")</f>
        <v/>
      </c>
    </row>
    <row r="1422">
      <c r="A1422" s="38">
        <f>IF(M1422="","",HYPERLINK("https://www.youtube.com/watch?v="&amp;M1422,"▶"))</f>
        <v/>
      </c>
      <c r="B1422" s="39">
        <f>IF(C1422&lt;&gt;"",C1422,IF(P1422&lt;=IFERROR(INDEX(tblChannels[Watched Through],MATCH(N1422,tblChannels[Channel ID],0)),0),"Watched","Unwatched"))</f>
        <v/>
      </c>
      <c r="C1422" s="40" t="n"/>
      <c r="D1422" s="41" t="n"/>
      <c r="E1422" s="42" t="n">
        <v>44341.69305555556</v>
      </c>
      <c r="F1422" s="50" t="inlineStr">
        <is>
          <t>Super Carlin Brothers</t>
        </is>
      </c>
      <c r="G1422" t="inlineStr">
        <is>
          <t>Sirius Is A Hufflepuff | Harry Potter Theory</t>
        </is>
      </c>
      <c r="H1422" s="44" t="n">
        <v>0.009328703703703704</v>
      </c>
      <c r="I1422" s="45" t="n">
        <v>366748</v>
      </c>
      <c r="J1422" s="45" t="n">
        <v>15878</v>
      </c>
      <c r="K1422" s="45" t="n">
        <v>1651</v>
      </c>
      <c r="L1422" s="46" t="n"/>
      <c r="M1422" s="47" t="n"/>
      <c r="N1422" s="47" t="inlineStr">
        <is>
          <t>UCKZo4N0lVPccBkSiuyVh4yg</t>
        </is>
      </c>
      <c r="O1422" s="48" t="n">
        <v>44341.85972222222</v>
      </c>
      <c r="P1422" s="49" t="n">
        <v>44341</v>
      </c>
      <c r="Q1422" s="47" t="n">
        <v>1846</v>
      </c>
      <c r="R1422" s="47" t="inlineStr">
        <is>
          <t>No Video ID yet</t>
        </is>
      </c>
      <c r="S1422" s="49" t="n"/>
      <c r="T1422" s="49" t="n"/>
      <c r="U1422" s="47" t="inlineStr">
        <is>
          <t>Go to and use promo code ‘SUPERCARLIN’ to claim your special offer today! Today J dives into the Wizarding World of Harry Potter to discuss the Marauders: James, Lupin, Peter and Sirius, and how each member represents one of the 4 Hogwarts Houses: Gryffindor, Ravenclaw, Slytherin and Hufflepuff</t>
        </is>
      </c>
      <c r="V1422" s="47">
        <f>IF(AND(P1422&gt;=Calendar!$K$2,P1422&lt;EDATE(Calendar!$K$2,1),OR(Calendar!$K$4="*",N1422=Calendar!$K$4)),P1422*100+COUNTIFS($P$6:$P$3267,P1422,$Q$6:$Q$3267,"&lt;="&amp;Q1422,$N$6:$N$3267,Calendar!$K$4),"")</f>
        <v/>
      </c>
      <c r="W1422" s="47">
        <f>IF(AND(B1422=Queue!$C$4,OR(Queue!$K$4="*",N1422=Queue!$K$4)),Q1422,"")</f>
        <v/>
      </c>
    </row>
    <row r="1423">
      <c r="A1423" s="38">
        <f>IF(M1423="","",HYPERLINK("https://www.youtube.com/watch?v="&amp;M1423,"▶"))</f>
        <v/>
      </c>
      <c r="B1423" s="39">
        <f>IF(C1423&lt;&gt;"",C1423,IF(P1423&lt;=IFERROR(INDEX(tblChannels[Watched Through],MATCH(N1423,tblChannels[Channel ID],0)),0),"Watched","Unwatched"))</f>
        <v/>
      </c>
      <c r="C1423" s="40" t="n"/>
      <c r="D1423" s="41" t="n"/>
      <c r="E1423" s="42" t="n">
        <v>44340.41666666666</v>
      </c>
      <c r="F1423" s="52" t="inlineStr">
        <is>
          <t>Super Carlin Gaming</t>
        </is>
      </c>
      <c r="G1423" t="inlineStr">
        <is>
          <t>Blaine's up to his Normal Tricks.. |  Pokémon LeafGreen Randomizer Nuzlocke #18</t>
        </is>
      </c>
      <c r="H1423" s="44" t="n">
        <v>0.02325231481481482</v>
      </c>
      <c r="I1423" s="45" t="n">
        <v>19228</v>
      </c>
      <c r="J1423" s="45" t="n">
        <v>1353</v>
      </c>
      <c r="K1423" s="45" t="n">
        <v>215</v>
      </c>
      <c r="L1423" s="46" t="n"/>
      <c r="M1423" s="47" t="n"/>
      <c r="N1423" s="47" t="inlineStr">
        <is>
          <t>UCor_9jRnNNZVzTuQ92PKsaQ</t>
        </is>
      </c>
      <c r="O1423" s="48" t="n">
        <v>44340.58333333334</v>
      </c>
      <c r="P1423" s="49" t="n">
        <v>44340</v>
      </c>
      <c r="Q1423" s="47" t="n">
        <v>1845</v>
      </c>
      <c r="R1423" s="47" t="inlineStr">
        <is>
          <t>No Video ID yet</t>
        </is>
      </c>
      <c r="S1423" s="49" t="n"/>
      <c r="T1423" s="49" t="n"/>
      <c r="U1423" s="47" t="inlineStr">
        <is>
          <t>Today J and the team head back into the Cinnabar Mansion to try and hunt down the Secret Key and take on our 7th Gym Battle! Can we survive Blaine's normal tricks?!</t>
        </is>
      </c>
      <c r="V1423" s="47">
        <f>IF(AND(P1423&gt;=Calendar!$K$2,P1423&lt;EDATE(Calendar!$K$2,1),OR(Calendar!$K$4="*",N1423=Calendar!$K$4)),P1423*100+COUNTIFS($P$6:$P$3267,P1423,$Q$6:$Q$3267,"&lt;="&amp;Q1423,$N$6:$N$3267,Calendar!$K$4),"")</f>
        <v/>
      </c>
      <c r="W1423" s="47">
        <f>IF(AND(B1423=Queue!$C$4,OR(Queue!$K$4="*",N1423=Queue!$K$4)),Q1423,"")</f>
        <v/>
      </c>
    </row>
    <row r="1424">
      <c r="A1424" s="38">
        <f>IF(M1424="","",HYPERLINK("https://www.youtube.com/watch?v="&amp;M1424,"▶"))</f>
        <v/>
      </c>
      <c r="B1424" s="39">
        <f>IF(C1424&lt;&gt;"",C1424,IF(P1424&lt;=IFERROR(INDEX(tblChannels[Watched Through],MATCH(N1424,tblChannels[Channel ID],0)),0),"Watched","Unwatched"))</f>
        <v/>
      </c>
      <c r="C1424" s="40" t="n"/>
      <c r="D1424" s="41" t="n"/>
      <c r="E1424" s="42" t="n">
        <v>44337.86180555556</v>
      </c>
      <c r="F1424" s="50" t="inlineStr">
        <is>
          <t>Super Carlin Brothers</t>
        </is>
      </c>
      <c r="G1424" t="inlineStr">
        <is>
          <t>ALL FANDOMS Trivia Night LIVE STREAM!</t>
        </is>
      </c>
      <c r="H1424" s="44" t="n">
        <v>0.1031944444444444</v>
      </c>
      <c r="I1424" s="45" t="n">
        <v>77007</v>
      </c>
      <c r="J1424" s="45" t="n">
        <v>1695</v>
      </c>
      <c r="K1424" s="45" t="n">
        <v>155</v>
      </c>
      <c r="L1424" s="46" t="n"/>
      <c r="M1424" s="47" t="n"/>
      <c r="N1424" s="47" t="inlineStr">
        <is>
          <t>UCKZo4N0lVPccBkSiuyVh4yg</t>
        </is>
      </c>
      <c r="O1424" s="48" t="n">
        <v>44338.02847222222</v>
      </c>
      <c r="P1424" s="49" t="n">
        <v>44337</v>
      </c>
      <c r="Q1424" s="47" t="n">
        <v>1844</v>
      </c>
      <c r="R1424" s="47" t="inlineStr">
        <is>
          <t>No Video ID yet</t>
        </is>
      </c>
      <c r="S1424" s="49" t="n"/>
      <c r="T1424" s="49" t="n"/>
      <c r="U1424" s="47" t="inlineStr">
        <is>
          <t>DO YOU HAVE WHAT IT TAKES TO BECOME THE CHAMPION OF ALL SIX FANDOMS?! - Tonight we celebrate #SCBSpiritWeek and test your knowledge of Disney, Pixar, Marvel, Star Wars, Harry Potter and Avatar: The Last Airbender! Carlin Brothers Tea :: (Try the NEW Strawberry Shortcake!) Winners email: secretcarlinbrothers@gmail.com with a screenshot of your winning score! HOW TO PLAY Kahoot with the Carlins! 1. Download the Kahoot app to your mobile device, or go to Kahoot.it to join the game! If the app is already installed on your device we recommend making sure it is up to date before the game starts!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t>
        </is>
      </c>
      <c r="V1424" s="47">
        <f>IF(AND(P1424&gt;=Calendar!$K$2,P1424&lt;EDATE(Calendar!$K$2,1),OR(Calendar!$K$4="*",N1424=Calendar!$K$4)),P1424*100+COUNTIFS($P$6:$P$3267,P1424,$Q$6:$Q$3267,"&lt;="&amp;Q1424,$N$6:$N$3267,Calendar!$K$4),"")</f>
        <v/>
      </c>
      <c r="W1424" s="47">
        <f>IF(AND(B1424=Queue!$C$4,OR(Queue!$K$4="*",N1424=Queue!$K$4)),Q1424,"")</f>
        <v/>
      </c>
    </row>
    <row r="1425">
      <c r="A1425" s="38">
        <f>IF(M1425="","",HYPERLINK("https://www.youtube.com/watch?v="&amp;M1425,"▶"))</f>
        <v/>
      </c>
      <c r="B1425" s="39">
        <f>IF(C1425&lt;&gt;"",C1425,IF(P1425&lt;=IFERROR(INDEX(tblChannels[Watched Through],MATCH(N1425,tblChannels[Channel ID],0)),0),"Watched","Unwatched"))</f>
        <v/>
      </c>
      <c r="C1425" s="40" t="n"/>
      <c r="D1425" s="41" t="n"/>
      <c r="E1425" s="42" t="n">
        <v>44337.41666666666</v>
      </c>
      <c r="F1425" s="50" t="inlineStr">
        <is>
          <t>Super Carlin Brothers</t>
        </is>
      </c>
      <c r="G1425" t="inlineStr">
        <is>
          <t>Ben is Bigfoot | Popcorn Culture</t>
        </is>
      </c>
      <c r="H1425" s="44" t="n">
        <v>0.04695601851851852</v>
      </c>
      <c r="I1425" s="45" t="n">
        <v>23434</v>
      </c>
      <c r="J1425" s="45" t="n">
        <v>996</v>
      </c>
      <c r="K1425" s="45" t="n">
        <v>109</v>
      </c>
      <c r="L1425" s="46" t="n"/>
      <c r="M1425" s="47" t="n"/>
      <c r="N1425" s="47" t="inlineStr">
        <is>
          <t>UCKZo4N0lVPccBkSiuyVh4yg</t>
        </is>
      </c>
      <c r="O1425" s="48" t="n">
        <v>44337.58333333334</v>
      </c>
      <c r="P1425" s="49" t="n">
        <v>44337</v>
      </c>
      <c r="Q1425" s="47" t="n">
        <v>1843</v>
      </c>
      <c r="R1425" s="47" t="inlineStr">
        <is>
          <t>No Video ID yet</t>
        </is>
      </c>
      <c r="S1425" s="49" t="n"/>
      <c r="T1425" s="49" t="n"/>
      <c r="U1425" s="47" t="inlineStr">
        <is>
          <t>This episode of Popcorn Culture is Sponsored by NRMeditation. Check out their meditation services at: In the 76 Episode of the Pop, Ben and J discuss: SCB Spirit Week, fashion sense, color in animals, single topic friendships, mutual friends, weird fashion, meditation, practicing bravery, climbing Everest, and trees. Single Topic Friends: Disney Wedding Video: Daredevil drop: Backflips: Get your very own candle:</t>
        </is>
      </c>
      <c r="V1425" s="47">
        <f>IF(AND(P1425&gt;=Calendar!$K$2,P1425&lt;EDATE(Calendar!$K$2,1),OR(Calendar!$K$4="*",N1425=Calendar!$K$4)),P1425*100+COUNTIFS($P$6:$P$3267,P1425,$Q$6:$Q$3267,"&lt;="&amp;Q1425,$N$6:$N$3267,Calendar!$K$4),"")</f>
        <v/>
      </c>
      <c r="W1425" s="47">
        <f>IF(AND(B1425=Queue!$C$4,OR(Queue!$K$4="*",N1425=Queue!$K$4)),Q1425,"")</f>
        <v/>
      </c>
    </row>
    <row r="1426">
      <c r="A1426" s="38">
        <f>IF(M1426="","",HYPERLINK("https://www.youtube.com/watch?v="&amp;M1426,"▶"))</f>
        <v/>
      </c>
      <c r="B1426" s="39">
        <f>IF(C1426&lt;&gt;"",C1426,IF(P1426&lt;=IFERROR(INDEX(tblChannels[Watched Through],MATCH(N1426,tblChannels[Channel ID],0)),0),"Watched","Unwatched"))</f>
        <v/>
      </c>
      <c r="C1426" s="40" t="n"/>
      <c r="D1426" s="41" t="n"/>
      <c r="E1426" s="42" t="n">
        <v>44337.25</v>
      </c>
      <c r="F1426" s="43" t="inlineStr">
        <is>
          <t>Popcorn Culture</t>
        </is>
      </c>
      <c r="G1426" t="inlineStr">
        <is>
          <t>76 - Ben is Bigfoot</t>
        </is>
      </c>
      <c r="H1426" s="44" t="n">
        <v>0.04542824074074074</v>
      </c>
      <c r="I1426" s="45" t="n">
        <v>1304</v>
      </c>
      <c r="J1426" s="45" t="n">
        <v>59</v>
      </c>
      <c r="K1426" s="45" t="n">
        <v>4</v>
      </c>
      <c r="L1426" s="46" t="n"/>
      <c r="M1426" s="47" t="n"/>
      <c r="N1426" s="47" t="inlineStr">
        <is>
          <t>UCHfIbq9thHPC8yrKjAdJgDA</t>
        </is>
      </c>
      <c r="O1426" s="48" t="n">
        <v>44337.41666666666</v>
      </c>
      <c r="P1426" s="49" t="n">
        <v>44337</v>
      </c>
      <c r="Q1426" s="47" t="n">
        <v>1842</v>
      </c>
      <c r="R1426" s="47" t="inlineStr">
        <is>
          <t>No Video ID yet</t>
        </is>
      </c>
      <c r="S1426" s="49" t="n"/>
      <c r="T1426" s="49" t="n"/>
      <c r="U1426" s="47" t="inlineStr">
        <is>
          <t>This episode of Popcorn Culture is Sponsored by NRMeditation. Check out their meditation services at: Ben and J discuss: SCB Spirit Week, fashion sense, color in animals, single topic friendships, mutual friends, weird fashion, meditation, practicing bravery, climbing Everest, and trees. Single Topic Friends: Disney Wedding Video: Daredevil drop: Backflips: Get your very own candle:</t>
        </is>
      </c>
      <c r="V1426" s="47">
        <f>IF(AND(P1426&gt;=Calendar!$K$2,P1426&lt;EDATE(Calendar!$K$2,1),OR(Calendar!$K$4="*",N1426=Calendar!$K$4)),P1426*100+COUNTIFS($P$6:$P$3267,P1426,$Q$6:$Q$3267,"&lt;="&amp;Q1426,$N$6:$N$3267,Calendar!$K$4),"")</f>
        <v/>
      </c>
      <c r="W1426" s="47">
        <f>IF(AND(B1426=Queue!$C$4,OR(Queue!$K$4="*",N1426=Queue!$K$4)),Q1426,"")</f>
        <v/>
      </c>
    </row>
    <row r="1427">
      <c r="A1427" s="38">
        <f>IF(M1427="","",HYPERLINK("https://www.youtube.com/watch?v="&amp;M1427,"▶"))</f>
        <v/>
      </c>
      <c r="B1427" s="39">
        <f>IF(C1427&lt;&gt;"",C1427,IF(P1427&lt;=IFERROR(INDEX(tblChannels[Watched Through],MATCH(N1427,tblChannels[Channel ID],0)),0),"Watched","Unwatched"))</f>
        <v/>
      </c>
      <c r="C1427" s="40" t="n"/>
      <c r="D1427" s="41" t="n"/>
      <c r="E1427" s="42" t="n">
        <v>44336.70833333334</v>
      </c>
      <c r="F1427" s="50" t="inlineStr">
        <is>
          <t>Super Carlin Brothers</t>
        </is>
      </c>
      <c r="G1427" t="inlineStr">
        <is>
          <t>How Fred &amp; George Figured Out The Marauder’s Map | Harry Potter Theory</t>
        </is>
      </c>
      <c r="H1427" s="44" t="n">
        <v>0.01053240740740741</v>
      </c>
      <c r="I1427" s="45" t="n">
        <v>1125807</v>
      </c>
      <c r="J1427" s="45" t="n">
        <v>35048</v>
      </c>
      <c r="K1427" s="45" t="n">
        <v>4302</v>
      </c>
      <c r="L1427" s="46" t="n"/>
      <c r="M1427" s="47" t="n"/>
      <c r="N1427" s="47" t="inlineStr">
        <is>
          <t>UCKZo4N0lVPccBkSiuyVh4yg</t>
        </is>
      </c>
      <c r="O1427" s="48" t="n">
        <v>44336.875</v>
      </c>
      <c r="P1427" s="49" t="n">
        <v>44336</v>
      </c>
      <c r="Q1427" s="47" t="n">
        <v>1841</v>
      </c>
      <c r="R1427" s="47" t="inlineStr">
        <is>
          <t>No Video ID yet</t>
        </is>
      </c>
      <c r="S1427" s="49" t="n"/>
      <c r="T1427" s="49" t="n"/>
      <c r="U1427" s="47" t="inlineStr">
        <is>
          <t>Go to to get 15% off your first order and free shipping! Today Ben dives into the Wizarding World of Harry Potter to discuss the Marauders Map and tries to uncover how Fred and George learned how to use it!</t>
        </is>
      </c>
      <c r="V1427" s="47">
        <f>IF(AND(P1427&gt;=Calendar!$K$2,P1427&lt;EDATE(Calendar!$K$2,1),OR(Calendar!$K$4="*",N1427=Calendar!$K$4)),P1427*100+COUNTIFS($P$6:$P$3267,P1427,$Q$6:$Q$3267,"&lt;="&amp;Q1427,$N$6:$N$3267,Calendar!$K$4),"")</f>
        <v/>
      </c>
      <c r="W1427" s="47">
        <f>IF(AND(B1427=Queue!$C$4,OR(Queue!$K$4="*",N1427=Queue!$K$4)),Q1427,"")</f>
        <v/>
      </c>
    </row>
    <row r="1428">
      <c r="A1428" s="38">
        <f>IF(M1428="","",HYPERLINK("https://www.youtube.com/watch?v="&amp;M1428,"▶"))</f>
        <v/>
      </c>
      <c r="B1428" s="39">
        <f>IF(C1428&lt;&gt;"",C1428,IF(P1428&lt;=IFERROR(INDEX(tblChannels[Watched Through],MATCH(N1428,tblChannels[Channel ID],0)),0),"Watched","Unwatched"))</f>
        <v/>
      </c>
      <c r="C1428" s="40" t="n"/>
      <c r="D1428" s="41" t="n"/>
      <c r="E1428" s="42" t="n">
        <v>44335.41666666666</v>
      </c>
      <c r="F1428" s="52" t="inlineStr">
        <is>
          <t>Super Carlin Gaming</t>
        </is>
      </c>
      <c r="G1428" t="inlineStr">
        <is>
          <t>The Truly Haunted Mansion |  Pokémon Leaf Green Randomizer Nuzlocke #17</t>
        </is>
      </c>
      <c r="H1428" s="44" t="n">
        <v>0.0271412037037037</v>
      </c>
      <c r="I1428" s="45" t="n">
        <v>20687</v>
      </c>
      <c r="J1428" s="45" t="n">
        <v>1196</v>
      </c>
      <c r="K1428" s="45" t="n">
        <v>331</v>
      </c>
      <c r="L1428" s="46" t="n"/>
      <c r="M1428" s="47" t="n"/>
      <c r="N1428" s="47" t="inlineStr">
        <is>
          <t>UCor_9jRnNNZVzTuQ92PKsaQ</t>
        </is>
      </c>
      <c r="O1428" s="48" t="n">
        <v>44335.58333333334</v>
      </c>
      <c r="P1428" s="49" t="n">
        <v>44335</v>
      </c>
      <c r="Q1428" s="47" t="n">
        <v>1840</v>
      </c>
      <c r="R1428" s="47" t="inlineStr">
        <is>
          <t>No Video ID yet</t>
        </is>
      </c>
      <c r="S1428" s="49" t="n"/>
      <c r="T1428" s="49" t="n"/>
      <c r="U1428" s="47" t="inlineStr">
        <is>
          <t>This week J, Happy, Sporkles and the team head to Cinnabar to revive some fossils, train up Rychlick and hunt for a secret key... BUT can they survive the horrors inside the Mansion?? Become a CHANNEL MEMBER to get access to custom emoji! #Pokemon #Nuzlocke</t>
        </is>
      </c>
      <c r="V1428" s="47">
        <f>IF(AND(P1428&gt;=Calendar!$K$2,P1428&lt;EDATE(Calendar!$K$2,1),OR(Calendar!$K$4="*",N1428=Calendar!$K$4)),P1428*100+COUNTIFS($P$6:$P$3267,P1428,$Q$6:$Q$3267,"&lt;="&amp;Q1428,$N$6:$N$3267,Calendar!$K$4),"")</f>
        <v/>
      </c>
      <c r="W1428" s="47">
        <f>IF(AND(B1428=Queue!$C$4,OR(Queue!$K$4="*",N1428=Queue!$K$4)),Q1428,"")</f>
        <v/>
      </c>
    </row>
    <row r="1429">
      <c r="A1429" s="38">
        <f>IF(M1429="","",HYPERLINK("https://www.youtube.com/watch?v="&amp;M1429,"▶"))</f>
        <v/>
      </c>
      <c r="B1429" s="39">
        <f>IF(C1429&lt;&gt;"",C1429,IF(P1429&lt;=IFERROR(INDEX(tblChannels[Watched Through],MATCH(N1429,tblChannels[Channel ID],0)),0),"Watched","Unwatched"))</f>
        <v/>
      </c>
      <c r="C1429" s="40" t="n"/>
      <c r="D1429" s="41" t="n"/>
      <c r="E1429" s="42" t="n">
        <v>44334.71319444444</v>
      </c>
      <c r="F1429" s="50" t="inlineStr">
        <is>
          <t>Super Carlin Brothers</t>
        </is>
      </c>
      <c r="G1429" t="inlineStr">
        <is>
          <t>Dumbledore Is Socrates | Harry Potter Theory</t>
        </is>
      </c>
      <c r="H1429" s="44" t="n">
        <v>0.01090277777777778</v>
      </c>
      <c r="I1429" s="45" t="n">
        <v>244597</v>
      </c>
      <c r="J1429" s="45" t="n">
        <v>11766</v>
      </c>
      <c r="K1429" s="45" t="n">
        <v>792</v>
      </c>
      <c r="L1429" s="46" t="n"/>
      <c r="M1429" s="47" t="n"/>
      <c r="N1429" s="47" t="inlineStr">
        <is>
          <t>UCKZo4N0lVPccBkSiuyVh4yg</t>
        </is>
      </c>
      <c r="O1429" s="48" t="n">
        <v>44334.87986111111</v>
      </c>
      <c r="P1429" s="49" t="n">
        <v>44334</v>
      </c>
      <c r="Q1429" s="47" t="n">
        <v>1839</v>
      </c>
      <c r="R1429" s="47" t="inlineStr">
        <is>
          <t>No Video ID yet</t>
        </is>
      </c>
      <c r="S1429" s="49" t="n"/>
      <c r="T1429" s="49" t="n"/>
      <c r="U1429" s="47" t="inlineStr">
        <is>
          <t>Head on over to to get 10% off! Today J dives into the Wizarding World of Harry Potter to discuss Dumbledores unusual teaching methods and how he utilizes the Socratic Method and the Socratic Paradox #HarryPotter #SCBSpiritWeek</t>
        </is>
      </c>
      <c r="V1429" s="47">
        <f>IF(AND(P1429&gt;=Calendar!$K$2,P1429&lt;EDATE(Calendar!$K$2,1),OR(Calendar!$K$4="*",N1429=Calendar!$K$4)),P1429*100+COUNTIFS($P$6:$P$3267,P1429,$Q$6:$Q$3267,"&lt;="&amp;Q1429,$N$6:$N$3267,Calendar!$K$4),"")</f>
        <v/>
      </c>
      <c r="W1429" s="47">
        <f>IF(AND(B1429=Queue!$C$4,OR(Queue!$K$4="*",N1429=Queue!$K$4)),Q1429,"")</f>
        <v/>
      </c>
    </row>
    <row r="1430">
      <c r="A1430" s="38">
        <f>IF(M1430="","",HYPERLINK("https://www.youtube.com/watch?v="&amp;M1430,"▶"))</f>
        <v/>
      </c>
      <c r="B1430" s="39">
        <f>IF(C1430&lt;&gt;"",C1430,IF(P1430&lt;=IFERROR(INDEX(tblChannels[Watched Through],MATCH(N1430,tblChannels[Channel ID],0)),0),"Watched","Unwatched"))</f>
        <v/>
      </c>
      <c r="C1430" s="40" t="n"/>
      <c r="D1430" s="41" t="n"/>
      <c r="E1430" s="42" t="n">
        <v>44333.41666666666</v>
      </c>
      <c r="F1430" s="52" t="inlineStr">
        <is>
          <t>Super Carlin Gaming</t>
        </is>
      </c>
      <c r="G1430" t="inlineStr">
        <is>
          <t>DON'T JYNX IT! |  Pokémon LeafGreen Randomizer Nuzlocke #16</t>
        </is>
      </c>
      <c r="H1430" s="44" t="n">
        <v>0.02185185185185185</v>
      </c>
      <c r="I1430" s="45" t="n">
        <v>19444</v>
      </c>
      <c r="J1430" s="45" t="n">
        <v>1208</v>
      </c>
      <c r="K1430" s="45" t="n">
        <v>428</v>
      </c>
      <c r="L1430" s="46" t="n"/>
      <c r="M1430" s="47" t="n"/>
      <c r="N1430" s="47" t="inlineStr">
        <is>
          <t>UCor_9jRnNNZVzTuQ92PKsaQ</t>
        </is>
      </c>
      <c r="O1430" s="48" t="n">
        <v>44333.58333333334</v>
      </c>
      <c r="P1430" s="49" t="n">
        <v>44333</v>
      </c>
      <c r="Q1430" s="47" t="n">
        <v>1838</v>
      </c>
      <c r="R1430" s="47" t="inlineStr">
        <is>
          <t>No Video ID yet</t>
        </is>
      </c>
      <c r="S1430" s="49" t="n"/>
      <c r="T1430" s="49" t="n"/>
      <c r="U1430" s="47" t="inlineStr">
        <is>
          <t>Today J, Happy, Sporkles and the team head to the Saffron City Gym to take on Sabrina and try and earn their 6th gym badge, and consider hunting for a legendary pokemon!</t>
        </is>
      </c>
      <c r="V1430" s="47">
        <f>IF(AND(P1430&gt;=Calendar!$K$2,P1430&lt;EDATE(Calendar!$K$2,1),OR(Calendar!$K$4="*",N1430=Calendar!$K$4)),P1430*100+COUNTIFS($P$6:$P$3267,P1430,$Q$6:$Q$3267,"&lt;="&amp;Q1430,$N$6:$N$3267,Calendar!$K$4),"")</f>
        <v/>
      </c>
      <c r="W1430" s="47">
        <f>IF(AND(B1430=Queue!$C$4,OR(Queue!$K$4="*",N1430=Queue!$K$4)),Q1430,"")</f>
        <v/>
      </c>
    </row>
    <row r="1431">
      <c r="A1431" s="38">
        <f>IF(M1431="","",HYPERLINK("https://www.youtube.com/watch?v="&amp;M1431,"▶"))</f>
        <v/>
      </c>
      <c r="B1431" s="39">
        <f>IF(C1431&lt;&gt;"",C1431,IF(P1431&lt;=IFERROR(INDEX(tblChannels[Watched Through],MATCH(N1431,tblChannels[Channel ID],0)),0),"Watched","Unwatched"))</f>
        <v/>
      </c>
      <c r="C1431" s="40" t="n"/>
      <c r="D1431" s="41" t="n"/>
      <c r="E1431" s="42" t="n">
        <v>44330.4375</v>
      </c>
      <c r="F1431" s="50" t="inlineStr">
        <is>
          <t>Super Carlin Brothers</t>
        </is>
      </c>
      <c r="G1431" t="inlineStr">
        <is>
          <t>J's Popcorn Confession</t>
        </is>
      </c>
      <c r="H1431" s="44" t="n">
        <v>0.04778935185185185</v>
      </c>
      <c r="I1431" s="45" t="n">
        <v>28308</v>
      </c>
      <c r="J1431" s="45" t="n">
        <v>1168</v>
      </c>
      <c r="K1431" s="45" t="n">
        <v>162</v>
      </c>
      <c r="L1431" s="46" t="n"/>
      <c r="M1431" s="47" t="n"/>
      <c r="N1431" s="47" t="inlineStr">
        <is>
          <t>UCKZo4N0lVPccBkSiuyVh4yg</t>
        </is>
      </c>
      <c r="O1431" s="48" t="n">
        <v>44330.60416666666</v>
      </c>
      <c r="P1431" s="49" t="n">
        <v>44330</v>
      </c>
      <c r="Q1431" s="47" t="n">
        <v>1837</v>
      </c>
      <c r="R1431" s="47" t="inlineStr">
        <is>
          <t>No Video ID yet</t>
        </is>
      </c>
      <c r="S1431" s="49" t="n"/>
      <c r="T1431" s="49" t="n"/>
      <c r="U1431" s="47" t="inlineStr">
        <is>
          <t>In the 75th episode of the Popcast, Ben and J discuss: uncledom, The Stanley Duck, piggy banks, kickstarter board and card games, the Baader–Meinhof phenomenon, ruminating, doing taxes, bad breakups, and the “truth” about popcorn. Get your own GMA Stickers: State Welcome Signs: Frequency Illusion: The Truth about Popcorn: Neville is a Samurai: Get your very own candle:</t>
        </is>
      </c>
      <c r="V1431" s="47">
        <f>IF(AND(P1431&gt;=Calendar!$K$2,P1431&lt;EDATE(Calendar!$K$2,1),OR(Calendar!$K$4="*",N1431=Calendar!$K$4)),P1431*100+COUNTIFS($P$6:$P$3267,P1431,$Q$6:$Q$3267,"&lt;="&amp;Q1431,$N$6:$N$3267,Calendar!$K$4),"")</f>
        <v/>
      </c>
      <c r="W1431" s="47">
        <f>IF(AND(B1431=Queue!$C$4,OR(Queue!$K$4="*",N1431=Queue!$K$4)),Q1431,"")</f>
        <v/>
      </c>
    </row>
    <row r="1432">
      <c r="A1432" s="38">
        <f>IF(M1432="","",HYPERLINK("https://www.youtube.com/watch?v="&amp;M1432,"▶"))</f>
        <v/>
      </c>
      <c r="B1432" s="39">
        <f>IF(C1432&lt;&gt;"",C1432,IF(P1432&lt;=IFERROR(INDEX(tblChannels[Watched Through],MATCH(N1432,tblChannels[Channel ID],0)),0),"Watched","Unwatched"))</f>
        <v/>
      </c>
      <c r="C1432" s="40" t="n"/>
      <c r="D1432" s="41" t="n"/>
      <c r="E1432" s="42" t="n">
        <v>44330.25</v>
      </c>
      <c r="F1432" s="43" t="inlineStr">
        <is>
          <t>Popcorn Culture</t>
        </is>
      </c>
      <c r="G1432" t="inlineStr">
        <is>
          <t>75 - J's Popcorn Confession</t>
        </is>
      </c>
      <c r="H1432" s="44" t="n">
        <v>0.04664351851851852</v>
      </c>
      <c r="I1432" s="45" t="n">
        <v>1530</v>
      </c>
      <c r="J1432" s="45" t="n">
        <v>80</v>
      </c>
      <c r="K1432" s="45" t="n">
        <v>14</v>
      </c>
      <c r="L1432" s="46" t="n"/>
      <c r="M1432" s="47" t="n"/>
      <c r="N1432" s="47" t="inlineStr">
        <is>
          <t>UCHfIbq9thHPC8yrKjAdJgDA</t>
        </is>
      </c>
      <c r="O1432" s="48" t="n">
        <v>44330.41666666666</v>
      </c>
      <c r="P1432" s="49" t="n">
        <v>44330</v>
      </c>
      <c r="Q1432" s="47" t="n">
        <v>1836</v>
      </c>
      <c r="R1432" s="47" t="inlineStr">
        <is>
          <t>No Video ID yet</t>
        </is>
      </c>
      <c r="S1432" s="49" t="n"/>
      <c r="T1432" s="49" t="n"/>
      <c r="U1432" s="47" t="inlineStr">
        <is>
          <t>Ben and J discuss: uncledom, The Stanley Duck, piggy banks, Kickstarter board and card games, the Baader–Meinhof phenomenon, ruminating, doing taxes, bad breakups, and the “truth” about popcorn. Get your own GMA Stickers: State Welcome Signs: Frequency Illusion: The Truth about Popcorn: Neville is a Samurai: Get your very own candle:</t>
        </is>
      </c>
      <c r="V1432" s="47">
        <f>IF(AND(P1432&gt;=Calendar!$K$2,P1432&lt;EDATE(Calendar!$K$2,1),OR(Calendar!$K$4="*",N1432=Calendar!$K$4)),P1432*100+COUNTIFS($P$6:$P$3267,P1432,$Q$6:$Q$3267,"&lt;="&amp;Q1432,$N$6:$N$3267,Calendar!$K$4),"")</f>
        <v/>
      </c>
      <c r="W1432" s="47">
        <f>IF(AND(B1432=Queue!$C$4,OR(Queue!$K$4="*",N1432=Queue!$K$4)),Q1432,"")</f>
        <v/>
      </c>
    </row>
    <row r="1433">
      <c r="A1433" s="38">
        <f>IF(M1433="","",HYPERLINK("https://www.youtube.com/watch?v="&amp;M1433,"▶"))</f>
        <v/>
      </c>
      <c r="B1433" s="39">
        <f>IF(C1433&lt;&gt;"",C1433,IF(P1433&lt;=IFERROR(INDEX(tblChannels[Watched Through],MATCH(N1433,tblChannels[Channel ID],0)),0),"Watched","Unwatched"))</f>
        <v/>
      </c>
      <c r="C1433" s="40" t="n"/>
      <c r="D1433" s="41" t="n"/>
      <c r="E1433" s="42" t="n">
        <v>44329.67222222222</v>
      </c>
      <c r="F1433" s="50" t="inlineStr">
        <is>
          <t>Super Carlin Brothers</t>
        </is>
      </c>
      <c r="G1433" t="inlineStr">
        <is>
          <t>J vs Ben: HARDEST Pixar Movie Trivia Quiz EVER</t>
        </is>
      </c>
      <c r="H1433" s="44" t="n">
        <v>0.01581018518518518</v>
      </c>
      <c r="I1433" s="45" t="n">
        <v>185743</v>
      </c>
      <c r="J1433" s="45" t="n">
        <v>8319</v>
      </c>
      <c r="K1433" s="45" t="n">
        <v>636</v>
      </c>
      <c r="L1433" s="46" t="n"/>
      <c r="M1433" s="47" t="n"/>
      <c r="N1433" s="47" t="inlineStr">
        <is>
          <t>UCKZo4N0lVPccBkSiuyVh4yg</t>
        </is>
      </c>
      <c r="O1433" s="48" t="n">
        <v>44329.83888888889</v>
      </c>
      <c r="P1433" s="49" t="n">
        <v>44329</v>
      </c>
      <c r="Q1433" s="47" t="n">
        <v>1835</v>
      </c>
      <c r="R1433" s="47" t="inlineStr">
        <is>
          <t>No Video ID yet</t>
        </is>
      </c>
      <c r="S1433" s="49" t="n"/>
      <c r="T1433" s="49" t="n"/>
      <c r="U1433" s="47" t="inlineStr">
        <is>
          <t>Go to and enter code ‘SUPER’ at checkout to get 20% off your first monthly box! Head on over to to get 3 extra months for free! Today J and Ben face off once more to find out who knows the most about the wonderful world of Pixar and its many movies! From Toy Story to Soul this Quiz does not hold back in its CRAZY difficulty! #SuperCarlinBrothers #JvsBen #Pixar</t>
        </is>
      </c>
      <c r="V1433" s="47">
        <f>IF(AND(P1433&gt;=Calendar!$K$2,P1433&lt;EDATE(Calendar!$K$2,1),OR(Calendar!$K$4="*",N1433=Calendar!$K$4)),P1433*100+COUNTIFS($P$6:$P$3267,P1433,$Q$6:$Q$3267,"&lt;="&amp;Q1433,$N$6:$N$3267,Calendar!$K$4),"")</f>
        <v/>
      </c>
      <c r="W1433" s="47">
        <f>IF(AND(B1433=Queue!$C$4,OR(Queue!$K$4="*",N1433=Queue!$K$4)),Q1433,"")</f>
        <v/>
      </c>
    </row>
    <row r="1434">
      <c r="A1434" s="38">
        <f>IF(M1434="","",HYPERLINK("https://www.youtube.com/watch?v="&amp;M1434,"▶"))</f>
        <v/>
      </c>
      <c r="B1434" s="39">
        <f>IF(C1434&lt;&gt;"",C1434,IF(P1434&lt;=IFERROR(INDEX(tblChannels[Watched Through],MATCH(N1434,tblChannels[Channel ID],0)),0),"Watched","Unwatched"))</f>
        <v/>
      </c>
      <c r="C1434" s="40" t="n"/>
      <c r="D1434" s="41" t="n"/>
      <c r="E1434" s="42" t="n">
        <v>44328.68263888889</v>
      </c>
      <c r="F1434" s="50" t="inlineStr">
        <is>
          <t>Super Carlin Brothers</t>
        </is>
      </c>
      <c r="G1434" t="inlineStr">
        <is>
          <t>What Happened to Kvothe's Powers? | Name of the Wind Theory</t>
        </is>
      </c>
      <c r="H1434" s="44" t="n">
        <v>0.01106481481481482</v>
      </c>
      <c r="I1434" s="45" t="n">
        <v>91912</v>
      </c>
      <c r="J1434" s="45" t="n">
        <v>4823</v>
      </c>
      <c r="K1434" s="45" t="n">
        <v>1028</v>
      </c>
      <c r="L1434" s="46" t="n"/>
      <c r="M1434" s="47" t="n"/>
      <c r="N1434" s="47" t="inlineStr">
        <is>
          <t>UCKZo4N0lVPccBkSiuyVh4yg</t>
        </is>
      </c>
      <c r="O1434" s="48" t="n">
        <v>44328.84930555556</v>
      </c>
      <c r="P1434" s="49" t="n">
        <v>44328</v>
      </c>
      <c r="Q1434" s="47" t="n">
        <v>1834</v>
      </c>
      <c r="R1434" s="47" t="inlineStr">
        <is>
          <t>No Video ID yet</t>
        </is>
      </c>
      <c r="S1434" s="49" t="n"/>
      <c r="T1434" s="49" t="n"/>
      <c r="U1434" s="47" t="inlineStr">
        <is>
          <t>Today Ben dives into the Name of the Wind to try and figure out what happened to Kvothe, why he changed his name to Kote and where his name is now! Carlin Brothers Candles ►►</t>
        </is>
      </c>
      <c r="V1434" s="47">
        <f>IF(AND(P1434&gt;=Calendar!$K$2,P1434&lt;EDATE(Calendar!$K$2,1),OR(Calendar!$K$4="*",N1434=Calendar!$K$4)),P1434*100+COUNTIFS($P$6:$P$3267,P1434,$Q$6:$Q$3267,"&lt;="&amp;Q1434,$N$6:$N$3267,Calendar!$K$4),"")</f>
        <v/>
      </c>
      <c r="W1434" s="47">
        <f>IF(AND(B1434=Queue!$C$4,OR(Queue!$K$4="*",N1434=Queue!$K$4)),Q1434,"")</f>
        <v/>
      </c>
    </row>
    <row r="1435">
      <c r="A1435" s="38">
        <f>IF(M1435="","",HYPERLINK("https://www.youtube.com/watch?v="&amp;M1435,"▶"))</f>
        <v/>
      </c>
      <c r="B1435" s="39">
        <f>IF(C1435&lt;&gt;"",C1435,IF(P1435&lt;=IFERROR(INDEX(tblChannels[Watched Through],MATCH(N1435,tblChannels[Channel ID],0)),0),"Watched","Unwatched"))</f>
        <v/>
      </c>
      <c r="C1435" s="40" t="n"/>
      <c r="D1435" s="41" t="n"/>
      <c r="E1435" s="42" t="n">
        <v>44328.41666666666</v>
      </c>
      <c r="F1435" s="52" t="inlineStr">
        <is>
          <t>Super Carlin Gaming</t>
        </is>
      </c>
      <c r="G1435" t="inlineStr">
        <is>
          <t>The STEEL Peach.. |  Pokémon LeafGreen Randomizer Nuzlocke #15</t>
        </is>
      </c>
      <c r="H1435" s="44" t="n">
        <v>0.03488425925925926</v>
      </c>
      <c r="I1435" s="45" t="n">
        <v>23929</v>
      </c>
      <c r="J1435" s="45" t="n">
        <v>1299</v>
      </c>
      <c r="K1435" s="45" t="n">
        <v>480</v>
      </c>
      <c r="L1435" s="46" t="n"/>
      <c r="M1435" s="47" t="n"/>
      <c r="N1435" s="47" t="inlineStr">
        <is>
          <t>UCor_9jRnNNZVzTuQ92PKsaQ</t>
        </is>
      </c>
      <c r="O1435" s="48" t="n">
        <v>44328.58333333334</v>
      </c>
      <c r="P1435" s="49" t="n">
        <v>44328</v>
      </c>
      <c r="Q1435" s="47" t="n">
        <v>1833</v>
      </c>
      <c r="R1435" s="47" t="inlineStr">
        <is>
          <t>No Video ID yet</t>
        </is>
      </c>
      <c r="S1435" s="49" t="n"/>
      <c r="T1435" s="49" t="n"/>
      <c r="U1435" s="47" t="inlineStr">
        <is>
          <t>Today J, Happy, Sporkles and the team head back to Saffron to try and kick out the Rockets and acquire the Master Ball BUT FIRST they need to try and catch so new Pokemon!</t>
        </is>
      </c>
      <c r="V1435" s="47">
        <f>IF(AND(P1435&gt;=Calendar!$K$2,P1435&lt;EDATE(Calendar!$K$2,1),OR(Calendar!$K$4="*",N1435=Calendar!$K$4)),P1435*100+COUNTIFS($P$6:$P$3267,P1435,$Q$6:$Q$3267,"&lt;="&amp;Q1435,$N$6:$N$3267,Calendar!$K$4),"")</f>
        <v/>
      </c>
      <c r="W1435" s="47">
        <f>IF(AND(B1435=Queue!$C$4,OR(Queue!$K$4="*",N1435=Queue!$K$4)),Q1435,"")</f>
        <v/>
      </c>
    </row>
    <row r="1436">
      <c r="A1436" s="38">
        <f>IF(M1436="","",HYPERLINK("https://www.youtube.com/watch?v="&amp;M1436,"▶"))</f>
        <v/>
      </c>
      <c r="B1436" s="39">
        <f>IF(C1436&lt;&gt;"",C1436,IF(P1436&lt;=IFERROR(INDEX(tblChannels[Watched Through],MATCH(N1436,tblChannels[Channel ID],0)),0),"Watched","Unwatched"))</f>
        <v/>
      </c>
      <c r="C1436" s="40" t="n"/>
      <c r="D1436" s="41" t="n"/>
      <c r="E1436" s="42" t="n">
        <v>44327.70486111111</v>
      </c>
      <c r="F1436" s="50" t="inlineStr">
        <is>
          <t>Super Carlin Brothers</t>
        </is>
      </c>
      <c r="G1436" t="inlineStr">
        <is>
          <t>Omega is Rey’s Mother | Star Wars Theory</t>
        </is>
      </c>
      <c r="H1436" s="44" t="n">
        <v>0.009456018518518518</v>
      </c>
      <c r="I1436" s="45" t="n">
        <v>79433</v>
      </c>
      <c r="J1436" s="45" t="n">
        <v>4251</v>
      </c>
      <c r="K1436" s="45" t="n">
        <v>861</v>
      </c>
      <c r="L1436" s="46" t="n"/>
      <c r="M1436" s="47" t="n"/>
      <c r="N1436" s="47" t="inlineStr">
        <is>
          <t>UCKZo4N0lVPccBkSiuyVh4yg</t>
        </is>
      </c>
      <c r="O1436" s="48" t="n">
        <v>44327.87152777778</v>
      </c>
      <c r="P1436" s="49" t="n">
        <v>44327</v>
      </c>
      <c r="Q1436" s="47" t="n">
        <v>1832</v>
      </c>
      <c r="R1436" s="47" t="inlineStr">
        <is>
          <t>No Video ID yet</t>
        </is>
      </c>
      <c r="S1436" s="49" t="n"/>
      <c r="T1436" s="49" t="n"/>
      <c r="U1436" s="47" t="inlineStr">
        <is>
          <t>Go to and use code SCB to save $75 on your starter kit! Today J dives into the Star Wars Galaxy to discuss the newly release Bad Batch and its newest and youngest member Omega, who may have greater significance than you realize! #SuperCarlinBrothers #StarWars</t>
        </is>
      </c>
      <c r="V1436" s="47">
        <f>IF(AND(P1436&gt;=Calendar!$K$2,P1436&lt;EDATE(Calendar!$K$2,1),OR(Calendar!$K$4="*",N1436=Calendar!$K$4)),P1436*100+COUNTIFS($P$6:$P$3267,P1436,$Q$6:$Q$3267,"&lt;="&amp;Q1436,$N$6:$N$3267,Calendar!$K$4),"")</f>
        <v/>
      </c>
      <c r="W1436" s="47">
        <f>IF(AND(B1436=Queue!$C$4,OR(Queue!$K$4="*",N1436=Queue!$K$4)),Q1436,"")</f>
        <v/>
      </c>
    </row>
    <row r="1437">
      <c r="A1437" s="38">
        <f>IF(M1437="","",HYPERLINK("https://www.youtube.com/watch?v="&amp;M1437,"▶"))</f>
        <v/>
      </c>
      <c r="B1437" s="39">
        <f>IF(C1437&lt;&gt;"",C1437,IF(P1437&lt;=IFERROR(INDEX(tblChannels[Watched Through],MATCH(N1437,tblChannels[Channel ID],0)),0),"Watched","Unwatched"))</f>
        <v/>
      </c>
      <c r="C1437" s="40" t="n"/>
      <c r="D1437" s="41" t="n"/>
      <c r="E1437" s="42" t="n">
        <v>44326.41666666666</v>
      </c>
      <c r="F1437" s="52" t="inlineStr">
        <is>
          <t>Super Carlin Gaming</t>
        </is>
      </c>
      <c r="G1437" t="inlineStr">
        <is>
          <t>SELF-DESTRUCT |  Pokémon LeafGreen Randomizer Nuzlocke #14</t>
        </is>
      </c>
      <c r="H1437" s="44" t="n">
        <v>0.02938657407407408</v>
      </c>
      <c r="I1437" s="45" t="n">
        <v>23166</v>
      </c>
      <c r="J1437" s="45" t="n">
        <v>1330</v>
      </c>
      <c r="K1437" s="45" t="n">
        <v>568</v>
      </c>
      <c r="L1437" s="46" t="n"/>
      <c r="M1437" s="47" t="n"/>
      <c r="N1437" s="47" t="inlineStr">
        <is>
          <t>UCor_9jRnNNZVzTuQ92PKsaQ</t>
        </is>
      </c>
      <c r="O1437" s="48" t="n">
        <v>44326.58333333334</v>
      </c>
      <c r="P1437" s="49" t="n">
        <v>44326</v>
      </c>
      <c r="Q1437" s="47" t="n">
        <v>1831</v>
      </c>
      <c r="R1437" s="47" t="inlineStr">
        <is>
          <t>No Video ID yet</t>
        </is>
      </c>
      <c r="S1437" s="49" t="n"/>
      <c r="T1437" s="49" t="n"/>
      <c r="U1437" s="47" t="inlineStr">
        <is>
          <t>Today J, Happy, Sporkles and the team train up to take on Koga and his STEEL types.. can they survive his sneaky steelys?</t>
        </is>
      </c>
      <c r="V1437" s="47">
        <f>IF(AND(P1437&gt;=Calendar!$K$2,P1437&lt;EDATE(Calendar!$K$2,1),OR(Calendar!$K$4="*",N1437=Calendar!$K$4)),P1437*100+COUNTIFS($P$6:$P$3267,P1437,$Q$6:$Q$3267,"&lt;="&amp;Q1437,$N$6:$N$3267,Calendar!$K$4),"")</f>
        <v/>
      </c>
      <c r="W1437" s="47">
        <f>IF(AND(B1437=Queue!$C$4,OR(Queue!$K$4="*",N1437=Queue!$K$4)),Q1437,"")</f>
        <v/>
      </c>
    </row>
    <row r="1438">
      <c r="A1438" s="38">
        <f>IF(M1438="","",HYPERLINK("https://www.youtube.com/watch?v="&amp;M1438,"▶"))</f>
        <v/>
      </c>
      <c r="B1438" s="39">
        <f>IF(C1438&lt;&gt;"",C1438,IF(P1438&lt;=IFERROR(INDEX(tblChannels[Watched Through],MATCH(N1438,tblChannels[Channel ID],0)),0),"Watched","Unwatched"))</f>
        <v/>
      </c>
      <c r="C1438" s="40" t="n"/>
      <c r="D1438" s="41" t="n"/>
      <c r="E1438" s="42" t="n">
        <v>44323.41666666666</v>
      </c>
      <c r="F1438" s="50" t="inlineStr">
        <is>
          <t>Super Carlin Brothers</t>
        </is>
      </c>
      <c r="G1438" t="inlineStr">
        <is>
          <t>What's the "Best" Harry Potter Movie? | Popcorn Culture</t>
        </is>
      </c>
      <c r="H1438" s="44" t="n">
        <v>0.0528125</v>
      </c>
      <c r="I1438" s="45" t="n">
        <v>77078</v>
      </c>
      <c r="J1438" s="45" t="n">
        <v>2714</v>
      </c>
      <c r="K1438" s="45" t="n">
        <v>571</v>
      </c>
      <c r="L1438" s="46" t="n"/>
      <c r="M1438" s="47" t="n"/>
      <c r="N1438" s="47" t="inlineStr">
        <is>
          <t>UCKZo4N0lVPccBkSiuyVh4yg</t>
        </is>
      </c>
      <c r="O1438" s="48" t="n">
        <v>44323.58333333334</v>
      </c>
      <c r="P1438" s="49" t="n">
        <v>44323</v>
      </c>
      <c r="Q1438" s="47" t="n">
        <v>1830</v>
      </c>
      <c r="R1438" s="47" t="inlineStr">
        <is>
          <t>No Video ID yet</t>
        </is>
      </c>
      <c r="S1438" s="49" t="n"/>
      <c r="T1438" s="49" t="n"/>
      <c r="U1438" s="47" t="inlineStr">
        <is>
          <t>This episode of Popcorn Culture is Sponsored by NRMeditation. Check out their meditation services at: In the 74th Episode of the Pop, Ben and J discuss: maxing out in games, sports movies, notable historical events, mask-wearing, toll booths, meditation, rule-based imagination, the gold standard, water guns, having favorites, and Ben’s exciting updates! Dunning Kruger: Imposter Syndrome: Without Limits: 1972 Summer Olympics: Why Prisoner is the Best HP Movie: Get your very own candle:</t>
        </is>
      </c>
      <c r="V1438" s="47">
        <f>IF(AND(P1438&gt;=Calendar!$K$2,P1438&lt;EDATE(Calendar!$K$2,1),OR(Calendar!$K$4="*",N1438=Calendar!$K$4)),P1438*100+COUNTIFS($P$6:$P$3267,P1438,$Q$6:$Q$3267,"&lt;="&amp;Q1438,$N$6:$N$3267,Calendar!$K$4),"")</f>
        <v/>
      </c>
      <c r="W1438" s="47">
        <f>IF(AND(B1438=Queue!$C$4,OR(Queue!$K$4="*",N1438=Queue!$K$4)),Q1438,"")</f>
        <v/>
      </c>
    </row>
    <row r="1439">
      <c r="A1439" s="38">
        <f>IF(M1439="","",HYPERLINK("https://www.youtube.com/watch?v="&amp;M1439,"▶"))</f>
        <v/>
      </c>
      <c r="B1439" s="39">
        <f>IF(C1439&lt;&gt;"",C1439,IF(P1439&lt;=IFERROR(INDEX(tblChannels[Watched Through],MATCH(N1439,tblChannels[Channel ID],0)),0),"Watched","Unwatched"))</f>
        <v/>
      </c>
      <c r="C1439" s="40" t="n"/>
      <c r="D1439" s="41" t="n"/>
      <c r="E1439" s="42" t="n">
        <v>44323.25</v>
      </c>
      <c r="F1439" s="43" t="inlineStr">
        <is>
          <t>Popcorn Culture</t>
        </is>
      </c>
      <c r="G1439" t="inlineStr">
        <is>
          <t>74 - There’s Nothing Cooler than a Backflip</t>
        </is>
      </c>
      <c r="H1439" s="44" t="n">
        <v>0.05193287037037037</v>
      </c>
      <c r="I1439" s="45" t="n">
        <v>1608</v>
      </c>
      <c r="J1439" s="45" t="n">
        <v>74</v>
      </c>
      <c r="K1439" s="45" t="n">
        <v>14</v>
      </c>
      <c r="L1439" s="46" t="n"/>
      <c r="M1439" s="47" t="n"/>
      <c r="N1439" s="47" t="inlineStr">
        <is>
          <t>UCHfIbq9thHPC8yrKjAdJgDA</t>
        </is>
      </c>
      <c r="O1439" s="48" t="n">
        <v>44323.41666666666</v>
      </c>
      <c r="P1439" s="49" t="n">
        <v>44323</v>
      </c>
      <c r="Q1439" s="47" t="n">
        <v>1829</v>
      </c>
      <c r="R1439" s="47" t="inlineStr">
        <is>
          <t>No Video ID yet</t>
        </is>
      </c>
      <c r="S1439" s="49" t="n"/>
      <c r="T1439" s="49" t="n"/>
      <c r="U1439" s="47" t="inlineStr">
        <is>
          <t>This episode of Popcorn Culture is Sponsored by NRMeditation. Check out their meditation services at: Ben and J discuss: maxing out in games, sports movies, notable historical events, mask-wearing, toll booths, meditation, rule-based imagination, the gold standard, water guns, having favorites, and Ben’s exciting updates! Dunning Kruger: Imposter Syndrome: Without Limits: 1972 Summer Olympics: Why Prisoner is the Best HP Movie: Get your very own candle:</t>
        </is>
      </c>
      <c r="V1439" s="47">
        <f>IF(AND(P1439&gt;=Calendar!$K$2,P1439&lt;EDATE(Calendar!$K$2,1),OR(Calendar!$K$4="*",N1439=Calendar!$K$4)),P1439*100+COUNTIFS($P$6:$P$3267,P1439,$Q$6:$Q$3267,"&lt;="&amp;Q1439,$N$6:$N$3267,Calendar!$K$4),"")</f>
        <v/>
      </c>
      <c r="W1439" s="47">
        <f>IF(AND(B1439=Queue!$C$4,OR(Queue!$K$4="*",N1439=Queue!$K$4)),Q1439,"")</f>
        <v/>
      </c>
    </row>
    <row r="1440">
      <c r="A1440" s="38">
        <f>IF(M1440="","",HYPERLINK("https://www.youtube.com/watch?v="&amp;M1440,"▶"))</f>
        <v/>
      </c>
      <c r="B1440" s="39">
        <f>IF(C1440&lt;&gt;"",C1440,IF(P1440&lt;=IFERROR(INDEX(tblChannels[Watched Through],MATCH(N1440,tblChannels[Channel ID],0)),0),"Watched","Unwatched"))</f>
        <v/>
      </c>
      <c r="C1440" s="40" t="n"/>
      <c r="D1440" s="41" t="n"/>
      <c r="E1440" s="42" t="n">
        <v>44322.79375</v>
      </c>
      <c r="F1440" s="50" t="inlineStr">
        <is>
          <t>Super Carlin Brothers</t>
        </is>
      </c>
      <c r="G1440" t="inlineStr">
        <is>
          <t>Why Didn’t The Founders Choose Magical Beasts? | Harry Potter Theory</t>
        </is>
      </c>
      <c r="H1440" s="44" t="n">
        <v>0.01020833333333333</v>
      </c>
      <c r="I1440" s="45" t="n">
        <v>490090</v>
      </c>
      <c r="J1440" s="45" t="n">
        <v>20030</v>
      </c>
      <c r="K1440" s="45" t="n">
        <v>2515</v>
      </c>
      <c r="L1440" s="46" t="n"/>
      <c r="M1440" s="47" t="n"/>
      <c r="N1440" s="47" t="inlineStr">
        <is>
          <t>UCKZo4N0lVPccBkSiuyVh4yg</t>
        </is>
      </c>
      <c r="O1440" s="48" t="n">
        <v>44322.96041666667</v>
      </c>
      <c r="P1440" s="49" t="n">
        <v>44322</v>
      </c>
      <c r="Q1440" s="47" t="n">
        <v>1828</v>
      </c>
      <c r="R1440" s="47" t="inlineStr">
        <is>
          <t>No Video ID yet</t>
        </is>
      </c>
      <c r="S1440" s="49" t="n"/>
      <c r="T1440" s="49" t="n"/>
      <c r="U1440" s="47" t="inlineStr">
        <is>
          <t>Today Ben dives into the Wizarding World of Harry Potter to try and determine why the Hogwarts Founders didnt choose magical beasts as their mascots and instead settled on Lion, Snake, Eagle and Badger (or pancakes).</t>
        </is>
      </c>
      <c r="V1440" s="47">
        <f>IF(AND(P1440&gt;=Calendar!$K$2,P1440&lt;EDATE(Calendar!$K$2,1),OR(Calendar!$K$4="*",N1440=Calendar!$K$4)),P1440*100+COUNTIFS($P$6:$P$3267,P1440,$Q$6:$Q$3267,"&lt;="&amp;Q1440,$N$6:$N$3267,Calendar!$K$4),"")</f>
        <v/>
      </c>
      <c r="W1440" s="47">
        <f>IF(AND(B1440=Queue!$C$4,OR(Queue!$K$4="*",N1440=Queue!$K$4)),Q1440,"")</f>
        <v/>
      </c>
    </row>
    <row r="1441">
      <c r="A1441" s="38">
        <f>IF(M1441="","",HYPERLINK("https://www.youtube.com/watch?v="&amp;M1441,"▶"))</f>
        <v/>
      </c>
      <c r="B1441" s="39">
        <f>IF(C1441&lt;&gt;"",C1441,IF(P1441&lt;=IFERROR(INDEX(tblChannels[Watched Through],MATCH(N1441,tblChannels[Channel ID],0)),0),"Watched","Unwatched"))</f>
        <v/>
      </c>
      <c r="C1441" s="40" t="n"/>
      <c r="D1441" s="41" t="n"/>
      <c r="E1441" s="42" t="n">
        <v>44321.70833333334</v>
      </c>
      <c r="F1441" s="50" t="inlineStr">
        <is>
          <t>Super Carlin Brothers</t>
        </is>
      </c>
      <c r="G1441" t="inlineStr">
        <is>
          <t>Is Cinder Playing A Beautiful Game? | Name of the Wind Theory</t>
        </is>
      </c>
      <c r="H1441" s="44" t="n">
        <v>0.01166666666666667</v>
      </c>
      <c r="I1441" s="45" t="n">
        <v>71377</v>
      </c>
      <c r="J1441" s="45" t="n">
        <v>3440</v>
      </c>
      <c r="K1441" s="45" t="n">
        <v>484</v>
      </c>
      <c r="L1441" s="46" t="n"/>
      <c r="M1441" s="47" t="n"/>
      <c r="N1441" s="47" t="inlineStr">
        <is>
          <t>UCKZo4N0lVPccBkSiuyVh4yg</t>
        </is>
      </c>
      <c r="O1441" s="48" t="n">
        <v>44321.875</v>
      </c>
      <c r="P1441" s="49" t="n">
        <v>44321</v>
      </c>
      <c r="Q1441" s="47" t="n">
        <v>1827</v>
      </c>
      <c r="R1441" s="47" t="inlineStr">
        <is>
          <t>No Video ID yet</t>
        </is>
      </c>
      <c r="S1441" s="49" t="n"/>
      <c r="T1441" s="49" t="n"/>
      <c r="U1441" s="47" t="inlineStr">
        <is>
          <t>Today J dives into the world of Patrick Rothfuss' Name of the Wind to discuss Cinder's secret identity as Bredon, the beautiful game he's playing with Kvothe and why he's doing it! Carlin Brothers Candles ►►</t>
        </is>
      </c>
      <c r="V1441" s="47">
        <f>IF(AND(P1441&gt;=Calendar!$K$2,P1441&lt;EDATE(Calendar!$K$2,1),OR(Calendar!$K$4="*",N1441=Calendar!$K$4)),P1441*100+COUNTIFS($P$6:$P$3267,P1441,$Q$6:$Q$3267,"&lt;="&amp;Q1441,$N$6:$N$3267,Calendar!$K$4),"")</f>
        <v/>
      </c>
      <c r="W1441" s="47">
        <f>IF(AND(B1441=Queue!$C$4,OR(Queue!$K$4="*",N1441=Queue!$K$4)),Q1441,"")</f>
        <v/>
      </c>
    </row>
    <row r="1442">
      <c r="A1442" s="38">
        <f>IF(M1442="","",HYPERLINK("https://www.youtube.com/watch?v="&amp;M1442,"▶"))</f>
        <v/>
      </c>
      <c r="B1442" s="39">
        <f>IF(C1442&lt;&gt;"",C1442,IF(P1442&lt;=IFERROR(INDEX(tblChannels[Watched Through],MATCH(N1442,tblChannels[Channel ID],0)),0),"Watched","Unwatched"))</f>
        <v/>
      </c>
      <c r="C1442" s="40" t="n"/>
      <c r="D1442" s="41" t="n"/>
      <c r="E1442" s="42" t="n">
        <v>44321.41666666666</v>
      </c>
      <c r="F1442" s="52" t="inlineStr">
        <is>
          <t>Super Carlin Gaming</t>
        </is>
      </c>
      <c r="G1442" t="inlineStr">
        <is>
          <t>CAN I HAZ CHARIZARD? | Pokémon LeafGreen Nuzlocke #13</t>
        </is>
      </c>
      <c r="H1442" s="44" t="n">
        <v>0.03450231481481481</v>
      </c>
      <c r="I1442" s="45" t="n">
        <v>25330</v>
      </c>
      <c r="J1442" s="45" t="n">
        <v>2260</v>
      </c>
      <c r="K1442" s="45" t="n">
        <v>613</v>
      </c>
      <c r="L1442" s="46" t="n"/>
      <c r="M1442" s="47" t="n"/>
      <c r="N1442" s="47" t="inlineStr">
        <is>
          <t>UCor_9jRnNNZVzTuQ92PKsaQ</t>
        </is>
      </c>
      <c r="O1442" s="48" t="n">
        <v>44321.58333333334</v>
      </c>
      <c r="P1442" s="49" t="n">
        <v>44321</v>
      </c>
      <c r="Q1442" s="47" t="n">
        <v>1826</v>
      </c>
      <c r="R1442" s="47" t="inlineStr">
        <is>
          <t>No Video ID yet</t>
        </is>
      </c>
      <c r="S1442" s="49" t="n"/>
      <c r="T1442" s="49" t="n"/>
      <c r="U1442" s="47" t="inlineStr">
        <is>
          <t>This week J, Happy, Sporkles and the team take a trip through the Safari Zone to pick up some strong new moves and then decided to tackle the Fighting Dojo in hopes of getting a free new Pokemon!</t>
        </is>
      </c>
      <c r="V1442" s="47">
        <f>IF(AND(P1442&gt;=Calendar!$K$2,P1442&lt;EDATE(Calendar!$K$2,1),OR(Calendar!$K$4="*",N1442=Calendar!$K$4)),P1442*100+COUNTIFS($P$6:$P$3267,P1442,$Q$6:$Q$3267,"&lt;="&amp;Q1442,$N$6:$N$3267,Calendar!$K$4),"")</f>
        <v/>
      </c>
      <c r="W1442" s="47">
        <f>IF(AND(B1442=Queue!$C$4,OR(Queue!$K$4="*",N1442=Queue!$K$4)),Q1442,"")</f>
        <v/>
      </c>
    </row>
    <row r="1443">
      <c r="A1443" s="38">
        <f>IF(M1443="","",HYPERLINK("https://www.youtube.com/watch?v="&amp;M1443,"▶"))</f>
        <v/>
      </c>
      <c r="B1443" s="39">
        <f>IF(C1443&lt;&gt;"",C1443,IF(P1443&lt;=IFERROR(INDEX(tblChannels[Watched Through],MATCH(N1443,tblChannels[Channel ID],0)),0),"Watched","Unwatched"))</f>
        <v/>
      </c>
      <c r="C1443" s="40" t="n"/>
      <c r="D1443" s="41" t="n"/>
      <c r="E1443" s="42" t="n">
        <v>44320.70138888889</v>
      </c>
      <c r="F1443" s="50" t="inlineStr">
        <is>
          <t>Super Carlin Brothers</t>
        </is>
      </c>
      <c r="G1443" t="inlineStr">
        <is>
          <t>Is Luca A Monster? | Pixar Theory</t>
        </is>
      </c>
      <c r="H1443" s="44" t="n">
        <v>0.01033564814814815</v>
      </c>
      <c r="I1443" s="45" t="n">
        <v>372315</v>
      </c>
      <c r="J1443" s="45" t="n">
        <v>12941</v>
      </c>
      <c r="K1443" s="45" t="n">
        <v>1092</v>
      </c>
      <c r="L1443" s="46" t="n"/>
      <c r="M1443" s="47" t="n"/>
      <c r="N1443" s="47" t="inlineStr">
        <is>
          <t>UCKZo4N0lVPccBkSiuyVh4yg</t>
        </is>
      </c>
      <c r="O1443" s="48" t="n">
        <v>44320.86805555555</v>
      </c>
      <c r="P1443" s="49" t="n">
        <v>44320</v>
      </c>
      <c r="Q1443" s="47" t="n">
        <v>1825</v>
      </c>
      <c r="R1443" s="47" t="inlineStr">
        <is>
          <t>No Video ID yet</t>
        </is>
      </c>
      <c r="S1443" s="49" t="n"/>
      <c r="T1443" s="49" t="n"/>
      <c r="U1443" s="47" t="inlineStr">
        <is>
          <t>Go to to get an extra 3 months free! Today J dives into the world of Pixar to break down the first full Luca trailer and determine if its already fits into Pixar theory, if Luca is a MONSTER and what connections it might have to Finding Nemo, Wall-E and La Luna!</t>
        </is>
      </c>
      <c r="V1443" s="47">
        <f>IF(AND(P1443&gt;=Calendar!$K$2,P1443&lt;EDATE(Calendar!$K$2,1),OR(Calendar!$K$4="*",N1443=Calendar!$K$4)),P1443*100+COUNTIFS($P$6:$P$3267,P1443,$Q$6:$Q$3267,"&lt;="&amp;Q1443,$N$6:$N$3267,Calendar!$K$4),"")</f>
        <v/>
      </c>
      <c r="W1443" s="47">
        <f>IF(AND(B1443=Queue!$C$4,OR(Queue!$K$4="*",N1443=Queue!$K$4)),Q1443,"")</f>
        <v/>
      </c>
    </row>
    <row r="1444">
      <c r="A1444" s="38">
        <f>IF(M1444="","",HYPERLINK("https://www.youtube.com/watch?v="&amp;M1444,"▶"))</f>
        <v/>
      </c>
      <c r="B1444" s="39">
        <f>IF(C1444&lt;&gt;"",C1444,IF(P1444&lt;=IFERROR(INDEX(tblChannels[Watched Through],MATCH(N1444,tblChannels[Channel ID],0)),0),"Watched","Unwatched"))</f>
        <v/>
      </c>
      <c r="C1444" s="40" t="n"/>
      <c r="D1444" s="41" t="n"/>
      <c r="E1444" s="42" t="n">
        <v>44319.41666666666</v>
      </c>
      <c r="F1444" s="52" t="inlineStr">
        <is>
          <t>Super Carlin Gaming</t>
        </is>
      </c>
      <c r="G1444" t="inlineStr">
        <is>
          <t>A Grumpy Rage.. |  Pokémon LeafGreen Randomizer Nuzlocke #12</t>
        </is>
      </c>
      <c r="H1444" s="44" t="n">
        <v>0.02403935185185185</v>
      </c>
      <c r="I1444" s="45" t="n">
        <v>23079</v>
      </c>
      <c r="J1444" s="45" t="n">
        <v>1390</v>
      </c>
      <c r="K1444" s="45" t="n">
        <v>370</v>
      </c>
      <c r="L1444" s="46" t="n"/>
      <c r="M1444" s="47" t="n"/>
      <c r="N1444" s="47" t="inlineStr">
        <is>
          <t>UCor_9jRnNNZVzTuQ92PKsaQ</t>
        </is>
      </c>
      <c r="O1444" s="48" t="n">
        <v>44319.58333333334</v>
      </c>
      <c r="P1444" s="49" t="n">
        <v>44319</v>
      </c>
      <c r="Q1444" s="47" t="n">
        <v>1824</v>
      </c>
      <c r="R1444" s="47" t="inlineStr">
        <is>
          <t>No Video ID yet</t>
        </is>
      </c>
      <c r="S1444" s="49" t="n"/>
      <c r="T1444" s="49" t="n"/>
      <c r="U1444" s="47" t="inlineStr">
        <is>
          <t>This week J, Happy, Sporkles and the team head towards Fuschia City and try and catch a sleeping "Snorlax" which attacks in a grumpy rage... can the team survive this Large and RANDOM Encounter??</t>
        </is>
      </c>
      <c r="V1444" s="47">
        <f>IF(AND(P1444&gt;=Calendar!$K$2,P1444&lt;EDATE(Calendar!$K$2,1),OR(Calendar!$K$4="*",N1444=Calendar!$K$4)),P1444*100+COUNTIFS($P$6:$P$3267,P1444,$Q$6:$Q$3267,"&lt;="&amp;Q1444,$N$6:$N$3267,Calendar!$K$4),"")</f>
        <v/>
      </c>
      <c r="W1444" s="47">
        <f>IF(AND(B1444=Queue!$C$4,OR(Queue!$K$4="*",N1444=Queue!$K$4)),Q1444,"")</f>
        <v/>
      </c>
    </row>
    <row r="1445">
      <c r="A1445" s="38">
        <f>IF(M1445="","",HYPERLINK("https://www.youtube.com/watch?v="&amp;M1445,"▶"))</f>
        <v/>
      </c>
      <c r="B1445" s="39">
        <f>IF(C1445&lt;&gt;"",C1445,IF(P1445&lt;=IFERROR(INDEX(tblChannels[Watched Through],MATCH(N1445,tblChannels[Channel ID],0)),0),"Watched","Unwatched"))</f>
        <v/>
      </c>
      <c r="C1445" s="40" t="n"/>
      <c r="D1445" s="41" t="n"/>
      <c r="E1445" s="42" t="n">
        <v>44316.41666666666</v>
      </c>
      <c r="F1445" s="50" t="inlineStr">
        <is>
          <t>Super Carlin Brothers</t>
        </is>
      </c>
      <c r="G1445" t="inlineStr">
        <is>
          <t>Are Comedians Modern Day Philosophers? | Popcorn Culture</t>
        </is>
      </c>
      <c r="H1445" s="44" t="n">
        <v>0.04776620370370371</v>
      </c>
      <c r="I1445" s="45" t="n">
        <v>24124</v>
      </c>
      <c r="J1445" s="45" t="n">
        <v>1021</v>
      </c>
      <c r="K1445" s="45" t="n">
        <v>188</v>
      </c>
      <c r="L1445" s="46" t="n"/>
      <c r="M1445" s="47" t="n"/>
      <c r="N1445" s="47" t="inlineStr">
        <is>
          <t>UCKZo4N0lVPccBkSiuyVh4yg</t>
        </is>
      </c>
      <c r="O1445" s="48" t="n">
        <v>44316.58333333334</v>
      </c>
      <c r="P1445" s="49" t="n">
        <v>44316</v>
      </c>
      <c r="Q1445" s="47" t="n">
        <v>1823</v>
      </c>
      <c r="R1445" s="47" t="inlineStr">
        <is>
          <t>No Video ID yet</t>
        </is>
      </c>
      <c r="S1445" s="49" t="n"/>
      <c r="T1445" s="49" t="n"/>
      <c r="U1445" s="47" t="inlineStr">
        <is>
          <t>In the 73rd episode of the Pop, Ben and J discuss: Conch Shell Updates, shower curtains, Dad magic, math, modern philosophy, building bridges, new fandom excitement, Ben’s weekend, hockey standings, and the Popcast Patreon! SAT Words shower curtain: Shower Curtain: What your eyes do when you close them: Why are scientific names important: Why do seashells sound like the ocean: Sample After the Final Pop: Get your very own candle:</t>
        </is>
      </c>
      <c r="V1445" s="47">
        <f>IF(AND(P1445&gt;=Calendar!$K$2,P1445&lt;EDATE(Calendar!$K$2,1),OR(Calendar!$K$4="*",N1445=Calendar!$K$4)),P1445*100+COUNTIFS($P$6:$P$3267,P1445,$Q$6:$Q$3267,"&lt;="&amp;Q1445,$N$6:$N$3267,Calendar!$K$4),"")</f>
        <v/>
      </c>
      <c r="W1445" s="47">
        <f>IF(AND(B1445=Queue!$C$4,OR(Queue!$K$4="*",N1445=Queue!$K$4)),Q1445,"")</f>
        <v/>
      </c>
    </row>
    <row r="1446">
      <c r="A1446" s="38">
        <f>IF(M1446="","",HYPERLINK("https://www.youtube.com/watch?v="&amp;M1446,"▶"))</f>
        <v/>
      </c>
      <c r="B1446" s="39">
        <f>IF(C1446&lt;&gt;"",C1446,IF(P1446&lt;=IFERROR(INDEX(tblChannels[Watched Through],MATCH(N1446,tblChannels[Channel ID],0)),0),"Watched","Unwatched"))</f>
        <v/>
      </c>
      <c r="C1446" s="40" t="n"/>
      <c r="D1446" s="41" t="n"/>
      <c r="E1446" s="42" t="n">
        <v>44316.25</v>
      </c>
      <c r="F1446" s="43" t="inlineStr">
        <is>
          <t>Popcorn Culture</t>
        </is>
      </c>
      <c r="G1446" t="inlineStr">
        <is>
          <t>73 - Comedians are Modern Day Philosophers</t>
        </is>
      </c>
      <c r="H1446" s="44" t="n">
        <v>0.04659722222222222</v>
      </c>
      <c r="I1446" s="45" t="n">
        <v>1064</v>
      </c>
      <c r="J1446" s="45" t="n">
        <v>58</v>
      </c>
      <c r="K1446" s="45" t="n">
        <v>8</v>
      </c>
      <c r="L1446" s="46" t="n"/>
      <c r="M1446" s="47" t="n"/>
      <c r="N1446" s="47" t="inlineStr">
        <is>
          <t>UCHfIbq9thHPC8yrKjAdJgDA</t>
        </is>
      </c>
      <c r="O1446" s="48" t="n">
        <v>44316.41666666666</v>
      </c>
      <c r="P1446" s="49" t="n">
        <v>44316</v>
      </c>
      <c r="Q1446" s="47" t="n">
        <v>1822</v>
      </c>
      <c r="R1446" s="47" t="inlineStr">
        <is>
          <t>No Video ID yet</t>
        </is>
      </c>
      <c r="S1446" s="49" t="n"/>
      <c r="T1446" s="49" t="n"/>
      <c r="U1446" s="47" t="inlineStr">
        <is>
          <t>Ben and J discuss: Conch Shell Updates, shower curtains, Dad magic, math, modern philosophy, building bridges, new fandom excitement, Ben’s weekend, hockey standings, and the Popcast Patreon! SAT Words shower curtain: Shower Curtain: What your eyes do when you close them: Why are scientific names important: Why do seashells sound like the ocean: Sample After the Final Pop: Get your very own candle:</t>
        </is>
      </c>
      <c r="V1446" s="47">
        <f>IF(AND(P1446&gt;=Calendar!$K$2,P1446&lt;EDATE(Calendar!$K$2,1),OR(Calendar!$K$4="*",N1446=Calendar!$K$4)),P1446*100+COUNTIFS($P$6:$P$3267,P1446,$Q$6:$Q$3267,"&lt;="&amp;Q1446,$N$6:$N$3267,Calendar!$K$4),"")</f>
        <v/>
      </c>
      <c r="W1446" s="47">
        <f>IF(AND(B1446=Queue!$C$4,OR(Queue!$K$4="*",N1446=Queue!$K$4)),Q1446,"")</f>
        <v/>
      </c>
    </row>
    <row r="1447">
      <c r="A1447" s="38">
        <f>IF(M1447="","",HYPERLINK("https://www.youtube.com/watch?v="&amp;M1447,"▶"))</f>
        <v/>
      </c>
      <c r="B1447" s="39">
        <f>IF(C1447&lt;&gt;"",C1447,IF(P1447&lt;=IFERROR(INDEX(tblChannels[Watched Through],MATCH(N1447,tblChannels[Channel ID],0)),0),"Watched","Unwatched"))</f>
        <v/>
      </c>
      <c r="C1447" s="40" t="n"/>
      <c r="D1447" s="41" t="n"/>
      <c r="E1447" s="42" t="n">
        <v>44315.68680555555</v>
      </c>
      <c r="F1447" s="50" t="inlineStr">
        <is>
          <t>Super Carlin Brothers</t>
        </is>
      </c>
      <c r="G1447" t="inlineStr">
        <is>
          <t>J vs Ben: INSANELY HARD Harry Potter Trivia Quiz [Quiz Master Edition]</t>
        </is>
      </c>
      <c r="H1447" s="44" t="n">
        <v>0.01967592592592593</v>
      </c>
      <c r="I1447" s="45" t="n">
        <v>432804</v>
      </c>
      <c r="J1447" s="45" t="n">
        <v>12060</v>
      </c>
      <c r="K1447" s="45" t="n">
        <v>1074</v>
      </c>
      <c r="L1447" s="46" t="n"/>
      <c r="M1447" s="47" t="n"/>
      <c r="N1447" s="47" t="inlineStr">
        <is>
          <t>UCKZo4N0lVPccBkSiuyVh4yg</t>
        </is>
      </c>
      <c r="O1447" s="48" t="n">
        <v>44315.85347222222</v>
      </c>
      <c r="P1447" s="49" t="n">
        <v>44315</v>
      </c>
      <c r="Q1447" s="47" t="n">
        <v>1821</v>
      </c>
      <c r="R1447" s="47" t="inlineStr">
        <is>
          <t>No Video ID yet</t>
        </is>
      </c>
      <c r="S1447" s="49" t="n"/>
      <c r="T1447" s="49" t="n"/>
      <c r="U1447" s="47" t="inlineStr">
        <is>
          <t>Download the DoorDash app in the App Store and enter code JVSB2021 to get 25% off and zero delivery fees on your first order! Visit to get Honey for free. Today J and Ben face off in more Harry Potter trivia, but this time all the questions have been supplied but our immensely generous and, in the case of the difficulty, DEVIOUS Quiz Masters over on Patreon! Special thanks to these Patrons whose questions were used for the quiz :: Adam Maw Amanda Hiser, Ben Henderson, Bianca Aboitiz, Brett, Cerenig Ruse, Donna Barck, Emerald Phoenix, Emily West, Erica Franco, Graeson Lounsbury, Jocelyn W, Josie Burkhardt, Lucy Wood, Luke Gibson, Maddy DeVeuve, Madeline Bougher, Malcolm, Max D, Mimi Ginsburg,Nolan Faber, Paras Chauhan, Randy Savage, Sam H, Sami Rae</t>
        </is>
      </c>
      <c r="V1447" s="47">
        <f>IF(AND(P1447&gt;=Calendar!$K$2,P1447&lt;EDATE(Calendar!$K$2,1),OR(Calendar!$K$4="*",N1447=Calendar!$K$4)),P1447*100+COUNTIFS($P$6:$P$3267,P1447,$Q$6:$Q$3267,"&lt;="&amp;Q1447,$N$6:$N$3267,Calendar!$K$4),"")</f>
        <v/>
      </c>
      <c r="W1447" s="47">
        <f>IF(AND(B1447=Queue!$C$4,OR(Queue!$K$4="*",N1447=Queue!$K$4)),Q1447,"")</f>
        <v/>
      </c>
    </row>
    <row r="1448">
      <c r="A1448" s="38">
        <f>IF(M1448="","",HYPERLINK("https://www.youtube.com/watch?v="&amp;M1448,"▶"))</f>
        <v/>
      </c>
      <c r="B1448" s="39">
        <f>IF(C1448&lt;&gt;"",C1448,IF(P1448&lt;=IFERROR(INDEX(tblChannels[Watched Through],MATCH(N1448,tblChannels[Channel ID],0)),0),"Watched","Unwatched"))</f>
        <v/>
      </c>
      <c r="C1448" s="40" t="n"/>
      <c r="D1448" s="41" t="n"/>
      <c r="E1448" s="42" t="n">
        <v>44314.69375</v>
      </c>
      <c r="F1448" s="50" t="inlineStr">
        <is>
          <t>Super Carlin Brothers</t>
        </is>
      </c>
      <c r="G1448" t="inlineStr">
        <is>
          <t>Who Is Denna’s Patron? | Name of the Wind Theory</t>
        </is>
      </c>
      <c r="H1448" s="44" t="n">
        <v>0.01168981481481481</v>
      </c>
      <c r="I1448" s="45" t="n">
        <v>64401</v>
      </c>
      <c r="J1448" s="45" t="n">
        <v>3739</v>
      </c>
      <c r="K1448" s="45" t="n">
        <v>563</v>
      </c>
      <c r="L1448" s="46" t="n"/>
      <c r="M1448" s="47" t="n"/>
      <c r="N1448" s="47" t="inlineStr">
        <is>
          <t>UCKZo4N0lVPccBkSiuyVh4yg</t>
        </is>
      </c>
      <c r="O1448" s="48" t="n">
        <v>44314.86041666667</v>
      </c>
      <c r="P1448" s="49" t="n">
        <v>44314</v>
      </c>
      <c r="Q1448" s="47" t="n">
        <v>1820</v>
      </c>
      <c r="R1448" s="47" t="inlineStr">
        <is>
          <t>No Video ID yet</t>
        </is>
      </c>
      <c r="S1448" s="49" t="n"/>
      <c r="T1448" s="49" t="n"/>
      <c r="U1448" s="47" t="inlineStr">
        <is>
          <t>Today J dives into the wide world of Patrick Rothfuss’ Name of the Wind to discuss the true identity of Denna’s mysterious patron “Master Ash” #SuperCarlinBrothers #NameOfTheWind</t>
        </is>
      </c>
      <c r="V1448" s="47">
        <f>IF(AND(P1448&gt;=Calendar!$K$2,P1448&lt;EDATE(Calendar!$K$2,1),OR(Calendar!$K$4="*",N1448=Calendar!$K$4)),P1448*100+COUNTIFS($P$6:$P$3267,P1448,$Q$6:$Q$3267,"&lt;="&amp;Q1448,$N$6:$N$3267,Calendar!$K$4),"")</f>
        <v/>
      </c>
      <c r="W1448" s="47">
        <f>IF(AND(B1448=Queue!$C$4,OR(Queue!$K$4="*",N1448=Queue!$K$4)),Q1448,"")</f>
        <v/>
      </c>
    </row>
    <row r="1449">
      <c r="A1449" s="38">
        <f>IF(M1449="","",HYPERLINK("https://www.youtube.com/watch?v="&amp;M1449,"▶"))</f>
        <v/>
      </c>
      <c r="B1449" s="39">
        <f>IF(C1449&lt;&gt;"",C1449,IF(P1449&lt;=IFERROR(INDEX(tblChannels[Watched Through],MATCH(N1449,tblChannels[Channel ID],0)),0),"Watched","Unwatched"))</f>
        <v/>
      </c>
      <c r="C1449" s="40" t="n"/>
      <c r="D1449" s="41" t="n"/>
      <c r="E1449" s="42" t="n">
        <v>44314.41666666666</v>
      </c>
      <c r="F1449" s="52" t="inlineStr">
        <is>
          <t>Super Carlin Gaming</t>
        </is>
      </c>
      <c r="G1449" t="inlineStr">
        <is>
          <t>The Truly Haunted Tower |  Pokémon LeafGreen Randomizer Nuzlocke #11</t>
        </is>
      </c>
      <c r="H1449" s="44" t="n">
        <v>0.02697916666666667</v>
      </c>
      <c r="I1449" s="45" t="n">
        <v>23995</v>
      </c>
      <c r="J1449" s="45" t="n">
        <v>1588</v>
      </c>
      <c r="K1449" s="45" t="n">
        <v>488</v>
      </c>
      <c r="L1449" s="46" t="n"/>
      <c r="M1449" s="47" t="n"/>
      <c r="N1449" s="47" t="inlineStr">
        <is>
          <t>UCor_9jRnNNZVzTuQ92PKsaQ</t>
        </is>
      </c>
      <c r="O1449" s="48" t="n">
        <v>44314.58333333334</v>
      </c>
      <c r="P1449" s="49" t="n">
        <v>44314</v>
      </c>
      <c r="Q1449" s="47" t="n">
        <v>1819</v>
      </c>
      <c r="R1449" s="47" t="inlineStr">
        <is>
          <t>No Video ID yet</t>
        </is>
      </c>
      <c r="S1449" s="49" t="n"/>
      <c r="T1449" s="49" t="n"/>
      <c r="U1449" s="47" t="inlineStr">
        <is>
          <t>This week J, Happy, Sporkles and the team head to Lavender Town to face off again against Peaches and try and rescue Mr. Fuji. Will the entire team survive this haunted tower??</t>
        </is>
      </c>
      <c r="V1449" s="47">
        <f>IF(AND(P1449&gt;=Calendar!$K$2,P1449&lt;EDATE(Calendar!$K$2,1),OR(Calendar!$K$4="*",N1449=Calendar!$K$4)),P1449*100+COUNTIFS($P$6:$P$3267,P1449,$Q$6:$Q$3267,"&lt;="&amp;Q1449,$N$6:$N$3267,Calendar!$K$4),"")</f>
        <v/>
      </c>
      <c r="W1449" s="47">
        <f>IF(AND(B1449=Queue!$C$4,OR(Queue!$K$4="*",N1449=Queue!$K$4)),Q1449,"")</f>
        <v/>
      </c>
    </row>
    <row r="1450">
      <c r="A1450" s="38">
        <f>IF(M1450="","",HYPERLINK("https://www.youtube.com/watch?v="&amp;M1450,"▶"))</f>
        <v/>
      </c>
      <c r="B1450" s="39">
        <f>IF(C1450&lt;&gt;"",C1450,IF(P1450&lt;=IFERROR(INDEX(tblChannels[Watched Through],MATCH(N1450,tblChannels[Channel ID],0)),0),"Watched","Unwatched"))</f>
        <v/>
      </c>
      <c r="C1450" s="40" t="n"/>
      <c r="D1450" s="41" t="n"/>
      <c r="E1450" s="42" t="n">
        <v>44313.71180555555</v>
      </c>
      <c r="F1450" s="50" t="inlineStr">
        <is>
          <t>Super Carlin Brothers</t>
        </is>
      </c>
      <c r="G1450" t="inlineStr">
        <is>
          <t>Top 10 Harry Potter Moments That Were Better In The Movies | Theory</t>
        </is>
      </c>
      <c r="H1450" s="44" t="n">
        <v>0.01144675925925926</v>
      </c>
      <c r="I1450" s="45" t="n">
        <v>904617</v>
      </c>
      <c r="J1450" s="45" t="n">
        <v>29805</v>
      </c>
      <c r="K1450" s="45" t="n">
        <v>4207</v>
      </c>
      <c r="L1450" s="46" t="n"/>
      <c r="M1450" s="47" t="n"/>
      <c r="N1450" s="47" t="inlineStr">
        <is>
          <t>UCKZo4N0lVPccBkSiuyVh4yg</t>
        </is>
      </c>
      <c r="O1450" s="48" t="n">
        <v>44313.87847222222</v>
      </c>
      <c r="P1450" s="49" t="n">
        <v>44313</v>
      </c>
      <c r="Q1450" s="47" t="n">
        <v>1818</v>
      </c>
      <c r="R1450" s="47" t="inlineStr">
        <is>
          <t>No Video ID yet</t>
        </is>
      </c>
      <c r="S1450" s="49" t="n"/>
      <c r="T1450" s="49" t="n"/>
      <c r="U1450" s="47" t="inlineStr">
        <is>
          <t>Make your Mother’s day this year and get 10% off at Today J dives into the Wizarding World of Harry Potter to count down the Top 10 scenes in Harry Potter that were better in the movies than in the books!</t>
        </is>
      </c>
      <c r="V1450" s="47">
        <f>IF(AND(P1450&gt;=Calendar!$K$2,P1450&lt;EDATE(Calendar!$K$2,1),OR(Calendar!$K$4="*",N1450=Calendar!$K$4)),P1450*100+COUNTIFS($P$6:$P$3267,P1450,$Q$6:$Q$3267,"&lt;="&amp;Q1450,$N$6:$N$3267,Calendar!$K$4),"")</f>
        <v/>
      </c>
      <c r="W1450" s="47">
        <f>IF(AND(B1450=Queue!$C$4,OR(Queue!$K$4="*",N1450=Queue!$K$4)),Q1450,"")</f>
        <v/>
      </c>
    </row>
    <row r="1451">
      <c r="A1451" s="38">
        <f>IF(M1451="","",HYPERLINK("https://www.youtube.com/watch?v="&amp;M1451,"▶"))</f>
        <v/>
      </c>
      <c r="B1451" s="39">
        <f>IF(C1451&lt;&gt;"",C1451,IF(P1451&lt;=IFERROR(INDEX(tblChannels[Watched Through],MATCH(N1451,tblChannels[Channel ID],0)),0),"Watched","Unwatched"))</f>
        <v/>
      </c>
      <c r="C1451" s="40" t="n"/>
      <c r="D1451" s="41" t="n"/>
      <c r="E1451" s="42" t="n">
        <v>44312.41666666666</v>
      </c>
      <c r="F1451" s="52" t="inlineStr">
        <is>
          <t>Super Carlin Gaming</t>
        </is>
      </c>
      <c r="G1451" t="inlineStr">
        <is>
          <t>ENTER BOSS ROCKET |  Pokémon LeafGreen Randomizer Nuzlocke #10</t>
        </is>
      </c>
      <c r="H1451" s="44" t="n">
        <v>0.02383101851851852</v>
      </c>
      <c r="I1451" s="45" t="n">
        <v>25071</v>
      </c>
      <c r="J1451" s="45" t="n">
        <v>2956</v>
      </c>
      <c r="K1451" s="45" t="n">
        <v>403</v>
      </c>
      <c r="L1451" s="46" t="n"/>
      <c r="M1451" s="47" t="n"/>
      <c r="N1451" s="47" t="inlineStr">
        <is>
          <t>UCor_9jRnNNZVzTuQ92PKsaQ</t>
        </is>
      </c>
      <c r="O1451" s="48" t="n">
        <v>44312.58333333334</v>
      </c>
      <c r="P1451" s="49" t="n">
        <v>44312</v>
      </c>
      <c r="Q1451" s="47" t="n">
        <v>1817</v>
      </c>
      <c r="R1451" s="47" t="inlineStr">
        <is>
          <t>No Video ID yet</t>
        </is>
      </c>
      <c r="S1451" s="49" t="n"/>
      <c r="T1451" s="49" t="n"/>
      <c r="U1451" s="47" t="inlineStr">
        <is>
          <t>This week J, Happy, Sporkles and the team head into the Rocket Game Corner to try and clear out Team Rocket and their Boss Gioviani! Will the whole team survive this new deadly foe?!</t>
        </is>
      </c>
      <c r="V1451" s="47">
        <f>IF(AND(P1451&gt;=Calendar!$K$2,P1451&lt;EDATE(Calendar!$K$2,1),OR(Calendar!$K$4="*",N1451=Calendar!$K$4)),P1451*100+COUNTIFS($P$6:$P$3267,P1451,$Q$6:$Q$3267,"&lt;="&amp;Q1451,$N$6:$N$3267,Calendar!$K$4),"")</f>
        <v/>
      </c>
      <c r="W1451" s="47">
        <f>IF(AND(B1451=Queue!$C$4,OR(Queue!$K$4="*",N1451=Queue!$K$4)),Q1451,"")</f>
        <v/>
      </c>
    </row>
    <row r="1452">
      <c r="A1452" s="38">
        <f>IF(M1452="","",HYPERLINK("https://www.youtube.com/watch?v="&amp;M1452,"▶"))</f>
        <v/>
      </c>
      <c r="B1452" s="39">
        <f>IF(C1452&lt;&gt;"",C1452,IF(P1452&lt;=IFERROR(INDEX(tblChannels[Watched Through],MATCH(N1452,tblChannels[Channel ID],0)),0),"Watched","Unwatched"))</f>
        <v/>
      </c>
      <c r="C1452" s="40" t="n"/>
      <c r="D1452" s="41" t="n"/>
      <c r="E1452" s="42" t="n">
        <v>44309.4375</v>
      </c>
      <c r="F1452" s="50" t="inlineStr">
        <is>
          <t>Super Carlin Brothers</t>
        </is>
      </c>
      <c r="G1452" t="inlineStr">
        <is>
          <t>Did I Ever Actually Like Running? | Popcorn Culture</t>
        </is>
      </c>
      <c r="H1452" s="44" t="n">
        <v>0.04881944444444444</v>
      </c>
      <c r="I1452" s="45" t="n">
        <v>25770</v>
      </c>
      <c r="J1452" s="45" t="n">
        <v>1100</v>
      </c>
      <c r="K1452" s="45" t="n">
        <v>117</v>
      </c>
      <c r="L1452" s="46" t="n"/>
      <c r="M1452" s="47" t="n"/>
      <c r="N1452" s="47" t="inlineStr">
        <is>
          <t>UCKZo4N0lVPccBkSiuyVh4yg</t>
        </is>
      </c>
      <c r="O1452" s="48" t="n">
        <v>44309.60416666666</v>
      </c>
      <c r="P1452" s="49" t="n">
        <v>44309</v>
      </c>
      <c r="Q1452" s="47" t="n">
        <v>1816</v>
      </c>
      <c r="R1452" s="47" t="inlineStr">
        <is>
          <t>No Video ID yet</t>
        </is>
      </c>
      <c r="S1452" s="49" t="n"/>
      <c r="T1452" s="49" t="n"/>
      <c r="U1452" s="47" t="inlineStr">
        <is>
          <t>In the 72nd episode of the Pop, Ben and J discuss: future you's opinions, putting pressure on your past self, holding grudges, birth order, the cross country team, the Blue Ridge Marathon, JOMPS, and hide and seek. How to Eat Bagels: Are Narwhals Real: Is Yogurt Manly: The Dunning-Kruger Effect: Hello Internet: Heavy Weights Podcast: Get your very own candle:</t>
        </is>
      </c>
      <c r="V1452" s="47">
        <f>IF(AND(P1452&gt;=Calendar!$K$2,P1452&lt;EDATE(Calendar!$K$2,1),OR(Calendar!$K$4="*",N1452=Calendar!$K$4)),P1452*100+COUNTIFS($P$6:$P$3267,P1452,$Q$6:$Q$3267,"&lt;="&amp;Q1452,$N$6:$N$3267,Calendar!$K$4),"")</f>
        <v/>
      </c>
      <c r="W1452" s="47">
        <f>IF(AND(B1452=Queue!$C$4,OR(Queue!$K$4="*",N1452=Queue!$K$4)),Q1452,"")</f>
        <v/>
      </c>
    </row>
    <row r="1453">
      <c r="A1453" s="38">
        <f>IF(M1453="","",HYPERLINK("https://www.youtube.com/watch?v="&amp;M1453,"▶"))</f>
        <v/>
      </c>
      <c r="B1453" s="39">
        <f>IF(C1453&lt;&gt;"",C1453,IF(P1453&lt;=IFERROR(INDEX(tblChannels[Watched Through],MATCH(N1453,tblChannels[Channel ID],0)),0),"Watched","Unwatched"))</f>
        <v/>
      </c>
      <c r="C1453" s="40" t="n"/>
      <c r="D1453" s="41" t="n"/>
      <c r="E1453" s="42" t="n">
        <v>44309.25</v>
      </c>
      <c r="F1453" s="43" t="inlineStr">
        <is>
          <t>Popcorn Culture</t>
        </is>
      </c>
      <c r="G1453" t="inlineStr">
        <is>
          <t>72 - Did I Ever Actually Like Running?</t>
        </is>
      </c>
      <c r="H1453" s="44" t="n">
        <v>0.04740740740740741</v>
      </c>
      <c r="I1453" s="45" t="n">
        <v>1509</v>
      </c>
      <c r="J1453" s="45" t="n">
        <v>65</v>
      </c>
      <c r="K1453" s="45" t="n">
        <v>13</v>
      </c>
      <c r="L1453" s="46" t="n"/>
      <c r="M1453" s="47" t="n"/>
      <c r="N1453" s="47" t="inlineStr">
        <is>
          <t>UCHfIbq9thHPC8yrKjAdJgDA</t>
        </is>
      </c>
      <c r="O1453" s="48" t="n">
        <v>44309.41666666666</v>
      </c>
      <c r="P1453" s="49" t="n">
        <v>44309</v>
      </c>
      <c r="Q1453" s="47" t="n">
        <v>1815</v>
      </c>
      <c r="R1453" s="47" t="inlineStr">
        <is>
          <t>No Video ID yet</t>
        </is>
      </c>
      <c r="S1453" s="49" t="n"/>
      <c r="T1453" s="49" t="n"/>
      <c r="U1453" s="47" t="inlineStr">
        <is>
          <t>Ben and J discuss: future yous opinions, putting pressure on your past self, holding grudges, birth order, cross country team, the Blue Ridge Marathon, jomps, and hide and seek. How to Eat Bagels: Are Narwhals Real: Is Yogurt Manly: The Dunning-Kruger Effect: Hello Internet: Heavy Weights Podcast: Get your very own candle:</t>
        </is>
      </c>
      <c r="V1453" s="47">
        <f>IF(AND(P1453&gt;=Calendar!$K$2,P1453&lt;EDATE(Calendar!$K$2,1),OR(Calendar!$K$4="*",N1453=Calendar!$K$4)),P1453*100+COUNTIFS($P$6:$P$3267,P1453,$Q$6:$Q$3267,"&lt;="&amp;Q1453,$N$6:$N$3267,Calendar!$K$4),"")</f>
        <v/>
      </c>
      <c r="W1453" s="47">
        <f>IF(AND(B1453=Queue!$C$4,OR(Queue!$K$4="*",N1453=Queue!$K$4)),Q1453,"")</f>
        <v/>
      </c>
    </row>
    <row r="1454">
      <c r="A1454" s="38">
        <f>IF(M1454="","",HYPERLINK("https://www.youtube.com/watch?v="&amp;M1454,"▶"))</f>
        <v/>
      </c>
      <c r="B1454" s="39">
        <f>IF(C1454&lt;&gt;"",C1454,IF(P1454&lt;=IFERROR(INDEX(tblChannels[Watched Through],MATCH(N1454,tblChannels[Channel ID],0)),0),"Watched","Unwatched"))</f>
        <v/>
      </c>
      <c r="C1454" s="40" t="n"/>
      <c r="D1454" s="41" t="n"/>
      <c r="E1454" s="42" t="n">
        <v>44308.63333333333</v>
      </c>
      <c r="F1454" s="50" t="inlineStr">
        <is>
          <t>Super Carlin Brothers</t>
        </is>
      </c>
      <c r="G1454" t="inlineStr">
        <is>
          <t>Could the Sword of Gryffindor Become a Horcrux? | Harry Potter Theory</t>
        </is>
      </c>
      <c r="H1454" s="44" t="n">
        <v>0.009571759259259259</v>
      </c>
      <c r="I1454" s="45" t="n">
        <v>217982</v>
      </c>
      <c r="J1454" s="45" t="n">
        <v>9864</v>
      </c>
      <c r="K1454" s="45" t="n">
        <v>1631</v>
      </c>
      <c r="L1454" s="46" t="n"/>
      <c r="M1454" s="47" t="n"/>
      <c r="N1454" s="47" t="inlineStr">
        <is>
          <t>UCKZo4N0lVPccBkSiuyVh4yg</t>
        </is>
      </c>
      <c r="O1454" s="48" t="n">
        <v>44308.8</v>
      </c>
      <c r="P1454" s="49" t="n">
        <v>44308</v>
      </c>
      <c r="Q1454" s="47" t="n">
        <v>1814</v>
      </c>
      <c r="R1454" s="47" t="inlineStr">
        <is>
          <t>No Video ID yet</t>
        </is>
      </c>
      <c r="S1454" s="49" t="n"/>
      <c r="T1454" s="49" t="n"/>
      <c r="U1454" s="47" t="inlineStr">
        <is>
          <t>Go to to get 15% off your first order and free shipping! Today Ben dives into the Wizarding World of Harry Potter to discuss the Sword of Gryffindor and if it's even possible that it could become a Horcrux, or if the fact that it only takes things that make it stronger would mean it repels Voldemort’s soul?</t>
        </is>
      </c>
      <c r="V1454" s="47">
        <f>IF(AND(P1454&gt;=Calendar!$K$2,P1454&lt;EDATE(Calendar!$K$2,1),OR(Calendar!$K$4="*",N1454=Calendar!$K$4)),P1454*100+COUNTIFS($P$6:$P$3267,P1454,$Q$6:$Q$3267,"&lt;="&amp;Q1454,$N$6:$N$3267,Calendar!$K$4),"")</f>
        <v/>
      </c>
      <c r="W1454" s="47">
        <f>IF(AND(B1454=Queue!$C$4,OR(Queue!$K$4="*",N1454=Queue!$K$4)),Q1454,"")</f>
        <v/>
      </c>
    </row>
    <row r="1455">
      <c r="A1455" s="38">
        <f>IF(M1455="","",HYPERLINK("https://www.youtube.com/watch?v="&amp;M1455,"▶"))</f>
        <v/>
      </c>
      <c r="B1455" s="39">
        <f>IF(C1455&lt;&gt;"",C1455,IF(P1455&lt;=IFERROR(INDEX(tblChannels[Watched Through],MATCH(N1455,tblChannels[Channel ID],0)),0),"Watched","Unwatched"))</f>
        <v/>
      </c>
      <c r="C1455" s="40" t="n"/>
      <c r="D1455" s="41" t="n"/>
      <c r="E1455" s="42" t="n">
        <v>44307.72638888889</v>
      </c>
      <c r="F1455" s="50" t="inlineStr">
        <is>
          <t>Super Carlin Brothers</t>
        </is>
      </c>
      <c r="G1455" t="inlineStr">
        <is>
          <t>What Is Kvothe’s Last Name? | Name of the Wind Theory</t>
        </is>
      </c>
      <c r="H1455" s="44" t="n">
        <v>0.01189814814814815</v>
      </c>
      <c r="I1455" s="45" t="n">
        <v>80214</v>
      </c>
      <c r="J1455" s="45" t="n">
        <v>4581</v>
      </c>
      <c r="K1455" s="45" t="n">
        <v>955</v>
      </c>
      <c r="L1455" s="46" t="n"/>
      <c r="M1455" s="47" t="n"/>
      <c r="N1455" s="47" t="inlineStr">
        <is>
          <t>UCKZo4N0lVPccBkSiuyVh4yg</t>
        </is>
      </c>
      <c r="O1455" s="48" t="n">
        <v>44307.89305555556</v>
      </c>
      <c r="P1455" s="49" t="n">
        <v>44307</v>
      </c>
      <c r="Q1455" s="47" t="n">
        <v>1813</v>
      </c>
      <c r="R1455" s="47" t="inlineStr">
        <is>
          <t>No Video ID yet</t>
        </is>
      </c>
      <c r="S1455" s="49" t="n"/>
      <c r="T1455" s="49" t="n"/>
      <c r="U1455" s="47" t="inlineStr">
        <is>
          <t>Welcome to Name of the WINDSDAY! This week Ben dives into the world of Patrick Rothfuss' Name of the Wind to discuss Kvothe's mysterious heritage, his true last name, and what that means for the world at large! Head on over to check out our newly redesigned CANDLES (and other stuff too!) at</t>
        </is>
      </c>
      <c r="V1455" s="47">
        <f>IF(AND(P1455&gt;=Calendar!$K$2,P1455&lt;EDATE(Calendar!$K$2,1),OR(Calendar!$K$4="*",N1455=Calendar!$K$4)),P1455*100+COUNTIFS($P$6:$P$3267,P1455,$Q$6:$Q$3267,"&lt;="&amp;Q1455,$N$6:$N$3267,Calendar!$K$4),"")</f>
        <v/>
      </c>
      <c r="W1455" s="47">
        <f>IF(AND(B1455=Queue!$C$4,OR(Queue!$K$4="*",N1455=Queue!$K$4)),Q1455,"")</f>
        <v/>
      </c>
    </row>
    <row r="1456">
      <c r="A1456" s="38">
        <f>IF(M1456="","",HYPERLINK("https://www.youtube.com/watch?v="&amp;M1456,"▶"))</f>
        <v/>
      </c>
      <c r="B1456" s="39">
        <f>IF(C1456&lt;&gt;"",C1456,IF(P1456&lt;=IFERROR(INDEX(tblChannels[Watched Through],MATCH(N1456,tblChannels[Channel ID],0)),0),"Watched","Unwatched"))</f>
        <v/>
      </c>
      <c r="C1456" s="40" t="n"/>
      <c r="D1456" s="41" t="n"/>
      <c r="E1456" s="42" t="n">
        <v>44307.41666666666</v>
      </c>
      <c r="F1456" s="52" t="inlineStr">
        <is>
          <t>Super Carlin Gaming</t>
        </is>
      </c>
      <c r="G1456" t="inlineStr">
        <is>
          <t>A True Disappointment.. |  Pokémon LeafGreen Randomizer Nuzlocke #9</t>
        </is>
      </c>
      <c r="H1456" s="44" t="n">
        <v>0.0290625</v>
      </c>
      <c r="I1456" s="45" t="n">
        <v>28830</v>
      </c>
      <c r="J1456" s="45" t="n">
        <v>1388</v>
      </c>
      <c r="K1456" s="45" t="n">
        <v>646</v>
      </c>
      <c r="L1456" s="46" t="n"/>
      <c r="M1456" s="47" t="n"/>
      <c r="N1456" s="47" t="inlineStr">
        <is>
          <t>UCor_9jRnNNZVzTuQ92PKsaQ</t>
        </is>
      </c>
      <c r="O1456" s="48" t="n">
        <v>44307.58333333334</v>
      </c>
      <c r="P1456" s="49" t="n">
        <v>44307</v>
      </c>
      <c r="Q1456" s="47" t="n">
        <v>1812</v>
      </c>
      <c r="R1456" s="47" t="inlineStr">
        <is>
          <t>No Video ID yet</t>
        </is>
      </c>
      <c r="S1456" s="49" t="n"/>
      <c r="T1456" s="49" t="n"/>
      <c r="U1456" s="47" t="inlineStr">
        <is>
          <t>This week J, Happy, Sporkles and the crew make their way to the Celdadon City gym to take on Erika and whatever random type she has dreamt up! Will the team survive the gym?!</t>
        </is>
      </c>
      <c r="V1456" s="47">
        <f>IF(AND(P1456&gt;=Calendar!$K$2,P1456&lt;EDATE(Calendar!$K$2,1),OR(Calendar!$K$4="*",N1456=Calendar!$K$4)),P1456*100+COUNTIFS($P$6:$P$3267,P1456,$Q$6:$Q$3267,"&lt;="&amp;Q1456,$N$6:$N$3267,Calendar!$K$4),"")</f>
        <v/>
      </c>
      <c r="W1456" s="47">
        <f>IF(AND(B1456=Queue!$C$4,OR(Queue!$K$4="*",N1456=Queue!$K$4)),Q1456,"")</f>
        <v/>
      </c>
    </row>
    <row r="1457">
      <c r="A1457" s="38">
        <f>IF(M1457="","",HYPERLINK("https://www.youtube.com/watch?v="&amp;M1457,"▶"))</f>
        <v/>
      </c>
      <c r="B1457" s="39">
        <f>IF(C1457&lt;&gt;"",C1457,IF(P1457&lt;=IFERROR(INDEX(tblChannels[Watched Through],MATCH(N1457,tblChannels[Channel ID],0)),0),"Watched","Unwatched"))</f>
        <v/>
      </c>
      <c r="C1457" s="40" t="n"/>
      <c r="D1457" s="41" t="n"/>
      <c r="E1457" s="42" t="n">
        <v>44306.67916666667</v>
      </c>
      <c r="F1457" s="50" t="inlineStr">
        <is>
          <t>Super Carlin Brothers</t>
        </is>
      </c>
      <c r="G1457" t="inlineStr">
        <is>
          <t>Who Is Pokemon’s LEAST Favorite Pokemon? | Pokemon Theory</t>
        </is>
      </c>
      <c r="H1457" s="44" t="n">
        <v>0.0128125</v>
      </c>
      <c r="I1457" s="45" t="n">
        <v>185594</v>
      </c>
      <c r="J1457" s="45" t="n">
        <v>10228</v>
      </c>
      <c r="K1457" s="45" t="n">
        <v>2653</v>
      </c>
      <c r="L1457" s="46" t="n"/>
      <c r="M1457" s="47" t="n"/>
      <c r="N1457" s="47" t="inlineStr">
        <is>
          <t>UCKZo4N0lVPccBkSiuyVh4yg</t>
        </is>
      </c>
      <c r="O1457" s="48" t="n">
        <v>44306.84583333333</v>
      </c>
      <c r="P1457" s="49" t="n">
        <v>44306</v>
      </c>
      <c r="Q1457" s="47" t="n">
        <v>1811</v>
      </c>
      <c r="R1457" s="47" t="inlineStr">
        <is>
          <t>No Video ID yet</t>
        </is>
      </c>
      <c r="S1457" s="49" t="n"/>
      <c r="T1457" s="49" t="n"/>
      <c r="U1457" s="47" t="inlineStr">
        <is>
          <t>Go to to get 10% off plus free shipping! Today J dives into the wide world of Pokemon to try and determine the Pokemon company’s LEAST favorite Pokmeon! #SuperCarlinBrothers #Pokemon</t>
        </is>
      </c>
      <c r="V1457" s="47">
        <f>IF(AND(P1457&gt;=Calendar!$K$2,P1457&lt;EDATE(Calendar!$K$2,1),OR(Calendar!$K$4="*",N1457=Calendar!$K$4)),P1457*100+COUNTIFS($P$6:$P$3267,P1457,$Q$6:$Q$3267,"&lt;="&amp;Q1457,$N$6:$N$3267,Calendar!$K$4),"")</f>
        <v/>
      </c>
      <c r="W1457" s="47">
        <f>IF(AND(B1457=Queue!$C$4,OR(Queue!$K$4="*",N1457=Queue!$K$4)),Q1457,"")</f>
        <v/>
      </c>
    </row>
    <row r="1458">
      <c r="A1458" s="38">
        <f>IF(M1458="","",HYPERLINK("https://www.youtube.com/watch?v="&amp;M1458,"▶"))</f>
        <v/>
      </c>
      <c r="B1458" s="39">
        <f>IF(C1458&lt;&gt;"",C1458,IF(P1458&lt;=IFERROR(INDEX(tblChannels[Watched Through],MATCH(N1458,tblChannels[Channel ID],0)),0),"Watched","Unwatched"))</f>
        <v/>
      </c>
      <c r="C1458" s="40" t="n"/>
      <c r="D1458" s="41" t="n"/>
      <c r="E1458" s="42" t="n">
        <v>44305.41666666666</v>
      </c>
      <c r="F1458" s="52" t="inlineStr">
        <is>
          <t>Super Carlin Gaming</t>
        </is>
      </c>
      <c r="G1458" t="inlineStr">
        <is>
          <t>Hello Darkness My Old Friend.. |  Pokémon LeafGreen Randomizer Nuzlocke</t>
        </is>
      </c>
      <c r="H1458" s="44" t="n">
        <v>0.02733796296296296</v>
      </c>
      <c r="I1458" s="45" t="n">
        <v>32173</v>
      </c>
      <c r="J1458" s="45" t="n">
        <v>1352</v>
      </c>
      <c r="K1458" s="45" t="n">
        <v>448</v>
      </c>
      <c r="L1458" s="46" t="n"/>
      <c r="M1458" s="47" t="n"/>
      <c r="N1458" s="47" t="inlineStr">
        <is>
          <t>UCor_9jRnNNZVzTuQ92PKsaQ</t>
        </is>
      </c>
      <c r="O1458" s="48" t="n">
        <v>44305.58333333334</v>
      </c>
      <c r="P1458" s="49" t="n">
        <v>44305</v>
      </c>
      <c r="Q1458" s="47" t="n">
        <v>1810</v>
      </c>
      <c r="R1458" s="47" t="inlineStr">
        <is>
          <t>No Video ID yet</t>
        </is>
      </c>
      <c r="S1458" s="49" t="n"/>
      <c r="T1458" s="49" t="n"/>
      <c r="U1458" s="47" t="inlineStr">
        <is>
          <t>Without the aid of Flash J and the Team must navigate the Rock Tunnel with nothing but blind faith in each other.. can they survive the dark and the INSANE Grass trainers?</t>
        </is>
      </c>
      <c r="V1458" s="47">
        <f>IF(AND(P1458&gt;=Calendar!$K$2,P1458&lt;EDATE(Calendar!$K$2,1),OR(Calendar!$K$4="*",N1458=Calendar!$K$4)),P1458*100+COUNTIFS($P$6:$P$3267,P1458,$Q$6:$Q$3267,"&lt;="&amp;Q1458,$N$6:$N$3267,Calendar!$K$4),"")</f>
        <v/>
      </c>
      <c r="W1458" s="47">
        <f>IF(AND(B1458=Queue!$C$4,OR(Queue!$K$4="*",N1458=Queue!$K$4)),Q1458,"")</f>
        <v/>
      </c>
    </row>
    <row r="1459">
      <c r="A1459" s="38">
        <f>IF(M1459="","",HYPERLINK("https://www.youtube.com/watch?v="&amp;M1459,"▶"))</f>
        <v/>
      </c>
      <c r="B1459" s="39">
        <f>IF(C1459&lt;&gt;"",C1459,IF(P1459&lt;=IFERROR(INDEX(tblChannels[Watched Through],MATCH(N1459,tblChannels[Channel ID],0)),0),"Watched","Unwatched"))</f>
        <v/>
      </c>
      <c r="C1459" s="40" t="n"/>
      <c r="D1459" s="41" t="n"/>
      <c r="E1459" s="42" t="n">
        <v>44302.86319444444</v>
      </c>
      <c r="F1459" s="50" t="inlineStr">
        <is>
          <t>Super Carlin Brothers</t>
        </is>
      </c>
      <c r="G1459" t="inlineStr">
        <is>
          <t>ALL FANDOMS Trivia Night LIVE STREAM!</t>
        </is>
      </c>
      <c r="H1459" s="44" t="n">
        <v>0.1066550925925926</v>
      </c>
      <c r="I1459" s="45" t="n">
        <v>135902</v>
      </c>
      <c r="J1459" s="45" t="n">
        <v>2166</v>
      </c>
      <c r="K1459" s="45" t="n">
        <v>146</v>
      </c>
      <c r="L1459" s="46" t="n"/>
      <c r="M1459" s="47" t="n"/>
      <c r="N1459" s="47" t="inlineStr">
        <is>
          <t>UCKZo4N0lVPccBkSiuyVh4yg</t>
        </is>
      </c>
      <c r="O1459" s="48" t="n">
        <v>44303.02986111111</v>
      </c>
      <c r="P1459" s="49" t="n">
        <v>44302</v>
      </c>
      <c r="Q1459" s="47" t="n">
        <v>1809</v>
      </c>
      <c r="R1459" s="47" t="inlineStr">
        <is>
          <t>No Video ID yet</t>
        </is>
      </c>
      <c r="S1459" s="49" t="n"/>
      <c r="T1459" s="49" t="n"/>
      <c r="U1459" s="47" t="inlineStr">
        <is>
          <t>DO YOU HAVE WHAT IT TAKES TO BECOME THE CHAMPION OF ALL SIX FANDOMS?! - Tonight we test your knowledge of Disney, Pixar, Marvel, Star Wars, Harry Potter and Avatar: The Last Airbender! Winners email: secretcarlinbrothers@gmail.com with a screenshot of your winning score! HOW TO PLAY Kahoot with the Carlins! 1. Download the Kahoot app to your mobile device, or go to Kahoot.it to join the game! If the app is already installed on your device we recommend making sure it is up to date before the game starts!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t>
        </is>
      </c>
      <c r="V1459" s="47">
        <f>IF(AND(P1459&gt;=Calendar!$K$2,P1459&lt;EDATE(Calendar!$K$2,1),OR(Calendar!$K$4="*",N1459=Calendar!$K$4)),P1459*100+COUNTIFS($P$6:$P$3267,P1459,$Q$6:$Q$3267,"&lt;="&amp;Q1459,$N$6:$N$3267,Calendar!$K$4),"")</f>
        <v/>
      </c>
      <c r="W1459" s="47">
        <f>IF(AND(B1459=Queue!$C$4,OR(Queue!$K$4="*",N1459=Queue!$K$4)),Q1459,"")</f>
        <v/>
      </c>
    </row>
    <row r="1460">
      <c r="A1460" s="38">
        <f>IF(M1460="","",HYPERLINK("https://www.youtube.com/watch?v="&amp;M1460,"▶"))</f>
        <v/>
      </c>
      <c r="B1460" s="39">
        <f>IF(C1460&lt;&gt;"",C1460,IF(P1460&lt;=IFERROR(INDEX(tblChannels[Watched Through],MATCH(N1460,tblChannels[Channel ID],0)),0),"Watched","Unwatched"))</f>
        <v/>
      </c>
      <c r="C1460" s="40" t="n"/>
      <c r="D1460" s="41" t="n"/>
      <c r="E1460" s="42" t="n">
        <v>44302.41666666666</v>
      </c>
      <c r="F1460" s="50" t="inlineStr">
        <is>
          <t>Super Carlin Brothers</t>
        </is>
      </c>
      <c r="G1460" t="inlineStr">
        <is>
          <t>The Just Noticeable Difference | Popcorn Culture</t>
        </is>
      </c>
      <c r="H1460" s="44" t="n">
        <v>0.04803240740740741</v>
      </c>
      <c r="I1460" s="45" t="n">
        <v>23709</v>
      </c>
      <c r="J1460" s="45" t="n">
        <v>983</v>
      </c>
      <c r="K1460" s="45" t="n">
        <v>188</v>
      </c>
      <c r="L1460" s="46" t="n"/>
      <c r="M1460" s="47" t="n"/>
      <c r="N1460" s="47" t="inlineStr">
        <is>
          <t>UCKZo4N0lVPccBkSiuyVh4yg</t>
        </is>
      </c>
      <c r="O1460" s="48" t="n">
        <v>44302.58333333334</v>
      </c>
      <c r="P1460" s="49" t="n">
        <v>44302</v>
      </c>
      <c r="Q1460" s="47" t="n">
        <v>1808</v>
      </c>
      <c r="R1460" s="47" t="inlineStr">
        <is>
          <t>No Video ID yet</t>
        </is>
      </c>
      <c r="S1460" s="49" t="n"/>
      <c r="T1460" s="49" t="n"/>
      <c r="U1460" s="47" t="inlineStr">
        <is>
          <t>Ben and J discuss: becoming a YouTuber, the Just Noticeable Difference, dad jokes, kids TV, seashells, household chores, seashells, Pokémon cards… and seashells. www.Patreon.com/PopcornCulture Just Noticeable Difference: Just Noticeable Difference 2: Email the Pop about seashells: popcornculturepod@gmail.com Revisiting Ben’s Skeleton Key: Pokémon cards unboxing:</t>
        </is>
      </c>
      <c r="V1460" s="47">
        <f>IF(AND(P1460&gt;=Calendar!$K$2,P1460&lt;EDATE(Calendar!$K$2,1),OR(Calendar!$K$4="*",N1460=Calendar!$K$4)),P1460*100+COUNTIFS($P$6:$P$3267,P1460,$Q$6:$Q$3267,"&lt;="&amp;Q1460,$N$6:$N$3267,Calendar!$K$4),"")</f>
        <v/>
      </c>
      <c r="W1460" s="47">
        <f>IF(AND(B1460=Queue!$C$4,OR(Queue!$K$4="*",N1460=Queue!$K$4)),Q1460,"")</f>
        <v/>
      </c>
    </row>
    <row r="1461">
      <c r="A1461" s="38">
        <f>IF(M1461="","",HYPERLINK("https://www.youtube.com/watch?v="&amp;M1461,"▶"))</f>
        <v/>
      </c>
      <c r="B1461" s="39">
        <f>IF(C1461&lt;&gt;"",C1461,IF(P1461&lt;=IFERROR(INDEX(tblChannels[Watched Through],MATCH(N1461,tblChannels[Channel ID],0)),0),"Watched","Unwatched"))</f>
        <v/>
      </c>
      <c r="C1461" s="40" t="n"/>
      <c r="D1461" s="41" t="n"/>
      <c r="E1461" s="42" t="n">
        <v>44302.25</v>
      </c>
      <c r="F1461" s="43" t="inlineStr">
        <is>
          <t>Popcorn Culture</t>
        </is>
      </c>
      <c r="G1461" t="inlineStr">
        <is>
          <t>71 - The Just Noticeable Difference</t>
        </is>
      </c>
      <c r="H1461" s="44" t="n">
        <v>0.04597222222222222</v>
      </c>
      <c r="I1461" s="45" t="n">
        <v>1378</v>
      </c>
      <c r="J1461" s="45" t="n">
        <v>71</v>
      </c>
      <c r="K1461" s="45" t="n">
        <v>7</v>
      </c>
      <c r="L1461" s="46" t="n"/>
      <c r="M1461" s="47" t="n"/>
      <c r="N1461" s="47" t="inlineStr">
        <is>
          <t>UCHfIbq9thHPC8yrKjAdJgDA</t>
        </is>
      </c>
      <c r="O1461" s="48" t="n">
        <v>44302.41666666666</v>
      </c>
      <c r="P1461" s="49" t="n">
        <v>44302</v>
      </c>
      <c r="Q1461" s="47" t="n">
        <v>1807</v>
      </c>
      <c r="R1461" s="47" t="inlineStr">
        <is>
          <t>No Video ID yet</t>
        </is>
      </c>
      <c r="S1461" s="49" t="n"/>
      <c r="T1461" s="49" t="n"/>
      <c r="U1461" s="47" t="inlineStr">
        <is>
          <t>Ben and J discuss: becoming a YouTuber, the Just Noticeable Difference, seashells, household chores, and Pokémon cards. Just Noticeable Difference: Just Noticeable Difference 2: Email the Pop about seashells: popcornculturepod@gmail.com Get your very own candle: Revisiting Ben’s Skeleton Key: Pokémon cards unboxing:</t>
        </is>
      </c>
      <c r="V1461" s="47">
        <f>IF(AND(P1461&gt;=Calendar!$K$2,P1461&lt;EDATE(Calendar!$K$2,1),OR(Calendar!$K$4="*",N1461=Calendar!$K$4)),P1461*100+COUNTIFS($P$6:$P$3267,P1461,$Q$6:$Q$3267,"&lt;="&amp;Q1461,$N$6:$N$3267,Calendar!$K$4),"")</f>
        <v/>
      </c>
      <c r="W1461" s="47">
        <f>IF(AND(B1461=Queue!$C$4,OR(Queue!$K$4="*",N1461=Queue!$K$4)),Q1461,"")</f>
        <v/>
      </c>
    </row>
    <row r="1462">
      <c r="A1462" s="38">
        <f>IF(M1462="","",HYPERLINK("https://www.youtube.com/watch?v="&amp;M1462,"▶"))</f>
        <v/>
      </c>
      <c r="B1462" s="39">
        <f>IF(C1462&lt;&gt;"",C1462,IF(P1462&lt;=IFERROR(INDEX(tblChannels[Watched Through],MATCH(N1462,tblChannels[Channel ID],0)),0),"Watched","Unwatched"))</f>
        <v/>
      </c>
      <c r="C1462" s="40" t="n"/>
      <c r="D1462" s="41" t="n"/>
      <c r="E1462" s="42" t="n">
        <v>44301.70625</v>
      </c>
      <c r="F1462" s="50" t="inlineStr">
        <is>
          <t>Super Carlin Brothers</t>
        </is>
      </c>
      <c r="G1462" t="inlineStr">
        <is>
          <t>J vs Ben: We FAILED More Harry Potter Trivia - REDEMPTION Quiz</t>
        </is>
      </c>
      <c r="H1462" s="44" t="n">
        <v>0.021875</v>
      </c>
      <c r="I1462" s="45" t="n">
        <v>504100</v>
      </c>
      <c r="J1462" s="45" t="n">
        <v>13134</v>
      </c>
      <c r="K1462" s="45" t="n">
        <v>1258</v>
      </c>
      <c r="L1462" s="46" t="n"/>
      <c r="M1462" s="47" t="n"/>
      <c r="N1462" s="47" t="inlineStr">
        <is>
          <t>UCKZo4N0lVPccBkSiuyVh4yg</t>
        </is>
      </c>
      <c r="O1462" s="48" t="n">
        <v>44301.87291666667</v>
      </c>
      <c r="P1462" s="49" t="n">
        <v>44301</v>
      </c>
      <c r="Q1462" s="47" t="n">
        <v>1806</v>
      </c>
      <c r="R1462" s="47" t="inlineStr">
        <is>
          <t>No Video ID yet</t>
        </is>
      </c>
      <c r="S1462" s="49" t="n"/>
      <c r="T1462" s="49" t="n"/>
      <c r="U1462" s="47" t="inlineStr">
        <is>
          <t>Go to and enter the code SUPER at checkout to get 20% off your first box! Go to to get 10% off plus free shipping! J and Ben face off once again for the Ultimate Harry Potter Trivia Redemption as they tackle only questions they have missed in previous quizzes! Who has learned from their mistakes, and why does Harry love baked potatoes so much?? Become a Quiz Master ::</t>
        </is>
      </c>
      <c r="V1462" s="47">
        <f>IF(AND(P1462&gt;=Calendar!$K$2,P1462&lt;EDATE(Calendar!$K$2,1),OR(Calendar!$K$4="*",N1462=Calendar!$K$4)),P1462*100+COUNTIFS($P$6:$P$3267,P1462,$Q$6:$Q$3267,"&lt;="&amp;Q1462,$N$6:$N$3267,Calendar!$K$4),"")</f>
        <v/>
      </c>
      <c r="W1462" s="47">
        <f>IF(AND(B1462=Queue!$C$4,OR(Queue!$K$4="*",N1462=Queue!$K$4)),Q1462,"")</f>
        <v/>
      </c>
    </row>
    <row r="1463">
      <c r="A1463" s="38">
        <f>IF(M1463="","",HYPERLINK("https://www.youtube.com/watch?v="&amp;M1463,"▶"))</f>
        <v/>
      </c>
      <c r="B1463" s="39">
        <f>IF(C1463&lt;&gt;"",C1463,IF(P1463&lt;=IFERROR(INDEX(tblChannels[Watched Through],MATCH(N1463,tblChannels[Channel ID],0)),0),"Watched","Unwatched"))</f>
        <v/>
      </c>
      <c r="C1463" s="40" t="n"/>
      <c r="D1463" s="41" t="n"/>
      <c r="E1463" s="42" t="n">
        <v>44300.41666666666</v>
      </c>
      <c r="F1463" s="52" t="inlineStr">
        <is>
          <t>Super Carlin Gaming</t>
        </is>
      </c>
      <c r="G1463" t="inlineStr">
        <is>
          <t>The CRITICAL Exeggutor |  Pokémon LeafGreen Randomizer Nuzlocke #7</t>
        </is>
      </c>
      <c r="H1463" s="44" t="n">
        <v>0.02744212962962963</v>
      </c>
      <c r="I1463" s="45" t="n">
        <v>30363</v>
      </c>
      <c r="J1463" s="45" t="n">
        <v>1293</v>
      </c>
      <c r="K1463" s="45" t="n">
        <v>729</v>
      </c>
      <c r="L1463" s="46" t="n"/>
      <c r="M1463" s="47" t="n"/>
      <c r="N1463" s="47" t="inlineStr">
        <is>
          <t>UCor_9jRnNNZVzTuQ92PKsaQ</t>
        </is>
      </c>
      <c r="O1463" s="48" t="n">
        <v>44300.58333333334</v>
      </c>
      <c r="P1463" s="49" t="n">
        <v>44300</v>
      </c>
      <c r="Q1463" s="47" t="n">
        <v>1805</v>
      </c>
      <c r="R1463" s="47" t="inlineStr">
        <is>
          <t>No Video ID yet</t>
        </is>
      </c>
      <c r="S1463" s="49" t="n"/>
      <c r="T1463" s="49" t="n"/>
      <c r="U1463" s="47" t="inlineStr">
        <is>
          <t>This week J and the team take on Lt. Surge and try to win their 3rd gym badge! Will the team survive the encounter, and what kind of gym will it be?!!</t>
        </is>
      </c>
      <c r="V1463" s="47">
        <f>IF(AND(P1463&gt;=Calendar!$K$2,P1463&lt;EDATE(Calendar!$K$2,1),OR(Calendar!$K$4="*",N1463=Calendar!$K$4)),P1463*100+COUNTIFS($P$6:$P$3267,P1463,$Q$6:$Q$3267,"&lt;="&amp;Q1463,$N$6:$N$3267,Calendar!$K$4),"")</f>
        <v/>
      </c>
      <c r="W1463" s="47">
        <f>IF(AND(B1463=Queue!$C$4,OR(Queue!$K$4="*",N1463=Queue!$K$4)),Q1463,"")</f>
        <v/>
      </c>
    </row>
    <row r="1464">
      <c r="A1464" s="38">
        <f>IF(M1464="","",HYPERLINK("https://www.youtube.com/watch?v="&amp;M1464,"▶"))</f>
        <v/>
      </c>
      <c r="B1464" s="39">
        <f>IF(C1464&lt;&gt;"",C1464,IF(P1464&lt;=IFERROR(INDEX(tblChannels[Watched Through],MATCH(N1464,tblChannels[Channel ID],0)),0),"Watched","Unwatched"))</f>
        <v/>
      </c>
      <c r="C1464" s="40" t="n"/>
      <c r="D1464" s="41" t="n"/>
      <c r="E1464" s="42" t="n">
        <v>44299.64722222222</v>
      </c>
      <c r="F1464" s="50" t="inlineStr">
        <is>
          <t>Super Carlin Brothers</t>
        </is>
      </c>
      <c r="G1464" t="inlineStr">
        <is>
          <t>The TRUTH About Polyjuice Potion | Harry Potter Theory</t>
        </is>
      </c>
      <c r="H1464" s="44" t="n">
        <v>0.01136574074074074</v>
      </c>
      <c r="I1464" s="45" t="n">
        <v>501573</v>
      </c>
      <c r="J1464" s="45" t="n">
        <v>17590</v>
      </c>
      <c r="K1464" s="45" t="n">
        <v>2748</v>
      </c>
      <c r="L1464" s="46" t="n"/>
      <c r="M1464" s="47" t="n"/>
      <c r="N1464" s="47" t="inlineStr">
        <is>
          <t>UCKZo4N0lVPccBkSiuyVh4yg</t>
        </is>
      </c>
      <c r="O1464" s="48" t="n">
        <v>44299.81388888889</v>
      </c>
      <c r="P1464" s="49" t="n">
        <v>44299</v>
      </c>
      <c r="Q1464" s="47" t="n">
        <v>1804</v>
      </c>
      <c r="R1464" s="47" t="inlineStr">
        <is>
          <t>No Video ID yet</t>
        </is>
      </c>
      <c r="S1464" s="49" t="n"/>
      <c r="T1464" s="49" t="n"/>
      <c r="U1464" s="47" t="inlineStr">
        <is>
          <t>Go to to get 3 extra months FREE! Today J dives into the Wizarding World of Harry Potter to reveal all the weird inner workings of Polyjuice Potion! Can you polyjuice a dead person? Could a child polyjuice into an adult? Shoud Pumpkin Juice be called Pumpkin SLUDGE?? GRIZZLY EAGLE SHARK SHIRTS ::</t>
        </is>
      </c>
      <c r="V1464" s="47">
        <f>IF(AND(P1464&gt;=Calendar!$K$2,P1464&lt;EDATE(Calendar!$K$2,1),OR(Calendar!$K$4="*",N1464=Calendar!$K$4)),P1464*100+COUNTIFS($P$6:$P$3267,P1464,$Q$6:$Q$3267,"&lt;="&amp;Q1464,$N$6:$N$3267,Calendar!$K$4),"")</f>
        <v/>
      </c>
      <c r="W1464" s="47">
        <f>IF(AND(B1464=Queue!$C$4,OR(Queue!$K$4="*",N1464=Queue!$K$4)),Q1464,"")</f>
        <v/>
      </c>
    </row>
    <row r="1465">
      <c r="A1465" s="38">
        <f>IF(M1465="","",HYPERLINK("https://www.youtube.com/watch?v="&amp;M1465,"▶"))</f>
        <v/>
      </c>
      <c r="B1465" s="39">
        <f>IF(C1465&lt;&gt;"",C1465,IF(P1465&lt;=IFERROR(INDEX(tblChannels[Watched Through],MATCH(N1465,tblChannels[Channel ID],0)),0),"Watched","Unwatched"))</f>
        <v/>
      </c>
      <c r="C1465" s="40" t="n"/>
      <c r="D1465" s="41" t="n"/>
      <c r="E1465" s="42" t="n">
        <v>44298.41666666666</v>
      </c>
      <c r="F1465" s="52" t="inlineStr">
        <is>
          <t>Super Carlin Gaming</t>
        </is>
      </c>
      <c r="G1465" t="inlineStr">
        <is>
          <t>Draccus is Fast Asleep.. |  Pokémon LeafGreen Randomizer Nuzlocke #6</t>
        </is>
      </c>
      <c r="H1465" s="44" t="n">
        <v>0.02702546296296296</v>
      </c>
      <c r="I1465" s="45" t="n">
        <v>33953</v>
      </c>
      <c r="J1465" s="45" t="n">
        <v>1378</v>
      </c>
      <c r="K1465" s="45" t="n">
        <v>475</v>
      </c>
      <c r="L1465" s="46" t="n"/>
      <c r="M1465" s="47" t="n"/>
      <c r="N1465" s="47" t="inlineStr">
        <is>
          <t>UCor_9jRnNNZVzTuQ92PKsaQ</t>
        </is>
      </c>
      <c r="O1465" s="48" t="n">
        <v>44298.58333333334</v>
      </c>
      <c r="P1465" s="49" t="n">
        <v>44298</v>
      </c>
      <c r="Q1465" s="47" t="n">
        <v>1803</v>
      </c>
      <c r="R1465" s="47" t="inlineStr">
        <is>
          <t>No Video ID yet</t>
        </is>
      </c>
      <c r="S1465" s="49" t="n"/>
      <c r="T1465" s="49" t="n"/>
      <c r="U1465" s="47" t="inlineStr">
        <is>
          <t>J and the team head to the SS Anne to try meet the Cut master but find a stinking Peach in the way... Will the entire team survive another rival fight??</t>
        </is>
      </c>
      <c r="V1465" s="47">
        <f>IF(AND(P1465&gt;=Calendar!$K$2,P1465&lt;EDATE(Calendar!$K$2,1),OR(Calendar!$K$4="*",N1465=Calendar!$K$4)),P1465*100+COUNTIFS($P$6:$P$3267,P1465,$Q$6:$Q$3267,"&lt;="&amp;Q1465,$N$6:$N$3267,Calendar!$K$4),"")</f>
        <v/>
      </c>
      <c r="W1465" s="47">
        <f>IF(AND(B1465=Queue!$C$4,OR(Queue!$K$4="*",N1465=Queue!$K$4)),Q1465,"")</f>
        <v/>
      </c>
    </row>
    <row r="1466">
      <c r="A1466" s="38">
        <f>IF(M1466="","",HYPERLINK("https://www.youtube.com/watch?v="&amp;M1466,"▶"))</f>
        <v/>
      </c>
      <c r="B1466" s="39">
        <f>IF(C1466&lt;&gt;"",C1466,IF(P1466&lt;=IFERROR(INDEX(tblChannels[Watched Through],MATCH(N1466,tblChannels[Channel ID],0)),0),"Watched","Unwatched"))</f>
        <v/>
      </c>
      <c r="C1466" s="40" t="n"/>
      <c r="D1466" s="41" t="n"/>
      <c r="E1466" s="42" t="n">
        <v>44295.41666666666</v>
      </c>
      <c r="F1466" s="50" t="inlineStr">
        <is>
          <t>Super Carlin Brothers</t>
        </is>
      </c>
      <c r="G1466" t="inlineStr">
        <is>
          <t>Ben Finds A SECRET Key! | Popcorn Culture</t>
        </is>
      </c>
      <c r="H1466" s="44" t="n">
        <v>0.0453125</v>
      </c>
      <c r="I1466" s="45" t="n">
        <v>24465</v>
      </c>
      <c r="J1466" s="45" t="n">
        <v>1071</v>
      </c>
      <c r="K1466" s="45" t="n">
        <v>151</v>
      </c>
      <c r="L1466" s="46" t="n"/>
      <c r="M1466" s="47" t="n"/>
      <c r="N1466" s="47" t="inlineStr">
        <is>
          <t>UCKZo4N0lVPccBkSiuyVh4yg</t>
        </is>
      </c>
      <c r="O1466" s="48" t="n">
        <v>44295.58333333334</v>
      </c>
      <c r="P1466" s="49" t="n">
        <v>44295</v>
      </c>
      <c r="Q1466" s="47" t="n">
        <v>1802</v>
      </c>
      <c r="R1466" s="47" t="inlineStr">
        <is>
          <t>No Video ID yet</t>
        </is>
      </c>
      <c r="S1466" s="49" t="n"/>
      <c r="T1466" s="49" t="n"/>
      <c r="U1466" s="47" t="inlineStr">
        <is>
          <t>In the 70th episode of Popcorn Culture, Ben and J discuss: knowing your own oddities, home improvement, The Berenstain Bears, secret rooms, overbuilt machines, hockey, and internal importance. Lath and Plaster: Ben’s Skeleton Key: Berenstain Bears:</t>
        </is>
      </c>
      <c r="V1466" s="47">
        <f>IF(AND(P1466&gt;=Calendar!$K$2,P1466&lt;EDATE(Calendar!$K$2,1),OR(Calendar!$K$4="*",N1466=Calendar!$K$4)),P1466*100+COUNTIFS($P$6:$P$3267,P1466,$Q$6:$Q$3267,"&lt;="&amp;Q1466,$N$6:$N$3267,Calendar!$K$4),"")</f>
        <v/>
      </c>
      <c r="W1466" s="47">
        <f>IF(AND(B1466=Queue!$C$4,OR(Queue!$K$4="*",N1466=Queue!$K$4)),Q1466,"")</f>
        <v/>
      </c>
    </row>
    <row r="1467">
      <c r="A1467" s="38">
        <f>IF(M1467="","",HYPERLINK("https://www.youtube.com/watch?v="&amp;M1467,"▶"))</f>
        <v/>
      </c>
      <c r="B1467" s="39">
        <f>IF(C1467&lt;&gt;"",C1467,IF(P1467&lt;=IFERROR(INDEX(tblChannels[Watched Through],MATCH(N1467,tblChannels[Channel ID],0)),0),"Watched","Unwatched"))</f>
        <v/>
      </c>
      <c r="C1467" s="40" t="n"/>
      <c r="D1467" s="41" t="n"/>
      <c r="E1467" s="42" t="n">
        <v>44295.25</v>
      </c>
      <c r="F1467" s="43" t="inlineStr">
        <is>
          <t>Popcorn Culture</t>
        </is>
      </c>
      <c r="G1467" t="inlineStr">
        <is>
          <t>70 - Best Thing Not Listed</t>
        </is>
      </c>
      <c r="H1467" s="44" t="n">
        <v>0.04346064814814815</v>
      </c>
      <c r="I1467" s="45" t="n">
        <v>1583</v>
      </c>
      <c r="J1467" s="45" t="n">
        <v>79</v>
      </c>
      <c r="K1467" s="45" t="n">
        <v>13</v>
      </c>
      <c r="L1467" s="46" t="n"/>
      <c r="M1467" s="47" t="n"/>
      <c r="N1467" s="47" t="inlineStr">
        <is>
          <t>UCHfIbq9thHPC8yrKjAdJgDA</t>
        </is>
      </c>
      <c r="O1467" s="48" t="n">
        <v>44295.41666666666</v>
      </c>
      <c r="P1467" s="49" t="n">
        <v>44295</v>
      </c>
      <c r="Q1467" s="47" t="n">
        <v>1801</v>
      </c>
      <c r="R1467" s="47" t="inlineStr">
        <is>
          <t>No Video ID yet</t>
        </is>
      </c>
      <c r="S1467" s="49" t="n"/>
      <c r="T1467" s="49" t="n"/>
      <c r="U1467" s="47" t="inlineStr">
        <is>
          <t>Ben and J discuss: knowing your own oddities, home improvement, The Berenstain Bears, secret rooms, overbuilt machines, hockey, and internal importance. Lath and Plaster: Ben’s Skeleton Key: Berenstain Bears:</t>
        </is>
      </c>
      <c r="V1467" s="47">
        <f>IF(AND(P1467&gt;=Calendar!$K$2,P1467&lt;EDATE(Calendar!$K$2,1),OR(Calendar!$K$4="*",N1467=Calendar!$K$4)),P1467*100+COUNTIFS($P$6:$P$3267,P1467,$Q$6:$Q$3267,"&lt;="&amp;Q1467,$N$6:$N$3267,Calendar!$K$4),"")</f>
        <v/>
      </c>
      <c r="W1467" s="47">
        <f>IF(AND(B1467=Queue!$C$4,OR(Queue!$K$4="*",N1467=Queue!$K$4)),Q1467,"")</f>
        <v/>
      </c>
    </row>
    <row r="1468">
      <c r="A1468" s="38">
        <f>IF(M1468="","",HYPERLINK("https://www.youtube.com/watch?v="&amp;M1468,"▶"))</f>
        <v/>
      </c>
      <c r="B1468" s="39">
        <f>IF(C1468&lt;&gt;"",C1468,IF(P1468&lt;=IFERROR(INDEX(tblChannels[Watched Through],MATCH(N1468,tblChannels[Channel ID],0)),0),"Watched","Unwatched"))</f>
        <v/>
      </c>
      <c r="C1468" s="40" t="n"/>
      <c r="D1468" s="41" t="n"/>
      <c r="E1468" s="42" t="n">
        <v>44294.67291666667</v>
      </c>
      <c r="F1468" s="50" t="inlineStr">
        <is>
          <t>Super Carlin Brothers</t>
        </is>
      </c>
      <c r="G1468" t="inlineStr">
        <is>
          <t>Harry Is DEATH | Harry Potter Theory</t>
        </is>
      </c>
      <c r="H1468" s="44" t="n">
        <v>0.009560185185185185</v>
      </c>
      <c r="I1468" s="45" t="n">
        <v>342669</v>
      </c>
      <c r="J1468" s="45" t="n">
        <v>14526</v>
      </c>
      <c r="K1468" s="45" t="n">
        <v>1582</v>
      </c>
      <c r="L1468" s="46" t="n"/>
      <c r="M1468" s="47" t="n"/>
      <c r="N1468" s="47" t="inlineStr">
        <is>
          <t>UCKZo4N0lVPccBkSiuyVh4yg</t>
        </is>
      </c>
      <c r="O1468" s="48" t="n">
        <v>44294.83958333333</v>
      </c>
      <c r="P1468" s="49" t="n">
        <v>44294</v>
      </c>
      <c r="Q1468" s="47" t="n">
        <v>1800</v>
      </c>
      <c r="R1468" s="47" t="inlineStr">
        <is>
          <t>No Video ID yet</t>
        </is>
      </c>
      <c r="S1468" s="49" t="n"/>
      <c r="T1468" s="49" t="n"/>
      <c r="U1468" s="47" t="inlineStr">
        <is>
          <t>Head on over to to get 10% off your first month of BetterHelp! Today Ben dives into the Wizarding World of Harry Potter to discuss if the Elder Wand operates under a Goblin system of ownership, and if that means Harry is actually DEATH!</t>
        </is>
      </c>
      <c r="V1468" s="47">
        <f>IF(AND(P1468&gt;=Calendar!$K$2,P1468&lt;EDATE(Calendar!$K$2,1),OR(Calendar!$K$4="*",N1468=Calendar!$K$4)),P1468*100+COUNTIFS($P$6:$P$3267,P1468,$Q$6:$Q$3267,"&lt;="&amp;Q1468,$N$6:$N$3267,Calendar!$K$4),"")</f>
        <v/>
      </c>
      <c r="W1468" s="47">
        <f>IF(AND(B1468=Queue!$C$4,OR(Queue!$K$4="*",N1468=Queue!$K$4)),Q1468,"")</f>
        <v/>
      </c>
    </row>
    <row r="1469">
      <c r="A1469" s="38">
        <f>IF(M1469="","",HYPERLINK("https://www.youtube.com/watch?v="&amp;M1469,"▶"))</f>
        <v/>
      </c>
      <c r="B1469" s="39">
        <f>IF(C1469&lt;&gt;"",C1469,IF(P1469&lt;=IFERROR(INDEX(tblChannels[Watched Through],MATCH(N1469,tblChannels[Channel ID],0)),0),"Watched","Unwatched"))</f>
        <v/>
      </c>
      <c r="C1469" s="40" t="n"/>
      <c r="D1469" s="41" t="n"/>
      <c r="E1469" s="42" t="n">
        <v>44293.41666666666</v>
      </c>
      <c r="F1469" s="52" t="inlineStr">
        <is>
          <t>Super Carlin Gaming</t>
        </is>
      </c>
      <c r="G1469" t="inlineStr">
        <is>
          <t>Why Can't We Have Nice Things?! |  Pokémon LeafGreen Randomizer Nuzlocke #5</t>
        </is>
      </c>
      <c r="H1469" s="44" t="n">
        <v>0.02642361111111111</v>
      </c>
      <c r="I1469" s="45" t="n">
        <v>37451</v>
      </c>
      <c r="J1469" s="45" t="n">
        <v>1655</v>
      </c>
      <c r="K1469" s="45" t="n">
        <v>745</v>
      </c>
      <c r="L1469" s="46" t="n"/>
      <c r="M1469" s="47" t="n"/>
      <c r="N1469" s="47" t="inlineStr">
        <is>
          <t>UCor_9jRnNNZVzTuQ92PKsaQ</t>
        </is>
      </c>
      <c r="O1469" s="48" t="n">
        <v>44293.58333333334</v>
      </c>
      <c r="P1469" s="49" t="n">
        <v>44293</v>
      </c>
      <c r="Q1469" s="47" t="n">
        <v>1799</v>
      </c>
      <c r="R1469" s="47" t="inlineStr">
        <is>
          <t>No Video ID yet</t>
        </is>
      </c>
      <c r="S1469" s="49" t="n"/>
      <c r="T1469" s="49" t="n"/>
      <c r="U1469" s="47" t="inlineStr">
        <is>
          <t>J, Happy, Sporkles and the team continue to grow as a team as they fight their way through a long series of trainers and attempt to catch new pokemon Edited by: Riley Murtagh</t>
        </is>
      </c>
      <c r="V1469" s="47">
        <f>IF(AND(P1469&gt;=Calendar!$K$2,P1469&lt;EDATE(Calendar!$K$2,1),OR(Calendar!$K$4="*",N1469=Calendar!$K$4)),P1469*100+COUNTIFS($P$6:$P$3267,P1469,$Q$6:$Q$3267,"&lt;="&amp;Q1469,$N$6:$N$3267,Calendar!$K$4),"")</f>
        <v/>
      </c>
      <c r="W1469" s="47">
        <f>IF(AND(B1469=Queue!$C$4,OR(Queue!$K$4="*",N1469=Queue!$K$4)),Q1469,"")</f>
        <v/>
      </c>
    </row>
    <row r="1470">
      <c r="A1470" s="38">
        <f>IF(M1470="","",HYPERLINK("https://www.youtube.com/watch?v="&amp;M1470,"▶"))</f>
        <v/>
      </c>
      <c r="B1470" s="39">
        <f>IF(C1470&lt;&gt;"",C1470,IF(P1470&lt;=IFERROR(INDEX(tblChannels[Watched Through],MATCH(N1470,tblChannels[Channel ID],0)),0),"Watched","Unwatched"))</f>
        <v/>
      </c>
      <c r="C1470" s="40" t="n"/>
      <c r="D1470" s="41" t="n"/>
      <c r="E1470" s="42" t="n">
        <v>44292.69791666666</v>
      </c>
      <c r="F1470" s="50" t="inlineStr">
        <is>
          <t>Super Carlin Brothers</t>
        </is>
      </c>
      <c r="G1470" t="inlineStr">
        <is>
          <t>The TRUTH About Sokka's Space Sword | Avatar the Last Airbender Theory</t>
        </is>
      </c>
      <c r="H1470" s="44" t="n">
        <v>0.01038194444444444</v>
      </c>
      <c r="I1470" s="45" t="n">
        <v>389039</v>
      </c>
      <c r="J1470" s="45" t="n">
        <v>17446</v>
      </c>
      <c r="K1470" s="45" t="n">
        <v>1149</v>
      </c>
      <c r="L1470" s="46" t="n"/>
      <c r="M1470" s="47" t="n"/>
      <c r="N1470" s="47" t="inlineStr">
        <is>
          <t>UCKZo4N0lVPccBkSiuyVh4yg</t>
        </is>
      </c>
      <c r="O1470" s="48" t="n">
        <v>44292.86458333334</v>
      </c>
      <c r="P1470" s="49" t="n">
        <v>44292</v>
      </c>
      <c r="Q1470" s="47" t="n">
        <v>1798</v>
      </c>
      <c r="R1470" s="47" t="inlineStr">
        <is>
          <t>No Video ID yet</t>
        </is>
      </c>
      <c r="S1470" s="49" t="n"/>
      <c r="T1470" s="49" t="n"/>
      <c r="U1470" s="47" t="inlineStr">
        <is>
          <t>Go to and use code SCB to save $75 on your starter kit! Today J dives into the world of Avatar the Last Airbender to discuss the CRAZY and heartbreaking history behind Sokka’s SPACE SWORD, the meteorite that forged it Robert Peary’s real life race to the North Pole and what it cost the Inughuit people. Grizzly Eagle Shark Shirt :: Sources: Cape York Meteorite: Minik and the Metero: Caught in the Middle: The Tragic Life of Minik Wallace: The Cape York Meteorite Making an Impact on Greenland: The Prize of the Pole: THE CULTURAL HISTORY OF THE INNAANGANEQ/ CAPE YORK METEORITE: #SuperCarlinBrothers #atla #AvatarTheLastAirbender</t>
        </is>
      </c>
      <c r="V1470" s="47">
        <f>IF(AND(P1470&gt;=Calendar!$K$2,P1470&lt;EDATE(Calendar!$K$2,1),OR(Calendar!$K$4="*",N1470=Calendar!$K$4)),P1470*100+COUNTIFS($P$6:$P$3267,P1470,$Q$6:$Q$3267,"&lt;="&amp;Q1470,$N$6:$N$3267,Calendar!$K$4),"")</f>
        <v/>
      </c>
      <c r="W1470" s="47">
        <f>IF(AND(B1470=Queue!$C$4,OR(Queue!$K$4="*",N1470=Queue!$K$4)),Q1470,"")</f>
        <v/>
      </c>
    </row>
    <row r="1471">
      <c r="A1471" s="38">
        <f>IF(M1471="","",HYPERLINK("https://www.youtube.com/watch?v="&amp;M1471,"▶"))</f>
        <v/>
      </c>
      <c r="B1471" s="39">
        <f>IF(C1471&lt;&gt;"",C1471,IF(P1471&lt;=IFERROR(INDEX(tblChannels[Watched Through],MATCH(N1471,tblChannels[Channel ID],0)),0),"Watched","Unwatched"))</f>
        <v/>
      </c>
      <c r="C1471" s="40" t="n"/>
      <c r="D1471" s="41" t="n"/>
      <c r="E1471" s="42" t="n">
        <v>44291.41666666666</v>
      </c>
      <c r="F1471" s="52" t="inlineStr">
        <is>
          <t>Super Carlin Gaming</t>
        </is>
      </c>
      <c r="G1471" t="inlineStr">
        <is>
          <t>The Battle with Misty! | Pokémon LeafGreen Randomizer Nuzlocke #4</t>
        </is>
      </c>
      <c r="H1471" s="44" t="n">
        <v>0.02712962962962963</v>
      </c>
      <c r="I1471" s="45" t="n">
        <v>39869</v>
      </c>
      <c r="J1471" s="45" t="n">
        <v>1878</v>
      </c>
      <c r="K1471" s="45" t="n">
        <v>679</v>
      </c>
      <c r="L1471" s="46" t="n"/>
      <c r="M1471" s="47" t="n"/>
      <c r="N1471" s="47" t="inlineStr">
        <is>
          <t>UCor_9jRnNNZVzTuQ92PKsaQ</t>
        </is>
      </c>
      <c r="O1471" s="48" t="n">
        <v>44291.58333333334</v>
      </c>
      <c r="P1471" s="49" t="n">
        <v>44291</v>
      </c>
      <c r="Q1471" s="47" t="n">
        <v>1797</v>
      </c>
      <c r="R1471" s="47" t="inlineStr">
        <is>
          <t>No Video ID yet</t>
        </is>
      </c>
      <c r="S1471" s="49" t="n"/>
      <c r="T1471" s="49" t="n"/>
      <c r="U1471" s="47" t="inlineStr">
        <is>
          <t>Today J, Happy, Sporkles, Draccus and Moiran take on their hated rival: PEACHES, tackle Nugget Bridge and head into their 2nd Gym Battle with Misty! Will everyone survive these daunting encounters and what type of gym leader will Misty be??</t>
        </is>
      </c>
      <c r="V1471" s="47">
        <f>IF(AND(P1471&gt;=Calendar!$K$2,P1471&lt;EDATE(Calendar!$K$2,1),OR(Calendar!$K$4="*",N1471=Calendar!$K$4)),P1471*100+COUNTIFS($P$6:$P$3267,P1471,$Q$6:$Q$3267,"&lt;="&amp;Q1471,$N$6:$N$3267,Calendar!$K$4),"")</f>
        <v/>
      </c>
      <c r="W1471" s="47">
        <f>IF(AND(B1471=Queue!$C$4,OR(Queue!$K$4="*",N1471=Queue!$K$4)),Q1471,"")</f>
        <v/>
      </c>
    </row>
    <row r="1472">
      <c r="A1472" s="38">
        <f>IF(M1472="","",HYPERLINK("https://www.youtube.com/watch?v="&amp;M1472,"▶"))</f>
        <v/>
      </c>
      <c r="B1472" s="39">
        <f>IF(C1472&lt;&gt;"",C1472,IF(P1472&lt;=IFERROR(INDEX(tblChannels[Watched Through],MATCH(N1472,tblChannels[Channel ID],0)),0),"Watched","Unwatched"))</f>
        <v/>
      </c>
      <c r="C1472" s="40" t="n"/>
      <c r="D1472" s="41" t="n"/>
      <c r="E1472" s="42" t="n">
        <v>44288.44791666666</v>
      </c>
      <c r="F1472" s="50" t="inlineStr">
        <is>
          <t>Super Carlin Brothers</t>
        </is>
      </c>
      <c r="G1472" t="inlineStr">
        <is>
          <t>The First Annual Strawberry Film Festival &amp; Spirit Bears | Popcorn Culture</t>
        </is>
      </c>
      <c r="H1472" s="44" t="n">
        <v>0.04229166666666666</v>
      </c>
      <c r="I1472" s="45" t="n">
        <v>21607</v>
      </c>
      <c r="J1472" s="45" t="n">
        <v>916</v>
      </c>
      <c r="K1472" s="45" t="n">
        <v>161</v>
      </c>
      <c r="L1472" s="46" t="n"/>
      <c r="M1472" s="47" t="n"/>
      <c r="N1472" s="47" t="inlineStr">
        <is>
          <t>UCKZo4N0lVPccBkSiuyVh4yg</t>
        </is>
      </c>
      <c r="O1472" s="48" t="n">
        <v>44288.61458333334</v>
      </c>
      <c r="P1472" s="49" t="n">
        <v>44288</v>
      </c>
      <c r="Q1472" s="47" t="n">
        <v>1796</v>
      </c>
      <c r="R1472" s="47" t="inlineStr">
        <is>
          <t>No Video ID yet</t>
        </is>
      </c>
      <c r="S1472" s="49" t="n"/>
      <c r="T1472" s="49" t="n"/>
      <c r="U1472" s="47" t="inlineStr">
        <is>
          <t>In the 69th episode of Popcorn Culture, Ben and J discuss: emcees and deejays, Christmas Music, millennial retirement, the Arizona Coyotes, spirit bears, retelling stories, SCB office-isms, cosplay vs costumes, and the First Annual Strawberry Film Festival Don’t forget your bingo card: Emcee: Deejay:</t>
        </is>
      </c>
      <c r="V1472" s="47">
        <f>IF(AND(P1472&gt;=Calendar!$K$2,P1472&lt;EDATE(Calendar!$K$2,1),OR(Calendar!$K$4="*",N1472=Calendar!$K$4)),P1472*100+COUNTIFS($P$6:$P$3267,P1472,$Q$6:$Q$3267,"&lt;="&amp;Q1472,$N$6:$N$3267,Calendar!$K$4),"")</f>
        <v/>
      </c>
      <c r="W1472" s="47">
        <f>IF(AND(B1472=Queue!$C$4,OR(Queue!$K$4="*",N1472=Queue!$K$4)),Q1472,"")</f>
        <v/>
      </c>
    </row>
    <row r="1473">
      <c r="A1473" s="38">
        <f>IF(M1473="","",HYPERLINK("https://www.youtube.com/watch?v="&amp;M1473,"▶"))</f>
        <v/>
      </c>
      <c r="B1473" s="39">
        <f>IF(C1473&lt;&gt;"",C1473,IF(P1473&lt;=IFERROR(INDEX(tblChannels[Watched Through],MATCH(N1473,tblChannels[Channel ID],0)),0),"Watched","Unwatched"))</f>
        <v/>
      </c>
      <c r="C1473" s="40" t="n"/>
      <c r="D1473" s="41" t="n"/>
      <c r="E1473" s="42" t="n">
        <v>44288.25</v>
      </c>
      <c r="F1473" s="43" t="inlineStr">
        <is>
          <t>Popcorn Culture</t>
        </is>
      </c>
      <c r="G1473" t="inlineStr">
        <is>
          <t>69 - The First Annual</t>
        </is>
      </c>
      <c r="H1473" s="44" t="n">
        <v>0.04069444444444444</v>
      </c>
      <c r="I1473" s="45" t="n">
        <v>1373</v>
      </c>
      <c r="J1473" s="45" t="n">
        <v>62</v>
      </c>
      <c r="K1473" s="45" t="n">
        <v>12</v>
      </c>
      <c r="L1473" s="46" t="n"/>
      <c r="M1473" s="47" t="n"/>
      <c r="N1473" s="47" t="inlineStr">
        <is>
          <t>UCHfIbq9thHPC8yrKjAdJgDA</t>
        </is>
      </c>
      <c r="O1473" s="48" t="n">
        <v>44288.41666666666</v>
      </c>
      <c r="P1473" s="49" t="n">
        <v>44288</v>
      </c>
      <c r="Q1473" s="47" t="n">
        <v>1795</v>
      </c>
      <c r="R1473" s="47" t="inlineStr">
        <is>
          <t>No Video ID yet</t>
        </is>
      </c>
      <c r="S1473" s="49" t="n"/>
      <c r="T1473" s="49" t="n"/>
      <c r="U1473" s="47" t="inlineStr">
        <is>
          <t>Ben and J discuss: emcees and deejays, Christmas Music, millennial retirement, the Arizona Coyotes, spirit bears, retelling stories, SCB office-isms, and cosplay vs costumes. Emcee: Deejay:</t>
        </is>
      </c>
      <c r="V1473" s="47">
        <f>IF(AND(P1473&gt;=Calendar!$K$2,P1473&lt;EDATE(Calendar!$K$2,1),OR(Calendar!$K$4="*",N1473=Calendar!$K$4)),P1473*100+COUNTIFS($P$6:$P$3267,P1473,$Q$6:$Q$3267,"&lt;="&amp;Q1473,$N$6:$N$3267,Calendar!$K$4),"")</f>
        <v/>
      </c>
      <c r="W1473" s="47">
        <f>IF(AND(B1473=Queue!$C$4,OR(Queue!$K$4="*",N1473=Queue!$K$4)),Q1473,"")</f>
        <v/>
      </c>
    </row>
    <row r="1474">
      <c r="A1474" s="38">
        <f>IF(M1474="","",HYPERLINK("https://www.youtube.com/watch?v="&amp;M1474,"▶"))</f>
        <v/>
      </c>
      <c r="B1474" s="39">
        <f>IF(C1474&lt;&gt;"",C1474,IF(P1474&lt;=IFERROR(INDEX(tblChannels[Watched Through],MATCH(N1474,tblChannels[Channel ID],0)),0),"Watched","Unwatched"))</f>
        <v/>
      </c>
      <c r="C1474" s="40" t="n"/>
      <c r="D1474" s="41" t="n"/>
      <c r="E1474" s="42" t="n">
        <v>44287.69861111111</v>
      </c>
      <c r="F1474" s="50" t="inlineStr">
        <is>
          <t>Super Carlin Brothers</t>
        </is>
      </c>
      <c r="G1474" t="inlineStr">
        <is>
          <t>J vs Ben: HARDEST Harry Potter Magical Objects Trivia Quiz</t>
        </is>
      </c>
      <c r="H1474" s="44" t="n">
        <v>0.01768518518518519</v>
      </c>
      <c r="I1474" s="45" t="n">
        <v>386852</v>
      </c>
      <c r="J1474" s="45" t="n">
        <v>12435</v>
      </c>
      <c r="K1474" s="45" t="n">
        <v>1336</v>
      </c>
      <c r="L1474" s="46" t="n"/>
      <c r="M1474" s="47" t="n"/>
      <c r="N1474" s="47" t="inlineStr">
        <is>
          <t>UCKZo4N0lVPccBkSiuyVh4yg</t>
        </is>
      </c>
      <c r="O1474" s="48" t="n">
        <v>44287.86527777778</v>
      </c>
      <c r="P1474" s="49" t="n">
        <v>44287</v>
      </c>
      <c r="Q1474" s="47" t="n">
        <v>1794</v>
      </c>
      <c r="R1474" s="47" t="inlineStr">
        <is>
          <t>No Video ID yet</t>
        </is>
      </c>
      <c r="S1474" s="49" t="n"/>
      <c r="T1474" s="49" t="n"/>
      <c r="U1474" s="47" t="inlineStr">
        <is>
          <t>Download the DoorDash app in the App Store and enter code JVSB2021 to get 25% off and zero delivery fees on your first order! Head on over to to get Honey absolutely free! Today J and Ben face off once more to determine who knows the most about the wide array of Magical Objects in the Wizarding World of Harry Potter! #SuperCarlinBrothers #JvsBen #HarryPotter</t>
        </is>
      </c>
      <c r="V1474" s="47">
        <f>IF(AND(P1474&gt;=Calendar!$K$2,P1474&lt;EDATE(Calendar!$K$2,1),OR(Calendar!$K$4="*",N1474=Calendar!$K$4)),P1474*100+COUNTIFS($P$6:$P$3267,P1474,$Q$6:$Q$3267,"&lt;="&amp;Q1474,$N$6:$N$3267,Calendar!$K$4),"")</f>
        <v/>
      </c>
      <c r="W1474" s="47">
        <f>IF(AND(B1474=Queue!$C$4,OR(Queue!$K$4="*",N1474=Queue!$K$4)),Q1474,"")</f>
        <v/>
      </c>
    </row>
    <row r="1475">
      <c r="A1475" s="38">
        <f>IF(M1475="","",HYPERLINK("https://www.youtube.com/watch?v="&amp;M1475,"▶"))</f>
        <v/>
      </c>
      <c r="B1475" s="39">
        <f>IF(C1475&lt;&gt;"",C1475,IF(P1475&lt;=IFERROR(INDEX(tblChannels[Watched Through],MATCH(N1475,tblChannels[Channel ID],0)),0),"Watched","Unwatched"))</f>
        <v/>
      </c>
      <c r="C1475" s="40" t="n"/>
      <c r="D1475" s="41" t="n"/>
      <c r="E1475" s="42" t="n">
        <v>44286.41666666666</v>
      </c>
      <c r="F1475" s="52" t="inlineStr">
        <is>
          <t>Super Carlin Gaming</t>
        </is>
      </c>
      <c r="G1475" t="inlineStr">
        <is>
          <t>Enter the Dragon...  | Pokémon LeafGreen Randomizer Nuzlocke #3</t>
        </is>
      </c>
      <c r="H1475" s="44" t="n">
        <v>0.03027777777777778</v>
      </c>
      <c r="I1475" s="45" t="n">
        <v>45416</v>
      </c>
      <c r="J1475" s="45" t="n">
        <v>1956</v>
      </c>
      <c r="K1475" s="45" t="n">
        <v>857</v>
      </c>
      <c r="L1475" s="46" t="n"/>
      <c r="M1475" s="47" t="n"/>
      <c r="N1475" s="47" t="inlineStr">
        <is>
          <t>UCor_9jRnNNZVzTuQ92PKsaQ</t>
        </is>
      </c>
      <c r="O1475" s="48" t="n">
        <v>44286.58333333334</v>
      </c>
      <c r="P1475" s="49" t="n">
        <v>44286</v>
      </c>
      <c r="Q1475" s="47" t="n">
        <v>1793</v>
      </c>
      <c r="R1475" s="47" t="inlineStr">
        <is>
          <t>No Video ID yet</t>
        </is>
      </c>
      <c r="S1475" s="49" t="n"/>
      <c r="T1475" s="49" t="n"/>
      <c r="U1475" s="47" t="inlineStr">
        <is>
          <t>Today J Happy and Sporkle head into Mt. Moon, start building out their team and prepare for the 2nd gym battle! Edited by: Riley Murtagh</t>
        </is>
      </c>
      <c r="V1475" s="47">
        <f>IF(AND(P1475&gt;=Calendar!$K$2,P1475&lt;EDATE(Calendar!$K$2,1),OR(Calendar!$K$4="*",N1475=Calendar!$K$4)),P1475*100+COUNTIFS($P$6:$P$3267,P1475,$Q$6:$Q$3267,"&lt;="&amp;Q1475,$N$6:$N$3267,Calendar!$K$4),"")</f>
        <v/>
      </c>
      <c r="W1475" s="47">
        <f>IF(AND(B1475=Queue!$C$4,OR(Queue!$K$4="*",N1475=Queue!$K$4)),Q1475,"")</f>
        <v/>
      </c>
    </row>
    <row r="1476">
      <c r="A1476" s="38">
        <f>IF(M1476="","",HYPERLINK("https://www.youtube.com/watch?v="&amp;M1476,"▶"))</f>
        <v/>
      </c>
      <c r="B1476" s="39">
        <f>IF(C1476&lt;&gt;"",C1476,IF(P1476&lt;=IFERROR(INDEX(tblChannels[Watched Through],MATCH(N1476,tblChannels[Channel ID],0)),0),"Watched","Unwatched"))</f>
        <v/>
      </c>
      <c r="C1476" s="40" t="n"/>
      <c r="D1476" s="41" t="n"/>
      <c r="E1476" s="42" t="n">
        <v>44285.625</v>
      </c>
      <c r="F1476" s="50" t="inlineStr">
        <is>
          <t>Super Carlin Brothers</t>
        </is>
      </c>
      <c r="G1476" t="inlineStr">
        <is>
          <t>Could A Muggle Be Master Of The Elder Wand? | Harry Potter Theory</t>
        </is>
      </c>
      <c r="H1476" s="44" t="n">
        <v>0.009062499999999999</v>
      </c>
      <c r="I1476" s="45" t="n">
        <v>265255</v>
      </c>
      <c r="J1476" s="45" t="n">
        <v>12085</v>
      </c>
      <c r="K1476" s="45" t="n">
        <v>1675</v>
      </c>
      <c r="L1476" s="46" t="n"/>
      <c r="M1476" s="47" t="n"/>
      <c r="N1476" s="47" t="inlineStr">
        <is>
          <t>UCKZo4N0lVPccBkSiuyVh4yg</t>
        </is>
      </c>
      <c r="O1476" s="48" t="n">
        <v>44285.79166666666</v>
      </c>
      <c r="P1476" s="49" t="n">
        <v>44285</v>
      </c>
      <c r="Q1476" s="47" t="n">
        <v>1792</v>
      </c>
      <c r="R1476" s="47" t="inlineStr">
        <is>
          <t>No Video ID yet</t>
        </is>
      </c>
      <c r="S1476" s="49" t="n"/>
      <c r="T1476" s="49" t="n"/>
      <c r="U1476" s="47" t="inlineStr">
        <is>
          <t>Go to or text ‘SUPERCARLIN’ to 500-500! Today J dives into the Wizarding World of Harry Potter to determine if a muggle could actually be the Master of the Elder Wand! Edited by: Riley Murtagh</t>
        </is>
      </c>
      <c r="V1476" s="47">
        <f>IF(AND(P1476&gt;=Calendar!$K$2,P1476&lt;EDATE(Calendar!$K$2,1),OR(Calendar!$K$4="*",N1476=Calendar!$K$4)),P1476*100+COUNTIFS($P$6:$P$3267,P1476,$Q$6:$Q$3267,"&lt;="&amp;Q1476,$N$6:$N$3267,Calendar!$K$4),"")</f>
        <v/>
      </c>
      <c r="W1476" s="47">
        <f>IF(AND(B1476=Queue!$C$4,OR(Queue!$K$4="*",N1476=Queue!$K$4)),Q1476,"")</f>
        <v/>
      </c>
    </row>
    <row r="1477">
      <c r="A1477" s="38">
        <f>IF(M1477="","",HYPERLINK("https://www.youtube.com/watch?v="&amp;M1477,"▶"))</f>
        <v/>
      </c>
      <c r="B1477" s="39">
        <f>IF(C1477&lt;&gt;"",C1477,IF(P1477&lt;=IFERROR(INDEX(tblChannels[Watched Through],MATCH(N1477,tblChannels[Channel ID],0)),0),"Watched","Unwatched"))</f>
        <v/>
      </c>
      <c r="C1477" s="40" t="n"/>
      <c r="D1477" s="41" t="n"/>
      <c r="E1477" s="42" t="n">
        <v>44284.41666666666</v>
      </c>
      <c r="F1477" s="52" t="inlineStr">
        <is>
          <t>Super Carlin Gaming</t>
        </is>
      </c>
      <c r="G1477" t="inlineStr">
        <is>
          <t>THE FIRST GYM |  Pokémon LeafGreen Randomizer Nuzlocke #2</t>
        </is>
      </c>
      <c r="H1477" s="44" t="n">
        <v>0.01864583333333333</v>
      </c>
      <c r="I1477" s="45" t="n">
        <v>40006</v>
      </c>
      <c r="J1477" s="45" t="n">
        <v>2225</v>
      </c>
      <c r="K1477" s="45" t="n">
        <v>785</v>
      </c>
      <c r="L1477" s="46" t="n"/>
      <c r="M1477" s="47" t="n"/>
      <c r="N1477" s="47" t="inlineStr">
        <is>
          <t>UCor_9jRnNNZVzTuQ92PKsaQ</t>
        </is>
      </c>
      <c r="O1477" s="48" t="n">
        <v>44284.58333333334</v>
      </c>
      <c r="P1477" s="49" t="n">
        <v>44284</v>
      </c>
      <c r="Q1477" s="47" t="n">
        <v>1791</v>
      </c>
      <c r="R1477" s="47" t="inlineStr">
        <is>
          <t>No Video ID yet</t>
        </is>
      </c>
      <c r="S1477" s="49" t="n"/>
      <c r="T1477" s="49" t="n"/>
      <c r="U1477" s="47" t="inlineStr">
        <is>
          <t>J, Happy and LIVID train up to take on Brock and his new randomly assigned type! What will it be will J ever catch another new team member?? Edited by: Riley Murtagh</t>
        </is>
      </c>
      <c r="V1477" s="47">
        <f>IF(AND(P1477&gt;=Calendar!$K$2,P1477&lt;EDATE(Calendar!$K$2,1),OR(Calendar!$K$4="*",N1477=Calendar!$K$4)),P1477*100+COUNTIFS($P$6:$P$3267,P1477,$Q$6:$Q$3267,"&lt;="&amp;Q1477,$N$6:$N$3267,Calendar!$K$4),"")</f>
        <v/>
      </c>
      <c r="W1477" s="47">
        <f>IF(AND(B1477=Queue!$C$4,OR(Queue!$K$4="*",N1477=Queue!$K$4)),Q1477,"")</f>
        <v/>
      </c>
    </row>
    <row r="1478">
      <c r="A1478" s="38">
        <f>IF(M1478="","",HYPERLINK("https://www.youtube.com/watch?v="&amp;M1478,"▶"))</f>
        <v/>
      </c>
      <c r="B1478" s="39">
        <f>IF(C1478&lt;&gt;"",C1478,IF(P1478&lt;=IFERROR(INDEX(tblChannels[Watched Through],MATCH(N1478,tblChannels[Channel ID],0)),0),"Watched","Unwatched"))</f>
        <v/>
      </c>
      <c r="C1478" s="40" t="n"/>
      <c r="D1478" s="41" t="n"/>
      <c r="E1478" s="42" t="n">
        <v>44281.72569444445</v>
      </c>
      <c r="F1478" s="52" t="inlineStr">
        <is>
          <t>Super Carlin Gaming</t>
        </is>
      </c>
      <c r="G1478" t="inlineStr">
        <is>
          <t>Unboxing Pokemon Card Booster Boxes!</t>
        </is>
      </c>
      <c r="H1478" s="44" t="n">
        <v>0.09672453703703704</v>
      </c>
      <c r="I1478" s="45" t="n">
        <v>12507</v>
      </c>
      <c r="J1478" s="45" t="n">
        <v>397</v>
      </c>
      <c r="K1478" s="45" t="n">
        <v>41</v>
      </c>
      <c r="L1478" s="46" t="n"/>
      <c r="M1478" s="47" t="n"/>
      <c r="N1478" s="47" t="inlineStr">
        <is>
          <t>UCor_9jRnNNZVzTuQ92PKsaQ</t>
        </is>
      </c>
      <c r="O1478" s="48" t="n">
        <v>44281.89236111111</v>
      </c>
      <c r="P1478" s="49" t="n">
        <v>44281</v>
      </c>
      <c r="Q1478" s="47" t="n">
        <v>1790</v>
      </c>
      <c r="R1478" s="47" t="inlineStr">
        <is>
          <t>No Video ID yet</t>
        </is>
      </c>
      <c r="S1478" s="49" t="n"/>
      <c r="T1478" s="49" t="n"/>
      <c r="U1478" s="47" t="inlineStr">
        <is>
          <t>Ben got J 10 boxes of Battle Styles Pokemon cards so today the bros are unboxing them and just hanging out!</t>
        </is>
      </c>
      <c r="V1478" s="47">
        <f>IF(AND(P1478&gt;=Calendar!$K$2,P1478&lt;EDATE(Calendar!$K$2,1),OR(Calendar!$K$4="*",N1478=Calendar!$K$4)),P1478*100+COUNTIFS($P$6:$P$3267,P1478,$Q$6:$Q$3267,"&lt;="&amp;Q1478,$N$6:$N$3267,Calendar!$K$4),"")</f>
        <v/>
      </c>
      <c r="W1478" s="47">
        <f>IF(AND(B1478=Queue!$C$4,OR(Queue!$K$4="*",N1478=Queue!$K$4)),Q1478,"")</f>
        <v/>
      </c>
    </row>
    <row r="1479">
      <c r="A1479" s="38">
        <f>IF(M1479="","",HYPERLINK("https://www.youtube.com/watch?v="&amp;M1479,"▶"))</f>
        <v/>
      </c>
      <c r="B1479" s="39">
        <f>IF(C1479&lt;&gt;"",C1479,IF(P1479&lt;=IFERROR(INDEX(tblChannels[Watched Through],MATCH(N1479,tblChannels[Channel ID],0)),0),"Watched","Unwatched"))</f>
        <v/>
      </c>
      <c r="C1479" s="40" t="n"/>
      <c r="D1479" s="41" t="n"/>
      <c r="E1479" s="42" t="n">
        <v>44281.44791666666</v>
      </c>
      <c r="F1479" s="50" t="inlineStr">
        <is>
          <t>Super Carlin Brothers</t>
        </is>
      </c>
      <c r="G1479" t="inlineStr">
        <is>
          <t>The Hobby Phenomanon | Popcorn Culture</t>
        </is>
      </c>
      <c r="H1479" s="44" t="n">
        <v>0.04590277777777778</v>
      </c>
      <c r="I1479" s="45" t="n">
        <v>29532</v>
      </c>
      <c r="J1479" s="45" t="n">
        <v>1217</v>
      </c>
      <c r="K1479" s="45" t="n">
        <v>173</v>
      </c>
      <c r="L1479" s="46" t="n"/>
      <c r="M1479" s="47" t="n"/>
      <c r="N1479" s="47" t="inlineStr">
        <is>
          <t>UCKZo4N0lVPccBkSiuyVh4yg</t>
        </is>
      </c>
      <c r="O1479" s="48" t="n">
        <v>44281.61458333334</v>
      </c>
      <c r="P1479" s="49" t="n">
        <v>44281</v>
      </c>
      <c r="Q1479" s="47" t="n">
        <v>1789</v>
      </c>
      <c r="R1479" s="47" t="inlineStr">
        <is>
          <t>No Video ID yet</t>
        </is>
      </c>
      <c r="S1479" s="49" t="n"/>
      <c r="T1479" s="49" t="n"/>
      <c r="U1479" s="47" t="inlineStr">
        <is>
          <t>Ben and J discuss: Disney Socks, Professional “Wrestling”, misspellings, Pokemon cards, finding friends from before social media, Diablo 2 again, billion dollar ideas, cell phones, and Mars. Get your Popcast Bingo Card: Is there other intelligent life: Get your own Fred the Cup:</t>
        </is>
      </c>
      <c r="V1479" s="47">
        <f>IF(AND(P1479&gt;=Calendar!$K$2,P1479&lt;EDATE(Calendar!$K$2,1),OR(Calendar!$K$4="*",N1479=Calendar!$K$4)),P1479*100+COUNTIFS($P$6:$P$3267,P1479,$Q$6:$Q$3267,"&lt;="&amp;Q1479,$N$6:$N$3267,Calendar!$K$4),"")</f>
        <v/>
      </c>
      <c r="W1479" s="47">
        <f>IF(AND(B1479=Queue!$C$4,OR(Queue!$K$4="*",N1479=Queue!$K$4)),Q1479,"")</f>
        <v/>
      </c>
    </row>
    <row r="1480">
      <c r="A1480" s="38">
        <f>IF(M1480="","",HYPERLINK("https://www.youtube.com/watch?v="&amp;M1480,"▶"))</f>
        <v/>
      </c>
      <c r="B1480" s="39">
        <f>IF(C1480&lt;&gt;"",C1480,IF(P1480&lt;=IFERROR(INDEX(tblChannels[Watched Through],MATCH(N1480,tblChannels[Channel ID],0)),0),"Watched","Unwatched"))</f>
        <v/>
      </c>
      <c r="C1480" s="40" t="n"/>
      <c r="D1480" s="41" t="n"/>
      <c r="E1480" s="42" t="n">
        <v>44281.25</v>
      </c>
      <c r="F1480" s="43" t="inlineStr">
        <is>
          <t>Popcorn Culture</t>
        </is>
      </c>
      <c r="G1480" t="inlineStr">
        <is>
          <t>68 - The Hobby Phenomanon</t>
        </is>
      </c>
      <c r="H1480" s="44" t="n">
        <v>0.04472222222222222</v>
      </c>
      <c r="I1480" s="45" t="n">
        <v>1418</v>
      </c>
      <c r="J1480" s="45" t="n">
        <v>58</v>
      </c>
      <c r="K1480" s="45" t="n">
        <v>9</v>
      </c>
      <c r="L1480" s="46" t="n"/>
      <c r="M1480" s="47" t="n"/>
      <c r="N1480" s="47" t="inlineStr">
        <is>
          <t>UCHfIbq9thHPC8yrKjAdJgDA</t>
        </is>
      </c>
      <c r="O1480" s="48" t="n">
        <v>44281.41666666666</v>
      </c>
      <c r="P1480" s="49" t="n">
        <v>44281</v>
      </c>
      <c r="Q1480" s="47" t="n">
        <v>1788</v>
      </c>
      <c r="R1480" s="47" t="inlineStr">
        <is>
          <t>No Video ID yet</t>
        </is>
      </c>
      <c r="S1480" s="49" t="n"/>
      <c r="T1480" s="49" t="n"/>
      <c r="U1480" s="47" t="inlineStr">
        <is>
          <t>Ben and J discuss: Disney Socks, Professional “Wrestling”, misspellings, Pokemon cards, finding friends from before social media, Diablo 2 again, billion-dollar ideas, cell phones, and Mars. Get your Popcast Bingo Card: Is there other intelligent life: Get your own Fred the Cup:</t>
        </is>
      </c>
      <c r="V1480" s="47">
        <f>IF(AND(P1480&gt;=Calendar!$K$2,P1480&lt;EDATE(Calendar!$K$2,1),OR(Calendar!$K$4="*",N1480=Calendar!$K$4)),P1480*100+COUNTIFS($P$6:$P$3267,P1480,$Q$6:$Q$3267,"&lt;="&amp;Q1480,$N$6:$N$3267,Calendar!$K$4),"")</f>
        <v/>
      </c>
      <c r="W1480" s="47">
        <f>IF(AND(B1480=Queue!$C$4,OR(Queue!$K$4="*",N1480=Queue!$K$4)),Q1480,"")</f>
        <v/>
      </c>
    </row>
    <row r="1481">
      <c r="A1481" s="38">
        <f>IF(M1481="","",HYPERLINK("https://www.youtube.com/watch?v="&amp;M1481,"▶"))</f>
        <v/>
      </c>
      <c r="B1481" s="39">
        <f>IF(C1481&lt;&gt;"",C1481,IF(P1481&lt;=IFERROR(INDEX(tblChannels[Watched Through],MATCH(N1481,tblChannels[Channel ID],0)),0),"Watched","Unwatched"))</f>
        <v/>
      </c>
      <c r="C1481" s="40" t="n"/>
      <c r="D1481" s="41" t="n"/>
      <c r="E1481" s="42" t="n">
        <v>44280.62013888889</v>
      </c>
      <c r="F1481" s="50" t="inlineStr">
        <is>
          <t>Super Carlin Brothers</t>
        </is>
      </c>
      <c r="G1481" t="inlineStr">
        <is>
          <t>Why You Should Read “The Name of the Wind” | GIVING AWAY 200 BOOKS</t>
        </is>
      </c>
      <c r="H1481" s="44" t="n">
        <v>0.00798611111111111</v>
      </c>
      <c r="I1481" s="45" t="n">
        <v>117628</v>
      </c>
      <c r="J1481" s="45" t="n">
        <v>7415</v>
      </c>
      <c r="K1481" s="45" t="n">
        <v>1976</v>
      </c>
      <c r="L1481" s="46" t="n"/>
      <c r="M1481" s="47" t="n"/>
      <c r="N1481" s="47" t="inlineStr">
        <is>
          <t>UCKZo4N0lVPccBkSiuyVh4yg</t>
        </is>
      </c>
      <c r="O1481" s="48" t="n">
        <v>44280.78680555556</v>
      </c>
      <c r="P1481" s="49" t="n">
        <v>44280</v>
      </c>
      <c r="Q1481" s="47" t="n">
        <v>1787</v>
      </c>
      <c r="R1481" s="47" t="inlineStr">
        <is>
          <t>No Video ID yet</t>
        </is>
      </c>
      <c r="S1481" s="49" t="n"/>
      <c r="T1481" s="49" t="n"/>
      <c r="U1481" s="47" t="inlineStr">
        <is>
          <t>First 200 people there get a FREE copy! Audiobook :: Physical :: Just the Perks :: FREE Audiobook :: Sold Out! FREE Physical Book :: Sold Out! Mass-market Paperback book (does NOT include SCB digital perks) :: J and Ben and fallen in love with a new series: The Name of the Wind by Patrick Rothfuss, and want you to join them in their fandom! To celebrate they are giving away 100 FREE copies of the audiobook and 100 FREE physical copies! All books purchased through DFTBA also get digital perks including J and Ben's book club review of Name of the Wind and Wise Man's Fear! #SuperCarlinBrothers #TheNameOfTheWind #PatrickRothfuss</t>
        </is>
      </c>
      <c r="V1481" s="47">
        <f>IF(AND(P1481&gt;=Calendar!$K$2,P1481&lt;EDATE(Calendar!$K$2,1),OR(Calendar!$K$4="*",N1481=Calendar!$K$4)),P1481*100+COUNTIFS($P$6:$P$3267,P1481,$Q$6:$Q$3267,"&lt;="&amp;Q1481,$N$6:$N$3267,Calendar!$K$4),"")</f>
        <v/>
      </c>
      <c r="W1481" s="47">
        <f>IF(AND(B1481=Queue!$C$4,OR(Queue!$K$4="*",N1481=Queue!$K$4)),Q1481,"")</f>
        <v/>
      </c>
    </row>
    <row r="1482">
      <c r="A1482" s="38">
        <f>IF(M1482="","",HYPERLINK("https://www.youtube.com/watch?v="&amp;M1482,"▶"))</f>
        <v/>
      </c>
      <c r="B1482" s="39">
        <f>IF(C1482&lt;&gt;"",C1482,IF(P1482&lt;=IFERROR(INDEX(tblChannels[Watched Through],MATCH(N1482,tblChannels[Channel ID],0)),0),"Watched","Unwatched"))</f>
        <v/>
      </c>
      <c r="C1482" s="40" t="n"/>
      <c r="D1482" s="41" t="n"/>
      <c r="E1482" s="42" t="n">
        <v>44279.41666666666</v>
      </c>
      <c r="F1482" s="52" t="inlineStr">
        <is>
          <t>Super Carlin Gaming</t>
        </is>
      </c>
      <c r="G1482" t="inlineStr">
        <is>
          <t>Choosing Our Starter! |  Pokémon LeafGreen Randomizer Nuzlocke #1</t>
        </is>
      </c>
      <c r="H1482" s="44" t="n">
        <v>0.02202546296296296</v>
      </c>
      <c r="I1482" s="45" t="n">
        <v>71290</v>
      </c>
      <c r="J1482" s="45" t="n">
        <v>3486</v>
      </c>
      <c r="K1482" s="45" t="n">
        <v>1445</v>
      </c>
      <c r="L1482" s="46" t="n"/>
      <c r="M1482" s="47" t="n"/>
      <c r="N1482" s="47" t="inlineStr">
        <is>
          <t>UCor_9jRnNNZVzTuQ92PKsaQ</t>
        </is>
      </c>
      <c r="O1482" s="48" t="n">
        <v>44279.58333333334</v>
      </c>
      <c r="P1482" s="49" t="n">
        <v>44279</v>
      </c>
      <c r="Q1482" s="47" t="n">
        <v>1786</v>
      </c>
      <c r="R1482" s="47" t="inlineStr">
        <is>
          <t>No Video ID yet</t>
        </is>
      </c>
      <c r="S1482" s="49" t="n"/>
      <c r="T1482" s="49" t="n"/>
      <c r="U1482" s="47" t="inlineStr">
        <is>
          <t>Welcome back to the Nuzlocke Challenge! Today J receives his starter pokemon, reviews the rules of the Nuzlocke and the Randomizer settings and sets out on his very RANDOM journey! Edited by: Riley Murtagh</t>
        </is>
      </c>
      <c r="V1482" s="47">
        <f>IF(AND(P1482&gt;=Calendar!$K$2,P1482&lt;EDATE(Calendar!$K$2,1),OR(Calendar!$K$4="*",N1482=Calendar!$K$4)),P1482*100+COUNTIFS($P$6:$P$3267,P1482,$Q$6:$Q$3267,"&lt;="&amp;Q1482,$N$6:$N$3267,Calendar!$K$4),"")</f>
        <v/>
      </c>
      <c r="W1482" s="47">
        <f>IF(AND(B1482=Queue!$C$4,OR(Queue!$K$4="*",N1482=Queue!$K$4)),Q1482,"")</f>
        <v/>
      </c>
    </row>
    <row r="1483">
      <c r="A1483" s="38">
        <f>IF(M1483="","",HYPERLINK("https://www.youtube.com/watch?v="&amp;M1483,"▶"))</f>
        <v/>
      </c>
      <c r="B1483" s="39">
        <f>IF(C1483&lt;&gt;"",C1483,IF(P1483&lt;=IFERROR(INDEX(tblChannels[Watched Through],MATCH(N1483,tblChannels[Channel ID],0)),0),"Watched","Unwatched"))</f>
        <v/>
      </c>
      <c r="C1483" s="40" t="n"/>
      <c r="D1483" s="41" t="n"/>
      <c r="E1483" s="42" t="n">
        <v>44278.64305555556</v>
      </c>
      <c r="F1483" s="50" t="inlineStr">
        <is>
          <t>Super Carlin Brothers</t>
        </is>
      </c>
      <c r="G1483" t="inlineStr">
        <is>
          <t>Why Are Azula’s Flames Blue? | Avatar the Last Airbender Theory</t>
        </is>
      </c>
      <c r="H1483" s="44" t="n">
        <v>0.008726851851851852</v>
      </c>
      <c r="I1483" s="45" t="n">
        <v>289746</v>
      </c>
      <c r="J1483" s="45" t="n">
        <v>14769</v>
      </c>
      <c r="K1483" s="45" t="n">
        <v>1778</v>
      </c>
      <c r="L1483" s="46" t="n"/>
      <c r="M1483" s="47" t="n"/>
      <c r="N1483" s="47" t="inlineStr">
        <is>
          <t>UCKZo4N0lVPccBkSiuyVh4yg</t>
        </is>
      </c>
      <c r="O1483" s="48" t="n">
        <v>44278.80972222222</v>
      </c>
      <c r="P1483" s="49" t="n">
        <v>44278</v>
      </c>
      <c r="Q1483" s="47" t="n">
        <v>1785</v>
      </c>
      <c r="R1483" s="47" t="inlineStr">
        <is>
          <t>No Video ID yet</t>
        </is>
      </c>
      <c r="S1483" s="49" t="n"/>
      <c r="T1483" s="49" t="n"/>
      <c r="U1483" s="47" t="inlineStr">
        <is>
          <t>Go to for 10% off plus free shipping! Today J dives into the world of Avatar the Last Airbender to discuss everyone's favorite evil fire bending princess and answer the question: Why Are Azula’s Flames Blue? #SuperCarlinBrothers #atla</t>
        </is>
      </c>
      <c r="V1483" s="47">
        <f>IF(AND(P1483&gt;=Calendar!$K$2,P1483&lt;EDATE(Calendar!$K$2,1),OR(Calendar!$K$4="*",N1483=Calendar!$K$4)),P1483*100+COUNTIFS($P$6:$P$3267,P1483,$Q$6:$Q$3267,"&lt;="&amp;Q1483,$N$6:$N$3267,Calendar!$K$4),"")</f>
        <v/>
      </c>
      <c r="W1483" s="47">
        <f>IF(AND(B1483=Queue!$C$4,OR(Queue!$K$4="*",N1483=Queue!$K$4)),Q1483,"")</f>
        <v/>
      </c>
    </row>
    <row r="1484">
      <c r="A1484" s="38">
        <f>IF(M1484="","",HYPERLINK("https://www.youtube.com/watch?v="&amp;M1484,"▶"))</f>
        <v/>
      </c>
      <c r="B1484" s="39">
        <f>IF(C1484&lt;&gt;"",C1484,IF(P1484&lt;=IFERROR(INDEX(tblChannels[Watched Through],MATCH(N1484,tblChannels[Channel ID],0)),0),"Watched","Unwatched"))</f>
        <v/>
      </c>
      <c r="C1484" s="40" t="n"/>
      <c r="D1484" s="41" t="n"/>
      <c r="E1484" s="42" t="n">
        <v>44274.4375</v>
      </c>
      <c r="F1484" s="50" t="inlineStr">
        <is>
          <t>Super Carlin Brothers</t>
        </is>
      </c>
      <c r="G1484" t="inlineStr">
        <is>
          <t>What is Your Legacy? | Popcorn Culture</t>
        </is>
      </c>
      <c r="H1484" s="44" t="n">
        <v>0.04565972222222222</v>
      </c>
      <c r="I1484" s="45" t="n">
        <v>31344</v>
      </c>
      <c r="J1484" s="45" t="n">
        <v>1332</v>
      </c>
      <c r="K1484" s="45" t="n">
        <v>237</v>
      </c>
      <c r="L1484" s="46" t="n"/>
      <c r="M1484" s="47" t="n"/>
      <c r="N1484" s="47" t="inlineStr">
        <is>
          <t>UCKZo4N0lVPccBkSiuyVh4yg</t>
        </is>
      </c>
      <c r="O1484" s="48" t="n">
        <v>44274.60416666666</v>
      </c>
      <c r="P1484" s="49" t="n">
        <v>44274</v>
      </c>
      <c r="Q1484" s="47" t="n">
        <v>1784</v>
      </c>
      <c r="R1484" s="47" t="inlineStr">
        <is>
          <t>No Video ID yet</t>
        </is>
      </c>
      <c r="S1484" s="49" t="n"/>
      <c r="T1484" s="49" t="n"/>
      <c r="U1484" s="47" t="inlineStr">
        <is>
          <t>In the 67th episode of the Popcast, Ben and J discuss: childhood beliefs, legacy, passing down names, the Stanley Duck, vocal fillers, giant Bingo, and easter eggs in movies.</t>
        </is>
      </c>
      <c r="V1484" s="47">
        <f>IF(AND(P1484&gt;=Calendar!$K$2,P1484&lt;EDATE(Calendar!$K$2,1),OR(Calendar!$K$4="*",N1484=Calendar!$K$4)),P1484*100+COUNTIFS($P$6:$P$3267,P1484,$Q$6:$Q$3267,"&lt;="&amp;Q1484,$N$6:$N$3267,Calendar!$K$4),"")</f>
        <v/>
      </c>
      <c r="W1484" s="47">
        <f>IF(AND(B1484=Queue!$C$4,OR(Queue!$K$4="*",N1484=Queue!$K$4)),Q1484,"")</f>
        <v/>
      </c>
    </row>
    <row r="1485">
      <c r="A1485" s="38">
        <f>IF(M1485="","",HYPERLINK("https://www.youtube.com/watch?v="&amp;M1485,"▶"))</f>
        <v/>
      </c>
      <c r="B1485" s="39">
        <f>IF(C1485&lt;&gt;"",C1485,IF(P1485&lt;=IFERROR(INDEX(tblChannels[Watched Through],MATCH(N1485,tblChannels[Channel ID],0)),0),"Watched","Unwatched"))</f>
        <v/>
      </c>
      <c r="C1485" s="40" t="n"/>
      <c r="D1485" s="41" t="n"/>
      <c r="E1485" s="42" t="n">
        <v>44274.25</v>
      </c>
      <c r="F1485" s="43" t="inlineStr">
        <is>
          <t>Popcorn Culture</t>
        </is>
      </c>
      <c r="G1485" t="inlineStr">
        <is>
          <t>67 - What is Your Legacy?</t>
        </is>
      </c>
      <c r="H1485" s="44" t="n">
        <v>0.04472222222222222</v>
      </c>
      <c r="I1485" s="45" t="n">
        <v>1317</v>
      </c>
      <c r="J1485" s="45" t="n">
        <v>62</v>
      </c>
      <c r="K1485" s="45" t="n">
        <v>10</v>
      </c>
      <c r="L1485" s="46" t="n"/>
      <c r="M1485" s="47" t="n"/>
      <c r="N1485" s="47" t="inlineStr">
        <is>
          <t>UCHfIbq9thHPC8yrKjAdJgDA</t>
        </is>
      </c>
      <c r="O1485" s="48" t="n">
        <v>44274.41666666666</v>
      </c>
      <c r="P1485" s="49" t="n">
        <v>44274</v>
      </c>
      <c r="Q1485" s="47" t="n">
        <v>1783</v>
      </c>
      <c r="R1485" s="47" t="inlineStr">
        <is>
          <t>No Video ID yet</t>
        </is>
      </c>
      <c r="S1485" s="49" t="n"/>
      <c r="T1485" s="49" t="n"/>
      <c r="U1485" s="47" t="inlineStr">
        <is>
          <t>Ben and J discuss: childhood beliefs, legacy, passing down names, the Stanley Duck, vocal fillers, giant Bingo, and easter eggs in movies.</t>
        </is>
      </c>
      <c r="V1485" s="47">
        <f>IF(AND(P1485&gt;=Calendar!$K$2,P1485&lt;EDATE(Calendar!$K$2,1),OR(Calendar!$K$4="*",N1485=Calendar!$K$4)),P1485*100+COUNTIFS($P$6:$P$3267,P1485,$Q$6:$Q$3267,"&lt;="&amp;Q1485,$N$6:$N$3267,Calendar!$K$4),"")</f>
        <v/>
      </c>
      <c r="W1485" s="47">
        <f>IF(AND(B1485=Queue!$C$4,OR(Queue!$K$4="*",N1485=Queue!$K$4)),Q1485,"")</f>
        <v/>
      </c>
    </row>
    <row r="1486">
      <c r="A1486" s="38">
        <f>IF(M1486="","",HYPERLINK("https://www.youtube.com/watch?v="&amp;M1486,"▶"))</f>
        <v/>
      </c>
      <c r="B1486" s="39">
        <f>IF(C1486&lt;&gt;"",C1486,IF(P1486&lt;=IFERROR(INDEX(tblChannels[Watched Through],MATCH(N1486,tblChannels[Channel ID],0)),0),"Watched","Unwatched"))</f>
        <v/>
      </c>
      <c r="C1486" s="40" t="n"/>
      <c r="D1486" s="41" t="n"/>
      <c r="E1486" s="42" t="n">
        <v>44273.62708333333</v>
      </c>
      <c r="F1486" s="50" t="inlineStr">
        <is>
          <t>Super Carlin Brothers</t>
        </is>
      </c>
      <c r="G1486" t="inlineStr">
        <is>
          <t>J vs Ben: ULTIMATE Disney Princess Trivia Quiz</t>
        </is>
      </c>
      <c r="H1486" s="44" t="n">
        <v>0.01662037037037037</v>
      </c>
      <c r="I1486" s="45" t="n">
        <v>185305</v>
      </c>
      <c r="J1486" s="45" t="n">
        <v>7966</v>
      </c>
      <c r="K1486" s="45" t="n">
        <v>1477</v>
      </c>
      <c r="L1486" s="46" t="n"/>
      <c r="M1486" s="47" t="n"/>
      <c r="N1486" s="47" t="inlineStr">
        <is>
          <t>UCKZo4N0lVPccBkSiuyVh4yg</t>
        </is>
      </c>
      <c r="O1486" s="48" t="n">
        <v>44273.79375</v>
      </c>
      <c r="P1486" s="49" t="n">
        <v>44273</v>
      </c>
      <c r="Q1486" s="47" t="n">
        <v>1782</v>
      </c>
      <c r="R1486" s="47" t="inlineStr">
        <is>
          <t>No Video ID yet</t>
        </is>
      </c>
      <c r="S1486" s="49" t="n"/>
      <c r="T1486" s="49" t="n"/>
      <c r="U1486" s="47" t="inlineStr">
        <is>
          <t>Download the DoorDash app in the App Store and enter code JVSB2021 to get 25% off and zero delivery fees on your first order! Go to and enter code ‘SUPER’ at checkout to get 20% off your first monthly box! Today J and Ben face off once more to find out who knows more about the Disney Princesses! #SuperCarlinBrothers #DisneyPrincess #Disney</t>
        </is>
      </c>
      <c r="V1486" s="47">
        <f>IF(AND(P1486&gt;=Calendar!$K$2,P1486&lt;EDATE(Calendar!$K$2,1),OR(Calendar!$K$4="*",N1486=Calendar!$K$4)),P1486*100+COUNTIFS($P$6:$P$3267,P1486,$Q$6:$Q$3267,"&lt;="&amp;Q1486,$N$6:$N$3267,Calendar!$K$4),"")</f>
        <v/>
      </c>
      <c r="W1486" s="47">
        <f>IF(AND(B1486=Queue!$C$4,OR(Queue!$K$4="*",N1486=Queue!$K$4)),Q1486,"")</f>
        <v/>
      </c>
    </row>
    <row r="1487">
      <c r="A1487" s="38">
        <f>IF(M1487="","",HYPERLINK("https://www.youtube.com/watch?v="&amp;M1487,"▶"))</f>
        <v/>
      </c>
      <c r="B1487" s="39">
        <f>IF(C1487&lt;&gt;"",C1487,IF(P1487&lt;=IFERROR(INDEX(tblChannels[Watched Through],MATCH(N1487,tblChannels[Channel ID],0)),0),"Watched","Unwatched"))</f>
        <v/>
      </c>
      <c r="C1487" s="40" t="n"/>
      <c r="D1487" s="41" t="n"/>
      <c r="E1487" s="42" t="n">
        <v>44272.41666666666</v>
      </c>
      <c r="F1487" s="52" t="inlineStr">
        <is>
          <t>Super Carlin Gaming</t>
        </is>
      </c>
      <c r="G1487" t="inlineStr">
        <is>
          <t>The Nuzlocke RETURNS! | Teaser Trailer</t>
        </is>
      </c>
      <c r="H1487" s="44" t="n">
        <v>0.0005902777777777778</v>
      </c>
      <c r="I1487" s="45" t="n">
        <v>8619</v>
      </c>
      <c r="J1487" s="45" t="n">
        <v>1137</v>
      </c>
      <c r="K1487" s="45" t="n">
        <v>324</v>
      </c>
      <c r="L1487" s="46" t="n"/>
      <c r="M1487" s="47" t="n"/>
      <c r="N1487" s="47" t="inlineStr">
        <is>
          <t>UCor_9jRnNNZVzTuQ92PKsaQ</t>
        </is>
      </c>
      <c r="O1487" s="48" t="n">
        <v>44272.58333333334</v>
      </c>
      <c r="P1487" s="49" t="n">
        <v>44272</v>
      </c>
      <c r="Q1487" s="47" t="n">
        <v>1781</v>
      </c>
      <c r="R1487" s="47" t="inlineStr">
        <is>
          <t>No Video ID yet</t>
        </is>
      </c>
      <c r="S1487" s="49" t="n"/>
      <c r="T1487" s="49" t="n"/>
      <c r="U1487" s="47" t="inlineStr">
        <is>
          <t>The Nuzlocke Returns Wednesday, March 24th! J returns to where it all started to embark on a brand new totally RANDOM journey!</t>
        </is>
      </c>
      <c r="V1487" s="47">
        <f>IF(AND(P1487&gt;=Calendar!$K$2,P1487&lt;EDATE(Calendar!$K$2,1),OR(Calendar!$K$4="*",N1487=Calendar!$K$4)),P1487*100+COUNTIFS($P$6:$P$3267,P1487,$Q$6:$Q$3267,"&lt;="&amp;Q1487,$N$6:$N$3267,Calendar!$K$4),"")</f>
        <v/>
      </c>
      <c r="W1487" s="47">
        <f>IF(AND(B1487=Queue!$C$4,OR(Queue!$K$4="*",N1487=Queue!$K$4)),Q1487,"")</f>
        <v/>
      </c>
    </row>
    <row r="1488">
      <c r="A1488" s="38">
        <f>IF(M1488="","",HYPERLINK("https://www.youtube.com/watch?v="&amp;M1488,"▶"))</f>
        <v/>
      </c>
      <c r="B1488" s="39">
        <f>IF(C1488&lt;&gt;"",C1488,IF(P1488&lt;=IFERROR(INDEX(tblChannels[Watched Through],MATCH(N1488,tblChannels[Channel ID],0)),0),"Watched","Unwatched"))</f>
        <v/>
      </c>
      <c r="C1488" s="40" t="n"/>
      <c r="D1488" s="41" t="n"/>
      <c r="E1488" s="42" t="n">
        <v>44271.66944444444</v>
      </c>
      <c r="F1488" s="50" t="inlineStr">
        <is>
          <t>Super Carlin Brothers</t>
        </is>
      </c>
      <c r="G1488" t="inlineStr">
        <is>
          <t>Draco Deserved To Be Redeemed | Harry Potter Theory</t>
        </is>
      </c>
      <c r="H1488" s="44" t="n">
        <v>0.0103125</v>
      </c>
      <c r="I1488" s="45" t="n">
        <v>419737</v>
      </c>
      <c r="J1488" s="45" t="n">
        <v>20021</v>
      </c>
      <c r="K1488" s="45" t="n">
        <v>2294</v>
      </c>
      <c r="L1488" s="46" t="n"/>
      <c r="M1488" s="47" t="n"/>
      <c r="N1488" s="47" t="inlineStr">
        <is>
          <t>UCKZo4N0lVPccBkSiuyVh4yg</t>
        </is>
      </c>
      <c r="O1488" s="48" t="n">
        <v>44271.83611111111</v>
      </c>
      <c r="P1488" s="49" t="n">
        <v>44271</v>
      </c>
      <c r="Q1488" s="47" t="n">
        <v>1780</v>
      </c>
      <c r="R1488" s="47" t="inlineStr">
        <is>
          <t>No Video ID yet</t>
        </is>
      </c>
      <c r="S1488" s="49" t="n"/>
      <c r="T1488" s="49" t="n"/>
      <c r="U1488" s="47" t="inlineStr">
        <is>
          <t>Go to to get 10% off plus free shipping! Today J dives into the Wizarding World of Harry Potter to discuss how everyone’s favorite Slytherin, Draco Malfoy, SHOULD have been redeemed! #SuperCarlinBrothers #HarryPotter #MyFatherWillHearAboutThis Video Edited by: Riley Murtagh</t>
        </is>
      </c>
      <c r="V1488" s="47">
        <f>IF(AND(P1488&gt;=Calendar!$K$2,P1488&lt;EDATE(Calendar!$K$2,1),OR(Calendar!$K$4="*",N1488=Calendar!$K$4)),P1488*100+COUNTIFS($P$6:$P$3267,P1488,$Q$6:$Q$3267,"&lt;="&amp;Q1488,$N$6:$N$3267,Calendar!$K$4),"")</f>
        <v/>
      </c>
      <c r="W1488" s="47">
        <f>IF(AND(B1488=Queue!$C$4,OR(Queue!$K$4="*",N1488=Queue!$K$4)),Q1488,"")</f>
        <v/>
      </c>
    </row>
    <row r="1489">
      <c r="A1489" s="38">
        <f>IF(M1489="","",HYPERLINK("https://www.youtube.com/watch?v="&amp;M1489,"▶"))</f>
        <v/>
      </c>
      <c r="B1489" s="39">
        <f>IF(C1489&lt;&gt;"",C1489,IF(P1489&lt;=IFERROR(INDEX(tblChannels[Watched Through],MATCH(N1489,tblChannels[Channel ID],0)),0),"Watched","Unwatched"))</f>
        <v/>
      </c>
      <c r="C1489" s="40" t="n"/>
      <c r="D1489" s="41" t="n"/>
      <c r="E1489" s="42" t="n">
        <v>44267.41666666666</v>
      </c>
      <c r="F1489" s="50" t="inlineStr">
        <is>
          <t>Super Carlin Brothers</t>
        </is>
      </c>
      <c r="G1489" t="inlineStr">
        <is>
          <t>Embrace Your Spikes | Popcorn Culture</t>
        </is>
      </c>
      <c r="H1489" s="44" t="n">
        <v>0.04924768518518519</v>
      </c>
      <c r="I1489" s="45" t="n">
        <v>35402</v>
      </c>
      <c r="J1489" s="45" t="n">
        <v>1391</v>
      </c>
      <c r="K1489" s="45" t="n">
        <v>234</v>
      </c>
      <c r="L1489" s="46" t="n"/>
      <c r="M1489" s="47" t="n"/>
      <c r="N1489" s="47" t="inlineStr">
        <is>
          <t>UCKZo4N0lVPccBkSiuyVh4yg</t>
        </is>
      </c>
      <c r="O1489" s="48" t="n">
        <v>44267.625</v>
      </c>
      <c r="P1489" s="49" t="n">
        <v>44267</v>
      </c>
      <c r="Q1489" s="47" t="n">
        <v>1779</v>
      </c>
      <c r="R1489" s="47" t="inlineStr">
        <is>
          <t>No Video ID yet</t>
        </is>
      </c>
      <c r="S1489" s="49" t="n"/>
      <c r="T1489" s="49" t="n"/>
      <c r="U1489" s="47" t="inlineStr">
        <is>
          <t>In episode 66 of the POPcast, Ben and J discuss: fashion notes, Mickey Mouse mugs, personality spikes, Coyotes, J vlogs, waking up early, napping, and Fred the Cup! Show notes: Arizona Coyotes: Check out the J vlogs: Revenge Bedtime Procrastination: Get your own Fred the Cup:</t>
        </is>
      </c>
      <c r="V1489" s="47">
        <f>IF(AND(P1489&gt;=Calendar!$K$2,P1489&lt;EDATE(Calendar!$K$2,1),OR(Calendar!$K$4="*",N1489=Calendar!$K$4)),P1489*100+COUNTIFS($P$6:$P$3267,P1489,$Q$6:$Q$3267,"&lt;="&amp;Q1489,$N$6:$N$3267,Calendar!$K$4),"")</f>
        <v/>
      </c>
      <c r="W1489" s="47">
        <f>IF(AND(B1489=Queue!$C$4,OR(Queue!$K$4="*",N1489=Queue!$K$4)),Q1489,"")</f>
        <v/>
      </c>
    </row>
    <row r="1490">
      <c r="A1490" s="38">
        <f>IF(M1490="","",HYPERLINK("https://www.youtube.com/watch?v="&amp;M1490,"▶"))</f>
        <v/>
      </c>
      <c r="B1490" s="39">
        <f>IF(C1490&lt;&gt;"",C1490,IF(P1490&lt;=IFERROR(INDEX(tblChannels[Watched Through],MATCH(N1490,tblChannels[Channel ID],0)),0),"Watched","Unwatched"))</f>
        <v/>
      </c>
      <c r="C1490" s="40" t="n"/>
      <c r="D1490" s="41" t="n"/>
      <c r="E1490" s="42" t="n">
        <v>44267.40763888889</v>
      </c>
      <c r="F1490" s="43" t="inlineStr">
        <is>
          <t>Popcorn Culture</t>
        </is>
      </c>
      <c r="G1490" t="inlineStr">
        <is>
          <t>66 - Embrace Your Spikes</t>
        </is>
      </c>
      <c r="H1490" s="44" t="n">
        <v>0.04924768518518519</v>
      </c>
      <c r="I1490" s="45" t="n">
        <v>1391</v>
      </c>
      <c r="J1490" s="45" t="n">
        <v>66</v>
      </c>
      <c r="K1490" s="45" t="n">
        <v>10</v>
      </c>
      <c r="L1490" s="46" t="n"/>
      <c r="M1490" s="47" t="n"/>
      <c r="N1490" s="47" t="inlineStr">
        <is>
          <t>UCHfIbq9thHPC8yrKjAdJgDA</t>
        </is>
      </c>
      <c r="O1490" s="48" t="n">
        <v>44267.61597222222</v>
      </c>
      <c r="P1490" s="49" t="n">
        <v>44267</v>
      </c>
      <c r="Q1490" s="47" t="n">
        <v>1778</v>
      </c>
      <c r="R1490" s="47" t="inlineStr">
        <is>
          <t>No Video ID yet</t>
        </is>
      </c>
      <c r="S1490" s="49" t="n"/>
      <c r="T1490" s="49" t="n"/>
      <c r="U1490" s="47" t="inlineStr">
        <is>
          <t>Ben and J discuss: fashion notes, Mickey Mouse mugs, personality spikes, Coyotes, J vlogs, waking up early, napping, and Fred the Cup! Show notes: J’s aggressive pajamas: Arizona Coyotes: Check out the J vlogs: Revenge Bedtime Procrastination: Get your own Fred the Cup:</t>
        </is>
      </c>
      <c r="V1490" s="47">
        <f>IF(AND(P1490&gt;=Calendar!$K$2,P1490&lt;EDATE(Calendar!$K$2,1),OR(Calendar!$K$4="*",N1490=Calendar!$K$4)),P1490*100+COUNTIFS($P$6:$P$3267,P1490,$Q$6:$Q$3267,"&lt;="&amp;Q1490,$N$6:$N$3267,Calendar!$K$4),"")</f>
        <v/>
      </c>
      <c r="W1490" s="47">
        <f>IF(AND(B1490=Queue!$C$4,OR(Queue!$K$4="*",N1490=Queue!$K$4)),Q1490,"")</f>
        <v/>
      </c>
    </row>
    <row r="1491">
      <c r="A1491" s="38">
        <f>IF(M1491="","",HYPERLINK("https://www.youtube.com/watch?v="&amp;M1491,"▶"))</f>
        <v/>
      </c>
      <c r="B1491" s="39">
        <f>IF(C1491&lt;&gt;"",C1491,IF(P1491&lt;=IFERROR(INDEX(tblChannels[Watched Through],MATCH(N1491,tblChannels[Channel ID],0)),0),"Watched","Unwatched"))</f>
        <v/>
      </c>
      <c r="C1491" s="40" t="n"/>
      <c r="D1491" s="41" t="n"/>
      <c r="E1491" s="42" t="n">
        <v>44266.62847222222</v>
      </c>
      <c r="F1491" s="50" t="inlineStr">
        <is>
          <t>Super Carlin Brothers</t>
        </is>
      </c>
      <c r="G1491" t="inlineStr">
        <is>
          <t>Will Raya Be The Next Disney Princess? | Disney Theory</t>
        </is>
      </c>
      <c r="H1491" s="44" t="n">
        <v>0.008761574074074074</v>
      </c>
      <c r="I1491" s="45" t="n">
        <v>115456</v>
      </c>
      <c r="J1491" s="45" t="n">
        <v>5690</v>
      </c>
      <c r="K1491" s="45" t="n">
        <v>1101</v>
      </c>
      <c r="L1491" s="46" t="n"/>
      <c r="M1491" s="47" t="n"/>
      <c r="N1491" s="47" t="inlineStr">
        <is>
          <t>UCKZo4N0lVPccBkSiuyVh4yg</t>
        </is>
      </c>
      <c r="O1491" s="48" t="n">
        <v>44266.83680555555</v>
      </c>
      <c r="P1491" s="49" t="n">
        <v>44266</v>
      </c>
      <c r="Q1491" s="47" t="n">
        <v>1777</v>
      </c>
      <c r="R1491" s="47" t="inlineStr">
        <is>
          <t>No Video ID yet</t>
        </is>
      </c>
      <c r="S1491" s="49" t="n"/>
      <c r="T1491" s="49" t="n"/>
      <c r="U1491" s="47" t="inlineStr">
        <is>
          <t>Go to to get 3 extra months FREE! Today Ben dives into the world of Disney’s Raya and the Last Dragon to find out if Raya will become the next official Disney Princess! #SuperCarlinBrothers #RayaAndTheLastDragon #Disney</t>
        </is>
      </c>
      <c r="V1491" s="47">
        <f>IF(AND(P1491&gt;=Calendar!$K$2,P1491&lt;EDATE(Calendar!$K$2,1),OR(Calendar!$K$4="*",N1491=Calendar!$K$4)),P1491*100+COUNTIFS($P$6:$P$3267,P1491,$Q$6:$Q$3267,"&lt;="&amp;Q1491,$N$6:$N$3267,Calendar!$K$4),"")</f>
        <v/>
      </c>
      <c r="W1491" s="47">
        <f>IF(AND(B1491=Queue!$C$4,OR(Queue!$K$4="*",N1491=Queue!$K$4)),Q1491,"")</f>
        <v/>
      </c>
    </row>
    <row r="1492">
      <c r="A1492" s="38">
        <f>IF(M1492="","",HYPERLINK("https://www.youtube.com/watch?v="&amp;M1492,"▶"))</f>
        <v/>
      </c>
      <c r="B1492" s="39">
        <f>IF(C1492&lt;&gt;"",C1492,IF(P1492&lt;=IFERROR(INDEX(tblChannels[Watched Through],MATCH(N1492,tblChannels[Channel ID],0)),0),"Watched","Unwatched"))</f>
        <v/>
      </c>
      <c r="C1492" s="40" t="n"/>
      <c r="D1492" s="41" t="n"/>
      <c r="E1492" s="42" t="n">
        <v>44264.69444444445</v>
      </c>
      <c r="F1492" s="50" t="inlineStr">
        <is>
          <t>Super Carlin Brothers</t>
        </is>
      </c>
      <c r="G1492" t="inlineStr">
        <is>
          <t>Raya and the Last Dragon REVIEW: Is It Worth It?</t>
        </is>
      </c>
      <c r="H1492" s="44" t="n">
        <v>0.03337962962962963</v>
      </c>
      <c r="I1492" s="45" t="n">
        <v>171860</v>
      </c>
      <c r="J1492" s="45" t="n">
        <v>6250</v>
      </c>
      <c r="K1492" s="45" t="n">
        <v>1575</v>
      </c>
      <c r="L1492" s="46" t="n"/>
      <c r="M1492" s="47" t="n"/>
      <c r="N1492" s="47" t="inlineStr">
        <is>
          <t>UCKZo4N0lVPccBkSiuyVh4yg</t>
        </is>
      </c>
      <c r="O1492" s="48" t="n">
        <v>44264.90277777778</v>
      </c>
      <c r="P1492" s="49" t="n">
        <v>44264</v>
      </c>
      <c r="Q1492" s="47" t="n">
        <v>1776</v>
      </c>
      <c r="R1492" s="47" t="inlineStr">
        <is>
          <t>No Video ID yet</t>
        </is>
      </c>
      <c r="S1492" s="49" t="n"/>
      <c r="T1492" s="49" t="n"/>
      <c r="U1492" s="47" t="inlineStr">
        <is>
          <t>Thanks to Sony for Sponsoring this video! Check out the Sony WH-1000XM4 Noise Cancelling Headphones here :: Today J and Ben give their full spoiler review of Disney’s latest animated movie Raya and the Last Dragon and determine if its worth Disney Plus’s Premium access price and what message the movie is trying to tell us Follow us on TikTok :: #SuperCarlinBrothers #RayaAndTheLastDragon #Disney #Sponsored</t>
        </is>
      </c>
      <c r="V1492" s="47">
        <f>IF(AND(P1492&gt;=Calendar!$K$2,P1492&lt;EDATE(Calendar!$K$2,1),OR(Calendar!$K$4="*",N1492=Calendar!$K$4)),P1492*100+COUNTIFS($P$6:$P$3267,P1492,$Q$6:$Q$3267,"&lt;="&amp;Q1492,$N$6:$N$3267,Calendar!$K$4),"")</f>
        <v/>
      </c>
      <c r="W1492" s="47">
        <f>IF(AND(B1492=Queue!$C$4,OR(Queue!$K$4="*",N1492=Queue!$K$4)),Q1492,"")</f>
        <v/>
      </c>
    </row>
    <row r="1493">
      <c r="A1493" s="38">
        <f>IF(M1493="","",HYPERLINK("https://www.youtube.com/watch?v="&amp;M1493,"▶"))</f>
        <v/>
      </c>
      <c r="B1493" s="39">
        <f>IF(C1493&lt;&gt;"",C1493,IF(P1493&lt;=IFERROR(INDEX(tblChannels[Watched Through],MATCH(N1493,tblChannels[Channel ID],0)),0),"Watched","Unwatched"))</f>
        <v/>
      </c>
      <c r="C1493" s="40" t="n"/>
      <c r="D1493" s="41" t="n"/>
      <c r="E1493" s="42" t="n">
        <v>44260.41666666666</v>
      </c>
      <c r="F1493" s="50" t="inlineStr">
        <is>
          <t>Super Carlin Brothers</t>
        </is>
      </c>
      <c r="G1493" t="inlineStr">
        <is>
          <t>Boredom in the Time of TikTok | Popcorn Culture</t>
        </is>
      </c>
      <c r="H1493" s="44" t="n">
        <v>0.04516203703703704</v>
      </c>
      <c r="I1493" s="45" t="n">
        <v>31436</v>
      </c>
      <c r="J1493" s="45" t="n">
        <v>1336</v>
      </c>
      <c r="K1493" s="45" t="n">
        <v>227</v>
      </c>
      <c r="L1493" s="46" t="n"/>
      <c r="M1493" s="47" t="n"/>
      <c r="N1493" s="47" t="inlineStr">
        <is>
          <t>UCKZo4N0lVPccBkSiuyVh4yg</t>
        </is>
      </c>
      <c r="O1493" s="48" t="n">
        <v>44260.625</v>
      </c>
      <c r="P1493" s="49" t="n">
        <v>44260</v>
      </c>
      <c r="Q1493" s="47" t="n">
        <v>1775</v>
      </c>
      <c r="R1493" s="47" t="inlineStr">
        <is>
          <t>No Video ID yet</t>
        </is>
      </c>
      <c r="S1493" s="49" t="n"/>
      <c r="T1493" s="49" t="n"/>
      <c r="U1493" s="47" t="inlineStr">
        <is>
          <t>In Episode 65 of the POPcast, Ben and J discuss: big brother approval, talking to yourself, midlife crises, off-roading in the Jep, love/hate relationships with TikTok, boredom, “Art”, and screen addictions. 1996 BMW Z3: Get your own Fred the Cup: Check out Seamus Gorman:</t>
        </is>
      </c>
      <c r="V1493" s="47">
        <f>IF(AND(P1493&gt;=Calendar!$K$2,P1493&lt;EDATE(Calendar!$K$2,1),OR(Calendar!$K$4="*",N1493=Calendar!$K$4)),P1493*100+COUNTIFS($P$6:$P$3267,P1493,$Q$6:$Q$3267,"&lt;="&amp;Q1493,$N$6:$N$3267,Calendar!$K$4),"")</f>
        <v/>
      </c>
      <c r="W1493" s="47">
        <f>IF(AND(B1493=Queue!$C$4,OR(Queue!$K$4="*",N1493=Queue!$K$4)),Q1493,"")</f>
        <v/>
      </c>
    </row>
    <row r="1494">
      <c r="A1494" s="38">
        <f>IF(M1494="","",HYPERLINK("https://www.youtube.com/watch?v="&amp;M1494,"▶"))</f>
        <v/>
      </c>
      <c r="B1494" s="39">
        <f>IF(C1494&lt;&gt;"",C1494,IF(P1494&lt;=IFERROR(INDEX(tblChannels[Watched Through],MATCH(N1494,tblChannels[Channel ID],0)),0),"Watched","Unwatched"))</f>
        <v/>
      </c>
      <c r="C1494" s="40" t="n"/>
      <c r="D1494" s="41" t="n"/>
      <c r="E1494" s="42" t="n">
        <v>44260.25</v>
      </c>
      <c r="F1494" s="43" t="inlineStr">
        <is>
          <t>Popcorn Culture</t>
        </is>
      </c>
      <c r="G1494" t="inlineStr">
        <is>
          <t>65 - Boredom in the Time of TikTok</t>
        </is>
      </c>
      <c r="H1494" s="44" t="n">
        <v>0.04325231481481481</v>
      </c>
      <c r="I1494" s="45" t="n">
        <v>1454</v>
      </c>
      <c r="J1494" s="45" t="n">
        <v>71</v>
      </c>
      <c r="K1494" s="45" t="n">
        <v>9</v>
      </c>
      <c r="L1494" s="46" t="n"/>
      <c r="M1494" s="47" t="n"/>
      <c r="N1494" s="47" t="inlineStr">
        <is>
          <t>UCHfIbq9thHPC8yrKjAdJgDA</t>
        </is>
      </c>
      <c r="O1494" s="48" t="n">
        <v>44260.45833333334</v>
      </c>
      <c r="P1494" s="49" t="n">
        <v>44260</v>
      </c>
      <c r="Q1494" s="47" t="n">
        <v>1774</v>
      </c>
      <c r="R1494" s="47" t="inlineStr">
        <is>
          <t>No Video ID yet</t>
        </is>
      </c>
      <c r="S1494" s="49" t="n"/>
      <c r="T1494" s="49" t="n"/>
      <c r="U1494" s="47" t="inlineStr">
        <is>
          <t>Ben and J discuss: big brother approval, talking to yourself, midlife crises, offroading in the Jep, love/hate relationships with TikTok, boredom, “Art”, and screen addictions. 1996 BMW Z3: Get your own Fred the Cup: Check out Seamus Gorman:</t>
        </is>
      </c>
      <c r="V1494" s="47">
        <f>IF(AND(P1494&gt;=Calendar!$K$2,P1494&lt;EDATE(Calendar!$K$2,1),OR(Calendar!$K$4="*",N1494=Calendar!$K$4)),P1494*100+COUNTIFS($P$6:$P$3267,P1494,$Q$6:$Q$3267,"&lt;="&amp;Q1494,$N$6:$N$3267,Calendar!$K$4),"")</f>
        <v/>
      </c>
      <c r="W1494" s="47">
        <f>IF(AND(B1494=Queue!$C$4,OR(Queue!$K$4="*",N1494=Queue!$K$4)),Q1494,"")</f>
        <v/>
      </c>
    </row>
    <row r="1495">
      <c r="A1495" s="38">
        <f>IF(M1495="","",HYPERLINK("https://www.youtube.com/watch?v="&amp;M1495,"▶"))</f>
        <v/>
      </c>
      <c r="B1495" s="39">
        <f>IF(C1495&lt;&gt;"",C1495,IF(P1495&lt;=IFERROR(INDEX(tblChannels[Watched Through],MATCH(N1495,tblChannels[Channel ID],0)),0),"Watched","Unwatched"))</f>
        <v/>
      </c>
      <c r="C1495" s="40" t="n"/>
      <c r="D1495" s="41" t="n"/>
      <c r="E1495" s="42" t="n">
        <v>44259.68819444445</v>
      </c>
      <c r="F1495" s="50" t="inlineStr">
        <is>
          <t>Super Carlin Brothers</t>
        </is>
      </c>
      <c r="G1495" t="inlineStr">
        <is>
          <t>J vs Ben: ULTIMATE Diagon Alley Harry Potter Trivia Quiz</t>
        </is>
      </c>
      <c r="H1495" s="44" t="n">
        <v>0.01697916666666667</v>
      </c>
      <c r="I1495" s="45" t="n">
        <v>259864</v>
      </c>
      <c r="J1495" s="45" t="n">
        <v>9390</v>
      </c>
      <c r="K1495" s="45" t="n">
        <v>906</v>
      </c>
      <c r="L1495" s="46" t="n"/>
      <c r="M1495" s="47" t="n"/>
      <c r="N1495" s="47" t="inlineStr">
        <is>
          <t>UCKZo4N0lVPccBkSiuyVh4yg</t>
        </is>
      </c>
      <c r="O1495" s="48" t="n">
        <v>44259.89652777778</v>
      </c>
      <c r="P1495" s="49" t="n">
        <v>44259</v>
      </c>
      <c r="Q1495" s="47" t="n">
        <v>1773</v>
      </c>
      <c r="R1495" s="47" t="inlineStr">
        <is>
          <t>No Video ID yet</t>
        </is>
      </c>
      <c r="S1495" s="49" t="n"/>
      <c r="T1495" s="49" t="n"/>
      <c r="U1495" s="47" t="inlineStr">
        <is>
          <t>Visit to get Honey for FREE today! Visit to get 3 extra months of ExpressVPN for free! Today J and Ben face off once again to find out who knows about the Wizarding World of Harry Potter and the famous Diagon Alley! Who did Harry first meet? What is the Poem from Gringotts? What SOLID GOLD items did Harry resist buying?! Follow us on TikTok :: #SuperCarlinBrothers #JvsBen #HarryPotter</t>
        </is>
      </c>
      <c r="V1495" s="47">
        <f>IF(AND(P1495&gt;=Calendar!$K$2,P1495&lt;EDATE(Calendar!$K$2,1),OR(Calendar!$K$4="*",N1495=Calendar!$K$4)),P1495*100+COUNTIFS($P$6:$P$3267,P1495,$Q$6:$Q$3267,"&lt;="&amp;Q1495,$N$6:$N$3267,Calendar!$K$4),"")</f>
        <v/>
      </c>
      <c r="W1495" s="47">
        <f>IF(AND(B1495=Queue!$C$4,OR(Queue!$K$4="*",N1495=Queue!$K$4)),Q1495,"")</f>
        <v/>
      </c>
    </row>
    <row r="1496">
      <c r="A1496" s="38">
        <f>IF(M1496="","",HYPERLINK("https://www.youtube.com/watch?v="&amp;M1496,"▶"))</f>
        <v/>
      </c>
      <c r="B1496" s="39">
        <f>IF(C1496&lt;&gt;"",C1496,IF(P1496&lt;=IFERROR(INDEX(tblChannels[Watched Through],MATCH(N1496,tblChannels[Channel ID],0)),0),"Watched","Unwatched"))</f>
        <v/>
      </c>
      <c r="C1496" s="40" t="n"/>
      <c r="D1496" s="41" t="n"/>
      <c r="E1496" s="42" t="n">
        <v>44257.70069444444</v>
      </c>
      <c r="F1496" s="50" t="inlineStr">
        <is>
          <t>Super Carlin Brothers</t>
        </is>
      </c>
      <c r="G1496" t="inlineStr">
        <is>
          <t>White Vision Explained | WandaVision Theory</t>
        </is>
      </c>
      <c r="H1496" s="44" t="n">
        <v>0.01130787037037037</v>
      </c>
      <c r="I1496" s="45" t="n">
        <v>234435</v>
      </c>
      <c r="J1496" s="45" t="n">
        <v>13099</v>
      </c>
      <c r="K1496" s="45" t="n">
        <v>1715</v>
      </c>
      <c r="L1496" s="46" t="n"/>
      <c r="M1496" s="47" t="n"/>
      <c r="N1496" s="47" t="inlineStr">
        <is>
          <t>UCKZo4N0lVPccBkSiuyVh4yg</t>
        </is>
      </c>
      <c r="O1496" s="48" t="n">
        <v>44257.90902777778</v>
      </c>
      <c r="P1496" s="49" t="n">
        <v>44257</v>
      </c>
      <c r="Q1496" s="47" t="n">
        <v>1772</v>
      </c>
      <c r="R1496" s="47" t="inlineStr">
        <is>
          <t>No Video ID yet</t>
        </is>
      </c>
      <c r="S1496" s="49" t="n"/>
      <c r="T1496" s="49" t="n"/>
      <c r="U1496" s="47" t="inlineStr">
        <is>
          <t>Go to and use code SCB to save $75 on your starter kit! Today J dives into the MCU to try explain the end credits scene from WandaVision Episode 8 where a reanimated White Vision is revealed! Also what is the deal with Pietro, What is Agatha’s motivation and what does it mean to be the Scarlet Witch?? #SuperCarlinBrothers #WandaVision #AgathaAllAlong #marvel</t>
        </is>
      </c>
      <c r="V1496" s="47">
        <f>IF(AND(P1496&gt;=Calendar!$K$2,P1496&lt;EDATE(Calendar!$K$2,1),OR(Calendar!$K$4="*",N1496=Calendar!$K$4)),P1496*100+COUNTIFS($P$6:$P$3267,P1496,$Q$6:$Q$3267,"&lt;="&amp;Q1496,$N$6:$N$3267,Calendar!$K$4),"")</f>
        <v/>
      </c>
      <c r="W1496" s="47">
        <f>IF(AND(B1496=Queue!$C$4,OR(Queue!$K$4="*",N1496=Queue!$K$4)),Q1496,"")</f>
        <v/>
      </c>
    </row>
    <row r="1497">
      <c r="A1497" s="38">
        <f>IF(M1497="","",HYPERLINK("https://www.youtube.com/watch?v="&amp;M1497,"▶"))</f>
        <v/>
      </c>
      <c r="B1497" s="39">
        <f>IF(C1497&lt;&gt;"",C1497,IF(P1497&lt;=IFERROR(INDEX(tblChannels[Watched Through],MATCH(N1497,tblChannels[Channel ID],0)),0),"Watched","Unwatched"))</f>
        <v/>
      </c>
      <c r="C1497" s="40" t="n"/>
      <c r="D1497" s="41" t="n"/>
      <c r="E1497" s="42" t="n">
        <v>44253.44791666666</v>
      </c>
      <c r="F1497" s="50" t="inlineStr">
        <is>
          <t>Super Carlin Brothers</t>
        </is>
      </c>
      <c r="G1497" t="inlineStr">
        <is>
          <t>Did WandaVision Cure Superhero Burnout? | Popcorn Culture</t>
        </is>
      </c>
      <c r="H1497" s="44" t="n">
        <v>0.04733796296296296</v>
      </c>
      <c r="I1497" s="45" t="n">
        <v>59119</v>
      </c>
      <c r="J1497" s="45" t="n">
        <v>2438</v>
      </c>
      <c r="K1497" s="45" t="n">
        <v>312</v>
      </c>
      <c r="L1497" s="46" t="n"/>
      <c r="M1497" s="47" t="n"/>
      <c r="N1497" s="47" t="inlineStr">
        <is>
          <t>UCKZo4N0lVPccBkSiuyVh4yg</t>
        </is>
      </c>
      <c r="O1497" s="48" t="n">
        <v>44253.65625</v>
      </c>
      <c r="P1497" s="49" t="n">
        <v>44253</v>
      </c>
      <c r="Q1497" s="47" t="n">
        <v>1771</v>
      </c>
      <c r="R1497" s="47" t="inlineStr">
        <is>
          <t>No Video ID yet</t>
        </is>
      </c>
      <c r="S1497" s="49" t="n"/>
      <c r="T1497" s="49" t="n"/>
      <c r="U1497" s="47" t="inlineStr">
        <is>
          <t>Ben and J discuss: GMA Stickers, being into comics, WandaVision, superhero burnout, weightlifting, Facebook photos, and annual predictions. Spoiler Notes: Wandavision spoilers through Episode 7 - 24m-37m ish Get your own Fred the Cup: Check out Seamus Gorman:</t>
        </is>
      </c>
      <c r="V1497" s="47">
        <f>IF(AND(P1497&gt;=Calendar!$K$2,P1497&lt;EDATE(Calendar!$K$2,1),OR(Calendar!$K$4="*",N1497=Calendar!$K$4)),P1497*100+COUNTIFS($P$6:$P$3267,P1497,$Q$6:$Q$3267,"&lt;="&amp;Q1497,$N$6:$N$3267,Calendar!$K$4),"")</f>
        <v/>
      </c>
      <c r="W1497" s="47">
        <f>IF(AND(B1497=Queue!$C$4,OR(Queue!$K$4="*",N1497=Queue!$K$4)),Q1497,"")</f>
        <v/>
      </c>
    </row>
    <row r="1498">
      <c r="A1498" s="38">
        <f>IF(M1498="","",HYPERLINK("https://www.youtube.com/watch?v="&amp;M1498,"▶"))</f>
        <v/>
      </c>
      <c r="B1498" s="39">
        <f>IF(C1498&lt;&gt;"",C1498,IF(P1498&lt;=IFERROR(INDEX(tblChannels[Watched Through],MATCH(N1498,tblChannels[Channel ID],0)),0),"Watched","Unwatched"))</f>
        <v/>
      </c>
      <c r="C1498" s="40" t="n"/>
      <c r="D1498" s="41" t="n"/>
      <c r="E1498" s="42" t="n">
        <v>44253.25</v>
      </c>
      <c r="F1498" s="43" t="inlineStr">
        <is>
          <t>Popcorn Culture</t>
        </is>
      </c>
      <c r="G1498" t="inlineStr">
        <is>
          <t>64 - Are We Burned Out on Superheroes?</t>
        </is>
      </c>
      <c r="H1498" s="44" t="n">
        <v>0.04723379629629629</v>
      </c>
      <c r="I1498" s="45" t="n">
        <v>1822</v>
      </c>
      <c r="J1498" s="45" t="n">
        <v>93</v>
      </c>
      <c r="K1498" s="45" t="n">
        <v>13</v>
      </c>
      <c r="L1498" s="46" t="n"/>
      <c r="M1498" s="47" t="n"/>
      <c r="N1498" s="47" t="inlineStr">
        <is>
          <t>UCHfIbq9thHPC8yrKjAdJgDA</t>
        </is>
      </c>
      <c r="O1498" s="48" t="n">
        <v>44253.45833333334</v>
      </c>
      <c r="P1498" s="49" t="n">
        <v>44253</v>
      </c>
      <c r="Q1498" s="47" t="n">
        <v>1770</v>
      </c>
      <c r="R1498" s="47" t="inlineStr">
        <is>
          <t>No Video ID yet</t>
        </is>
      </c>
      <c r="S1498" s="49" t="n"/>
      <c r="T1498" s="49" t="n"/>
      <c r="U1498" s="47" t="inlineStr">
        <is>
          <t>Ben and J discuss: GMA Stickers, being into comics, WandaVision, superhero burnout, weightlifting, Facebook photos, and annual predictions. Spoiler Notes: Wandavision spoilers through Episode 7 ~24m-37m ish Get your own Fred the Cup: Check out Seamus Gorman:</t>
        </is>
      </c>
      <c r="V1498" s="47">
        <f>IF(AND(P1498&gt;=Calendar!$K$2,P1498&lt;EDATE(Calendar!$K$2,1),OR(Calendar!$K$4="*",N1498=Calendar!$K$4)),P1498*100+COUNTIFS($P$6:$P$3267,P1498,$Q$6:$Q$3267,"&lt;="&amp;Q1498,$N$6:$N$3267,Calendar!$K$4),"")</f>
        <v/>
      </c>
      <c r="W1498" s="47">
        <f>IF(AND(B1498=Queue!$C$4,OR(Queue!$K$4="*",N1498=Queue!$K$4)),Q1498,"")</f>
        <v/>
      </c>
    </row>
    <row r="1499">
      <c r="A1499" s="38">
        <f>IF(M1499="","",HYPERLINK("https://www.youtube.com/watch?v="&amp;M1499,"▶"))</f>
        <v/>
      </c>
      <c r="B1499" s="39">
        <f>IF(C1499&lt;&gt;"",C1499,IF(P1499&lt;=IFERROR(INDEX(tblChannels[Watched Through],MATCH(N1499,tblChannels[Channel ID],0)),0),"Watched","Unwatched"))</f>
        <v/>
      </c>
      <c r="C1499" s="40" t="n"/>
      <c r="D1499" s="41" t="n"/>
      <c r="E1499" s="42" t="n">
        <v>44252.75277777778</v>
      </c>
      <c r="F1499" s="50" t="inlineStr">
        <is>
          <t>Super Carlin Brothers</t>
        </is>
      </c>
      <c r="G1499" t="inlineStr">
        <is>
          <t>What Is Agatha’s Plan? | WandaVision Theory</t>
        </is>
      </c>
      <c r="H1499" s="44" t="n">
        <v>0.009895833333333333</v>
      </c>
      <c r="I1499" s="45" t="n">
        <v>198905</v>
      </c>
      <c r="J1499" s="45" t="n">
        <v>12399</v>
      </c>
      <c r="K1499" s="45" t="n">
        <v>1551</v>
      </c>
      <c r="L1499" s="46" t="n"/>
      <c r="M1499" s="47" t="n"/>
      <c r="N1499" s="47" t="inlineStr">
        <is>
          <t>UCKZo4N0lVPccBkSiuyVh4yg</t>
        </is>
      </c>
      <c r="O1499" s="48" t="n">
        <v>44252.96111111111</v>
      </c>
      <c r="P1499" s="49" t="n">
        <v>44252</v>
      </c>
      <c r="Q1499" s="47" t="n">
        <v>1769</v>
      </c>
      <c r="R1499" s="47" t="inlineStr">
        <is>
          <t>No Video ID yet</t>
        </is>
      </c>
      <c r="S1499" s="49" t="n"/>
      <c r="T1499" s="49" t="n"/>
      <c r="U1499" s="47" t="inlineStr">
        <is>
          <t>Today Ben dives into the MCU to try and decide what Agnes’ aka Agatha Harkness’ evil plan truly is and why she needs Billy and Tommy to carry it out! Plus who will be the ‘Luke Skywalker level’ cameo?? What are Monica’s powers? Is Doctor Strange involved? Follow us on TikTok :: #SuperCarlinBrothers #WandaVision #AgathaAllAlong #marvel</t>
        </is>
      </c>
      <c r="V1499" s="47">
        <f>IF(AND(P1499&gt;=Calendar!$K$2,P1499&lt;EDATE(Calendar!$K$2,1),OR(Calendar!$K$4="*",N1499=Calendar!$K$4)),P1499*100+COUNTIFS($P$6:$P$3267,P1499,$Q$6:$Q$3267,"&lt;="&amp;Q1499,$N$6:$N$3267,Calendar!$K$4),"")</f>
        <v/>
      </c>
      <c r="W1499" s="47">
        <f>IF(AND(B1499=Queue!$C$4,OR(Queue!$K$4="*",N1499=Queue!$K$4)),Q1499,"")</f>
        <v/>
      </c>
    </row>
    <row r="1500">
      <c r="A1500" s="38">
        <f>IF(M1500="","",HYPERLINK("https://www.youtube.com/watch?v="&amp;M1500,"▶"))</f>
        <v/>
      </c>
      <c r="B1500" s="39">
        <f>IF(C1500&lt;&gt;"",C1500,IF(P1500&lt;=IFERROR(INDEX(tblChannels[Watched Through],MATCH(N1500,tblChannels[Channel ID],0)),0),"Watched","Unwatched"))</f>
        <v/>
      </c>
      <c r="C1500" s="40" t="n"/>
      <c r="D1500" s="41" t="n"/>
      <c r="E1500" s="42" t="n">
        <v>44250.79236111111</v>
      </c>
      <c r="F1500" s="50" t="inlineStr">
        <is>
          <t>Super Carlin Brothers</t>
        </is>
      </c>
      <c r="G1500" t="inlineStr">
        <is>
          <t>Why Didn't James Sacrifice Protect Harry? | Harry Potter Theory</t>
        </is>
      </c>
      <c r="H1500" s="44" t="n">
        <v>0.00962962962962963</v>
      </c>
      <c r="I1500" s="45" t="n">
        <v>467501</v>
      </c>
      <c r="J1500" s="45" t="n">
        <v>20349</v>
      </c>
      <c r="K1500" s="45" t="n">
        <v>2465</v>
      </c>
      <c r="L1500" s="46" t="n"/>
      <c r="M1500" s="47" t="n"/>
      <c r="N1500" s="47" t="inlineStr">
        <is>
          <t>UCKZo4N0lVPccBkSiuyVh4yg</t>
        </is>
      </c>
      <c r="O1500" s="48" t="n">
        <v>44251.00069444445</v>
      </c>
      <c r="P1500" s="49" t="n">
        <v>44250</v>
      </c>
      <c r="Q1500" s="47" t="n">
        <v>1768</v>
      </c>
      <c r="R1500" s="47" t="inlineStr">
        <is>
          <t>No Video ID yet</t>
        </is>
      </c>
      <c r="S1500" s="49" t="n"/>
      <c r="T1500" s="49" t="n"/>
      <c r="U1500" s="47" t="inlineStr">
        <is>
          <t>Go to or text supercarlin to 500-500! Today J dives into the Wizarding World of Harry Potter to get to help explain one of the oldest mysteries in the books - If both James and Lily were killed by Voldemort, why did only Lily’s sacrifice protect Harry? Follow us on TikTok ::</t>
        </is>
      </c>
      <c r="V1500" s="47">
        <f>IF(AND(P1500&gt;=Calendar!$K$2,P1500&lt;EDATE(Calendar!$K$2,1),OR(Calendar!$K$4="*",N1500=Calendar!$K$4)),P1500*100+COUNTIFS($P$6:$P$3267,P1500,$Q$6:$Q$3267,"&lt;="&amp;Q1500,$N$6:$N$3267,Calendar!$K$4),"")</f>
        <v/>
      </c>
      <c r="W1500" s="47">
        <f>IF(AND(B1500=Queue!$C$4,OR(Queue!$K$4="*",N1500=Queue!$K$4)),Q1500,"")</f>
        <v/>
      </c>
    </row>
    <row r="1501">
      <c r="A1501" s="38">
        <f>IF(M1501="","",HYPERLINK("https://www.youtube.com/watch?v="&amp;M1501,"▶"))</f>
        <v/>
      </c>
      <c r="B1501" s="39">
        <f>IF(C1501&lt;&gt;"",C1501,IF(P1501&lt;=IFERROR(INDEX(tblChannels[Watched Through],MATCH(N1501,tblChannels[Channel ID],0)),0),"Watched","Unwatched"))</f>
        <v/>
      </c>
      <c r="C1501" s="40" t="n"/>
      <c r="D1501" s="41" t="n"/>
      <c r="E1501" s="42" t="n">
        <v>44246.58333333334</v>
      </c>
      <c r="F1501" s="50" t="inlineStr">
        <is>
          <t>Super Carlin Brothers</t>
        </is>
      </c>
      <c r="G1501" t="inlineStr">
        <is>
          <t>Ben Gets Glasses | Popcorn Culture</t>
        </is>
      </c>
      <c r="H1501" s="44" t="n">
        <v>0.04351851851851852</v>
      </c>
      <c r="I1501" s="45" t="n">
        <v>46558</v>
      </c>
      <c r="J1501" s="45" t="n">
        <v>2053</v>
      </c>
      <c r="K1501" s="45" t="n">
        <v>359</v>
      </c>
      <c r="L1501" s="46" t="n"/>
      <c r="M1501" s="47" t="n"/>
      <c r="N1501" s="47" t="inlineStr">
        <is>
          <t>UCKZo4N0lVPccBkSiuyVh4yg</t>
        </is>
      </c>
      <c r="O1501" s="48" t="n">
        <v>44246.79166666666</v>
      </c>
      <c r="P1501" s="49" t="n">
        <v>44246</v>
      </c>
      <c r="Q1501" s="47" t="n">
        <v>1767</v>
      </c>
      <c r="R1501" s="47" t="inlineStr">
        <is>
          <t>No Video ID yet</t>
        </is>
      </c>
      <c r="S1501" s="49" t="n"/>
      <c r="T1501" s="49" t="n"/>
      <c r="U1501" s="47" t="inlineStr">
        <is>
          <t>Ben and J discuss: corny jokes, The Bachelor(ette), seating charts, Virginia Tech Football, Ben’s Best Summer, intentionally mismatched socks, and what we call ourselves. Everyone has a Podcast (not spon): Why are bands set up that way: Ben’s Disney Wedding: Mismatched sock company (not spon): Video Edited by: Ethan Edghill</t>
        </is>
      </c>
      <c r="V1501" s="47">
        <f>IF(AND(P1501&gt;=Calendar!$K$2,P1501&lt;EDATE(Calendar!$K$2,1),OR(Calendar!$K$4="*",N1501=Calendar!$K$4)),P1501*100+COUNTIFS($P$6:$P$3267,P1501,$Q$6:$Q$3267,"&lt;="&amp;Q1501,$N$6:$N$3267,Calendar!$K$4),"")</f>
        <v/>
      </c>
      <c r="W1501" s="47">
        <f>IF(AND(B1501=Queue!$C$4,OR(Queue!$K$4="*",N1501=Queue!$K$4)),Q1501,"")</f>
        <v/>
      </c>
    </row>
    <row r="1502">
      <c r="A1502" s="38">
        <f>IF(M1502="","",HYPERLINK("https://www.youtube.com/watch?v="&amp;M1502,"▶"))</f>
        <v/>
      </c>
      <c r="B1502" s="39">
        <f>IF(C1502&lt;&gt;"",C1502,IF(P1502&lt;=IFERROR(INDEX(tblChannels[Watched Through],MATCH(N1502,tblChannels[Channel ID],0)),0),"Watched","Unwatched"))</f>
        <v/>
      </c>
      <c r="C1502" s="40" t="n"/>
      <c r="D1502" s="41" t="n"/>
      <c r="E1502" s="42" t="n">
        <v>44246.25</v>
      </c>
      <c r="F1502" s="43" t="inlineStr">
        <is>
          <t>Popcorn Culture</t>
        </is>
      </c>
      <c r="G1502" t="inlineStr">
        <is>
          <t>63 - The Summer Camp Effect</t>
        </is>
      </c>
      <c r="H1502" s="44" t="n">
        <v>0.04133101851851852</v>
      </c>
      <c r="I1502" s="45" t="n">
        <v>2048</v>
      </c>
      <c r="J1502" s="45" t="n">
        <v>106</v>
      </c>
      <c r="K1502" s="45" t="n">
        <v>25</v>
      </c>
      <c r="L1502" s="46" t="n"/>
      <c r="M1502" s="47" t="n"/>
      <c r="N1502" s="47" t="inlineStr">
        <is>
          <t>UCHfIbq9thHPC8yrKjAdJgDA</t>
        </is>
      </c>
      <c r="O1502" s="48" t="n">
        <v>44246.45833333334</v>
      </c>
      <c r="P1502" s="49" t="n">
        <v>44246</v>
      </c>
      <c r="Q1502" s="47" t="n">
        <v>1766</v>
      </c>
      <c r="R1502" s="47" t="inlineStr">
        <is>
          <t>No Video ID yet</t>
        </is>
      </c>
      <c r="S1502" s="49" t="n"/>
      <c r="T1502" s="49" t="n"/>
      <c r="U1502" s="47" t="inlineStr">
        <is>
          <t>Ben and J discuss: corny jokes, The Bachelor(ette), seating charts, Virginia Tech Football, Ben’s Best Summer, intentionally mismatched socks, and what we call ourselves. Watch this week’s Popcast Live Premiere: Everyone has a Podcast (not spon): Why are bands set up that way: Ben’s Disney Wedding: Mismatched sock company (not spon):</t>
        </is>
      </c>
      <c r="V1502" s="47">
        <f>IF(AND(P1502&gt;=Calendar!$K$2,P1502&lt;EDATE(Calendar!$K$2,1),OR(Calendar!$K$4="*",N1502=Calendar!$K$4)),P1502*100+COUNTIFS($P$6:$P$3267,P1502,$Q$6:$Q$3267,"&lt;="&amp;Q1502,$N$6:$N$3267,Calendar!$K$4),"")</f>
        <v/>
      </c>
      <c r="W1502" s="47">
        <f>IF(AND(B1502=Queue!$C$4,OR(Queue!$K$4="*",N1502=Queue!$K$4)),Q1502,"")</f>
        <v/>
      </c>
    </row>
    <row r="1503">
      <c r="A1503" s="38">
        <f>IF(M1503="","",HYPERLINK("https://www.youtube.com/watch?v="&amp;M1503,"▶"))</f>
        <v/>
      </c>
      <c r="B1503" s="39">
        <f>IF(C1503&lt;&gt;"",C1503,IF(P1503&lt;=IFERROR(INDEX(tblChannels[Watched Through],MATCH(N1503,tblChannels[Channel ID],0)),0),"Watched","Unwatched"))</f>
        <v/>
      </c>
      <c r="C1503" s="40" t="n"/>
      <c r="D1503" s="41" t="n"/>
      <c r="E1503" s="42" t="n">
        <v>44245.59722222222</v>
      </c>
      <c r="F1503" s="50" t="inlineStr">
        <is>
          <t>Super Carlin Brothers</t>
        </is>
      </c>
      <c r="G1503" t="inlineStr">
        <is>
          <t>J vs Ben: EXPERT Level MCU Trivia Quiz</t>
        </is>
      </c>
      <c r="H1503" s="44" t="n">
        <v>0.02074074074074074</v>
      </c>
      <c r="I1503" s="45" t="n">
        <v>243804</v>
      </c>
      <c r="J1503" s="45" t="n">
        <v>9059</v>
      </c>
      <c r="K1503" s="45" t="n">
        <v>949</v>
      </c>
      <c r="L1503" s="46" t="n"/>
      <c r="M1503" s="47" t="n"/>
      <c r="N1503" s="47" t="inlineStr">
        <is>
          <t>UCKZo4N0lVPccBkSiuyVh4yg</t>
        </is>
      </c>
      <c r="O1503" s="48" t="n">
        <v>44245.80555555555</v>
      </c>
      <c r="P1503" s="49" t="n">
        <v>44245</v>
      </c>
      <c r="Q1503" s="47" t="n">
        <v>1765</v>
      </c>
      <c r="R1503" s="47" t="inlineStr">
        <is>
          <t>No Video ID yet</t>
        </is>
      </c>
      <c r="S1503" s="49" t="n"/>
      <c r="T1503" s="49" t="n"/>
      <c r="U1503" s="47" t="inlineStr">
        <is>
          <t>Go to and enter code super about checkout to get 20% off your first monthly box! Download the DoorDash app in the App Store and enter code JVSB2021 to get 25% off and zero delivery fees on your first order! Today J and Ben face off to find out who has more EXPERT level knowledge of the MCU! What is Pepper Potts allergic to? What was the first song in Iron Man? When did Mjolnir first appear? #SuperCarlinBrothers #Marvel</t>
        </is>
      </c>
      <c r="V1503" s="47">
        <f>IF(AND(P1503&gt;=Calendar!$K$2,P1503&lt;EDATE(Calendar!$K$2,1),OR(Calendar!$K$4="*",N1503=Calendar!$K$4)),P1503*100+COUNTIFS($P$6:$P$3267,P1503,$Q$6:$Q$3267,"&lt;="&amp;Q1503,$N$6:$N$3267,Calendar!$K$4),"")</f>
        <v/>
      </c>
      <c r="W1503" s="47">
        <f>IF(AND(B1503=Queue!$C$4,OR(Queue!$K$4="*",N1503=Queue!$K$4)),Q1503,"")</f>
        <v/>
      </c>
    </row>
    <row r="1504">
      <c r="A1504" s="38">
        <f>IF(M1504="","",HYPERLINK("https://www.youtube.com/watch?v="&amp;M1504,"▶"))</f>
        <v/>
      </c>
      <c r="B1504" s="39">
        <f>IF(C1504&lt;&gt;"",C1504,IF(P1504&lt;=IFERROR(INDEX(tblChannels[Watched Through],MATCH(N1504,tblChannels[Channel ID],0)),0),"Watched","Unwatched"))</f>
        <v/>
      </c>
      <c r="C1504" s="40" t="n"/>
      <c r="D1504" s="41" t="n"/>
      <c r="E1504" s="42" t="n">
        <v>44243.80902777778</v>
      </c>
      <c r="F1504" s="50" t="inlineStr">
        <is>
          <t>Super Carlin Brothers</t>
        </is>
      </c>
      <c r="G1504" t="inlineStr">
        <is>
          <t>Are There TWO Wandas? | Marvel Theory</t>
        </is>
      </c>
      <c r="H1504" s="44" t="n">
        <v>0.01231481481481481</v>
      </c>
      <c r="I1504" s="45" t="n">
        <v>217855</v>
      </c>
      <c r="J1504" s="45" t="n">
        <v>13731</v>
      </c>
      <c r="K1504" s="45" t="n">
        <v>1987</v>
      </c>
      <c r="L1504" s="46" t="n"/>
      <c r="M1504" s="47" t="n"/>
      <c r="N1504" s="47" t="inlineStr">
        <is>
          <t>UCKZo4N0lVPccBkSiuyVh4yg</t>
        </is>
      </c>
      <c r="O1504" s="48" t="n">
        <v>44244.01736111111</v>
      </c>
      <c r="P1504" s="49" t="n">
        <v>44243</v>
      </c>
      <c r="Q1504" s="47" t="n">
        <v>1764</v>
      </c>
      <c r="R1504" s="47" t="inlineStr">
        <is>
          <t>No Video ID yet</t>
        </is>
      </c>
      <c r="S1504" s="49" t="n"/>
      <c r="T1504" s="49" t="n"/>
      <c r="U1504" s="47" t="inlineStr">
        <is>
          <t>Go to to get 10% off plus free shipping! Today J dives into the MCU to discuss WandaVision and the possibility that there are TWO Wanda's! ..and possibly two visions for that matter! #SuperCarlinBrothers #WandaVision</t>
        </is>
      </c>
      <c r="V1504" s="47">
        <f>IF(AND(P1504&gt;=Calendar!$K$2,P1504&lt;EDATE(Calendar!$K$2,1),OR(Calendar!$K$4="*",N1504=Calendar!$K$4)),P1504*100+COUNTIFS($P$6:$P$3267,P1504,$Q$6:$Q$3267,"&lt;="&amp;Q1504,$N$6:$N$3267,Calendar!$K$4),"")</f>
        <v/>
      </c>
      <c r="W1504" s="47">
        <f>IF(AND(B1504=Queue!$C$4,OR(Queue!$K$4="*",N1504=Queue!$K$4)),Q1504,"")</f>
        <v/>
      </c>
    </row>
    <row r="1505">
      <c r="A1505" s="38">
        <f>IF(M1505="","",HYPERLINK("https://www.youtube.com/watch?v="&amp;M1505,"▶"))</f>
        <v/>
      </c>
      <c r="B1505" s="39">
        <f>IF(C1505&lt;&gt;"",C1505,IF(P1505&lt;=IFERROR(INDEX(tblChannels[Watched Through],MATCH(N1505,tblChannels[Channel ID],0)),0),"Watched","Unwatched"))</f>
        <v/>
      </c>
      <c r="C1505" s="40" t="n"/>
      <c r="D1505" s="41" t="n"/>
      <c r="E1505" s="42" t="n">
        <v>44239.5</v>
      </c>
      <c r="F1505" s="50" t="inlineStr">
        <is>
          <t>Super Carlin Brothers</t>
        </is>
      </c>
      <c r="G1505" t="inlineStr">
        <is>
          <t>Popcorn Culture Podcast Video Debut!</t>
        </is>
      </c>
      <c r="H1505" s="44" t="n">
        <v>0.05466435185185185</v>
      </c>
      <c r="I1505" s="45" t="n">
        <v>84238</v>
      </c>
      <c r="J1505" s="45" t="n">
        <v>3989</v>
      </c>
      <c r="K1505" s="45" t="n">
        <v>460</v>
      </c>
      <c r="L1505" s="46" t="n"/>
      <c r="M1505" s="47" t="n"/>
      <c r="N1505" s="47" t="inlineStr">
        <is>
          <t>UCKZo4N0lVPccBkSiuyVh4yg</t>
        </is>
      </c>
      <c r="O1505" s="48" t="n">
        <v>44239.70833333334</v>
      </c>
      <c r="P1505" s="49" t="n">
        <v>44239</v>
      </c>
      <c r="Q1505" s="47" t="n">
        <v>1763</v>
      </c>
      <c r="R1505" s="47" t="inlineStr">
        <is>
          <t>No Video ID yet</t>
        </is>
      </c>
      <c r="S1505" s="49" t="n"/>
      <c r="T1505" s="49" t="n"/>
      <c r="U1505" s="47" t="inlineStr">
        <is>
          <t>Welcome to the POP! Normally we face off in J vs Ben but on this show we join team up in conversation! Today Ben and J discuss: Popcast inside jokes, our worst merch ever, NEW patreon tiers, the simplification lifestyle, two-monitor setup, mountain biking, meat smoking, sentimental items, and cross-threading. Watch the Video Premiere of the Pop: What is a Jellyfish sting: Get your very own Play Ball: The Roanoke Star: Mercury in Retrograde: Mercury is the closest planet: www.Patreon.com/PopcornCulture Find us on Reddit:</t>
        </is>
      </c>
      <c r="V1505" s="47">
        <f>IF(AND(P1505&gt;=Calendar!$K$2,P1505&lt;EDATE(Calendar!$K$2,1),OR(Calendar!$K$4="*",N1505=Calendar!$K$4)),P1505*100+COUNTIFS($P$6:$P$3267,P1505,$Q$6:$Q$3267,"&lt;="&amp;Q1505,$N$6:$N$3267,Calendar!$K$4),"")</f>
        <v/>
      </c>
      <c r="W1505" s="47">
        <f>IF(AND(B1505=Queue!$C$4,OR(Queue!$K$4="*",N1505=Queue!$K$4)),Q1505,"")</f>
        <v/>
      </c>
    </row>
    <row r="1506">
      <c r="A1506" s="38">
        <f>IF(M1506="","",HYPERLINK("https://www.youtube.com/watch?v="&amp;M1506,"▶"))</f>
        <v/>
      </c>
      <c r="B1506" s="39">
        <f>IF(C1506&lt;&gt;"",C1506,IF(P1506&lt;=IFERROR(INDEX(tblChannels[Watched Through],MATCH(N1506,tblChannels[Channel ID],0)),0),"Watched","Unwatched"))</f>
        <v/>
      </c>
      <c r="C1506" s="40" t="n"/>
      <c r="D1506" s="41" t="n"/>
      <c r="E1506" s="42" t="n">
        <v>44239.45138888889</v>
      </c>
      <c r="F1506" s="43" t="inlineStr">
        <is>
          <t>Popcorn Culture</t>
        </is>
      </c>
      <c r="G1506" t="inlineStr">
        <is>
          <t>62 - Never Make a Decision Without a Whiteboard</t>
        </is>
      </c>
      <c r="H1506" s="44" t="n">
        <v>0.05028935185185185</v>
      </c>
      <c r="I1506" s="45" t="n">
        <v>2131</v>
      </c>
      <c r="J1506" s="45" t="n">
        <v>117</v>
      </c>
      <c r="K1506" s="45" t="n">
        <v>11</v>
      </c>
      <c r="L1506" s="46" t="n"/>
      <c r="M1506" s="47" t="n"/>
      <c r="N1506" s="47" t="inlineStr">
        <is>
          <t>UCHfIbq9thHPC8yrKjAdJgDA</t>
        </is>
      </c>
      <c r="O1506" s="48" t="n">
        <v>44239.65972222222</v>
      </c>
      <c r="P1506" s="49" t="n">
        <v>44239</v>
      </c>
      <c r="Q1506" s="47" t="n">
        <v>1762</v>
      </c>
      <c r="R1506" s="47" t="inlineStr">
        <is>
          <t>No Video ID yet</t>
        </is>
      </c>
      <c r="S1506" s="49" t="n"/>
      <c r="T1506" s="49" t="n"/>
      <c r="U1506" s="47" t="inlineStr">
        <is>
          <t>Ben and J discuss: Popcast inside jokes, merch flops, NEW patreon tiers, the simplification lifestyle, two-monitor setup, mountain biking, meat smoking, sentimental items, and cross-threading. Watch the Video Premiere of the Pop: What is a Jellyfish sting: Get your very own Play Ball: The Roanoke Star: Mercury in Retrograde: Mercury is the closest planet:</t>
        </is>
      </c>
      <c r="V1506" s="47">
        <f>IF(AND(P1506&gt;=Calendar!$K$2,P1506&lt;EDATE(Calendar!$K$2,1),OR(Calendar!$K$4="*",N1506=Calendar!$K$4)),P1506*100+COUNTIFS($P$6:$P$3267,P1506,$Q$6:$Q$3267,"&lt;="&amp;Q1506,$N$6:$N$3267,Calendar!$K$4),"")</f>
        <v/>
      </c>
      <c r="W1506" s="47">
        <f>IF(AND(B1506=Queue!$C$4,OR(Queue!$K$4="*",N1506=Queue!$K$4)),Q1506,"")</f>
        <v/>
      </c>
    </row>
    <row r="1507">
      <c r="A1507" s="38">
        <f>IF(M1507="","",HYPERLINK("https://www.youtube.com/watch?v="&amp;M1507,"▶"))</f>
        <v/>
      </c>
      <c r="B1507" s="39">
        <f>IF(C1507&lt;&gt;"",C1507,IF(P1507&lt;=IFERROR(INDEX(tblChannels[Watched Through],MATCH(N1507,tblChannels[Channel ID],0)),0),"Watched","Unwatched"))</f>
        <v/>
      </c>
      <c r="C1507" s="40" t="n"/>
      <c r="D1507" s="41" t="n"/>
      <c r="E1507" s="42" t="n">
        <v>44238.85416666666</v>
      </c>
      <c r="F1507" s="50" t="inlineStr">
        <is>
          <t>Super Carlin Brothers</t>
        </is>
      </c>
      <c r="G1507" t="inlineStr">
        <is>
          <t>Will Sam’s Shield Have Powers? | Marvel Theory</t>
        </is>
      </c>
      <c r="H1507" s="44" t="n">
        <v>0.01177083333333333</v>
      </c>
      <c r="I1507" s="45" t="n">
        <v>157924</v>
      </c>
      <c r="J1507" s="45" t="n">
        <v>9157</v>
      </c>
      <c r="K1507" s="45" t="n">
        <v>1006</v>
      </c>
      <c r="L1507" s="46" t="n"/>
      <c r="M1507" s="47" t="n"/>
      <c r="N1507" s="47" t="inlineStr">
        <is>
          <t>UCKZo4N0lVPccBkSiuyVh4yg</t>
        </is>
      </c>
      <c r="O1507" s="48" t="n">
        <v>44239.0625</v>
      </c>
      <c r="P1507" s="49" t="n">
        <v>44238</v>
      </c>
      <c r="Q1507" s="47" t="n">
        <v>1761</v>
      </c>
      <c r="R1507" s="47" t="inlineStr">
        <is>
          <t>No Video ID yet</t>
        </is>
      </c>
      <c r="S1507" s="49" t="n"/>
      <c r="T1507" s="49" t="n"/>
      <c r="U1507" s="47" t="inlineStr">
        <is>
          <t>Visit to get 3 extra months of ExpressVPN for free! Today Ben dives into the MCU to discuss the upcoming show Falcon and the Winter Soldier, who will wield the shield, US Agent and if the Shield Cap brought back at the end of Avengers Endgame will have powers! Follow us on TikTok :: #SuperCarlinBrothers #Marvel</t>
        </is>
      </c>
      <c r="V1507" s="47">
        <f>IF(AND(P1507&gt;=Calendar!$K$2,P1507&lt;EDATE(Calendar!$K$2,1),OR(Calendar!$K$4="*",N1507=Calendar!$K$4)),P1507*100+COUNTIFS($P$6:$P$3267,P1507,$Q$6:$Q$3267,"&lt;="&amp;Q1507,$N$6:$N$3267,Calendar!$K$4),"")</f>
        <v/>
      </c>
      <c r="W1507" s="47">
        <f>IF(AND(B1507=Queue!$C$4,OR(Queue!$K$4="*",N1507=Queue!$K$4)),Q1507,"")</f>
        <v/>
      </c>
    </row>
    <row r="1508">
      <c r="A1508" s="38">
        <f>IF(M1508="","",HYPERLINK("https://www.youtube.com/watch?v="&amp;M1508,"▶"))</f>
        <v/>
      </c>
      <c r="B1508" s="39">
        <f>IF(C1508&lt;&gt;"",C1508,IF(P1508&lt;=IFERROR(INDEX(tblChannels[Watched Through],MATCH(N1508,tblChannels[Channel ID],0)),0),"Watched","Unwatched"))</f>
        <v/>
      </c>
      <c r="C1508" s="40" t="n"/>
      <c r="D1508" s="41" t="n"/>
      <c r="E1508" s="42" t="n">
        <v>44236.88680555556</v>
      </c>
      <c r="F1508" s="50" t="inlineStr">
        <is>
          <t>Super Carlin Brothers</t>
        </is>
      </c>
      <c r="G1508" t="inlineStr">
        <is>
          <t>Did WandaVision Just Introduce the X-Men? | Marvel Theory</t>
        </is>
      </c>
      <c r="H1508" s="44" t="n">
        <v>0.01280092592592593</v>
      </c>
      <c r="I1508" s="45" t="n">
        <v>300799</v>
      </c>
      <c r="J1508" s="45" t="n">
        <v>17281</v>
      </c>
      <c r="K1508" s="45" t="n">
        <v>2476</v>
      </c>
      <c r="L1508" s="46" t="n"/>
      <c r="M1508" s="47" t="n"/>
      <c r="N1508" s="47" t="inlineStr">
        <is>
          <t>UCKZo4N0lVPccBkSiuyVh4yg</t>
        </is>
      </c>
      <c r="O1508" s="48" t="n">
        <v>44237.09513888889</v>
      </c>
      <c r="P1508" s="49" t="n">
        <v>44236</v>
      </c>
      <c r="Q1508" s="47" t="n">
        <v>1760</v>
      </c>
      <c r="R1508" s="47" t="inlineStr">
        <is>
          <t>No Video ID yet</t>
        </is>
      </c>
      <c r="S1508" s="49" t="n"/>
      <c r="T1508" s="49" t="n"/>
      <c r="U1508" s="47" t="inlineStr">
        <is>
          <t>Head over to for 15% off your entire order and free shipping! Today J dives into the MCU and beyond to discuss WandaVision and how Wanda brought back her brother Pietro and accidentally introduced the X-Men to the MCU. Plus more discussion about if Agnes is Agatha Harkness, and a possible Fantastic Four Easter Egg! Follow us on TikTok :: #SuperCarlinBrothers #WandaVision</t>
        </is>
      </c>
      <c r="V1508" s="47">
        <f>IF(AND(P1508&gt;=Calendar!$K$2,P1508&lt;EDATE(Calendar!$K$2,1),OR(Calendar!$K$4="*",N1508=Calendar!$K$4)),P1508*100+COUNTIFS($P$6:$P$3267,P1508,$Q$6:$Q$3267,"&lt;="&amp;Q1508,$N$6:$N$3267,Calendar!$K$4),"")</f>
        <v/>
      </c>
      <c r="W1508" s="47">
        <f>IF(AND(B1508=Queue!$C$4,OR(Queue!$K$4="*",N1508=Queue!$K$4)),Q1508,"")</f>
        <v/>
      </c>
    </row>
    <row r="1509">
      <c r="A1509" s="38">
        <f>IF(M1509="","",HYPERLINK("https://www.youtube.com/watch?v="&amp;M1509,"▶"))</f>
        <v/>
      </c>
      <c r="B1509" s="39">
        <f>IF(C1509&lt;&gt;"",C1509,IF(P1509&lt;=IFERROR(INDEX(tblChannels[Watched Through],MATCH(N1509,tblChannels[Channel ID],0)),0),"Watched","Unwatched"))</f>
        <v/>
      </c>
      <c r="C1509" s="40" t="n"/>
      <c r="D1509" s="41" t="n"/>
      <c r="E1509" s="42" t="n">
        <v>44232.25</v>
      </c>
      <c r="F1509" s="43" t="inlineStr">
        <is>
          <t>Popcorn Culture</t>
        </is>
      </c>
      <c r="G1509" t="inlineStr">
        <is>
          <t>61 - Jellyfish Stings and Other Things That Ruin the Moment</t>
        </is>
      </c>
      <c r="H1509" s="44" t="n">
        <v>0.04496527777777778</v>
      </c>
      <c r="I1509" s="45" t="n">
        <v>2921</v>
      </c>
      <c r="J1509" s="45" t="n">
        <v>153</v>
      </c>
      <c r="K1509" s="45" t="n">
        <v>11</v>
      </c>
      <c r="L1509" s="46" t="n"/>
      <c r="M1509" s="47" t="n"/>
      <c r="N1509" s="47" t="inlineStr">
        <is>
          <t>UCHfIbq9thHPC8yrKjAdJgDA</t>
        </is>
      </c>
      <c r="O1509" s="48" t="n">
        <v>44232.45833333334</v>
      </c>
      <c r="P1509" s="49" t="n">
        <v>44232</v>
      </c>
      <c r="Q1509" s="47" t="n">
        <v>1759</v>
      </c>
      <c r="R1509" s="47" t="inlineStr">
        <is>
          <t>No Video ID yet</t>
        </is>
      </c>
      <c r="S1509" s="49" t="n"/>
      <c r="T1509" s="49" t="n"/>
      <c r="U1509" s="47" t="inlineStr">
        <is>
          <t>Ben and J discuss: fun facts, animal group names, Totally Accurate Battle Simulator, Roanoke’s Top Dog and Dawgs, jellyfish stings, and other things that ruin the moment. Fun animal group names: Totally Accurate Battle Simulator: Jeff Propst in the described shirt: What is “the bush”: Moon Jellyfish: Disney World Videos: Get your very own GMA stickers:</t>
        </is>
      </c>
      <c r="V1509" s="47">
        <f>IF(AND(P1509&gt;=Calendar!$K$2,P1509&lt;EDATE(Calendar!$K$2,1),OR(Calendar!$K$4="*",N1509=Calendar!$K$4)),P1509*100+COUNTIFS($P$6:$P$3267,P1509,$Q$6:$Q$3267,"&lt;="&amp;Q1509,$N$6:$N$3267,Calendar!$K$4),"")</f>
        <v/>
      </c>
      <c r="W1509" s="47">
        <f>IF(AND(B1509=Queue!$C$4,OR(Queue!$K$4="*",N1509=Queue!$K$4)),Q1509,"")</f>
        <v/>
      </c>
    </row>
    <row r="1510">
      <c r="A1510" s="38">
        <f>IF(M1510="","",HYPERLINK("https://www.youtube.com/watch?v="&amp;M1510,"▶"))</f>
        <v/>
      </c>
      <c r="B1510" s="39">
        <f>IF(C1510&lt;&gt;"",C1510,IF(P1510&lt;=IFERROR(INDEX(tblChannels[Watched Through],MATCH(N1510,tblChannels[Channel ID],0)),0),"Watched","Unwatched"))</f>
        <v/>
      </c>
      <c r="C1510" s="40" t="n"/>
      <c r="D1510" s="41" t="n"/>
      <c r="E1510" s="42" t="n">
        <v>44231.9</v>
      </c>
      <c r="F1510" s="50" t="inlineStr">
        <is>
          <t>Super Carlin Brothers</t>
        </is>
      </c>
      <c r="G1510" t="inlineStr">
        <is>
          <t>J vs Ben: The HARDEST Obscure Spells Harry Potter Trivia Quiz</t>
        </is>
      </c>
      <c r="H1510" s="44" t="n">
        <v>0.01751157407407408</v>
      </c>
      <c r="I1510" s="45" t="n">
        <v>279607</v>
      </c>
      <c r="J1510" s="45" t="n">
        <v>10791</v>
      </c>
      <c r="K1510" s="45" t="n">
        <v>2033</v>
      </c>
      <c r="L1510" s="46" t="n"/>
      <c r="M1510" s="47" t="n"/>
      <c r="N1510" s="47" t="inlineStr">
        <is>
          <t>UCKZo4N0lVPccBkSiuyVh4yg</t>
        </is>
      </c>
      <c r="O1510" s="48" t="n">
        <v>44232.10833333333</v>
      </c>
      <c r="P1510" s="49" t="n">
        <v>44231</v>
      </c>
      <c r="Q1510" s="47" t="n">
        <v>1758</v>
      </c>
      <c r="R1510" s="47" t="inlineStr">
        <is>
          <t>No Video ID yet</t>
        </is>
      </c>
      <c r="S1510" s="49" t="n"/>
      <c r="T1510" s="49" t="n"/>
      <c r="U1510" s="47" t="inlineStr">
        <is>
          <t>Download the DoorDash app in the App Store and enter code JVSB2021 to get 25% off and zero delivery fees on your first order! Visit to get Honey for FREE today! Today J and Ben face off once more to find out who knows more insanely obscure spells used in Harry Potter - I mean who really knows the vanishing spell anyway amiright? Follow us on TikTok ::</t>
        </is>
      </c>
      <c r="V1510" s="47">
        <f>IF(AND(P1510&gt;=Calendar!$K$2,P1510&lt;EDATE(Calendar!$K$2,1),OR(Calendar!$K$4="*",N1510=Calendar!$K$4)),P1510*100+COUNTIFS($P$6:$P$3267,P1510,$Q$6:$Q$3267,"&lt;="&amp;Q1510,$N$6:$N$3267,Calendar!$K$4),"")</f>
        <v/>
      </c>
      <c r="W1510" s="47">
        <f>IF(AND(B1510=Queue!$C$4,OR(Queue!$K$4="*",N1510=Queue!$K$4)),Q1510,"")</f>
        <v/>
      </c>
    </row>
    <row r="1511">
      <c r="A1511" s="38">
        <f>IF(M1511="","",HYPERLINK("https://www.youtube.com/watch?v="&amp;M1511,"▶"))</f>
        <v/>
      </c>
      <c r="B1511" s="39">
        <f>IF(C1511&lt;&gt;"",C1511,IF(P1511&lt;=IFERROR(INDEX(tblChannels[Watched Through],MATCH(N1511,tblChannels[Channel ID],0)),0),"Watched","Unwatched"))</f>
        <v/>
      </c>
      <c r="C1511" s="40" t="n"/>
      <c r="D1511" s="41" t="n"/>
      <c r="E1511" s="42" t="n">
        <v>44231.63680555556</v>
      </c>
      <c r="F1511" s="52" t="inlineStr">
        <is>
          <t>Super Carlin Gaming</t>
        </is>
      </c>
      <c r="G1511" t="inlineStr">
        <is>
          <t>Unboxing Pokemon Card Booster Box!</t>
        </is>
      </c>
      <c r="H1511" s="44" t="n">
        <v>0.04799768518518518</v>
      </c>
      <c r="I1511" s="45" t="n">
        <v>8027</v>
      </c>
      <c r="J1511" s="45" t="n">
        <v>459</v>
      </c>
      <c r="K1511" s="45" t="n">
        <v>49</v>
      </c>
      <c r="L1511" s="46" t="n"/>
      <c r="M1511" s="47" t="n"/>
      <c r="N1511" s="47" t="inlineStr">
        <is>
          <t>UCor_9jRnNNZVzTuQ92PKsaQ</t>
        </is>
      </c>
      <c r="O1511" s="48" t="n">
        <v>44231.84513888889</v>
      </c>
      <c r="P1511" s="49" t="n">
        <v>44231</v>
      </c>
      <c r="Q1511" s="47" t="n">
        <v>1757</v>
      </c>
      <c r="R1511" s="47" t="inlineStr">
        <is>
          <t>No Video ID yet</t>
        </is>
      </c>
      <c r="S1511" s="49" t="n"/>
      <c r="T1511" s="49" t="n"/>
      <c r="U1511" s="47" t="inlineStr">
        <is>
          <t>Ben got J a box of Darkness Ablaze Pokemon cards for his birthday (which is today) so today the bros are unboxing them and just hanging out!</t>
        </is>
      </c>
      <c r="V1511" s="47">
        <f>IF(AND(P1511&gt;=Calendar!$K$2,P1511&lt;EDATE(Calendar!$K$2,1),OR(Calendar!$K$4="*",N1511=Calendar!$K$4)),P1511*100+COUNTIFS($P$6:$P$3267,P1511,$Q$6:$Q$3267,"&lt;="&amp;Q1511,$N$6:$N$3267,Calendar!$K$4),"")</f>
        <v/>
      </c>
      <c r="W1511" s="47">
        <f>IF(AND(B1511=Queue!$C$4,OR(Queue!$K$4="*",N1511=Queue!$K$4)),Q1511,"")</f>
        <v/>
      </c>
    </row>
    <row r="1512">
      <c r="A1512" s="38">
        <f>IF(M1512="","",HYPERLINK("https://www.youtube.com/watch?v="&amp;M1512,"▶"))</f>
        <v/>
      </c>
      <c r="B1512" s="39">
        <f>IF(C1512&lt;&gt;"",C1512,IF(P1512&lt;=IFERROR(INDEX(tblChannels[Watched Through],MATCH(N1512,tblChannels[Channel ID],0)),0),"Watched","Unwatched"))</f>
        <v/>
      </c>
      <c r="C1512" s="40" t="n"/>
      <c r="D1512" s="41" t="n"/>
      <c r="E1512" s="42" t="n">
        <v>44229.81388888889</v>
      </c>
      <c r="F1512" s="50" t="inlineStr">
        <is>
          <t>Super Carlin Brothers</t>
        </is>
      </c>
      <c r="G1512" t="inlineStr">
        <is>
          <t>Is Vision Dead? | Marvel Theory</t>
        </is>
      </c>
      <c r="H1512" s="44" t="n">
        <v>0.01028935185185185</v>
      </c>
      <c r="I1512" s="45" t="n">
        <v>281217</v>
      </c>
      <c r="J1512" s="45" t="n">
        <v>16345</v>
      </c>
      <c r="K1512" s="45" t="n">
        <v>1897</v>
      </c>
      <c r="L1512" s="46" t="n"/>
      <c r="M1512" s="47" t="n"/>
      <c r="N1512" s="47" t="inlineStr">
        <is>
          <t>UCKZo4N0lVPccBkSiuyVh4yg</t>
        </is>
      </c>
      <c r="O1512" s="48" t="n">
        <v>44230.02222222222</v>
      </c>
      <c r="P1512" s="49" t="n">
        <v>44229</v>
      </c>
      <c r="Q1512" s="47" t="n">
        <v>1756</v>
      </c>
      <c r="R1512" s="47" t="inlineStr">
        <is>
          <t>No Video ID yet</t>
        </is>
      </c>
      <c r="S1512" s="49" t="n"/>
      <c r="T1512" s="49" t="n"/>
      <c r="U1512" s="47" t="inlineStr">
        <is>
          <t>Go to to get 10% off plus free shipping! Today J dives into the creepy retro world of WandaVision and the MCU, to discuss: WHY Wanda is doing what she’s doing? Is Vision Alive? Is Vision Dead? AND what is Agnes’ true identity?? Follow us on TikTok :: #SuperCarlinBrothers #Marvel #WandaVision #MCU</t>
        </is>
      </c>
      <c r="V1512" s="47">
        <f>IF(AND(P1512&gt;=Calendar!$K$2,P1512&lt;EDATE(Calendar!$K$2,1),OR(Calendar!$K$4="*",N1512=Calendar!$K$4)),P1512*100+COUNTIFS($P$6:$P$3267,P1512,$Q$6:$Q$3267,"&lt;="&amp;Q1512,$N$6:$N$3267,Calendar!$K$4),"")</f>
        <v/>
      </c>
      <c r="W1512" s="47">
        <f>IF(AND(B1512=Queue!$C$4,OR(Queue!$K$4="*",N1512=Queue!$K$4)),Q1512,"")</f>
        <v/>
      </c>
    </row>
    <row r="1513">
      <c r="A1513" s="38">
        <f>IF(M1513="","",HYPERLINK("https://www.youtube.com/watch?v="&amp;M1513,"▶"))</f>
        <v/>
      </c>
      <c r="B1513" s="39">
        <f>IF(C1513&lt;&gt;"",C1513,IF(P1513&lt;=IFERROR(INDEX(tblChannels[Watched Through],MATCH(N1513,tblChannels[Channel ID],0)),0),"Watched","Unwatched"))</f>
        <v/>
      </c>
      <c r="C1513" s="40" t="n"/>
      <c r="D1513" s="41" t="n"/>
      <c r="E1513" s="42" t="n">
        <v>44225.25</v>
      </c>
      <c r="F1513" s="43" t="inlineStr">
        <is>
          <t>Popcorn Culture</t>
        </is>
      </c>
      <c r="G1513" t="inlineStr">
        <is>
          <t>60 - The Stanley Duck</t>
        </is>
      </c>
      <c r="H1513" s="44" t="n">
        <v>0.04527777777777778</v>
      </c>
      <c r="I1513" s="45" t="n">
        <v>2446</v>
      </c>
      <c r="J1513" s="45" t="n">
        <v>124</v>
      </c>
      <c r="K1513" s="45" t="n">
        <v>20</v>
      </c>
      <c r="L1513" s="46" t="n"/>
      <c r="M1513" s="47" t="n"/>
      <c r="N1513" s="47" t="inlineStr">
        <is>
          <t>UCHfIbq9thHPC8yrKjAdJgDA</t>
        </is>
      </c>
      <c r="O1513" s="48" t="n">
        <v>44225.45833333334</v>
      </c>
      <c r="P1513" s="49" t="n">
        <v>44225</v>
      </c>
      <c r="Q1513" s="47" t="n">
        <v>1755</v>
      </c>
      <c r="R1513" s="47" t="inlineStr">
        <is>
          <t>No Video ID yet</t>
        </is>
      </c>
      <c r="S1513" s="49" t="n"/>
      <c r="T1513" s="49" t="n"/>
      <c r="U1513" s="47" t="inlineStr">
        <is>
          <t>Ben and J discuss: Super Carlin Gaming, tattoos, Pokemon, changing your mind, #GreenMallardAssociation, lightning, and wood carving. Mario Kart Roulette: Nuzlocke Challenge: Get your very own GMA stickers: Lightning Protection Systems: What happens when honey is struck by lightning:</t>
        </is>
      </c>
      <c r="V1513" s="47">
        <f>IF(AND(P1513&gt;=Calendar!$K$2,P1513&lt;EDATE(Calendar!$K$2,1),OR(Calendar!$K$4="*",N1513=Calendar!$K$4)),P1513*100+COUNTIFS($P$6:$P$3267,P1513,$Q$6:$Q$3267,"&lt;="&amp;Q1513,$N$6:$N$3267,Calendar!$K$4),"")</f>
        <v/>
      </c>
      <c r="W1513" s="47">
        <f>IF(AND(B1513=Queue!$C$4,OR(Queue!$K$4="*",N1513=Queue!$K$4)),Q1513,"")</f>
        <v/>
      </c>
    </row>
    <row r="1514">
      <c r="A1514" s="38">
        <f>IF(M1514="","",HYPERLINK("https://www.youtube.com/watch?v="&amp;M1514,"▶"))</f>
        <v/>
      </c>
      <c r="B1514" s="39">
        <f>IF(C1514&lt;&gt;"",C1514,IF(P1514&lt;=IFERROR(INDEX(tblChannels[Watched Through],MATCH(N1514,tblChannels[Channel ID],0)),0),"Watched","Unwatched"))</f>
        <v/>
      </c>
      <c r="C1514" s="40" t="n"/>
      <c r="D1514" s="41" t="n"/>
      <c r="E1514" s="42" t="n">
        <v>44224.88888888889</v>
      </c>
      <c r="F1514" s="50" t="inlineStr">
        <is>
          <t>Super Carlin Brothers</t>
        </is>
      </c>
      <c r="G1514" t="inlineStr">
        <is>
          <t>New Harry Potter TV Show Predictions | Harry Potter Theory</t>
        </is>
      </c>
      <c r="H1514" s="44" t="n">
        <v>0.01178240740740741</v>
      </c>
      <c r="I1514" s="45" t="n">
        <v>281695</v>
      </c>
      <c r="J1514" s="45" t="n">
        <v>17862</v>
      </c>
      <c r="K1514" s="45" t="n">
        <v>5130</v>
      </c>
      <c r="L1514" s="46" t="n"/>
      <c r="M1514" s="47" t="n"/>
      <c r="N1514" s="47" t="inlineStr">
        <is>
          <t>UCKZo4N0lVPccBkSiuyVh4yg</t>
        </is>
      </c>
      <c r="O1514" s="48" t="n">
        <v>44225.09722222222</v>
      </c>
      <c r="P1514" s="49" t="n">
        <v>44224</v>
      </c>
      <c r="Q1514" s="47" t="n">
        <v>1754</v>
      </c>
      <c r="R1514" s="47" t="inlineStr">
        <is>
          <t>No Video ID yet</t>
        </is>
      </c>
      <c r="S1514" s="49" t="n"/>
      <c r="T1514" s="49" t="n"/>
      <c r="U1514" s="47" t="inlineStr">
        <is>
          <t>Go to and use code SCB to get $75 off! Today Ben dives into the Wizarding World of Harry Potter to discuss the recently leaked info about a Harry Potter TV Series coming to HBO Max, when it would happen and what it might be about! (Also how can we be involved????)</t>
        </is>
      </c>
      <c r="V1514" s="47">
        <f>IF(AND(P1514&gt;=Calendar!$K$2,P1514&lt;EDATE(Calendar!$K$2,1),OR(Calendar!$K$4="*",N1514=Calendar!$K$4)),P1514*100+COUNTIFS($P$6:$P$3267,P1514,$Q$6:$Q$3267,"&lt;="&amp;Q1514,$N$6:$N$3267,Calendar!$K$4),"")</f>
        <v/>
      </c>
      <c r="W1514" s="47">
        <f>IF(AND(B1514=Queue!$C$4,OR(Queue!$K$4="*",N1514=Queue!$K$4)),Q1514,"")</f>
        <v/>
      </c>
    </row>
    <row r="1515">
      <c r="A1515" s="38">
        <f>IF(M1515="","",HYPERLINK("https://www.youtube.com/watch?v="&amp;M1515,"▶"))</f>
        <v/>
      </c>
      <c r="B1515" s="39">
        <f>IF(C1515&lt;&gt;"",C1515,IF(P1515&lt;=IFERROR(INDEX(tblChannels[Watched Through],MATCH(N1515,tblChannels[Channel ID],0)),0),"Watched","Unwatched"))</f>
        <v/>
      </c>
      <c r="C1515" s="40" t="n"/>
      <c r="D1515" s="41" t="n"/>
      <c r="E1515" s="42" t="n">
        <v>44222.82986111111</v>
      </c>
      <c r="F1515" s="50" t="inlineStr">
        <is>
          <t>Super Carlin Brothers</t>
        </is>
      </c>
      <c r="G1515" t="inlineStr">
        <is>
          <t>Does Woody Have A Soul? | Pixar Theory</t>
        </is>
      </c>
      <c r="H1515" s="44" t="n">
        <v>0.00962962962962963</v>
      </c>
      <c r="I1515" s="45" t="n">
        <v>492336</v>
      </c>
      <c r="J1515" s="45" t="n">
        <v>19322</v>
      </c>
      <c r="K1515" s="45" t="n">
        <v>1772</v>
      </c>
      <c r="L1515" s="46" t="n"/>
      <c r="M1515" s="47" t="n"/>
      <c r="N1515" s="47" t="inlineStr">
        <is>
          <t>UCKZo4N0lVPccBkSiuyVh4yg</t>
        </is>
      </c>
      <c r="O1515" s="48" t="n">
        <v>44223.03819444445</v>
      </c>
      <c r="P1515" s="49" t="n">
        <v>44222</v>
      </c>
      <c r="Q1515" s="47" t="n">
        <v>1753</v>
      </c>
      <c r="R1515" s="47" t="inlineStr">
        <is>
          <t>No Video ID yet</t>
        </is>
      </c>
      <c r="S1515" s="49" t="n"/>
      <c r="T1515" s="49" t="n"/>
      <c r="U1515" s="47" t="inlineStr">
        <is>
          <t>Today J dives into the world of Pixar to discuss whether or not Woody from Toy Story has a Soul! #SuperCarlinBrothers #Soul #Pixar</t>
        </is>
      </c>
      <c r="V1515" s="47">
        <f>IF(AND(P1515&gt;=Calendar!$K$2,P1515&lt;EDATE(Calendar!$K$2,1),OR(Calendar!$K$4="*",N1515=Calendar!$K$4)),P1515*100+COUNTIFS($P$6:$P$3267,P1515,$Q$6:$Q$3267,"&lt;="&amp;Q1515,$N$6:$N$3267,Calendar!$K$4),"")</f>
        <v/>
      </c>
      <c r="W1515" s="47">
        <f>IF(AND(B1515=Queue!$C$4,OR(Queue!$K$4="*",N1515=Queue!$K$4)),Q1515,"")</f>
        <v/>
      </c>
    </row>
    <row r="1516">
      <c r="A1516" s="38">
        <f>IF(M1516="","",HYPERLINK("https://www.youtube.com/watch?v="&amp;M1516,"▶"))</f>
        <v/>
      </c>
      <c r="B1516" s="39">
        <f>IF(C1516&lt;&gt;"",C1516,IF(P1516&lt;=IFERROR(INDEX(tblChannels[Watched Through],MATCH(N1516,tblChannels[Channel ID],0)),0),"Watched","Unwatched"))</f>
        <v/>
      </c>
      <c r="C1516" s="40" t="n"/>
      <c r="D1516" s="41" t="n"/>
      <c r="E1516" s="42" t="n">
        <v>44218.25</v>
      </c>
      <c r="F1516" s="43" t="inlineStr">
        <is>
          <t>Popcorn Culture</t>
        </is>
      </c>
      <c r="G1516" t="inlineStr">
        <is>
          <t>59 - Ben Has The Cutest Dog</t>
        </is>
      </c>
      <c r="H1516" s="44" t="n">
        <v>0.04471064814814815</v>
      </c>
      <c r="I1516" s="45" t="n">
        <v>2376</v>
      </c>
      <c r="J1516" s="45" t="n">
        <v>125</v>
      </c>
      <c r="K1516" s="45" t="n">
        <v>14</v>
      </c>
      <c r="L1516" s="46" t="n"/>
      <c r="M1516" s="47" t="n"/>
      <c r="N1516" s="47" t="inlineStr">
        <is>
          <t>UCHfIbq9thHPC8yrKjAdJgDA</t>
        </is>
      </c>
      <c r="O1516" s="48" t="n">
        <v>44218.45833333334</v>
      </c>
      <c r="P1516" s="49" t="n">
        <v>44218</v>
      </c>
      <c r="Q1516" s="47" t="n">
        <v>1752</v>
      </c>
      <c r="R1516" s="47" t="inlineStr">
        <is>
          <t>No Video ID yet</t>
        </is>
      </c>
      <c r="S1516" s="49" t="n"/>
      <c r="T1516" s="49" t="n"/>
      <c r="U1516" s="47" t="inlineStr">
        <is>
          <t>Ben and J discuss: being wrong vs being correct, the evolution of the comments section, Indie is the cutest dog, rare corals, and flash games. Check out Seamus Gorman: Why do we yawn: Vote for Indie: J and Beth on the Cover of the Roanoker: Yeti Sports:</t>
        </is>
      </c>
      <c r="V1516" s="47">
        <f>IF(AND(P1516&gt;=Calendar!$K$2,P1516&lt;EDATE(Calendar!$K$2,1),OR(Calendar!$K$4="*",N1516=Calendar!$K$4)),P1516*100+COUNTIFS($P$6:$P$3267,P1516,$Q$6:$Q$3267,"&lt;="&amp;Q1516,$N$6:$N$3267,Calendar!$K$4),"")</f>
        <v/>
      </c>
      <c r="W1516" s="47">
        <f>IF(AND(B1516=Queue!$C$4,OR(Queue!$K$4="*",N1516=Queue!$K$4)),Q1516,"")</f>
        <v/>
      </c>
    </row>
    <row r="1517">
      <c r="A1517" s="38">
        <f>IF(M1517="","",HYPERLINK("https://www.youtube.com/watch?v="&amp;M1517,"▶"))</f>
        <v/>
      </c>
      <c r="B1517" s="39">
        <f>IF(C1517&lt;&gt;"",C1517,IF(P1517&lt;=IFERROR(INDEX(tblChannels[Watched Through],MATCH(N1517,tblChannels[Channel ID],0)),0),"Watched","Unwatched"))</f>
        <v/>
      </c>
      <c r="C1517" s="40" t="n"/>
      <c r="D1517" s="41" t="n"/>
      <c r="E1517" s="42" t="n">
        <v>44217.88194444445</v>
      </c>
      <c r="F1517" s="50" t="inlineStr">
        <is>
          <t>Super Carlin Brothers</t>
        </is>
      </c>
      <c r="G1517" t="inlineStr">
        <is>
          <t>J vs Ben: ULTIMATE Soul Trivia Quiz</t>
        </is>
      </c>
      <c r="H1517" s="44" t="n">
        <v>0.01914351851851852</v>
      </c>
      <c r="I1517" s="45" t="n">
        <v>142579</v>
      </c>
      <c r="J1517" s="45" t="n">
        <v>6061</v>
      </c>
      <c r="K1517" s="45" t="n">
        <v>841</v>
      </c>
      <c r="L1517" s="46" t="n"/>
      <c r="M1517" s="47" t="n"/>
      <c r="N1517" s="47" t="inlineStr">
        <is>
          <t>UCKZo4N0lVPccBkSiuyVh4yg</t>
        </is>
      </c>
      <c r="O1517" s="48" t="n">
        <v>44218.09027777778</v>
      </c>
      <c r="P1517" s="49" t="n">
        <v>44217</v>
      </c>
      <c r="Q1517" s="47" t="n">
        <v>1751</v>
      </c>
      <c r="R1517" s="47" t="inlineStr">
        <is>
          <t>No Video ID yet</t>
        </is>
      </c>
      <c r="S1517" s="49" t="n"/>
      <c r="T1517" s="49" t="n"/>
      <c r="U1517" s="47" t="inlineStr">
        <is>
          <t>Visit to get 3 extra months of ExpressVPN for free! Go to and enter the code super at checkout to get 20% off your first monthly box when you sign up! Today J and Ben face off yet again to find out who knows the most about Pixar’s Soul by answering questions submitted and created by all of our amazing Quiz Masters over on Patreon! #SuperCarlinBrothers #Soul #Pixar</t>
        </is>
      </c>
      <c r="V1517" s="47">
        <f>IF(AND(P1517&gt;=Calendar!$K$2,P1517&lt;EDATE(Calendar!$K$2,1),OR(Calendar!$K$4="*",N1517=Calendar!$K$4)),P1517*100+COUNTIFS($P$6:$P$3267,P1517,$Q$6:$Q$3267,"&lt;="&amp;Q1517,$N$6:$N$3267,Calendar!$K$4),"")</f>
        <v/>
      </c>
      <c r="W1517" s="47">
        <f>IF(AND(B1517=Queue!$C$4,OR(Queue!$K$4="*",N1517=Queue!$K$4)),Q1517,"")</f>
        <v/>
      </c>
    </row>
    <row r="1518">
      <c r="A1518" s="38">
        <f>IF(M1518="","",HYPERLINK("https://www.youtube.com/watch?v="&amp;M1518,"▶"))</f>
        <v/>
      </c>
      <c r="B1518" s="39">
        <f>IF(C1518&lt;&gt;"",C1518,IF(P1518&lt;=IFERROR(INDEX(tblChannels[Watched Through],MATCH(N1518,tblChannels[Channel ID],0)),0),"Watched","Unwatched"))</f>
        <v/>
      </c>
      <c r="C1518" s="40" t="n"/>
      <c r="D1518" s="41" t="n"/>
      <c r="E1518" s="42" t="n">
        <v>44217.625</v>
      </c>
      <c r="F1518" s="53" t="inlineStr">
        <is>
          <t>Jonathan Carlin</t>
        </is>
      </c>
      <c r="G1518" t="inlineStr">
        <is>
          <t>WE NEED YOUR HELP!</t>
        </is>
      </c>
      <c r="H1518" s="44" t="n">
        <v>0.002534722222222222</v>
      </c>
      <c r="I1518" s="45" t="n">
        <v>44393</v>
      </c>
      <c r="J1518" s="45" t="n">
        <v>3221</v>
      </c>
      <c r="K1518" s="45" t="n">
        <v>460</v>
      </c>
      <c r="L1518" s="46" t="n"/>
      <c r="M1518" s="47" t="n"/>
      <c r="N1518" s="47" t="inlineStr">
        <is>
          <t>UCYPKFe86e6nm4TVUYKLsFUQ</t>
        </is>
      </c>
      <c r="O1518" s="48" t="n">
        <v>44217.83333333334</v>
      </c>
      <c r="P1518" s="49" t="n">
        <v>44217</v>
      </c>
      <c r="Q1518" s="47" t="n">
        <v>1750</v>
      </c>
      <c r="R1518" s="47" t="inlineStr">
        <is>
          <t>No Video ID yet</t>
        </is>
      </c>
      <c r="S1518" s="49" t="n"/>
      <c r="T1518" s="49" t="n"/>
      <c r="U1518" s="47" t="inlineStr">
        <is>
          <t>Vote Here :: Click the link above and scroll to the bottom of the page and enter "SuperCarlinBrothers YouTube Channel" for the Best Thing Not Listed category! Our Other Recommendations Male - Star of the City - John Carlin Female Star of the City - Mary Carlin Most Savvy Entrepreneur -- Tyler Carlin Started a Podcast Network WBNE featuring shows such as :: Bacon &amp; Eggs: A Movie Lovers Podcast, That's What I'm Tolkien About, Late to the Party and Unsobered On the Air: John Carlin Favorite Local Festival: Go Fest Best Local Charity Event: Puppy Love Ball (our mom is a big part of this one) Best Idea for Valley’s Future: More Mountain Bike trails (we just love mountain biking) Best Race/Marathon: Blue Ridge Marathon (Our Dad co-founded this race and it's the toughest road marathon in America!)</t>
        </is>
      </c>
      <c r="V1518" s="47">
        <f>IF(AND(P1518&gt;=Calendar!$K$2,P1518&lt;EDATE(Calendar!$K$2,1),OR(Calendar!$K$4="*",N1518=Calendar!$K$4)),P1518*100+COUNTIFS($P$6:$P$3267,P1518,$Q$6:$Q$3267,"&lt;="&amp;Q1518,$N$6:$N$3267,Calendar!$K$4),"")</f>
        <v/>
      </c>
      <c r="W1518" s="47">
        <f>IF(AND(B1518=Queue!$C$4,OR(Queue!$K$4="*",N1518=Queue!$K$4)),Q1518,"")</f>
        <v/>
      </c>
    </row>
    <row r="1519">
      <c r="A1519" s="38">
        <f>IF(M1519="","",HYPERLINK("https://www.youtube.com/watch?v="&amp;M1519,"▶"))</f>
        <v/>
      </c>
      <c r="B1519" s="39">
        <f>IF(C1519&lt;&gt;"",C1519,IF(P1519&lt;=IFERROR(INDEX(tblChannels[Watched Through],MATCH(N1519,tblChannels[Channel ID],0)),0),"Watched","Unwatched"))</f>
        <v/>
      </c>
      <c r="C1519" s="40" t="n"/>
      <c r="D1519" s="41" t="n"/>
      <c r="E1519" s="42" t="n">
        <v>44216.54166666666</v>
      </c>
      <c r="F1519" s="53" t="inlineStr">
        <is>
          <t>Jonathan Carlin</t>
        </is>
      </c>
      <c r="G1519" t="inlineStr">
        <is>
          <t>HAPPY NEW YEAR 2021!</t>
        </is>
      </c>
      <c r="H1519" s="44" t="n">
        <v>0.006319444444444444</v>
      </c>
      <c r="I1519" s="45" t="n">
        <v>22727</v>
      </c>
      <c r="J1519" s="45" t="n">
        <v>1770</v>
      </c>
      <c r="K1519" s="45" t="n">
        <v>132</v>
      </c>
      <c r="L1519" s="46" t="n"/>
      <c r="M1519" s="47" t="n"/>
      <c r="N1519" s="47" t="inlineStr">
        <is>
          <t>UCYPKFe86e6nm4TVUYKLsFUQ</t>
        </is>
      </c>
      <c r="O1519" s="48" t="n">
        <v>44216.75</v>
      </c>
      <c r="P1519" s="49" t="n">
        <v>44216</v>
      </c>
      <c r="Q1519" s="47" t="n">
        <v>1749</v>
      </c>
      <c r="R1519" s="47" t="inlineStr">
        <is>
          <t>No Video ID yet</t>
        </is>
      </c>
      <c r="S1519" s="49" t="n"/>
      <c r="T1519" s="49" t="n"/>
      <c r="U1519" s="47" t="inlineStr">
        <is>
          <t>This week J and the SCB crew finally finish moving out of the old office and the family celebrates the end of 2020 (at last!) and Beth tries out her new bike!</t>
        </is>
      </c>
      <c r="V1519" s="47">
        <f>IF(AND(P1519&gt;=Calendar!$K$2,P1519&lt;EDATE(Calendar!$K$2,1),OR(Calendar!$K$4="*",N1519=Calendar!$K$4)),P1519*100+COUNTIFS($P$6:$P$3267,P1519,$Q$6:$Q$3267,"&lt;="&amp;Q1519,$N$6:$N$3267,Calendar!$K$4),"")</f>
        <v/>
      </c>
      <c r="W1519" s="47">
        <f>IF(AND(B1519=Queue!$C$4,OR(Queue!$K$4="*",N1519=Queue!$K$4)),Q1519,"")</f>
        <v/>
      </c>
    </row>
    <row r="1520">
      <c r="A1520" s="38">
        <f>IF(M1520="","",HYPERLINK("https://www.youtube.com/watch?v="&amp;M1520,"▶"))</f>
        <v/>
      </c>
      <c r="B1520" s="39">
        <f>IF(C1520&lt;&gt;"",C1520,IF(P1520&lt;=IFERROR(INDEX(tblChannels[Watched Through],MATCH(N1520,tblChannels[Channel ID],0)),0),"Watched","Unwatched"))</f>
        <v/>
      </c>
      <c r="C1520" s="40" t="n"/>
      <c r="D1520" s="41" t="n"/>
      <c r="E1520" s="42" t="n">
        <v>44215.87708333333</v>
      </c>
      <c r="F1520" s="50" t="inlineStr">
        <is>
          <t>Super Carlin Brothers</t>
        </is>
      </c>
      <c r="G1520" t="inlineStr">
        <is>
          <t>Who Is Controlling Wanda? | Marvel Theory</t>
        </is>
      </c>
      <c r="H1520" s="44" t="n">
        <v>0.01344907407407407</v>
      </c>
      <c r="I1520" s="45" t="n">
        <v>268020</v>
      </c>
      <c r="J1520" s="45" t="n">
        <v>15230</v>
      </c>
      <c r="K1520" s="45" t="n">
        <v>3197</v>
      </c>
      <c r="L1520" s="46" t="n"/>
      <c r="M1520" s="47" t="n"/>
      <c r="N1520" s="47" t="inlineStr">
        <is>
          <t>UCKZo4N0lVPccBkSiuyVh4yg</t>
        </is>
      </c>
      <c r="O1520" s="48" t="n">
        <v>44216.08541666667</v>
      </c>
      <c r="P1520" s="49" t="n">
        <v>44215</v>
      </c>
      <c r="Q1520" s="47" t="n">
        <v>1748</v>
      </c>
      <c r="R1520" s="47" t="inlineStr">
        <is>
          <t>No Video ID yet</t>
        </is>
      </c>
      <c r="S1520" s="49" t="n"/>
      <c r="T1520" s="49" t="n"/>
      <c r="U1520" s="47" t="inlineStr">
        <is>
          <t>Go to to get 10% off plus free shipping! Today J dives into the warped reality of the Marvel Cinematic Universe to discuss who is controlling Wanda or else “doing this to her” in WandaVision. #SuperCarlinBrothers #Marvel #WandaVision</t>
        </is>
      </c>
      <c r="V1520" s="47">
        <f>IF(AND(P1520&gt;=Calendar!$K$2,P1520&lt;EDATE(Calendar!$K$2,1),OR(Calendar!$K$4="*",N1520=Calendar!$K$4)),P1520*100+COUNTIFS($P$6:$P$3267,P1520,$Q$6:$Q$3267,"&lt;="&amp;Q1520,$N$6:$N$3267,Calendar!$K$4),"")</f>
        <v/>
      </c>
      <c r="W1520" s="47">
        <f>IF(AND(B1520=Queue!$C$4,OR(Queue!$K$4="*",N1520=Queue!$K$4)),Q1520,"")</f>
        <v/>
      </c>
    </row>
    <row r="1521">
      <c r="A1521" s="38">
        <f>IF(M1521="","",HYPERLINK("https://www.youtube.com/watch?v="&amp;M1521,"▶"))</f>
        <v/>
      </c>
      <c r="B1521" s="39">
        <f>IF(C1521&lt;&gt;"",C1521,IF(P1521&lt;=IFERROR(INDEX(tblChannels[Watched Through],MATCH(N1521,tblChannels[Channel ID],0)),0),"Watched","Unwatched"))</f>
        <v/>
      </c>
      <c r="C1521" s="40" t="n"/>
      <c r="D1521" s="41" t="n"/>
      <c r="E1521" s="42" t="n">
        <v>44211.5</v>
      </c>
      <c r="F1521" s="43" t="inlineStr">
        <is>
          <t>Popcorn Culture</t>
        </is>
      </c>
      <c r="G1521" t="inlineStr">
        <is>
          <t>58 - Cantaloupe Catapults</t>
        </is>
      </c>
      <c r="H1521" s="44" t="n">
        <v>0.04606481481481482</v>
      </c>
      <c r="I1521" s="45" t="n">
        <v>2545</v>
      </c>
      <c r="J1521" s="45" t="n">
        <v>127</v>
      </c>
      <c r="K1521" s="45" t="n">
        <v>27</v>
      </c>
      <c r="L1521" s="46" t="n"/>
      <c r="M1521" s="47" t="n"/>
      <c r="N1521" s="47" t="inlineStr">
        <is>
          <t>UCHfIbq9thHPC8yrKjAdJgDA</t>
        </is>
      </c>
      <c r="O1521" s="48" t="n">
        <v>44211.70833333334</v>
      </c>
      <c r="P1521" s="49" t="n">
        <v>44211</v>
      </c>
      <c r="Q1521" s="47" t="n">
        <v>1747</v>
      </c>
      <c r="R1521" s="47" t="inlineStr">
        <is>
          <t>No Video ID yet</t>
        </is>
      </c>
      <c r="S1521" s="49" t="n"/>
      <c r="T1521" s="49" t="n"/>
      <c r="U1521" s="47" t="inlineStr">
        <is>
          <t>Ben and J discuss: being tech savvy, cupdate, stickers, cool shoes, watch wearing, Ben’s parties, fruit cannons, and stripping your laundry. Check out Bacon and Eggs: Watch Wearing: Popcast Watch Wearing Habits: Watermelon Pop: Laundry stripping:</t>
        </is>
      </c>
      <c r="V1521" s="47">
        <f>IF(AND(P1521&gt;=Calendar!$K$2,P1521&lt;EDATE(Calendar!$K$2,1),OR(Calendar!$K$4="*",N1521=Calendar!$K$4)),P1521*100+COUNTIFS($P$6:$P$3267,P1521,$Q$6:$Q$3267,"&lt;="&amp;Q1521,$N$6:$N$3267,Calendar!$K$4),"")</f>
        <v/>
      </c>
      <c r="W1521" s="47">
        <f>IF(AND(B1521=Queue!$C$4,OR(Queue!$K$4="*",N1521=Queue!$K$4)),Q1521,"")</f>
        <v/>
      </c>
    </row>
    <row r="1522">
      <c r="A1522" s="38">
        <f>IF(M1522="","",HYPERLINK("https://www.youtube.com/watch?v="&amp;M1522,"▶"))</f>
        <v/>
      </c>
      <c r="B1522" s="39">
        <f>IF(C1522&lt;&gt;"",C1522,IF(P1522&lt;=IFERROR(INDEX(tblChannels[Watched Through],MATCH(N1522,tblChannels[Channel ID],0)),0),"Watched","Unwatched"))</f>
        <v/>
      </c>
      <c r="C1522" s="40" t="n"/>
      <c r="D1522" s="41" t="n"/>
      <c r="E1522" s="42" t="n">
        <v>44210.84583333333</v>
      </c>
      <c r="F1522" s="50" t="inlineStr">
        <is>
          <t>Super Carlin Brothers</t>
        </is>
      </c>
      <c r="G1522" t="inlineStr">
        <is>
          <t>Who Originally Disrupted The Count? | Pixar Theory</t>
        </is>
      </c>
      <c r="H1522" s="44" t="n">
        <v>0.01085648148148148</v>
      </c>
      <c r="I1522" s="45" t="n">
        <v>1222913</v>
      </c>
      <c r="J1522" s="45" t="n">
        <v>40865</v>
      </c>
      <c r="K1522" s="45" t="n">
        <v>4166</v>
      </c>
      <c r="L1522" s="46" t="n"/>
      <c r="M1522" s="47" t="n"/>
      <c r="N1522" s="47" t="inlineStr">
        <is>
          <t>UCKZo4N0lVPccBkSiuyVh4yg</t>
        </is>
      </c>
      <c r="O1522" s="48" t="n">
        <v>44211.05416666667</v>
      </c>
      <c r="P1522" s="49" t="n">
        <v>44210</v>
      </c>
      <c r="Q1522" s="47" t="n">
        <v>1746</v>
      </c>
      <c r="R1522" s="47" t="inlineStr">
        <is>
          <t>No Video ID yet</t>
        </is>
      </c>
      <c r="S1522" s="49" t="n"/>
      <c r="T1522" s="49" t="n"/>
      <c r="U1522" s="47" t="inlineStr">
        <is>
          <t>Visit for 10% off! Today Ben dives into the world of Pixar’s Soul to try and uncover which other Pixar character may have upset the count before Joe and 22 got involved in the mix! #SuperCarlinBrothers #Pixar #Soul #SwampFarts</t>
        </is>
      </c>
      <c r="V1522" s="47">
        <f>IF(AND(P1522&gt;=Calendar!$K$2,P1522&lt;EDATE(Calendar!$K$2,1),OR(Calendar!$K$4="*",N1522=Calendar!$K$4)),P1522*100+COUNTIFS($P$6:$P$3267,P1522,$Q$6:$Q$3267,"&lt;="&amp;Q1522,$N$6:$N$3267,Calendar!$K$4),"")</f>
        <v/>
      </c>
      <c r="W1522" s="47">
        <f>IF(AND(B1522=Queue!$C$4,OR(Queue!$K$4="*",N1522=Queue!$K$4)),Q1522,"")</f>
        <v/>
      </c>
    </row>
    <row r="1523">
      <c r="A1523" s="38">
        <f>IF(M1523="","",HYPERLINK("https://www.youtube.com/watch?v="&amp;M1523,"▶"))</f>
        <v/>
      </c>
      <c r="B1523" s="39">
        <f>IF(C1523&lt;&gt;"",C1523,IF(P1523&lt;=IFERROR(INDEX(tblChannels[Watched Through],MATCH(N1523,tblChannels[Channel ID],0)),0),"Watched","Unwatched"))</f>
        <v/>
      </c>
      <c r="C1523" s="40" t="n"/>
      <c r="D1523" s="41" t="n"/>
      <c r="E1523" s="42" t="n">
        <v>44209.60416666666</v>
      </c>
      <c r="F1523" s="53" t="inlineStr">
        <is>
          <t>Jonathan Carlin</t>
        </is>
      </c>
      <c r="G1523" t="inlineStr">
        <is>
          <t>The Twins First Christmas!</t>
        </is>
      </c>
      <c r="H1523" s="44" t="n">
        <v>0.008287037037037037</v>
      </c>
      <c r="I1523" s="45" t="n">
        <v>35306</v>
      </c>
      <c r="J1523" s="45" t="n">
        <v>2218</v>
      </c>
      <c r="K1523" s="45" t="n">
        <v>221</v>
      </c>
      <c r="L1523" s="46" t="n"/>
      <c r="M1523" s="47" t="n"/>
      <c r="N1523" s="47" t="inlineStr">
        <is>
          <t>UCYPKFe86e6nm4TVUYKLsFUQ</t>
        </is>
      </c>
      <c r="O1523" s="48" t="n">
        <v>44209.8125</v>
      </c>
      <c r="P1523" s="49" t="n">
        <v>44209</v>
      </c>
      <c r="Q1523" s="47" t="n">
        <v>1745</v>
      </c>
      <c r="R1523" s="47" t="inlineStr">
        <is>
          <t>No Video ID yet</t>
        </is>
      </c>
      <c r="S1523" s="49" t="n"/>
      <c r="T1523" s="49" t="n"/>
      <c r="U1523" s="47" t="inlineStr">
        <is>
          <t>J, Beth, Luke Nick and Nate celebrate Christmas!!</t>
        </is>
      </c>
      <c r="V1523" s="47">
        <f>IF(AND(P1523&gt;=Calendar!$K$2,P1523&lt;EDATE(Calendar!$K$2,1),OR(Calendar!$K$4="*",N1523=Calendar!$K$4)),P1523*100+COUNTIFS($P$6:$P$3267,P1523,$Q$6:$Q$3267,"&lt;="&amp;Q1523,$N$6:$N$3267,Calendar!$K$4),"")</f>
        <v/>
      </c>
      <c r="W1523" s="47">
        <f>IF(AND(B1523=Queue!$C$4,OR(Queue!$K$4="*",N1523=Queue!$K$4)),Q1523,"")</f>
        <v/>
      </c>
    </row>
    <row r="1524">
      <c r="A1524" s="38">
        <f>IF(M1524="","",HYPERLINK("https://www.youtube.com/watch?v="&amp;M1524,"▶"))</f>
        <v/>
      </c>
      <c r="B1524" s="39">
        <f>IF(C1524&lt;&gt;"",C1524,IF(P1524&lt;=IFERROR(INDEX(tblChannels[Watched Through],MATCH(N1524,tblChannels[Channel ID],0)),0),"Watched","Unwatched"))</f>
        <v/>
      </c>
      <c r="C1524" s="40" t="n"/>
      <c r="D1524" s="41" t="n"/>
      <c r="E1524" s="42" t="n">
        <v>44208.84097222222</v>
      </c>
      <c r="F1524" s="50" t="inlineStr">
        <is>
          <t>Super Carlin Brothers</t>
        </is>
      </c>
      <c r="G1524" t="inlineStr">
        <is>
          <t>Who Does 22 Become? | Pixar Theory</t>
        </is>
      </c>
      <c r="H1524" s="44" t="n">
        <v>0.01158564814814815</v>
      </c>
      <c r="I1524" s="45" t="n">
        <v>3372811</v>
      </c>
      <c r="J1524" s="45" t="n">
        <v>82879</v>
      </c>
      <c r="K1524" s="45" t="n">
        <v>7981</v>
      </c>
      <c r="L1524" s="46" t="n"/>
      <c r="M1524" s="47" t="n"/>
      <c r="N1524" s="47" t="inlineStr">
        <is>
          <t>UCKZo4N0lVPccBkSiuyVh4yg</t>
        </is>
      </c>
      <c r="O1524" s="48" t="n">
        <v>44209.04930555556</v>
      </c>
      <c r="P1524" s="49" t="n">
        <v>44208</v>
      </c>
      <c r="Q1524" s="47" t="n">
        <v>1744</v>
      </c>
      <c r="R1524" s="47" t="inlineStr">
        <is>
          <t>No Video ID yet</t>
        </is>
      </c>
      <c r="S1524" s="49" t="n"/>
      <c r="T1524" s="49" t="n"/>
      <c r="U1524" s="47" t="inlineStr">
        <is>
          <t>Go to and use code SCB to get $75 off your starter kit! Today J dives into the Pixar Universe to discuss Soul and uncover 22’s identity after they land on Earth! Are they Boo? Russel? Maybe even Wall-E?? #SuperCarlinBrothers #Pixar #Soul</t>
        </is>
      </c>
      <c r="V1524" s="47">
        <f>IF(AND(P1524&gt;=Calendar!$K$2,P1524&lt;EDATE(Calendar!$K$2,1),OR(Calendar!$K$4="*",N1524=Calendar!$K$4)),P1524*100+COUNTIFS($P$6:$P$3267,P1524,$Q$6:$Q$3267,"&lt;="&amp;Q1524,$N$6:$N$3267,Calendar!$K$4),"")</f>
        <v/>
      </c>
      <c r="W1524" s="47">
        <f>IF(AND(B1524=Queue!$C$4,OR(Queue!$K$4="*",N1524=Queue!$K$4)),Q1524,"")</f>
        <v/>
      </c>
    </row>
    <row r="1525">
      <c r="A1525" s="38">
        <f>IF(M1525="","",HYPERLINK("https://www.youtube.com/watch?v="&amp;M1525,"▶"))</f>
        <v/>
      </c>
      <c r="B1525" s="39">
        <f>IF(C1525&lt;&gt;"",C1525,IF(P1525&lt;=IFERROR(INDEX(tblChannels[Watched Through],MATCH(N1525,tblChannels[Channel ID],0)),0),"Watched","Unwatched"))</f>
        <v/>
      </c>
      <c r="C1525" s="40" t="n"/>
      <c r="D1525" s="41" t="n"/>
      <c r="E1525" s="42" t="n">
        <v>44204.62777777778</v>
      </c>
      <c r="F1525" s="43" t="inlineStr">
        <is>
          <t>Popcorn Culture</t>
        </is>
      </c>
      <c r="G1525" t="inlineStr">
        <is>
          <t>57 - Throwing the Game</t>
        </is>
      </c>
      <c r="H1525" s="44" t="n">
        <v>0.04931712962962963</v>
      </c>
      <c r="I1525" s="45" t="n">
        <v>2644</v>
      </c>
      <c r="J1525" s="45" t="n">
        <v>119</v>
      </c>
      <c r="K1525" s="45" t="n">
        <v>16</v>
      </c>
      <c r="L1525" s="46" t="n"/>
      <c r="M1525" s="47" t="n"/>
      <c r="N1525" s="47" t="inlineStr">
        <is>
          <t>UCHfIbq9thHPC8yrKjAdJgDA</t>
        </is>
      </c>
      <c r="O1525" s="48" t="n">
        <v>44204.83611111111</v>
      </c>
      <c r="P1525" s="49" t="n">
        <v>44204</v>
      </c>
      <c r="Q1525" s="47" t="n">
        <v>1743</v>
      </c>
      <c r="R1525" s="47" t="inlineStr">
        <is>
          <t>No Video ID yet</t>
        </is>
      </c>
      <c r="S1525" s="49" t="n"/>
      <c r="T1525" s="49" t="n"/>
      <c r="U1525" s="47" t="inlineStr">
        <is>
          <t>Ben and J discuss: tapas, staycations, decor for self-expression, AFC East and the football playoffs, interesting pets, mountain biking, and the importance of stretching. Kani Salad:</t>
        </is>
      </c>
      <c r="V1525" s="47">
        <f>IF(AND(P1525&gt;=Calendar!$K$2,P1525&lt;EDATE(Calendar!$K$2,1),OR(Calendar!$K$4="*",N1525=Calendar!$K$4)),P1525*100+COUNTIFS($P$6:$P$3267,P1525,$Q$6:$Q$3267,"&lt;="&amp;Q1525,$N$6:$N$3267,Calendar!$K$4),"")</f>
        <v/>
      </c>
      <c r="W1525" s="47">
        <f>IF(AND(B1525=Queue!$C$4,OR(Queue!$K$4="*",N1525=Queue!$K$4)),Q1525,"")</f>
        <v/>
      </c>
    </row>
    <row r="1526">
      <c r="A1526" s="38">
        <f>IF(M1526="","",HYPERLINK("https://www.youtube.com/watch?v="&amp;M1526,"▶"))</f>
        <v/>
      </c>
      <c r="B1526" s="39">
        <f>IF(C1526&lt;&gt;"",C1526,IF(P1526&lt;=IFERROR(INDEX(tblChannels[Watched Through],MATCH(N1526,tblChannels[Channel ID],0)),0),"Watched","Unwatched"))</f>
        <v/>
      </c>
      <c r="C1526" s="40" t="n"/>
      <c r="D1526" s="41" t="n"/>
      <c r="E1526" s="42" t="n">
        <v>44203.87777777778</v>
      </c>
      <c r="F1526" s="50" t="inlineStr">
        <is>
          <t>Super Carlin Brothers</t>
        </is>
      </c>
      <c r="G1526" t="inlineStr">
        <is>
          <t>How Soul Fits Into The Pixar Theory</t>
        </is>
      </c>
      <c r="H1526" s="44" t="n">
        <v>0.01168981481481481</v>
      </c>
      <c r="I1526" s="45" t="n">
        <v>871608</v>
      </c>
      <c r="J1526" s="45" t="n">
        <v>35939</v>
      </c>
      <c r="K1526" s="45" t="n">
        <v>3528</v>
      </c>
      <c r="L1526" s="46" t="n"/>
      <c r="M1526" s="47" t="n"/>
      <c r="N1526" s="47" t="inlineStr">
        <is>
          <t>UCKZo4N0lVPccBkSiuyVh4yg</t>
        </is>
      </c>
      <c r="O1526" s="48" t="n">
        <v>44204.08611111111</v>
      </c>
      <c r="P1526" s="49" t="n">
        <v>44203</v>
      </c>
      <c r="Q1526" s="47" t="n">
        <v>1742</v>
      </c>
      <c r="R1526" s="47" t="inlineStr">
        <is>
          <t>No Video ID yet</t>
        </is>
      </c>
      <c r="S1526" s="49" t="n"/>
      <c r="T1526" s="49" t="n"/>
      <c r="U1526" s="47" t="inlineStr">
        <is>
          <t>Go to to get 3 extra months free! SCB Annual Survey :: Today J dives into the Pixar Universe to reveal how Soul fits into the ever growing Pixar Theory! #SuperCarlinBrothers #Pixar #Soul</t>
        </is>
      </c>
      <c r="V1526" s="47">
        <f>IF(AND(P1526&gt;=Calendar!$K$2,P1526&lt;EDATE(Calendar!$K$2,1),OR(Calendar!$K$4="*",N1526=Calendar!$K$4)),P1526*100+COUNTIFS($P$6:$P$3267,P1526,$Q$6:$Q$3267,"&lt;="&amp;Q1526,$N$6:$N$3267,Calendar!$K$4),"")</f>
        <v/>
      </c>
      <c r="W1526" s="47">
        <f>IF(AND(B1526=Queue!$C$4,OR(Queue!$K$4="*",N1526=Queue!$K$4)),Q1526,"")</f>
        <v/>
      </c>
    </row>
    <row r="1527">
      <c r="A1527" s="38">
        <f>IF(M1527="","",HYPERLINK("https://www.youtube.com/watch?v="&amp;M1527,"▶"))</f>
        <v/>
      </c>
      <c r="B1527" s="39">
        <f>IF(C1527&lt;&gt;"",C1527,IF(P1527&lt;=IFERROR(INDEX(tblChannels[Watched Through],MATCH(N1527,tblChannels[Channel ID],0)),0),"Watched","Unwatched"))</f>
        <v/>
      </c>
      <c r="C1527" s="40" t="n"/>
      <c r="D1527" s="41" t="n"/>
      <c r="E1527" s="42" t="n">
        <v>44201.8375</v>
      </c>
      <c r="F1527" s="50" t="inlineStr">
        <is>
          <t>Super Carlin Brothers</t>
        </is>
      </c>
      <c r="G1527" t="inlineStr">
        <is>
          <t>Soul Review: Is it LIFE CHANGING? [J vs Ben]</t>
        </is>
      </c>
      <c r="H1527" s="44" t="n">
        <v>0.02826388888888889</v>
      </c>
      <c r="I1527" s="45" t="n">
        <v>220376</v>
      </c>
      <c r="J1527" s="45" t="n">
        <v>9773</v>
      </c>
      <c r="K1527" s="45" t="n">
        <v>2332</v>
      </c>
      <c r="L1527" s="46" t="n"/>
      <c r="M1527" s="47" t="n"/>
      <c r="N1527" s="47" t="inlineStr">
        <is>
          <t>UCKZo4N0lVPccBkSiuyVh4yg</t>
        </is>
      </c>
      <c r="O1527" s="48" t="n">
        <v>44202.04583333333</v>
      </c>
      <c r="P1527" s="49" t="n">
        <v>44201</v>
      </c>
      <c r="Q1527" s="47" t="n">
        <v>1741</v>
      </c>
      <c r="R1527" s="47" t="inlineStr">
        <is>
          <t>No Video ID yet</t>
        </is>
      </c>
      <c r="S1527" s="49" t="n"/>
      <c r="T1527" s="49" t="n"/>
      <c r="U1527" s="47" t="inlineStr">
        <is>
          <t>Get $5 off and zero delivery fees on your first order of $15 or more when you download the DoorDash app and enter code JVSB! Visit to get Honey for FREE today! Today J and Ben give their full Spoiler review of Pixar’s latest movie Soul and discuss if, how and why it could be a life changing movie for lots of people #SuperCarlinBrothers #Pixar #Soul</t>
        </is>
      </c>
      <c r="V1527" s="47">
        <f>IF(AND(P1527&gt;=Calendar!$K$2,P1527&lt;EDATE(Calendar!$K$2,1),OR(Calendar!$K$4="*",N1527=Calendar!$K$4)),P1527*100+COUNTIFS($P$6:$P$3267,P1527,$Q$6:$Q$3267,"&lt;="&amp;Q1527,$N$6:$N$3267,Calendar!$K$4),"")</f>
        <v/>
      </c>
      <c r="W1527" s="47">
        <f>IF(AND(B1527=Queue!$C$4,OR(Queue!$K$4="*",N1527=Queue!$K$4)),Q1527,"")</f>
        <v/>
      </c>
    </row>
    <row r="1528">
      <c r="A1528" s="38">
        <f>IF(M1528="","",HYPERLINK("https://www.youtube.com/watch?v="&amp;M1528,"▶"))</f>
        <v/>
      </c>
      <c r="B1528" s="39">
        <f>IF(C1528&lt;&gt;"",C1528,IF(P1528&lt;=IFERROR(INDEX(tblChannels[Watched Through],MATCH(N1528,tblChannels[Channel ID],0)),0),"Watched","Unwatched"))</f>
        <v/>
      </c>
      <c r="C1528" s="40" t="n"/>
      <c r="D1528" s="41" t="n"/>
      <c r="E1528" s="42" t="n">
        <v>44200.64930555555</v>
      </c>
      <c r="F1528" s="43" t="inlineStr">
        <is>
          <t>Popcorn Culture</t>
        </is>
      </c>
      <c r="G1528" t="inlineStr">
        <is>
          <t>56 - New Year's Resolutions</t>
        </is>
      </c>
      <c r="H1528" s="44" t="n">
        <v>0.04427083333333334</v>
      </c>
      <c r="I1528" s="45" t="n">
        <v>3207</v>
      </c>
      <c r="J1528" s="45" t="n">
        <v>123</v>
      </c>
      <c r="K1528" s="45" t="n">
        <v>14</v>
      </c>
      <c r="L1528" s="46" t="n"/>
      <c r="M1528" s="47" t="n"/>
      <c r="N1528" s="47" t="inlineStr">
        <is>
          <t>UCHfIbq9thHPC8yrKjAdJgDA</t>
        </is>
      </c>
      <c r="O1528" s="48" t="n">
        <v>44200.85763888889</v>
      </c>
      <c r="P1528" s="49" t="n">
        <v>44200</v>
      </c>
      <c r="Q1528" s="47" t="n">
        <v>1740</v>
      </c>
      <c r="R1528" s="47" t="inlineStr">
        <is>
          <t>No Video ID yet</t>
        </is>
      </c>
      <c r="S1528" s="49" t="n"/>
      <c r="T1528" s="49" t="n"/>
      <c r="U1528" s="47" t="inlineStr">
        <is>
          <t>Ben and J discuss: becoming professional, SCB video highlights, New Year’s Resolutions, the point of social media, and positivity. Thor’s New Eye: Thrawn is Coming: Nagini is a Woman: Peter Pettigrew’s Son: CGP Grey Theme’s Video: J vs Ben HP Candy: Isaac Carlson:</t>
        </is>
      </c>
      <c r="V1528" s="47">
        <f>IF(AND(P1528&gt;=Calendar!$K$2,P1528&lt;EDATE(Calendar!$K$2,1),OR(Calendar!$K$4="*",N1528=Calendar!$K$4)),P1528*100+COUNTIFS($P$6:$P$3267,P1528,$Q$6:$Q$3267,"&lt;="&amp;Q1528,$N$6:$N$3267,Calendar!$K$4),"")</f>
        <v/>
      </c>
      <c r="W1528" s="47">
        <f>IF(AND(B1528=Queue!$C$4,OR(Queue!$K$4="*",N1528=Queue!$K$4)),Q1528,"")</f>
        <v/>
      </c>
    </row>
    <row r="1529">
      <c r="A1529" s="38">
        <f>IF(M1529="","",HYPERLINK("https://www.youtube.com/watch?v="&amp;M1529,"▶"))</f>
        <v/>
      </c>
      <c r="B1529" s="39">
        <f>IF(C1529&lt;&gt;"",C1529,IF(P1529&lt;=IFERROR(INDEX(tblChannels[Watched Through],MATCH(N1529,tblChannels[Channel ID],0)),0),"Watched","Unwatched"))</f>
        <v/>
      </c>
      <c r="C1529" s="40" t="n"/>
      <c r="D1529" s="41" t="n"/>
      <c r="E1529" s="42" t="n">
        <v>44200.41666666666</v>
      </c>
      <c r="F1529" s="53" t="inlineStr">
        <is>
          <t>Jonathan Carlin</t>
        </is>
      </c>
      <c r="G1529" t="inlineStr">
        <is>
          <t>Insane Gift Wrapping Challenge</t>
        </is>
      </c>
      <c r="H1529" s="44" t="n">
        <v>0.01142361111111111</v>
      </c>
      <c r="I1529" s="45" t="n">
        <v>28726</v>
      </c>
      <c r="J1529" s="45" t="n">
        <v>2140</v>
      </c>
      <c r="K1529" s="45" t="n">
        <v>180</v>
      </c>
      <c r="L1529" s="46" t="n"/>
      <c r="M1529" s="47" t="n"/>
      <c r="N1529" s="47" t="inlineStr">
        <is>
          <t>UCYPKFe86e6nm4TVUYKLsFUQ</t>
        </is>
      </c>
      <c r="O1529" s="48" t="n">
        <v>44200.625</v>
      </c>
      <c r="P1529" s="49" t="n">
        <v>44200</v>
      </c>
      <c r="Q1529" s="47" t="n">
        <v>1739</v>
      </c>
      <c r="R1529" s="47" t="inlineStr">
        <is>
          <t>No Video ID yet</t>
        </is>
      </c>
      <c r="S1529" s="49" t="n"/>
      <c r="T1529" s="49" t="n"/>
      <c r="U1529" s="47" t="inlineStr">
        <is>
          <t>This week J and Ben bring back the GMA gift exchange, a tradition where they exchange gifts with their best friends and everyone tries to wrap the gifts in the most creative, difficult, annoying and fun way possible! If you are unfamiliar GMA stands for "Green Mallard Association" and is the self-assigned nick name of J, Ben and their 2 friends John and Mike. They having nothing to do with ducks in anyway.</t>
        </is>
      </c>
      <c r="V1529" s="47">
        <f>IF(AND(P1529&gt;=Calendar!$K$2,P1529&lt;EDATE(Calendar!$K$2,1),OR(Calendar!$K$4="*",N1529=Calendar!$K$4)),P1529*100+COUNTIFS($P$6:$P$3267,P1529,$Q$6:$Q$3267,"&lt;="&amp;Q1529,$N$6:$N$3267,Calendar!$K$4),"")</f>
        <v/>
      </c>
      <c r="W1529" s="47">
        <f>IF(AND(B1529=Queue!$C$4,OR(Queue!$K$4="*",N1529=Queue!$K$4)),Q1529,"")</f>
        <v/>
      </c>
    </row>
    <row r="1530">
      <c r="A1530" s="38">
        <f>IF(M1530="","",HYPERLINK("https://www.youtube.com/watch?v="&amp;M1530,"▶"))</f>
        <v/>
      </c>
      <c r="B1530" s="39">
        <f>IF(C1530&lt;&gt;"",C1530,IF(P1530&lt;=IFERROR(INDEX(tblChannels[Watched Through],MATCH(N1530,tblChannels[Channel ID],0)),0),"Watched","Unwatched"))</f>
        <v/>
      </c>
      <c r="C1530" s="40" t="n"/>
      <c r="D1530" s="41" t="n"/>
      <c r="E1530" s="42" t="n">
        <v>44190.25</v>
      </c>
      <c r="F1530" s="43" t="inlineStr">
        <is>
          <t>Popcorn Culture</t>
        </is>
      </c>
      <c r="G1530" t="inlineStr">
        <is>
          <t>55 - GMA Christmas Special</t>
        </is>
      </c>
      <c r="H1530" s="44" t="n">
        <v>0.05392361111111111</v>
      </c>
      <c r="I1530" s="45" t="n">
        <v>4489</v>
      </c>
      <c r="J1530" s="45" t="n">
        <v>210</v>
      </c>
      <c r="K1530" s="45" t="n">
        <v>16</v>
      </c>
      <c r="L1530" s="46" t="n"/>
      <c r="M1530" s="47" t="n"/>
      <c r="N1530" s="47" t="inlineStr">
        <is>
          <t>UCHfIbq9thHPC8yrKjAdJgDA</t>
        </is>
      </c>
      <c r="O1530" s="48" t="n">
        <v>44190.45833333334</v>
      </c>
      <c r="P1530" s="49" t="n">
        <v>44190</v>
      </c>
      <c r="Q1530" s="47" t="n">
        <v>1738</v>
      </c>
      <c r="R1530" s="47" t="inlineStr">
        <is>
          <t>No Video ID yet</t>
        </is>
      </c>
      <c r="S1530" s="49" t="n"/>
      <c r="T1530" s="49" t="n"/>
      <c r="U1530" s="47" t="inlineStr">
        <is>
          <t>In this extra-special anniversary episode, Ben and J discuss specialiest guests and the Green Mallard Association Gift Exchange. Stereograms: Rocky Dale Quarry:</t>
        </is>
      </c>
      <c r="V1530" s="47">
        <f>IF(AND(P1530&gt;=Calendar!$K$2,P1530&lt;EDATE(Calendar!$K$2,1),OR(Calendar!$K$4="*",N1530=Calendar!$K$4)),P1530*100+COUNTIFS($P$6:$P$3267,P1530,$Q$6:$Q$3267,"&lt;="&amp;Q1530,$N$6:$N$3267,Calendar!$K$4),"")</f>
        <v/>
      </c>
      <c r="W1530" s="47">
        <f>IF(AND(B1530=Queue!$C$4,OR(Queue!$K$4="*",N1530=Queue!$K$4)),Q1530,"")</f>
        <v/>
      </c>
    </row>
    <row r="1531">
      <c r="A1531" s="38">
        <f>IF(M1531="","",HYPERLINK("https://www.youtube.com/watch?v="&amp;M1531,"▶"))</f>
        <v/>
      </c>
      <c r="B1531" s="39">
        <f>IF(C1531&lt;&gt;"",C1531,IF(P1531&lt;=IFERROR(INDEX(tblChannels[Watched Through],MATCH(N1531,tblChannels[Channel ID],0)),0),"Watched","Unwatched"))</f>
        <v/>
      </c>
      <c r="C1531" s="40" t="n"/>
      <c r="D1531" s="41" t="n"/>
      <c r="E1531" s="42" t="n">
        <v>44189.61458333334</v>
      </c>
      <c r="F1531" s="50" t="inlineStr">
        <is>
          <t>Super Carlin Brothers</t>
        </is>
      </c>
      <c r="G1531" t="inlineStr">
        <is>
          <t>We Try EVERY Harry Potter Candy from Honeydukes [J vs Ben]</t>
        </is>
      </c>
      <c r="H1531" s="44" t="n">
        <v>0.02815972222222222</v>
      </c>
      <c r="I1531" s="45" t="n">
        <v>608605</v>
      </c>
      <c r="J1531" s="45" t="n">
        <v>20817</v>
      </c>
      <c r="K1531" s="45" t="n">
        <v>3012</v>
      </c>
      <c r="L1531" s="46" t="n"/>
      <c r="M1531" s="47" t="n"/>
      <c r="N1531" s="47" t="inlineStr">
        <is>
          <t>UCKZo4N0lVPccBkSiuyVh4yg</t>
        </is>
      </c>
      <c r="O1531" s="48" t="n">
        <v>44189.82291666666</v>
      </c>
      <c r="P1531" s="49" t="n">
        <v>44189</v>
      </c>
      <c r="Q1531" s="47" t="n">
        <v>1737</v>
      </c>
      <c r="R1531" s="47" t="inlineStr">
        <is>
          <t>No Video ID yet</t>
        </is>
      </c>
      <c r="S1531" s="49" t="n"/>
      <c r="T1531" s="49" t="n"/>
      <c r="U1531" s="47" t="inlineStr">
        <is>
          <t>Go to and use code jvsb80 to get $80 off including free shipping! Visit or text jvsb to 500-500 to try AudiblePlus for $4.95 a month for your first 6 months! Today J and Ben taste EVERY Harry Potter Candy from Honeydukes to find out which is the ultimate sweet treat!</t>
        </is>
      </c>
      <c r="V1531" s="47">
        <f>IF(AND(P1531&gt;=Calendar!$K$2,P1531&lt;EDATE(Calendar!$K$2,1),OR(Calendar!$K$4="*",N1531=Calendar!$K$4)),P1531*100+COUNTIFS($P$6:$P$3267,P1531,$Q$6:$Q$3267,"&lt;="&amp;Q1531,$N$6:$N$3267,Calendar!$K$4),"")</f>
        <v/>
      </c>
      <c r="W1531" s="47">
        <f>IF(AND(B1531=Queue!$C$4,OR(Queue!$K$4="*",N1531=Queue!$K$4)),Q1531,"")</f>
        <v/>
      </c>
    </row>
    <row r="1532">
      <c r="A1532" s="38">
        <f>IF(M1532="","",HYPERLINK("https://www.youtube.com/watch?v="&amp;M1532,"▶"))</f>
        <v/>
      </c>
      <c r="B1532" s="39">
        <f>IF(C1532&lt;&gt;"",C1532,IF(P1532&lt;=IFERROR(INDEX(tblChannels[Watched Through],MATCH(N1532,tblChannels[Channel ID],0)),0),"Watched","Unwatched"))</f>
        <v/>
      </c>
      <c r="C1532" s="40" t="n"/>
      <c r="D1532" s="41" t="n"/>
      <c r="E1532" s="42" t="n">
        <v>44189.25</v>
      </c>
      <c r="F1532" s="43" t="inlineStr">
        <is>
          <t>Popcorn Culture</t>
        </is>
      </c>
      <c r="G1532" t="inlineStr">
        <is>
          <t>54 - What is the Point of Sports?</t>
        </is>
      </c>
      <c r="H1532" s="44" t="n">
        <v>0.04974537037037037</v>
      </c>
      <c r="I1532" s="45" t="n">
        <v>2466</v>
      </c>
      <c r="J1532" s="45" t="n">
        <v>105</v>
      </c>
      <c r="K1532" s="45" t="n">
        <v>10</v>
      </c>
      <c r="L1532" s="46" t="n"/>
      <c r="M1532" s="47" t="n"/>
      <c r="N1532" s="47" t="inlineStr">
        <is>
          <t>UCHfIbq9thHPC8yrKjAdJgDA</t>
        </is>
      </c>
      <c r="O1532" s="48" t="n">
        <v>44189.45833333334</v>
      </c>
      <c r="P1532" s="49" t="n">
        <v>44189</v>
      </c>
      <c r="Q1532" s="47" t="n">
        <v>1736</v>
      </c>
      <c r="R1532" s="47" t="inlineStr">
        <is>
          <t>No Video ID yet</t>
        </is>
      </c>
      <c r="S1532" s="49" t="n"/>
      <c r="T1532" s="49" t="n"/>
      <c r="U1532" s="47" t="inlineStr">
        <is>
          <t>Ben and J discuss: Victory Stadium, the underdog advantage, football, getting into the Christmas spirit, Rocky Horror Picture Show, mariachi music, Enneagram test, and the Popcast anniversary. Brad Pitt’s High School: Ronde and Tiki Barber: Boston College vs Virginia Tech 2007: Klaus Trailer: 2019 Academy Awards Animated Winners: Enneagram Test:</t>
        </is>
      </c>
      <c r="V1532" s="47">
        <f>IF(AND(P1532&gt;=Calendar!$K$2,P1532&lt;EDATE(Calendar!$K$2,1),OR(Calendar!$K$4="*",N1532=Calendar!$K$4)),P1532*100+COUNTIFS($P$6:$P$3267,P1532,$Q$6:$Q$3267,"&lt;="&amp;Q1532,$N$6:$N$3267,Calendar!$K$4),"")</f>
        <v/>
      </c>
      <c r="W1532" s="47">
        <f>IF(AND(B1532=Queue!$C$4,OR(Queue!$K$4="*",N1532=Queue!$K$4)),Q1532,"")</f>
        <v/>
      </c>
    </row>
    <row r="1533">
      <c r="A1533" s="38">
        <f>IF(M1533="","",HYPERLINK("https://www.youtube.com/watch?v="&amp;M1533,"▶"))</f>
        <v/>
      </c>
      <c r="B1533" s="39">
        <f>IF(C1533&lt;&gt;"",C1533,IF(P1533&lt;=IFERROR(INDEX(tblChannels[Watched Through],MATCH(N1533,tblChannels[Channel ID],0)),0),"Watched","Unwatched"))</f>
        <v/>
      </c>
      <c r="C1533" s="40" t="n"/>
      <c r="D1533" s="41" t="n"/>
      <c r="E1533" s="42" t="n">
        <v>44188.25</v>
      </c>
      <c r="F1533" s="43" t="inlineStr">
        <is>
          <t>Popcorn Culture</t>
        </is>
      </c>
      <c r="G1533" t="inlineStr">
        <is>
          <t>53 - It’s Always Better Live</t>
        </is>
      </c>
      <c r="H1533" s="44" t="n">
        <v>0.04898148148148148</v>
      </c>
      <c r="I1533" s="45" t="n">
        <v>2132</v>
      </c>
      <c r="J1533" s="45" t="n">
        <v>109</v>
      </c>
      <c r="K1533" s="45" t="n">
        <v>13</v>
      </c>
      <c r="L1533" s="46" t="n"/>
      <c r="M1533" s="47" t="n"/>
      <c r="N1533" s="47" t="inlineStr">
        <is>
          <t>UCHfIbq9thHPC8yrKjAdJgDA</t>
        </is>
      </c>
      <c r="O1533" s="48" t="n">
        <v>44188.45833333334</v>
      </c>
      <c r="P1533" s="49" t="n">
        <v>44188</v>
      </c>
      <c r="Q1533" s="47" t="n">
        <v>1735</v>
      </c>
      <c r="R1533" s="47" t="inlineStr">
        <is>
          <t>No Video ID yet</t>
        </is>
      </c>
      <c r="S1533" s="49" t="n"/>
      <c r="T1533" s="49" t="n"/>
      <c r="U1533" s="47" t="inlineStr">
        <is>
          <t>Ben and J discuss: things better live, Buckets Blakes, seeing the future, sensory deprivation, Ben’s attempt to see the future, soul mates, and invasive species. Show notes: Carlin Brothers Coffee: Buckets Blakes: More Buckets: Epic leap climb: Baby’s First Brand Deal: Karate Boards: African Golden Wolf: Yellowstone Wolves:</t>
        </is>
      </c>
      <c r="V1533" s="47">
        <f>IF(AND(P1533&gt;=Calendar!$K$2,P1533&lt;EDATE(Calendar!$K$2,1),OR(Calendar!$K$4="*",N1533=Calendar!$K$4)),P1533*100+COUNTIFS($P$6:$P$3267,P1533,$Q$6:$Q$3267,"&lt;="&amp;Q1533,$N$6:$N$3267,Calendar!$K$4),"")</f>
        <v/>
      </c>
      <c r="W1533" s="47">
        <f>IF(AND(B1533=Queue!$C$4,OR(Queue!$K$4="*",N1533=Queue!$K$4)),Q1533,"")</f>
        <v/>
      </c>
    </row>
    <row r="1534">
      <c r="A1534" s="38">
        <f>IF(M1534="","",HYPERLINK("https://www.youtube.com/watch?v="&amp;M1534,"▶"))</f>
        <v/>
      </c>
      <c r="B1534" s="39">
        <f>IF(C1534&lt;&gt;"",C1534,IF(P1534&lt;=IFERROR(INDEX(tblChannels[Watched Through],MATCH(N1534,tblChannels[Channel ID],0)),0),"Watched","Unwatched"))</f>
        <v/>
      </c>
      <c r="C1534" s="40" t="n"/>
      <c r="D1534" s="41" t="n"/>
      <c r="E1534" s="42" t="n">
        <v>44187.86597222222</v>
      </c>
      <c r="F1534" s="50" t="inlineStr">
        <is>
          <t>Super Carlin Brothers</t>
        </is>
      </c>
      <c r="G1534" t="inlineStr">
        <is>
          <t>Top 7 Unanswered Questions From The Mandalorian</t>
        </is>
      </c>
      <c r="H1534" s="44" t="n">
        <v>0.01193287037037037</v>
      </c>
      <c r="I1534" s="45" t="n">
        <v>148064</v>
      </c>
      <c r="J1534" s="45" t="n">
        <v>8249</v>
      </c>
      <c r="K1534" s="45" t="n">
        <v>2602</v>
      </c>
      <c r="L1534" s="46" t="n"/>
      <c r="M1534" s="47" t="n"/>
      <c r="N1534" s="47" t="inlineStr">
        <is>
          <t>UCKZo4N0lVPccBkSiuyVh4yg</t>
        </is>
      </c>
      <c r="O1534" s="48" t="n">
        <v>44188.07430555556</v>
      </c>
      <c r="P1534" s="49" t="n">
        <v>44187</v>
      </c>
      <c r="Q1534" s="47" t="n">
        <v>1734</v>
      </c>
      <c r="R1534" s="47" t="inlineStr">
        <is>
          <t>No Video ID yet</t>
        </is>
      </c>
      <c r="S1534" s="49" t="n"/>
      <c r="T1534" s="49" t="n"/>
      <c r="U1534" s="47" t="inlineStr">
        <is>
          <t>Go to and use code SCB to get $75 off! Today J dives into the Star Wars Galaxy to discuss their top 7 unanswered questions from the Mandalorian Season 2! Where is Grogu? Whats the deal with Boba Fett? #SuperCarlinBrothers #StarWars #TheMandalorian</t>
        </is>
      </c>
      <c r="V1534" s="47">
        <f>IF(AND(P1534&gt;=Calendar!$K$2,P1534&lt;EDATE(Calendar!$K$2,1),OR(Calendar!$K$4="*",N1534=Calendar!$K$4)),P1534*100+COUNTIFS($P$6:$P$3267,P1534,$Q$6:$Q$3267,"&lt;="&amp;Q1534,$N$6:$N$3267,Calendar!$K$4),"")</f>
        <v/>
      </c>
      <c r="W1534" s="47">
        <f>IF(AND(B1534=Queue!$C$4,OR(Queue!$K$4="*",N1534=Queue!$K$4)),Q1534,"")</f>
        <v/>
      </c>
    </row>
    <row r="1535">
      <c r="A1535" s="38">
        <f>IF(M1535="","",HYPERLINK("https://www.youtube.com/watch?v="&amp;M1535,"▶"))</f>
        <v/>
      </c>
      <c r="B1535" s="39">
        <f>IF(C1535&lt;&gt;"",C1535,IF(P1535&lt;=IFERROR(INDEX(tblChannels[Watched Through],MATCH(N1535,tblChannels[Channel ID],0)),0),"Watched","Unwatched"))</f>
        <v/>
      </c>
      <c r="C1535" s="40" t="n"/>
      <c r="D1535" s="41" t="n"/>
      <c r="E1535" s="42" t="n">
        <v>44187.25</v>
      </c>
      <c r="F1535" s="43" t="inlineStr">
        <is>
          <t>Popcorn Culture</t>
        </is>
      </c>
      <c r="G1535" t="inlineStr">
        <is>
          <t>52 - At the Center of Your Universe</t>
        </is>
      </c>
      <c r="H1535" s="44" t="n">
        <v>0.05100694444444445</v>
      </c>
      <c r="I1535" s="45" t="n">
        <v>2468</v>
      </c>
      <c r="J1535" s="45" t="n">
        <v>109</v>
      </c>
      <c r="K1535" s="45" t="n">
        <v>15</v>
      </c>
      <c r="L1535" s="46" t="n"/>
      <c r="M1535" s="47" t="n"/>
      <c r="N1535" s="47" t="inlineStr">
        <is>
          <t>UCHfIbq9thHPC8yrKjAdJgDA</t>
        </is>
      </c>
      <c r="O1535" s="48" t="n">
        <v>44187.45833333334</v>
      </c>
      <c r="P1535" s="49" t="n">
        <v>44187</v>
      </c>
      <c r="Q1535" s="47" t="n">
        <v>1733</v>
      </c>
      <c r="R1535" s="47" t="inlineStr">
        <is>
          <t>No Video ID yet</t>
        </is>
      </c>
      <c r="S1535" s="49" t="n"/>
      <c r="T1535" s="49" t="n"/>
      <c r="U1535" s="47" t="inlineStr">
        <is>
          <t>Ben and J discuss: popcast creation, nail care, men’s dress fashion, Super Carlin Sock Club, merchandise on YouTube, inner monologue, The Truman Show, questions far too deep for the podcast and one more thing. Beginner Nail Care: Get a CBC Mug here: Truman Show:</t>
        </is>
      </c>
      <c r="V1535" s="47">
        <f>IF(AND(P1535&gt;=Calendar!$K$2,P1535&lt;EDATE(Calendar!$K$2,1),OR(Calendar!$K$4="*",N1535=Calendar!$K$4)),P1535*100+COUNTIFS($P$6:$P$3267,P1535,$Q$6:$Q$3267,"&lt;="&amp;Q1535,$N$6:$N$3267,Calendar!$K$4),"")</f>
        <v/>
      </c>
      <c r="W1535" s="47">
        <f>IF(AND(B1535=Queue!$C$4,OR(Queue!$K$4="*",N1535=Queue!$K$4)),Q1535,"")</f>
        <v/>
      </c>
    </row>
    <row r="1536">
      <c r="A1536" s="38">
        <f>IF(M1536="","",HYPERLINK("https://www.youtube.com/watch?v="&amp;M1536,"▶"))</f>
        <v/>
      </c>
      <c r="B1536" s="39">
        <f>IF(C1536&lt;&gt;"",C1536,IF(P1536&lt;=IFERROR(INDEX(tblChannels[Watched Through],MATCH(N1536,tblChannels[Channel ID],0)),0),"Watched","Unwatched"))</f>
        <v/>
      </c>
      <c r="C1536" s="40" t="n"/>
      <c r="D1536" s="41" t="n"/>
      <c r="E1536" s="42" t="n">
        <v>44186.42708333334</v>
      </c>
      <c r="F1536" s="53" t="inlineStr">
        <is>
          <t>Jonathan Carlin</t>
        </is>
      </c>
      <c r="G1536" t="inlineStr">
        <is>
          <t>Decorating the NEW Set!</t>
        </is>
      </c>
      <c r="H1536" s="44" t="n">
        <v>0.006296296296296296</v>
      </c>
      <c r="I1536" s="45" t="n">
        <v>34060</v>
      </c>
      <c r="J1536" s="45" t="n">
        <v>2314</v>
      </c>
      <c r="K1536" s="45" t="n">
        <v>213</v>
      </c>
      <c r="L1536" s="46" t="n"/>
      <c r="M1536" s="47" t="n"/>
      <c r="N1536" s="47" t="inlineStr">
        <is>
          <t>UCYPKFe86e6nm4TVUYKLsFUQ</t>
        </is>
      </c>
      <c r="O1536" s="48" t="n">
        <v>44186.63541666666</v>
      </c>
      <c r="P1536" s="49" t="n">
        <v>44186</v>
      </c>
      <c r="Q1536" s="47" t="n">
        <v>1732</v>
      </c>
      <c r="R1536" s="47" t="inlineStr">
        <is>
          <t>No Video ID yet</t>
        </is>
      </c>
      <c r="S1536" s="49" t="n"/>
      <c r="T1536" s="49" t="n"/>
      <c r="U1536" s="47" t="inlineStr">
        <is>
          <t>This week Luke plays his first board game, Ben and J decorate the new set and we unbox a lifesize Grogu and give him a blow out!</t>
        </is>
      </c>
      <c r="V1536" s="47">
        <f>IF(AND(P1536&gt;=Calendar!$K$2,P1536&lt;EDATE(Calendar!$K$2,1),OR(Calendar!$K$4="*",N1536=Calendar!$K$4)),P1536*100+COUNTIFS($P$6:$P$3267,P1536,$Q$6:$Q$3267,"&lt;="&amp;Q1536,$N$6:$N$3267,Calendar!$K$4),"")</f>
        <v/>
      </c>
      <c r="W1536" s="47">
        <f>IF(AND(B1536=Queue!$C$4,OR(Queue!$K$4="*",N1536=Queue!$K$4)),Q1536,"")</f>
        <v/>
      </c>
    </row>
    <row r="1537">
      <c r="A1537" s="38">
        <f>IF(M1537="","",HYPERLINK("https://www.youtube.com/watch?v="&amp;M1537,"▶"))</f>
        <v/>
      </c>
      <c r="B1537" s="39">
        <f>IF(C1537&lt;&gt;"",C1537,IF(P1537&lt;=IFERROR(INDEX(tblChannels[Watched Through],MATCH(N1537,tblChannels[Channel ID],0)),0),"Watched","Unwatched"))</f>
        <v/>
      </c>
      <c r="C1537" s="40" t="n"/>
      <c r="D1537" s="41" t="n"/>
      <c r="E1537" s="42" t="n">
        <v>44186.25</v>
      </c>
      <c r="F1537" s="43" t="inlineStr">
        <is>
          <t>Popcorn Culture</t>
        </is>
      </c>
      <c r="G1537" t="inlineStr">
        <is>
          <t>51 - Pizza Parties are the Best Reward</t>
        </is>
      </c>
      <c r="H1537" s="44" t="n">
        <v>0.04605324074074074</v>
      </c>
      <c r="I1537" s="45" t="n">
        <v>2282</v>
      </c>
      <c r="J1537" s="45" t="n">
        <v>109</v>
      </c>
      <c r="K1537" s="45" t="n">
        <v>10</v>
      </c>
      <c r="L1537" s="46" t="n"/>
      <c r="M1537" s="47" t="n"/>
      <c r="N1537" s="47" t="inlineStr">
        <is>
          <t>UCHfIbq9thHPC8yrKjAdJgDA</t>
        </is>
      </c>
      <c r="O1537" s="48" t="n">
        <v>44186.45833333334</v>
      </c>
      <c r="P1537" s="49" t="n">
        <v>44186</v>
      </c>
      <c r="Q1537" s="47" t="n">
        <v>1731</v>
      </c>
      <c r="R1537" s="47" t="inlineStr">
        <is>
          <t>No Video ID yet</t>
        </is>
      </c>
      <c r="S1537" s="49" t="n"/>
      <c r="T1537" s="49" t="n"/>
      <c r="U1537" s="47" t="inlineStr">
        <is>
          <t>Ben and J discuss: skilled announcers and commentators, Beamer Ball, types of motivation, trophy ceremonies, elementary school rewards, bikes, cameras, and gift giving. 3XL Gloves Friend: Over the Edge video:</t>
        </is>
      </c>
      <c r="V1537" s="47">
        <f>IF(AND(P1537&gt;=Calendar!$K$2,P1537&lt;EDATE(Calendar!$K$2,1),OR(Calendar!$K$4="*",N1537=Calendar!$K$4)),P1537*100+COUNTIFS($P$6:$P$3267,P1537,$Q$6:$Q$3267,"&lt;="&amp;Q1537,$N$6:$N$3267,Calendar!$K$4),"")</f>
        <v/>
      </c>
      <c r="W1537" s="47">
        <f>IF(AND(B1537=Queue!$C$4,OR(Queue!$K$4="*",N1537=Queue!$K$4)),Q1537,"")</f>
        <v/>
      </c>
    </row>
    <row r="1538">
      <c r="A1538" s="38">
        <f>IF(M1538="","",HYPERLINK("https://www.youtube.com/watch?v="&amp;M1538,"▶"))</f>
        <v/>
      </c>
      <c r="B1538" s="39">
        <f>IF(C1538&lt;&gt;"",C1538,IF(P1538&lt;=IFERROR(INDEX(tblChannels[Watched Through],MATCH(N1538,tblChannels[Channel ID],0)),0),"Watched","Unwatched"))</f>
        <v/>
      </c>
      <c r="C1538" s="40" t="n"/>
      <c r="D1538" s="41" t="n"/>
      <c r="E1538" s="42" t="n">
        <v>44183.25</v>
      </c>
      <c r="F1538" s="43" t="inlineStr">
        <is>
          <t>Popcorn Culture</t>
        </is>
      </c>
      <c r="G1538" t="inlineStr">
        <is>
          <t>50 - Ben Give's (Bad) Examples</t>
        </is>
      </c>
      <c r="H1538" s="44" t="n">
        <v>0.04788194444444444</v>
      </c>
      <c r="I1538" s="45" t="n">
        <v>2476</v>
      </c>
      <c r="J1538" s="45" t="n">
        <v>116</v>
      </c>
      <c r="K1538" s="45" t="n">
        <v>8</v>
      </c>
      <c r="L1538" s="46" t="n"/>
      <c r="M1538" s="47" t="n"/>
      <c r="N1538" s="47" t="inlineStr">
        <is>
          <t>UCHfIbq9thHPC8yrKjAdJgDA</t>
        </is>
      </c>
      <c r="O1538" s="48" t="n">
        <v>44183.45833333334</v>
      </c>
      <c r="P1538" s="49" t="n">
        <v>44183</v>
      </c>
      <c r="Q1538" s="47" t="n">
        <v>1730</v>
      </c>
      <c r="R1538" s="47" t="inlineStr">
        <is>
          <t>No Video ID yet</t>
        </is>
      </c>
      <c r="S1538" s="49" t="n"/>
      <c r="T1538" s="49" t="n"/>
      <c r="U1538" s="47" t="inlineStr">
        <is>
          <t>Ben and J discuss: calendars, memory, paintball, biking, cell phones, singing along, what’s “trendy”, board games, important music, Netflix pressure, and Instagram. Merged Circus Companies: Emily in Paris Trailer: Greatest Showman Trailer: Ben’s Insta: J’s Insta:</t>
        </is>
      </c>
      <c r="V1538" s="47">
        <f>IF(AND(P1538&gt;=Calendar!$K$2,P1538&lt;EDATE(Calendar!$K$2,1),OR(Calendar!$K$4="*",N1538=Calendar!$K$4)),P1538*100+COUNTIFS($P$6:$P$3267,P1538,$Q$6:$Q$3267,"&lt;="&amp;Q1538,$N$6:$N$3267,Calendar!$K$4),"")</f>
        <v/>
      </c>
      <c r="W1538" s="47">
        <f>IF(AND(B1538=Queue!$C$4,OR(Queue!$K$4="*",N1538=Queue!$K$4)),Q1538,"")</f>
        <v/>
      </c>
    </row>
    <row r="1539">
      <c r="A1539" s="38">
        <f>IF(M1539="","",HYPERLINK("https://www.youtube.com/watch?v="&amp;M1539,"▶"))</f>
        <v/>
      </c>
      <c r="B1539" s="39">
        <f>IF(C1539&lt;&gt;"",C1539,IF(P1539&lt;=IFERROR(INDEX(tblChannels[Watched Through],MATCH(N1539,tblChannels[Channel ID],0)),0),"Watched","Unwatched"))</f>
        <v/>
      </c>
      <c r="C1539" s="40" t="n"/>
      <c r="D1539" s="41" t="n"/>
      <c r="E1539" s="42" t="n">
        <v>44182.78541666667</v>
      </c>
      <c r="F1539" s="50" t="inlineStr">
        <is>
          <t>Super Carlin Brothers</t>
        </is>
      </c>
      <c r="G1539" t="inlineStr">
        <is>
          <t>How To Block Avada Kedavra [Harry Potter Theory]</t>
        </is>
      </c>
      <c r="H1539" s="44" t="n">
        <v>0.01141203703703704</v>
      </c>
      <c r="I1539" s="45" t="n">
        <v>584189</v>
      </c>
      <c r="J1539" s="45" t="n">
        <v>21054</v>
      </c>
      <c r="K1539" s="45" t="n">
        <v>3222</v>
      </c>
      <c r="L1539" s="46" t="n"/>
      <c r="M1539" s="47" t="n"/>
      <c r="N1539" s="47" t="inlineStr">
        <is>
          <t>UCKZo4N0lVPccBkSiuyVh4yg</t>
        </is>
      </c>
      <c r="O1539" s="48" t="n">
        <v>44182.99375</v>
      </c>
      <c r="P1539" s="49" t="n">
        <v>44182</v>
      </c>
      <c r="Q1539" s="47" t="n">
        <v>1729</v>
      </c>
      <c r="R1539" s="47" t="inlineStr">
        <is>
          <t>No Video ID yet</t>
        </is>
      </c>
      <c r="S1539" s="49" t="n"/>
      <c r="T1539" s="49" t="n"/>
      <c r="U1539" s="47" t="inlineStr">
        <is>
          <t>Go to to get 20% off your first monthly box when you sign up! Today Ben dives into the Wizarding World of Harry Potter to reveal how to block the unblockable Killing Curse: Avada Kedavra!</t>
        </is>
      </c>
      <c r="V1539" s="47">
        <f>IF(AND(P1539&gt;=Calendar!$K$2,P1539&lt;EDATE(Calendar!$K$2,1),OR(Calendar!$K$4="*",N1539=Calendar!$K$4)),P1539*100+COUNTIFS($P$6:$P$3267,P1539,$Q$6:$Q$3267,"&lt;="&amp;Q1539,$N$6:$N$3267,Calendar!$K$4),"")</f>
        <v/>
      </c>
      <c r="W1539" s="47">
        <f>IF(AND(B1539=Queue!$C$4,OR(Queue!$K$4="*",N1539=Queue!$K$4)),Q1539,"")</f>
        <v/>
      </c>
    </row>
    <row r="1540">
      <c r="A1540" s="38">
        <f>IF(M1540="","",HYPERLINK("https://www.youtube.com/watch?v="&amp;M1540,"▶"))</f>
        <v/>
      </c>
      <c r="B1540" s="39">
        <f>IF(C1540&lt;&gt;"",C1540,IF(P1540&lt;=IFERROR(INDEX(tblChannels[Watched Through],MATCH(N1540,tblChannels[Channel ID],0)),0),"Watched","Unwatched"))</f>
        <v/>
      </c>
      <c r="C1540" s="40" t="n"/>
      <c r="D1540" s="41" t="n"/>
      <c r="E1540" s="42" t="n">
        <v>44182.25</v>
      </c>
      <c r="F1540" s="43" t="inlineStr">
        <is>
          <t>Popcorn Culture</t>
        </is>
      </c>
      <c r="G1540" t="inlineStr">
        <is>
          <t>49 - Braincrack</t>
        </is>
      </c>
      <c r="H1540" s="44" t="n">
        <v>0.04248842592592592</v>
      </c>
      <c r="I1540" s="45" t="n">
        <v>2013</v>
      </c>
      <c r="J1540" s="45" t="n">
        <v>107</v>
      </c>
      <c r="K1540" s="45" t="n">
        <v>12</v>
      </c>
      <c r="L1540" s="46" t="n"/>
      <c r="M1540" s="47" t="n"/>
      <c r="N1540" s="47" t="inlineStr">
        <is>
          <t>UCHfIbq9thHPC8yrKjAdJgDA</t>
        </is>
      </c>
      <c r="O1540" s="48" t="n">
        <v>44182.45833333334</v>
      </c>
      <c r="P1540" s="49" t="n">
        <v>44182</v>
      </c>
      <c r="Q1540" s="47" t="n">
        <v>1728</v>
      </c>
      <c r="R1540" s="47" t="inlineStr">
        <is>
          <t>No Video ID yet</t>
        </is>
      </c>
      <c r="S1540" s="49" t="n"/>
      <c r="T1540" s="49" t="n"/>
      <c r="U1540" s="47" t="inlineStr">
        <is>
          <t>Ben and J discuss: jokes, snacks, cereal, meat smoking, SCB offices, negotiation, RV campers, chess, and mountain biking. Why did the chicken cross the road?:</t>
        </is>
      </c>
      <c r="V1540" s="47">
        <f>IF(AND(P1540&gt;=Calendar!$K$2,P1540&lt;EDATE(Calendar!$K$2,1),OR(Calendar!$K$4="*",N1540=Calendar!$K$4)),P1540*100+COUNTIFS($P$6:$P$3267,P1540,$Q$6:$Q$3267,"&lt;="&amp;Q1540,$N$6:$N$3267,Calendar!$K$4),"")</f>
        <v/>
      </c>
      <c r="W1540" s="47">
        <f>IF(AND(B1540=Queue!$C$4,OR(Queue!$K$4="*",N1540=Queue!$K$4)),Q1540,"")</f>
        <v/>
      </c>
    </row>
    <row r="1541">
      <c r="A1541" s="38">
        <f>IF(M1541="","",HYPERLINK("https://www.youtube.com/watch?v="&amp;M1541,"▶"))</f>
        <v/>
      </c>
      <c r="B1541" s="39">
        <f>IF(C1541&lt;&gt;"",C1541,IF(P1541&lt;=IFERROR(INDEX(tblChannels[Watched Through],MATCH(N1541,tblChannels[Channel ID],0)),0),"Watched","Unwatched"))</f>
        <v/>
      </c>
      <c r="C1541" s="40" t="n"/>
      <c r="D1541" s="41" t="n"/>
      <c r="E1541" s="42" t="n">
        <v>44181.25</v>
      </c>
      <c r="F1541" s="43" t="inlineStr">
        <is>
          <t>Popcorn Culture</t>
        </is>
      </c>
      <c r="G1541" t="inlineStr">
        <is>
          <t>48 - Pulling off the En Passant</t>
        </is>
      </c>
      <c r="H1541" s="44" t="n">
        <v>0.05016203703703704</v>
      </c>
      <c r="I1541" s="45" t="n">
        <v>2229</v>
      </c>
      <c r="J1541" s="45" t="n">
        <v>90</v>
      </c>
      <c r="K1541" s="45" t="n">
        <v>10</v>
      </c>
      <c r="L1541" s="46" t="n"/>
      <c r="M1541" s="47" t="n"/>
      <c r="N1541" s="47" t="inlineStr">
        <is>
          <t>UCHfIbq9thHPC8yrKjAdJgDA</t>
        </is>
      </c>
      <c r="O1541" s="48" t="n">
        <v>44181.45833333334</v>
      </c>
      <c r="P1541" s="49" t="n">
        <v>44181</v>
      </c>
      <c r="Q1541" s="47" t="n">
        <v>1727</v>
      </c>
      <c r="R1541" s="47" t="inlineStr">
        <is>
          <t>No Video ID yet</t>
        </is>
      </c>
      <c r="S1541" s="49" t="n"/>
      <c r="T1541" s="49" t="n"/>
      <c r="U1541" s="47" t="inlineStr">
        <is>
          <t>Ben and J discuss: Intro to Acting 101, the vulnerability of enthusiasm, color theory, animal sidekicks, mountain biking, beginner’s luck, chess strategy, and dog skills. Purple doesn’t exist (adult language): J riding the skinny: Dunning Kruger Effect: DARE Programs are not effective: Beginner’s Luck and why it works: Queen’s Gambit Trailer: En Passant in Chess:</t>
        </is>
      </c>
      <c r="V1541" s="47">
        <f>IF(AND(P1541&gt;=Calendar!$K$2,P1541&lt;EDATE(Calendar!$K$2,1),OR(Calendar!$K$4="*",N1541=Calendar!$K$4)),P1541*100+COUNTIFS($P$6:$P$3267,P1541,$Q$6:$Q$3267,"&lt;="&amp;Q1541,$N$6:$N$3267,Calendar!$K$4),"")</f>
        <v/>
      </c>
      <c r="W1541" s="47">
        <f>IF(AND(B1541=Queue!$C$4,OR(Queue!$K$4="*",N1541=Queue!$K$4)),Q1541,"")</f>
        <v/>
      </c>
    </row>
    <row r="1542">
      <c r="A1542" s="38">
        <f>IF(M1542="","",HYPERLINK("https://www.youtube.com/watch?v="&amp;M1542,"▶"))</f>
        <v/>
      </c>
      <c r="B1542" s="39">
        <f>IF(C1542&lt;&gt;"",C1542,IF(P1542&lt;=IFERROR(INDEX(tblChannels[Watched Through],MATCH(N1542,tblChannels[Channel ID],0)),0),"Watched","Unwatched"))</f>
        <v/>
      </c>
      <c r="C1542" s="40" t="n"/>
      <c r="D1542" s="41" t="n"/>
      <c r="E1542" s="42" t="n">
        <v>44180.65902777778</v>
      </c>
      <c r="F1542" s="50" t="inlineStr">
        <is>
          <t>Super Carlin Brothers</t>
        </is>
      </c>
      <c r="G1542" t="inlineStr">
        <is>
          <t>Buzz Lightyear’s Origin Story [Pixar Theory]</t>
        </is>
      </c>
      <c r="H1542" s="44" t="n">
        <v>0.00986111111111111</v>
      </c>
      <c r="I1542" s="45" t="n">
        <v>430179</v>
      </c>
      <c r="J1542" s="45" t="n">
        <v>18135</v>
      </c>
      <c r="K1542" s="45" t="n">
        <v>2188</v>
      </c>
      <c r="L1542" s="46" t="n"/>
      <c r="M1542" s="47" t="n"/>
      <c r="N1542" s="47" t="inlineStr">
        <is>
          <t>UCKZo4N0lVPccBkSiuyVh4yg</t>
        </is>
      </c>
      <c r="O1542" s="48" t="n">
        <v>44180.86736111111</v>
      </c>
      <c r="P1542" s="49" t="n">
        <v>44180</v>
      </c>
      <c r="Q1542" s="47" t="n">
        <v>1726</v>
      </c>
      <c r="R1542" s="47" t="inlineStr">
        <is>
          <t>No Video ID yet</t>
        </is>
      </c>
      <c r="S1542" s="49" t="n"/>
      <c r="T1542" s="49" t="n"/>
      <c r="U1542" s="47" t="inlineStr">
        <is>
          <t>Hurry to to find out HOW LOW your Upstart rate can be! Today J dives into the world of Disney and Pixar to discuss the Disney Investors meeting and the plethora of new projects they announced including the new Pixar movie Lightyear which will tell the origin story of the REAL Buzz whom the toy is later based on! #SuperCarlinBrothers #Lightyear #Pixar</t>
        </is>
      </c>
      <c r="V1542" s="47">
        <f>IF(AND(P1542&gt;=Calendar!$K$2,P1542&lt;EDATE(Calendar!$K$2,1),OR(Calendar!$K$4="*",N1542=Calendar!$K$4)),P1542*100+COUNTIFS($P$6:$P$3267,P1542,$Q$6:$Q$3267,"&lt;="&amp;Q1542,$N$6:$N$3267,Calendar!$K$4),"")</f>
        <v/>
      </c>
      <c r="W1542" s="47">
        <f>IF(AND(B1542=Queue!$C$4,OR(Queue!$K$4="*",N1542=Queue!$K$4)),Q1542,"")</f>
        <v/>
      </c>
    </row>
    <row r="1543">
      <c r="A1543" s="38">
        <f>IF(M1543="","",HYPERLINK("https://www.youtube.com/watch?v="&amp;M1543,"▶"))</f>
        <v/>
      </c>
      <c r="B1543" s="39">
        <f>IF(C1543&lt;&gt;"",C1543,IF(P1543&lt;=IFERROR(INDEX(tblChannels[Watched Through],MATCH(N1543,tblChannels[Channel ID],0)),0),"Watched","Unwatched"))</f>
        <v/>
      </c>
      <c r="C1543" s="40" t="n"/>
      <c r="D1543" s="41" t="n"/>
      <c r="E1543" s="42" t="n">
        <v>44180.25</v>
      </c>
      <c r="F1543" s="43" t="inlineStr">
        <is>
          <t>Popcorn Culture</t>
        </is>
      </c>
      <c r="G1543" t="inlineStr">
        <is>
          <t>47 - A Helix of Condiments</t>
        </is>
      </c>
      <c r="H1543" s="44" t="n">
        <v>0.04388888888888889</v>
      </c>
      <c r="I1543" s="45" t="n">
        <v>2073</v>
      </c>
      <c r="J1543" s="45" t="n">
        <v>93</v>
      </c>
      <c r="K1543" s="45" t="n">
        <v>18</v>
      </c>
      <c r="L1543" s="46" t="n"/>
      <c r="M1543" s="47" t="n"/>
      <c r="N1543" s="47" t="inlineStr">
        <is>
          <t>UCHfIbq9thHPC8yrKjAdJgDA</t>
        </is>
      </c>
      <c r="O1543" s="48" t="n">
        <v>44180.45833333334</v>
      </c>
      <c r="P1543" s="49" t="n">
        <v>44180</v>
      </c>
      <c r="Q1543" s="47" t="n">
        <v>1725</v>
      </c>
      <c r="R1543" s="47" t="inlineStr">
        <is>
          <t>No Video ID yet</t>
        </is>
      </c>
      <c r="S1543" s="49" t="n"/>
      <c r="T1543" s="49" t="n"/>
      <c r="U1543" s="47" t="inlineStr">
        <is>
          <t>Ben and J discuss: premium movie theaters, cable packages, Game of Thrones, Harry Potter, “The Yellow Shirt”, and hot dog toppings. Why is Movie Theater Popcorn So Expensive: Is Hagrid Rich?: The Shirt, Original: Hot Dog Purist Poll: Take the Poll:</t>
        </is>
      </c>
      <c r="V1543" s="47">
        <f>IF(AND(P1543&gt;=Calendar!$K$2,P1543&lt;EDATE(Calendar!$K$2,1),OR(Calendar!$K$4="*",N1543=Calendar!$K$4)),P1543*100+COUNTIFS($P$6:$P$3267,P1543,$Q$6:$Q$3267,"&lt;="&amp;Q1543,$N$6:$N$3267,Calendar!$K$4),"")</f>
        <v/>
      </c>
      <c r="W1543" s="47">
        <f>IF(AND(B1543=Queue!$C$4,OR(Queue!$K$4="*",N1543=Queue!$K$4)),Q1543,"")</f>
        <v/>
      </c>
    </row>
    <row r="1544">
      <c r="A1544" s="38">
        <f>IF(M1544="","",HYPERLINK("https://www.youtube.com/watch?v="&amp;M1544,"▶"))</f>
        <v/>
      </c>
      <c r="B1544" s="39">
        <f>IF(C1544&lt;&gt;"",C1544,IF(P1544&lt;=IFERROR(INDEX(tblChannels[Watched Through],MATCH(N1544,tblChannels[Channel ID],0)),0),"Watched","Unwatched"))</f>
        <v/>
      </c>
      <c r="C1544" s="40" t="n"/>
      <c r="D1544" s="41" t="n"/>
      <c r="E1544" s="42" t="n">
        <v>44179.42708333334</v>
      </c>
      <c r="F1544" s="53" t="inlineStr">
        <is>
          <t>Jonathan Carlin</t>
        </is>
      </c>
      <c r="G1544" t="inlineStr">
        <is>
          <t>Carlin Family Christmas Tree!</t>
        </is>
      </c>
      <c r="H1544" s="44" t="n">
        <v>0.007453703703703704</v>
      </c>
      <c r="I1544" s="45" t="n">
        <v>26772</v>
      </c>
      <c r="J1544" s="45" t="n">
        <v>1936</v>
      </c>
      <c r="K1544" s="45" t="n">
        <v>191</v>
      </c>
      <c r="L1544" s="46" t="n"/>
      <c r="M1544" s="47" t="n"/>
      <c r="N1544" s="47" t="inlineStr">
        <is>
          <t>UCYPKFe86e6nm4TVUYKLsFUQ</t>
        </is>
      </c>
      <c r="O1544" s="48" t="n">
        <v>44179.63541666666</v>
      </c>
      <c r="P1544" s="49" t="n">
        <v>44179</v>
      </c>
      <c r="Q1544" s="47" t="n">
        <v>1724</v>
      </c>
      <c r="R1544" s="47" t="inlineStr">
        <is>
          <t>No Video ID yet</t>
        </is>
      </c>
      <c r="S1544" s="49" t="n"/>
      <c r="T1544" s="49" t="n"/>
      <c r="U1544" s="47" t="inlineStr">
        <is>
          <t>Happy Twelve-O- Five Day Everyone! This week J, Beth, Luke and the twins head out to get a Christmas Tree and celebrate the 6 year anniversary of J and Beth's engagement! Also J and Luke discover some mysterious holes in a tree!</t>
        </is>
      </c>
      <c r="V1544" s="47">
        <f>IF(AND(P1544&gt;=Calendar!$K$2,P1544&lt;EDATE(Calendar!$K$2,1),OR(Calendar!$K$4="*",N1544=Calendar!$K$4)),P1544*100+COUNTIFS($P$6:$P$3267,P1544,$Q$6:$Q$3267,"&lt;="&amp;Q1544,$N$6:$N$3267,Calendar!$K$4),"")</f>
        <v/>
      </c>
      <c r="W1544" s="47">
        <f>IF(AND(B1544=Queue!$C$4,OR(Queue!$K$4="*",N1544=Queue!$K$4)),Q1544,"")</f>
        <v/>
      </c>
    </row>
    <row r="1545">
      <c r="A1545" s="38">
        <f>IF(M1545="","",HYPERLINK("https://www.youtube.com/watch?v="&amp;M1545,"▶"))</f>
        <v/>
      </c>
      <c r="B1545" s="39">
        <f>IF(C1545&lt;&gt;"",C1545,IF(P1545&lt;=IFERROR(INDEX(tblChannels[Watched Through],MATCH(N1545,tblChannels[Channel ID],0)),0),"Watched","Unwatched"))</f>
        <v/>
      </c>
      <c r="C1545" s="40" t="n"/>
      <c r="D1545" s="41" t="n"/>
      <c r="E1545" s="42" t="n">
        <v>44179.25</v>
      </c>
      <c r="F1545" s="43" t="inlineStr">
        <is>
          <t>Popcorn Culture</t>
        </is>
      </c>
      <c r="G1545" t="inlineStr">
        <is>
          <t>46 - The Element of Surprise</t>
        </is>
      </c>
      <c r="H1545" s="44" t="n">
        <v>0.04258101851851852</v>
      </c>
      <c r="I1545" s="45" t="n">
        <v>2153</v>
      </c>
      <c r="J1545" s="45" t="n">
        <v>103</v>
      </c>
      <c r="K1545" s="45" t="n">
        <v>17</v>
      </c>
      <c r="L1545" s="46" t="n"/>
      <c r="M1545" s="47" t="n"/>
      <c r="N1545" s="47" t="inlineStr">
        <is>
          <t>UCHfIbq9thHPC8yrKjAdJgDA</t>
        </is>
      </c>
      <c r="O1545" s="48" t="n">
        <v>44179.45833333334</v>
      </c>
      <c r="P1545" s="49" t="n">
        <v>44179</v>
      </c>
      <c r="Q1545" s="47" t="n">
        <v>1723</v>
      </c>
      <c r="R1545" s="47" t="inlineStr">
        <is>
          <t>No Video ID yet</t>
        </is>
      </c>
      <c r="S1545" s="49" t="n"/>
      <c r="T1545" s="49" t="n"/>
      <c r="U1545" s="47" t="inlineStr">
        <is>
          <t>Ben and J discuss: permanent marker, harmless pranks, food hacks, the Mandalorian, interesting superpowers, Christmas music, ladders, and horses. LAST CHANCE to get your Person card: Taking sharpie off with dry erase marker: Adding Milk to Eggs (spoilers - don’t do it): Making powdered sugar from granulated: Thrawn is coming: Longest long jump distance:</t>
        </is>
      </c>
      <c r="V1545" s="47">
        <f>IF(AND(P1545&gt;=Calendar!$K$2,P1545&lt;EDATE(Calendar!$K$2,1),OR(Calendar!$K$4="*",N1545=Calendar!$K$4)),P1545*100+COUNTIFS($P$6:$P$3267,P1545,$Q$6:$Q$3267,"&lt;="&amp;Q1545,$N$6:$N$3267,Calendar!$K$4),"")</f>
        <v/>
      </c>
      <c r="W1545" s="47">
        <f>IF(AND(B1545=Queue!$C$4,OR(Queue!$K$4="*",N1545=Queue!$K$4)),Q1545,"")</f>
        <v/>
      </c>
    </row>
    <row r="1546">
      <c r="A1546" s="38">
        <f>IF(M1546="","",HYPERLINK("https://www.youtube.com/watch?v="&amp;M1546,"▶"))</f>
        <v/>
      </c>
      <c r="B1546" s="39">
        <f>IF(C1546&lt;&gt;"",C1546,IF(P1546&lt;=IFERROR(INDEX(tblChannels[Watched Through],MATCH(N1546,tblChannels[Channel ID],0)),0),"Watched","Unwatched"))</f>
        <v/>
      </c>
      <c r="C1546" s="40" t="n"/>
      <c r="D1546" s="41" t="n"/>
      <c r="E1546" s="42" t="n">
        <v>44176.25</v>
      </c>
      <c r="F1546" s="43" t="inlineStr">
        <is>
          <t>Popcorn Culture</t>
        </is>
      </c>
      <c r="G1546" t="inlineStr">
        <is>
          <t>45 - Do People Eat Gingerbread Houses?</t>
        </is>
      </c>
      <c r="H1546" s="44" t="n">
        <v>0.04585648148148148</v>
      </c>
      <c r="I1546" s="45" t="n">
        <v>2445</v>
      </c>
      <c r="J1546" s="45" t="n">
        <v>104</v>
      </c>
      <c r="K1546" s="45" t="n">
        <v>14</v>
      </c>
      <c r="L1546" s="46" t="n"/>
      <c r="M1546" s="47" t="n"/>
      <c r="N1546" s="47" t="inlineStr">
        <is>
          <t>UCHfIbq9thHPC8yrKjAdJgDA</t>
        </is>
      </c>
      <c r="O1546" s="48" t="n">
        <v>44176.45833333334</v>
      </c>
      <c r="P1546" s="49" t="n">
        <v>44176</v>
      </c>
      <c r="Q1546" s="47" t="n">
        <v>1722</v>
      </c>
      <c r="R1546" s="47" t="inlineStr">
        <is>
          <t>No Video ID yet</t>
        </is>
      </c>
      <c r="S1546" s="49" t="n"/>
      <c r="T1546" s="49" t="n"/>
      <c r="U1546" s="47" t="inlineStr">
        <is>
          <t>Ben and J discuss: trick or treating, heelies, holiday yard decor, gingerbread houses, chocolate chip ice cream, coyotes, sound systems, and Weird Al. Proof for Person Card: C9 Bulb lights: Bad Hair Day Album: Arctic Wolf Spider:</t>
        </is>
      </c>
      <c r="V1546" s="47">
        <f>IF(AND(P1546&gt;=Calendar!$K$2,P1546&lt;EDATE(Calendar!$K$2,1),OR(Calendar!$K$4="*",N1546=Calendar!$K$4)),P1546*100+COUNTIFS($P$6:$P$3267,P1546,$Q$6:$Q$3267,"&lt;="&amp;Q1546,$N$6:$N$3267,Calendar!$K$4),"")</f>
        <v/>
      </c>
      <c r="W1546" s="47">
        <f>IF(AND(B1546=Queue!$C$4,OR(Queue!$K$4="*",N1546=Queue!$K$4)),Q1546,"")</f>
        <v/>
      </c>
    </row>
    <row r="1547">
      <c r="A1547" s="38">
        <f>IF(M1547="","",HYPERLINK("https://www.youtube.com/watch?v="&amp;M1547,"▶"))</f>
        <v/>
      </c>
      <c r="B1547" s="39">
        <f>IF(C1547&lt;&gt;"",C1547,IF(P1547&lt;=IFERROR(INDEX(tblChannels[Watched Through],MATCH(N1547,tblChannels[Channel ID],0)),0),"Watched","Unwatched"))</f>
        <v/>
      </c>
      <c r="C1547" s="40" t="n"/>
      <c r="D1547" s="41" t="n"/>
      <c r="E1547" s="42" t="n">
        <v>44175.70555555556</v>
      </c>
      <c r="F1547" s="50" t="inlineStr">
        <is>
          <t>Super Carlin Brothers</t>
        </is>
      </c>
      <c r="G1547" t="inlineStr">
        <is>
          <t>J vs Ben: HARDEST Frozen Trivia Quiz</t>
        </is>
      </c>
      <c r="H1547" s="44" t="n">
        <v>0.01439814814814815</v>
      </c>
      <c r="I1547" s="45" t="n">
        <v>155718</v>
      </c>
      <c r="J1547" s="45" t="n">
        <v>6612</v>
      </c>
      <c r="K1547" s="45" t="n">
        <v>653</v>
      </c>
      <c r="L1547" s="46" t="n"/>
      <c r="M1547" s="47" t="n"/>
      <c r="N1547" s="47" t="inlineStr">
        <is>
          <t>UCKZo4N0lVPccBkSiuyVh4yg</t>
        </is>
      </c>
      <c r="O1547" s="48" t="n">
        <v>44175.91388888889</v>
      </c>
      <c r="P1547" s="49" t="n">
        <v>44175</v>
      </c>
      <c r="Q1547" s="47" t="n">
        <v>1721</v>
      </c>
      <c r="R1547" s="47" t="inlineStr">
        <is>
          <t>No Video ID yet</t>
        </is>
      </c>
      <c r="S1547" s="49" t="n"/>
      <c r="T1547" s="49" t="n"/>
      <c r="U1547" s="47" t="inlineStr">
        <is>
          <t>Get $5 off and zero delivery fees on your first order of $15 or more when you download the DoorDash app and enter code JVSB! Go to and use the code JVSB to claim your special offer today! It's getting COLD out so today J and Ben face off once again to find out who knows the most about Anna, Elsa, Olaf, Kristoff and the entire world of Disney’s Frozen! #SuperCarlinBrothers #Frozen #Disney</t>
        </is>
      </c>
      <c r="V1547" s="47">
        <f>IF(AND(P1547&gt;=Calendar!$K$2,P1547&lt;EDATE(Calendar!$K$2,1),OR(Calendar!$K$4="*",N1547=Calendar!$K$4)),P1547*100+COUNTIFS($P$6:$P$3267,P1547,$Q$6:$Q$3267,"&lt;="&amp;Q1547,$N$6:$N$3267,Calendar!$K$4),"")</f>
        <v/>
      </c>
      <c r="W1547" s="47">
        <f>IF(AND(B1547=Queue!$C$4,OR(Queue!$K$4="*",N1547=Queue!$K$4)),Q1547,"")</f>
        <v/>
      </c>
    </row>
    <row r="1548">
      <c r="A1548" s="38">
        <f>IF(M1548="","",HYPERLINK("https://www.youtube.com/watch?v="&amp;M1548,"▶"))</f>
        <v/>
      </c>
      <c r="B1548" s="39">
        <f>IF(C1548&lt;&gt;"",C1548,IF(P1548&lt;=IFERROR(INDEX(tblChannels[Watched Through],MATCH(N1548,tblChannels[Channel ID],0)),0),"Watched","Unwatched"))</f>
        <v/>
      </c>
      <c r="C1548" s="40" t="n"/>
      <c r="D1548" s="41" t="n"/>
      <c r="E1548" s="42" t="n">
        <v>44175.25</v>
      </c>
      <c r="F1548" s="43" t="inlineStr">
        <is>
          <t>Popcorn Culture</t>
        </is>
      </c>
      <c r="G1548" t="inlineStr">
        <is>
          <t>44 - We Know Literally Nothing About Music</t>
        </is>
      </c>
      <c r="H1548" s="44" t="n">
        <v>0.05074074074074074</v>
      </c>
      <c r="I1548" s="45" t="n">
        <v>2500</v>
      </c>
      <c r="J1548" s="45" t="n">
        <v>118</v>
      </c>
      <c r="K1548" s="45" t="n">
        <v>27</v>
      </c>
      <c r="L1548" s="46" t="n"/>
      <c r="M1548" s="47" t="n"/>
      <c r="N1548" s="47" t="inlineStr">
        <is>
          <t>UCHfIbq9thHPC8yrKjAdJgDA</t>
        </is>
      </c>
      <c r="O1548" s="48" t="n">
        <v>44175.45833333334</v>
      </c>
      <c r="P1548" s="49" t="n">
        <v>44175</v>
      </c>
      <c r="Q1548" s="47" t="n">
        <v>1720</v>
      </c>
      <c r="R1548" s="47" t="inlineStr">
        <is>
          <t>No Video ID yet</t>
        </is>
      </c>
      <c r="S1548" s="49" t="n"/>
      <c r="T1548" s="49" t="n"/>
      <c r="U1548" s="47" t="inlineStr">
        <is>
          <t>Ben and J discuss: wild horses, joke construction, Ted Lasso, musicians, American Idol, country songs, one-star reviews, Lime Scooters, and being in on inside jokes. Chincoteague and Assateague: Ted Lasso Trailer (#notsponsored): Building Frequencies (there’s a video on the right): When Building frequencies go wrong: American Idol contestants who became successful: Join the Patreon and get your own Popcast Person Card:</t>
        </is>
      </c>
      <c r="V1548" s="47">
        <f>IF(AND(P1548&gt;=Calendar!$K$2,P1548&lt;EDATE(Calendar!$K$2,1),OR(Calendar!$K$4="*",N1548=Calendar!$K$4)),P1548*100+COUNTIFS($P$6:$P$3267,P1548,$Q$6:$Q$3267,"&lt;="&amp;Q1548,$N$6:$N$3267,Calendar!$K$4),"")</f>
        <v/>
      </c>
      <c r="W1548" s="47">
        <f>IF(AND(B1548=Queue!$C$4,OR(Queue!$K$4="*",N1548=Queue!$K$4)),Q1548,"")</f>
        <v/>
      </c>
    </row>
    <row r="1549">
      <c r="A1549" s="38">
        <f>IF(M1549="","",HYPERLINK("https://www.youtube.com/watch?v="&amp;M1549,"▶"))</f>
        <v/>
      </c>
      <c r="B1549" s="39">
        <f>IF(C1549&lt;&gt;"",C1549,IF(P1549&lt;=IFERROR(INDEX(tblChannels[Watched Through],MATCH(N1549,tblChannels[Channel ID],0)),0),"Watched","Unwatched"))</f>
        <v/>
      </c>
      <c r="C1549" s="40" t="n"/>
      <c r="D1549" s="41" t="n"/>
      <c r="E1549" s="42" t="n">
        <v>44174.25</v>
      </c>
      <c r="F1549" s="43" t="inlineStr">
        <is>
          <t>Popcorn Culture</t>
        </is>
      </c>
      <c r="G1549" t="inlineStr">
        <is>
          <t>43 - How To Start A New Idea</t>
        </is>
      </c>
      <c r="H1549" s="44" t="n">
        <v>0.04479166666666667</v>
      </c>
      <c r="I1549" s="45" t="n">
        <v>2290</v>
      </c>
      <c r="J1549" s="45" t="n">
        <v>113</v>
      </c>
      <c r="K1549" s="45" t="n">
        <v>10</v>
      </c>
      <c r="L1549" s="46" t="n"/>
      <c r="M1549" s="47" t="n"/>
      <c r="N1549" s="47" t="inlineStr">
        <is>
          <t>UCHfIbq9thHPC8yrKjAdJgDA</t>
        </is>
      </c>
      <c r="O1549" s="48" t="n">
        <v>44174.45833333334</v>
      </c>
      <c r="P1549" s="49" t="n">
        <v>44174</v>
      </c>
      <c r="Q1549" s="47" t="n">
        <v>1719</v>
      </c>
      <c r="R1549" s="47" t="inlineStr">
        <is>
          <t>No Video ID yet</t>
        </is>
      </c>
      <c r="S1549" s="49" t="n"/>
      <c r="T1549" s="49" t="n"/>
      <c r="U1549" s="47" t="inlineStr">
        <is>
          <t>Ben and J discuss: Person Cards, Wild Opportunities, Starting Carlin Brothers Coffee, Life Plans, Rain, Mountain Biking, Tattoos, and Ski Adventures. Join the Patreon and get your own Popcast Person Card: Three-Wolf Moon Shirt: J loves Beanbags Picture:</t>
        </is>
      </c>
      <c r="V1549" s="47">
        <f>IF(AND(P1549&gt;=Calendar!$K$2,P1549&lt;EDATE(Calendar!$K$2,1),OR(Calendar!$K$4="*",N1549=Calendar!$K$4)),P1549*100+COUNTIFS($P$6:$P$3267,P1549,$Q$6:$Q$3267,"&lt;="&amp;Q1549,$N$6:$N$3267,Calendar!$K$4),"")</f>
        <v/>
      </c>
      <c r="W1549" s="47">
        <f>IF(AND(B1549=Queue!$C$4,OR(Queue!$K$4="*",N1549=Queue!$K$4)),Q1549,"")</f>
        <v/>
      </c>
    </row>
    <row r="1550">
      <c r="A1550" s="38">
        <f>IF(M1550="","",HYPERLINK("https://www.youtube.com/watch?v="&amp;M1550,"▶"))</f>
        <v/>
      </c>
      <c r="B1550" s="39">
        <f>IF(C1550&lt;&gt;"",C1550,IF(P1550&lt;=IFERROR(INDEX(tblChannels[Watched Through],MATCH(N1550,tblChannels[Channel ID],0)),0),"Watched","Unwatched"))</f>
        <v/>
      </c>
      <c r="C1550" s="40" t="n"/>
      <c r="D1550" s="41" t="n"/>
      <c r="E1550" s="42" t="n">
        <v>44173.78958333333</v>
      </c>
      <c r="F1550" s="50" t="inlineStr">
        <is>
          <t>Super Carlin Brothers</t>
        </is>
      </c>
      <c r="G1550" t="inlineStr">
        <is>
          <t>Rey and Grogu’s SECRET Connection! [Star Wars Theory]</t>
        </is>
      </c>
      <c r="H1550" s="44" t="n">
        <v>0.009212962962962963</v>
      </c>
      <c r="I1550" s="45" t="n">
        <v>116227</v>
      </c>
      <c r="J1550" s="45" t="n">
        <v>6709</v>
      </c>
      <c r="K1550" s="45" t="n">
        <v>1014</v>
      </c>
      <c r="L1550" s="46" t="n"/>
      <c r="M1550" s="47" t="n"/>
      <c r="N1550" s="47" t="inlineStr">
        <is>
          <t>UCKZo4N0lVPccBkSiuyVh4yg</t>
        </is>
      </c>
      <c r="O1550" s="48" t="n">
        <v>44173.99791666667</v>
      </c>
      <c r="P1550" s="49" t="n">
        <v>44173</v>
      </c>
      <c r="Q1550" s="47" t="n">
        <v>1718</v>
      </c>
      <c r="R1550" s="47" t="inlineStr">
        <is>
          <t>No Video ID yet</t>
        </is>
      </c>
      <c r="S1550" s="49" t="n"/>
      <c r="T1550" s="49" t="n"/>
      <c r="U1550" s="47" t="inlineStr">
        <is>
          <t>Hello Fresh :: Go to and use code super80 to get $80 off including free shipping! Today J dives into the Star Wars Galaxy to discuss The Mandalorian and how Baby Yoda aka Grogu is connected to Rey! #SuperCarlinBrothers #StarWars</t>
        </is>
      </c>
      <c r="V1550" s="47">
        <f>IF(AND(P1550&gt;=Calendar!$K$2,P1550&lt;EDATE(Calendar!$K$2,1),OR(Calendar!$K$4="*",N1550=Calendar!$K$4)),P1550*100+COUNTIFS($P$6:$P$3267,P1550,$Q$6:$Q$3267,"&lt;="&amp;Q1550,$N$6:$N$3267,Calendar!$K$4),"")</f>
        <v/>
      </c>
      <c r="W1550" s="47">
        <f>IF(AND(B1550=Queue!$C$4,OR(Queue!$K$4="*",N1550=Queue!$K$4)),Q1550,"")</f>
        <v/>
      </c>
    </row>
    <row r="1551">
      <c r="A1551" s="38">
        <f>IF(M1551="","",HYPERLINK("https://www.youtube.com/watch?v="&amp;M1551,"▶"))</f>
        <v/>
      </c>
      <c r="B1551" s="39">
        <f>IF(C1551&lt;&gt;"",C1551,IF(P1551&lt;=IFERROR(INDEX(tblChannels[Watched Through],MATCH(N1551,tblChannels[Channel ID],0)),0),"Watched","Unwatched"))</f>
        <v/>
      </c>
      <c r="C1551" s="40" t="n"/>
      <c r="D1551" s="41" t="n"/>
      <c r="E1551" s="42" t="n">
        <v>44173.25</v>
      </c>
      <c r="F1551" s="43" t="inlineStr">
        <is>
          <t>Popcorn Culture</t>
        </is>
      </c>
      <c r="G1551" t="inlineStr">
        <is>
          <t>42 -  Best Ways to Wrap a Present</t>
        </is>
      </c>
      <c r="H1551" s="44" t="n">
        <v>0.04833333333333333</v>
      </c>
      <c r="I1551" s="45" t="n">
        <v>2441</v>
      </c>
      <c r="J1551" s="45" t="n">
        <v>118</v>
      </c>
      <c r="K1551" s="45" t="n">
        <v>17</v>
      </c>
      <c r="L1551" s="46" t="n"/>
      <c r="M1551" s="47" t="n"/>
      <c r="N1551" s="47" t="inlineStr">
        <is>
          <t>UCHfIbq9thHPC8yrKjAdJgDA</t>
        </is>
      </c>
      <c r="O1551" s="48" t="n">
        <v>44173.45833333334</v>
      </c>
      <c r="P1551" s="49" t="n">
        <v>44173</v>
      </c>
      <c r="Q1551" s="47" t="n">
        <v>1717</v>
      </c>
      <c r="R1551" s="47" t="inlineStr">
        <is>
          <t>No Video ID yet</t>
        </is>
      </c>
      <c r="S1551" s="49" t="n"/>
      <c r="T1551" s="49" t="n"/>
      <c r="U1551" s="47" t="inlineStr">
        <is>
          <t>Ben and J discuss: laughter, GMA gift exchange stories, bee stings, mountain biking, Bear Grylls, and the return of sports. Get Your Very Own Metal Person Card: Scott Sterling is the best goalkeeper: Poisonous vs Venomous: Dr Bronner’s Magic Soap (#notsponsored):</t>
        </is>
      </c>
      <c r="V1551" s="47">
        <f>IF(AND(P1551&gt;=Calendar!$K$2,P1551&lt;EDATE(Calendar!$K$2,1),OR(Calendar!$K$4="*",N1551=Calendar!$K$4)),P1551*100+COUNTIFS($P$6:$P$3267,P1551,$Q$6:$Q$3267,"&lt;="&amp;Q1551,$N$6:$N$3267,Calendar!$K$4),"")</f>
        <v/>
      </c>
      <c r="W1551" s="47">
        <f>IF(AND(B1551=Queue!$C$4,OR(Queue!$K$4="*",N1551=Queue!$K$4)),Q1551,"")</f>
        <v/>
      </c>
    </row>
    <row r="1552">
      <c r="A1552" s="38">
        <f>IF(M1552="","",HYPERLINK("https://www.youtube.com/watch?v="&amp;M1552,"▶"))</f>
        <v/>
      </c>
      <c r="B1552" s="39">
        <f>IF(C1552&lt;&gt;"",C1552,IF(P1552&lt;=IFERROR(INDEX(tblChannels[Watched Through],MATCH(N1552,tblChannels[Channel ID],0)),0),"Watched","Unwatched"))</f>
        <v/>
      </c>
      <c r="C1552" s="40" t="n"/>
      <c r="D1552" s="41" t="n"/>
      <c r="E1552" s="42" t="n">
        <v>44172.41666666666</v>
      </c>
      <c r="F1552" s="53" t="inlineStr">
        <is>
          <t>Jonathan Carlin</t>
        </is>
      </c>
      <c r="G1552" t="inlineStr">
        <is>
          <t>LUKE'S THIRD BIRTHDAY!</t>
        </is>
      </c>
      <c r="H1552" s="44" t="n">
        <v>0.00712962962962963</v>
      </c>
      <c r="I1552" s="45" t="n">
        <v>39060</v>
      </c>
      <c r="J1552" s="45" t="n">
        <v>2916</v>
      </c>
      <c r="K1552" s="45" t="n">
        <v>420</v>
      </c>
      <c r="L1552" s="46" t="n"/>
      <c r="M1552" s="47" t="n"/>
      <c r="N1552" s="47" t="inlineStr">
        <is>
          <t>UCYPKFe86e6nm4TVUYKLsFUQ</t>
        </is>
      </c>
      <c r="O1552" s="48" t="n">
        <v>44172.625</v>
      </c>
      <c r="P1552" s="49" t="n">
        <v>44172</v>
      </c>
      <c r="Q1552" s="47" t="n">
        <v>1716</v>
      </c>
      <c r="R1552" s="47" t="inlineStr">
        <is>
          <t>No Video ID yet</t>
        </is>
      </c>
      <c r="S1552" s="49" t="n"/>
      <c r="T1552" s="49" t="n"/>
      <c r="U1552" s="47" t="inlineStr">
        <is>
          <t>This week the Carlin family celebrates Thanksgiving with a virtual Drumstick Dash and Luke celebrates his third birthday!!</t>
        </is>
      </c>
      <c r="V1552" s="47">
        <f>IF(AND(P1552&gt;=Calendar!$K$2,P1552&lt;EDATE(Calendar!$K$2,1),OR(Calendar!$K$4="*",N1552=Calendar!$K$4)),P1552*100+COUNTIFS($P$6:$P$3267,P1552,$Q$6:$Q$3267,"&lt;="&amp;Q1552,$N$6:$N$3267,Calendar!$K$4),"")</f>
        <v/>
      </c>
      <c r="W1552" s="47">
        <f>IF(AND(B1552=Queue!$C$4,OR(Queue!$K$4="*",N1552=Queue!$K$4)),Q1552,"")</f>
        <v/>
      </c>
    </row>
    <row r="1553">
      <c r="A1553" s="38">
        <f>IF(M1553="","",HYPERLINK("https://www.youtube.com/watch?v="&amp;M1553,"▶"))</f>
        <v/>
      </c>
      <c r="B1553" s="39">
        <f>IF(C1553&lt;&gt;"",C1553,IF(P1553&lt;=IFERROR(INDEX(tblChannels[Watched Through],MATCH(N1553,tblChannels[Channel ID],0)),0),"Watched","Unwatched"))</f>
        <v/>
      </c>
      <c r="C1553" s="40" t="n"/>
      <c r="D1553" s="41" t="n"/>
      <c r="E1553" s="42" t="n">
        <v>44172.25</v>
      </c>
      <c r="F1553" s="43" t="inlineStr">
        <is>
          <t>Popcorn Culture</t>
        </is>
      </c>
      <c r="G1553" t="inlineStr">
        <is>
          <t>41 - How To Dance Like No One’s Watching</t>
        </is>
      </c>
      <c r="H1553" s="44" t="n">
        <v>0.04653935185185185</v>
      </c>
      <c r="I1553" s="45" t="n">
        <v>1572</v>
      </c>
      <c r="J1553" s="45" t="n">
        <v>100</v>
      </c>
      <c r="K1553" s="45" t="n">
        <v>30</v>
      </c>
      <c r="L1553" s="46" t="n"/>
      <c r="M1553" s="47" t="n"/>
      <c r="N1553" s="47" t="inlineStr">
        <is>
          <t>UCHfIbq9thHPC8yrKjAdJgDA</t>
        </is>
      </c>
      <c r="O1553" s="48" t="n">
        <v>44172.45833333334</v>
      </c>
      <c r="P1553" s="49" t="n">
        <v>44172</v>
      </c>
      <c r="Q1553" s="47" t="n">
        <v>1715</v>
      </c>
      <c r="R1553" s="47" t="inlineStr">
        <is>
          <t>No Video ID yet</t>
        </is>
      </c>
      <c r="S1553" s="49" t="n"/>
      <c r="T1553" s="49" t="n"/>
      <c r="U1553" s="47" t="inlineStr">
        <is>
          <t>Ben and J discuss: rough drafts, scent memory, furniture shopping, college couch stories, shirt story revisit, hair color, feeding the trolls, dancing, and TV shows we’re watching. The Yellow Shirt: Why does Woody have a holster: What color is J’s hair: Baby J and Baby Ben: Ben’s Mr. Incredible photo: J’s Weard: Wacky Wavy Inflatable Arm Flailing Tube Man:</t>
        </is>
      </c>
      <c r="V1553" s="47">
        <f>IF(AND(P1553&gt;=Calendar!$K$2,P1553&lt;EDATE(Calendar!$K$2,1),OR(Calendar!$K$4="*",N1553=Calendar!$K$4)),P1553*100+COUNTIFS($P$6:$P$3267,P1553,$Q$6:$Q$3267,"&lt;="&amp;Q1553,$N$6:$N$3267,Calendar!$K$4),"")</f>
        <v/>
      </c>
      <c r="W1553" s="47">
        <f>IF(AND(B1553=Queue!$C$4,OR(Queue!$K$4="*",N1553=Queue!$K$4)),Q1553,"")</f>
        <v/>
      </c>
    </row>
    <row r="1554">
      <c r="A1554" s="38">
        <f>IF(M1554="","",HYPERLINK("https://www.youtube.com/watch?v="&amp;M1554,"▶"))</f>
        <v/>
      </c>
      <c r="B1554" s="39">
        <f>IF(C1554&lt;&gt;"",C1554,IF(P1554&lt;=IFERROR(INDEX(tblChannels[Watched Through],MATCH(N1554,tblChannels[Channel ID],0)),0),"Watched","Unwatched"))</f>
        <v/>
      </c>
      <c r="C1554" s="40" t="n"/>
      <c r="D1554" s="41" t="n"/>
      <c r="E1554" s="42" t="n">
        <v>44171.25</v>
      </c>
      <c r="F1554" s="43" t="inlineStr">
        <is>
          <t>Popcorn Culture</t>
        </is>
      </c>
      <c r="G1554" t="inlineStr">
        <is>
          <t>40 - Living During Interesting Times</t>
        </is>
      </c>
      <c r="H1554" s="44" t="n">
        <v>0.04603009259259259</v>
      </c>
      <c r="I1554" s="45" t="n">
        <v>2533</v>
      </c>
      <c r="J1554" s="45" t="n">
        <v>124</v>
      </c>
      <c r="K1554" s="45" t="n">
        <v>14</v>
      </c>
      <c r="L1554" s="46" t="n"/>
      <c r="M1554" s="47" t="n"/>
      <c r="N1554" s="47" t="inlineStr">
        <is>
          <t>UCHfIbq9thHPC8yrKjAdJgDA</t>
        </is>
      </c>
      <c r="O1554" s="48" t="n">
        <v>44171.45833333334</v>
      </c>
      <c r="P1554" s="49" t="n">
        <v>44171</v>
      </c>
      <c r="Q1554" s="47" t="n">
        <v>1714</v>
      </c>
      <c r="R1554" s="47" t="inlineStr">
        <is>
          <t>No Video ID yet</t>
        </is>
      </c>
      <c r="S1554" s="49" t="n"/>
      <c r="T1554" s="49" t="n"/>
      <c r="U1554" s="47" t="inlineStr">
        <is>
          <t>Ben and J discuss: frictionless purchasing, cool bedrooms, sunglasses, the Blue Checkmark, Hamilton, theatres, work conferences, and barriers to entry. Oakley Gascan Sunglasses: SCB Goodr Sunglasses: Luxottica Owns all the glasses: Editor’s Note: Please do not edit Wikipedia for SCB</t>
        </is>
      </c>
      <c r="V1554" s="47">
        <f>IF(AND(P1554&gt;=Calendar!$K$2,P1554&lt;EDATE(Calendar!$K$2,1),OR(Calendar!$K$4="*",N1554=Calendar!$K$4)),P1554*100+COUNTIFS($P$6:$P$3267,P1554,$Q$6:$Q$3267,"&lt;="&amp;Q1554,$N$6:$N$3267,Calendar!$K$4),"")</f>
        <v/>
      </c>
      <c r="W1554" s="47">
        <f>IF(AND(B1554=Queue!$C$4,OR(Queue!$K$4="*",N1554=Queue!$K$4)),Q1554,"")</f>
        <v/>
      </c>
    </row>
    <row r="1555">
      <c r="A1555" s="38">
        <f>IF(M1555="","",HYPERLINK("https://www.youtube.com/watch?v="&amp;M1555,"▶"))</f>
        <v/>
      </c>
      <c r="B1555" s="39">
        <f>IF(C1555&lt;&gt;"",C1555,IF(P1555&lt;=IFERROR(INDEX(tblChannels[Watched Through],MATCH(N1555,tblChannels[Channel ID],0)),0),"Watched","Unwatched"))</f>
        <v/>
      </c>
      <c r="C1555" s="40" t="n"/>
      <c r="D1555" s="41" t="n"/>
      <c r="E1555" s="42" t="n">
        <v>44170.25</v>
      </c>
      <c r="F1555" s="43" t="inlineStr">
        <is>
          <t>Popcorn Culture</t>
        </is>
      </c>
      <c r="G1555" t="inlineStr">
        <is>
          <t>39 -  The Quest for the Yeard</t>
        </is>
      </c>
      <c r="H1555" s="44" t="n">
        <v>0.04670138888888889</v>
      </c>
      <c r="I1555" s="45" t="n">
        <v>1784</v>
      </c>
      <c r="J1555" s="45" t="n">
        <v>108</v>
      </c>
      <c r="K1555" s="45" t="n">
        <v>14</v>
      </c>
      <c r="L1555" s="46" t="n"/>
      <c r="M1555" s="47" t="n"/>
      <c r="N1555" s="47" t="inlineStr">
        <is>
          <t>UCHfIbq9thHPC8yrKjAdJgDA</t>
        </is>
      </c>
      <c r="O1555" s="48" t="n">
        <v>44170.45833333334</v>
      </c>
      <c r="P1555" s="49" t="n">
        <v>44170</v>
      </c>
      <c r="Q1555" s="47" t="n">
        <v>1713</v>
      </c>
      <c r="R1555" s="47" t="inlineStr">
        <is>
          <t>No Video ID yet</t>
        </is>
      </c>
      <c r="S1555" s="49" t="n"/>
      <c r="T1555" s="49" t="n"/>
      <c r="U1555" s="47" t="inlineStr">
        <is>
          <t>Ben and J discuss: online presences, personal core memories, camping misadventures, hitting zero, getting good at something, social media, missing the party, the quest for the yeard, anxiety dreams, and fear of the unknown. Boy Scout Ranks: Beard care tips: Email us your yeard opinions and story: popcornculturepod@gmail.com</t>
        </is>
      </c>
      <c r="V1555" s="47">
        <f>IF(AND(P1555&gt;=Calendar!$K$2,P1555&lt;EDATE(Calendar!$K$2,1),OR(Calendar!$K$4="*",N1555=Calendar!$K$4)),P1555*100+COUNTIFS($P$6:$P$3267,P1555,$Q$6:$Q$3267,"&lt;="&amp;Q1555,$N$6:$N$3267,Calendar!$K$4),"")</f>
        <v/>
      </c>
      <c r="W1555" s="47">
        <f>IF(AND(B1555=Queue!$C$4,OR(Queue!$K$4="*",N1555=Queue!$K$4)),Q1555,"")</f>
        <v/>
      </c>
    </row>
    <row r="1556">
      <c r="A1556" s="38">
        <f>IF(M1556="","",HYPERLINK("https://www.youtube.com/watch?v="&amp;M1556,"▶"))</f>
        <v/>
      </c>
      <c r="B1556" s="39">
        <f>IF(C1556&lt;&gt;"",C1556,IF(P1556&lt;=IFERROR(INDEX(tblChannels[Watched Through],MATCH(N1556,tblChannels[Channel ID],0)),0),"Watched","Unwatched"))</f>
        <v/>
      </c>
      <c r="C1556" s="40" t="n"/>
      <c r="D1556" s="41" t="n"/>
      <c r="E1556" s="42" t="n">
        <v>44169.25</v>
      </c>
      <c r="F1556" s="43" t="inlineStr">
        <is>
          <t>Popcorn Culture</t>
        </is>
      </c>
      <c r="G1556" t="inlineStr">
        <is>
          <t>38 - Why it’s hard to change someone’s mind</t>
        </is>
      </c>
      <c r="H1556" s="44" t="n">
        <v>0.04534722222222222</v>
      </c>
      <c r="I1556" s="45" t="n">
        <v>2621</v>
      </c>
      <c r="J1556" s="45" t="n">
        <v>132</v>
      </c>
      <c r="K1556" s="45" t="n">
        <v>24</v>
      </c>
      <c r="L1556" s="46" t="n"/>
      <c r="M1556" s="47" t="n"/>
      <c r="N1556" s="47" t="inlineStr">
        <is>
          <t>UCHfIbq9thHPC8yrKjAdJgDA</t>
        </is>
      </c>
      <c r="O1556" s="48" t="n">
        <v>44169.45833333334</v>
      </c>
      <c r="P1556" s="49" t="n">
        <v>44169</v>
      </c>
      <c r="Q1556" s="47" t="n">
        <v>1712</v>
      </c>
      <c r="R1556" s="47" t="inlineStr">
        <is>
          <t>No Video ID yet</t>
        </is>
      </c>
      <c r="S1556" s="49" t="n"/>
      <c r="T1556" s="49" t="n"/>
      <c r="U1556" s="47" t="inlineStr">
        <is>
          <t>Ben and J discuss: Job Perceptions, Jump Cuts, Why it’s hard to change your mind, actor friends, swear words, dad jokes, Dungeons and Dragons, and tubing. Meg Ryan: Dungeons and Dragons Character Name Generator: Email us your D&amp;D Character names: popcornculturepod@gmail.com Get Your Own Fred Cup:</t>
        </is>
      </c>
      <c r="V1556" s="47">
        <f>IF(AND(P1556&gt;=Calendar!$K$2,P1556&lt;EDATE(Calendar!$K$2,1),OR(Calendar!$K$4="*",N1556=Calendar!$K$4)),P1556*100+COUNTIFS($P$6:$P$3267,P1556,$Q$6:$Q$3267,"&lt;="&amp;Q1556,$N$6:$N$3267,Calendar!$K$4),"")</f>
        <v/>
      </c>
      <c r="W1556" s="47">
        <f>IF(AND(B1556=Queue!$C$4,OR(Queue!$K$4="*",N1556=Queue!$K$4)),Q1556,"")</f>
        <v/>
      </c>
    </row>
    <row r="1557">
      <c r="A1557" s="38">
        <f>IF(M1557="","",HYPERLINK("https://www.youtube.com/watch?v="&amp;M1557,"▶"))</f>
        <v/>
      </c>
      <c r="B1557" s="39">
        <f>IF(C1557&lt;&gt;"",C1557,IF(P1557&lt;=IFERROR(INDEX(tblChannels[Watched Through],MATCH(N1557,tblChannels[Channel ID],0)),0),"Watched","Unwatched"))</f>
        <v/>
      </c>
      <c r="C1557" s="40" t="n"/>
      <c r="D1557" s="41" t="n"/>
      <c r="E1557" s="42" t="n">
        <v>44168.81736111111</v>
      </c>
      <c r="F1557" s="50" t="inlineStr">
        <is>
          <t>Super Carlin Brothers</t>
        </is>
      </c>
      <c r="G1557" t="inlineStr">
        <is>
          <t>Top 10 Scenes Left OUT of the Harry Potter Movies</t>
        </is>
      </c>
      <c r="H1557" s="44" t="n">
        <v>0.01310185185185185</v>
      </c>
      <c r="I1557" s="45" t="n">
        <v>662934</v>
      </c>
      <c r="J1557" s="45" t="n">
        <v>22364</v>
      </c>
      <c r="K1557" s="45" t="n">
        <v>3555</v>
      </c>
      <c r="L1557" s="46" t="n"/>
      <c r="M1557" s="47" t="n"/>
      <c r="N1557" s="47" t="inlineStr">
        <is>
          <t>UCKZo4N0lVPccBkSiuyVh4yg</t>
        </is>
      </c>
      <c r="O1557" s="48" t="n">
        <v>44169.02569444444</v>
      </c>
      <c r="P1557" s="49" t="n">
        <v>44168</v>
      </c>
      <c r="Q1557" s="47" t="n">
        <v>1711</v>
      </c>
      <c r="R1557" s="47" t="inlineStr">
        <is>
          <t>No Video ID yet</t>
        </is>
      </c>
      <c r="S1557" s="49" t="n"/>
      <c r="T1557" s="49" t="n"/>
      <c r="U1557" s="47" t="inlineStr">
        <is>
          <t>Video Sponsored by Ridge Wallet: Use Code “SCB” for 10% off your order! Today Ben dives into the Wizarding World of Harry Potter to review the Top 10 scenes from the books that the movies left out! Take a biscuit and enjoy!</t>
        </is>
      </c>
      <c r="V1557" s="47">
        <f>IF(AND(P1557&gt;=Calendar!$K$2,P1557&lt;EDATE(Calendar!$K$2,1),OR(Calendar!$K$4="*",N1557=Calendar!$K$4)),P1557*100+COUNTIFS($P$6:$P$3267,P1557,$Q$6:$Q$3267,"&lt;="&amp;Q1557,$N$6:$N$3267,Calendar!$K$4),"")</f>
        <v/>
      </c>
      <c r="W1557" s="47">
        <f>IF(AND(B1557=Queue!$C$4,OR(Queue!$K$4="*",N1557=Queue!$K$4)),Q1557,"")</f>
        <v/>
      </c>
    </row>
    <row r="1558">
      <c r="A1558" s="38">
        <f>IF(M1558="","",HYPERLINK("https://www.youtube.com/watch?v="&amp;M1558,"▶"))</f>
        <v/>
      </c>
      <c r="B1558" s="39">
        <f>IF(C1558&lt;&gt;"",C1558,IF(P1558&lt;=IFERROR(INDEX(tblChannels[Watched Through],MATCH(N1558,tblChannels[Channel ID],0)),0),"Watched","Unwatched"))</f>
        <v/>
      </c>
      <c r="C1558" s="40" t="n"/>
      <c r="D1558" s="41" t="n"/>
      <c r="E1558" s="42" t="n">
        <v>44168.25</v>
      </c>
      <c r="F1558" s="43" t="inlineStr">
        <is>
          <t>Popcorn Culture</t>
        </is>
      </c>
      <c r="G1558" t="inlineStr">
        <is>
          <t>37 - Am I the Chosen One?</t>
        </is>
      </c>
      <c r="H1558" s="44" t="n">
        <v>0.04221064814814815</v>
      </c>
      <c r="I1558" s="45" t="n">
        <v>2679</v>
      </c>
      <c r="J1558" s="45" t="n">
        <v>151</v>
      </c>
      <c r="K1558" s="45" t="n">
        <v>27</v>
      </c>
      <c r="L1558" s="46" t="n"/>
      <c r="M1558" s="47" t="n"/>
      <c r="N1558" s="47" t="inlineStr">
        <is>
          <t>UCHfIbq9thHPC8yrKjAdJgDA</t>
        </is>
      </c>
      <c r="O1558" s="48" t="n">
        <v>44168.45833333334</v>
      </c>
      <c r="P1558" s="49" t="n">
        <v>44168</v>
      </c>
      <c r="Q1558" s="47" t="n">
        <v>1710</v>
      </c>
      <c r="R1558" s="47" t="inlineStr">
        <is>
          <t>No Video ID yet</t>
        </is>
      </c>
      <c r="S1558" s="49" t="n"/>
      <c r="T1558" s="49" t="n"/>
      <c r="U1558" s="47" t="inlineStr">
        <is>
          <t>Ben and J discuss: shock jocks, nice accents, terms of endearment, anxiety dreams, research papers, personality tests, Hunger Games, acrostics, Cup-date Alert, Narwhals (are they real?), and savoring the moment. Hierarchy of Needs: Get Your Own Fred Cup: 7 Fun Facts about Narwhals (check out number 6!):</t>
        </is>
      </c>
      <c r="V1558" s="47">
        <f>IF(AND(P1558&gt;=Calendar!$K$2,P1558&lt;EDATE(Calendar!$K$2,1),OR(Calendar!$K$4="*",N1558=Calendar!$K$4)),P1558*100+COUNTIFS($P$6:$P$3267,P1558,$Q$6:$Q$3267,"&lt;="&amp;Q1558,$N$6:$N$3267,Calendar!$K$4),"")</f>
        <v/>
      </c>
      <c r="W1558" s="47">
        <f>IF(AND(B1558=Queue!$C$4,OR(Queue!$K$4="*",N1558=Queue!$K$4)),Q1558,"")</f>
        <v/>
      </c>
    </row>
    <row r="1559">
      <c r="A1559" s="38">
        <f>IF(M1559="","",HYPERLINK("https://www.youtube.com/watch?v="&amp;M1559,"▶"))</f>
        <v/>
      </c>
      <c r="B1559" s="39">
        <f>IF(C1559&lt;&gt;"",C1559,IF(P1559&lt;=IFERROR(INDEX(tblChannels[Watched Through],MATCH(N1559,tblChannels[Channel ID],0)),0),"Watched","Unwatched"))</f>
        <v/>
      </c>
      <c r="C1559" s="40" t="n"/>
      <c r="D1559" s="41" t="n"/>
      <c r="E1559" s="42" t="n">
        <v>44166.81458333333</v>
      </c>
      <c r="F1559" s="50" t="inlineStr">
        <is>
          <t>Super Carlin Brothers</t>
        </is>
      </c>
      <c r="G1559" t="inlineStr">
        <is>
          <t>Could The Veil Destroy A Horcrux? [Harry Potter Theory]</t>
        </is>
      </c>
      <c r="H1559" s="44" t="n">
        <v>0.009398148148148149</v>
      </c>
      <c r="I1559" s="45" t="n">
        <v>384472</v>
      </c>
      <c r="J1559" s="45" t="n">
        <v>15777</v>
      </c>
      <c r="K1559" s="45" t="n">
        <v>1498</v>
      </c>
      <c r="L1559" s="46" t="n"/>
      <c r="M1559" s="47" t="n"/>
      <c r="N1559" s="47" t="inlineStr">
        <is>
          <t>UCKZo4N0lVPccBkSiuyVh4yg</t>
        </is>
      </c>
      <c r="O1559" s="48" t="n">
        <v>44167.02291666667</v>
      </c>
      <c r="P1559" s="49" t="n">
        <v>44166</v>
      </c>
      <c r="Q1559" s="47" t="n">
        <v>1709</v>
      </c>
      <c r="R1559" s="47" t="inlineStr">
        <is>
          <t>No Video ID yet</t>
        </is>
      </c>
      <c r="S1559" s="49" t="n"/>
      <c r="T1559" s="49" t="n"/>
      <c r="U1559" s="47" t="inlineStr">
        <is>
          <t>Video Sponsored by Ridge Wallet: Use Code “SCB” for 10% off your order! Today J dives into the Wizarding World of Harry Potter to determine whether or not the Veil in the Department of Mysteries is capable of destroying a Horcrux OR if its the best most unreachable hiding place ever!</t>
        </is>
      </c>
      <c r="V1559" s="47">
        <f>IF(AND(P1559&gt;=Calendar!$K$2,P1559&lt;EDATE(Calendar!$K$2,1),OR(Calendar!$K$4="*",N1559=Calendar!$K$4)),P1559*100+COUNTIFS($P$6:$P$3267,P1559,$Q$6:$Q$3267,"&lt;="&amp;Q1559,$N$6:$N$3267,Calendar!$K$4),"")</f>
        <v/>
      </c>
      <c r="W1559" s="47">
        <f>IF(AND(B1559=Queue!$C$4,OR(Queue!$K$4="*",N1559=Queue!$K$4)),Q1559,"")</f>
        <v/>
      </c>
    </row>
    <row r="1560">
      <c r="A1560" s="38">
        <f>IF(M1560="","",HYPERLINK("https://www.youtube.com/watch?v="&amp;M1560,"▶"))</f>
        <v/>
      </c>
      <c r="B1560" s="39">
        <f>IF(C1560&lt;&gt;"",C1560,IF(P1560&lt;=IFERROR(INDEX(tblChannels[Watched Through],MATCH(N1560,tblChannels[Channel ID],0)),0),"Watched","Unwatched"))</f>
        <v/>
      </c>
      <c r="C1560" s="40" t="n"/>
      <c r="D1560" s="41" t="n"/>
      <c r="E1560" s="42" t="n">
        <v>44165.41666666666</v>
      </c>
      <c r="F1560" s="53" t="inlineStr">
        <is>
          <t>Jonathan Carlin</t>
        </is>
      </c>
      <c r="G1560" t="inlineStr">
        <is>
          <t>WE GOT A NEW OFFICE!</t>
        </is>
      </c>
      <c r="H1560" s="44" t="n">
        <v>0.01009259259259259</v>
      </c>
      <c r="I1560" s="45" t="n">
        <v>61588</v>
      </c>
      <c r="J1560" s="45" t="n">
        <v>4420</v>
      </c>
      <c r="K1560" s="45" t="n">
        <v>495</v>
      </c>
      <c r="L1560" s="46" t="n"/>
      <c r="M1560" s="47" t="n"/>
      <c r="N1560" s="47" t="inlineStr">
        <is>
          <t>UCYPKFe86e6nm4TVUYKLsFUQ</t>
        </is>
      </c>
      <c r="O1560" s="48" t="n">
        <v>44165.625</v>
      </c>
      <c r="P1560" s="49" t="n">
        <v>44165</v>
      </c>
      <c r="Q1560" s="47" t="n">
        <v>1708</v>
      </c>
      <c r="R1560" s="47" t="inlineStr">
        <is>
          <t>No Video ID yet</t>
        </is>
      </c>
      <c r="S1560" s="49" t="n"/>
      <c r="T1560" s="49" t="n"/>
      <c r="U1560" s="47" t="inlineStr">
        <is>
          <t>We're back! It's been awhile but J has big updates with Beth, Luke the Twins, and a brand new office for Super Carlin Brothers! Also Luke shows off some very impressive bike skills. Animal Mugs ::</t>
        </is>
      </c>
      <c r="V1560" s="47">
        <f>IF(AND(P1560&gt;=Calendar!$K$2,P1560&lt;EDATE(Calendar!$K$2,1),OR(Calendar!$K$4="*",N1560=Calendar!$K$4)),P1560*100+COUNTIFS($P$6:$P$3267,P1560,$Q$6:$Q$3267,"&lt;="&amp;Q1560,$N$6:$N$3267,Calendar!$K$4),"")</f>
        <v/>
      </c>
      <c r="W1560" s="47">
        <f>IF(AND(B1560=Queue!$C$4,OR(Queue!$K$4="*",N1560=Queue!$K$4)),Q1560,"")</f>
        <v/>
      </c>
    </row>
    <row r="1561">
      <c r="A1561" s="38">
        <f>IF(M1561="","",HYPERLINK("https://www.youtube.com/watch?v="&amp;M1561,"▶"))</f>
        <v/>
      </c>
      <c r="B1561" s="39">
        <f>IF(C1561&lt;&gt;"",C1561,IF(P1561&lt;=IFERROR(INDEX(tblChannels[Watched Through],MATCH(N1561,tblChannels[Channel ID],0)),0),"Watched","Unwatched"))</f>
        <v/>
      </c>
      <c r="C1561" s="40" t="n"/>
      <c r="D1561" s="41" t="n"/>
      <c r="E1561" s="42" t="n">
        <v>44161.58333333334</v>
      </c>
      <c r="F1561" s="50" t="inlineStr">
        <is>
          <t>Super Carlin Brothers</t>
        </is>
      </c>
      <c r="G1561" t="inlineStr">
        <is>
          <t>J vs Ben: ULTIMATE Harry Potter Feast TRIVIA Quiz</t>
        </is>
      </c>
      <c r="H1561" s="44" t="n">
        <v>0.0190625</v>
      </c>
      <c r="I1561" s="45" t="n">
        <v>290997</v>
      </c>
      <c r="J1561" s="45" t="n">
        <v>10041</v>
      </c>
      <c r="K1561" s="45" t="n">
        <v>1796</v>
      </c>
      <c r="L1561" s="46" t="n"/>
      <c r="M1561" s="47" t="n"/>
      <c r="N1561" s="47" t="inlineStr">
        <is>
          <t>UCKZo4N0lVPccBkSiuyVh4yg</t>
        </is>
      </c>
      <c r="O1561" s="48" t="n">
        <v>44161.79166666666</v>
      </c>
      <c r="P1561" s="49" t="n">
        <v>44161</v>
      </c>
      <c r="Q1561" s="47" t="n">
        <v>1707</v>
      </c>
      <c r="R1561" s="47" t="inlineStr">
        <is>
          <t>No Video ID yet</t>
        </is>
      </c>
      <c r="S1561" s="49" t="n"/>
      <c r="T1561" s="49" t="n"/>
      <c r="U1561" s="47" t="inlineStr">
        <is>
          <t>Go to for 15% off! Go to to get a 1-month free trial of everything you need to start your skincare journey at home! Today J and Ben face off yet again to determine who knows the most about the Wizarding World of Harry Potter and everything that happens at the opening feast!</t>
        </is>
      </c>
      <c r="V1561" s="47">
        <f>IF(AND(P1561&gt;=Calendar!$K$2,P1561&lt;EDATE(Calendar!$K$2,1),OR(Calendar!$K$4="*",N1561=Calendar!$K$4)),P1561*100+COUNTIFS($P$6:$P$3267,P1561,$Q$6:$Q$3267,"&lt;="&amp;Q1561,$N$6:$N$3267,Calendar!$K$4),"")</f>
        <v/>
      </c>
      <c r="W1561" s="47">
        <f>IF(AND(B1561=Queue!$C$4,OR(Queue!$K$4="*",N1561=Queue!$K$4)),Q1561,"")</f>
        <v/>
      </c>
    </row>
    <row r="1562">
      <c r="A1562" s="38">
        <f>IF(M1562="","",HYPERLINK("https://www.youtube.com/watch?v="&amp;M1562,"▶"))</f>
        <v/>
      </c>
      <c r="B1562" s="39">
        <f>IF(C1562&lt;&gt;"",C1562,IF(P1562&lt;=IFERROR(INDEX(tblChannels[Watched Through],MATCH(N1562,tblChannels[Channel ID],0)),0),"Watched","Unwatched"))</f>
        <v/>
      </c>
      <c r="C1562" s="40" t="n"/>
      <c r="D1562" s="41" t="n"/>
      <c r="E1562" s="42" t="n">
        <v>44159.74375</v>
      </c>
      <c r="F1562" s="50" t="inlineStr">
        <is>
          <t>Super Carlin Brothers</t>
        </is>
      </c>
      <c r="G1562" t="inlineStr">
        <is>
          <t>Why Does Korra Look Like Katara [Avatar: The Last Airbender Theory]</t>
        </is>
      </c>
      <c r="H1562" s="44" t="n">
        <v>0.009062499999999999</v>
      </c>
      <c r="I1562" s="45" t="n">
        <v>497574</v>
      </c>
      <c r="J1562" s="45" t="n">
        <v>20782</v>
      </c>
      <c r="K1562" s="45" t="n">
        <v>2543</v>
      </c>
      <c r="L1562" s="46" t="n"/>
      <c r="M1562" s="47" t="n"/>
      <c r="N1562" s="47" t="inlineStr">
        <is>
          <t>UCKZo4N0lVPccBkSiuyVh4yg</t>
        </is>
      </c>
      <c r="O1562" s="48" t="n">
        <v>44159.95208333333</v>
      </c>
      <c r="P1562" s="49" t="n">
        <v>44159</v>
      </c>
      <c r="Q1562" s="47" t="n">
        <v>1706</v>
      </c>
      <c r="R1562" s="47" t="inlineStr">
        <is>
          <t>No Video ID yet</t>
        </is>
      </c>
      <c r="S1562" s="49" t="n"/>
      <c r="T1562" s="49" t="n"/>
      <c r="U1562" s="47" t="inlineStr">
        <is>
          <t>Go to and use code SCB to get $75 off! Today J dives into the world of Avatar the Last Airbender to discuss an adorable pattern in the world of avatar and explain why each avatar bears at least a small resemblance to the last avatars significant other</t>
        </is>
      </c>
      <c r="V1562" s="47">
        <f>IF(AND(P1562&gt;=Calendar!$K$2,P1562&lt;EDATE(Calendar!$K$2,1),OR(Calendar!$K$4="*",N1562=Calendar!$K$4)),P1562*100+COUNTIFS($P$6:$P$3267,P1562,$Q$6:$Q$3267,"&lt;="&amp;Q1562,$N$6:$N$3267,Calendar!$K$4),"")</f>
        <v/>
      </c>
      <c r="W1562" s="47">
        <f>IF(AND(B1562=Queue!$C$4,OR(Queue!$K$4="*",N1562=Queue!$K$4)),Q1562,"")</f>
        <v/>
      </c>
    </row>
    <row r="1563">
      <c r="A1563" s="38">
        <f>IF(M1563="","",HYPERLINK("https://www.youtube.com/watch?v="&amp;M1563,"▶"))</f>
        <v/>
      </c>
      <c r="B1563" s="39">
        <f>IF(C1563&lt;&gt;"",C1563,IF(P1563&lt;=IFERROR(INDEX(tblChannels[Watched Through],MATCH(N1563,tblChannels[Channel ID],0)),0),"Watched","Unwatched"))</f>
        <v/>
      </c>
      <c r="C1563" s="40" t="n"/>
      <c r="D1563" s="41" t="n"/>
      <c r="E1563" s="42" t="n">
        <v>44155.85902777778</v>
      </c>
      <c r="F1563" s="50" t="inlineStr">
        <is>
          <t>Super Carlin Brothers</t>
        </is>
      </c>
      <c r="G1563" t="inlineStr">
        <is>
          <t>ALL FANDOMS Trivia Night LIVE STREAM!</t>
        </is>
      </c>
      <c r="H1563" s="44" t="n">
        <v>0.104375</v>
      </c>
      <c r="I1563" s="45" t="n">
        <v>110350</v>
      </c>
      <c r="J1563" s="45" t="n">
        <v>2598</v>
      </c>
      <c r="K1563" s="45" t="n">
        <v>189</v>
      </c>
      <c r="L1563" s="46" t="n"/>
      <c r="M1563" s="47" t="n"/>
      <c r="N1563" s="47" t="inlineStr">
        <is>
          <t>UCKZo4N0lVPccBkSiuyVh4yg</t>
        </is>
      </c>
      <c r="O1563" s="48" t="n">
        <v>44156.06736111111</v>
      </c>
      <c r="P1563" s="49" t="n">
        <v>44155</v>
      </c>
      <c r="Q1563" s="47" t="n">
        <v>1705</v>
      </c>
      <c r="R1563" s="47" t="inlineStr">
        <is>
          <t>No Video ID yet</t>
        </is>
      </c>
      <c r="S1563" s="49" t="n"/>
      <c r="T1563" s="49" t="n"/>
      <c r="U1563" s="47" t="inlineStr">
        <is>
          <t>DO YOU HAVE WHAT IT TAKES TO BECOME THE CHAMPION OF ALL SIX FANDOMS?! - Tonight we test your knowledge of Disney, Pixar, Marvel, Star Wars, Harry Potter and Avatar: The Last Airbender! NEW Animal Mugs :: Winners email: secretcarlinbrothers@gmail.com with a screenshot of your winning score!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t>
        </is>
      </c>
      <c r="V1563" s="47">
        <f>IF(AND(P1563&gt;=Calendar!$K$2,P1563&lt;EDATE(Calendar!$K$2,1),OR(Calendar!$K$4="*",N1563=Calendar!$K$4)),P1563*100+COUNTIFS($P$6:$P$3267,P1563,$Q$6:$Q$3267,"&lt;="&amp;Q1563,$N$6:$N$3267,Calendar!$K$4),"")</f>
        <v/>
      </c>
      <c r="W1563" s="47">
        <f>IF(AND(B1563=Queue!$C$4,OR(Queue!$K$4="*",N1563=Queue!$K$4)),Q1563,"")</f>
        <v/>
      </c>
    </row>
    <row r="1564">
      <c r="A1564" s="38">
        <f>IF(M1564="","",HYPERLINK("https://www.youtube.com/watch?v="&amp;M1564,"▶"))</f>
        <v/>
      </c>
      <c r="B1564" s="39">
        <f>IF(C1564&lt;&gt;"",C1564,IF(P1564&lt;=IFERROR(INDEX(tblChannels[Watched Through],MATCH(N1564,tblChannels[Channel ID],0)),0),"Watched","Unwatched"))</f>
        <v/>
      </c>
      <c r="C1564" s="40" t="n"/>
      <c r="D1564" s="41" t="n"/>
      <c r="E1564" s="42" t="n">
        <v>44154.71041666667</v>
      </c>
      <c r="F1564" s="50" t="inlineStr">
        <is>
          <t>Super Carlin Brothers</t>
        </is>
      </c>
      <c r="G1564" t="inlineStr">
        <is>
          <t>Is Snape Still Alive? [Harry Potter Theory]</t>
        </is>
      </c>
      <c r="H1564" s="44" t="n">
        <v>0.01175925925925926</v>
      </c>
      <c r="I1564" s="45" t="n">
        <v>652163</v>
      </c>
      <c r="J1564" s="45" t="n">
        <v>23785</v>
      </c>
      <c r="K1564" s="45" t="n">
        <v>3416</v>
      </c>
      <c r="L1564" s="46" t="n"/>
      <c r="M1564" s="47" t="n"/>
      <c r="N1564" s="47" t="inlineStr">
        <is>
          <t>UCKZo4N0lVPccBkSiuyVh4yg</t>
        </is>
      </c>
      <c r="O1564" s="48" t="n">
        <v>44154.91875</v>
      </c>
      <c r="P1564" s="49" t="n">
        <v>44154</v>
      </c>
      <c r="Q1564" s="47" t="n">
        <v>1704</v>
      </c>
      <c r="R1564" s="47" t="inlineStr">
        <is>
          <t>No Video ID yet</t>
        </is>
      </c>
      <c r="S1564" s="49" t="n"/>
      <c r="T1564" s="49" t="n"/>
      <c r="U1564" s="47" t="inlineStr">
        <is>
          <t>Go to and enter the code: 'SUPER' at checkout and get 20% off your first monthly box! Today Ben dives into the Wizarding World of Harry Potter to try and figure out if everyones favorite potions master: Severus Snape is somehow actually still alive after the events of Deathly Hallows.</t>
        </is>
      </c>
      <c r="V1564" s="47">
        <f>IF(AND(P1564&gt;=Calendar!$K$2,P1564&lt;EDATE(Calendar!$K$2,1),OR(Calendar!$K$4="*",N1564=Calendar!$K$4)),P1564*100+COUNTIFS($P$6:$P$3267,P1564,$Q$6:$Q$3267,"&lt;="&amp;Q1564,$N$6:$N$3267,Calendar!$K$4),"")</f>
        <v/>
      </c>
      <c r="W1564" s="47">
        <f>IF(AND(B1564=Queue!$C$4,OR(Queue!$K$4="*",N1564=Queue!$K$4)),Q1564,"")</f>
        <v/>
      </c>
    </row>
    <row r="1565">
      <c r="A1565" s="38">
        <f>IF(M1565="","",HYPERLINK("https://www.youtube.com/watch?v="&amp;M1565,"▶"))</f>
        <v/>
      </c>
      <c r="B1565" s="39">
        <f>IF(C1565&lt;&gt;"",C1565,IF(P1565&lt;=IFERROR(INDEX(tblChannels[Watched Through],MATCH(N1565,tblChannels[Channel ID],0)),0),"Watched","Unwatched"))</f>
        <v/>
      </c>
      <c r="C1565" s="40" t="n"/>
      <c r="D1565" s="41" t="n"/>
      <c r="E1565" s="42" t="n">
        <v>44152.72083333333</v>
      </c>
      <c r="F1565" s="50" t="inlineStr">
        <is>
          <t>Super Carlin Brothers</t>
        </is>
      </c>
      <c r="G1565" t="inlineStr">
        <is>
          <t>Why Is Lightning Bending So Common In Korra? [Avatar: The Last Airbender Theory]</t>
        </is>
      </c>
      <c r="H1565" s="44" t="n">
        <v>0.01012731481481481</v>
      </c>
      <c r="I1565" s="45" t="n">
        <v>362056</v>
      </c>
      <c r="J1565" s="45" t="n">
        <v>15620</v>
      </c>
      <c r="K1565" s="45" t="n">
        <v>1525</v>
      </c>
      <c r="L1565" s="46" t="n"/>
      <c r="M1565" s="47" t="n"/>
      <c r="N1565" s="47" t="inlineStr">
        <is>
          <t>UCKZo4N0lVPccBkSiuyVh4yg</t>
        </is>
      </c>
      <c r="O1565" s="48" t="n">
        <v>44152.92916666667</v>
      </c>
      <c r="P1565" s="49" t="n">
        <v>44152</v>
      </c>
      <c r="Q1565" s="47" t="n">
        <v>1703</v>
      </c>
      <c r="R1565" s="47" t="inlineStr">
        <is>
          <t>No Video ID yet</t>
        </is>
      </c>
      <c r="S1565" s="49" t="n"/>
      <c r="T1565" s="49" t="n"/>
      <c r="U1565" s="47" t="inlineStr">
        <is>
          <t>Hurry over to to get 15% off plus FREE shipping automatically applied to your entire order! Today J dives into the world of Avatar the last airbender to discuss Princess Azula’s signature skill: Lightning Bending and how by the time of Legend of Korra it became so commonplace. #SuperCarlinBrothers #AvatarTheLastAirbender</t>
        </is>
      </c>
      <c r="V1565" s="47">
        <f>IF(AND(P1565&gt;=Calendar!$K$2,P1565&lt;EDATE(Calendar!$K$2,1),OR(Calendar!$K$4="*",N1565=Calendar!$K$4)),P1565*100+COUNTIFS($P$6:$P$3267,P1565,$Q$6:$Q$3267,"&lt;="&amp;Q1565,$N$6:$N$3267,Calendar!$K$4),"")</f>
        <v/>
      </c>
      <c r="W1565" s="47">
        <f>IF(AND(B1565=Queue!$C$4,OR(Queue!$K$4="*",N1565=Queue!$K$4)),Q1565,"")</f>
        <v/>
      </c>
    </row>
    <row r="1566">
      <c r="A1566" s="38">
        <f>IF(M1566="","",HYPERLINK("https://www.youtube.com/watch?v="&amp;M1566,"▶"))</f>
        <v/>
      </c>
      <c r="B1566" s="39">
        <f>IF(C1566&lt;&gt;"",C1566,IF(P1566&lt;=IFERROR(INDEX(tblChannels[Watched Through],MATCH(N1566,tblChannels[Channel ID],0)),0),"Watched","Unwatched"))</f>
        <v/>
      </c>
      <c r="C1566" s="40" t="n"/>
      <c r="D1566" s="41" t="n"/>
      <c r="E1566" s="42" t="n">
        <v>44147.95763888889</v>
      </c>
      <c r="F1566" s="50" t="inlineStr">
        <is>
          <t>Super Carlin Brothers</t>
        </is>
      </c>
      <c r="G1566" t="inlineStr">
        <is>
          <t>J vs Ben: ULTIMATE Star Wars TRIVIA Quiz</t>
        </is>
      </c>
      <c r="H1566" s="44" t="n">
        <v>0.01878472222222222</v>
      </c>
      <c r="I1566" s="45" t="n">
        <v>144087</v>
      </c>
      <c r="J1566" s="45" t="n">
        <v>5948</v>
      </c>
      <c r="K1566" s="45" t="n">
        <v>988</v>
      </c>
      <c r="L1566" s="46" t="n"/>
      <c r="M1566" s="47" t="n"/>
      <c r="N1566" s="47" t="inlineStr">
        <is>
          <t>UCKZo4N0lVPccBkSiuyVh4yg</t>
        </is>
      </c>
      <c r="O1566" s="48" t="n">
        <v>44148.16597222222</v>
      </c>
      <c r="P1566" s="49" t="n">
        <v>44147</v>
      </c>
      <c r="Q1566" s="47" t="n">
        <v>1702</v>
      </c>
      <c r="R1566" s="47" t="inlineStr">
        <is>
          <t>No Video ID yet</t>
        </is>
      </c>
      <c r="S1566" s="49" t="n"/>
      <c r="T1566" s="49" t="n"/>
      <c r="U1566" s="47" t="inlineStr">
        <is>
          <t>Get $5 off and zero delivery fees on your first order of $15 or more when you download the DoorDash app and enter code JVSB! Go to and use the code JVSB to claim your special offer today! Today J and Ben face off once more to find out who knows more trivia about the Star Wars Galaxy!</t>
        </is>
      </c>
      <c r="V1566" s="47">
        <f>IF(AND(P1566&gt;=Calendar!$K$2,P1566&lt;EDATE(Calendar!$K$2,1),OR(Calendar!$K$4="*",N1566=Calendar!$K$4)),P1566*100+COUNTIFS($P$6:$P$3267,P1566,$Q$6:$Q$3267,"&lt;="&amp;Q1566,$N$6:$N$3267,Calendar!$K$4),"")</f>
        <v/>
      </c>
      <c r="W1566" s="47">
        <f>IF(AND(B1566=Queue!$C$4,OR(Queue!$K$4="*",N1566=Queue!$K$4)),Q1566,"")</f>
        <v/>
      </c>
    </row>
    <row r="1567">
      <c r="A1567" s="38">
        <f>IF(M1567="","",HYPERLINK("https://www.youtube.com/watch?v="&amp;M1567,"▶"))</f>
        <v/>
      </c>
      <c r="B1567" s="39">
        <f>IF(C1567&lt;&gt;"",C1567,IF(P1567&lt;=IFERROR(INDEX(tblChannels[Watched Through],MATCH(N1567,tblChannels[Channel ID],0)),0),"Watched","Unwatched"))</f>
        <v/>
      </c>
      <c r="C1567" s="40" t="n"/>
      <c r="D1567" s="41" t="n"/>
      <c r="E1567" s="42" t="n">
        <v>44145.86736111111</v>
      </c>
      <c r="F1567" s="50" t="inlineStr">
        <is>
          <t>Super Carlin Brothers</t>
        </is>
      </c>
      <c r="G1567" t="inlineStr">
        <is>
          <t>Is Dumbledore the Heir of Gryffindor? [Harry Potter Theory]</t>
        </is>
      </c>
      <c r="H1567" s="44" t="n">
        <v>0.01068287037037037</v>
      </c>
      <c r="I1567" s="45" t="n">
        <v>721087</v>
      </c>
      <c r="J1567" s="45" t="n">
        <v>24332</v>
      </c>
      <c r="K1567" s="45" t="n">
        <v>2715</v>
      </c>
      <c r="L1567" s="46" t="n"/>
      <c r="M1567" s="47" t="n"/>
      <c r="N1567" s="47" t="inlineStr">
        <is>
          <t>UCKZo4N0lVPccBkSiuyVh4yg</t>
        </is>
      </c>
      <c r="O1567" s="48" t="n">
        <v>44146.07569444444</v>
      </c>
      <c r="P1567" s="49" t="n">
        <v>44145</v>
      </c>
      <c r="Q1567" s="47" t="n">
        <v>1701</v>
      </c>
      <c r="R1567" s="47" t="inlineStr">
        <is>
          <t>No Video ID yet</t>
        </is>
      </c>
      <c r="S1567" s="49" t="n"/>
      <c r="T1567" s="49" t="n"/>
      <c r="U1567" s="47" t="inlineStr">
        <is>
          <t>Hurry to to find out HOW LOW your Upstart rate can be! Today J dives into the Wizarding World to determine Dumbledores' true lineage and reveal how he is the heir of Godric Gryffindor!</t>
        </is>
      </c>
      <c r="V1567" s="47">
        <f>IF(AND(P1567&gt;=Calendar!$K$2,P1567&lt;EDATE(Calendar!$K$2,1),OR(Calendar!$K$4="*",N1567=Calendar!$K$4)),P1567*100+COUNTIFS($P$6:$P$3267,P1567,$Q$6:$Q$3267,"&lt;="&amp;Q1567,$N$6:$N$3267,Calendar!$K$4),"")</f>
        <v/>
      </c>
      <c r="W1567" s="47">
        <f>IF(AND(B1567=Queue!$C$4,OR(Queue!$K$4="*",N1567=Queue!$K$4)),Q1567,"")</f>
        <v/>
      </c>
    </row>
    <row r="1568">
      <c r="A1568" s="38">
        <f>IF(M1568="","",HYPERLINK("https://www.youtube.com/watch?v="&amp;M1568,"▶"))</f>
        <v/>
      </c>
      <c r="B1568" s="39">
        <f>IF(C1568&lt;&gt;"",C1568,IF(P1568&lt;=IFERROR(INDEX(tblChannels[Watched Through],MATCH(N1568,tblChannels[Channel ID],0)),0),"Watched","Unwatched"))</f>
        <v/>
      </c>
      <c r="C1568" s="40" t="n"/>
      <c r="D1568" s="41" t="n"/>
      <c r="E1568" s="42" t="n">
        <v>44140.81319444445</v>
      </c>
      <c r="F1568" s="50" t="inlineStr">
        <is>
          <t>Super Carlin Brothers</t>
        </is>
      </c>
      <c r="G1568" t="inlineStr">
        <is>
          <t>Where Does The Sword Of Gryffindor Hide? [Harry Potter Theory]</t>
        </is>
      </c>
      <c r="H1568" s="44" t="n">
        <v>0.01056712962962963</v>
      </c>
      <c r="I1568" s="45" t="n">
        <v>376724</v>
      </c>
      <c r="J1568" s="45" t="n">
        <v>16507</v>
      </c>
      <c r="K1568" s="45" t="n">
        <v>2679</v>
      </c>
      <c r="L1568" s="46" t="n"/>
      <c r="M1568" s="47" t="n"/>
      <c r="N1568" s="47" t="inlineStr">
        <is>
          <t>UCKZo4N0lVPccBkSiuyVh4yg</t>
        </is>
      </c>
      <c r="O1568" s="48" t="n">
        <v>44141.02152777778</v>
      </c>
      <c r="P1568" s="49" t="n">
        <v>44140</v>
      </c>
      <c r="Q1568" s="47" t="n">
        <v>1700</v>
      </c>
      <c r="R1568" s="47" t="inlineStr">
        <is>
          <t>No Video ID yet</t>
        </is>
      </c>
      <c r="S1568" s="49" t="n"/>
      <c r="T1568" s="49" t="n"/>
      <c r="U1568" s="47" t="inlineStr">
        <is>
          <t>HOT CHOCOLATE IS BACK! Get Double Chocolate &amp; Salted Caramel at Today J dives into the Wizarding World of Harry Potter to try and answer and age old question: Where does the sword of Gryffindor go when its not in use? Back in the hat? Godric's Hollow? Nevada? Today we find out! #HarryPotter #WizardingWorld</t>
        </is>
      </c>
      <c r="V1568" s="47">
        <f>IF(AND(P1568&gt;=Calendar!$K$2,P1568&lt;EDATE(Calendar!$K$2,1),OR(Calendar!$K$4="*",N1568=Calendar!$K$4)),P1568*100+COUNTIFS($P$6:$P$3267,P1568,$Q$6:$Q$3267,"&lt;="&amp;Q1568,$N$6:$N$3267,Calendar!$K$4),"")</f>
        <v/>
      </c>
      <c r="W1568" s="47">
        <f>IF(AND(B1568=Queue!$C$4,OR(Queue!$K$4="*",N1568=Queue!$K$4)),Q1568,"")</f>
        <v/>
      </c>
    </row>
    <row r="1569">
      <c r="A1569" s="38">
        <f>IF(M1569="","",HYPERLINK("https://www.youtube.com/watch?v="&amp;M1569,"▶"))</f>
        <v/>
      </c>
      <c r="B1569" s="39">
        <f>IF(C1569&lt;&gt;"",C1569,IF(P1569&lt;=IFERROR(INDEX(tblChannels[Watched Through],MATCH(N1569,tblChannels[Channel ID],0)),0),"Watched","Unwatched"))</f>
        <v/>
      </c>
      <c r="C1569" s="40" t="n"/>
      <c r="D1569" s="41" t="n"/>
      <c r="E1569" s="42" t="n">
        <v>44138.76388888889</v>
      </c>
      <c r="F1569" s="50" t="inlineStr">
        <is>
          <t>Super Carlin Brothers</t>
        </is>
      </c>
      <c r="G1569" t="inlineStr">
        <is>
          <t>The Mandalorian Is Getting a Lightsaber! [Star Wars Theory]</t>
        </is>
      </c>
      <c r="H1569" s="44" t="n">
        <v>0.009918981481481482</v>
      </c>
      <c r="I1569" s="45" t="n">
        <v>245709</v>
      </c>
      <c r="J1569" s="45" t="n">
        <v>11513</v>
      </c>
      <c r="K1569" s="45" t="n">
        <v>2224</v>
      </c>
      <c r="L1569" s="46" t="n"/>
      <c r="M1569" s="47" t="n"/>
      <c r="N1569" s="47" t="inlineStr">
        <is>
          <t>UCKZo4N0lVPccBkSiuyVh4yg</t>
        </is>
      </c>
      <c r="O1569" s="48" t="n">
        <v>44138.97222222222</v>
      </c>
      <c r="P1569" s="49" t="n">
        <v>44138</v>
      </c>
      <c r="Q1569" s="47" t="n">
        <v>1699</v>
      </c>
      <c r="R1569" s="47" t="inlineStr">
        <is>
          <t>No Video ID yet</t>
        </is>
      </c>
      <c r="S1569" s="49" t="n"/>
      <c r="T1569" s="49" t="n"/>
      <c r="U1569" s="47" t="inlineStr">
        <is>
          <t>Double Double Chocolate Chocolate &amp; Salted Caramel Hot Chocolate are ON SALE NOW! Today J dives into the Star Wars Galaxy to discuss how The Mandalorian is going to acquire his own lightsaber with the help of The Child aka Baby Yoda!</t>
        </is>
      </c>
      <c r="V1569" s="47">
        <f>IF(AND(P1569&gt;=Calendar!$K$2,P1569&lt;EDATE(Calendar!$K$2,1),OR(Calendar!$K$4="*",N1569=Calendar!$K$4)),P1569*100+COUNTIFS($P$6:$P$3267,P1569,$Q$6:$Q$3267,"&lt;="&amp;Q1569,$N$6:$N$3267,Calendar!$K$4),"")</f>
        <v/>
      </c>
      <c r="W1569" s="47">
        <f>IF(AND(B1569=Queue!$C$4,OR(Queue!$K$4="*",N1569=Queue!$K$4)),Q1569,"")</f>
        <v/>
      </c>
    </row>
    <row r="1570">
      <c r="A1570" s="38">
        <f>IF(M1570="","",HYPERLINK("https://www.youtube.com/watch?v="&amp;M1570,"▶"))</f>
        <v/>
      </c>
      <c r="B1570" s="39">
        <f>IF(C1570&lt;&gt;"",C1570,IF(P1570&lt;=IFERROR(INDEX(tblChannels[Watched Through],MATCH(N1570,tblChannels[Channel ID],0)),0),"Watched","Unwatched"))</f>
        <v/>
      </c>
      <c r="C1570" s="40" t="n"/>
      <c r="D1570" s="41" t="n"/>
      <c r="E1570" s="42" t="n">
        <v>44133.78263888889</v>
      </c>
      <c r="F1570" s="50" t="inlineStr">
        <is>
          <t>Super Carlin Brothers</t>
        </is>
      </c>
      <c r="G1570" t="inlineStr">
        <is>
          <t>J vs Ben: HARDEST Harry Potter Halloween Trivia Quiz</t>
        </is>
      </c>
      <c r="H1570" s="44" t="n">
        <v>0.01954861111111111</v>
      </c>
      <c r="I1570" s="45" t="n">
        <v>270316</v>
      </c>
      <c r="J1570" s="45" t="n">
        <v>10169</v>
      </c>
      <c r="K1570" s="45" t="n">
        <v>1653</v>
      </c>
      <c r="L1570" s="46" t="n"/>
      <c r="M1570" s="47" t="n"/>
      <c r="N1570" s="47" t="inlineStr">
        <is>
          <t>UCKZo4N0lVPccBkSiuyVh4yg</t>
        </is>
      </c>
      <c r="O1570" s="48" t="n">
        <v>44133.94930555556</v>
      </c>
      <c r="P1570" s="49" t="n">
        <v>44133</v>
      </c>
      <c r="Q1570" s="47" t="n">
        <v>1698</v>
      </c>
      <c r="R1570" s="47" t="inlineStr">
        <is>
          <t>No Video ID yet</t>
        </is>
      </c>
      <c r="S1570" s="49" t="n"/>
      <c r="T1570" s="49" t="n"/>
      <c r="U1570" s="47" t="inlineStr">
        <is>
          <t>Go to for 10% off! Go to today and get an extra 3 months free on a 1-year package! Go to and use code JVSB80 to get a total of $80 off across 5 boxes, including free shipping on your first box! Today J and Ben face off in another Harry Potter Trivia Quiz to find out who knows the most about the Wizaring World and what happens there on Halloween!</t>
        </is>
      </c>
      <c r="V1570" s="47">
        <f>IF(AND(P1570&gt;=Calendar!$K$2,P1570&lt;EDATE(Calendar!$K$2,1),OR(Calendar!$K$4="*",N1570=Calendar!$K$4)),P1570*100+COUNTIFS($P$6:$P$3267,P1570,$Q$6:$Q$3267,"&lt;="&amp;Q1570,$N$6:$N$3267,Calendar!$K$4),"")</f>
        <v/>
      </c>
      <c r="W1570" s="47">
        <f>IF(AND(B1570=Queue!$C$4,OR(Queue!$K$4="*",N1570=Queue!$K$4)),Q1570,"")</f>
        <v/>
      </c>
    </row>
    <row r="1571">
      <c r="A1571" s="38">
        <f>IF(M1571="","",HYPERLINK("https://www.youtube.com/watch?v="&amp;M1571,"▶"))</f>
        <v/>
      </c>
      <c r="B1571" s="39">
        <f>IF(C1571&lt;&gt;"",C1571,IF(P1571&lt;=IFERROR(INDEX(tblChannels[Watched Through],MATCH(N1571,tblChannels[Channel ID],0)),0),"Watched","Unwatched"))</f>
        <v/>
      </c>
      <c r="C1571" s="40" t="n"/>
      <c r="D1571" s="41" t="n"/>
      <c r="E1571" s="42" t="n">
        <v>44131.65</v>
      </c>
      <c r="F1571" s="50" t="inlineStr">
        <is>
          <t>Super Carlin Brothers</t>
        </is>
      </c>
      <c r="G1571" t="inlineStr">
        <is>
          <t>Did Voldemort CURSE Halloween? [Harry Potter Theory]</t>
        </is>
      </c>
      <c r="H1571" s="44" t="n">
        <v>0.009918981481481482</v>
      </c>
      <c r="I1571" s="45" t="n">
        <v>400478</v>
      </c>
      <c r="J1571" s="45" t="n">
        <v>17130</v>
      </c>
      <c r="K1571" s="45" t="n">
        <v>2512</v>
      </c>
      <c r="L1571" s="46" t="n"/>
      <c r="M1571" s="47" t="n"/>
      <c r="N1571" s="47" t="inlineStr">
        <is>
          <t>UCKZo4N0lVPccBkSiuyVh4yg</t>
        </is>
      </c>
      <c r="O1571" s="48" t="n">
        <v>44131.81666666667</v>
      </c>
      <c r="P1571" s="49" t="n">
        <v>44131</v>
      </c>
      <c r="Q1571" s="47" t="n">
        <v>1697</v>
      </c>
      <c r="R1571" s="47" t="inlineStr">
        <is>
          <t>No Video ID yet</t>
        </is>
      </c>
      <c r="S1571" s="49" t="n"/>
      <c r="T1571" s="49" t="n"/>
      <c r="U1571" s="47" t="inlineStr">
        <is>
          <t>Go to and use code SCB to get $75 off! Today J dives into the Wizarding World of Harry Potter to uncover the odd mystery of Halloween and why its always such a big deal between Philosophers Stone and Goblet of Fire! Did Voldemort Curse Halloween or are unseen forces at work?!</t>
        </is>
      </c>
      <c r="V1571" s="47">
        <f>IF(AND(P1571&gt;=Calendar!$K$2,P1571&lt;EDATE(Calendar!$K$2,1),OR(Calendar!$K$4="*",N1571=Calendar!$K$4)),P1571*100+COUNTIFS($P$6:$P$3267,P1571,$Q$6:$Q$3267,"&lt;="&amp;Q1571,$N$6:$N$3267,Calendar!$K$4),"")</f>
        <v/>
      </c>
      <c r="W1571" s="47">
        <f>IF(AND(B1571=Queue!$C$4,OR(Queue!$K$4="*",N1571=Queue!$K$4)),Q1571,"")</f>
        <v/>
      </c>
    </row>
    <row r="1572">
      <c r="A1572" s="38">
        <f>IF(M1572="","",HYPERLINK("https://www.youtube.com/watch?v="&amp;M1572,"▶"))</f>
        <v/>
      </c>
      <c r="B1572" s="39">
        <f>IF(C1572&lt;&gt;"",C1572,IF(P1572&lt;=IFERROR(INDEX(tblChannels[Watched Through],MATCH(N1572,tblChannels[Channel ID],0)),0),"Watched","Unwatched"))</f>
        <v/>
      </c>
      <c r="C1572" s="40" t="n"/>
      <c r="D1572" s="41" t="n"/>
      <c r="E1572" s="42" t="n">
        <v>44126.67361111111</v>
      </c>
      <c r="F1572" s="50" t="inlineStr">
        <is>
          <t>Super Carlin Brothers</t>
        </is>
      </c>
      <c r="G1572" t="inlineStr">
        <is>
          <t>How Does Harry Resist The Imperius Curse? [Harry Potter Theory]</t>
        </is>
      </c>
      <c r="H1572" s="44" t="n">
        <v>0.01173611111111111</v>
      </c>
      <c r="I1572" s="45" t="n">
        <v>1154834</v>
      </c>
      <c r="J1572" s="45" t="n">
        <v>34821</v>
      </c>
      <c r="K1572" s="45" t="n">
        <v>3217</v>
      </c>
      <c r="L1572" s="46" t="n"/>
      <c r="M1572" s="47" t="n"/>
      <c r="N1572" s="47" t="inlineStr">
        <is>
          <t>UCKZo4N0lVPccBkSiuyVh4yg</t>
        </is>
      </c>
      <c r="O1572" s="48" t="n">
        <v>44126.84027777778</v>
      </c>
      <c r="P1572" s="49" t="n">
        <v>44126</v>
      </c>
      <c r="Q1572" s="47" t="n">
        <v>1696</v>
      </c>
      <c r="R1572" s="47" t="inlineStr">
        <is>
          <t>No Video ID yet</t>
        </is>
      </c>
      <c r="S1572" s="49" t="n"/>
      <c r="T1572" s="49" t="n"/>
      <c r="U1572" s="47" t="inlineStr">
        <is>
          <t>Get 20% off your first monthly box when you sign up at and enter the code SUPER at checkout! Today Ben dives into the Wizarding World of Harry Potter to try and determine HOW Harry manages to shake off the Imperius Curse on his FIRST try.</t>
        </is>
      </c>
      <c r="V1572" s="47">
        <f>IF(AND(P1572&gt;=Calendar!$K$2,P1572&lt;EDATE(Calendar!$K$2,1),OR(Calendar!$K$4="*",N1572=Calendar!$K$4)),P1572*100+COUNTIFS($P$6:$P$3267,P1572,$Q$6:$Q$3267,"&lt;="&amp;Q1572,$N$6:$N$3267,Calendar!$K$4),"")</f>
        <v/>
      </c>
      <c r="W1572" s="47">
        <f>IF(AND(B1572=Queue!$C$4,OR(Queue!$K$4="*",N1572=Queue!$K$4)),Q1572,"")</f>
        <v/>
      </c>
    </row>
    <row r="1573">
      <c r="A1573" s="38">
        <f>IF(M1573="","",HYPERLINK("https://www.youtube.com/watch?v="&amp;M1573,"▶"))</f>
        <v/>
      </c>
      <c r="B1573" s="39">
        <f>IF(C1573&lt;&gt;"",C1573,IF(P1573&lt;=IFERROR(INDEX(tblChannels[Watched Through],MATCH(N1573,tblChannels[Channel ID],0)),0),"Watched","Unwatched"))</f>
        <v/>
      </c>
      <c r="C1573" s="40" t="n"/>
      <c r="D1573" s="41" t="n"/>
      <c r="E1573" s="42" t="n">
        <v>44124.66111111111</v>
      </c>
      <c r="F1573" s="50" t="inlineStr">
        <is>
          <t>Super Carlin Brothers</t>
        </is>
      </c>
      <c r="G1573" t="inlineStr">
        <is>
          <t>How Do Avatar Ghosts Work? [Avatar: The Last Airbender Theory]</t>
        </is>
      </c>
      <c r="H1573" s="44" t="n">
        <v>0.01178240740740741</v>
      </c>
      <c r="I1573" s="45" t="n">
        <v>276556</v>
      </c>
      <c r="J1573" s="45" t="n">
        <v>12010</v>
      </c>
      <c r="K1573" s="45" t="n">
        <v>1155</v>
      </c>
      <c r="L1573" s="46" t="n"/>
      <c r="M1573" s="47" t="n"/>
      <c r="N1573" s="47" t="inlineStr">
        <is>
          <t>UCKZo4N0lVPccBkSiuyVh4yg</t>
        </is>
      </c>
      <c r="O1573" s="48" t="n">
        <v>44124.82777777778</v>
      </c>
      <c r="P1573" s="49" t="n">
        <v>44124</v>
      </c>
      <c r="Q1573" s="47" t="n">
        <v>1695</v>
      </c>
      <c r="R1573" s="47" t="inlineStr">
        <is>
          <t>No Video ID yet</t>
        </is>
      </c>
      <c r="S1573" s="49" t="n"/>
      <c r="T1573" s="49" t="n"/>
      <c r="U1573" s="47" t="inlineStr">
        <is>
          <t>Today J dives into the world of Avatar the Last Airbender to try and determine HOW Avatar Ghosts work and whether or not future avatars will still have access to them based on what happens to Raava during Legend of Korra! Special thanks to Christopher Wildi for submitting this idea to us! #atla #avatarthelastairbender</t>
        </is>
      </c>
      <c r="V1573" s="47">
        <f>IF(AND(P1573&gt;=Calendar!$K$2,P1573&lt;EDATE(Calendar!$K$2,1),OR(Calendar!$K$4="*",N1573=Calendar!$K$4)),P1573*100+COUNTIFS($P$6:$P$3267,P1573,$Q$6:$Q$3267,"&lt;="&amp;Q1573,$N$6:$N$3267,Calendar!$K$4),"")</f>
        <v/>
      </c>
      <c r="W1573" s="47">
        <f>IF(AND(B1573=Queue!$C$4,OR(Queue!$K$4="*",N1573=Queue!$K$4)),Q1573,"")</f>
        <v/>
      </c>
    </row>
    <row r="1574">
      <c r="A1574" s="38">
        <f>IF(M1574="","",HYPERLINK("https://www.youtube.com/watch?v="&amp;M1574,"▶"))</f>
        <v/>
      </c>
      <c r="B1574" s="39">
        <f>IF(C1574&lt;&gt;"",C1574,IF(P1574&lt;=IFERROR(INDEX(tblChannels[Watched Through],MATCH(N1574,tblChannels[Channel ID],0)),0),"Watched","Unwatched"))</f>
        <v/>
      </c>
      <c r="C1574" s="40" t="n"/>
      <c r="D1574" s="41" t="n"/>
      <c r="E1574" s="42" t="n">
        <v>44119.90555555555</v>
      </c>
      <c r="F1574" s="50" t="inlineStr">
        <is>
          <t>Super Carlin Brothers</t>
        </is>
      </c>
      <c r="G1574" t="inlineStr">
        <is>
          <t>J vs Ben: The Pixar Quiz That Just Keeps Getting Harder</t>
        </is>
      </c>
      <c r="H1574" s="44" t="n">
        <v>0.01546296296296296</v>
      </c>
      <c r="I1574" s="45" t="n">
        <v>187833</v>
      </c>
      <c r="J1574" s="45" t="n">
        <v>7932</v>
      </c>
      <c r="K1574" s="45" t="n">
        <v>1447</v>
      </c>
      <c r="L1574" s="46" t="n"/>
      <c r="M1574" s="47" t="n"/>
      <c r="N1574" s="47" t="inlineStr">
        <is>
          <t>UCKZo4N0lVPccBkSiuyVh4yg</t>
        </is>
      </c>
      <c r="O1574" s="48" t="n">
        <v>44120.07222222222</v>
      </c>
      <c r="P1574" s="49" t="n">
        <v>44119</v>
      </c>
      <c r="Q1574" s="47" t="n">
        <v>1694</v>
      </c>
      <c r="R1574" s="47" t="inlineStr">
        <is>
          <t>No Video ID yet</t>
        </is>
      </c>
      <c r="S1574" s="49" t="n"/>
      <c r="T1574" s="49" t="n"/>
      <c r="U1574" s="47" t="inlineStr">
        <is>
          <t>Get $5 off and zero delivery fees on your first order of $15 or more when you download the DoorDash app and enter code JVSB! Go to and type in JVSB to claim your special offer today! In today’s episode J and Ben face off on a Pixar Quiz that get’s progressively harder the further in you go! The Progessively Harder PIxar Quiz :: Check out Bacon and Eggs: A Movie Lover's Podcast:</t>
        </is>
      </c>
      <c r="V1574" s="47">
        <f>IF(AND(P1574&gt;=Calendar!$K$2,P1574&lt;EDATE(Calendar!$K$2,1),OR(Calendar!$K$4="*",N1574=Calendar!$K$4)),P1574*100+COUNTIFS($P$6:$P$3267,P1574,$Q$6:$Q$3267,"&lt;="&amp;Q1574,$N$6:$N$3267,Calendar!$K$4),"")</f>
        <v/>
      </c>
      <c r="W1574" s="47">
        <f>IF(AND(B1574=Queue!$C$4,OR(Queue!$K$4="*",N1574=Queue!$K$4)),Q1574,"")</f>
        <v/>
      </c>
    </row>
    <row r="1575">
      <c r="A1575" s="38">
        <f>IF(M1575="","",HYPERLINK("https://www.youtube.com/watch?v="&amp;M1575,"▶"))</f>
        <v/>
      </c>
      <c r="B1575" s="39">
        <f>IF(C1575&lt;&gt;"",C1575,IF(P1575&lt;=IFERROR(INDEX(tblChannels[Watched Through],MATCH(N1575,tblChannels[Channel ID],0)),0),"Watched","Unwatched"))</f>
        <v/>
      </c>
      <c r="C1575" s="40" t="n"/>
      <c r="D1575" s="41" t="n"/>
      <c r="E1575" s="42" t="n">
        <v>44117.81458333333</v>
      </c>
      <c r="F1575" s="50" t="inlineStr">
        <is>
          <t>Super Carlin Brothers</t>
        </is>
      </c>
      <c r="G1575" t="inlineStr">
        <is>
          <t>The Painted Lady's TRUE Identity [Avatar The Last Airbender Theory]</t>
        </is>
      </c>
      <c r="H1575" s="44" t="n">
        <v>0.009166666666666667</v>
      </c>
      <c r="I1575" s="45" t="n">
        <v>398658</v>
      </c>
      <c r="J1575" s="45" t="n">
        <v>19236</v>
      </c>
      <c r="K1575" s="45" t="n">
        <v>1885</v>
      </c>
      <c r="L1575" s="46" t="n"/>
      <c r="M1575" s="47" t="n"/>
      <c r="N1575" s="47" t="inlineStr">
        <is>
          <t>UCKZo4N0lVPccBkSiuyVh4yg</t>
        </is>
      </c>
      <c r="O1575" s="48" t="n">
        <v>44117.98125</v>
      </c>
      <c r="P1575" s="49" t="n">
        <v>44117</v>
      </c>
      <c r="Q1575" s="47" t="n">
        <v>1693</v>
      </c>
      <c r="R1575" s="47" t="inlineStr">
        <is>
          <t>No Video ID yet</t>
        </is>
      </c>
      <c r="S1575" s="49" t="n"/>
      <c r="T1575" s="49" t="n"/>
      <c r="U1575" s="47" t="inlineStr">
        <is>
          <t>Hurry to to find out HOW LOW your Upstart rate can be! Today J dives into the world of Avatar the Last Airbender to try and determine the true identity of The Painted Lady - Who was she before she became a spirit?</t>
        </is>
      </c>
      <c r="V1575" s="47">
        <f>IF(AND(P1575&gt;=Calendar!$K$2,P1575&lt;EDATE(Calendar!$K$2,1),OR(Calendar!$K$4="*",N1575=Calendar!$K$4)),P1575*100+COUNTIFS($P$6:$P$3267,P1575,$Q$6:$Q$3267,"&lt;="&amp;Q1575,$N$6:$N$3267,Calendar!$K$4),"")</f>
        <v/>
      </c>
      <c r="W1575" s="47">
        <f>IF(AND(B1575=Queue!$C$4,OR(Queue!$K$4="*",N1575=Queue!$K$4)),Q1575,"")</f>
        <v/>
      </c>
    </row>
    <row r="1576">
      <c r="A1576" s="38">
        <f>IF(M1576="","",HYPERLINK("https://www.youtube.com/watch?v="&amp;M1576,"▶"))</f>
        <v/>
      </c>
      <c r="B1576" s="39">
        <f>IF(C1576&lt;&gt;"",C1576,IF(P1576&lt;=IFERROR(INDEX(tblChannels[Watched Through],MATCH(N1576,tblChannels[Channel ID],0)),0),"Watched","Unwatched"))</f>
        <v/>
      </c>
      <c r="C1576" s="40" t="n"/>
      <c r="D1576" s="41" t="n"/>
      <c r="E1576" s="42" t="n">
        <v>44112.82847222222</v>
      </c>
      <c r="F1576" s="50" t="inlineStr">
        <is>
          <t>Super Carlin Brothers</t>
        </is>
      </c>
      <c r="G1576" t="inlineStr">
        <is>
          <t>Why Didn’t Quirrell Kill Fluffy? [Harry Potter Theory]</t>
        </is>
      </c>
      <c r="H1576" s="44" t="n">
        <v>0.008194444444444445</v>
      </c>
      <c r="I1576" s="45" t="n">
        <v>473004</v>
      </c>
      <c r="J1576" s="45" t="n">
        <v>17720</v>
      </c>
      <c r="K1576" s="45" t="n">
        <v>1678</v>
      </c>
      <c r="L1576" s="46" t="n"/>
      <c r="M1576" s="47" t="n"/>
      <c r="N1576" s="47" t="inlineStr">
        <is>
          <t>UCKZo4N0lVPccBkSiuyVh4yg</t>
        </is>
      </c>
      <c r="O1576" s="48" t="n">
        <v>44112.99513888889</v>
      </c>
      <c r="P1576" s="49" t="n">
        <v>44112</v>
      </c>
      <c r="Q1576" s="47" t="n">
        <v>1692</v>
      </c>
      <c r="R1576" s="47" t="inlineStr">
        <is>
          <t>No Video ID yet</t>
        </is>
      </c>
      <c r="S1576" s="49" t="n"/>
      <c r="T1576" s="49" t="n"/>
      <c r="U1576" s="47" t="inlineStr">
        <is>
          <t>Hurry to to find out HOW LOW your Upstart rate can be! Today Ben dives into the Wizarding World of Harry Potter to try and figure out why Voldemort and Quirrell allowed themselves to be stopped by a FLuffy for a YEAR when they could have just killed him?</t>
        </is>
      </c>
      <c r="V1576" s="47">
        <f>IF(AND(P1576&gt;=Calendar!$K$2,P1576&lt;EDATE(Calendar!$K$2,1),OR(Calendar!$K$4="*",N1576=Calendar!$K$4)),P1576*100+COUNTIFS($P$6:$P$3267,P1576,$Q$6:$Q$3267,"&lt;="&amp;Q1576,$N$6:$N$3267,Calendar!$K$4),"")</f>
        <v/>
      </c>
      <c r="W1576" s="47">
        <f>IF(AND(B1576=Queue!$C$4,OR(Queue!$K$4="*",N1576=Queue!$K$4)),Q1576,"")</f>
        <v/>
      </c>
    </row>
    <row r="1577">
      <c r="A1577" s="38">
        <f>IF(M1577="","",HYPERLINK("https://www.youtube.com/watch?v="&amp;M1577,"▶"))</f>
        <v/>
      </c>
      <c r="B1577" s="39">
        <f>IF(C1577&lt;&gt;"",C1577,IF(P1577&lt;=IFERROR(INDEX(tblChannels[Watched Through],MATCH(N1577,tblChannels[Channel ID],0)),0),"Watched","Unwatched"))</f>
        <v/>
      </c>
      <c r="C1577" s="40" t="n"/>
      <c r="D1577" s="41" t="n"/>
      <c r="E1577" s="42" t="n">
        <v>44110.66388888889</v>
      </c>
      <c r="F1577" s="50" t="inlineStr">
        <is>
          <t>Super Carlin Brothers</t>
        </is>
      </c>
      <c r="G1577" t="inlineStr">
        <is>
          <t>Why The Fire Nation Killed Katara's Mom [Avatar: The Last Airbender Theory]</t>
        </is>
      </c>
      <c r="H1577" s="44" t="n">
        <v>0.007939814814814814</v>
      </c>
      <c r="I1577" s="45" t="n">
        <v>434955</v>
      </c>
      <c r="J1577" s="45" t="n">
        <v>19884</v>
      </c>
      <c r="K1577" s="45" t="n">
        <v>1882</v>
      </c>
      <c r="L1577" s="46" t="n"/>
      <c r="M1577" s="47" t="n"/>
      <c r="N1577" s="47" t="inlineStr">
        <is>
          <t>UCKZo4N0lVPccBkSiuyVh4yg</t>
        </is>
      </c>
      <c r="O1577" s="48" t="n">
        <v>44110.83055555556</v>
      </c>
      <c r="P1577" s="49" t="n">
        <v>44110</v>
      </c>
      <c r="Q1577" s="47" t="n">
        <v>1691</v>
      </c>
      <c r="R1577" s="47" t="inlineStr">
        <is>
          <t>No Video ID yet</t>
        </is>
      </c>
      <c r="S1577" s="49" t="n"/>
      <c r="T1577" s="49" t="n"/>
      <c r="U1577" s="47" t="inlineStr">
        <is>
          <t>Today J dives into the world of Avatar: The Last Airbender to address one of the shows longest unanswered mysteries. Why did the Fire Nation suddenly decided to kill Katara and Sokka's mother Kya after just capturing water benders for so long?</t>
        </is>
      </c>
      <c r="V1577" s="47">
        <f>IF(AND(P1577&gt;=Calendar!$K$2,P1577&lt;EDATE(Calendar!$K$2,1),OR(Calendar!$K$4="*",N1577=Calendar!$K$4)),P1577*100+COUNTIFS($P$6:$P$3267,P1577,$Q$6:$Q$3267,"&lt;="&amp;Q1577,$N$6:$N$3267,Calendar!$K$4),"")</f>
        <v/>
      </c>
      <c r="W1577" s="47">
        <f>IF(AND(B1577=Queue!$C$4,OR(Queue!$K$4="*",N1577=Queue!$K$4)),Q1577,"")</f>
        <v/>
      </c>
    </row>
    <row r="1578">
      <c r="A1578" s="38">
        <f>IF(M1578="","",HYPERLINK("https://www.youtube.com/watch?v="&amp;M1578,"▶"))</f>
        <v/>
      </c>
      <c r="B1578" s="39">
        <f>IF(C1578&lt;&gt;"",C1578,IF(P1578&lt;=IFERROR(INDEX(tblChannels[Watched Through],MATCH(N1578,tblChannels[Channel ID],0)),0),"Watched","Unwatched"))</f>
        <v/>
      </c>
      <c r="C1578" s="40" t="n"/>
      <c r="D1578" s="41" t="n"/>
      <c r="E1578" s="42" t="n">
        <v>44105.57222222222</v>
      </c>
      <c r="F1578" s="50" t="inlineStr">
        <is>
          <t>Super Carlin Brothers</t>
        </is>
      </c>
      <c r="G1578" t="inlineStr">
        <is>
          <t>J vs Ben: The ULTIMATE Ministry of Magic TRIVIA Quiz</t>
        </is>
      </c>
      <c r="H1578" s="44" t="n">
        <v>0.01711805555555556</v>
      </c>
      <c r="I1578" s="45" t="n">
        <v>286654</v>
      </c>
      <c r="J1578" s="45" t="n">
        <v>10221</v>
      </c>
      <c r="K1578" s="45" t="n">
        <v>952</v>
      </c>
      <c r="L1578" s="46" t="n"/>
      <c r="M1578" s="47" t="n"/>
      <c r="N1578" s="47" t="inlineStr">
        <is>
          <t>UCKZo4N0lVPccBkSiuyVh4yg</t>
        </is>
      </c>
      <c r="O1578" s="48" t="n">
        <v>44105.73888888889</v>
      </c>
      <c r="P1578" s="49" t="n">
        <v>44105</v>
      </c>
      <c r="Q1578" s="47" t="n">
        <v>1690</v>
      </c>
      <c r="R1578" s="47" t="inlineStr">
        <is>
          <t>No Video ID yet</t>
        </is>
      </c>
      <c r="S1578" s="49" t="n"/>
      <c r="T1578" s="49" t="n"/>
      <c r="U1578" s="47" t="inlineStr">
        <is>
          <t>Go to today and get an extra 3 months free on a 1-year package! Go to and enter promo code jvsb to get $25 off your first box! Today J and Ben face off in the ULTIMATE Ministry of Magic Harry Potter Trivia Quiz to find out who knows more about the most corrupt government agency out there.</t>
        </is>
      </c>
      <c r="V1578" s="47">
        <f>IF(AND(P1578&gt;=Calendar!$K$2,P1578&lt;EDATE(Calendar!$K$2,1),OR(Calendar!$K$4="*",N1578=Calendar!$K$4)),P1578*100+COUNTIFS($P$6:$P$3267,P1578,$Q$6:$Q$3267,"&lt;="&amp;Q1578,$N$6:$N$3267,Calendar!$K$4),"")</f>
        <v/>
      </c>
      <c r="W1578" s="47">
        <f>IF(AND(B1578=Queue!$C$4,OR(Queue!$K$4="*",N1578=Queue!$K$4)),Q1578,"")</f>
        <v/>
      </c>
    </row>
    <row r="1579">
      <c r="A1579" s="38">
        <f>IF(M1579="","",HYPERLINK("https://www.youtube.com/watch?v="&amp;M1579,"▶"))</f>
        <v/>
      </c>
      <c r="B1579" s="39">
        <f>IF(C1579&lt;&gt;"",C1579,IF(P1579&lt;=IFERROR(INDEX(tblChannels[Watched Through],MATCH(N1579,tblChannels[Channel ID],0)),0),"Watched","Unwatched"))</f>
        <v/>
      </c>
      <c r="C1579" s="40" t="n"/>
      <c r="D1579" s="41" t="n"/>
      <c r="E1579" s="42" t="n">
        <v>44103.77291666667</v>
      </c>
      <c r="F1579" s="50" t="inlineStr">
        <is>
          <t>Super Carlin Brothers</t>
        </is>
      </c>
      <c r="G1579" t="inlineStr">
        <is>
          <t>Arthur Weasley Is A Corrupt Employee? [Harry Potter Theory]</t>
        </is>
      </c>
      <c r="H1579" s="44" t="n">
        <v>0.01037037037037037</v>
      </c>
      <c r="I1579" s="45" t="n">
        <v>690413</v>
      </c>
      <c r="J1579" s="45" t="n">
        <v>25973</v>
      </c>
      <c r="K1579" s="45" t="n">
        <v>2991</v>
      </c>
      <c r="L1579" s="46" t="n"/>
      <c r="M1579" s="47" t="n"/>
      <c r="N1579" s="47" t="inlineStr">
        <is>
          <t>UCKZo4N0lVPccBkSiuyVh4yg</t>
        </is>
      </c>
      <c r="O1579" s="48" t="n">
        <v>44103.93958333333</v>
      </c>
      <c r="P1579" s="49" t="n">
        <v>44103</v>
      </c>
      <c r="Q1579" s="47" t="n">
        <v>1689</v>
      </c>
      <c r="R1579" s="47" t="inlineStr">
        <is>
          <t>No Video ID yet</t>
        </is>
      </c>
      <c r="S1579" s="49" t="n"/>
      <c r="T1579" s="49" t="n"/>
      <c r="U1579" s="47" t="inlineStr">
        <is>
          <t>Hurry to to find out HOW LOW your Upstart rate can be! Today Ben dives into the Wizarding World of Harry Potter to discuss Arthur Weasley and his occasionally self indulgent work habits... AND THE REAL FUNCTION OF A RUBBER DUCK! TRIVIA LIVE STREAM - Friday, October 2 @ 6pm Eastern on #SuperCarlinBrothers #HarryPotter #DuckInACup</t>
        </is>
      </c>
      <c r="V1579" s="47">
        <f>IF(AND(P1579&gt;=Calendar!$K$2,P1579&lt;EDATE(Calendar!$K$2,1),OR(Calendar!$K$4="*",N1579=Calendar!$K$4)),P1579*100+COUNTIFS($P$6:$P$3267,P1579,$Q$6:$Q$3267,"&lt;="&amp;Q1579,$N$6:$N$3267,Calendar!$K$4),"")</f>
        <v/>
      </c>
      <c r="W1579" s="47">
        <f>IF(AND(B1579=Queue!$C$4,OR(Queue!$K$4="*",N1579=Queue!$K$4)),Q1579,"")</f>
        <v/>
      </c>
    </row>
    <row r="1580">
      <c r="A1580" s="38">
        <f>IF(M1580="","",HYPERLINK("https://www.youtube.com/watch?v="&amp;M1580,"▶"))</f>
        <v/>
      </c>
      <c r="B1580" s="39">
        <f>IF(C1580&lt;&gt;"",C1580,IF(P1580&lt;=IFERROR(INDEX(tblChannels[Watched Through],MATCH(N1580,tblChannels[Channel ID],0)),0),"Watched","Unwatched"))</f>
        <v/>
      </c>
      <c r="C1580" s="40" t="n"/>
      <c r="D1580" s="41" t="n"/>
      <c r="E1580" s="42" t="n">
        <v>44098.725</v>
      </c>
      <c r="F1580" s="50" t="inlineStr">
        <is>
          <t>Super Carlin Brothers</t>
        </is>
      </c>
      <c r="G1580" t="inlineStr">
        <is>
          <t>Wormtail Has A Son? [Harry Potter Theory]</t>
        </is>
      </c>
      <c r="H1580" s="44" t="n">
        <v>0.003935185185185185</v>
      </c>
      <c r="I1580" s="45" t="n">
        <v>237397</v>
      </c>
      <c r="J1580" s="45" t="n">
        <v>17068</v>
      </c>
      <c r="K1580" s="45" t="n">
        <v>2242</v>
      </c>
      <c r="L1580" s="46" t="n"/>
      <c r="M1580" s="47" t="n"/>
      <c r="N1580" s="47" t="inlineStr">
        <is>
          <t>UCKZo4N0lVPccBkSiuyVh4yg</t>
        </is>
      </c>
      <c r="O1580" s="48" t="n">
        <v>44098.89166666667</v>
      </c>
      <c r="P1580" s="49" t="n">
        <v>44098</v>
      </c>
      <c r="Q1580" s="47" t="n">
        <v>1688</v>
      </c>
      <c r="R1580" s="47" t="inlineStr">
        <is>
          <t>No Video ID yet</t>
        </is>
      </c>
      <c r="S1580" s="49" t="n"/>
      <c r="T1580" s="49" t="n"/>
      <c r="U1580" s="47" t="inlineStr">
        <is>
          <t>Today J goes out of his way to rhyme time after time, about Peter Pettigrew and the son he never knew. Hope you enjoy this Harry Potter theory and that it makes your day a little less dreary! Check out the Show After The Show ::</t>
        </is>
      </c>
      <c r="V1580" s="47">
        <f>IF(AND(P1580&gt;=Calendar!$K$2,P1580&lt;EDATE(Calendar!$K$2,1),OR(Calendar!$K$4="*",N1580=Calendar!$K$4)),P1580*100+COUNTIFS($P$6:$P$3267,P1580,$Q$6:$Q$3267,"&lt;="&amp;Q1580,$N$6:$N$3267,Calendar!$K$4),"")</f>
        <v/>
      </c>
      <c r="W1580" s="47">
        <f>IF(AND(B1580=Queue!$C$4,OR(Queue!$K$4="*",N1580=Queue!$K$4)),Q1580,"")</f>
        <v/>
      </c>
    </row>
    <row r="1581">
      <c r="A1581" s="38">
        <f>IF(M1581="","",HYPERLINK("https://www.youtube.com/watch?v="&amp;M1581,"▶"))</f>
        <v/>
      </c>
      <c r="B1581" s="39">
        <f>IF(C1581&lt;&gt;"",C1581,IF(P1581&lt;=IFERROR(INDEX(tblChannels[Watched Through],MATCH(N1581,tblChannels[Channel ID],0)),0),"Watched","Unwatched"))</f>
        <v/>
      </c>
      <c r="C1581" s="40" t="n"/>
      <c r="D1581" s="41" t="n"/>
      <c r="E1581" s="42" t="n">
        <v>44096.84583333333</v>
      </c>
      <c r="F1581" s="50" t="inlineStr">
        <is>
          <t>Super Carlin Brothers</t>
        </is>
      </c>
      <c r="G1581" t="inlineStr">
        <is>
          <t>The Tragedy of Snow White's Voice Actress</t>
        </is>
      </c>
      <c r="H1581" s="44" t="n">
        <v>0.0103125</v>
      </c>
      <c r="I1581" s="45" t="n">
        <v>282568</v>
      </c>
      <c r="J1581" s="45" t="n">
        <v>17139</v>
      </c>
      <c r="K1581" s="45" t="n">
        <v>1066</v>
      </c>
      <c r="L1581" s="46" t="n"/>
      <c r="M1581" s="47" t="n"/>
      <c r="N1581" s="47" t="inlineStr">
        <is>
          <t>UCKZo4N0lVPccBkSiuyVh4yg</t>
        </is>
      </c>
      <c r="O1581" s="48" t="n">
        <v>44097.0125</v>
      </c>
      <c r="P1581" s="49" t="n">
        <v>44096</v>
      </c>
      <c r="Q1581" s="47" t="n">
        <v>1687</v>
      </c>
      <c r="R1581" s="47" t="inlineStr">
        <is>
          <t>No Video ID yet</t>
        </is>
      </c>
      <c r="S1581" s="49" t="n"/>
      <c r="T1581" s="49" t="n"/>
      <c r="U1581" s="47" t="inlineStr">
        <is>
          <t>Go to and use code SCB to get $75 off! Today J dives into Disney's history to discuss the tragedy of Snow Whites Voice Actress Adriana Caselotti. Casting Moana :: Sources ::</t>
        </is>
      </c>
      <c r="V1581" s="47">
        <f>IF(AND(P1581&gt;=Calendar!$K$2,P1581&lt;EDATE(Calendar!$K$2,1),OR(Calendar!$K$4="*",N1581=Calendar!$K$4)),P1581*100+COUNTIFS($P$6:$P$3267,P1581,$Q$6:$Q$3267,"&lt;="&amp;Q1581,$N$6:$N$3267,Calendar!$K$4),"")</f>
        <v/>
      </c>
      <c r="W1581" s="47">
        <f>IF(AND(B1581=Queue!$C$4,OR(Queue!$K$4="*",N1581=Queue!$K$4)),Q1581,"")</f>
        <v/>
      </c>
    </row>
    <row r="1582">
      <c r="A1582" s="38">
        <f>IF(M1582="","",HYPERLINK("https://www.youtube.com/watch?v="&amp;M1582,"▶"))</f>
        <v/>
      </c>
      <c r="B1582" s="39">
        <f>IF(C1582&lt;&gt;"",C1582,IF(P1582&lt;=IFERROR(INDEX(tblChannels[Watched Through],MATCH(N1582,tblChannels[Channel ID],0)),0),"Watched","Unwatched"))</f>
        <v/>
      </c>
      <c r="C1582" s="40" t="n"/>
      <c r="D1582" s="41" t="n"/>
      <c r="E1582" s="42" t="n">
        <v>44091.77638888889</v>
      </c>
      <c r="F1582" s="50" t="inlineStr">
        <is>
          <t>Super Carlin Brothers</t>
        </is>
      </c>
      <c r="G1582" t="inlineStr">
        <is>
          <t>THRAWN IS COMING [Mandalorian Theory]</t>
        </is>
      </c>
      <c r="H1582" s="44" t="n">
        <v>0.009988425925925927</v>
      </c>
      <c r="I1582" s="45" t="n">
        <v>143996</v>
      </c>
      <c r="J1582" s="45" t="n">
        <v>7063</v>
      </c>
      <c r="K1582" s="45" t="n">
        <v>1291</v>
      </c>
      <c r="L1582" s="46" t="n"/>
      <c r="M1582" s="47" t="n"/>
      <c r="N1582" s="47" t="inlineStr">
        <is>
          <t>UCKZo4N0lVPccBkSiuyVh4yg</t>
        </is>
      </c>
      <c r="O1582" s="48" t="n">
        <v>44091.94305555556</v>
      </c>
      <c r="P1582" s="49" t="n">
        <v>44091</v>
      </c>
      <c r="Q1582" s="47" t="n">
        <v>1686</v>
      </c>
      <c r="R1582" s="47" t="inlineStr">
        <is>
          <t>No Video ID yet</t>
        </is>
      </c>
      <c r="S1582" s="49" t="n"/>
      <c r="T1582" s="49" t="n"/>
      <c r="U1582" s="47" t="inlineStr">
        <is>
          <t>Hurry to to find out HOW LOW your Upstart rate can be! Today J dives into the Star Wars Galaxy and to discuss predictions for season 2 of the Mandalorian and the possible appearance of THRAWN! #SuperCarlinBrothers #StarWars #Mandalorian</t>
        </is>
      </c>
      <c r="V1582" s="47">
        <f>IF(AND(P1582&gt;=Calendar!$K$2,P1582&lt;EDATE(Calendar!$K$2,1),OR(Calendar!$K$4="*",N1582=Calendar!$K$4)),P1582*100+COUNTIFS($P$6:$P$3267,P1582,$Q$6:$Q$3267,"&lt;="&amp;Q1582,$N$6:$N$3267,Calendar!$K$4),"")</f>
        <v/>
      </c>
      <c r="W1582" s="47">
        <f>IF(AND(B1582=Queue!$C$4,OR(Queue!$K$4="*",N1582=Queue!$K$4)),Q1582,"")</f>
        <v/>
      </c>
    </row>
    <row r="1583">
      <c r="A1583" s="38">
        <f>IF(M1583="","",HYPERLINK("https://www.youtube.com/watch?v="&amp;M1583,"▶"))</f>
        <v/>
      </c>
      <c r="B1583" s="39">
        <f>IF(C1583&lt;&gt;"",C1583,IF(P1583&lt;=IFERROR(INDEX(tblChannels[Watched Through],MATCH(N1583,tblChannels[Channel ID],0)),0),"Watched","Unwatched"))</f>
        <v/>
      </c>
      <c r="C1583" s="40" t="n"/>
      <c r="D1583" s="41" t="n"/>
      <c r="E1583" s="42" t="n">
        <v>44089.83819444444</v>
      </c>
      <c r="F1583" s="50" t="inlineStr">
        <is>
          <t>Super Carlin Brothers</t>
        </is>
      </c>
      <c r="G1583" t="inlineStr">
        <is>
          <t>J vs Ben: MOST Expensive Marvel Merch | GAME</t>
        </is>
      </c>
      <c r="H1583" s="44" t="n">
        <v>0.02127314814814815</v>
      </c>
      <c r="I1583" s="45" t="n">
        <v>183405</v>
      </c>
      <c r="J1583" s="45" t="n">
        <v>7235</v>
      </c>
      <c r="K1583" s="45" t="n">
        <v>811</v>
      </c>
      <c r="L1583" s="46" t="n"/>
      <c r="M1583" s="47" t="n"/>
      <c r="N1583" s="47" t="inlineStr">
        <is>
          <t>UCKZo4N0lVPccBkSiuyVh4yg</t>
        </is>
      </c>
      <c r="O1583" s="48" t="n">
        <v>44090.00486111111</v>
      </c>
      <c r="P1583" s="49" t="n">
        <v>44089</v>
      </c>
      <c r="Q1583" s="47" t="n">
        <v>1685</v>
      </c>
      <c r="R1583" s="47" t="inlineStr">
        <is>
          <t>No Video ID yet</t>
        </is>
      </c>
      <c r="S1583" s="49" t="n"/>
      <c r="T1583" s="49" t="n"/>
      <c r="U1583" s="47" t="inlineStr">
        <is>
          <t>Go to and use promo code jvsb10 to get 10% off any order of $200 or more! Get $5 off and zero delivery fees on your first order of $15 or more when you download the DoorDash app and enter code JVSB! Today J and Ben Face off and try to guess the exact price of various pieces of Marvel merch. Feel free to play along with us and see if you can out score us! #SuperCarlinBrothers #Marvel #JvsBen</t>
        </is>
      </c>
      <c r="V1583" s="47">
        <f>IF(AND(P1583&gt;=Calendar!$K$2,P1583&lt;EDATE(Calendar!$K$2,1),OR(Calendar!$K$4="*",N1583=Calendar!$K$4)),P1583*100+COUNTIFS($P$6:$P$3267,P1583,$Q$6:$Q$3267,"&lt;="&amp;Q1583,$N$6:$N$3267,Calendar!$K$4),"")</f>
        <v/>
      </c>
      <c r="W1583" s="47">
        <f>IF(AND(B1583=Queue!$C$4,OR(Queue!$K$4="*",N1583=Queue!$K$4)),Q1583,"")</f>
        <v/>
      </c>
    </row>
    <row r="1584">
      <c r="A1584" s="38">
        <f>IF(M1584="","",HYPERLINK("https://www.youtube.com/watch?v="&amp;M1584,"▶"))</f>
        <v/>
      </c>
      <c r="B1584" s="39">
        <f>IF(C1584&lt;&gt;"",C1584,IF(P1584&lt;=IFERROR(INDEX(tblChannels[Watched Through],MATCH(N1584,tblChannels[Channel ID],0)),0),"Watched","Unwatched"))</f>
        <v/>
      </c>
      <c r="C1584" s="40" t="n"/>
      <c r="D1584" s="41" t="n"/>
      <c r="E1584" s="42" t="n">
        <v>44084.72777777778</v>
      </c>
      <c r="F1584" s="50" t="inlineStr">
        <is>
          <t>Super Carlin Brothers</t>
        </is>
      </c>
      <c r="G1584" t="inlineStr">
        <is>
          <t>Why Does The Elder Wand Keep Losing? [Harry Potter Theory]</t>
        </is>
      </c>
      <c r="H1584" s="44" t="n">
        <v>0.01267361111111111</v>
      </c>
      <c r="I1584" s="45" t="n">
        <v>1087092</v>
      </c>
      <c r="J1584" s="45" t="n">
        <v>36549</v>
      </c>
      <c r="K1584" s="45" t="n">
        <v>4999</v>
      </c>
      <c r="L1584" s="46" t="n"/>
      <c r="M1584" s="47" t="n"/>
      <c r="N1584" s="47" t="inlineStr">
        <is>
          <t>UCKZo4N0lVPccBkSiuyVh4yg</t>
        </is>
      </c>
      <c r="O1584" s="48" t="n">
        <v>44084.89444444444</v>
      </c>
      <c r="P1584" s="49" t="n">
        <v>44084</v>
      </c>
      <c r="Q1584" s="47" t="n">
        <v>1684</v>
      </c>
      <c r="R1584" s="47" t="inlineStr">
        <is>
          <t>No Video ID yet</t>
        </is>
      </c>
      <c r="S1584" s="49" t="n"/>
      <c r="T1584" s="49" t="n"/>
      <c r="U1584" s="47" t="inlineStr">
        <is>
          <t>Get 20% off your first monthly box when you sign up at and enter the code super at checkout! Today Ben dives into the Wizarding World of Harry Potter to determine how and why the most infamous of the Deathly Hallows, the Elder Wand, keeps losing battles and changing hands if its supposed to be unbeatable!</t>
        </is>
      </c>
      <c r="V1584" s="47">
        <f>IF(AND(P1584&gt;=Calendar!$K$2,P1584&lt;EDATE(Calendar!$K$2,1),OR(Calendar!$K$4="*",N1584=Calendar!$K$4)),P1584*100+COUNTIFS($P$6:$P$3267,P1584,$Q$6:$Q$3267,"&lt;="&amp;Q1584,$N$6:$N$3267,Calendar!$K$4),"")</f>
        <v/>
      </c>
      <c r="W1584" s="47">
        <f>IF(AND(B1584=Queue!$C$4,OR(Queue!$K$4="*",N1584=Queue!$K$4)),Q1584,"")</f>
        <v/>
      </c>
    </row>
    <row r="1585">
      <c r="A1585" s="38">
        <f>IF(M1585="","",HYPERLINK("https://www.youtube.com/watch?v="&amp;M1585,"▶"))</f>
        <v/>
      </c>
      <c r="B1585" s="39">
        <f>IF(C1585&lt;&gt;"",C1585,IF(P1585&lt;=IFERROR(INDEX(tblChannels[Watched Through],MATCH(N1585,tblChannels[Channel ID],0)),0),"Watched","Unwatched"))</f>
        <v/>
      </c>
      <c r="C1585" s="40" t="n"/>
      <c r="D1585" s="41" t="n"/>
      <c r="E1585" s="42" t="n">
        <v>44082.67708333334</v>
      </c>
      <c r="F1585" s="50" t="inlineStr">
        <is>
          <t>Super Carlin Brothers</t>
        </is>
      </c>
      <c r="G1585" t="inlineStr">
        <is>
          <t>MULAN REVIEW - Is It Worth It?</t>
        </is>
      </c>
      <c r="H1585" s="44" t="n">
        <v>0.03501157407407408</v>
      </c>
      <c r="I1585" s="45" t="n">
        <v>205344</v>
      </c>
      <c r="J1585" s="45" t="n">
        <v>7880</v>
      </c>
      <c r="K1585" s="45" t="n">
        <v>2514</v>
      </c>
      <c r="L1585" s="46" t="n"/>
      <c r="M1585" s="47" t="n"/>
      <c r="N1585" s="47" t="inlineStr">
        <is>
          <t>UCKZo4N0lVPccBkSiuyVh4yg</t>
        </is>
      </c>
      <c r="O1585" s="48" t="n">
        <v>44082.84375</v>
      </c>
      <c r="P1585" s="49" t="n">
        <v>44082</v>
      </c>
      <c r="Q1585" s="47" t="n">
        <v>1683</v>
      </c>
      <c r="R1585" s="47" t="inlineStr">
        <is>
          <t>No Video ID yet</t>
        </is>
      </c>
      <c r="S1585" s="49" t="n"/>
      <c r="T1585" s="49" t="n"/>
      <c r="U1585" s="47" t="inlineStr">
        <is>
          <t>Thanks again to Vincero for sponsoring today's video! Get 15% off your order SITE WIDE with free Worldwide shipping! Today J and Ben review Disney’s live action remake of Mulan! Is it worth the premium rental on Disney Plus? Is it better than the animated version? #SuperCarlinBrothers #Mulan #Disney</t>
        </is>
      </c>
      <c r="V1585" s="47">
        <f>IF(AND(P1585&gt;=Calendar!$K$2,P1585&lt;EDATE(Calendar!$K$2,1),OR(Calendar!$K$4="*",N1585=Calendar!$K$4)),P1585*100+COUNTIFS($P$6:$P$3267,P1585,$Q$6:$Q$3267,"&lt;="&amp;Q1585,$N$6:$N$3267,Calendar!$K$4),"")</f>
        <v/>
      </c>
      <c r="W1585" s="47">
        <f>IF(AND(B1585=Queue!$C$4,OR(Queue!$K$4="*",N1585=Queue!$K$4)),Q1585,"")</f>
        <v/>
      </c>
    </row>
    <row r="1586">
      <c r="A1586" s="38">
        <f>IF(M1586="","",HYPERLINK("https://www.youtube.com/watch?v="&amp;M1586,"▶"))</f>
        <v/>
      </c>
      <c r="B1586" s="39">
        <f>IF(C1586&lt;&gt;"",C1586,IF(P1586&lt;=IFERROR(INDEX(tblChannels[Watched Through],MATCH(N1586,tblChannels[Channel ID],0)),0),"Watched","Unwatched"))</f>
        <v/>
      </c>
      <c r="C1586" s="40" t="n"/>
      <c r="D1586" s="41" t="n"/>
      <c r="E1586" s="42" t="n">
        <v>44077.84722222222</v>
      </c>
      <c r="F1586" s="50" t="inlineStr">
        <is>
          <t>Super Carlin Brothers</t>
        </is>
      </c>
      <c r="G1586" t="inlineStr">
        <is>
          <t>J vs Ben: We FAILED All These Questions - REDEMPTION Edition</t>
        </is>
      </c>
      <c r="H1586" s="44" t="n">
        <v>0.01765046296296296</v>
      </c>
      <c r="I1586" s="45" t="n">
        <v>374758</v>
      </c>
      <c r="J1586" s="45" t="n">
        <v>14372</v>
      </c>
      <c r="K1586" s="45" t="n">
        <v>1468</v>
      </c>
      <c r="L1586" s="46" t="n"/>
      <c r="M1586" s="47" t="n"/>
      <c r="N1586" s="47" t="inlineStr">
        <is>
          <t>UCKZo4N0lVPccBkSiuyVh4yg</t>
        </is>
      </c>
      <c r="O1586" s="48" t="n">
        <v>44078.01388888889</v>
      </c>
      <c r="P1586" s="49" t="n">
        <v>44077</v>
      </c>
      <c r="Q1586" s="47" t="n">
        <v>1682</v>
      </c>
      <c r="R1586" s="47" t="inlineStr">
        <is>
          <t>No Video ID yet</t>
        </is>
      </c>
      <c r="S1586" s="49" t="n"/>
      <c r="T1586" s="49" t="n"/>
      <c r="U1586" s="47" t="inlineStr">
        <is>
          <t>Head to to and find out how you can get 3 months of VPN coverage for free! Go to to get a 1-month free trial of everything you need to start your skincare journey at home! Today J and Ben face off for Ultimate Harry Potter Trivia Redemption as they tackle only questions they have missed in previous quizzes! Who has learned from their mistakes and who shall fail again?! #SuperCarlinBrothers #HarryPotter #JvsBen</t>
        </is>
      </c>
      <c r="V1586" s="47">
        <f>IF(AND(P1586&gt;=Calendar!$K$2,P1586&lt;EDATE(Calendar!$K$2,1),OR(Calendar!$K$4="*",N1586=Calendar!$K$4)),P1586*100+COUNTIFS($P$6:$P$3267,P1586,$Q$6:$Q$3267,"&lt;="&amp;Q1586,$N$6:$N$3267,Calendar!$K$4),"")</f>
        <v/>
      </c>
      <c r="W1586" s="47">
        <f>IF(AND(B1586=Queue!$C$4,OR(Queue!$K$4="*",N1586=Queue!$K$4)),Q1586,"")</f>
        <v/>
      </c>
    </row>
    <row r="1587">
      <c r="A1587" s="38">
        <f>IF(M1587="","",HYPERLINK("https://www.youtube.com/watch?v="&amp;M1587,"▶"))</f>
        <v/>
      </c>
      <c r="B1587" s="39">
        <f>IF(C1587&lt;&gt;"",C1587,IF(P1587&lt;=IFERROR(INDEX(tblChannels[Watched Through],MATCH(N1587,tblChannels[Channel ID],0)),0),"Watched","Unwatched"))</f>
        <v/>
      </c>
      <c r="C1587" s="40" t="n"/>
      <c r="D1587" s="41" t="n"/>
      <c r="E1587" s="42" t="n">
        <v>44075.89444444444</v>
      </c>
      <c r="F1587" s="50" t="inlineStr">
        <is>
          <t>Super Carlin Brothers</t>
        </is>
      </c>
      <c r="G1587" t="inlineStr">
        <is>
          <t>Elsa Is A Goddess [Frozen Theory]</t>
        </is>
      </c>
      <c r="H1587" s="44" t="n">
        <v>0.009490740740740741</v>
      </c>
      <c r="I1587" s="45" t="n">
        <v>332227</v>
      </c>
      <c r="J1587" s="45" t="n">
        <v>15626</v>
      </c>
      <c r="K1587" s="45" t="n">
        <v>1585</v>
      </c>
      <c r="L1587" s="46" t="n"/>
      <c r="M1587" s="47" t="n"/>
      <c r="N1587" s="47" t="inlineStr">
        <is>
          <t>UCKZo4N0lVPccBkSiuyVh4yg</t>
        </is>
      </c>
      <c r="O1587" s="48" t="n">
        <v>44076.06111111111</v>
      </c>
      <c r="P1587" s="49" t="n">
        <v>44075</v>
      </c>
      <c r="Q1587" s="47" t="n">
        <v>1681</v>
      </c>
      <c r="R1587" s="47" t="inlineStr">
        <is>
          <t>No Video ID yet</t>
        </is>
      </c>
      <c r="S1587" s="49" t="n"/>
      <c r="T1587" s="49" t="n"/>
      <c r="U1587" s="47" t="inlineStr">
        <is>
          <t>Head to to and find out how you can get 3 months of VPN coverage for free! Today J dives into the Disneyverse to determine if Elsa’s role as the 5th spirit makes her a true blue goddess just like Te Fiti in Moana! #SuperCarlinBrothers #Frozen #Disney</t>
        </is>
      </c>
      <c r="V1587" s="47">
        <f>IF(AND(P1587&gt;=Calendar!$K$2,P1587&lt;EDATE(Calendar!$K$2,1),OR(Calendar!$K$4="*",N1587=Calendar!$K$4)),P1587*100+COUNTIFS($P$6:$P$3267,P1587,$Q$6:$Q$3267,"&lt;="&amp;Q1587,$N$6:$N$3267,Calendar!$K$4),"")</f>
        <v/>
      </c>
      <c r="W1587" s="47">
        <f>IF(AND(B1587=Queue!$C$4,OR(Queue!$K$4="*",N1587=Queue!$K$4)),Q1587,"")</f>
        <v/>
      </c>
    </row>
    <row r="1588">
      <c r="A1588" s="38">
        <f>IF(M1588="","",HYPERLINK("https://www.youtube.com/watch?v="&amp;M1588,"▶"))</f>
        <v/>
      </c>
      <c r="B1588" s="39">
        <f>IF(C1588&lt;&gt;"",C1588,IF(P1588&lt;=IFERROR(INDEX(tblChannels[Watched Through],MATCH(N1588,tblChannels[Channel ID],0)),0),"Watched","Unwatched"))</f>
        <v/>
      </c>
      <c r="C1588" s="40" t="n"/>
      <c r="D1588" s="41" t="n"/>
      <c r="E1588" s="42" t="n">
        <v>44070.75</v>
      </c>
      <c r="F1588" s="43" t="inlineStr">
        <is>
          <t>Popcorn Culture</t>
        </is>
      </c>
      <c r="G1588" t="inlineStr">
        <is>
          <t>36 - Knives are Mini Swords</t>
        </is>
      </c>
      <c r="H1588" s="44" t="n">
        <v>0.04400462962962963</v>
      </c>
      <c r="I1588" s="45" t="n">
        <v>4075</v>
      </c>
      <c r="J1588" s="45" t="n">
        <v>199</v>
      </c>
      <c r="K1588" s="45" t="n">
        <v>47</v>
      </c>
      <c r="L1588" s="46" t="n"/>
      <c r="M1588" s="47" t="n"/>
      <c r="N1588" s="47" t="inlineStr">
        <is>
          <t>UCHfIbq9thHPC8yrKjAdJgDA</t>
        </is>
      </c>
      <c r="O1588" s="48" t="n">
        <v>44070.91666666666</v>
      </c>
      <c r="P1588" s="49" t="n">
        <v>44070</v>
      </c>
      <c r="Q1588" s="47" t="n">
        <v>1680</v>
      </c>
      <c r="R1588" s="47" t="inlineStr">
        <is>
          <t>No Video ID yet</t>
        </is>
      </c>
      <c r="S1588" s="49" t="n"/>
      <c r="T1588" s="49" t="n"/>
      <c r="U1588" s="47" t="inlineStr">
        <is>
          <t>Ben and J discuss: Wikipedia, “Donny Basketballs”, Ambitious Foods, Poetry, Magnet Fishing, General Knowledge, and whether water has a flavor. Cave Spring Wikipedia Page (please don't change it): General Knowledge Info: General Knowledge Questions List: Water Flavor: Email your Acrostic Poem at popcornculturepod@gmail.com</t>
        </is>
      </c>
      <c r="V1588" s="47">
        <f>IF(AND(P1588&gt;=Calendar!$K$2,P1588&lt;EDATE(Calendar!$K$2,1),OR(Calendar!$K$4="*",N1588=Calendar!$K$4)),P1588*100+COUNTIFS($P$6:$P$3267,P1588,$Q$6:$Q$3267,"&lt;="&amp;Q1588,$N$6:$N$3267,Calendar!$K$4),"")</f>
        <v/>
      </c>
      <c r="W1588" s="47">
        <f>IF(AND(B1588=Queue!$C$4,OR(Queue!$K$4="*",N1588=Queue!$K$4)),Q1588,"")</f>
        <v/>
      </c>
    </row>
    <row r="1589">
      <c r="A1589" s="38">
        <f>IF(M1589="","",HYPERLINK("https://www.youtube.com/watch?v="&amp;M1589,"▶"))</f>
        <v/>
      </c>
      <c r="B1589" s="39">
        <f>IF(C1589&lt;&gt;"",C1589,IF(P1589&lt;=IFERROR(INDEX(tblChannels[Watched Through],MATCH(N1589,tblChannels[Channel ID],0)),0),"Watched","Unwatched"))</f>
        <v/>
      </c>
      <c r="C1589" s="40" t="n"/>
      <c r="D1589" s="41" t="n"/>
      <c r="E1589" s="42" t="n">
        <v>44070.67916666667</v>
      </c>
      <c r="F1589" s="50" t="inlineStr">
        <is>
          <t>Super Carlin Brothers</t>
        </is>
      </c>
      <c r="G1589" t="inlineStr">
        <is>
          <t>Ginny Should Have Been In Slytherin | Harry Potter Film Theory</t>
        </is>
      </c>
      <c r="H1589" s="44" t="n">
        <v>0.009479166666666667</v>
      </c>
      <c r="I1589" s="45" t="n">
        <v>868525</v>
      </c>
      <c r="J1589" s="45" t="n">
        <v>31901</v>
      </c>
      <c r="K1589" s="45" t="n">
        <v>5516</v>
      </c>
      <c r="L1589" s="46" t="n"/>
      <c r="M1589" s="47" t="n"/>
      <c r="N1589" s="47" t="inlineStr">
        <is>
          <t>UCKZo4N0lVPccBkSiuyVh4yg</t>
        </is>
      </c>
      <c r="O1589" s="48" t="n">
        <v>44070.84583333333</v>
      </c>
      <c r="P1589" s="49" t="n">
        <v>44070</v>
      </c>
      <c r="Q1589" s="47" t="n">
        <v>1679</v>
      </c>
      <c r="R1589" s="47" t="inlineStr">
        <is>
          <t>No Video ID yet</t>
        </is>
      </c>
      <c r="S1589" s="49" t="n"/>
      <c r="T1589" s="49" t="n"/>
      <c r="U1589" s="47" t="inlineStr">
        <is>
          <t>Hurry to to find out HOW LOW your Upstart rate can be! Today Ben dives into the Wizarding World of Harry Potter to discuss why Ginny Weasley should have been sorted into Slytherin!</t>
        </is>
      </c>
      <c r="V1589" s="47">
        <f>IF(AND(P1589&gt;=Calendar!$K$2,P1589&lt;EDATE(Calendar!$K$2,1),OR(Calendar!$K$4="*",N1589=Calendar!$K$4)),P1589*100+COUNTIFS($P$6:$P$3267,P1589,$Q$6:$Q$3267,"&lt;="&amp;Q1589,$N$6:$N$3267,Calendar!$K$4),"")</f>
        <v/>
      </c>
      <c r="W1589" s="47">
        <f>IF(AND(B1589=Queue!$C$4,OR(Queue!$K$4="*",N1589=Queue!$K$4)),Q1589,"")</f>
        <v/>
      </c>
    </row>
    <row r="1590">
      <c r="A1590" s="38">
        <f>IF(M1590="","",HYPERLINK("https://www.youtube.com/watch?v="&amp;M1590,"▶"))</f>
        <v/>
      </c>
      <c r="B1590" s="39">
        <f>IF(C1590&lt;&gt;"",C1590,IF(P1590&lt;=IFERROR(INDEX(tblChannels[Watched Through],MATCH(N1590,tblChannels[Channel ID],0)),0),"Watched","Unwatched"))</f>
        <v/>
      </c>
      <c r="C1590" s="40" t="n"/>
      <c r="D1590" s="41" t="n"/>
      <c r="E1590" s="42" t="n">
        <v>44070.25</v>
      </c>
      <c r="F1590" s="43" t="inlineStr">
        <is>
          <t>Popcorn Culture</t>
        </is>
      </c>
      <c r="G1590" t="inlineStr">
        <is>
          <t>35 - Doomedt</t>
        </is>
      </c>
      <c r="H1590" s="44" t="n">
        <v>0.04206018518518519</v>
      </c>
      <c r="I1590" s="45" t="n">
        <v>3098</v>
      </c>
      <c r="J1590" s="45" t="n">
        <v>147</v>
      </c>
      <c r="K1590" s="45" t="n">
        <v>29</v>
      </c>
      <c r="L1590" s="46" t="n"/>
      <c r="M1590" s="47" t="n"/>
      <c r="N1590" s="47" t="inlineStr">
        <is>
          <t>UCHfIbq9thHPC8yrKjAdJgDA</t>
        </is>
      </c>
      <c r="O1590" s="48" t="n">
        <v>44070.41666666666</v>
      </c>
      <c r="P1590" s="49" t="n">
        <v>44070</v>
      </c>
      <c r="Q1590" s="47" t="n">
        <v>1678</v>
      </c>
      <c r="R1590" s="47" t="inlineStr">
        <is>
          <t>No Video ID yet</t>
        </is>
      </c>
      <c r="S1590" s="49" t="n"/>
      <c r="T1590" s="49" t="n"/>
      <c r="U1590" s="47" t="inlineStr">
        <is>
          <t>Ben and J discuss: Sparks Nevada, acting classes, penmanship, food challenges, convenience stores, airplane food, trying new things is scary, and dramatic hair changes. Sparks Nevada: Formal Place Settings: Don’t Try Food Challenges: Email Ben that he should change up his hair at popcornculturepod@gmail.com</t>
        </is>
      </c>
      <c r="V1590" s="47">
        <f>IF(AND(P1590&gt;=Calendar!$K$2,P1590&lt;EDATE(Calendar!$K$2,1),OR(Calendar!$K$4="*",N1590=Calendar!$K$4)),P1590*100+COUNTIFS($P$6:$P$3267,P1590,$Q$6:$Q$3267,"&lt;="&amp;Q1590,$N$6:$N$3267,Calendar!$K$4),"")</f>
        <v/>
      </c>
      <c r="W1590" s="47">
        <f>IF(AND(B1590=Queue!$C$4,OR(Queue!$K$4="*",N1590=Queue!$K$4)),Q1590,"")</f>
        <v/>
      </c>
    </row>
    <row r="1591">
      <c r="A1591" s="38">
        <f>IF(M1591="","",HYPERLINK("https://www.youtube.com/watch?v="&amp;M1591,"▶"))</f>
        <v/>
      </c>
      <c r="B1591" s="39">
        <f>IF(C1591&lt;&gt;"",C1591,IF(P1591&lt;=IFERROR(INDEX(tblChannels[Watched Through],MATCH(N1591,tblChannels[Channel ID],0)),0),"Watched","Unwatched"))</f>
        <v/>
      </c>
      <c r="C1591" s="40" t="n"/>
      <c r="D1591" s="41" t="n"/>
      <c r="E1591" s="42" t="n">
        <v>44069.75</v>
      </c>
      <c r="F1591" s="43" t="inlineStr">
        <is>
          <t>Popcorn Culture</t>
        </is>
      </c>
      <c r="G1591" t="inlineStr">
        <is>
          <t>34 - Is Milk a Dinner Beverage?</t>
        </is>
      </c>
      <c r="H1591" s="44" t="n">
        <v>0.03299768518518519</v>
      </c>
      <c r="I1591" s="45" t="n">
        <v>2865</v>
      </c>
      <c r="J1591" s="45" t="n">
        <v>153</v>
      </c>
      <c r="K1591" s="45" t="n">
        <v>37</v>
      </c>
      <c r="L1591" s="46" t="n"/>
      <c r="M1591" s="47" t="n"/>
      <c r="N1591" s="47" t="inlineStr">
        <is>
          <t>UCHfIbq9thHPC8yrKjAdJgDA</t>
        </is>
      </c>
      <c r="O1591" s="48" t="n">
        <v>44069.91666666666</v>
      </c>
      <c r="P1591" s="49" t="n">
        <v>44069</v>
      </c>
      <c r="Q1591" s="47" t="n">
        <v>1677</v>
      </c>
      <c r="R1591" s="47" t="inlineStr">
        <is>
          <t>No Video ID yet</t>
        </is>
      </c>
      <c r="S1591" s="49" t="n"/>
      <c r="T1591" s="49" t="n"/>
      <c r="U1591" s="47" t="inlineStr">
        <is>
          <t>Ben and J discuss: multivitamins, food presentation, cup usage, personal props, ice saws, bourbon, how to not spook a horse, buying a farm, and returning the birthday love. Do Cravings Have Meaning?: 10 Principles of Intuitive Eating: Milk and Wine: Get Your Own Fred Cup: Ben made clear ice:</t>
        </is>
      </c>
      <c r="V1591" s="47">
        <f>IF(AND(P1591&gt;=Calendar!$K$2,P1591&lt;EDATE(Calendar!$K$2,1),OR(Calendar!$K$4="*",N1591=Calendar!$K$4)),P1591*100+COUNTIFS($P$6:$P$3267,P1591,$Q$6:$Q$3267,"&lt;="&amp;Q1591,$N$6:$N$3267,Calendar!$K$4),"")</f>
        <v/>
      </c>
      <c r="W1591" s="47">
        <f>IF(AND(B1591=Queue!$C$4,OR(Queue!$K$4="*",N1591=Queue!$K$4)),Q1591,"")</f>
        <v/>
      </c>
    </row>
    <row r="1592">
      <c r="A1592" s="38">
        <f>IF(M1592="","",HYPERLINK("https://www.youtube.com/watch?v="&amp;M1592,"▶"))</f>
        <v/>
      </c>
      <c r="B1592" s="39">
        <f>IF(C1592&lt;&gt;"",C1592,IF(P1592&lt;=IFERROR(INDEX(tblChannels[Watched Through],MATCH(N1592,tblChannels[Channel ID],0)),0),"Watched","Unwatched"))</f>
        <v/>
      </c>
      <c r="C1592" s="40" t="n"/>
      <c r="D1592" s="41" t="n"/>
      <c r="E1592" s="42" t="n">
        <v>44069.25</v>
      </c>
      <c r="F1592" s="43" t="inlineStr">
        <is>
          <t>Popcorn Culture</t>
        </is>
      </c>
      <c r="G1592" t="inlineStr">
        <is>
          <t>33 - Is a Cup a Hole?</t>
        </is>
      </c>
      <c r="H1592" s="44" t="n">
        <v>0.04420138888888889</v>
      </c>
      <c r="I1592" s="45" t="n">
        <v>3146</v>
      </c>
      <c r="J1592" s="45" t="n">
        <v>163</v>
      </c>
      <c r="K1592" s="45" t="n">
        <v>34</v>
      </c>
      <c r="L1592" s="46" t="n"/>
      <c r="M1592" s="47" t="n"/>
      <c r="N1592" s="47" t="inlineStr">
        <is>
          <t>UCHfIbq9thHPC8yrKjAdJgDA</t>
        </is>
      </c>
      <c r="O1592" s="48" t="n">
        <v>44069.41666666666</v>
      </c>
      <c r="P1592" s="49" t="n">
        <v>44069</v>
      </c>
      <c r="Q1592" s="47" t="n">
        <v>1676</v>
      </c>
      <c r="R1592" s="47" t="inlineStr">
        <is>
          <t>No Video ID yet</t>
        </is>
      </c>
      <c r="S1592" s="49" t="n"/>
      <c r="T1592" s="49" t="n"/>
      <c r="U1592" s="47" t="inlineStr">
        <is>
          <t>Ben and J discuss: the dog doo chronicles, making chores fun, teachable moments, forts, regional words, kid logic, simplified life, thing that get better with age, and sticker stress. Foam Washer on Ben’s Car: Regional Words Map: How Common is Your Name?:</t>
        </is>
      </c>
      <c r="V1592" s="47">
        <f>IF(AND(P1592&gt;=Calendar!$K$2,P1592&lt;EDATE(Calendar!$K$2,1),OR(Calendar!$K$4="*",N1592=Calendar!$K$4)),P1592*100+COUNTIFS($P$6:$P$3267,P1592,$Q$6:$Q$3267,"&lt;="&amp;Q1592,$N$6:$N$3267,Calendar!$K$4),"")</f>
        <v/>
      </c>
      <c r="W1592" s="47">
        <f>IF(AND(B1592=Queue!$C$4,OR(Queue!$K$4="*",N1592=Queue!$K$4)),Q1592,"")</f>
        <v/>
      </c>
    </row>
    <row r="1593">
      <c r="A1593" s="38">
        <f>IF(M1593="","",HYPERLINK("https://www.youtube.com/watch?v="&amp;M1593,"▶"))</f>
        <v/>
      </c>
      <c r="B1593" s="39">
        <f>IF(C1593&lt;&gt;"",C1593,IF(P1593&lt;=IFERROR(INDEX(tblChannels[Watched Through],MATCH(N1593,tblChannels[Channel ID],0)),0),"Watched","Unwatched"))</f>
        <v/>
      </c>
      <c r="C1593" s="40" t="n"/>
      <c r="D1593" s="41" t="n"/>
      <c r="E1593" s="42" t="n">
        <v>44068.75</v>
      </c>
      <c r="F1593" s="43" t="inlineStr">
        <is>
          <t>Popcorn Culture</t>
        </is>
      </c>
      <c r="G1593" t="inlineStr">
        <is>
          <t>32 - Bread is my new love language</t>
        </is>
      </c>
      <c r="H1593" s="44" t="n">
        <v>0.04038194444444444</v>
      </c>
      <c r="I1593" s="45" t="n">
        <v>3317</v>
      </c>
      <c r="J1593" s="45" t="n">
        <v>168</v>
      </c>
      <c r="K1593" s="45" t="n">
        <v>32</v>
      </c>
      <c r="L1593" s="46" t="n"/>
      <c r="M1593" s="47" t="n"/>
      <c r="N1593" s="47" t="inlineStr">
        <is>
          <t>UCHfIbq9thHPC8yrKjAdJgDA</t>
        </is>
      </c>
      <c r="O1593" s="48" t="n">
        <v>44068.91666666666</v>
      </c>
      <c r="P1593" s="49" t="n">
        <v>44068</v>
      </c>
      <c r="Q1593" s="47" t="n">
        <v>1675</v>
      </c>
      <c r="R1593" s="47" t="inlineStr">
        <is>
          <t>No Video ID yet</t>
        </is>
      </c>
      <c r="S1593" s="49" t="n"/>
      <c r="T1593" s="49" t="n"/>
      <c r="U1593" s="47" t="inlineStr">
        <is>
          <t>Ben and J discuss: spoonerisms, donuts, unprecedented agreement, carb-based joy, sequencing, deadlines, morning routines, ownership of your own interests, and mascots. Spoonerisms: Multitasking vs sequencing: Washington renaming: Team name popularity:</t>
        </is>
      </c>
      <c r="V1593" s="47">
        <f>IF(AND(P1593&gt;=Calendar!$K$2,P1593&lt;EDATE(Calendar!$K$2,1),OR(Calendar!$K$4="*",N1593=Calendar!$K$4)),P1593*100+COUNTIFS($P$6:$P$3267,P1593,$Q$6:$Q$3267,"&lt;="&amp;Q1593,$N$6:$N$3267,Calendar!$K$4),"")</f>
        <v/>
      </c>
      <c r="W1593" s="47">
        <f>IF(AND(B1593=Queue!$C$4,OR(Queue!$K$4="*",N1593=Queue!$K$4)),Q1593,"")</f>
        <v/>
      </c>
    </row>
    <row r="1594">
      <c r="A1594" s="38">
        <f>IF(M1594="","",HYPERLINK("https://www.youtube.com/watch?v="&amp;M1594,"▶"))</f>
        <v/>
      </c>
      <c r="B1594" s="39">
        <f>IF(C1594&lt;&gt;"",C1594,IF(P1594&lt;=IFERROR(INDEX(tblChannels[Watched Through],MATCH(N1594,tblChannels[Channel ID],0)),0),"Watched","Unwatched"))</f>
        <v/>
      </c>
      <c r="C1594" s="40" t="n"/>
      <c r="D1594" s="41" t="n"/>
      <c r="E1594" s="42" t="n">
        <v>44068.66180555556</v>
      </c>
      <c r="F1594" s="50" t="inlineStr">
        <is>
          <t>Super Carlin Brothers</t>
        </is>
      </c>
      <c r="G1594" t="inlineStr">
        <is>
          <t>How FAST Is Elsa's Horse? [Frozen Theory]</t>
        </is>
      </c>
      <c r="H1594" s="44" t="n">
        <v>0.007673611111111111</v>
      </c>
      <c r="I1594" s="45" t="n">
        <v>161347</v>
      </c>
      <c r="J1594" s="45" t="n">
        <v>8922</v>
      </c>
      <c r="K1594" s="45" t="n">
        <v>1021</v>
      </c>
      <c r="L1594" s="46" t="n"/>
      <c r="M1594" s="47" t="n"/>
      <c r="N1594" s="47" t="inlineStr">
        <is>
          <t>UCKZo4N0lVPccBkSiuyVh4yg</t>
        </is>
      </c>
      <c r="O1594" s="48" t="n">
        <v>44068.82847222222</v>
      </c>
      <c r="P1594" s="49" t="n">
        <v>44068</v>
      </c>
      <c r="Q1594" s="47" t="n">
        <v>1674</v>
      </c>
      <c r="R1594" s="47" t="inlineStr">
        <is>
          <t>No Video ID yet</t>
        </is>
      </c>
      <c r="S1594" s="49" t="n"/>
      <c r="T1594" s="49" t="n"/>
      <c r="U1594" s="47" t="inlineStr">
        <is>
          <t>Go to and use code SCB to get $75 off! Today J dives into the world of Disney's Frozen 2 to find out the true speed of Elsa's horse and if it can move faster than the speed of sound!</t>
        </is>
      </c>
      <c r="V1594" s="47">
        <f>IF(AND(P1594&gt;=Calendar!$K$2,P1594&lt;EDATE(Calendar!$K$2,1),OR(Calendar!$K$4="*",N1594=Calendar!$K$4)),P1594*100+COUNTIFS($P$6:$P$3267,P1594,$Q$6:$Q$3267,"&lt;="&amp;Q1594,$N$6:$N$3267,Calendar!$K$4),"")</f>
        <v/>
      </c>
      <c r="W1594" s="47">
        <f>IF(AND(B1594=Queue!$C$4,OR(Queue!$K$4="*",N1594=Queue!$K$4)),Q1594,"")</f>
        <v/>
      </c>
    </row>
    <row r="1595">
      <c r="A1595" s="38">
        <f>IF(M1595="","",HYPERLINK("https://www.youtube.com/watch?v="&amp;M1595,"▶"))</f>
        <v/>
      </c>
      <c r="B1595" s="39">
        <f>IF(C1595&lt;&gt;"",C1595,IF(P1595&lt;=IFERROR(INDEX(tblChannels[Watched Through],MATCH(N1595,tblChannels[Channel ID],0)),0),"Watched","Unwatched"))</f>
        <v/>
      </c>
      <c r="C1595" s="40" t="n"/>
      <c r="D1595" s="41" t="n"/>
      <c r="E1595" s="42" t="n">
        <v>44064.75</v>
      </c>
      <c r="F1595" s="43" t="inlineStr">
        <is>
          <t>Popcorn Culture</t>
        </is>
      </c>
      <c r="G1595" t="inlineStr">
        <is>
          <t>31 - We Could Own a Castle</t>
        </is>
      </c>
      <c r="H1595" s="44" t="n">
        <v>0.0433912037037037</v>
      </c>
      <c r="I1595" s="45" t="n">
        <v>3188</v>
      </c>
      <c r="J1595" s="45" t="n">
        <v>173</v>
      </c>
      <c r="K1595" s="45" t="n">
        <v>61</v>
      </c>
      <c r="L1595" s="46" t="n"/>
      <c r="M1595" s="47" t="n"/>
      <c r="N1595" s="47" t="inlineStr">
        <is>
          <t>UCHfIbq9thHPC8yrKjAdJgDA</t>
        </is>
      </c>
      <c r="O1595" s="48" t="n">
        <v>44064.91666666666</v>
      </c>
      <c r="P1595" s="49" t="n">
        <v>44064</v>
      </c>
      <c r="Q1595" s="47" t="n">
        <v>1673</v>
      </c>
      <c r="R1595" s="47" t="inlineStr">
        <is>
          <t>No Video ID yet</t>
        </is>
      </c>
      <c r="S1595" s="49" t="n"/>
      <c r="T1595" s="49" t="n"/>
      <c r="U1595" s="47" t="inlineStr">
        <is>
          <t>Ben and J discuss: banana peels, lawn care, Karen encounters, dealing with negative encounters with positive conversation, trying to have a good relationship with your neighbors, castles, and horse names. Banana Peel History: Please Pick Up Your Dog’s Poop: Could we own a castle?:</t>
        </is>
      </c>
      <c r="V1595" s="47">
        <f>IF(AND(P1595&gt;=Calendar!$K$2,P1595&lt;EDATE(Calendar!$K$2,1),OR(Calendar!$K$4="*",N1595=Calendar!$K$4)),P1595*100+COUNTIFS($P$6:$P$3267,P1595,$Q$6:$Q$3267,"&lt;="&amp;Q1595,$N$6:$N$3267,Calendar!$K$4),"")</f>
        <v/>
      </c>
      <c r="W1595" s="47">
        <f>IF(AND(B1595=Queue!$C$4,OR(Queue!$K$4="*",N1595=Queue!$K$4)),Q1595,"")</f>
        <v/>
      </c>
    </row>
    <row r="1596">
      <c r="A1596" s="38">
        <f>IF(M1596="","",HYPERLINK("https://www.youtube.com/watch?v="&amp;M1596,"▶"))</f>
        <v/>
      </c>
      <c r="B1596" s="39">
        <f>IF(C1596&lt;&gt;"",C1596,IF(P1596&lt;=IFERROR(INDEX(tblChannels[Watched Through],MATCH(N1596,tblChannels[Channel ID],0)),0),"Watched","Unwatched"))</f>
        <v/>
      </c>
      <c r="C1596" s="40" t="n"/>
      <c r="D1596" s="41" t="n"/>
      <c r="E1596" s="42" t="n">
        <v>44063.79375</v>
      </c>
      <c r="F1596" s="50" t="inlineStr">
        <is>
          <t>Super Carlin Brothers</t>
        </is>
      </c>
      <c r="G1596" t="inlineStr">
        <is>
          <t>The TRUTH About The Dam In Frozen 2</t>
        </is>
      </c>
      <c r="H1596" s="44" t="n">
        <v>0.008611111111111111</v>
      </c>
      <c r="I1596" s="45" t="n">
        <v>302849</v>
      </c>
      <c r="J1596" s="45" t="n">
        <v>13358</v>
      </c>
      <c r="K1596" s="45" t="n">
        <v>977</v>
      </c>
      <c r="L1596" s="46" t="n"/>
      <c r="M1596" s="47" t="n"/>
      <c r="N1596" s="47" t="inlineStr">
        <is>
          <t>UCKZo4N0lVPccBkSiuyVh4yg</t>
        </is>
      </c>
      <c r="O1596" s="48" t="n">
        <v>44063.96041666667</v>
      </c>
      <c r="P1596" s="49" t="n">
        <v>44063</v>
      </c>
      <c r="Q1596" s="47" t="n">
        <v>1672</v>
      </c>
      <c r="R1596" s="47" t="inlineStr">
        <is>
          <t>No Video ID yet</t>
        </is>
      </c>
      <c r="S1596" s="49" t="n"/>
      <c r="T1596" s="49" t="n"/>
      <c r="U1596" s="47" t="inlineStr">
        <is>
          <t>Hurry to to find out HOW LOW your Upstart rate can be! Today J dives into the world of Disney’s Frozen to discuss the Alta Dam Controversy and how it inspired the events of Frozen 2! Sources: Nonviolent Action Database:: Alta Controversey: Finnmark Act: #SuperCarlinBrothers #Disney #Frozen</t>
        </is>
      </c>
      <c r="V1596" s="47">
        <f>IF(AND(P1596&gt;=Calendar!$K$2,P1596&lt;EDATE(Calendar!$K$2,1),OR(Calendar!$K$4="*",N1596=Calendar!$K$4)),P1596*100+COUNTIFS($P$6:$P$3267,P1596,$Q$6:$Q$3267,"&lt;="&amp;Q1596,$N$6:$N$3267,Calendar!$K$4),"")</f>
        <v/>
      </c>
      <c r="W1596" s="47">
        <f>IF(AND(B1596=Queue!$C$4,OR(Queue!$K$4="*",N1596=Queue!$K$4)),Q1596,"")</f>
        <v/>
      </c>
    </row>
    <row r="1597">
      <c r="A1597" s="38">
        <f>IF(M1597="","",HYPERLINK("https://www.youtube.com/watch?v="&amp;M1597,"▶"))</f>
        <v/>
      </c>
      <c r="B1597" s="39">
        <f>IF(C1597&lt;&gt;"",C1597,IF(P1597&lt;=IFERROR(INDEX(tblChannels[Watched Through],MATCH(N1597,tblChannels[Channel ID],0)),0),"Watched","Unwatched"))</f>
        <v/>
      </c>
      <c r="C1597" s="40" t="n"/>
      <c r="D1597" s="41" t="n"/>
      <c r="E1597" s="42" t="n">
        <v>44061.82361111111</v>
      </c>
      <c r="F1597" s="50" t="inlineStr">
        <is>
          <t>Super Carlin Brothers</t>
        </is>
      </c>
      <c r="G1597" t="inlineStr">
        <is>
          <t>J vs Ben: ULTIMATE Marvel Cinematic Universe TRIVIA Quiz</t>
        </is>
      </c>
      <c r="H1597" s="44" t="n">
        <v>0.0153587962962963</v>
      </c>
      <c r="I1597" s="45" t="n">
        <v>234557</v>
      </c>
      <c r="J1597" s="45" t="n">
        <v>10370</v>
      </c>
      <c r="K1597" s="45" t="n">
        <v>1209</v>
      </c>
      <c r="L1597" s="46" t="n"/>
      <c r="M1597" s="47" t="n"/>
      <c r="N1597" s="47" t="inlineStr">
        <is>
          <t>UCKZo4N0lVPccBkSiuyVh4yg</t>
        </is>
      </c>
      <c r="O1597" s="48" t="n">
        <v>44061.99027777778</v>
      </c>
      <c r="P1597" s="49" t="n">
        <v>44061</v>
      </c>
      <c r="Q1597" s="47" t="n">
        <v>1671</v>
      </c>
      <c r="R1597" s="47" t="inlineStr">
        <is>
          <t>No Video ID yet</t>
        </is>
      </c>
      <c r="S1597" s="49" t="n"/>
      <c r="T1597" s="49" t="n"/>
      <c r="U1597" s="47" t="inlineStr">
        <is>
          <t>Get $5 off and 0 delivery fees on your 1st order of $15 or more when you download the DoorDash app and enter code JVSB! Go to for 10% off! Today J and Ben are facing off in the ULTIMATE Marvel Cinematic Universe Trivia quiz to see who knows more about our favorite superheroes…. Again! #SuperCarlinBrothers #marvel #JvsBen</t>
        </is>
      </c>
      <c r="V1597" s="47">
        <f>IF(AND(P1597&gt;=Calendar!$K$2,P1597&lt;EDATE(Calendar!$K$2,1),OR(Calendar!$K$4="*",N1597=Calendar!$K$4)),P1597*100+COUNTIFS($P$6:$P$3267,P1597,$Q$6:$Q$3267,"&lt;="&amp;Q1597,$N$6:$N$3267,Calendar!$K$4),"")</f>
        <v/>
      </c>
      <c r="W1597" s="47">
        <f>IF(AND(B1597=Queue!$C$4,OR(Queue!$K$4="*",N1597=Queue!$K$4)),Q1597,"")</f>
        <v/>
      </c>
    </row>
    <row r="1598">
      <c r="A1598" s="38">
        <f>IF(M1598="","",HYPERLINK("https://www.youtube.com/watch?v="&amp;M1598,"▶"))</f>
        <v/>
      </c>
      <c r="B1598" s="39">
        <f>IF(C1598&lt;&gt;"",C1598,IF(P1598&lt;=IFERROR(INDEX(tblChannels[Watched Through],MATCH(N1598,tblChannels[Channel ID],0)),0),"Watched","Unwatched"))</f>
        <v/>
      </c>
      <c r="C1598" s="40" t="n"/>
      <c r="D1598" s="41" t="n"/>
      <c r="E1598" s="42" t="n">
        <v>44057.86527777778</v>
      </c>
      <c r="F1598" s="50" t="inlineStr">
        <is>
          <t>Super Carlin Brothers</t>
        </is>
      </c>
      <c r="G1598" t="inlineStr">
        <is>
          <t>ALL FANDOMS Trivia Night LIVE STREAM!</t>
        </is>
      </c>
      <c r="H1598" s="44" t="n">
        <v>0.105162037037037</v>
      </c>
      <c r="I1598" s="45" t="n">
        <v>146436</v>
      </c>
      <c r="J1598" s="45" t="n">
        <v>2715</v>
      </c>
      <c r="K1598" s="45" t="n">
        <v>215</v>
      </c>
      <c r="L1598" s="46" t="n"/>
      <c r="M1598" s="47" t="n"/>
      <c r="N1598" s="47" t="inlineStr">
        <is>
          <t>UCKZo4N0lVPccBkSiuyVh4yg</t>
        </is>
      </c>
      <c r="O1598" s="48" t="n">
        <v>44058.03194444445</v>
      </c>
      <c r="P1598" s="49" t="n">
        <v>44057</v>
      </c>
      <c r="Q1598" s="47" t="n">
        <v>1670</v>
      </c>
      <c r="R1598" s="47" t="inlineStr">
        <is>
          <t>No Video ID yet</t>
        </is>
      </c>
      <c r="S1598" s="49" t="n"/>
      <c r="T1598" s="49" t="n"/>
      <c r="U1598" s="47" t="inlineStr">
        <is>
          <t>DO YOU HAVE WHAT IT TAKES TO BECOME THE CHAMPION OF ALL SIX FANDOMS?! - Tonight we test your knowledge of Disney, Pixar, Marvel, Star Wars, Harry Potter and Avatar: The Last Airbender! Winners email: secretcarlinbrothers@gmail.com with a screenshot of your winning score!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t>
        </is>
      </c>
      <c r="V1598" s="47">
        <f>IF(AND(P1598&gt;=Calendar!$K$2,P1598&lt;EDATE(Calendar!$K$2,1),OR(Calendar!$K$4="*",N1598=Calendar!$K$4)),P1598*100+COUNTIFS($P$6:$P$3267,P1598,$Q$6:$Q$3267,"&lt;="&amp;Q1598,$N$6:$N$3267,Calendar!$K$4),"")</f>
        <v/>
      </c>
      <c r="W1598" s="47">
        <f>IF(AND(B1598=Queue!$C$4,OR(Queue!$K$4="*",N1598=Queue!$K$4)),Q1598,"")</f>
        <v/>
      </c>
    </row>
    <row r="1599">
      <c r="A1599" s="38">
        <f>IF(M1599="","",HYPERLINK("https://www.youtube.com/watch?v="&amp;M1599,"▶"))</f>
        <v/>
      </c>
      <c r="B1599" s="39">
        <f>IF(C1599&lt;&gt;"",C1599,IF(P1599&lt;=IFERROR(INDEX(tblChannels[Watched Through],MATCH(N1599,tblChannels[Channel ID],0)),0),"Watched","Unwatched"))</f>
        <v/>
      </c>
      <c r="C1599" s="40" t="n"/>
      <c r="D1599" s="41" t="n"/>
      <c r="E1599" s="42" t="n">
        <v>44056.66527777778</v>
      </c>
      <c r="F1599" s="50" t="inlineStr">
        <is>
          <t>Super Carlin Brothers</t>
        </is>
      </c>
      <c r="G1599" t="inlineStr">
        <is>
          <t>Frozen Theory: The Trolls Are The Real Villains</t>
        </is>
      </c>
      <c r="H1599" s="44" t="n">
        <v>0.01128472222222222</v>
      </c>
      <c r="I1599" s="45" t="n">
        <v>411516</v>
      </c>
      <c r="J1599" s="45" t="n">
        <v>17601</v>
      </c>
      <c r="K1599" s="45" t="n">
        <v>1911</v>
      </c>
      <c r="L1599" s="46" t="n"/>
      <c r="M1599" s="47" t="n"/>
      <c r="N1599" s="47" t="inlineStr">
        <is>
          <t>UCKZo4N0lVPccBkSiuyVh4yg</t>
        </is>
      </c>
      <c r="O1599" s="48" t="n">
        <v>44056.83194444444</v>
      </c>
      <c r="P1599" s="49" t="n">
        <v>44056</v>
      </c>
      <c r="Q1599" s="47" t="n">
        <v>1669</v>
      </c>
      <c r="R1599" s="47" t="inlineStr">
        <is>
          <t>No Video ID yet</t>
        </is>
      </c>
      <c r="S1599" s="49" t="n"/>
      <c r="T1599" s="49" t="n"/>
      <c r="U1599" s="47" t="inlineStr">
        <is>
          <t>Get 20% off your first monthly box when you sign up at and enter the code super at checkout! Today Ben dives into the world of Frozen to discuss how the trolls are the real villains and how Hans's plan makes no sense! #SuperCarlinBrothers #Frozen #Disney</t>
        </is>
      </c>
      <c r="V1599" s="47">
        <f>IF(AND(P1599&gt;=Calendar!$K$2,P1599&lt;EDATE(Calendar!$K$2,1),OR(Calendar!$K$4="*",N1599=Calendar!$K$4)),P1599*100+COUNTIFS($P$6:$P$3267,P1599,$Q$6:$Q$3267,"&lt;="&amp;Q1599,$N$6:$N$3267,Calendar!$K$4),"")</f>
        <v/>
      </c>
      <c r="W1599" s="47">
        <f>IF(AND(B1599=Queue!$C$4,OR(Queue!$K$4="*",N1599=Queue!$K$4)),Q1599,"")</f>
        <v/>
      </c>
    </row>
    <row r="1600">
      <c r="A1600" s="38">
        <f>IF(M1600="","",HYPERLINK("https://www.youtube.com/watch?v="&amp;M1600,"▶"))</f>
        <v/>
      </c>
      <c r="B1600" s="39">
        <f>IF(C1600&lt;&gt;"",C1600,IF(P1600&lt;=IFERROR(INDEX(tblChannels[Watched Through],MATCH(N1600,tblChannels[Channel ID],0)),0),"Watched","Unwatched"))</f>
        <v/>
      </c>
      <c r="C1600" s="40" t="n"/>
      <c r="D1600" s="41" t="n"/>
      <c r="E1600" s="42" t="n">
        <v>44054.51944444444</v>
      </c>
      <c r="F1600" s="50" t="inlineStr">
        <is>
          <t>Super Carlin Brothers</t>
        </is>
      </c>
      <c r="G1600" t="inlineStr">
        <is>
          <t>Natasha is ALIVE [Marvel Theory]</t>
        </is>
      </c>
      <c r="H1600" s="44" t="n">
        <v>0.01222222222222222</v>
      </c>
      <c r="I1600" s="45" t="n">
        <v>305381</v>
      </c>
      <c r="J1600" s="45" t="n">
        <v>15094</v>
      </c>
      <c r="K1600" s="45" t="n">
        <v>2257</v>
      </c>
      <c r="L1600" s="46" t="n"/>
      <c r="M1600" s="47" t="n"/>
      <c r="N1600" s="47" t="inlineStr">
        <is>
          <t>UCKZo4N0lVPccBkSiuyVh4yg</t>
        </is>
      </c>
      <c r="O1600" s="48" t="n">
        <v>44054.68611111111</v>
      </c>
      <c r="P1600" s="49" t="n">
        <v>44054</v>
      </c>
      <c r="Q1600" s="47" t="n">
        <v>1668</v>
      </c>
      <c r="R1600" s="47" t="inlineStr">
        <is>
          <t>No Video ID yet</t>
        </is>
      </c>
      <c r="S1600" s="49" t="n"/>
      <c r="T1600" s="49" t="n"/>
      <c r="U1600" s="47" t="inlineStr">
        <is>
          <t>Go to for 30% off! Today J dives in to the Marvel Cinematic Universe to discuss the fate of Natasha Romanov aka Black Widow. She heroically sacrificed herself in Endgame to save the universe.. But is it possible she is still alive?? Theory submitted by Brad Hart #SuperCarlinBrothers #marvel #BlackWidow</t>
        </is>
      </c>
      <c r="V1600" s="47">
        <f>IF(AND(P1600&gt;=Calendar!$K$2,P1600&lt;EDATE(Calendar!$K$2,1),OR(Calendar!$K$4="*",N1600=Calendar!$K$4)),P1600*100+COUNTIFS($P$6:$P$3267,P1600,$Q$6:$Q$3267,"&lt;="&amp;Q1600,$N$6:$N$3267,Calendar!$K$4),"")</f>
        <v/>
      </c>
      <c r="W1600" s="47">
        <f>IF(AND(B1600=Queue!$C$4,OR(Queue!$K$4="*",N1600=Queue!$K$4)),Q1600,"")</f>
        <v/>
      </c>
    </row>
    <row r="1601">
      <c r="A1601" s="38">
        <f>IF(M1601="","",HYPERLINK("https://www.youtube.com/watch?v="&amp;M1601,"▶"))</f>
        <v/>
      </c>
      <c r="B1601" s="39">
        <f>IF(C1601&lt;&gt;"",C1601,IF(P1601&lt;=IFERROR(INDEX(tblChannels[Watched Through],MATCH(N1601,tblChannels[Channel ID],0)),0),"Watched","Unwatched"))</f>
        <v/>
      </c>
      <c r="C1601" s="40" t="n"/>
      <c r="D1601" s="41" t="n"/>
      <c r="E1601" s="42" t="n">
        <v>44049.6875</v>
      </c>
      <c r="F1601" s="50" t="inlineStr">
        <is>
          <t>Super Carlin Brothers</t>
        </is>
      </c>
      <c r="G1601" t="inlineStr">
        <is>
          <t>J vs Ben: HARDEST Harry Potter Trivia Quiz EVER [Quiz Master Edition]</t>
        </is>
      </c>
      <c r="H1601" s="44" t="n">
        <v>0.0156712962962963</v>
      </c>
      <c r="I1601" s="45" t="n">
        <v>384376</v>
      </c>
      <c r="J1601" s="45" t="n">
        <v>12852</v>
      </c>
      <c r="K1601" s="45" t="n">
        <v>1098</v>
      </c>
      <c r="L1601" s="46" t="n"/>
      <c r="M1601" s="47" t="n"/>
      <c r="N1601" s="47" t="inlineStr">
        <is>
          <t>UCKZo4N0lVPccBkSiuyVh4yg</t>
        </is>
      </c>
      <c r="O1601" s="48" t="n">
        <v>44049.85416666666</v>
      </c>
      <c r="P1601" s="49" t="n">
        <v>44049</v>
      </c>
      <c r="Q1601" s="47" t="n">
        <v>1667</v>
      </c>
      <c r="R1601" s="47" t="inlineStr">
        <is>
          <t>No Video ID yet</t>
        </is>
      </c>
      <c r="S1601" s="49" t="n"/>
      <c r="T1601" s="49" t="n"/>
      <c r="U1601" s="47" t="inlineStr">
        <is>
          <t>Go to to get a 1-month free trial of everything you need to start your skincare journey at home! Today J and Ben face off once more to find out who knows the most about the Wizarding World of Harry Potter by answering questions submitted by our Quiz Masters</t>
        </is>
      </c>
      <c r="V1601" s="47">
        <f>IF(AND(P1601&gt;=Calendar!$K$2,P1601&lt;EDATE(Calendar!$K$2,1),OR(Calendar!$K$4="*",N1601=Calendar!$K$4)),P1601*100+COUNTIFS($P$6:$P$3267,P1601,$Q$6:$Q$3267,"&lt;="&amp;Q1601,$N$6:$N$3267,Calendar!$K$4),"")</f>
        <v/>
      </c>
      <c r="W1601" s="47">
        <f>IF(AND(B1601=Queue!$C$4,OR(Queue!$K$4="*",N1601=Queue!$K$4)),Q1601,"")</f>
        <v/>
      </c>
    </row>
    <row r="1602">
      <c r="A1602" s="38">
        <f>IF(M1602="","",HYPERLINK("https://www.youtube.com/watch?v="&amp;M1602,"▶"))</f>
        <v/>
      </c>
      <c r="B1602" s="39">
        <f>IF(C1602&lt;&gt;"",C1602,IF(P1602&lt;=IFERROR(INDEX(tblChannels[Watched Through],MATCH(N1602,tblChannels[Channel ID],0)),0),"Watched","Unwatched"))</f>
        <v/>
      </c>
      <c r="C1602" s="40" t="n"/>
      <c r="D1602" s="41" t="n"/>
      <c r="E1602" s="42" t="n">
        <v>44047.66458333333</v>
      </c>
      <c r="F1602" s="50" t="inlineStr">
        <is>
          <t>Super Carlin Brothers</t>
        </is>
      </c>
      <c r="G1602" t="inlineStr">
        <is>
          <t>Who Are The TRUE Original Benders? [Avatar: The Last Airbender Theory]</t>
        </is>
      </c>
      <c r="H1602" s="44" t="n">
        <v>0.009583333333333333</v>
      </c>
      <c r="I1602" s="45" t="n">
        <v>350060</v>
      </c>
      <c r="J1602" s="45" t="n">
        <v>16378</v>
      </c>
      <c r="K1602" s="45" t="n">
        <v>2002</v>
      </c>
      <c r="L1602" s="46" t="n"/>
      <c r="M1602" s="47" t="n"/>
      <c r="N1602" s="47" t="inlineStr">
        <is>
          <t>UCKZo4N0lVPccBkSiuyVh4yg</t>
        </is>
      </c>
      <c r="O1602" s="48" t="n">
        <v>44047.83125</v>
      </c>
      <c r="P1602" s="49" t="n">
        <v>44047</v>
      </c>
      <c r="Q1602" s="47" t="n">
        <v>1666</v>
      </c>
      <c r="R1602" s="47" t="inlineStr">
        <is>
          <t>No Video ID yet</t>
        </is>
      </c>
      <c r="S1602" s="49" t="n"/>
      <c r="T1602" s="49" t="n"/>
      <c r="U1602" s="47" t="inlineStr">
        <is>
          <t>Go to for 10% off! Today J dives off a Sky Bison and into the world of Avatar the Last Airbender to discuss the identity of the ORIGINAL BENDERS! Is it the Lion Turtles, the Badger Moles? The MOON? What about Oma and Shu?! #SuperCarlinBrothers #atla #avatarthelastairbender</t>
        </is>
      </c>
      <c r="V1602" s="47">
        <f>IF(AND(P1602&gt;=Calendar!$K$2,P1602&lt;EDATE(Calendar!$K$2,1),OR(Calendar!$K$4="*",N1602=Calendar!$K$4)),P1602*100+COUNTIFS($P$6:$P$3267,P1602,$Q$6:$Q$3267,"&lt;="&amp;Q1602,$N$6:$N$3267,Calendar!$K$4),"")</f>
        <v/>
      </c>
      <c r="W1602" s="47">
        <f>IF(AND(B1602=Queue!$C$4,OR(Queue!$K$4="*",N1602=Queue!$K$4)),Q1602,"")</f>
        <v/>
      </c>
    </row>
    <row r="1603">
      <c r="A1603" s="38">
        <f>IF(M1603="","",HYPERLINK("https://www.youtube.com/watch?v="&amp;M1603,"▶"))</f>
        <v/>
      </c>
      <c r="B1603" s="39">
        <f>IF(C1603&lt;&gt;"",C1603,IF(P1603&lt;=IFERROR(INDEX(tblChannels[Watched Through],MATCH(N1603,tblChannels[Channel ID],0)),0),"Watched","Unwatched"))</f>
        <v/>
      </c>
      <c r="C1603" s="40" t="n"/>
      <c r="D1603" s="41" t="n"/>
      <c r="E1603" s="42" t="n">
        <v>44042.68194444444</v>
      </c>
      <c r="F1603" s="50" t="inlineStr">
        <is>
          <t>Super Carlin Brothers</t>
        </is>
      </c>
      <c r="G1603" t="inlineStr">
        <is>
          <t>Newt’s Kelpie Is The Key To Victory [Fantastic Beast Theory]</t>
        </is>
      </c>
      <c r="H1603" s="44" t="n">
        <v>0.01259259259259259</v>
      </c>
      <c r="I1603" s="45" t="n">
        <v>296828</v>
      </c>
      <c r="J1603" s="45" t="n">
        <v>17141</v>
      </c>
      <c r="K1603" s="45" t="n">
        <v>2520</v>
      </c>
      <c r="L1603" s="46" t="n"/>
      <c r="M1603" s="47" t="n"/>
      <c r="N1603" s="47" t="inlineStr">
        <is>
          <t>UCKZo4N0lVPccBkSiuyVh4yg</t>
        </is>
      </c>
      <c r="O1603" s="48" t="n">
        <v>44042.84861111111</v>
      </c>
      <c r="P1603" s="49" t="n">
        <v>44042</v>
      </c>
      <c r="Q1603" s="47" t="n">
        <v>1665</v>
      </c>
      <c r="R1603" s="47" t="inlineStr">
        <is>
          <t>No Video ID yet</t>
        </is>
      </c>
      <c r="S1603" s="49" t="n"/>
      <c r="T1603" s="49" t="n"/>
      <c r="U1603" s="47" t="inlineStr">
        <is>
          <t>Today Ben dives into the Wizarding World of Harry Potter (on the back of a Kelpie) to try and figure out why Newt is the main character of Fantastic Beasts, and how HE will truly be the one to defeat Grindelwald!</t>
        </is>
      </c>
      <c r="V1603" s="47">
        <f>IF(AND(P1603&gt;=Calendar!$K$2,P1603&lt;EDATE(Calendar!$K$2,1),OR(Calendar!$K$4="*",N1603=Calendar!$K$4)),P1603*100+COUNTIFS($P$6:$P$3267,P1603,$Q$6:$Q$3267,"&lt;="&amp;Q1603,$N$6:$N$3267,Calendar!$K$4),"")</f>
        <v/>
      </c>
      <c r="W1603" s="47">
        <f>IF(AND(B1603=Queue!$C$4,OR(Queue!$K$4="*",N1603=Queue!$K$4)),Q1603,"")</f>
        <v/>
      </c>
    </row>
    <row r="1604">
      <c r="A1604" s="38">
        <f>IF(M1604="","",HYPERLINK("https://www.youtube.com/watch?v="&amp;M1604,"▶"))</f>
        <v/>
      </c>
      <c r="B1604" s="39">
        <f>IF(C1604&lt;&gt;"",C1604,IF(P1604&lt;=IFERROR(INDEX(tblChannels[Watched Through],MATCH(N1604,tblChannels[Channel ID],0)),0),"Watched","Unwatched"))</f>
        <v/>
      </c>
      <c r="C1604" s="40" t="n"/>
      <c r="D1604" s="41" t="n"/>
      <c r="E1604" s="42" t="n">
        <v>44040.79166666666</v>
      </c>
      <c r="F1604" s="50" t="inlineStr">
        <is>
          <t>Super Carlin Brothers</t>
        </is>
      </c>
      <c r="G1604" t="inlineStr">
        <is>
          <t>What Happened to Zuko’s Mom [Avatar The Last Airbender Explained]</t>
        </is>
      </c>
      <c r="H1604" s="44" t="n">
        <v>0.01203703703703704</v>
      </c>
      <c r="I1604" s="45" t="n">
        <v>354274</v>
      </c>
      <c r="J1604" s="45" t="n">
        <v>15782</v>
      </c>
      <c r="K1604" s="45" t="n">
        <v>1776</v>
      </c>
      <c r="L1604" s="46" t="n"/>
      <c r="M1604" s="47" t="n"/>
      <c r="N1604" s="47" t="inlineStr">
        <is>
          <t>UCKZo4N0lVPccBkSiuyVh4yg</t>
        </is>
      </c>
      <c r="O1604" s="48" t="n">
        <v>44040.95833333334</v>
      </c>
      <c r="P1604" s="49" t="n">
        <v>44040</v>
      </c>
      <c r="Q1604" s="47" t="n">
        <v>1664</v>
      </c>
      <c r="R1604" s="47" t="inlineStr">
        <is>
          <t>No Video ID yet</t>
        </is>
      </c>
      <c r="S1604" s="49" t="n"/>
      <c r="T1604" s="49" t="n"/>
      <c r="U1604" s="47" t="inlineStr">
        <is>
          <t>Looking for a straighter smile? Get started with $75 off by using code 'SCB' at Today J jumps off a flying bison into the world of Avatar: The Last Airbender to uncover one of Avatar’s largest mysteries ever: What happened to Zuko’s mom? #SuperCarlinBrothers #atla #AvatarTheLastAirbender</t>
        </is>
      </c>
      <c r="V1604" s="47">
        <f>IF(AND(P1604&gt;=Calendar!$K$2,P1604&lt;EDATE(Calendar!$K$2,1),OR(Calendar!$K$4="*",N1604=Calendar!$K$4)),P1604*100+COUNTIFS($P$6:$P$3267,P1604,$Q$6:$Q$3267,"&lt;="&amp;Q1604,$N$6:$N$3267,Calendar!$K$4),"")</f>
        <v/>
      </c>
      <c r="W1604" s="47">
        <f>IF(AND(B1604=Queue!$C$4,OR(Queue!$K$4="*",N1604=Queue!$K$4)),Q1604,"")</f>
        <v/>
      </c>
    </row>
    <row r="1605">
      <c r="A1605" s="38">
        <f>IF(M1605="","",HYPERLINK("https://www.youtube.com/watch?v="&amp;M1605,"▶"))</f>
        <v/>
      </c>
      <c r="B1605" s="39">
        <f>IF(C1605&lt;&gt;"",C1605,IF(P1605&lt;=IFERROR(INDEX(tblChannels[Watched Through],MATCH(N1605,tblChannels[Channel ID],0)),0),"Watched","Unwatched"))</f>
        <v/>
      </c>
      <c r="C1605" s="40" t="n"/>
      <c r="D1605" s="41" t="n"/>
      <c r="E1605" s="42" t="n">
        <v>44036.75</v>
      </c>
      <c r="F1605" s="43" t="inlineStr">
        <is>
          <t>Popcorn Culture</t>
        </is>
      </c>
      <c r="G1605" t="inlineStr">
        <is>
          <t>30 - Times Ben Almost Was Remarkable</t>
        </is>
      </c>
      <c r="H1605" s="44" t="n">
        <v>0.0446875</v>
      </c>
      <c r="I1605" s="45" t="n">
        <v>4342</v>
      </c>
      <c r="J1605" s="45" t="n">
        <v>191</v>
      </c>
      <c r="K1605" s="45" t="n">
        <v>32</v>
      </c>
      <c r="L1605" s="46" t="n"/>
      <c r="M1605" s="47" t="n"/>
      <c r="N1605" s="47" t="inlineStr">
        <is>
          <t>UCHfIbq9thHPC8yrKjAdJgDA</t>
        </is>
      </c>
      <c r="O1605" s="48" t="n">
        <v>44036.91666666666</v>
      </c>
      <c r="P1605" s="49" t="n">
        <v>44036</v>
      </c>
      <c r="Q1605" s="47" t="n">
        <v>1663</v>
      </c>
      <c r="R1605" s="47" t="inlineStr">
        <is>
          <t>No Video ID yet</t>
        </is>
      </c>
      <c r="S1605" s="49" t="n"/>
      <c r="T1605" s="49" t="n"/>
      <c r="U1605" s="47" t="inlineStr">
        <is>
          <t>Ben and J discuss: friends of your friends, MLMs, digging Holes, beanie babies, ebay, the movie theater principle, auctions, how Ben is actually the star of the Truman show, and garbage day. MLMs: James from Survivor: The History of Ty Beanie Babies: Ebay winnings: Box of Beanie Babies:</t>
        </is>
      </c>
      <c r="V1605" s="47">
        <f>IF(AND(P1605&gt;=Calendar!$K$2,P1605&lt;EDATE(Calendar!$K$2,1),OR(Calendar!$K$4="*",N1605=Calendar!$K$4)),P1605*100+COUNTIFS($P$6:$P$3267,P1605,$Q$6:$Q$3267,"&lt;="&amp;Q1605,$N$6:$N$3267,Calendar!$K$4),"")</f>
        <v/>
      </c>
      <c r="W1605" s="47">
        <f>IF(AND(B1605=Queue!$C$4,OR(Queue!$K$4="*",N1605=Queue!$K$4)),Q1605,"")</f>
        <v/>
      </c>
    </row>
    <row r="1606">
      <c r="A1606" s="38">
        <f>IF(M1606="","",HYPERLINK("https://www.youtube.com/watch?v="&amp;M1606,"▶"))</f>
        <v/>
      </c>
      <c r="B1606" s="39">
        <f>IF(C1606&lt;&gt;"",C1606,IF(P1606&lt;=IFERROR(INDEX(tblChannels[Watched Through],MATCH(N1606,tblChannels[Channel ID],0)),0),"Watched","Unwatched"))</f>
        <v/>
      </c>
      <c r="C1606" s="40" t="n"/>
      <c r="D1606" s="41" t="n"/>
      <c r="E1606" s="42" t="n">
        <v>44035.88541666666</v>
      </c>
      <c r="F1606" s="50" t="inlineStr">
        <is>
          <t>Super Carlin Brothers</t>
        </is>
      </c>
      <c r="G1606" t="inlineStr">
        <is>
          <t>J vs Ben: The ULTIMATE Disney Trivia Quiz</t>
        </is>
      </c>
      <c r="H1606" s="44" t="n">
        <v>0.02180555555555556</v>
      </c>
      <c r="I1606" s="45" t="n">
        <v>345218</v>
      </c>
      <c r="J1606" s="45" t="n">
        <v>11203</v>
      </c>
      <c r="K1606" s="45" t="n">
        <v>1626</v>
      </c>
      <c r="L1606" s="46" t="n"/>
      <c r="M1606" s="47" t="n"/>
      <c r="N1606" s="47" t="inlineStr">
        <is>
          <t>UCKZo4N0lVPccBkSiuyVh4yg</t>
        </is>
      </c>
      <c r="O1606" s="48" t="n">
        <v>44036.05208333334</v>
      </c>
      <c r="P1606" s="49" t="n">
        <v>44035</v>
      </c>
      <c r="Q1606" s="47" t="n">
        <v>1662</v>
      </c>
      <c r="R1606" s="47" t="inlineStr">
        <is>
          <t>No Video ID yet</t>
        </is>
      </c>
      <c r="S1606" s="49" t="n"/>
      <c r="T1606" s="49" t="n"/>
      <c r="U1606" s="47" t="inlineStr">
        <is>
          <t>Today J and Ben face off to find out who has the greatest general Disney knowledge - From Cinderella, to the Little Mermaid, to Winnie the Pooh this quiz has them all! #SuperCarlinBrothers #Disney #JvsBen</t>
        </is>
      </c>
      <c r="V1606" s="47">
        <f>IF(AND(P1606&gt;=Calendar!$K$2,P1606&lt;EDATE(Calendar!$K$2,1),OR(Calendar!$K$4="*",N1606=Calendar!$K$4)),P1606*100+COUNTIFS($P$6:$P$3267,P1606,$Q$6:$Q$3267,"&lt;="&amp;Q1606,$N$6:$N$3267,Calendar!$K$4),"")</f>
        <v/>
      </c>
      <c r="W1606" s="47">
        <f>IF(AND(B1606=Queue!$C$4,OR(Queue!$K$4="*",N1606=Queue!$K$4)),Q1606,"")</f>
        <v/>
      </c>
    </row>
    <row r="1607">
      <c r="A1607" s="38">
        <f>IF(M1607="","",HYPERLINK("https://www.youtube.com/watch?v="&amp;M1607,"▶"))</f>
        <v/>
      </c>
      <c r="B1607" s="39">
        <f>IF(C1607&lt;&gt;"",C1607,IF(P1607&lt;=IFERROR(INDEX(tblChannels[Watched Through],MATCH(N1607,tblChannels[Channel ID],0)),0),"Watched","Unwatched"))</f>
        <v/>
      </c>
      <c r="C1607" s="40" t="n"/>
      <c r="D1607" s="41" t="n"/>
      <c r="E1607" s="42" t="n">
        <v>44033.6875</v>
      </c>
      <c r="F1607" s="50" t="inlineStr">
        <is>
          <t>Super Carlin Brothers</t>
        </is>
      </c>
      <c r="G1607" t="inlineStr">
        <is>
          <t>Ty Lee Is An Air Nomad [Avatar: The Last Airbender Theory]</t>
        </is>
      </c>
      <c r="H1607" s="44" t="n">
        <v>0.01008101851851852</v>
      </c>
      <c r="I1607" s="45" t="n">
        <v>1666534</v>
      </c>
      <c r="J1607" s="45" t="n">
        <v>63733</v>
      </c>
      <c r="K1607" s="45" t="n">
        <v>7184</v>
      </c>
      <c r="L1607" s="46" t="n"/>
      <c r="M1607" s="47" t="n"/>
      <c r="N1607" s="47" t="inlineStr">
        <is>
          <t>UCKZo4N0lVPccBkSiuyVh4yg</t>
        </is>
      </c>
      <c r="O1607" s="48" t="n">
        <v>44033.85416666666</v>
      </c>
      <c r="P1607" s="49" t="n">
        <v>44033</v>
      </c>
      <c r="Q1607" s="47" t="n">
        <v>1661</v>
      </c>
      <c r="R1607" s="47" t="inlineStr">
        <is>
          <t>No Video ID yet</t>
        </is>
      </c>
      <c r="S1607" s="49" t="n"/>
      <c r="T1607" s="49" t="n"/>
      <c r="U1607" s="47" t="inlineStr">
        <is>
          <t>Head to to and find out how you can get 3 months of VPN coverage for free! Today J jumps off a flying bison into the world of Avatar: The Last Airbender to try and determine if Ty Lee of the Fire Nation is in fact a descendant of the Air Nomads! Special Thanks to Chris Wildi for suggesting this topic! #SuperCarlinBrothers #atla #AvatarTheLastAirbender</t>
        </is>
      </c>
      <c r="V1607" s="47">
        <f>IF(AND(P1607&gt;=Calendar!$K$2,P1607&lt;EDATE(Calendar!$K$2,1),OR(Calendar!$K$4="*",N1607=Calendar!$K$4)),P1607*100+COUNTIFS($P$6:$P$3267,P1607,$Q$6:$Q$3267,"&lt;="&amp;Q1607,$N$6:$N$3267,Calendar!$K$4),"")</f>
        <v/>
      </c>
      <c r="W1607" s="47">
        <f>IF(AND(B1607=Queue!$C$4,OR(Queue!$K$4="*",N1607=Queue!$K$4)),Q1607,"")</f>
        <v/>
      </c>
    </row>
    <row r="1608">
      <c r="A1608" s="38">
        <f>IF(M1608="","",HYPERLINK("https://www.youtube.com/watch?v="&amp;M1608,"▶"))</f>
        <v/>
      </c>
      <c r="B1608" s="39">
        <f>IF(C1608&lt;&gt;"",C1608,IF(P1608&lt;=IFERROR(INDEX(tblChannels[Watched Through],MATCH(N1608,tblChannels[Channel ID],0)),0),"Watched","Unwatched"))</f>
        <v/>
      </c>
      <c r="C1608" s="40" t="n"/>
      <c r="D1608" s="41" t="n"/>
      <c r="E1608" s="42" t="n">
        <v>44028.77916666667</v>
      </c>
      <c r="F1608" s="50" t="inlineStr">
        <is>
          <t>Super Carlin Brothers</t>
        </is>
      </c>
      <c r="G1608" t="inlineStr">
        <is>
          <t>Draco Malfoy's Patronus [Harry Potter Theory]</t>
        </is>
      </c>
      <c r="H1608" s="44" t="n">
        <v>0.0112037037037037</v>
      </c>
      <c r="I1608" s="45" t="n">
        <v>722573</v>
      </c>
      <c r="J1608" s="45" t="n">
        <v>27134</v>
      </c>
      <c r="K1608" s="45" t="n">
        <v>3840</v>
      </c>
      <c r="L1608" s="46" t="n"/>
      <c r="M1608" s="47" t="n"/>
      <c r="N1608" s="47" t="inlineStr">
        <is>
          <t>UCKZo4N0lVPccBkSiuyVh4yg</t>
        </is>
      </c>
      <c r="O1608" s="48" t="n">
        <v>44028.94583333333</v>
      </c>
      <c r="P1608" s="49" t="n">
        <v>44028</v>
      </c>
      <c r="Q1608" s="47" t="n">
        <v>1660</v>
      </c>
      <c r="R1608" s="47" t="inlineStr">
        <is>
          <t>No Video ID yet</t>
        </is>
      </c>
      <c r="S1608" s="49" t="n"/>
      <c r="T1608" s="49" t="n"/>
      <c r="U1608" s="47" t="inlineStr">
        <is>
          <t>Get 20% off your first monthly box when you sign up at and enter the code super at checkout! Today Ben dives into the Wizarding World of Harry Potter to try and determine the animal shape of Draco Malfoy’s Patronus!</t>
        </is>
      </c>
      <c r="V1608" s="47">
        <f>IF(AND(P1608&gt;=Calendar!$K$2,P1608&lt;EDATE(Calendar!$K$2,1),OR(Calendar!$K$4="*",N1608=Calendar!$K$4)),P1608*100+COUNTIFS($P$6:$P$3267,P1608,$Q$6:$Q$3267,"&lt;="&amp;Q1608,$N$6:$N$3267,Calendar!$K$4),"")</f>
        <v/>
      </c>
      <c r="W1608" s="47">
        <f>IF(AND(B1608=Queue!$C$4,OR(Queue!$K$4="*",N1608=Queue!$K$4)),Q1608,"")</f>
        <v/>
      </c>
    </row>
    <row r="1609">
      <c r="A1609" s="38">
        <f>IF(M1609="","",HYPERLINK("https://www.youtube.com/watch?v="&amp;M1609,"▶"))</f>
        <v/>
      </c>
      <c r="B1609" s="39">
        <f>IF(C1609&lt;&gt;"",C1609,IF(P1609&lt;=IFERROR(INDEX(tblChannels[Watched Through],MATCH(N1609,tblChannels[Channel ID],0)),0),"Watched","Unwatched"))</f>
        <v/>
      </c>
      <c r="C1609" s="40" t="n"/>
      <c r="D1609" s="41" t="n"/>
      <c r="E1609" s="42" t="n">
        <v>44026.68125</v>
      </c>
      <c r="F1609" s="50" t="inlineStr">
        <is>
          <t>Super Carlin Brothers</t>
        </is>
      </c>
      <c r="G1609" t="inlineStr">
        <is>
          <t>Why The Fire Nation Killed The Dragons [Avatar Theory]</t>
        </is>
      </c>
      <c r="H1609" s="44" t="n">
        <v>0.0106712962962963</v>
      </c>
      <c r="I1609" s="45" t="n">
        <v>783423</v>
      </c>
      <c r="J1609" s="45" t="n">
        <v>40609</v>
      </c>
      <c r="K1609" s="45" t="n">
        <v>8664</v>
      </c>
      <c r="L1609" s="46" t="n"/>
      <c r="M1609" s="47" t="n"/>
      <c r="N1609" s="47" t="inlineStr">
        <is>
          <t>UCKZo4N0lVPccBkSiuyVh4yg</t>
        </is>
      </c>
      <c r="O1609" s="48" t="n">
        <v>44026.84791666667</v>
      </c>
      <c r="P1609" s="49" t="n">
        <v>44026</v>
      </c>
      <c r="Q1609" s="47" t="n">
        <v>1659</v>
      </c>
      <c r="R1609" s="47" t="inlineStr">
        <is>
          <t>No Video ID yet</t>
        </is>
      </c>
      <c r="S1609" s="49" t="n"/>
      <c r="T1609" s="49" t="n"/>
      <c r="U1609" s="47" t="inlineStr">
        <is>
          <t>Today J dives into a BRAND NEW Fandom and the wonderful world Avatar: The Last Airbender to try and find out why the Fire Nation destroyed all the Dragons! #SuperCarlinBrothers #AvatarTheLastAirbender</t>
        </is>
      </c>
      <c r="V1609" s="47">
        <f>IF(AND(P1609&gt;=Calendar!$K$2,P1609&lt;EDATE(Calendar!$K$2,1),OR(Calendar!$K$4="*",N1609=Calendar!$K$4)),P1609*100+COUNTIFS($P$6:$P$3267,P1609,$Q$6:$Q$3267,"&lt;="&amp;Q1609,$N$6:$N$3267,Calendar!$K$4),"")</f>
        <v/>
      </c>
      <c r="W1609" s="47">
        <f>IF(AND(B1609=Queue!$C$4,OR(Queue!$K$4="*",N1609=Queue!$K$4)),Q1609,"")</f>
        <v/>
      </c>
    </row>
    <row r="1610">
      <c r="A1610" s="38">
        <f>IF(M1610="","",HYPERLINK("https://www.youtube.com/watch?v="&amp;M1610,"▶"))</f>
        <v/>
      </c>
      <c r="B1610" s="39">
        <f>IF(C1610&lt;&gt;"",C1610,IF(P1610&lt;=IFERROR(INDEX(tblChannels[Watched Through],MATCH(N1610,tblChannels[Channel ID],0)),0),"Watched","Unwatched"))</f>
        <v/>
      </c>
      <c r="C1610" s="40" t="n"/>
      <c r="D1610" s="41" t="n"/>
      <c r="E1610" s="42" t="n">
        <v>44022.87847222222</v>
      </c>
      <c r="F1610" s="50" t="inlineStr">
        <is>
          <t>Super Carlin Brothers</t>
        </is>
      </c>
      <c r="G1610" t="inlineStr">
        <is>
          <t>ALL FANDOMS Trivia Night LIVE STREAM!</t>
        </is>
      </c>
      <c r="H1610" s="44" t="n">
        <v>0.1182175925925926</v>
      </c>
      <c r="I1610" s="45" t="n">
        <v>523285</v>
      </c>
      <c r="J1610" s="45" t="n">
        <v>3851</v>
      </c>
      <c r="K1610" s="45" t="n">
        <v>302</v>
      </c>
      <c r="L1610" s="46" t="n"/>
      <c r="M1610" s="47" t="n"/>
      <c r="N1610" s="47" t="inlineStr">
        <is>
          <t>UCKZo4N0lVPccBkSiuyVh4yg</t>
        </is>
      </c>
      <c r="O1610" s="48" t="n">
        <v>44023.04513888889</v>
      </c>
      <c r="P1610" s="49" t="n">
        <v>44022</v>
      </c>
      <c r="Q1610" s="47" t="n">
        <v>1658</v>
      </c>
      <c r="R1610" s="47" t="inlineStr">
        <is>
          <t>No Video ID yet</t>
        </is>
      </c>
      <c r="S1610" s="49" t="n"/>
      <c r="T1610" s="49" t="n"/>
      <c r="U1610" s="47" t="inlineStr">
        <is>
          <t>DO YOU HAVE WHAT IT TAKES TO BECOME THE CHAMPION OF ALL FIVE FANDOMS?! - Tonight we test your knowledge of Disney, Pixar, Marvel, Star Wars &amp; Harry Potter! Winners email: secretcarlinbrothers@gmail.com with a screenshot of your winning score!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t>
        </is>
      </c>
      <c r="V1610" s="47">
        <f>IF(AND(P1610&gt;=Calendar!$K$2,P1610&lt;EDATE(Calendar!$K$2,1),OR(Calendar!$K$4="*",N1610=Calendar!$K$4)),P1610*100+COUNTIFS($P$6:$P$3267,P1610,$Q$6:$Q$3267,"&lt;="&amp;Q1610,$N$6:$N$3267,Calendar!$K$4),"")</f>
        <v/>
      </c>
      <c r="W1610" s="47">
        <f>IF(AND(B1610=Queue!$C$4,OR(Queue!$K$4="*",N1610=Queue!$K$4)),Q1610,"")</f>
        <v/>
      </c>
    </row>
    <row r="1611">
      <c r="A1611" s="38">
        <f>IF(M1611="","",HYPERLINK("https://www.youtube.com/watch?v="&amp;M1611,"▶"))</f>
        <v/>
      </c>
      <c r="B1611" s="39">
        <f>IF(C1611&lt;&gt;"",C1611,IF(P1611&lt;=IFERROR(INDEX(tblChannels[Watched Through],MATCH(N1611,tblChannels[Channel ID],0)),0),"Watched","Unwatched"))</f>
        <v/>
      </c>
      <c r="C1611" s="40" t="n"/>
      <c r="D1611" s="41" t="n"/>
      <c r="E1611" s="42" t="n">
        <v>44021.81319444445</v>
      </c>
      <c r="F1611" s="50" t="inlineStr">
        <is>
          <t>Super Carlin Brothers</t>
        </is>
      </c>
      <c r="G1611" t="inlineStr">
        <is>
          <t>J vs Ben: The HARDEST Death Eater Trivia Quiz EVER [Harry Potter Trivia]</t>
        </is>
      </c>
      <c r="H1611" s="44" t="n">
        <v>0.01480324074074074</v>
      </c>
      <c r="I1611" s="45" t="n">
        <v>474563</v>
      </c>
      <c r="J1611" s="45" t="n">
        <v>14421</v>
      </c>
      <c r="K1611" s="45" t="n">
        <v>1362</v>
      </c>
      <c r="L1611" s="46" t="n"/>
      <c r="M1611" s="47" t="n"/>
      <c r="N1611" s="47" t="inlineStr">
        <is>
          <t>UCKZo4N0lVPccBkSiuyVh4yg</t>
        </is>
      </c>
      <c r="O1611" s="48" t="n">
        <v>44021.97986111111</v>
      </c>
      <c r="P1611" s="49" t="n">
        <v>44021</v>
      </c>
      <c r="Q1611" s="47" t="n">
        <v>1657</v>
      </c>
      <c r="R1611" s="47" t="inlineStr">
        <is>
          <t>No Video ID yet</t>
        </is>
      </c>
      <c r="S1611" s="49" t="n"/>
      <c r="T1611" s="49" t="n"/>
      <c r="U1611" s="47" t="inlineStr">
        <is>
          <t>Use Code “SCB” for 10% off your order of Ridge Wallets Today J and Ben face off in the Ultimate Death Eater quiz to find out who knows Harry Potter’s most evil group of supporters the best! Press your dark mark and lets begin!! (actually don’t though.. That will summon a very bad being to your location..)</t>
        </is>
      </c>
      <c r="V1611" s="47">
        <f>IF(AND(P1611&gt;=Calendar!$K$2,P1611&lt;EDATE(Calendar!$K$2,1),OR(Calendar!$K$4="*",N1611=Calendar!$K$4)),P1611*100+COUNTIFS($P$6:$P$3267,P1611,$Q$6:$Q$3267,"&lt;="&amp;Q1611,$N$6:$N$3267,Calendar!$K$4),"")</f>
        <v/>
      </c>
      <c r="W1611" s="47">
        <f>IF(AND(B1611=Queue!$C$4,OR(Queue!$K$4="*",N1611=Queue!$K$4)),Q1611,"")</f>
        <v/>
      </c>
    </row>
    <row r="1612">
      <c r="A1612" s="38">
        <f>IF(M1612="","",HYPERLINK("https://www.youtube.com/watch?v="&amp;M1612,"▶"))</f>
        <v/>
      </c>
      <c r="B1612" s="39">
        <f>IF(C1612&lt;&gt;"",C1612,IF(P1612&lt;=IFERROR(INDEX(tblChannels[Watched Through],MATCH(N1612,tblChannels[Channel ID],0)),0),"Watched","Unwatched"))</f>
        <v/>
      </c>
      <c r="C1612" s="40" t="n"/>
      <c r="D1612" s="41" t="n"/>
      <c r="E1612" s="42" t="n">
        <v>44019.67916666667</v>
      </c>
      <c r="F1612" s="50" t="inlineStr">
        <is>
          <t>Super Carlin Brothers</t>
        </is>
      </c>
      <c r="G1612" t="inlineStr">
        <is>
          <t>The Truth About Disney’s Splash Mountain</t>
        </is>
      </c>
      <c r="H1612" s="44" t="n">
        <v>0.00832175925925926</v>
      </c>
      <c r="I1612" s="45" t="n">
        <v>263540</v>
      </c>
      <c r="J1612" s="45" t="n">
        <v>13446</v>
      </c>
      <c r="K1612" s="45" t="n">
        <v>2365</v>
      </c>
      <c r="L1612" s="46" t="n"/>
      <c r="M1612" s="47" t="n"/>
      <c r="N1612" s="47" t="inlineStr">
        <is>
          <t>UCKZo4N0lVPccBkSiuyVh4yg</t>
        </is>
      </c>
      <c r="O1612" s="48" t="n">
        <v>44019.84583333333</v>
      </c>
      <c r="P1612" s="49" t="n">
        <v>44019</v>
      </c>
      <c r="Q1612" s="47" t="n">
        <v>1656</v>
      </c>
      <c r="R1612" s="47" t="inlineStr">
        <is>
          <t>No Video ID yet</t>
        </is>
      </c>
      <c r="S1612" s="49" t="n"/>
      <c r="T1612" s="49" t="n"/>
      <c r="U1612" s="47" t="inlineStr">
        <is>
          <t>Today J dives into the Happiest Places on Earth, Disney World and Disneyland to discusses the history and future of Splash Mountain and its newly announced facelift to become a Princess and the Frog themed ride! #SuperCarlinBrothers #Disney #DisneyWorld</t>
        </is>
      </c>
      <c r="V1612" s="47">
        <f>IF(AND(P1612&gt;=Calendar!$K$2,P1612&lt;EDATE(Calendar!$K$2,1),OR(Calendar!$K$4="*",N1612=Calendar!$K$4)),P1612*100+COUNTIFS($P$6:$P$3267,P1612,$Q$6:$Q$3267,"&lt;="&amp;Q1612,$N$6:$N$3267,Calendar!$K$4),"")</f>
        <v/>
      </c>
      <c r="W1612" s="47">
        <f>IF(AND(B1612=Queue!$C$4,OR(Queue!$K$4="*",N1612=Queue!$K$4)),Q1612,"")</f>
        <v/>
      </c>
    </row>
    <row r="1613">
      <c r="A1613" s="38">
        <f>IF(M1613="","",HYPERLINK("https://www.youtube.com/watch?v="&amp;M1613,"▶"))</f>
        <v/>
      </c>
      <c r="B1613" s="39">
        <f>IF(C1613&lt;&gt;"",C1613,IF(P1613&lt;=IFERROR(INDEX(tblChannels[Watched Through],MATCH(N1613,tblChannels[Channel ID],0)),0),"Watched","Unwatched"))</f>
        <v/>
      </c>
      <c r="C1613" s="40" t="n"/>
      <c r="D1613" s="41" t="n"/>
      <c r="E1613" s="42" t="n">
        <v>44014.79861111111</v>
      </c>
      <c r="F1613" s="50" t="inlineStr">
        <is>
          <t>Super Carlin Brothers</t>
        </is>
      </c>
      <c r="G1613" t="inlineStr">
        <is>
          <t>Why Harry &amp; Hermione Should Be Together [Harry Potter Theory]</t>
        </is>
      </c>
      <c r="H1613" s="44" t="n">
        <v>0.01203703703703704</v>
      </c>
      <c r="I1613" s="45" t="n">
        <v>958742</v>
      </c>
      <c r="J1613" s="45" t="n">
        <v>36346</v>
      </c>
      <c r="K1613" s="45" t="n">
        <v>8491</v>
      </c>
      <c r="L1613" s="46" t="n"/>
      <c r="M1613" s="47" t="n"/>
      <c r="N1613" s="47" t="inlineStr">
        <is>
          <t>UCKZo4N0lVPccBkSiuyVh4yg</t>
        </is>
      </c>
      <c r="O1613" s="48" t="n">
        <v>44014.96527777778</v>
      </c>
      <c r="P1613" s="49" t="n">
        <v>44014</v>
      </c>
      <c r="Q1613" s="47" t="n">
        <v>1655</v>
      </c>
      <c r="R1613" s="47" t="inlineStr">
        <is>
          <t>No Video ID yet</t>
        </is>
      </c>
      <c r="S1613" s="49" t="n"/>
      <c r="T1613" s="49" t="n"/>
      <c r="U1613" s="47" t="inlineStr">
        <is>
          <t>Get started with Candid today and get $75 dollars off by going to Today Ben dives into the Wizarding World of Harry Potter to discuss why the always awesome but never romantic friendship between Harry and Hermione.</t>
        </is>
      </c>
      <c r="V1613" s="47">
        <f>IF(AND(P1613&gt;=Calendar!$K$2,P1613&lt;EDATE(Calendar!$K$2,1),OR(Calendar!$K$4="*",N1613=Calendar!$K$4)),P1613*100+COUNTIFS($P$6:$P$3267,P1613,$Q$6:$Q$3267,"&lt;="&amp;Q1613,$N$6:$N$3267,Calendar!$K$4),"")</f>
        <v/>
      </c>
      <c r="W1613" s="47">
        <f>IF(AND(B1613=Queue!$C$4,OR(Queue!$K$4="*",N1613=Queue!$K$4)),Q1613,"")</f>
        <v/>
      </c>
    </row>
    <row r="1614">
      <c r="A1614" s="38">
        <f>IF(M1614="","",HYPERLINK("https://www.youtube.com/watch?v="&amp;M1614,"▶"))</f>
        <v/>
      </c>
      <c r="B1614" s="39">
        <f>IF(C1614&lt;&gt;"",C1614,IF(P1614&lt;=IFERROR(INDEX(tblChannels[Watched Through],MATCH(N1614,tblChannels[Channel ID],0)),0),"Watched","Unwatched"))</f>
        <v/>
      </c>
      <c r="C1614" s="40" t="n"/>
      <c r="D1614" s="41" t="n"/>
      <c r="E1614" s="42" t="n">
        <v>44012.71180555555</v>
      </c>
      <c r="F1614" s="50" t="inlineStr">
        <is>
          <t>Super Carlin Brothers</t>
        </is>
      </c>
      <c r="G1614" t="inlineStr">
        <is>
          <t>Did Yzma Kill Kuzco’s Parents? [Disney Theory]</t>
        </is>
      </c>
      <c r="H1614" s="44" t="n">
        <v>0.009409722222222222</v>
      </c>
      <c r="I1614" s="45" t="n">
        <v>437350</v>
      </c>
      <c r="J1614" s="45" t="n">
        <v>19927</v>
      </c>
      <c r="K1614" s="45" t="n">
        <v>1904</v>
      </c>
      <c r="L1614" s="46" t="n"/>
      <c r="M1614" s="47" t="n"/>
      <c r="N1614" s="47" t="inlineStr">
        <is>
          <t>UCKZo4N0lVPccBkSiuyVh4yg</t>
        </is>
      </c>
      <c r="O1614" s="48" t="n">
        <v>44012.87847222222</v>
      </c>
      <c r="P1614" s="49" t="n">
        <v>44012</v>
      </c>
      <c r="Q1614" s="47" t="n">
        <v>1654</v>
      </c>
      <c r="R1614" s="47" t="inlineStr">
        <is>
          <t>No Video ID yet</t>
        </is>
      </c>
      <c r="S1614" s="49" t="n"/>
      <c r="T1614" s="49" t="n"/>
      <c r="U1614" s="47" t="inlineStr">
        <is>
          <t>Today J dives into the hilarious world of The Emperor’s New Groove to try and figure out HOW Kuzco ended up parentless and if the villainous Yzma had anything to do with it! This theory was inspired by this lovely post on reddit :: #SuperCarlinBrothers #Disney</t>
        </is>
      </c>
      <c r="V1614" s="47">
        <f>IF(AND(P1614&gt;=Calendar!$K$2,P1614&lt;EDATE(Calendar!$K$2,1),OR(Calendar!$K$4="*",N1614=Calendar!$K$4)),P1614*100+COUNTIFS($P$6:$P$3267,P1614,$Q$6:$Q$3267,"&lt;="&amp;Q1614,$N$6:$N$3267,Calendar!$K$4),"")</f>
        <v/>
      </c>
      <c r="W1614" s="47">
        <f>IF(AND(B1614=Queue!$C$4,OR(Queue!$K$4="*",N1614=Queue!$K$4)),Q1614,"")</f>
        <v/>
      </c>
    </row>
    <row r="1615">
      <c r="A1615" s="38">
        <f>IF(M1615="","",HYPERLINK("https://www.youtube.com/watch?v="&amp;M1615,"▶"))</f>
        <v/>
      </c>
      <c r="B1615" s="39">
        <f>IF(C1615&lt;&gt;"",C1615,IF(P1615&lt;=IFERROR(INDEX(tblChannels[Watched Through],MATCH(N1615,tblChannels[Channel ID],0)),0),"Watched","Unwatched"))</f>
        <v/>
      </c>
      <c r="C1615" s="40" t="n"/>
      <c r="D1615" s="41" t="n"/>
      <c r="E1615" s="42" t="n">
        <v>44011.61180555556</v>
      </c>
      <c r="F1615" s="43" t="inlineStr">
        <is>
          <t>Popcorn Culture</t>
        </is>
      </c>
      <c r="G1615" t="inlineStr">
        <is>
          <t>29 - Duck in a Cup</t>
        </is>
      </c>
      <c r="H1615" s="44" t="n">
        <v>0.04722222222222222</v>
      </c>
      <c r="I1615" s="45" t="n">
        <v>4944</v>
      </c>
      <c r="J1615" s="45" t="n">
        <v>219</v>
      </c>
      <c r="K1615" s="45" t="n">
        <v>54</v>
      </c>
      <c r="L1615" s="46" t="n"/>
      <c r="M1615" s="47" t="n"/>
      <c r="N1615" s="47" t="inlineStr">
        <is>
          <t>UCHfIbq9thHPC8yrKjAdJgDA</t>
        </is>
      </c>
      <c r="O1615" s="48" t="n">
        <v>44011.77847222222</v>
      </c>
      <c r="P1615" s="49" t="n">
        <v>44011</v>
      </c>
      <c r="Q1615" s="47" t="n">
        <v>1653</v>
      </c>
      <c r="R1615" s="47" t="inlineStr">
        <is>
          <t>No Video ID yet</t>
        </is>
      </c>
      <c r="S1615" s="49" t="n"/>
      <c r="T1615" s="49" t="n"/>
      <c r="U1615" s="47" t="inlineStr">
        <is>
          <t>Ben and J discuss: branding and product placement, tech problems, text-iquette, professional writing classes, buying anticipation, lightbulbs, purchase history, and smoothies. Data is Beautiful Most Used Websites: J’s List: Light bulbs: Bose Speakers: Sunglasses Holder: Rubber Bands: Rubber Ducks: Ben’s List: Matches: Blender:</t>
        </is>
      </c>
      <c r="V1615" s="47">
        <f>IF(AND(P1615&gt;=Calendar!$K$2,P1615&lt;EDATE(Calendar!$K$2,1),OR(Calendar!$K$4="*",N1615=Calendar!$K$4)),P1615*100+COUNTIFS($P$6:$P$3267,P1615,$Q$6:$Q$3267,"&lt;="&amp;Q1615,$N$6:$N$3267,Calendar!$K$4),"")</f>
        <v/>
      </c>
      <c r="W1615" s="47">
        <f>IF(AND(B1615=Queue!$C$4,OR(Queue!$K$4="*",N1615=Queue!$K$4)),Q1615,"")</f>
        <v/>
      </c>
    </row>
    <row r="1616">
      <c r="A1616" s="38">
        <f>IF(M1616="","",HYPERLINK("https://www.youtube.com/watch?v="&amp;M1616,"▶"))</f>
        <v/>
      </c>
      <c r="B1616" s="39">
        <f>IF(C1616&lt;&gt;"",C1616,IF(P1616&lt;=IFERROR(INDEX(tblChannels[Watched Through],MATCH(N1616,tblChannels[Channel ID],0)),0),"Watched","Unwatched"))</f>
        <v/>
      </c>
      <c r="C1616" s="40" t="n"/>
      <c r="D1616" s="41" t="n"/>
      <c r="E1616" s="42" t="n">
        <v>44008.86875</v>
      </c>
      <c r="F1616" s="50" t="inlineStr">
        <is>
          <t>Super Carlin Brothers</t>
        </is>
      </c>
      <c r="G1616" t="inlineStr">
        <is>
          <t>Our thoughts on JK Rowling &amp; Harry Potter Trivia Night LIVE STREAM!</t>
        </is>
      </c>
      <c r="H1616" s="44" t="n">
        <v>0.1048726851851852</v>
      </c>
      <c r="I1616" s="45" t="n">
        <v>291777</v>
      </c>
      <c r="J1616" s="45" t="n">
        <v>3525</v>
      </c>
      <c r="K1616" s="45" t="n">
        <v>433</v>
      </c>
      <c r="L1616" s="46" t="n"/>
      <c r="M1616" s="47" t="n"/>
      <c r="N1616" s="47" t="inlineStr">
        <is>
          <t>UCKZo4N0lVPccBkSiuyVh4yg</t>
        </is>
      </c>
      <c r="O1616" s="48" t="n">
        <v>44009.03541666667</v>
      </c>
      <c r="P1616" s="49" t="n">
        <v>44008</v>
      </c>
      <c r="Q1616" s="47" t="n">
        <v>1652</v>
      </c>
      <c r="R1616" s="47" t="inlineStr">
        <is>
          <t>No Video ID yet</t>
        </is>
      </c>
      <c r="S1616" s="49" t="n"/>
      <c r="T1616" s="49" t="n"/>
      <c r="U1616" s="47" t="inlineStr">
        <is>
          <t>I ⚡️HP Theory Shirts :: Proceeds to benefit The Trevor Project Winners email: secretcarlinbrothers@gmail.com Scroll down for instructions on how to play along! Create the Change Shirts ►► Carlin Brothers Candles ►►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t>
        </is>
      </c>
      <c r="V1616" s="47">
        <f>IF(AND(P1616&gt;=Calendar!$K$2,P1616&lt;EDATE(Calendar!$K$2,1),OR(Calendar!$K$4="*",N1616=Calendar!$K$4)),P1616*100+COUNTIFS($P$6:$P$3267,P1616,$Q$6:$Q$3267,"&lt;="&amp;Q1616,$N$6:$N$3267,Calendar!$K$4),"")</f>
        <v/>
      </c>
      <c r="W1616" s="47">
        <f>IF(AND(B1616=Queue!$C$4,OR(Queue!$K$4="*",N1616=Queue!$K$4)),Q1616,"")</f>
        <v/>
      </c>
    </row>
    <row r="1617">
      <c r="A1617" s="38">
        <f>IF(M1617="","",HYPERLINK("https://www.youtube.com/watch?v="&amp;M1617,"▶"))</f>
        <v/>
      </c>
      <c r="B1617" s="39">
        <f>IF(C1617&lt;&gt;"",C1617,IF(P1617&lt;=IFERROR(INDEX(tblChannels[Watched Through],MATCH(N1617,tblChannels[Channel ID],0)),0),"Watched","Unwatched"))</f>
        <v/>
      </c>
      <c r="C1617" s="40" t="n"/>
      <c r="D1617" s="41" t="n"/>
      <c r="E1617" s="42" t="n">
        <v>44007.81388888889</v>
      </c>
      <c r="F1617" s="50" t="inlineStr">
        <is>
          <t>Super Carlin Brothers</t>
        </is>
      </c>
      <c r="G1617" t="inlineStr">
        <is>
          <t>J vs Ben: ULTIMATE Malfoy Family Trivia Quiz [Harry Potter Trivia]</t>
        </is>
      </c>
      <c r="H1617" s="44" t="n">
        <v>0.01341435185185185</v>
      </c>
      <c r="I1617" s="45" t="n">
        <v>180297</v>
      </c>
      <c r="J1617" s="45" t="n">
        <v>8429</v>
      </c>
      <c r="K1617" s="45" t="n">
        <v>1457</v>
      </c>
      <c r="L1617" s="46" t="n"/>
      <c r="M1617" s="47" t="n"/>
      <c r="N1617" s="47" t="inlineStr">
        <is>
          <t>UCKZo4N0lVPccBkSiuyVh4yg</t>
        </is>
      </c>
      <c r="O1617" s="48" t="n">
        <v>44007.98055555556</v>
      </c>
      <c r="P1617" s="49" t="n">
        <v>44007</v>
      </c>
      <c r="Q1617" s="47" t="n">
        <v>1651</v>
      </c>
      <c r="R1617" s="47" t="inlineStr">
        <is>
          <t>No Video ID yet</t>
        </is>
      </c>
      <c r="S1617" s="49" t="n"/>
      <c r="T1617" s="49" t="n"/>
      <c r="U1617" s="47" t="inlineStr">
        <is>
          <t>Today J and Ben face off once more to determine who knows the most about the blondest family around: The Malfoys!</t>
        </is>
      </c>
      <c r="V1617" s="47">
        <f>IF(AND(P1617&gt;=Calendar!$K$2,P1617&lt;EDATE(Calendar!$K$2,1),OR(Calendar!$K$4="*",N1617=Calendar!$K$4)),P1617*100+COUNTIFS($P$6:$P$3267,P1617,$Q$6:$Q$3267,"&lt;="&amp;Q1617,$N$6:$N$3267,Calendar!$K$4),"")</f>
        <v/>
      </c>
      <c r="W1617" s="47">
        <f>IF(AND(B1617=Queue!$C$4,OR(Queue!$K$4="*",N1617=Queue!$K$4)),Q1617,"")</f>
        <v/>
      </c>
    </row>
    <row r="1618">
      <c r="A1618" s="38">
        <f>IF(M1618="","",HYPERLINK("https://www.youtube.com/watch?v="&amp;M1618,"▶"))</f>
        <v/>
      </c>
      <c r="B1618" s="39">
        <f>IF(C1618&lt;&gt;"",C1618,IF(P1618&lt;=IFERROR(INDEX(tblChannels[Watched Through],MATCH(N1618,tblChannels[Channel ID],0)),0),"Watched","Unwatched"))</f>
        <v/>
      </c>
      <c r="C1618" s="40" t="n"/>
      <c r="D1618" s="41" t="n"/>
      <c r="E1618" s="42" t="n">
        <v>44005.66666666666</v>
      </c>
      <c r="F1618" s="50" t="inlineStr">
        <is>
          <t>Super Carlin Brothers</t>
        </is>
      </c>
      <c r="G1618" t="inlineStr">
        <is>
          <t>Tina Is Master Of The Elder Wand [Harry Potter Theory]</t>
        </is>
      </c>
      <c r="H1618" s="44" t="n">
        <v>0.009456018518518518</v>
      </c>
      <c r="I1618" s="45" t="n">
        <v>318668</v>
      </c>
      <c r="J1618" s="45" t="n">
        <v>13199</v>
      </c>
      <c r="K1618" s="45" t="n">
        <v>2223</v>
      </c>
      <c r="L1618" s="46" t="n"/>
      <c r="M1618" s="47" t="n"/>
      <c r="N1618" s="47" t="inlineStr">
        <is>
          <t>UCKZo4N0lVPccBkSiuyVh4yg</t>
        </is>
      </c>
      <c r="O1618" s="48" t="n">
        <v>44005.83333333334</v>
      </c>
      <c r="P1618" s="49" t="n">
        <v>44005</v>
      </c>
      <c r="Q1618" s="47" t="n">
        <v>1650</v>
      </c>
      <c r="R1618" s="47" t="inlineStr">
        <is>
          <t>No Video ID yet</t>
        </is>
      </c>
      <c r="S1618" s="49" t="n"/>
      <c r="T1618" s="49" t="n"/>
      <c r="U1618" s="47" t="inlineStr">
        <is>
          <t>Thanks again to Vincero for sponsoring today's video! Get 20% off your order SITE WIDE with free Worldwide shipping! Today J dives into the wizarding world of Harry Potter to discuss a long suggested theory: Is Tina Goldstein the master of the Elder Wand? She does disarm Grindelwald.. But not with the disarming spell.. hmm?</t>
        </is>
      </c>
      <c r="V1618" s="47">
        <f>IF(AND(P1618&gt;=Calendar!$K$2,P1618&lt;EDATE(Calendar!$K$2,1),OR(Calendar!$K$4="*",N1618=Calendar!$K$4)),P1618*100+COUNTIFS($P$6:$P$3267,P1618,$Q$6:$Q$3267,"&lt;="&amp;Q1618,$N$6:$N$3267,Calendar!$K$4),"")</f>
        <v/>
      </c>
      <c r="W1618" s="47">
        <f>IF(AND(B1618=Queue!$C$4,OR(Queue!$K$4="*",N1618=Queue!$K$4)),Q1618,"")</f>
        <v/>
      </c>
    </row>
    <row r="1619">
      <c r="A1619" s="38">
        <f>IF(M1619="","",HYPERLINK("https://www.youtube.com/watch?v="&amp;M1619,"▶"))</f>
        <v/>
      </c>
      <c r="B1619" s="39">
        <f>IF(C1619&lt;&gt;"",C1619,IF(P1619&lt;=IFERROR(INDEX(tblChannels[Watched Through],MATCH(N1619,tblChannels[Channel ID],0)),0),"Watched","Unwatched"))</f>
        <v/>
      </c>
      <c r="C1619" s="40" t="n"/>
      <c r="D1619" s="41" t="n"/>
      <c r="E1619" s="42" t="n">
        <v>44001.25</v>
      </c>
      <c r="F1619" s="43" t="inlineStr">
        <is>
          <t>Popcorn Culture</t>
        </is>
      </c>
      <c r="G1619" t="inlineStr">
        <is>
          <t>28 - Is Everyone Let Down by Their Sports Teams?</t>
        </is>
      </c>
      <c r="H1619" s="44" t="n">
        <v>0.04542824074074074</v>
      </c>
      <c r="I1619" s="45" t="n">
        <v>4286</v>
      </c>
      <c r="J1619" s="45" t="n">
        <v>199</v>
      </c>
      <c r="K1619" s="45" t="n">
        <v>28</v>
      </c>
      <c r="L1619" s="46" t="n"/>
      <c r="M1619" s="47" t="n"/>
      <c r="N1619" s="47" t="inlineStr">
        <is>
          <t>UCHfIbq9thHPC8yrKjAdJgDA</t>
        </is>
      </c>
      <c r="O1619" s="48" t="n">
        <v>44001.41666666666</v>
      </c>
      <c r="P1619" s="49" t="n">
        <v>44001</v>
      </c>
      <c r="Q1619" s="47" t="n">
        <v>1649</v>
      </c>
      <c r="R1619" s="47" t="inlineStr">
        <is>
          <t>No Video ID yet</t>
        </is>
      </c>
      <c r="S1619" s="49" t="n"/>
      <c r="T1619" s="49" t="n"/>
      <c r="U1619" s="47" t="inlineStr">
        <is>
          <t>Ben and J discuss: soccer, basketball, being a sports fan, being let down as a sports fan, 30 Tips to Improve Yourself, waking up early, having confidence, and powerful music. 30 Tips to Improve Yourself: Nokia Phones Still Exist (Not Sponsored): What is Blood Doping: How long can you leave out milk?: Zombie Version 1: Zombie Version 2:</t>
        </is>
      </c>
      <c r="V1619" s="47">
        <f>IF(AND(P1619&gt;=Calendar!$K$2,P1619&lt;EDATE(Calendar!$K$2,1),OR(Calendar!$K$4="*",N1619=Calendar!$K$4)),P1619*100+COUNTIFS($P$6:$P$3267,P1619,$Q$6:$Q$3267,"&lt;="&amp;Q1619,$N$6:$N$3267,Calendar!$K$4),"")</f>
        <v/>
      </c>
      <c r="W1619" s="47">
        <f>IF(AND(B1619=Queue!$C$4,OR(Queue!$K$4="*",N1619=Queue!$K$4)),Q1619,"")</f>
        <v/>
      </c>
    </row>
    <row r="1620">
      <c r="A1620" s="38">
        <f>IF(M1620="","",HYPERLINK("https://www.youtube.com/watch?v="&amp;M1620,"▶"))</f>
        <v/>
      </c>
      <c r="B1620" s="39">
        <f>IF(C1620&lt;&gt;"",C1620,IF(P1620&lt;=IFERROR(INDEX(tblChannels[Watched Through],MATCH(N1620,tblChannels[Channel ID],0)),0),"Watched","Unwatched"))</f>
        <v/>
      </c>
      <c r="C1620" s="40" t="n"/>
      <c r="D1620" s="41" t="n"/>
      <c r="E1620" s="42" t="n">
        <v>44000.79930555556</v>
      </c>
      <c r="F1620" s="50" t="inlineStr">
        <is>
          <t>Super Carlin Brothers</t>
        </is>
      </c>
      <c r="G1620" t="inlineStr">
        <is>
          <t>Why Neville is ACTUALLY a Samurai [Harry Potter Theory]</t>
        </is>
      </c>
      <c r="H1620" s="44" t="n">
        <v>0.01159722222222222</v>
      </c>
      <c r="I1620" s="45" t="n">
        <v>359949</v>
      </c>
      <c r="J1620" s="45" t="n">
        <v>15305</v>
      </c>
      <c r="K1620" s="45" t="n">
        <v>2153</v>
      </c>
      <c r="L1620" s="46" t="n"/>
      <c r="M1620" s="47" t="n"/>
      <c r="N1620" s="47" t="inlineStr">
        <is>
          <t>UCKZo4N0lVPccBkSiuyVh4yg</t>
        </is>
      </c>
      <c r="O1620" s="48" t="n">
        <v>44000.96597222222</v>
      </c>
      <c r="P1620" s="49" t="n">
        <v>44000</v>
      </c>
      <c r="Q1620" s="47" t="n">
        <v>1648</v>
      </c>
      <c r="R1620" s="47" t="inlineStr">
        <is>
          <t>No Video ID yet</t>
        </is>
      </c>
      <c r="S1620" s="49" t="n"/>
      <c r="T1620" s="49" t="n"/>
      <c r="U1620" s="47" t="inlineStr">
        <is>
          <t>Get 20% off your first monthly box when you sign up at and enter the code ‘SUPER’ at checkout. Today Ben dives into the Wizarding World of Harry Potter to discuss everyone’s favorite Gryffindor: Neville Longbottom and tries to figure out his original wand core and wood PLUS why his second wand of Cherry and Unicorn actually makes him a SAMURAI!</t>
        </is>
      </c>
      <c r="V1620" s="47">
        <f>IF(AND(P1620&gt;=Calendar!$K$2,P1620&lt;EDATE(Calendar!$K$2,1),OR(Calendar!$K$4="*",N1620=Calendar!$K$4)),P1620*100+COUNTIFS($P$6:$P$3267,P1620,$Q$6:$Q$3267,"&lt;="&amp;Q1620,$N$6:$N$3267,Calendar!$K$4),"")</f>
        <v/>
      </c>
      <c r="W1620" s="47">
        <f>IF(AND(B1620=Queue!$C$4,OR(Queue!$K$4="*",N1620=Queue!$K$4)),Q1620,"")</f>
        <v/>
      </c>
    </row>
    <row r="1621">
      <c r="A1621" s="38">
        <f>IF(M1621="","",HYPERLINK("https://www.youtube.com/watch?v="&amp;M1621,"▶"))</f>
        <v/>
      </c>
      <c r="B1621" s="39">
        <f>IF(C1621&lt;&gt;"",C1621,IF(P1621&lt;=IFERROR(INDEX(tblChannels[Watched Through],MATCH(N1621,tblChannels[Channel ID],0)),0),"Watched","Unwatched"))</f>
        <v/>
      </c>
      <c r="C1621" s="40" t="n"/>
      <c r="D1621" s="41" t="n"/>
      <c r="E1621" s="42" t="n">
        <v>43999.25</v>
      </c>
      <c r="F1621" s="43" t="inlineStr">
        <is>
          <t>Popcorn Culture</t>
        </is>
      </c>
      <c r="G1621" t="inlineStr">
        <is>
          <t>27 - Send some love to the Caffeinator</t>
        </is>
      </c>
      <c r="H1621" s="44" t="n">
        <v>0.0424537037037037</v>
      </c>
      <c r="I1621" s="45" t="n">
        <v>3822</v>
      </c>
      <c r="J1621" s="45" t="n">
        <v>184</v>
      </c>
      <c r="K1621" s="45" t="n">
        <v>47</v>
      </c>
      <c r="L1621" s="46" t="n"/>
      <c r="M1621" s="47" t="n"/>
      <c r="N1621" s="47" t="inlineStr">
        <is>
          <t>UCHfIbq9thHPC8yrKjAdJgDA</t>
        </is>
      </c>
      <c r="O1621" s="48" t="n">
        <v>43999.41666666666</v>
      </c>
      <c r="P1621" s="49" t="n">
        <v>43999</v>
      </c>
      <c r="Q1621" s="47" t="n">
        <v>1647</v>
      </c>
      <c r="R1621" s="47" t="inlineStr">
        <is>
          <t>No Video ID yet</t>
        </is>
      </c>
      <c r="S1621" s="49" t="n"/>
      <c r="T1621" s="49" t="n"/>
      <c r="U1621" s="47" t="inlineStr">
        <is>
          <t>Ben and J discuss: pasta names, baby food, vacation snacks, Survivor, travel anxiety, how to say hello to cool people, “The Caffeinator”, how to blow your nose, cleaning up after your dogs, and composting. Pasta Types: Baby Led Weaning: Pecan Crusted Tilapia Recipe: The Caffeinator: Roomba Disaster:</t>
        </is>
      </c>
      <c r="V1621" s="47">
        <f>IF(AND(P1621&gt;=Calendar!$K$2,P1621&lt;EDATE(Calendar!$K$2,1),OR(Calendar!$K$4="*",N1621=Calendar!$K$4)),P1621*100+COUNTIFS($P$6:$P$3267,P1621,$Q$6:$Q$3267,"&lt;="&amp;Q1621,$N$6:$N$3267,Calendar!$K$4),"")</f>
        <v/>
      </c>
      <c r="W1621" s="47">
        <f>IF(AND(B1621=Queue!$C$4,OR(Queue!$K$4="*",N1621=Queue!$K$4)),Q1621,"")</f>
        <v/>
      </c>
    </row>
    <row r="1622">
      <c r="A1622" s="38">
        <f>IF(M1622="","",HYPERLINK("https://www.youtube.com/watch?v="&amp;M1622,"▶"))</f>
        <v/>
      </c>
      <c r="B1622" s="39">
        <f>IF(C1622&lt;&gt;"",C1622,IF(P1622&lt;=IFERROR(INDEX(tblChannels[Watched Through],MATCH(N1622,tblChannels[Channel ID],0)),0),"Watched","Unwatched"))</f>
        <v/>
      </c>
      <c r="C1622" s="40" t="n"/>
      <c r="D1622" s="41" t="n"/>
      <c r="E1622" s="42" t="n">
        <v>43998.85</v>
      </c>
      <c r="F1622" s="50" t="inlineStr">
        <is>
          <t>Super Carlin Brothers</t>
        </is>
      </c>
      <c r="G1622" t="inlineStr">
        <is>
          <t>The Knight Bus's BIG SECRET [Harry Potter Theory]</t>
        </is>
      </c>
      <c r="H1622" s="44" t="n">
        <v>0.008506944444444444</v>
      </c>
      <c r="I1622" s="45" t="n">
        <v>624970</v>
      </c>
      <c r="J1622" s="45" t="n">
        <v>26258</v>
      </c>
      <c r="K1622" s="45" t="n">
        <v>2927</v>
      </c>
      <c r="L1622" s="46" t="n"/>
      <c r="M1622" s="47" t="n"/>
      <c r="N1622" s="47" t="inlineStr">
        <is>
          <t>UCKZo4N0lVPccBkSiuyVh4yg</t>
        </is>
      </c>
      <c r="O1622" s="48" t="n">
        <v>43999.01666666667</v>
      </c>
      <c r="P1622" s="49" t="n">
        <v>43998</v>
      </c>
      <c r="Q1622" s="47" t="n">
        <v>1646</v>
      </c>
      <c r="R1622" s="47" t="inlineStr">
        <is>
          <t>No Video ID yet</t>
        </is>
      </c>
      <c r="S1622" s="49" t="n"/>
      <c r="T1622" s="49" t="n"/>
      <c r="U1622" s="47" t="inlineStr">
        <is>
          <t>Shiny Animal Shirts ►► Today J dives into the Wizarding World of Harry Potter to discuss the TRUTH about the Knight Bus and reveal its BIG Secret! #ChooFellOverFor</t>
        </is>
      </c>
      <c r="V1622" s="47">
        <f>IF(AND(P1622&gt;=Calendar!$K$2,P1622&lt;EDATE(Calendar!$K$2,1),OR(Calendar!$K$4="*",N1622=Calendar!$K$4)),P1622*100+COUNTIFS($P$6:$P$3267,P1622,$Q$6:$Q$3267,"&lt;="&amp;Q1622,$N$6:$N$3267,Calendar!$K$4),"")</f>
        <v/>
      </c>
      <c r="W1622" s="47">
        <f>IF(AND(B1622=Queue!$C$4,OR(Queue!$K$4="*",N1622=Queue!$K$4)),Q1622,"")</f>
        <v/>
      </c>
    </row>
    <row r="1623">
      <c r="A1623" s="38">
        <f>IF(M1623="","",HYPERLINK("https://www.youtube.com/watch?v="&amp;M1623,"▶"))</f>
        <v/>
      </c>
      <c r="B1623" s="39">
        <f>IF(C1623&lt;&gt;"",C1623,IF(P1623&lt;=IFERROR(INDEX(tblChannels[Watched Through],MATCH(N1623,tblChannels[Channel ID],0)),0),"Watched","Unwatched"))</f>
        <v/>
      </c>
      <c r="C1623" s="40" t="n"/>
      <c r="D1623" s="41" t="n"/>
      <c r="E1623" s="42" t="n">
        <v>43998.57847222222</v>
      </c>
      <c r="F1623" s="43" t="inlineStr">
        <is>
          <t>Popcorn Culture</t>
        </is>
      </c>
      <c r="G1623" t="inlineStr">
        <is>
          <t>26 - Foods that You Just Won’t Eat</t>
        </is>
      </c>
      <c r="H1623" s="44" t="n">
        <v>0.04342592592592592</v>
      </c>
      <c r="I1623" s="45" t="n">
        <v>4676</v>
      </c>
      <c r="J1623" s="45" t="n">
        <v>212</v>
      </c>
      <c r="K1623" s="45" t="n">
        <v>41</v>
      </c>
      <c r="L1623" s="46" t="n"/>
      <c r="M1623" s="47" t="n"/>
      <c r="N1623" s="47" t="inlineStr">
        <is>
          <t>UCHfIbq9thHPC8yrKjAdJgDA</t>
        </is>
      </c>
      <c r="O1623" s="48" t="n">
        <v>43998.74513888889</v>
      </c>
      <c r="P1623" s="49" t="n">
        <v>43998</v>
      </c>
      <c r="Q1623" s="47" t="n">
        <v>1645</v>
      </c>
      <c r="R1623" s="47" t="inlineStr">
        <is>
          <t>No Video ID yet</t>
        </is>
      </c>
      <c r="S1623" s="49" t="n"/>
      <c r="T1623" s="49" t="n"/>
      <c r="U1623" s="47" t="inlineStr">
        <is>
          <t>Ben and J discuss: sneezing and runny noses, Homework routines, peeing at the movies, end credits, high-pressure driving, hot dogs, foods that you won’t eat, and burrito hierarchy. Sneezing at the Sun: Is it dangerous to hold your pee?: The Great Burrito Debate:</t>
        </is>
      </c>
      <c r="V1623" s="47">
        <f>IF(AND(P1623&gt;=Calendar!$K$2,P1623&lt;EDATE(Calendar!$K$2,1),OR(Calendar!$K$4="*",N1623=Calendar!$K$4)),P1623*100+COUNTIFS($P$6:$P$3267,P1623,$Q$6:$Q$3267,"&lt;="&amp;Q1623,$N$6:$N$3267,Calendar!$K$4),"")</f>
        <v/>
      </c>
      <c r="W1623" s="47">
        <f>IF(AND(B1623=Queue!$C$4,OR(Queue!$K$4="*",N1623=Queue!$K$4)),Q1623,"")</f>
        <v/>
      </c>
    </row>
    <row r="1624">
      <c r="A1624" s="38">
        <f>IF(M1624="","",HYPERLINK("https://www.youtube.com/watch?v="&amp;M1624,"▶"))</f>
        <v/>
      </c>
      <c r="B1624" s="39">
        <f>IF(C1624&lt;&gt;"",C1624,IF(P1624&lt;=IFERROR(INDEX(tblChannels[Watched Through],MATCH(N1624,tblChannels[Channel ID],0)),0),"Watched","Unwatched"))</f>
        <v/>
      </c>
      <c r="C1624" s="40" t="n"/>
      <c r="D1624" s="41" t="n"/>
      <c r="E1624" s="42" t="n">
        <v>43994.78680555556</v>
      </c>
      <c r="F1624" s="50" t="inlineStr">
        <is>
          <t>Super Carlin Brothers</t>
        </is>
      </c>
      <c r="G1624" t="inlineStr">
        <is>
          <t>Disney Trivia Night LIVE STREAM!</t>
        </is>
      </c>
      <c r="H1624" s="44" t="n">
        <v>0.1085648148148148</v>
      </c>
      <c r="I1624" s="45" t="n">
        <v>164655</v>
      </c>
      <c r="J1624" s="45" t="n">
        <v>2869</v>
      </c>
      <c r="K1624" s="45" t="n">
        <v>231</v>
      </c>
      <c r="L1624" s="46" t="n"/>
      <c r="M1624" s="47" t="n"/>
      <c r="N1624" s="47" t="inlineStr">
        <is>
          <t>UCKZo4N0lVPccBkSiuyVh4yg</t>
        </is>
      </c>
      <c r="O1624" s="48" t="n">
        <v>43994.95347222222</v>
      </c>
      <c r="P1624" s="49" t="n">
        <v>43994</v>
      </c>
      <c r="Q1624" s="47" t="n">
        <v>1644</v>
      </c>
      <c r="R1624" s="47" t="inlineStr">
        <is>
          <t>No Video ID yet</t>
        </is>
      </c>
      <c r="S1624" s="49" t="n"/>
      <c r="T1624" s="49" t="n"/>
      <c r="U1624" s="47" t="inlineStr">
        <is>
          <t>Winners email: secretcarlinbrothers@gmail.com Scroll down for instructions on how to play along! Create the Change Shirts ►► Carlin Brothers Candles ►►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stream! Choose the color and shape which corresponds with the correc</t>
        </is>
      </c>
      <c r="V1624" s="47">
        <f>IF(AND(P1624&gt;=Calendar!$K$2,P1624&lt;EDATE(Calendar!$K$2,1),OR(Calendar!$K$4="*",N1624=Calendar!$K$4)),P1624*100+COUNTIFS($P$6:$P$3267,P1624,$Q$6:$Q$3267,"&lt;="&amp;Q1624,$N$6:$N$3267,Calendar!$K$4),"")</f>
        <v/>
      </c>
      <c r="W1624" s="47">
        <f>IF(AND(B1624=Queue!$C$4,OR(Queue!$K$4="*",N1624=Queue!$K$4)),Q1624,"")</f>
        <v/>
      </c>
    </row>
    <row r="1625">
      <c r="A1625" s="38">
        <f>IF(M1625="","",HYPERLINK("https://www.youtube.com/watch?v="&amp;M1625,"▶"))</f>
        <v/>
      </c>
      <c r="B1625" s="39">
        <f>IF(C1625&lt;&gt;"",C1625,IF(P1625&lt;=IFERROR(INDEX(tblChannels[Watched Through],MATCH(N1625,tblChannels[Channel ID],0)),0),"Watched","Unwatched"))</f>
        <v/>
      </c>
      <c r="C1625" s="40" t="n"/>
      <c r="D1625" s="41" t="n"/>
      <c r="E1625" s="42" t="n">
        <v>43993.93402777778</v>
      </c>
      <c r="F1625" s="50" t="inlineStr">
        <is>
          <t>Super Carlin Brothers</t>
        </is>
      </c>
      <c r="G1625" t="inlineStr">
        <is>
          <t>J vs Ben: The HARDEST Disney Princess Trivia Quiz EVER</t>
        </is>
      </c>
      <c r="H1625" s="44" t="n">
        <v>0.02341435185185185</v>
      </c>
      <c r="I1625" s="45" t="n">
        <v>357763</v>
      </c>
      <c r="J1625" s="45" t="n">
        <v>13033</v>
      </c>
      <c r="K1625" s="45" t="n">
        <v>2306</v>
      </c>
      <c r="L1625" s="46" t="n"/>
      <c r="M1625" s="47" t="n"/>
      <c r="N1625" s="47" t="inlineStr">
        <is>
          <t>UCKZo4N0lVPccBkSiuyVh4yg</t>
        </is>
      </c>
      <c r="O1625" s="48" t="n">
        <v>43994.10069444445</v>
      </c>
      <c r="P1625" s="49" t="n">
        <v>43993</v>
      </c>
      <c r="Q1625" s="47" t="n">
        <v>1643</v>
      </c>
      <c r="R1625" s="47" t="inlineStr">
        <is>
          <t>No Video ID yet</t>
        </is>
      </c>
      <c r="S1625" s="49" t="n"/>
      <c r="T1625" s="49" t="n"/>
      <c r="U1625" s="47" t="inlineStr">
        <is>
          <t>Looking for a straighter smile? Get started with $75 off by using code 'SCB' at Video Sponsored by Ridge Wallet: Use Code “SCB” for 10% off your order” Play along with us: Today J and Ben face off to find out who knows more about the Disney Princesses as they take the HARDEST Disney Princess quiz they could find! #SuperCarlinBrothers #DisneyPrincess</t>
        </is>
      </c>
      <c r="V1625" s="47">
        <f>IF(AND(P1625&gt;=Calendar!$K$2,P1625&lt;EDATE(Calendar!$K$2,1),OR(Calendar!$K$4="*",N1625=Calendar!$K$4)),P1625*100+COUNTIFS($P$6:$P$3267,P1625,$Q$6:$Q$3267,"&lt;="&amp;Q1625,$N$6:$N$3267,Calendar!$K$4),"")</f>
        <v/>
      </c>
      <c r="W1625" s="47">
        <f>IF(AND(B1625=Queue!$C$4,OR(Queue!$K$4="*",N1625=Queue!$K$4)),Q1625,"")</f>
        <v/>
      </c>
    </row>
    <row r="1626">
      <c r="A1626" s="38">
        <f>IF(M1626="","",HYPERLINK("https://www.youtube.com/watch?v="&amp;M1626,"▶"))</f>
        <v/>
      </c>
      <c r="B1626" s="39">
        <f>IF(C1626&lt;&gt;"",C1626,IF(P1626&lt;=IFERROR(INDEX(tblChannels[Watched Through],MATCH(N1626,tblChannels[Channel ID],0)),0),"Watched","Unwatched"))</f>
        <v/>
      </c>
      <c r="C1626" s="40" t="n"/>
      <c r="D1626" s="41" t="n"/>
      <c r="E1626" s="42" t="n">
        <v>43991.91805555556</v>
      </c>
      <c r="F1626" s="50" t="inlineStr">
        <is>
          <t>Super Carlin Brothers</t>
        </is>
      </c>
      <c r="G1626" t="inlineStr">
        <is>
          <t>How Frozen 2 Recreates EVERY Disney Princess Movie</t>
        </is>
      </c>
      <c r="H1626" s="44" t="n">
        <v>0.009594907407407408</v>
      </c>
      <c r="I1626" s="45" t="n">
        <v>666347</v>
      </c>
      <c r="J1626" s="45" t="n">
        <v>30516</v>
      </c>
      <c r="K1626" s="45" t="n">
        <v>2358</v>
      </c>
      <c r="L1626" s="46" t="n"/>
      <c r="M1626" s="47" t="n"/>
      <c r="N1626" s="47" t="inlineStr">
        <is>
          <t>UCKZo4N0lVPccBkSiuyVh4yg</t>
        </is>
      </c>
      <c r="O1626" s="48" t="n">
        <v>43992.08472222222</v>
      </c>
      <c r="P1626" s="49" t="n">
        <v>43991</v>
      </c>
      <c r="Q1626" s="47" t="n">
        <v>1642</v>
      </c>
      <c r="R1626" s="47" t="inlineStr">
        <is>
          <t>No Video ID yet</t>
        </is>
      </c>
      <c r="S1626" s="49" t="n"/>
      <c r="T1626" s="49" t="n"/>
      <c r="U1626" s="47" t="inlineStr">
        <is>
          <t>Video Sponsored by Ridge Wallet: Use Code “SCB” for 10% off your order Today J dives into the world of Frozen and Disney Princesses to show how Frozen 2 creatively recreated EVERY Disney Princess movie from Snow White to Moana inside of its story! #SuperCarlinBrothers #Frozen #DisneyPrincess</t>
        </is>
      </c>
      <c r="V1626" s="47">
        <f>IF(AND(P1626&gt;=Calendar!$K$2,P1626&lt;EDATE(Calendar!$K$2,1),OR(Calendar!$K$4="*",N1626=Calendar!$K$4)),P1626*100+COUNTIFS($P$6:$P$3267,P1626,$Q$6:$Q$3267,"&lt;="&amp;Q1626,$N$6:$N$3267,Calendar!$K$4),"")</f>
        <v/>
      </c>
      <c r="W1626" s="47">
        <f>IF(AND(B1626=Queue!$C$4,OR(Queue!$K$4="*",N1626=Queue!$K$4)),Q1626,"")</f>
        <v/>
      </c>
    </row>
    <row r="1627">
      <c r="A1627" s="38">
        <f>IF(M1627="","",HYPERLINK("https://www.youtube.com/watch?v="&amp;M1627,"▶"))</f>
        <v/>
      </c>
      <c r="B1627" s="39">
        <f>IF(C1627&lt;&gt;"",C1627,IF(P1627&lt;=IFERROR(INDEX(tblChannels[Watched Through],MATCH(N1627,tblChannels[Channel ID],0)),0),"Watched","Unwatched"))</f>
        <v/>
      </c>
      <c r="C1627" s="40" t="n"/>
      <c r="D1627" s="41" t="n"/>
      <c r="E1627" s="42" t="n">
        <v>43987.77222222222</v>
      </c>
      <c r="F1627" s="50" t="inlineStr">
        <is>
          <t>Super Carlin Brothers</t>
        </is>
      </c>
      <c r="G1627" t="inlineStr">
        <is>
          <t>Harry Potter Trivia Night LIVE STREAM!</t>
        </is>
      </c>
      <c r="H1627" s="44" t="n">
        <v>0.09461805555555555</v>
      </c>
      <c r="I1627" s="45" t="n">
        <v>165029</v>
      </c>
      <c r="J1627" s="45" t="n">
        <v>3192</v>
      </c>
      <c r="K1627" s="45" t="n">
        <v>176</v>
      </c>
      <c r="L1627" s="46" t="n"/>
      <c r="M1627" s="47" t="n"/>
      <c r="N1627" s="47" t="inlineStr">
        <is>
          <t>UCKZo4N0lVPccBkSiuyVh4yg</t>
        </is>
      </c>
      <c r="O1627" s="48" t="n">
        <v>43987.93888888889</v>
      </c>
      <c r="P1627" s="49" t="n">
        <v>43987</v>
      </c>
      <c r="Q1627" s="47" t="n">
        <v>1641</v>
      </c>
      <c r="R1627" s="47" t="inlineStr">
        <is>
          <t>No Video ID yet</t>
        </is>
      </c>
      <c r="S1627" s="49" t="n"/>
      <c r="T1627" s="49" t="n"/>
      <c r="U1627" s="47" t="inlineStr">
        <is>
          <t>Kahoot Issues Feedback►► Create the Change Shirts ►► Carlin Brothers Candles ►►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stream! Choose the color and shape which corresponds with the correct answer. Note: Answer buttons will appear on your screen 2-3 seconds be</t>
        </is>
      </c>
      <c r="V1627" s="47">
        <f>IF(AND(P1627&gt;=Calendar!$K$2,P1627&lt;EDATE(Calendar!$K$2,1),OR(Calendar!$K$4="*",N1627=Calendar!$K$4)),P1627*100+COUNTIFS($P$6:$P$3267,P1627,$Q$6:$Q$3267,"&lt;="&amp;Q1627,$N$6:$N$3267,Calendar!$K$4),"")</f>
        <v/>
      </c>
      <c r="W1627" s="47">
        <f>IF(AND(B1627=Queue!$C$4,OR(Queue!$K$4="*",N1627=Queue!$K$4)),Q1627,"")</f>
        <v/>
      </c>
    </row>
    <row r="1628">
      <c r="A1628" s="38">
        <f>IF(M1628="","",HYPERLINK("https://www.youtube.com/watch?v="&amp;M1628,"▶"))</f>
        <v/>
      </c>
      <c r="B1628" s="39">
        <f>IF(C1628&lt;&gt;"",C1628,IF(P1628&lt;=IFERROR(INDEX(tblChannels[Watched Through],MATCH(N1628,tblChannels[Channel ID],0)),0),"Watched","Unwatched"))</f>
        <v/>
      </c>
      <c r="C1628" s="40" t="n"/>
      <c r="D1628" s="41" t="n"/>
      <c r="E1628" s="42" t="n">
        <v>43986.77013888889</v>
      </c>
      <c r="F1628" s="50" t="inlineStr">
        <is>
          <t>Super Carlin Brothers</t>
        </is>
      </c>
      <c r="G1628" t="inlineStr">
        <is>
          <t>Why Snape Was Forced To Teach Potions [Harry Potter Theory]</t>
        </is>
      </c>
      <c r="H1628" s="44" t="n">
        <v>0.0102662037037037</v>
      </c>
      <c r="I1628" s="45" t="n">
        <v>1541426</v>
      </c>
      <c r="J1628" s="45" t="n">
        <v>44283</v>
      </c>
      <c r="K1628" s="45" t="n">
        <v>3573</v>
      </c>
      <c r="L1628" s="46" t="n"/>
      <c r="M1628" s="47" t="n"/>
      <c r="N1628" s="47" t="inlineStr">
        <is>
          <t>UCKZo4N0lVPccBkSiuyVh4yg</t>
        </is>
      </c>
      <c r="O1628" s="48" t="n">
        <v>43986.93680555555</v>
      </c>
      <c r="P1628" s="49" t="n">
        <v>43986</v>
      </c>
      <c r="Q1628" s="47" t="n">
        <v>1640</v>
      </c>
      <c r="R1628" s="47" t="inlineStr">
        <is>
          <t>No Video ID yet</t>
        </is>
      </c>
      <c r="S1628" s="49" t="n"/>
      <c r="T1628" s="49" t="n"/>
      <c r="U1628" s="47" t="inlineStr">
        <is>
          <t>Give a pair when you buy a pair, and get 20% off your first purchase at Today Ben dives into the Wizarding World of Harry Potter to unveil WHY Snape is forced to teach potions year after year despite being MORE than qualified to teach Defense Against the Dark Arts, especially when you consider some of the folks who were actually hired..</t>
        </is>
      </c>
      <c r="V1628" s="47">
        <f>IF(AND(P1628&gt;=Calendar!$K$2,P1628&lt;EDATE(Calendar!$K$2,1),OR(Calendar!$K$4="*",N1628=Calendar!$K$4)),P1628*100+COUNTIFS($P$6:$P$3267,P1628,$Q$6:$Q$3267,"&lt;="&amp;Q1628,$N$6:$N$3267,Calendar!$K$4),"")</f>
        <v/>
      </c>
      <c r="W1628" s="47">
        <f>IF(AND(B1628=Queue!$C$4,OR(Queue!$K$4="*",N1628=Queue!$K$4)),Q1628,"")</f>
        <v/>
      </c>
    </row>
    <row r="1629">
      <c r="A1629" s="38">
        <f>IF(M1629="","",HYPERLINK("https://www.youtube.com/watch?v="&amp;M1629,"▶"))</f>
        <v/>
      </c>
      <c r="B1629" s="39">
        <f>IF(C1629&lt;&gt;"",C1629,IF(P1629&lt;=IFERROR(INDEX(tblChannels[Watched Through],MATCH(N1629,tblChannels[Channel ID],0)),0),"Watched","Unwatched"))</f>
        <v/>
      </c>
      <c r="C1629" s="40" t="n"/>
      <c r="D1629" s="41" t="n"/>
      <c r="E1629" s="42" t="n">
        <v>43986.72361111111</v>
      </c>
      <c r="F1629" s="43" t="inlineStr">
        <is>
          <t>Popcorn Culture</t>
        </is>
      </c>
      <c r="G1629" t="inlineStr">
        <is>
          <t>25 - The Danger of Shuffle</t>
        </is>
      </c>
      <c r="H1629" s="44" t="n">
        <v>0.04428240740740741</v>
      </c>
      <c r="I1629" s="45" t="n">
        <v>5130</v>
      </c>
      <c r="J1629" s="45" t="n">
        <v>246</v>
      </c>
      <c r="K1629" s="45" t="n">
        <v>61</v>
      </c>
      <c r="L1629" s="46" t="n"/>
      <c r="M1629" s="47" t="n"/>
      <c r="N1629" s="47" t="inlineStr">
        <is>
          <t>UCHfIbq9thHPC8yrKjAdJgDA</t>
        </is>
      </c>
      <c r="O1629" s="48" t="n">
        <v>43986.89027777778</v>
      </c>
      <c r="P1629" s="49" t="n">
        <v>43986</v>
      </c>
      <c r="Q1629" s="47" t="n">
        <v>1639</v>
      </c>
      <c r="R1629" s="47" t="inlineStr">
        <is>
          <t>No Video ID yet</t>
        </is>
      </c>
      <c r="S1629" s="49" t="n"/>
      <c r="T1629" s="49" t="n"/>
      <c r="U1629" s="47" t="inlineStr">
        <is>
          <t>Ben and J discuss: talk shows, Tik Tok, YouTube watching habits, kid’s TV, creepy animation styles, bowling, beach country music, CDs, music tastes, and shuffle playlists. Spongebob Marching Band: What is a CD?: Ben’s Shuffle Playlist: J’s Shuffle Playlist:</t>
        </is>
      </c>
      <c r="V1629" s="47">
        <f>IF(AND(P1629&gt;=Calendar!$K$2,P1629&lt;EDATE(Calendar!$K$2,1),OR(Calendar!$K$4="*",N1629=Calendar!$K$4)),P1629*100+COUNTIFS($P$6:$P$3267,P1629,$Q$6:$Q$3267,"&lt;="&amp;Q1629,$N$6:$N$3267,Calendar!$K$4),"")</f>
        <v/>
      </c>
      <c r="W1629" s="47">
        <f>IF(AND(B1629=Queue!$C$4,OR(Queue!$K$4="*",N1629=Queue!$K$4)),Q1629,"")</f>
        <v/>
      </c>
    </row>
    <row r="1630">
      <c r="A1630" s="38">
        <f>IF(M1630="","",HYPERLINK("https://www.youtube.com/watch?v="&amp;M1630,"▶"))</f>
        <v/>
      </c>
      <c r="B1630" s="39">
        <f>IF(C1630&lt;&gt;"",C1630,IF(P1630&lt;=IFERROR(INDEX(tblChannels[Watched Through],MATCH(N1630,tblChannels[Channel ID],0)),0),"Watched","Unwatched"))</f>
        <v/>
      </c>
      <c r="C1630" s="40" t="n"/>
      <c r="D1630" s="41" t="n"/>
      <c r="E1630" s="42" t="n">
        <v>43980.88194444445</v>
      </c>
      <c r="F1630" s="50" t="inlineStr">
        <is>
          <t>Super Carlin Brothers</t>
        </is>
      </c>
      <c r="G1630" t="inlineStr">
        <is>
          <t>Harry Potter Trivia Night LIVE STREAM!</t>
        </is>
      </c>
      <c r="H1630" s="44" t="n">
        <v>0.1177314814814815</v>
      </c>
      <c r="I1630" s="45" t="n">
        <v>406512</v>
      </c>
      <c r="J1630" s="45" t="n">
        <v>3727</v>
      </c>
      <c r="K1630" s="45" t="n">
        <v>277</v>
      </c>
      <c r="L1630" s="46" t="n"/>
      <c r="M1630" s="47" t="n"/>
      <c r="N1630" s="47" t="inlineStr">
        <is>
          <t>UCKZo4N0lVPccBkSiuyVh4yg</t>
        </is>
      </c>
      <c r="O1630" s="48" t="n">
        <v>43981.04861111111</v>
      </c>
      <c r="P1630" s="49" t="n">
        <v>43980</v>
      </c>
      <c r="Q1630" s="47" t="n">
        <v>1638</v>
      </c>
      <c r="R1630" s="47" t="inlineStr">
        <is>
          <t>No Video ID yet</t>
        </is>
      </c>
      <c r="S1630" s="49" t="n"/>
      <c r="T1630" s="49" t="n"/>
      <c r="U1630" s="47" t="inlineStr">
        <is>
          <t xml:space="preserve">Carlin Brothers Candles ►►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stream! Choose the color and shape which corresponds with the correct answer. Note: Answer buttons will appear on your screen 2-3 seconds before the answer choices appear on the stream. If you </t>
        </is>
      </c>
      <c r="V1630" s="47">
        <f>IF(AND(P1630&gt;=Calendar!$K$2,P1630&lt;EDATE(Calendar!$K$2,1),OR(Calendar!$K$4="*",N1630=Calendar!$K$4)),P1630*100+COUNTIFS($P$6:$P$3267,P1630,$Q$6:$Q$3267,"&lt;="&amp;Q1630,$N$6:$N$3267,Calendar!$K$4),"")</f>
        <v/>
      </c>
      <c r="W1630" s="47">
        <f>IF(AND(B1630=Queue!$C$4,OR(Queue!$K$4="*",N1630=Queue!$K$4)),Q1630,"")</f>
        <v/>
      </c>
    </row>
    <row r="1631">
      <c r="A1631" s="38">
        <f>IF(M1631="","",HYPERLINK("https://www.youtube.com/watch?v="&amp;M1631,"▶"))</f>
        <v/>
      </c>
      <c r="B1631" s="39">
        <f>IF(C1631&lt;&gt;"",C1631,IF(P1631&lt;=IFERROR(INDEX(tblChannels[Watched Through],MATCH(N1631,tblChannels[Channel ID],0)),0),"Watched","Unwatched"))</f>
        <v/>
      </c>
      <c r="C1631" s="40" t="n"/>
      <c r="D1631" s="41" t="n"/>
      <c r="E1631" s="42" t="n">
        <v>43980.41319444445</v>
      </c>
      <c r="F1631" s="50" t="inlineStr">
        <is>
          <t>Super Carlin Brothers</t>
        </is>
      </c>
      <c r="G1631" t="inlineStr">
        <is>
          <t>J vs Ben: The ULTIMATE Harry Potter Divination Trivia Quiz</t>
        </is>
      </c>
      <c r="H1631" s="44" t="n">
        <v>0.02131944444444444</v>
      </c>
      <c r="I1631" s="45" t="n">
        <v>407705</v>
      </c>
      <c r="J1631" s="45" t="n">
        <v>13130</v>
      </c>
      <c r="K1631" s="45" t="n">
        <v>2998</v>
      </c>
      <c r="L1631" s="46" t="n"/>
      <c r="M1631" s="47" t="n"/>
      <c r="N1631" s="47" t="inlineStr">
        <is>
          <t>UCKZo4N0lVPccBkSiuyVh4yg</t>
        </is>
      </c>
      <c r="O1631" s="48" t="n">
        <v>43980.57986111111</v>
      </c>
      <c r="P1631" s="49" t="n">
        <v>43980</v>
      </c>
      <c r="Q1631" s="47" t="n">
        <v>1637</v>
      </c>
      <c r="R1631" s="47" t="inlineStr">
        <is>
          <t>No Video ID yet</t>
        </is>
      </c>
      <c r="S1631" s="49" t="n"/>
      <c r="T1631" s="49" t="n"/>
      <c r="U1631" s="47" t="inlineStr">
        <is>
          <t>Check out Vincero Watches and get up to 20% off and Free Shipping on the PERFECT Father's Day Gift Today: Play along with us: Today J and Ben face off to see who know’s more about the the unseen future of the wizarding world as they take the ULTIMATE Harry Potter Divination Trivia Quiz Video edited by: Scott Niswander #SuperCarlinBrothers #HarryPotter #JvsBen</t>
        </is>
      </c>
      <c r="V1631" s="47">
        <f>IF(AND(P1631&gt;=Calendar!$K$2,P1631&lt;EDATE(Calendar!$K$2,1),OR(Calendar!$K$4="*",N1631=Calendar!$K$4)),P1631*100+COUNTIFS($P$6:$P$3267,P1631,$Q$6:$Q$3267,"&lt;="&amp;Q1631,$N$6:$N$3267,Calendar!$K$4),"")</f>
        <v/>
      </c>
      <c r="W1631" s="47">
        <f>IF(AND(B1631=Queue!$C$4,OR(Queue!$K$4="*",N1631=Queue!$K$4)),Q1631,"")</f>
        <v/>
      </c>
    </row>
    <row r="1632">
      <c r="A1632" s="38">
        <f>IF(M1632="","",HYPERLINK("https://www.youtube.com/watch?v="&amp;M1632,"▶"))</f>
        <v/>
      </c>
      <c r="B1632" s="39">
        <f>IF(C1632&lt;&gt;"",C1632,IF(P1632&lt;=IFERROR(INDEX(tblChannels[Watched Through],MATCH(N1632,tblChannels[Channel ID],0)),0),"Watched","Unwatched"))</f>
        <v/>
      </c>
      <c r="C1632" s="40" t="n"/>
      <c r="D1632" s="41" t="n"/>
      <c r="E1632" s="42" t="n">
        <v>43977.73125</v>
      </c>
      <c r="F1632" s="50" t="inlineStr">
        <is>
          <t>Super Carlin Brothers</t>
        </is>
      </c>
      <c r="G1632" t="inlineStr">
        <is>
          <t>Dumbledore’s Big Plan: The Half-Blood Prince [Harry Potter Film Theory]</t>
        </is>
      </c>
      <c r="H1632" s="44" t="n">
        <v>0.01255787037037037</v>
      </c>
      <c r="I1632" s="45" t="n">
        <v>860236</v>
      </c>
      <c r="J1632" s="45" t="n">
        <v>28413</v>
      </c>
      <c r="K1632" s="45" t="n">
        <v>1779</v>
      </c>
      <c r="L1632" s="46" t="n"/>
      <c r="M1632" s="47" t="n"/>
      <c r="N1632" s="47" t="inlineStr">
        <is>
          <t>UCKZo4N0lVPccBkSiuyVh4yg</t>
        </is>
      </c>
      <c r="O1632" s="48" t="n">
        <v>43977.89791666667</v>
      </c>
      <c r="P1632" s="49" t="n">
        <v>43977</v>
      </c>
      <c r="Q1632" s="47" t="n">
        <v>1636</v>
      </c>
      <c r="R1632" s="47" t="inlineStr">
        <is>
          <t>No Video ID yet</t>
        </is>
      </c>
      <c r="S1632" s="49" t="n"/>
      <c r="T1632" s="49" t="n"/>
      <c r="U1632" s="47" t="inlineStr">
        <is>
          <t>Today J dives into the Wizarding World of Harry Potter for Part Six of Dumbledores Big Plan - The Half-Blood Prince.</t>
        </is>
      </c>
      <c r="V1632" s="47">
        <f>IF(AND(P1632&gt;=Calendar!$K$2,P1632&lt;EDATE(Calendar!$K$2,1),OR(Calendar!$K$4="*",N1632=Calendar!$K$4)),P1632*100+COUNTIFS($P$6:$P$3267,P1632,$Q$6:$Q$3267,"&lt;="&amp;Q1632,$N$6:$N$3267,Calendar!$K$4),"")</f>
        <v/>
      </c>
      <c r="W1632" s="47">
        <f>IF(AND(B1632=Queue!$C$4,OR(Queue!$K$4="*",N1632=Queue!$K$4)),Q1632,"")</f>
        <v/>
      </c>
    </row>
    <row r="1633">
      <c r="A1633" s="38">
        <f>IF(M1633="","",HYPERLINK("https://www.youtube.com/watch?v="&amp;M1633,"▶"))</f>
        <v/>
      </c>
      <c r="B1633" s="39">
        <f>IF(C1633&lt;&gt;"",C1633,IF(P1633&lt;=IFERROR(INDEX(tblChannels[Watched Through],MATCH(N1633,tblChannels[Channel ID],0)),0),"Watched","Unwatched"))</f>
        <v/>
      </c>
      <c r="C1633" s="40" t="n"/>
      <c r="D1633" s="41" t="n"/>
      <c r="E1633" s="42" t="n">
        <v>43973.86875</v>
      </c>
      <c r="F1633" s="50" t="inlineStr">
        <is>
          <t>Super Carlin Brothers</t>
        </is>
      </c>
      <c r="G1633" t="inlineStr">
        <is>
          <t>Harry Potter Trivia Night LIVE STREAM!</t>
        </is>
      </c>
      <c r="H1633" s="44" t="n">
        <v>0.1041319444444444</v>
      </c>
      <c r="I1633" s="45" t="n">
        <v>326236</v>
      </c>
      <c r="J1633" s="45" t="n">
        <v>4021</v>
      </c>
      <c r="K1633" s="45" t="n">
        <v>265</v>
      </c>
      <c r="L1633" s="46" t="n"/>
      <c r="M1633" s="47" t="n"/>
      <c r="N1633" s="47" t="inlineStr">
        <is>
          <t>UCKZo4N0lVPccBkSiuyVh4yg</t>
        </is>
      </c>
      <c r="O1633" s="48" t="n">
        <v>43974.03541666667</v>
      </c>
      <c r="P1633" s="49" t="n">
        <v>43973</v>
      </c>
      <c r="Q1633" s="47" t="n">
        <v>1635</v>
      </c>
      <c r="R1633" s="47" t="inlineStr">
        <is>
          <t>No Video ID yet</t>
        </is>
      </c>
      <c r="S1633" s="49" t="n"/>
      <c r="T1633" s="49" t="n"/>
      <c r="U1633" s="47" t="inlineStr">
        <is>
          <t>Play along with the Trivia Quizzes: Round 1: Round 2: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stream! Choose the color and shape which corresponds with the correct answer. Note: Answer buttons will appear on your screen 2-3 seconds before the answer choices ap</t>
        </is>
      </c>
      <c r="V1633" s="47">
        <f>IF(AND(P1633&gt;=Calendar!$K$2,P1633&lt;EDATE(Calendar!$K$2,1),OR(Calendar!$K$4="*",N1633=Calendar!$K$4)),P1633*100+COUNTIFS($P$6:$P$3267,P1633,$Q$6:$Q$3267,"&lt;="&amp;Q1633,$N$6:$N$3267,Calendar!$K$4),"")</f>
        <v/>
      </c>
      <c r="W1633" s="47">
        <f>IF(AND(B1633=Queue!$C$4,OR(Queue!$K$4="*",N1633=Queue!$K$4)),Q1633,"")</f>
        <v/>
      </c>
    </row>
    <row r="1634">
      <c r="A1634" s="38">
        <f>IF(M1634="","",HYPERLINK("https://www.youtube.com/watch?v="&amp;M1634,"▶"))</f>
        <v/>
      </c>
      <c r="B1634" s="39">
        <f>IF(C1634&lt;&gt;"",C1634,IF(P1634&lt;=IFERROR(INDEX(tblChannels[Watched Through],MATCH(N1634,tblChannels[Channel ID],0)),0),"Watched","Unwatched"))</f>
        <v/>
      </c>
      <c r="C1634" s="40" t="n"/>
      <c r="D1634" s="41" t="n"/>
      <c r="E1634" s="42" t="n">
        <v>43973.52708333333</v>
      </c>
      <c r="F1634" s="43" t="inlineStr">
        <is>
          <t>Popcorn Culture</t>
        </is>
      </c>
      <c r="G1634" t="inlineStr">
        <is>
          <t>24 - Strangely Private Conversations</t>
        </is>
      </c>
      <c r="H1634" s="44" t="n">
        <v>0.04335648148148148</v>
      </c>
      <c r="I1634" s="45" t="n">
        <v>7406</v>
      </c>
      <c r="J1634" s="45" t="n">
        <v>265</v>
      </c>
      <c r="K1634" s="45" t="n">
        <v>66</v>
      </c>
      <c r="L1634" s="46" t="n"/>
      <c r="M1634" s="47" t="n"/>
      <c r="N1634" s="47" t="inlineStr">
        <is>
          <t>UCHfIbq9thHPC8yrKjAdJgDA</t>
        </is>
      </c>
      <c r="O1634" s="48" t="n">
        <v>43973.69375</v>
      </c>
      <c r="P1634" s="49" t="n">
        <v>43973</v>
      </c>
      <c r="Q1634" s="47" t="n">
        <v>1634</v>
      </c>
      <c r="R1634" s="47" t="inlineStr">
        <is>
          <t>No Video ID yet</t>
        </is>
      </c>
      <c r="S1634" s="49" t="n"/>
      <c r="T1634" s="49" t="n"/>
      <c r="U1634" s="47" t="inlineStr">
        <is>
          <t>Ben and J discuss: small luxuries, personal scents, strangely private conversations, strong opinions about weak things, the “Collector’s Notion”, stationary bikes, drinking water, work systems, and words for “farts”. Carlin Brothers Coffee: The Power of Scent in Attraction: My Miami Chalice Coral: Peloton (race pack):</t>
        </is>
      </c>
      <c r="V1634" s="47">
        <f>IF(AND(P1634&gt;=Calendar!$K$2,P1634&lt;EDATE(Calendar!$K$2,1),OR(Calendar!$K$4="*",N1634=Calendar!$K$4)),P1634*100+COUNTIFS($P$6:$P$3267,P1634,$Q$6:$Q$3267,"&lt;="&amp;Q1634,$N$6:$N$3267,Calendar!$K$4),"")</f>
        <v/>
      </c>
      <c r="W1634" s="47">
        <f>IF(AND(B1634=Queue!$C$4,OR(Queue!$K$4="*",N1634=Queue!$K$4)),Q1634,"")</f>
        <v/>
      </c>
    </row>
    <row r="1635">
      <c r="A1635" s="38">
        <f>IF(M1635="","",HYPERLINK("https://www.youtube.com/watch?v="&amp;M1635,"▶"))</f>
        <v/>
      </c>
      <c r="B1635" s="39">
        <f>IF(C1635&lt;&gt;"",C1635,IF(P1635&lt;=IFERROR(INDEX(tblChannels[Watched Through],MATCH(N1635,tblChannels[Channel ID],0)),0),"Watched","Unwatched"))</f>
        <v/>
      </c>
      <c r="C1635" s="40" t="n"/>
      <c r="D1635" s="41" t="n"/>
      <c r="E1635" s="42" t="n">
        <v>43972.625</v>
      </c>
      <c r="F1635" s="50" t="inlineStr">
        <is>
          <t>Super Carlin Brothers</t>
        </is>
      </c>
      <c r="G1635" t="inlineStr">
        <is>
          <t>Why Was Wormtail In Gryffindor? [Harry Potter Explained]</t>
        </is>
      </c>
      <c r="H1635" s="44" t="n">
        <v>0.007418981481481481</v>
      </c>
      <c r="I1635" s="45" t="n">
        <v>584193</v>
      </c>
      <c r="J1635" s="45" t="n">
        <v>23146</v>
      </c>
      <c r="K1635" s="45" t="n">
        <v>2618</v>
      </c>
      <c r="L1635" s="46" t="n"/>
      <c r="M1635" s="47" t="n"/>
      <c r="N1635" s="47" t="inlineStr">
        <is>
          <t>UCKZo4N0lVPccBkSiuyVh4yg</t>
        </is>
      </c>
      <c r="O1635" s="48" t="n">
        <v>43972.79166666666</v>
      </c>
      <c r="P1635" s="49" t="n">
        <v>43972</v>
      </c>
      <c r="Q1635" s="47" t="n">
        <v>1633</v>
      </c>
      <c r="R1635" s="47" t="inlineStr">
        <is>
          <t>No Video ID yet</t>
        </is>
      </c>
      <c r="S1635" s="49" t="n"/>
      <c r="T1635" s="49" t="n"/>
      <c r="U1635" s="47" t="inlineStr">
        <is>
          <t>Today Ben dives into the Wizarding World of Harry Potter to answer an age old question: Why was Peter Pettigrew AKA Wormtail sorted into Gryffindor?!</t>
        </is>
      </c>
      <c r="V1635" s="47">
        <f>IF(AND(P1635&gt;=Calendar!$K$2,P1635&lt;EDATE(Calendar!$K$2,1),OR(Calendar!$K$4="*",N1635=Calendar!$K$4)),P1635*100+COUNTIFS($P$6:$P$3267,P1635,$Q$6:$Q$3267,"&lt;="&amp;Q1635,$N$6:$N$3267,Calendar!$K$4),"")</f>
        <v/>
      </c>
      <c r="W1635" s="47">
        <f>IF(AND(B1635=Queue!$C$4,OR(Queue!$K$4="*",N1635=Queue!$K$4)),Q1635,"")</f>
        <v/>
      </c>
    </row>
    <row r="1636">
      <c r="A1636" s="38">
        <f>IF(M1636="","",HYPERLINK("https://www.youtube.com/watch?v="&amp;M1636,"▶"))</f>
        <v/>
      </c>
      <c r="B1636" s="39">
        <f>IF(C1636&lt;&gt;"",C1636,IF(P1636&lt;=IFERROR(INDEX(tblChannels[Watched Through],MATCH(N1636,tblChannels[Channel ID],0)),0),"Watched","Unwatched"))</f>
        <v/>
      </c>
      <c r="C1636" s="40" t="n"/>
      <c r="D1636" s="41" t="n"/>
      <c r="E1636" s="42" t="n">
        <v>43970.73263888889</v>
      </c>
      <c r="F1636" s="50" t="inlineStr">
        <is>
          <t>Super Carlin Brothers</t>
        </is>
      </c>
      <c r="G1636" t="inlineStr">
        <is>
          <t>Dumbledore’s Big Plan: The Order of the Phoenix [Harry Potter Film Theory]</t>
        </is>
      </c>
      <c r="H1636" s="44" t="n">
        <v>0.0125462962962963</v>
      </c>
      <c r="I1636" s="45" t="n">
        <v>927795</v>
      </c>
      <c r="J1636" s="45" t="n">
        <v>28999</v>
      </c>
      <c r="K1636" s="45" t="n">
        <v>1942</v>
      </c>
      <c r="L1636" s="46" t="n"/>
      <c r="M1636" s="47" t="n"/>
      <c r="N1636" s="47" t="inlineStr">
        <is>
          <t>UCKZo4N0lVPccBkSiuyVh4yg</t>
        </is>
      </c>
      <c r="O1636" s="48" t="n">
        <v>43970.89930555555</v>
      </c>
      <c r="P1636" s="49" t="n">
        <v>43970</v>
      </c>
      <c r="Q1636" s="47" t="n">
        <v>1632</v>
      </c>
      <c r="R1636" s="47" t="inlineStr">
        <is>
          <t>No Video ID yet</t>
        </is>
      </c>
      <c r="S1636" s="49" t="n"/>
      <c r="T1636" s="49" t="n"/>
      <c r="U1636" s="47" t="inlineStr">
        <is>
          <t>Today J dives into the Wizarding World of Harry Potter for Part Five of Dumbledore's Big Plan - The Order of the Phoenix. Order of the Phoenix illustrations ::</t>
        </is>
      </c>
      <c r="V1636" s="47">
        <f>IF(AND(P1636&gt;=Calendar!$K$2,P1636&lt;EDATE(Calendar!$K$2,1),OR(Calendar!$K$4="*",N1636=Calendar!$K$4)),P1636*100+COUNTIFS($P$6:$P$3267,P1636,$Q$6:$Q$3267,"&lt;="&amp;Q1636,$N$6:$N$3267,Calendar!$K$4),"")</f>
        <v/>
      </c>
      <c r="W1636" s="47">
        <f>IF(AND(B1636=Queue!$C$4,OR(Queue!$K$4="*",N1636=Queue!$K$4)),Q1636,"")</f>
        <v/>
      </c>
    </row>
    <row r="1637">
      <c r="A1637" s="38">
        <f>IF(M1637="","",HYPERLINK("https://www.youtube.com/watch?v="&amp;M1637,"▶"))</f>
        <v/>
      </c>
      <c r="B1637" s="39">
        <f>IF(C1637&lt;&gt;"",C1637,IF(P1637&lt;=IFERROR(INDEX(tblChannels[Watched Through],MATCH(N1637,tblChannels[Channel ID],0)),0),"Watched","Unwatched"))</f>
        <v/>
      </c>
      <c r="C1637" s="40" t="n"/>
      <c r="D1637" s="41" t="n"/>
      <c r="E1637" s="42" t="n">
        <v>43966.87152777778</v>
      </c>
      <c r="F1637" s="50" t="inlineStr">
        <is>
          <t>Super Carlin Brothers</t>
        </is>
      </c>
      <c r="G1637" t="inlineStr">
        <is>
          <t>Harry Potter Trivia Night LIVE STREAM!</t>
        </is>
      </c>
      <c r="H1637" s="44" t="n">
        <v>0.09495370370370371</v>
      </c>
      <c r="I1637" s="45" t="n">
        <v>375311</v>
      </c>
      <c r="J1637" s="45" t="n">
        <v>5673</v>
      </c>
      <c r="K1637" s="45" t="n">
        <v>374</v>
      </c>
      <c r="L1637" s="46" t="n"/>
      <c r="M1637" s="47" t="n"/>
      <c r="N1637" s="47" t="inlineStr">
        <is>
          <t>UCKZo4N0lVPccBkSiuyVh4yg</t>
        </is>
      </c>
      <c r="O1637" s="48" t="n">
        <v>43967.03819444445</v>
      </c>
      <c r="P1637" s="49" t="n">
        <v>43966</v>
      </c>
      <c r="Q1637" s="47" t="n">
        <v>1631</v>
      </c>
      <c r="R1637" s="47" t="inlineStr">
        <is>
          <t>No Video ID yet</t>
        </is>
      </c>
      <c r="S1637" s="49" t="n"/>
      <c r="T1637" s="49" t="n"/>
      <c r="U1637" s="47" t="inlineStr">
        <is>
          <t>Play the trivia quiz along with us: HOW TO PLAY Kahoot with the Carlins! 1. Download the Kahoot app to your mobile device, or go to Kahoot.it to join the game! 2. Make sure you’re running the SCB Livestream on a different device or a different window than Kahoot! (We recommend having Kahoot on your phone and the stream on a computer or TV, but two tabs/windows on the same computer works as well!) 3. Shortly before we start the game, SCB will announce the game PIN. Enter the pin into your Kahoot App or at Kahoot.it 4. Enter a nickname for yourself and join the game! 5. Points are awarded for accuracy and speed, so make sure your live stream is caught up! You can skip ahead in the video, or set your video speed to 2x to catch up! (To increase video speed, click the settings gear near the bottom right corner (computer) or the 3 dots at the top right (mobile), then click "playback speed" and select a higher speed to catch up!) 6. Follow along with the stream and answer the questions as they appear in the stream! Choose the color and shape which corresponds with the correct answer. Note: Answer buttons will appear on your screen 2-3 seconds before the answer choices appear on the stream</t>
        </is>
      </c>
      <c r="V1637" s="47">
        <f>IF(AND(P1637&gt;=Calendar!$K$2,P1637&lt;EDATE(Calendar!$K$2,1),OR(Calendar!$K$4="*",N1637=Calendar!$K$4)),P1637*100+COUNTIFS($P$6:$P$3267,P1637,$Q$6:$Q$3267,"&lt;="&amp;Q1637,$N$6:$N$3267,Calendar!$K$4),"")</f>
        <v/>
      </c>
      <c r="W1637" s="47">
        <f>IF(AND(B1637=Queue!$C$4,OR(Queue!$K$4="*",N1637=Queue!$K$4)),Q1637,"")</f>
        <v/>
      </c>
    </row>
    <row r="1638">
      <c r="A1638" s="38">
        <f>IF(M1638="","",HYPERLINK("https://www.youtube.com/watch?v="&amp;M1638,"▶"))</f>
        <v/>
      </c>
      <c r="B1638" s="39">
        <f>IF(C1638&lt;&gt;"",C1638,IF(P1638&lt;=IFERROR(INDEX(tblChannels[Watched Through],MATCH(N1638,tblChannels[Channel ID],0)),0),"Watched","Unwatched"))</f>
        <v/>
      </c>
      <c r="C1638" s="40" t="n"/>
      <c r="D1638" s="41" t="n"/>
      <c r="E1638" s="42" t="n">
        <v>43966.25</v>
      </c>
      <c r="F1638" s="43" t="inlineStr">
        <is>
          <t>Popcorn Culture</t>
        </is>
      </c>
      <c r="G1638" t="inlineStr">
        <is>
          <t>23 - Things I Used to Spend Time Thinking About</t>
        </is>
      </c>
      <c r="H1638" s="44" t="n">
        <v>0.04331018518518519</v>
      </c>
      <c r="I1638" s="45" t="n">
        <v>5190</v>
      </c>
      <c r="J1638" s="45" t="n">
        <v>246</v>
      </c>
      <c r="K1638" s="45" t="n">
        <v>43</v>
      </c>
      <c r="L1638" s="46" t="n"/>
      <c r="M1638" s="47" t="n"/>
      <c r="N1638" s="47" t="inlineStr">
        <is>
          <t>UCHfIbq9thHPC8yrKjAdJgDA</t>
        </is>
      </c>
      <c r="O1638" s="48" t="n">
        <v>43966.41666666666</v>
      </c>
      <c r="P1638" s="49" t="n">
        <v>43966</v>
      </c>
      <c r="Q1638" s="47" t="n">
        <v>1630</v>
      </c>
      <c r="R1638" s="47" t="inlineStr">
        <is>
          <t>No Video ID yet</t>
        </is>
      </c>
      <c r="S1638" s="49" t="n"/>
      <c r="T1638" s="49" t="n"/>
      <c r="U1638" s="47" t="inlineStr">
        <is>
          <t>Ben and J discuss: social media, screen name origin stories, laundry, birth order, clothing as an expression of self, video games, Dad Carlin playing basketball, the 10,000 hour rule, learning to drive, and video games.</t>
        </is>
      </c>
      <c r="V1638" s="47">
        <f>IF(AND(P1638&gt;=Calendar!$K$2,P1638&lt;EDATE(Calendar!$K$2,1),OR(Calendar!$K$4="*",N1638=Calendar!$K$4)),P1638*100+COUNTIFS($P$6:$P$3267,P1638,$Q$6:$Q$3267,"&lt;="&amp;Q1638,$N$6:$N$3267,Calendar!$K$4),"")</f>
        <v/>
      </c>
      <c r="W1638" s="47">
        <f>IF(AND(B1638=Queue!$C$4,OR(Queue!$K$4="*",N1638=Queue!$K$4)),Q1638,"")</f>
        <v/>
      </c>
    </row>
    <row r="1639">
      <c r="A1639" s="38">
        <f>IF(M1639="","",HYPERLINK("https://www.youtube.com/watch?v="&amp;M1639,"▶"))</f>
        <v/>
      </c>
      <c r="B1639" s="39">
        <f>IF(C1639&lt;&gt;"",C1639,IF(P1639&lt;=IFERROR(INDEX(tblChannels[Watched Through],MATCH(N1639,tblChannels[Channel ID],0)),0),"Watched","Unwatched"))</f>
        <v/>
      </c>
      <c r="C1639" s="40" t="n"/>
      <c r="D1639" s="41" t="n"/>
      <c r="E1639" s="42" t="n">
        <v>43965.73055555556</v>
      </c>
      <c r="F1639" s="50" t="inlineStr">
        <is>
          <t>Super Carlin Brothers</t>
        </is>
      </c>
      <c r="G1639" t="inlineStr">
        <is>
          <t>J vs Ben: The ULTIMATE Weasley Family Quiz [Harry Potter Trivia]</t>
        </is>
      </c>
      <c r="H1639" s="44" t="n">
        <v>0.02391203703703704</v>
      </c>
      <c r="I1639" s="45" t="n">
        <v>877886</v>
      </c>
      <c r="J1639" s="45" t="n">
        <v>18451</v>
      </c>
      <c r="K1639" s="45" t="n">
        <v>2237</v>
      </c>
      <c r="L1639" s="46" t="n"/>
      <c r="M1639" s="47" t="n"/>
      <c r="N1639" s="47" t="inlineStr">
        <is>
          <t>UCKZo4N0lVPccBkSiuyVh4yg</t>
        </is>
      </c>
      <c r="O1639" s="48" t="n">
        <v>43965.89722222222</v>
      </c>
      <c r="P1639" s="49" t="n">
        <v>43965</v>
      </c>
      <c r="Q1639" s="47" t="n">
        <v>1629</v>
      </c>
      <c r="R1639" s="47" t="inlineStr">
        <is>
          <t>No Video ID yet</t>
        </is>
      </c>
      <c r="S1639" s="49" t="n"/>
      <c r="T1639" s="49" t="n"/>
      <c r="U1639" s="47" t="inlineStr">
        <is>
          <t>Today J and Ben face off in the Ultimate Weasley Harry Potter trivia quiz to find out who knows the most red haired family in the wizarding world the best!</t>
        </is>
      </c>
      <c r="V1639" s="47">
        <f>IF(AND(P1639&gt;=Calendar!$K$2,P1639&lt;EDATE(Calendar!$K$2,1),OR(Calendar!$K$4="*",N1639=Calendar!$K$4)),P1639*100+COUNTIFS($P$6:$P$3267,P1639,$Q$6:$Q$3267,"&lt;="&amp;Q1639,$N$6:$N$3267,Calendar!$K$4),"")</f>
        <v/>
      </c>
      <c r="W1639" s="47">
        <f>IF(AND(B1639=Queue!$C$4,OR(Queue!$K$4="*",N1639=Queue!$K$4)),Q1639,"")</f>
        <v/>
      </c>
    </row>
    <row r="1640">
      <c r="A1640" s="38">
        <f>IF(M1640="","",HYPERLINK("https://www.youtube.com/watch?v="&amp;M1640,"▶"))</f>
        <v/>
      </c>
      <c r="B1640" s="39">
        <f>IF(C1640&lt;&gt;"",C1640,IF(P1640&lt;=IFERROR(INDEX(tblChannels[Watched Through],MATCH(N1640,tblChannels[Channel ID],0)),0),"Watched","Unwatched"))</f>
        <v/>
      </c>
      <c r="C1640" s="40" t="n"/>
      <c r="D1640" s="41" t="n"/>
      <c r="E1640" s="42" t="n">
        <v>43963.65069444444</v>
      </c>
      <c r="F1640" s="50" t="inlineStr">
        <is>
          <t>Super Carlin Brothers</t>
        </is>
      </c>
      <c r="G1640" t="inlineStr">
        <is>
          <t>Dumbledore’s Big Plan: The Goblet of Fire [Harry Potter Film Theory]</t>
        </is>
      </c>
      <c r="H1640" s="44" t="n">
        <v>0.01287037037037037</v>
      </c>
      <c r="I1640" s="45" t="n">
        <v>996415</v>
      </c>
      <c r="J1640" s="45" t="n">
        <v>31000</v>
      </c>
      <c r="K1640" s="45" t="n">
        <v>2317</v>
      </c>
      <c r="L1640" s="46" t="n"/>
      <c r="M1640" s="47" t="n"/>
      <c r="N1640" s="47" t="inlineStr">
        <is>
          <t>UCKZo4N0lVPccBkSiuyVh4yg</t>
        </is>
      </c>
      <c r="O1640" s="48" t="n">
        <v>43963.81736111111</v>
      </c>
      <c r="P1640" s="49" t="n">
        <v>43963</v>
      </c>
      <c r="Q1640" s="47" t="n">
        <v>1628</v>
      </c>
      <c r="R1640" s="47" t="inlineStr">
        <is>
          <t>No Video ID yet</t>
        </is>
      </c>
      <c r="S1640" s="49" t="n"/>
      <c r="T1640" s="49" t="n"/>
      <c r="U1640" s="47" t="inlineStr">
        <is>
          <t>Get 20% off your first monthly box when you sign up at and enter the code super at checkout. Today J dives into the Wizarding World of Harry Potter for Part Four of Dumbledores Big Plan - The Goblet of Fire</t>
        </is>
      </c>
      <c r="V1640" s="47">
        <f>IF(AND(P1640&gt;=Calendar!$K$2,P1640&lt;EDATE(Calendar!$K$2,1),OR(Calendar!$K$4="*",N1640=Calendar!$K$4)),P1640*100+COUNTIFS($P$6:$P$3267,P1640,$Q$6:$Q$3267,"&lt;="&amp;Q1640,$N$6:$N$3267,Calendar!$K$4),"")</f>
        <v/>
      </c>
      <c r="W1640" s="47">
        <f>IF(AND(B1640=Queue!$C$4,OR(Queue!$K$4="*",N1640=Queue!$K$4)),Q1640,"")</f>
        <v/>
      </c>
    </row>
    <row r="1641">
      <c r="A1641" s="38">
        <f>IF(M1641="","",HYPERLINK("https://www.youtube.com/watch?v="&amp;M1641,"▶"))</f>
        <v/>
      </c>
      <c r="B1641" s="39">
        <f>IF(C1641&lt;&gt;"",C1641,IF(P1641&lt;=IFERROR(INDEX(tblChannels[Watched Through],MATCH(N1641,tblChannels[Channel ID],0)),0),"Watched","Unwatched"))</f>
        <v/>
      </c>
      <c r="C1641" s="40" t="n"/>
      <c r="D1641" s="41" t="n"/>
      <c r="E1641" s="42" t="n">
        <v>43959.83958333333</v>
      </c>
      <c r="F1641" s="50" t="inlineStr">
        <is>
          <t>Super Carlin Brothers</t>
        </is>
      </c>
      <c r="G1641" t="inlineStr">
        <is>
          <t>Theory Talk LIVE STREAM</t>
        </is>
      </c>
      <c r="H1641" s="44" t="n">
        <v>0.08120370370370371</v>
      </c>
      <c r="I1641" s="45" t="n">
        <v>230539</v>
      </c>
      <c r="J1641" s="45" t="n">
        <v>3634</v>
      </c>
      <c r="K1641" s="45" t="n">
        <v>344</v>
      </c>
      <c r="L1641" s="46" t="n"/>
      <c r="M1641" s="47" t="n"/>
      <c r="N1641" s="47" t="inlineStr">
        <is>
          <t>UCKZo4N0lVPccBkSiuyVh4yg</t>
        </is>
      </c>
      <c r="O1641" s="48" t="n">
        <v>43960.00625</v>
      </c>
      <c r="P1641" s="49" t="n">
        <v>43959</v>
      </c>
      <c r="Q1641" s="47" t="n">
        <v>1627</v>
      </c>
      <c r="R1641" s="47" t="inlineStr">
        <is>
          <t>No Video ID yet</t>
        </is>
      </c>
      <c r="S1641" s="49" t="n"/>
      <c r="T1641" s="49" t="n"/>
      <c r="U1641" s="47" t="inlineStr">
        <is>
          <t>Animal Foil SHIRTS :: Just hanging out talking Dumbledore's BIG Plan for Prisoner of Azkaban &amp; Goblet of FIre PLUS we are testing out a new game you guys can play with us! Feeding America :: Find your local Food Bank ::</t>
        </is>
      </c>
      <c r="V1641" s="47">
        <f>IF(AND(P1641&gt;=Calendar!$K$2,P1641&lt;EDATE(Calendar!$K$2,1),OR(Calendar!$K$4="*",N1641=Calendar!$K$4)),P1641*100+COUNTIFS($P$6:$P$3267,P1641,$Q$6:$Q$3267,"&lt;="&amp;Q1641,$N$6:$N$3267,Calendar!$K$4),"")</f>
        <v/>
      </c>
      <c r="W1641" s="47">
        <f>IF(AND(B1641=Queue!$C$4,OR(Queue!$K$4="*",N1641=Queue!$K$4)),Q1641,"")</f>
        <v/>
      </c>
    </row>
    <row r="1642">
      <c r="A1642" s="38">
        <f>IF(M1642="","",HYPERLINK("https://www.youtube.com/watch?v="&amp;M1642,"▶"))</f>
        <v/>
      </c>
      <c r="B1642" s="39">
        <f>IF(C1642&lt;&gt;"",C1642,IF(P1642&lt;=IFERROR(INDEX(tblChannels[Watched Through],MATCH(N1642,tblChannels[Channel ID],0)),0),"Watched","Unwatched"))</f>
        <v/>
      </c>
      <c r="C1642" s="40" t="n"/>
      <c r="D1642" s="41" t="n"/>
      <c r="E1642" s="42" t="n">
        <v>43959.25</v>
      </c>
      <c r="F1642" s="43" t="inlineStr">
        <is>
          <t>Popcorn Culture</t>
        </is>
      </c>
      <c r="G1642" t="inlineStr">
        <is>
          <t>22 - So Many Camping Stories</t>
        </is>
      </c>
      <c r="H1642" s="44" t="n">
        <v>0.0371412037037037</v>
      </c>
      <c r="I1642" s="45" t="n">
        <v>4844</v>
      </c>
      <c r="J1642" s="45" t="n">
        <v>246</v>
      </c>
      <c r="K1642" s="45" t="n">
        <v>35</v>
      </c>
      <c r="L1642" s="46" t="n"/>
      <c r="M1642" s="47" t="n"/>
      <c r="N1642" s="47" t="inlineStr">
        <is>
          <t>UCHfIbq9thHPC8yrKjAdJgDA</t>
        </is>
      </c>
      <c r="O1642" s="48" t="n">
        <v>43959.41666666666</v>
      </c>
      <c r="P1642" s="49" t="n">
        <v>43959</v>
      </c>
      <c r="Q1642" s="47" t="n">
        <v>1626</v>
      </c>
      <c r="R1642" s="47" t="inlineStr">
        <is>
          <t>No Video ID yet</t>
        </is>
      </c>
      <c r="S1642" s="49" t="n"/>
      <c r="T1642" s="49" t="n"/>
      <c r="U1642" s="47" t="inlineStr">
        <is>
          <t>Ben and J discuss: speedcubing, Hot Wheels, collecting, canoe camping, adventures with GMA, hiking, Waffle House, and Tyler mowing the lawn! Lakester: Treasure Hunt: Ben Telling the Coyote Story on the Vlog: J Telling the Fire Socks Story on Jonkerlin:</t>
        </is>
      </c>
      <c r="V1642" s="47">
        <f>IF(AND(P1642&gt;=Calendar!$K$2,P1642&lt;EDATE(Calendar!$K$2,1),OR(Calendar!$K$4="*",N1642=Calendar!$K$4)),P1642*100+COUNTIFS($P$6:$P$3267,P1642,$Q$6:$Q$3267,"&lt;="&amp;Q1642,$N$6:$N$3267,Calendar!$K$4),"")</f>
        <v/>
      </c>
      <c r="W1642" s="47">
        <f>IF(AND(B1642=Queue!$C$4,OR(Queue!$K$4="*",N1642=Queue!$K$4)),Q1642,"")</f>
        <v/>
      </c>
    </row>
    <row r="1643">
      <c r="A1643" s="38">
        <f>IF(M1643="","",HYPERLINK("https://www.youtube.com/watch?v="&amp;M1643,"▶"))</f>
        <v/>
      </c>
      <c r="B1643" s="39">
        <f>IF(C1643&lt;&gt;"",C1643,IF(P1643&lt;=IFERROR(INDEX(tblChannels[Watched Through],MATCH(N1643,tblChannels[Channel ID],0)),0),"Watched","Unwatched"))</f>
        <v/>
      </c>
      <c r="C1643" s="40" t="n"/>
      <c r="D1643" s="41" t="n"/>
      <c r="E1643" s="42" t="n">
        <v>43958.59097222222</v>
      </c>
      <c r="F1643" s="50" t="inlineStr">
        <is>
          <t>Super Carlin Brothers</t>
        </is>
      </c>
      <c r="G1643" t="inlineStr">
        <is>
          <t>How Harry Summoned Fawkes [Harry Potter Theory]</t>
        </is>
      </c>
      <c r="H1643" s="44" t="n">
        <v>0.008020833333333333</v>
      </c>
      <c r="I1643" s="45" t="n">
        <v>297833</v>
      </c>
      <c r="J1643" s="45" t="n">
        <v>14329</v>
      </c>
      <c r="K1643" s="45" t="n">
        <v>1325</v>
      </c>
      <c r="L1643" s="46" t="n"/>
      <c r="M1643" s="47" t="n"/>
      <c r="N1643" s="47" t="inlineStr">
        <is>
          <t>UCKZo4N0lVPccBkSiuyVh4yg</t>
        </is>
      </c>
      <c r="O1643" s="48" t="n">
        <v>43958.75763888889</v>
      </c>
      <c r="P1643" s="49" t="n">
        <v>43958</v>
      </c>
      <c r="Q1643" s="47" t="n">
        <v>1625</v>
      </c>
      <c r="R1643" s="47" t="inlineStr">
        <is>
          <t>No Video ID yet</t>
        </is>
      </c>
      <c r="S1643" s="49" t="n"/>
      <c r="T1643" s="49" t="n"/>
      <c r="U1643" s="47" t="inlineStr">
        <is>
          <t>Today Ben dives into the Wizarding World of Harry Potter to discuss one of the longest standing mysteries of the Chamber of Secrets: How did Harry Summon Fawkes to him!? Yea he was loyal to Dumbledore BUT WHAT DOES THAT MEAN?! HOW DOES THAT WORK!? Edited by: Jonathan Carlin</t>
        </is>
      </c>
      <c r="V1643" s="47">
        <f>IF(AND(P1643&gt;=Calendar!$K$2,P1643&lt;EDATE(Calendar!$K$2,1),OR(Calendar!$K$4="*",N1643=Calendar!$K$4)),P1643*100+COUNTIFS($P$6:$P$3267,P1643,$Q$6:$Q$3267,"&lt;="&amp;Q1643,$N$6:$N$3267,Calendar!$K$4),"")</f>
        <v/>
      </c>
      <c r="W1643" s="47">
        <f>IF(AND(B1643=Queue!$C$4,OR(Queue!$K$4="*",N1643=Queue!$K$4)),Q1643,"")</f>
        <v/>
      </c>
    </row>
    <row r="1644">
      <c r="A1644" s="38">
        <f>IF(M1644="","",HYPERLINK("https://www.youtube.com/watch?v="&amp;M1644,"▶"))</f>
        <v/>
      </c>
      <c r="B1644" s="39">
        <f>IF(C1644&lt;&gt;"",C1644,IF(P1644&lt;=IFERROR(INDEX(tblChannels[Watched Through],MATCH(N1644,tblChannels[Channel ID],0)),0),"Watched","Unwatched"))</f>
        <v/>
      </c>
      <c r="C1644" s="40" t="n"/>
      <c r="D1644" s="41" t="n"/>
      <c r="E1644" s="42" t="n">
        <v>43957.54444444444</v>
      </c>
      <c r="F1644" s="43" t="inlineStr">
        <is>
          <t>Popcorn Culture</t>
        </is>
      </c>
      <c r="G1644" t="inlineStr">
        <is>
          <t>21 - Growing Up With A Gravel Driveway Builds Character</t>
        </is>
      </c>
      <c r="H1644" s="44" t="n">
        <v>0.04011574074074074</v>
      </c>
      <c r="I1644" s="45" t="n">
        <v>4660</v>
      </c>
      <c r="J1644" s="45" t="n">
        <v>216</v>
      </c>
      <c r="K1644" s="45" t="n">
        <v>46</v>
      </c>
      <c r="L1644" s="46" t="n"/>
      <c r="M1644" s="47" t="n"/>
      <c r="N1644" s="47" t="inlineStr">
        <is>
          <t>UCHfIbq9thHPC8yrKjAdJgDA</t>
        </is>
      </c>
      <c r="O1644" s="48" t="n">
        <v>43957.71111111111</v>
      </c>
      <c r="P1644" s="49" t="n">
        <v>43957</v>
      </c>
      <c r="Q1644" s="47" t="n">
        <v>1624</v>
      </c>
      <c r="R1644" s="47" t="inlineStr">
        <is>
          <t>No Video ID yet</t>
        </is>
      </c>
      <c r="S1644" s="49" t="n"/>
      <c r="T1644" s="49" t="n"/>
      <c r="U1644" s="47" t="inlineStr">
        <is>
          <t>Ben and J discuss: beanbag chairs, cement vs concrete, basketball, having three children, words that only your family has, podcast catchphrases, quarantine updates, tik tok, and why it’s a bad idea to prank your office manager who writes your show notes. Love Sac Photo: Ben’s concrete project: When do you listen to the Pop?: Vote for the One True Host on Patreon:</t>
        </is>
      </c>
      <c r="V1644" s="47">
        <f>IF(AND(P1644&gt;=Calendar!$K$2,P1644&lt;EDATE(Calendar!$K$2,1),OR(Calendar!$K$4="*",N1644=Calendar!$K$4)),P1644*100+COUNTIFS($P$6:$P$3267,P1644,$Q$6:$Q$3267,"&lt;="&amp;Q1644,$N$6:$N$3267,Calendar!$K$4),"")</f>
        <v/>
      </c>
      <c r="W1644" s="47">
        <f>IF(AND(B1644=Queue!$C$4,OR(Queue!$K$4="*",N1644=Queue!$K$4)),Q1644,"")</f>
        <v/>
      </c>
    </row>
    <row r="1645">
      <c r="A1645" s="38">
        <f>IF(M1645="","",HYPERLINK("https://www.youtube.com/watch?v="&amp;M1645,"▶"))</f>
        <v/>
      </c>
      <c r="B1645" s="39">
        <f>IF(C1645&lt;&gt;"",C1645,IF(P1645&lt;=IFERROR(INDEX(tblChannels[Watched Through],MATCH(N1645,tblChannels[Channel ID],0)),0),"Watched","Unwatched"))</f>
        <v/>
      </c>
      <c r="C1645" s="40" t="n"/>
      <c r="D1645" s="41" t="n"/>
      <c r="E1645" s="42" t="n">
        <v>43956.63541666666</v>
      </c>
      <c r="F1645" s="50" t="inlineStr">
        <is>
          <t>Super Carlin Brothers</t>
        </is>
      </c>
      <c r="G1645" t="inlineStr">
        <is>
          <t>Dumbledore’s Big Plan: The Prisoner of Azkaban [Harry Potter Film Theory]</t>
        </is>
      </c>
      <c r="H1645" s="44" t="n">
        <v>0.01255787037037037</v>
      </c>
      <c r="I1645" s="45" t="n">
        <v>1085586</v>
      </c>
      <c r="J1645" s="45" t="n">
        <v>33406</v>
      </c>
      <c r="K1645" s="45" t="n">
        <v>2459</v>
      </c>
      <c r="L1645" s="46" t="n"/>
      <c r="M1645" s="47" t="n"/>
      <c r="N1645" s="47" t="inlineStr">
        <is>
          <t>UCKZo4N0lVPccBkSiuyVh4yg</t>
        </is>
      </c>
      <c r="O1645" s="48" t="n">
        <v>43956.80208333334</v>
      </c>
      <c r="P1645" s="49" t="n">
        <v>43956</v>
      </c>
      <c r="Q1645" s="47" t="n">
        <v>1623</v>
      </c>
      <c r="R1645" s="47" t="inlineStr">
        <is>
          <t>No Video ID yet</t>
        </is>
      </c>
      <c r="S1645" s="49" t="n"/>
      <c r="T1645" s="49" t="n"/>
      <c r="U1645" s="47" t="inlineStr">
        <is>
          <t>Foil Animal Shirts :: Today J dives into the Wizarding World of Harry Potter for Part Three of Dumbledores Big Plan - The Prisoner of Azkaban</t>
        </is>
      </c>
      <c r="V1645" s="47">
        <f>IF(AND(P1645&gt;=Calendar!$K$2,P1645&lt;EDATE(Calendar!$K$2,1),OR(Calendar!$K$4="*",N1645=Calendar!$K$4)),P1645*100+COUNTIFS($P$6:$P$3267,P1645,$Q$6:$Q$3267,"&lt;="&amp;Q1645,$N$6:$N$3267,Calendar!$K$4),"")</f>
        <v/>
      </c>
      <c r="W1645" s="47">
        <f>IF(AND(B1645=Queue!$C$4,OR(Queue!$K$4="*",N1645=Queue!$K$4)),Q1645,"")</f>
        <v/>
      </c>
    </row>
    <row r="1646">
      <c r="A1646" s="38">
        <f>IF(M1646="","",HYPERLINK("https://www.youtube.com/watch?v="&amp;M1646,"▶"))</f>
        <v/>
      </c>
      <c r="B1646" s="39">
        <f>IF(C1646&lt;&gt;"",C1646,IF(P1646&lt;=IFERROR(INDEX(tblChannels[Watched Through],MATCH(N1646,tblChannels[Channel ID],0)),0),"Watched","Unwatched"))</f>
        <v/>
      </c>
      <c r="C1646" s="40" t="n"/>
      <c r="D1646" s="41" t="n"/>
      <c r="E1646" s="42" t="n">
        <v>43956.60277777778</v>
      </c>
      <c r="F1646" s="43" t="inlineStr">
        <is>
          <t>Popcorn Culture</t>
        </is>
      </c>
      <c r="G1646" t="inlineStr">
        <is>
          <t>20 - Are Skateboards Cooler than Scooters</t>
        </is>
      </c>
      <c r="H1646" s="44" t="n">
        <v>0.04612268518518518</v>
      </c>
      <c r="I1646" s="45" t="n">
        <v>4791</v>
      </c>
      <c r="J1646" s="45" t="n">
        <v>228</v>
      </c>
      <c r="K1646" s="45" t="n">
        <v>43</v>
      </c>
      <c r="L1646" s="46" t="n"/>
      <c r="M1646" s="47" t="n"/>
      <c r="N1646" s="47" t="inlineStr">
        <is>
          <t>UCHfIbq9thHPC8yrKjAdJgDA</t>
        </is>
      </c>
      <c r="O1646" s="48" t="n">
        <v>43956.76944444444</v>
      </c>
      <c r="P1646" s="49" t="n">
        <v>43956</v>
      </c>
      <c r="Q1646" s="47" t="n">
        <v>1622</v>
      </c>
      <c r="R1646" s="47" t="inlineStr">
        <is>
          <t>No Video ID yet</t>
        </is>
      </c>
      <c r="S1646" s="49" t="n"/>
      <c r="T1646" s="49" t="n"/>
      <c r="U1646" s="47" t="inlineStr">
        <is>
          <t>Get 15% off your entire order by going to Ben and J discuss: childhood modes of transportation, walking steps, home renovations, shoes, discussion forums, pouring concrete, lawn mowing, and Rubik's cubes. Vincero Watches: Vote for the One True Host on Patreon:</t>
        </is>
      </c>
      <c r="V1646" s="47">
        <f>IF(AND(P1646&gt;=Calendar!$K$2,P1646&lt;EDATE(Calendar!$K$2,1),OR(Calendar!$K$4="*",N1646=Calendar!$K$4)),P1646*100+COUNTIFS($P$6:$P$3267,P1646,$Q$6:$Q$3267,"&lt;="&amp;Q1646,$N$6:$N$3267,Calendar!$K$4),"")</f>
        <v/>
      </c>
      <c r="W1646" s="47">
        <f>IF(AND(B1646=Queue!$C$4,OR(Queue!$K$4="*",N1646=Queue!$K$4)),Q1646,"")</f>
        <v/>
      </c>
    </row>
    <row r="1647">
      <c r="A1647" s="38">
        <f>IF(M1647="","",HYPERLINK("https://www.youtube.com/watch?v="&amp;M1647,"▶"))</f>
        <v/>
      </c>
      <c r="B1647" s="39">
        <f>IF(C1647&lt;&gt;"",C1647,IF(P1647&lt;=IFERROR(INDEX(tblChannels[Watched Through],MATCH(N1647,tblChannels[Channel ID],0)),0),"Watched","Unwatched"))</f>
        <v/>
      </c>
      <c r="C1647" s="40" t="n"/>
      <c r="D1647" s="41" t="n"/>
      <c r="E1647" s="42" t="n">
        <v>43952.85208333333</v>
      </c>
      <c r="F1647" s="50" t="inlineStr">
        <is>
          <t>Super Carlin Brothers</t>
        </is>
      </c>
      <c r="G1647" t="inlineStr">
        <is>
          <t>Theory Talk LIVE STREAM</t>
        </is>
      </c>
      <c r="H1647" s="44" t="n">
        <v>0.08480324074074073</v>
      </c>
      <c r="I1647" s="45" t="n">
        <v>132537</v>
      </c>
      <c r="J1647" s="45" t="n">
        <v>3584</v>
      </c>
      <c r="K1647" s="45" t="n">
        <v>374</v>
      </c>
      <c r="L1647" s="46" t="n"/>
      <c r="M1647" s="47" t="n"/>
      <c r="N1647" s="47" t="inlineStr">
        <is>
          <t>UCKZo4N0lVPccBkSiuyVh4yg</t>
        </is>
      </c>
      <c r="O1647" s="48" t="n">
        <v>43953.01875</v>
      </c>
      <c r="P1647" s="49" t="n">
        <v>43952</v>
      </c>
      <c r="Q1647" s="47" t="n">
        <v>1621</v>
      </c>
      <c r="R1647" s="47" t="inlineStr">
        <is>
          <t>No Video ID yet</t>
        </is>
      </c>
      <c r="S1647" s="49" t="n"/>
      <c r="T1647" s="49" t="n"/>
      <c r="U1647" s="47" t="inlineStr">
        <is>
          <t>Animal Foil SHIRTS :: Just hanging out talking Dumbledore's BIG Plan for Chamber of Secrets &amp; Prisoner of Azkaban PLUS the Disneyverse and MORE! Feeding America :: Find your local Food Bank ::</t>
        </is>
      </c>
      <c r="V1647" s="47">
        <f>IF(AND(P1647&gt;=Calendar!$K$2,P1647&lt;EDATE(Calendar!$K$2,1),OR(Calendar!$K$4="*",N1647=Calendar!$K$4)),P1647*100+COUNTIFS($P$6:$P$3267,P1647,$Q$6:$Q$3267,"&lt;="&amp;Q1647,$N$6:$N$3267,Calendar!$K$4),"")</f>
        <v/>
      </c>
      <c r="W1647" s="47">
        <f>IF(AND(B1647=Queue!$C$4,OR(Queue!$K$4="*",N1647=Queue!$K$4)),Q1647,"")</f>
        <v/>
      </c>
    </row>
    <row r="1648">
      <c r="A1648" s="38">
        <f>IF(M1648="","",HYPERLINK("https://www.youtube.com/watch?v="&amp;M1648,"▶"))</f>
        <v/>
      </c>
      <c r="B1648" s="39">
        <f>IF(C1648&lt;&gt;"",C1648,IF(P1648&lt;=IFERROR(INDEX(tblChannels[Watched Through],MATCH(N1648,tblChannels[Channel ID],0)),0),"Watched","Unwatched"))</f>
        <v/>
      </c>
      <c r="C1648" s="40" t="n"/>
      <c r="D1648" s="41" t="n"/>
      <c r="E1648" s="42" t="n">
        <v>43951.81388888889</v>
      </c>
      <c r="F1648" s="50" t="inlineStr">
        <is>
          <t>Super Carlin Brothers</t>
        </is>
      </c>
      <c r="G1648" t="inlineStr">
        <is>
          <t>J vs Ben: ULTIMATE Potions Harry Potter Trivia Quiz</t>
        </is>
      </c>
      <c r="H1648" s="44" t="n">
        <v>0.01600694444444445</v>
      </c>
      <c r="I1648" s="45" t="n">
        <v>437702</v>
      </c>
      <c r="J1648" s="45" t="n">
        <v>14407</v>
      </c>
      <c r="K1648" s="45" t="n">
        <v>1677</v>
      </c>
      <c r="L1648" s="46" t="n"/>
      <c r="M1648" s="47" t="n"/>
      <c r="N1648" s="47" t="inlineStr">
        <is>
          <t>UCKZo4N0lVPccBkSiuyVh4yg</t>
        </is>
      </c>
      <c r="O1648" s="48" t="n">
        <v>43951.98055555556</v>
      </c>
      <c r="P1648" s="49" t="n">
        <v>43951</v>
      </c>
      <c r="Q1648" s="47" t="n">
        <v>1620</v>
      </c>
      <c r="R1648" s="47" t="inlineStr">
        <is>
          <t>No Video ID yet</t>
        </is>
      </c>
      <c r="S1648" s="49" t="n"/>
      <c r="T1648" s="49" t="n"/>
      <c r="U1648" s="47" t="inlineStr">
        <is>
          <t>Today J and Ben face off once more to test their Harry Potter Trivia and find out who knows the most about Potions in the wizarding world! #JvsBen #SuperCarlinBrothers #HarryPotter arlin Brothers Coffee ►►</t>
        </is>
      </c>
      <c r="V1648" s="47">
        <f>IF(AND(P1648&gt;=Calendar!$K$2,P1648&lt;EDATE(Calendar!$K$2,1),OR(Calendar!$K$4="*",N1648=Calendar!$K$4)),P1648*100+COUNTIFS($P$6:$P$3267,P1648,$Q$6:$Q$3267,"&lt;="&amp;Q1648,$N$6:$N$3267,Calendar!$K$4),"")</f>
        <v/>
      </c>
      <c r="W1648" s="47">
        <f>IF(AND(B1648=Queue!$C$4,OR(Queue!$K$4="*",N1648=Queue!$K$4)),Q1648,"")</f>
        <v/>
      </c>
    </row>
    <row r="1649">
      <c r="A1649" s="38">
        <f>IF(M1649="","",HYPERLINK("https://www.youtube.com/watch?v="&amp;M1649,"▶"))</f>
        <v/>
      </c>
      <c r="B1649" s="39">
        <f>IF(C1649&lt;&gt;"",C1649,IF(P1649&lt;=IFERROR(INDEX(tblChannels[Watched Through],MATCH(N1649,tblChannels[Channel ID],0)),0),"Watched","Unwatched"))</f>
        <v/>
      </c>
      <c r="C1649" s="40" t="n"/>
      <c r="D1649" s="41" t="n"/>
      <c r="E1649" s="42" t="n">
        <v>43949.75069444445</v>
      </c>
      <c r="F1649" s="50" t="inlineStr">
        <is>
          <t>Super Carlin Brothers</t>
        </is>
      </c>
      <c r="G1649" t="inlineStr">
        <is>
          <t>Dumbledore’s Big Plan: The Chamber of Secrets [Harry Potter Film Theory]</t>
        </is>
      </c>
      <c r="H1649" s="44" t="n">
        <v>0.01197916666666667</v>
      </c>
      <c r="I1649" s="45" t="n">
        <v>1233265</v>
      </c>
      <c r="J1649" s="45" t="n">
        <v>36230</v>
      </c>
      <c r="K1649" s="45" t="n">
        <v>2566</v>
      </c>
      <c r="L1649" s="46" t="n"/>
      <c r="M1649" s="47" t="n"/>
      <c r="N1649" s="47" t="inlineStr">
        <is>
          <t>UCKZo4N0lVPccBkSiuyVh4yg</t>
        </is>
      </c>
      <c r="O1649" s="48" t="n">
        <v>43949.91736111111</v>
      </c>
      <c r="P1649" s="49" t="n">
        <v>43949</v>
      </c>
      <c r="Q1649" s="47" t="n">
        <v>1619</v>
      </c>
      <c r="R1649" s="47" t="inlineStr">
        <is>
          <t>No Video ID yet</t>
        </is>
      </c>
      <c r="S1649" s="49" t="n"/>
      <c r="T1649" s="49" t="n"/>
      <c r="U1649" s="47" t="inlineStr">
        <is>
          <t>Get 15% off your entire order OR 20% off order $200 or more by going to Today J dives into the Wizarding World of Harry Potter for Part Two of Dumbledores Big Plan - The Chamber of Secrets</t>
        </is>
      </c>
      <c r="V1649" s="47">
        <f>IF(AND(P1649&gt;=Calendar!$K$2,P1649&lt;EDATE(Calendar!$K$2,1),OR(Calendar!$K$4="*",N1649=Calendar!$K$4)),P1649*100+COUNTIFS($P$6:$P$3267,P1649,$Q$6:$Q$3267,"&lt;="&amp;Q1649,$N$6:$N$3267,Calendar!$K$4),"")</f>
        <v/>
      </c>
      <c r="W1649" s="47">
        <f>IF(AND(B1649=Queue!$C$4,OR(Queue!$K$4="*",N1649=Queue!$K$4)),Q1649,"")</f>
        <v/>
      </c>
    </row>
    <row r="1650">
      <c r="A1650" s="38">
        <f>IF(M1650="","",HYPERLINK("https://www.youtube.com/watch?v="&amp;M1650,"▶"))</f>
        <v/>
      </c>
      <c r="B1650" s="39">
        <f>IF(C1650&lt;&gt;"",C1650,IF(P1650&lt;=IFERROR(INDEX(tblChannels[Watched Through],MATCH(N1650,tblChannels[Channel ID],0)),0),"Watched","Unwatched"))</f>
        <v/>
      </c>
      <c r="C1650" s="40" t="n"/>
      <c r="D1650" s="41" t="n"/>
      <c r="E1650" s="42" t="n">
        <v>43945.93541666667</v>
      </c>
      <c r="F1650" s="50" t="inlineStr">
        <is>
          <t>Super Carlin Brothers</t>
        </is>
      </c>
      <c r="G1650" t="inlineStr">
        <is>
          <t>Theory Talk LIVE STREAM</t>
        </is>
      </c>
      <c r="H1650" s="44" t="n">
        <v>0.08721064814814815</v>
      </c>
      <c r="I1650" s="45" t="n">
        <v>164532</v>
      </c>
      <c r="J1650" s="45" t="n">
        <v>4945</v>
      </c>
      <c r="K1650" s="45" t="n">
        <v>508</v>
      </c>
      <c r="L1650" s="46" t="n"/>
      <c r="M1650" s="47" t="n"/>
      <c r="N1650" s="47" t="inlineStr">
        <is>
          <t>UCKZo4N0lVPccBkSiuyVh4yg</t>
        </is>
      </c>
      <c r="O1650" s="48" t="n">
        <v>43946.10208333333</v>
      </c>
      <c r="P1650" s="49" t="n">
        <v>43945</v>
      </c>
      <c r="Q1650" s="47" t="n">
        <v>1618</v>
      </c>
      <c r="R1650" s="47" t="inlineStr">
        <is>
          <t>No Video ID yet</t>
        </is>
      </c>
      <c r="S1650" s="49" t="n"/>
      <c r="T1650" s="49" t="n"/>
      <c r="U1650" s="47" t="inlineStr">
        <is>
          <t>Just hanging out talking Dumbledore's BIG Plan and the Disneyverse with all of you!</t>
        </is>
      </c>
      <c r="V1650" s="47">
        <f>IF(AND(P1650&gt;=Calendar!$K$2,P1650&lt;EDATE(Calendar!$K$2,1),OR(Calendar!$K$4="*",N1650=Calendar!$K$4)),P1650*100+COUNTIFS($P$6:$P$3267,P1650,$Q$6:$Q$3267,"&lt;="&amp;Q1650,$N$6:$N$3267,Calendar!$K$4),"")</f>
        <v/>
      </c>
      <c r="W1650" s="47">
        <f>IF(AND(B1650=Queue!$C$4,OR(Queue!$K$4="*",N1650=Queue!$K$4)),Q1650,"")</f>
        <v/>
      </c>
    </row>
    <row r="1651">
      <c r="A1651" s="38">
        <f>IF(M1651="","",HYPERLINK("https://www.youtube.com/watch?v="&amp;M1651,"▶"))</f>
        <v/>
      </c>
      <c r="B1651" s="39">
        <f>IF(C1651&lt;&gt;"",C1651,IF(P1651&lt;=IFERROR(INDEX(tblChannels[Watched Through],MATCH(N1651,tblChannels[Channel ID],0)),0),"Watched","Unwatched"))</f>
        <v/>
      </c>
      <c r="C1651" s="40" t="n"/>
      <c r="D1651" s="41" t="n"/>
      <c r="E1651" s="42" t="n">
        <v>43944.76597222222</v>
      </c>
      <c r="F1651" s="50" t="inlineStr">
        <is>
          <t>Super Carlin Brothers</t>
        </is>
      </c>
      <c r="G1651" t="inlineStr">
        <is>
          <t>The Disneyverse Theory</t>
        </is>
      </c>
      <c r="H1651" s="44" t="n">
        <v>0.01024305555555556</v>
      </c>
      <c r="I1651" s="45" t="n">
        <v>847968</v>
      </c>
      <c r="J1651" s="45" t="n">
        <v>34645</v>
      </c>
      <c r="K1651" s="45" t="n">
        <v>4674</v>
      </c>
      <c r="L1651" s="46" t="n"/>
      <c r="M1651" s="47" t="n"/>
      <c r="N1651" s="47" t="inlineStr">
        <is>
          <t>UCKZo4N0lVPccBkSiuyVh4yg</t>
        </is>
      </c>
      <c r="O1651" s="48" t="n">
        <v>43944.93263888889</v>
      </c>
      <c r="P1651" s="49" t="n">
        <v>43944</v>
      </c>
      <c r="Q1651" s="47" t="n">
        <v>1617</v>
      </c>
      <c r="R1651" s="47" t="inlineStr">
        <is>
          <t>No Video ID yet</t>
        </is>
      </c>
      <c r="S1651" s="49" t="n"/>
      <c r="T1651" s="49" t="n"/>
      <c r="U1651" s="47" t="inlineStr">
        <is>
          <t>You can get started with Candid with $75 off of by using code SCB at Today Ben dives into the world of Disney to discuss the possibility that Disney has been secretly building a joint universe between Frozen, Tangled, Wreck-It-Ralph, Zootopia, Moana and Big Hero 6! #Disney #SuperCarlinBrothers</t>
        </is>
      </c>
      <c r="V1651" s="47">
        <f>IF(AND(P1651&gt;=Calendar!$K$2,P1651&lt;EDATE(Calendar!$K$2,1),OR(Calendar!$K$4="*",N1651=Calendar!$K$4)),P1651*100+COUNTIFS($P$6:$P$3267,P1651,$Q$6:$Q$3267,"&lt;="&amp;Q1651,$N$6:$N$3267,Calendar!$K$4),"")</f>
        <v/>
      </c>
      <c r="W1651" s="47">
        <f>IF(AND(B1651=Queue!$C$4,OR(Queue!$K$4="*",N1651=Queue!$K$4)),Q1651,"")</f>
        <v/>
      </c>
    </row>
    <row r="1652">
      <c r="A1652" s="38">
        <f>IF(M1652="","",HYPERLINK("https://www.youtube.com/watch?v="&amp;M1652,"▶"))</f>
        <v/>
      </c>
      <c r="B1652" s="39">
        <f>IF(C1652&lt;&gt;"",C1652,IF(P1652&lt;=IFERROR(INDEX(tblChannels[Watched Through],MATCH(N1652,tblChannels[Channel ID],0)),0),"Watched","Unwatched"))</f>
        <v/>
      </c>
      <c r="C1652" s="40" t="n"/>
      <c r="D1652" s="41" t="n"/>
      <c r="E1652" s="42" t="n">
        <v>43942.77222222222</v>
      </c>
      <c r="F1652" s="50" t="inlineStr">
        <is>
          <t>Super Carlin Brothers</t>
        </is>
      </c>
      <c r="G1652" t="inlineStr">
        <is>
          <t>Dumbledore's BIG Plan: The Philosopher's Stone [Harry Potter Film Theory]</t>
        </is>
      </c>
      <c r="H1652" s="44" t="n">
        <v>0.01431712962962963</v>
      </c>
      <c r="I1652" s="45" t="n">
        <v>1891222</v>
      </c>
      <c r="J1652" s="45" t="n">
        <v>52201</v>
      </c>
      <c r="K1652" s="45" t="n">
        <v>4179</v>
      </c>
      <c r="L1652" s="46" t="n"/>
      <c r="M1652" s="47" t="n"/>
      <c r="N1652" s="47" t="inlineStr">
        <is>
          <t>UCKZo4N0lVPccBkSiuyVh4yg</t>
        </is>
      </c>
      <c r="O1652" s="48" t="n">
        <v>43942.93888888889</v>
      </c>
      <c r="P1652" s="49" t="n">
        <v>43942</v>
      </c>
      <c r="Q1652" s="47" t="n">
        <v>1616</v>
      </c>
      <c r="R1652" s="47" t="inlineStr">
        <is>
          <t>No Video ID yet</t>
        </is>
      </c>
      <c r="S1652" s="49" t="n"/>
      <c r="T1652" s="49" t="n"/>
      <c r="U1652" s="47" t="inlineStr">
        <is>
          <t>Today J dives into the Wizarding World of Harry Potter to reveal the insane depths of Dumbledore's big plan for Harry Potter and defeating Lord Voldemort.</t>
        </is>
      </c>
      <c r="V1652" s="47">
        <f>IF(AND(P1652&gt;=Calendar!$K$2,P1652&lt;EDATE(Calendar!$K$2,1),OR(Calendar!$K$4="*",N1652=Calendar!$K$4)),P1652*100+COUNTIFS($P$6:$P$3267,P1652,$Q$6:$Q$3267,"&lt;="&amp;Q1652,$N$6:$N$3267,Calendar!$K$4),"")</f>
        <v/>
      </c>
      <c r="W1652" s="47">
        <f>IF(AND(B1652=Queue!$C$4,OR(Queue!$K$4="*",N1652=Queue!$K$4)),Q1652,"")</f>
        <v/>
      </c>
    </row>
    <row r="1653">
      <c r="A1653" s="38">
        <f>IF(M1653="","",HYPERLINK("https://www.youtube.com/watch?v="&amp;M1653,"▶"))</f>
        <v/>
      </c>
      <c r="B1653" s="39">
        <f>IF(C1653&lt;&gt;"",C1653,IF(P1653&lt;=IFERROR(INDEX(tblChannels[Watched Through],MATCH(N1653,tblChannels[Channel ID],0)),0),"Watched","Unwatched"))</f>
        <v/>
      </c>
      <c r="C1653" s="40" t="n"/>
      <c r="D1653" s="41" t="n"/>
      <c r="E1653" s="42" t="n">
        <v>43939.89166666667</v>
      </c>
      <c r="F1653" s="43" t="inlineStr">
        <is>
          <t>Popcorn Culture</t>
        </is>
      </c>
      <c r="G1653" t="inlineStr">
        <is>
          <t>19 - What is it like being a YouTuber?</t>
        </is>
      </c>
      <c r="H1653" s="44" t="n">
        <v>0.03842592592592593</v>
      </c>
      <c r="I1653" s="45" t="n">
        <v>5445</v>
      </c>
      <c r="J1653" s="45" t="n">
        <v>248</v>
      </c>
      <c r="K1653" s="45" t="n">
        <v>17</v>
      </c>
      <c r="L1653" s="46" t="n"/>
      <c r="M1653" s="47" t="n"/>
      <c r="N1653" s="47" t="inlineStr">
        <is>
          <t>UCHfIbq9thHPC8yrKjAdJgDA</t>
        </is>
      </c>
      <c r="O1653" s="48" t="n">
        <v>43940.05833333333</v>
      </c>
      <c r="P1653" s="49" t="n">
        <v>43939</v>
      </c>
      <c r="Q1653" s="47" t="n">
        <v>1615</v>
      </c>
      <c r="R1653" s="47" t="inlineStr">
        <is>
          <t>No Video ID yet</t>
        </is>
      </c>
      <c r="S1653" s="49" t="n"/>
      <c r="T1653" s="49" t="n"/>
      <c r="U1653" s="47" t="inlineStr">
        <is>
          <t>Ben and J discuss: Playing Favorites, Self-Identification, Being a YouTuber, Diablo 2, Acting, Characters, Job Titles, Thumbnail Design, Burnout, and Listener Stories. Check out Scott from NerdSync: Vote for the One True Host on Patreon:</t>
        </is>
      </c>
      <c r="V1653" s="47">
        <f>IF(AND(P1653&gt;=Calendar!$K$2,P1653&lt;EDATE(Calendar!$K$2,1),OR(Calendar!$K$4="*",N1653=Calendar!$K$4)),P1653*100+COUNTIFS($P$6:$P$3267,P1653,$Q$6:$Q$3267,"&lt;="&amp;Q1653,$N$6:$N$3267,Calendar!$K$4),"")</f>
        <v/>
      </c>
      <c r="W1653" s="47">
        <f>IF(AND(B1653=Queue!$C$4,OR(Queue!$K$4="*",N1653=Queue!$K$4)),Q1653,"")</f>
        <v/>
      </c>
    </row>
    <row r="1654">
      <c r="A1654" s="38">
        <f>IF(M1654="","",HYPERLINK("https://www.youtube.com/watch?v="&amp;M1654,"▶"))</f>
        <v/>
      </c>
      <c r="B1654" s="39">
        <f>IF(C1654&lt;&gt;"",C1654,IF(P1654&lt;=IFERROR(INDEX(tblChannels[Watched Through],MATCH(N1654,tblChannels[Channel ID],0)),0),"Watched","Unwatched"))</f>
        <v/>
      </c>
      <c r="C1654" s="40" t="n"/>
      <c r="D1654" s="41" t="n"/>
      <c r="E1654" s="42" t="n">
        <v>43938.92777777778</v>
      </c>
      <c r="F1654" s="53" t="inlineStr">
        <is>
          <t>Jonathan Carlin</t>
        </is>
      </c>
      <c r="G1654" t="inlineStr">
        <is>
          <t>Q&amp;A with Beth and J! (and the twins)</t>
        </is>
      </c>
      <c r="H1654" s="44" t="n">
        <v>0.0415162037037037</v>
      </c>
      <c r="I1654" s="45" t="n">
        <v>45507</v>
      </c>
      <c r="J1654" s="45" t="n">
        <v>1793</v>
      </c>
      <c r="K1654" s="45" t="n">
        <v>180</v>
      </c>
      <c r="L1654" s="46" t="n"/>
      <c r="M1654" s="47" t="n"/>
      <c r="N1654" s="47" t="inlineStr">
        <is>
          <t>UCYPKFe86e6nm4TVUYKLsFUQ</t>
        </is>
      </c>
      <c r="O1654" s="48" t="n">
        <v>43939.09444444445</v>
      </c>
      <c r="P1654" s="49" t="n">
        <v>43938</v>
      </c>
      <c r="Q1654" s="47" t="n">
        <v>1614</v>
      </c>
      <c r="R1654" s="47" t="inlineStr">
        <is>
          <t>No Video ID yet</t>
        </is>
      </c>
      <c r="S1654" s="49" t="n"/>
      <c r="T1654" s="49" t="n"/>
      <c r="U1654" s="47" t="inlineStr">
        <is>
          <t>Beth and J just hanging out and chatting with you guys about the ups and downs of raising newborn twins and a toddler during the quarantine.</t>
        </is>
      </c>
      <c r="V1654" s="47">
        <f>IF(AND(P1654&gt;=Calendar!$K$2,P1654&lt;EDATE(Calendar!$K$2,1),OR(Calendar!$K$4="*",N1654=Calendar!$K$4)),P1654*100+COUNTIFS($P$6:$P$3267,P1654,$Q$6:$Q$3267,"&lt;="&amp;Q1654,$N$6:$N$3267,Calendar!$K$4),"")</f>
        <v/>
      </c>
      <c r="W1654" s="47">
        <f>IF(AND(B1654=Queue!$C$4,OR(Queue!$K$4="*",N1654=Queue!$K$4)),Q1654,"")</f>
        <v/>
      </c>
    </row>
    <row r="1655">
      <c r="A1655" s="38">
        <f>IF(M1655="","",HYPERLINK("https://www.youtube.com/watch?v="&amp;M1655,"▶"))</f>
        <v/>
      </c>
      <c r="B1655" s="39">
        <f>IF(C1655&lt;&gt;"",C1655,IF(P1655&lt;=IFERROR(INDEX(tblChannels[Watched Through],MATCH(N1655,tblChannels[Channel ID],0)),0),"Watched","Unwatched"))</f>
        <v/>
      </c>
      <c r="C1655" s="40" t="n"/>
      <c r="D1655" s="41" t="n"/>
      <c r="E1655" s="42" t="n">
        <v>43937.77708333333</v>
      </c>
      <c r="F1655" s="50" t="inlineStr">
        <is>
          <t>Super Carlin Brothers</t>
        </is>
      </c>
      <c r="G1655" t="inlineStr">
        <is>
          <t>J vs Ben: ULTIMATE Summer Sorcerer Harry Potter TRIVIA Quiz</t>
        </is>
      </c>
      <c r="H1655" s="44" t="n">
        <v>0.01203703703703704</v>
      </c>
      <c r="I1655" s="45" t="n">
        <v>378521</v>
      </c>
      <c r="J1655" s="45" t="n">
        <v>14466</v>
      </c>
      <c r="K1655" s="45" t="n">
        <v>1810</v>
      </c>
      <c r="L1655" s="46" t="n"/>
      <c r="M1655" s="47" t="n"/>
      <c r="N1655" s="47" t="inlineStr">
        <is>
          <t>UCKZo4N0lVPccBkSiuyVh4yg</t>
        </is>
      </c>
      <c r="O1655" s="48" t="n">
        <v>43937.94375</v>
      </c>
      <c r="P1655" s="49" t="n">
        <v>43937</v>
      </c>
      <c r="Q1655" s="47" t="n">
        <v>1613</v>
      </c>
      <c r="R1655" s="47" t="inlineStr">
        <is>
          <t>No Video ID yet</t>
        </is>
      </c>
      <c r="S1655" s="49" t="n"/>
      <c r="T1655" s="49" t="n"/>
      <c r="U1655" s="47" t="inlineStr">
        <is>
          <t>Today J and Ben face off in the Ultimate Wizard Summer showdown to see who knows more about what antics Harry gets up to during his time off from Hogwarts!</t>
        </is>
      </c>
      <c r="V1655" s="47">
        <f>IF(AND(P1655&gt;=Calendar!$K$2,P1655&lt;EDATE(Calendar!$K$2,1),OR(Calendar!$K$4="*",N1655=Calendar!$K$4)),P1655*100+COUNTIFS($P$6:$P$3267,P1655,$Q$6:$Q$3267,"&lt;="&amp;Q1655,$N$6:$N$3267,Calendar!$K$4),"")</f>
        <v/>
      </c>
      <c r="W1655" s="47">
        <f>IF(AND(B1655=Queue!$C$4,OR(Queue!$K$4="*",N1655=Queue!$K$4)),Q1655,"")</f>
        <v/>
      </c>
    </row>
    <row r="1656">
      <c r="A1656" s="38">
        <f>IF(M1656="","",HYPERLINK("https://www.youtube.com/watch?v="&amp;M1656,"▶"))</f>
        <v/>
      </c>
      <c r="B1656" s="39">
        <f>IF(C1656&lt;&gt;"",C1656,IF(P1656&lt;=IFERROR(INDEX(tblChannels[Watched Through],MATCH(N1656,tblChannels[Channel ID],0)),0),"Watched","Unwatched"))</f>
        <v/>
      </c>
      <c r="C1656" s="40" t="n"/>
      <c r="D1656" s="41" t="n"/>
      <c r="E1656" s="42" t="n">
        <v>43937.375</v>
      </c>
      <c r="F1656" s="43" t="inlineStr">
        <is>
          <t>Popcorn Culture</t>
        </is>
      </c>
      <c r="G1656" t="inlineStr">
        <is>
          <t>18 - It's Hard to be Cool at Middle School Dances</t>
        </is>
      </c>
      <c r="H1656" s="44" t="n">
        <v>0.03849537037037037</v>
      </c>
      <c r="I1656" s="45" t="n">
        <v>5582</v>
      </c>
      <c r="J1656" s="45" t="n">
        <v>239</v>
      </c>
      <c r="K1656" s="45" t="n">
        <v>43</v>
      </c>
      <c r="L1656" s="46" t="n"/>
      <c r="M1656" s="47" t="n"/>
      <c r="N1656" s="47" t="inlineStr">
        <is>
          <t>UCHfIbq9thHPC8yrKjAdJgDA</t>
        </is>
      </c>
      <c r="O1656" s="48" t="n">
        <v>43937.54166666666</v>
      </c>
      <c r="P1656" s="49" t="n">
        <v>43937</v>
      </c>
      <c r="Q1656" s="47" t="n">
        <v>1612</v>
      </c>
      <c r="R1656" s="47" t="inlineStr">
        <is>
          <t>No Video ID yet</t>
        </is>
      </c>
      <c r="S1656" s="49" t="n"/>
      <c r="T1656" s="49" t="n"/>
      <c r="U1656" s="47" t="inlineStr">
        <is>
          <t>Ben and J discuss: streaming, global changes from Covid, learning to dance, weddings, middle school dances, being “cool”, the Popcast, movie theaters, streaming services, Tiger King, and aquariums.</t>
        </is>
      </c>
      <c r="V1656" s="47">
        <f>IF(AND(P1656&gt;=Calendar!$K$2,P1656&lt;EDATE(Calendar!$K$2,1),OR(Calendar!$K$4="*",N1656=Calendar!$K$4)),P1656*100+COUNTIFS($P$6:$P$3267,P1656,$Q$6:$Q$3267,"&lt;="&amp;Q1656,$N$6:$N$3267,Calendar!$K$4),"")</f>
        <v/>
      </c>
      <c r="W1656" s="47">
        <f>IF(AND(B1656=Queue!$C$4,OR(Queue!$K$4="*",N1656=Queue!$K$4)),Q1656,"")</f>
        <v/>
      </c>
    </row>
    <row r="1657">
      <c r="A1657" s="38">
        <f>IF(M1657="","",HYPERLINK("https://www.youtube.com/watch?v="&amp;M1657,"▶"))</f>
        <v/>
      </c>
      <c r="B1657" s="39">
        <f>IF(C1657&lt;&gt;"",C1657,IF(P1657&lt;=IFERROR(INDEX(tblChannels[Watched Through],MATCH(N1657,tblChannels[Channel ID],0)),0),"Watched","Unwatched"))</f>
        <v/>
      </c>
      <c r="C1657" s="40" t="n"/>
      <c r="D1657" s="41" t="n"/>
      <c r="E1657" s="42" t="n">
        <v>43935.70972222222</v>
      </c>
      <c r="F1657" s="50" t="inlineStr">
        <is>
          <t>Super Carlin Brothers</t>
        </is>
      </c>
      <c r="G1657" t="inlineStr">
        <is>
          <t>Arendelle SHOULD Have Been Destroyed [Frozen Theory]</t>
        </is>
      </c>
      <c r="H1657" s="44" t="n">
        <v>0.009305555555555555</v>
      </c>
      <c r="I1657" s="45" t="n">
        <v>331397</v>
      </c>
      <c r="J1657" s="45" t="n">
        <v>16057</v>
      </c>
      <c r="K1657" s="45" t="n">
        <v>2062</v>
      </c>
      <c r="L1657" s="46" t="n"/>
      <c r="M1657" s="47" t="n"/>
      <c r="N1657" s="47" t="inlineStr">
        <is>
          <t>UCKZo4N0lVPccBkSiuyVh4yg</t>
        </is>
      </c>
      <c r="O1657" s="48" t="n">
        <v>43935.87638888889</v>
      </c>
      <c r="P1657" s="49" t="n">
        <v>43935</v>
      </c>
      <c r="Q1657" s="47" t="n">
        <v>1611</v>
      </c>
      <c r="R1657" s="47" t="inlineStr">
        <is>
          <t>No Video ID yet</t>
        </is>
      </c>
      <c r="S1657" s="49" t="n"/>
      <c r="T1657" s="49" t="n"/>
      <c r="U1657" s="47" t="inlineStr">
        <is>
          <t>Today J dives into the world of Disney's Frozen to discuss whether or not Arendelle, the city ruled by Anna and Elsa should have been destroyed at the end of the movie!</t>
        </is>
      </c>
      <c r="V1657" s="47">
        <f>IF(AND(P1657&gt;=Calendar!$K$2,P1657&lt;EDATE(Calendar!$K$2,1),OR(Calendar!$K$4="*",N1657=Calendar!$K$4)),P1657*100+COUNTIFS($P$6:$P$3267,P1657,$Q$6:$Q$3267,"&lt;="&amp;Q1657,$N$6:$N$3267,Calendar!$K$4),"")</f>
        <v/>
      </c>
      <c r="W1657" s="47">
        <f>IF(AND(B1657=Queue!$C$4,OR(Queue!$K$4="*",N1657=Queue!$K$4)),Q1657,"")</f>
        <v/>
      </c>
    </row>
    <row r="1658">
      <c r="A1658" s="38">
        <f>IF(M1658="","",HYPERLINK("https://www.youtube.com/watch?v="&amp;M1658,"▶"))</f>
        <v/>
      </c>
      <c r="B1658" s="39">
        <f>IF(C1658&lt;&gt;"",C1658,IF(P1658&lt;=IFERROR(INDEX(tblChannels[Watched Through],MATCH(N1658,tblChannels[Channel ID],0)),0),"Watched","Unwatched"))</f>
        <v/>
      </c>
      <c r="C1658" s="40" t="n"/>
      <c r="D1658" s="41" t="n"/>
      <c r="E1658" s="42" t="n">
        <v>43935.47708333333</v>
      </c>
      <c r="F1658" s="43" t="inlineStr">
        <is>
          <t>Popcorn Culture</t>
        </is>
      </c>
      <c r="G1658" t="inlineStr">
        <is>
          <t>17 - Things That I Thought Made Me Interesting</t>
        </is>
      </c>
      <c r="H1658" s="44" t="n">
        <v>0.0415625</v>
      </c>
      <c r="I1658" s="45" t="n">
        <v>5699</v>
      </c>
      <c r="J1658" s="45" t="n">
        <v>255</v>
      </c>
      <c r="K1658" s="45" t="n">
        <v>33</v>
      </c>
      <c r="L1658" s="46" t="n"/>
      <c r="M1658" s="47" t="n"/>
      <c r="N1658" s="47" t="inlineStr">
        <is>
          <t>UCHfIbq9thHPC8yrKjAdJgDA</t>
        </is>
      </c>
      <c r="O1658" s="48" t="n">
        <v>43935.64375</v>
      </c>
      <c r="P1658" s="49" t="n">
        <v>43935</v>
      </c>
      <c r="Q1658" s="47" t="n">
        <v>1610</v>
      </c>
      <c r="R1658" s="47" t="inlineStr">
        <is>
          <t>No Video ID yet</t>
        </is>
      </c>
      <c r="S1658" s="49" t="n"/>
      <c r="T1658" s="49" t="n"/>
      <c r="U1658" s="47" t="inlineStr">
        <is>
          <t>Ben and J discuss: speed bumps, loud cars, social distancing, talking to the void, bubblegum, ordering pizza, Things that I thought made me interesting, flip flops, sound systems, car noise, and college orientation. Steve Prefontaine Shoes: Who is Steve Prefontaine: How Gum is Made: Support the Pop Patreon:</t>
        </is>
      </c>
      <c r="V1658" s="47">
        <f>IF(AND(P1658&gt;=Calendar!$K$2,P1658&lt;EDATE(Calendar!$K$2,1),OR(Calendar!$K$4="*",N1658=Calendar!$K$4)),P1658*100+COUNTIFS($P$6:$P$3267,P1658,$Q$6:$Q$3267,"&lt;="&amp;Q1658,$N$6:$N$3267,Calendar!$K$4),"")</f>
        <v/>
      </c>
      <c r="W1658" s="47">
        <f>IF(AND(B1658=Queue!$C$4,OR(Queue!$K$4="*",N1658=Queue!$K$4)),Q1658,"")</f>
        <v/>
      </c>
    </row>
    <row r="1659">
      <c r="A1659" s="38">
        <f>IF(M1659="","",HYPERLINK("https://www.youtube.com/watch?v="&amp;M1659,"▶"))</f>
        <v/>
      </c>
      <c r="B1659" s="39">
        <f>IF(C1659&lt;&gt;"",C1659,IF(P1659&lt;=IFERROR(INDEX(tblChannels[Watched Through],MATCH(N1659,tblChannels[Channel ID],0)),0),"Watched","Unwatched"))</f>
        <v/>
      </c>
      <c r="C1659" s="40" t="n"/>
      <c r="D1659" s="41" t="n"/>
      <c r="E1659" s="42" t="n">
        <v>43930.73125</v>
      </c>
      <c r="F1659" s="50" t="inlineStr">
        <is>
          <t>Super Carlin Brothers</t>
        </is>
      </c>
      <c r="G1659" t="inlineStr">
        <is>
          <t>Top 7 Predictions For How Fantastic Beasts Will End [Harry Potter Theory]</t>
        </is>
      </c>
      <c r="H1659" s="44" t="n">
        <v>0.01292824074074074</v>
      </c>
      <c r="I1659" s="45" t="n">
        <v>613893</v>
      </c>
      <c r="J1659" s="45" t="n">
        <v>19168</v>
      </c>
      <c r="K1659" s="45" t="n">
        <v>1970</v>
      </c>
      <c r="L1659" s="46" t="n"/>
      <c r="M1659" s="47" t="n"/>
      <c r="N1659" s="47" t="inlineStr">
        <is>
          <t>UCKZo4N0lVPccBkSiuyVh4yg</t>
        </is>
      </c>
      <c r="O1659" s="48" t="n">
        <v>43930.89791666667</v>
      </c>
      <c r="P1659" s="49" t="n">
        <v>43930</v>
      </c>
      <c r="Q1659" s="47" t="n">
        <v>1609</v>
      </c>
      <c r="R1659" s="47" t="inlineStr">
        <is>
          <t>No Video ID yet</t>
        </is>
      </c>
      <c r="S1659" s="49" t="n"/>
      <c r="T1659" s="49" t="n"/>
      <c r="U1659" s="47" t="inlineStr">
        <is>
          <t>Today Ben dives into the Wizarding World of Harry Potter and Fantastic Beasts to countdown the top 7 predictions for how the rest of the series will shake out! Will Hagrid show up? Voldemort? Is Queenie doomed?</t>
        </is>
      </c>
      <c r="V1659" s="47">
        <f>IF(AND(P1659&gt;=Calendar!$K$2,P1659&lt;EDATE(Calendar!$K$2,1),OR(Calendar!$K$4="*",N1659=Calendar!$K$4)),P1659*100+COUNTIFS($P$6:$P$3267,P1659,$Q$6:$Q$3267,"&lt;="&amp;Q1659,$N$6:$N$3267,Calendar!$K$4),"")</f>
        <v/>
      </c>
      <c r="W1659" s="47">
        <f>IF(AND(B1659=Queue!$C$4,OR(Queue!$K$4="*",N1659=Queue!$K$4)),Q1659,"")</f>
        <v/>
      </c>
    </row>
    <row r="1660">
      <c r="A1660" s="38">
        <f>IF(M1660="","",HYPERLINK("https://www.youtube.com/watch?v="&amp;M1660,"▶"))</f>
        <v/>
      </c>
      <c r="B1660" s="39">
        <f>IF(C1660&lt;&gt;"",C1660,IF(P1660&lt;=IFERROR(INDEX(tblChannels[Watched Through],MATCH(N1660,tblChannels[Channel ID],0)),0),"Watched","Unwatched"))</f>
        <v/>
      </c>
      <c r="C1660" s="40" t="n"/>
      <c r="D1660" s="41" t="n"/>
      <c r="E1660" s="42" t="n">
        <v>43929.47569444445</v>
      </c>
      <c r="F1660" s="53" t="inlineStr">
        <is>
          <t>Jonathan Carlin</t>
        </is>
      </c>
      <c r="G1660" t="inlineStr">
        <is>
          <t>THE TWINS COME HOME!</t>
        </is>
      </c>
      <c r="H1660" s="44" t="n">
        <v>0.00863425925925926</v>
      </c>
      <c r="I1660" s="45" t="n">
        <v>61496</v>
      </c>
      <c r="J1660" s="45" t="n">
        <v>4228</v>
      </c>
      <c r="K1660" s="45" t="n">
        <v>564</v>
      </c>
      <c r="L1660" s="46" t="n"/>
      <c r="M1660" s="47" t="n"/>
      <c r="N1660" s="47" t="inlineStr">
        <is>
          <t>UCYPKFe86e6nm4TVUYKLsFUQ</t>
        </is>
      </c>
      <c r="O1660" s="48" t="n">
        <v>43929.64236111111</v>
      </c>
      <c r="P1660" s="49" t="n">
        <v>43929</v>
      </c>
      <c r="Q1660" s="47" t="n">
        <v>1608</v>
      </c>
      <c r="R1660" s="47" t="inlineStr">
        <is>
          <t>No Video ID yet</t>
        </is>
      </c>
      <c r="S1660" s="49" t="n"/>
      <c r="T1660" s="49" t="n"/>
      <c r="U1660" s="47" t="inlineStr">
        <is>
          <t>This week J and Beth prepare for the arrival of Nick and Nate at the house and the SCB crew bids a fond farewell to Seamus!</t>
        </is>
      </c>
      <c r="V1660" s="47">
        <f>IF(AND(P1660&gt;=Calendar!$K$2,P1660&lt;EDATE(Calendar!$K$2,1),OR(Calendar!$K$4="*",N1660=Calendar!$K$4)),P1660*100+COUNTIFS($P$6:$P$3267,P1660,$Q$6:$Q$3267,"&lt;="&amp;Q1660,$N$6:$N$3267,Calendar!$K$4),"")</f>
        <v/>
      </c>
      <c r="W1660" s="47">
        <f>IF(AND(B1660=Queue!$C$4,OR(Queue!$K$4="*",N1660=Queue!$K$4)),Q1660,"")</f>
        <v/>
      </c>
    </row>
    <row r="1661">
      <c r="A1661" s="38">
        <f>IF(M1661="","",HYPERLINK("https://www.youtube.com/watch?v="&amp;M1661,"▶"))</f>
        <v/>
      </c>
      <c r="B1661" s="39">
        <f>IF(C1661&lt;&gt;"",C1661,IF(P1661&lt;=IFERROR(INDEX(tblChannels[Watched Through],MATCH(N1661,tblChannels[Channel ID],0)),0),"Watched","Unwatched"))</f>
        <v/>
      </c>
      <c r="C1661" s="40" t="n"/>
      <c r="D1661" s="41" t="n"/>
      <c r="E1661" s="42" t="n">
        <v>43928.70972222222</v>
      </c>
      <c r="F1661" s="50" t="inlineStr">
        <is>
          <t>Super Carlin Brothers</t>
        </is>
      </c>
      <c r="G1661" t="inlineStr">
        <is>
          <t>Why Dementors ACTUALLY Affect Harry So Much [Harry Potter Theory]</t>
        </is>
      </c>
      <c r="H1661" s="44" t="n">
        <v>0.0071875</v>
      </c>
      <c r="I1661" s="45" t="n">
        <v>398904</v>
      </c>
      <c r="J1661" s="45" t="n">
        <v>19198</v>
      </c>
      <c r="K1661" s="45" t="n">
        <v>1769</v>
      </c>
      <c r="L1661" s="46" t="n"/>
      <c r="M1661" s="47" t="n"/>
      <c r="N1661" s="47" t="inlineStr">
        <is>
          <t>UCKZo4N0lVPccBkSiuyVh4yg</t>
        </is>
      </c>
      <c r="O1661" s="48" t="n">
        <v>43928.87638888889</v>
      </c>
      <c r="P1661" s="49" t="n">
        <v>43928</v>
      </c>
      <c r="Q1661" s="47" t="n">
        <v>1607</v>
      </c>
      <c r="R1661" s="47" t="inlineStr">
        <is>
          <t>No Video ID yet</t>
        </is>
      </c>
      <c r="S1661" s="49" t="n"/>
      <c r="T1661" s="49" t="n"/>
      <c r="U1661" s="47" t="inlineStr">
        <is>
          <t>Today J dives into the Wizarding world of Harry Potter to try and solve a long standing mystery: Why Dementors actually affect harry so much more than the rest of the students at Hogwarts?</t>
        </is>
      </c>
      <c r="V1661" s="47">
        <f>IF(AND(P1661&gt;=Calendar!$K$2,P1661&lt;EDATE(Calendar!$K$2,1),OR(Calendar!$K$4="*",N1661=Calendar!$K$4)),P1661*100+COUNTIFS($P$6:$P$3267,P1661,$Q$6:$Q$3267,"&lt;="&amp;Q1661,$N$6:$N$3267,Calendar!$K$4),"")</f>
        <v/>
      </c>
      <c r="W1661" s="47">
        <f>IF(AND(B1661=Queue!$C$4,OR(Queue!$K$4="*",N1661=Queue!$K$4)),Q1661,"")</f>
        <v/>
      </c>
    </row>
    <row r="1662">
      <c r="A1662" s="38">
        <f>IF(M1662="","",HYPERLINK("https://www.youtube.com/watch?v="&amp;M1662,"▶"))</f>
        <v/>
      </c>
      <c r="B1662" s="39">
        <f>IF(C1662&lt;&gt;"",C1662,IF(P1662&lt;=IFERROR(INDEX(tblChannels[Watched Through],MATCH(N1662,tblChannels[Channel ID],0)),0),"Watched","Unwatched"))</f>
        <v/>
      </c>
      <c r="C1662" s="40" t="n"/>
      <c r="D1662" s="41" t="n"/>
      <c r="E1662" s="42" t="n">
        <v>43925.77777777778</v>
      </c>
      <c r="F1662" s="52" t="inlineStr">
        <is>
          <t>Super Carlin Gaming</t>
        </is>
      </c>
      <c r="G1662" t="inlineStr">
        <is>
          <t>Can I Beat Pokemon LeafGreen with A SINGLE VULPIX? 🔥[Pokemon Challenge]</t>
        </is>
      </c>
      <c r="H1662" s="44" t="n">
        <v>0.02172453703703704</v>
      </c>
      <c r="I1662" s="45" t="n">
        <v>56239</v>
      </c>
      <c r="J1662" s="45" t="n">
        <v>2583</v>
      </c>
      <c r="K1662" s="45" t="n">
        <v>473</v>
      </c>
      <c r="L1662" s="46" t="n"/>
      <c r="M1662" s="47" t="n"/>
      <c r="N1662" s="47" t="inlineStr">
        <is>
          <t>UCor_9jRnNNZVzTuQ92PKsaQ</t>
        </is>
      </c>
      <c r="O1662" s="48" t="n">
        <v>43925.94444444445</v>
      </c>
      <c r="P1662" s="49" t="n">
        <v>43925</v>
      </c>
      <c r="Q1662" s="47" t="n">
        <v>1606</v>
      </c>
      <c r="R1662" s="47" t="inlineStr">
        <is>
          <t>No Video ID yet</t>
        </is>
      </c>
      <c r="S1662" s="49" t="n"/>
      <c r="T1662" s="49" t="n"/>
      <c r="U1662" s="47" t="inlineStr">
        <is>
          <t>J returns to the world of Pokemon to find out if he can beat Pokemon LeafGreen with a SINGLE Vulpix and no items in this brand new pokemon challenge!</t>
        </is>
      </c>
      <c r="V1662" s="47">
        <f>IF(AND(P1662&gt;=Calendar!$K$2,P1662&lt;EDATE(Calendar!$K$2,1),OR(Calendar!$K$4="*",N1662=Calendar!$K$4)),P1662*100+COUNTIFS($P$6:$P$3267,P1662,$Q$6:$Q$3267,"&lt;="&amp;Q1662,$N$6:$N$3267,Calendar!$K$4),"")</f>
        <v/>
      </c>
      <c r="W1662" s="47">
        <f>IF(AND(B1662=Queue!$C$4,OR(Queue!$K$4="*",N1662=Queue!$K$4)),Q1662,"")</f>
        <v/>
      </c>
    </row>
    <row r="1663">
      <c r="A1663" s="38">
        <f>IF(M1663="","",HYPERLINK("https://www.youtube.com/watch?v="&amp;M1663,"▶"))</f>
        <v/>
      </c>
      <c r="B1663" s="39">
        <f>IF(C1663&lt;&gt;"",C1663,IF(P1663&lt;=IFERROR(INDEX(tblChannels[Watched Through],MATCH(N1663,tblChannels[Channel ID],0)),0),"Watched","Unwatched"))</f>
        <v/>
      </c>
      <c r="C1663" s="40" t="n"/>
      <c r="D1663" s="41" t="n"/>
      <c r="E1663" s="42" t="n">
        <v>43923.80277777778</v>
      </c>
      <c r="F1663" s="50" t="inlineStr">
        <is>
          <t>Super Carlin Brothers</t>
        </is>
      </c>
      <c r="G1663" t="inlineStr">
        <is>
          <t>J vs Ben: The MEGA Harry Potter TRIVIA Quiz</t>
        </is>
      </c>
      <c r="H1663" s="44" t="n">
        <v>0.03295138888888889</v>
      </c>
      <c r="I1663" s="45" t="n">
        <v>1639075</v>
      </c>
      <c r="J1663" s="45" t="n">
        <v>26004</v>
      </c>
      <c r="K1663" s="45" t="n">
        <v>3421</v>
      </c>
      <c r="L1663" s="46" t="n"/>
      <c r="M1663" s="47" t="n"/>
      <c r="N1663" s="47" t="inlineStr">
        <is>
          <t>UCKZo4N0lVPccBkSiuyVh4yg</t>
        </is>
      </c>
      <c r="O1663" s="48" t="n">
        <v>43923.96944444445</v>
      </c>
      <c r="P1663" s="49" t="n">
        <v>43923</v>
      </c>
      <c r="Q1663" s="47" t="n">
        <v>1605</v>
      </c>
      <c r="R1663" s="47" t="inlineStr">
        <is>
          <t>No Video ID yet</t>
        </is>
      </c>
      <c r="S1663" s="49" t="n"/>
      <c r="T1663" s="49" t="n"/>
      <c r="U1663" s="47" t="inlineStr">
        <is>
          <t>Special thanks to all of our amazing patrons for submitting such excellent questions for today’s quiz! Today J and Ben face off to see how knows the most about any and EVERY area of Harry Potter and answer questions posed by their patrons!</t>
        </is>
      </c>
      <c r="V1663" s="47">
        <f>IF(AND(P1663&gt;=Calendar!$K$2,P1663&lt;EDATE(Calendar!$K$2,1),OR(Calendar!$K$4="*",N1663=Calendar!$K$4)),P1663*100+COUNTIFS($P$6:$P$3267,P1663,$Q$6:$Q$3267,"&lt;="&amp;Q1663,$N$6:$N$3267,Calendar!$K$4),"")</f>
        <v/>
      </c>
      <c r="W1663" s="47">
        <f>IF(AND(B1663=Queue!$C$4,OR(Queue!$K$4="*",N1663=Queue!$K$4)),Q1663,"")</f>
        <v/>
      </c>
    </row>
    <row r="1664">
      <c r="A1664" s="38">
        <f>IF(M1664="","",HYPERLINK("https://www.youtube.com/watch?v="&amp;M1664,"▶"))</f>
        <v/>
      </c>
      <c r="B1664" s="39">
        <f>IF(C1664&lt;&gt;"",C1664,IF(P1664&lt;=IFERROR(INDEX(tblChannels[Watched Through],MATCH(N1664,tblChannels[Channel ID],0)),0),"Watched","Unwatched"))</f>
        <v/>
      </c>
      <c r="C1664" s="40" t="n"/>
      <c r="D1664" s="41" t="n"/>
      <c r="E1664" s="42" t="n">
        <v>43923.375</v>
      </c>
      <c r="F1664" s="43" t="inlineStr">
        <is>
          <t>Popcorn Culture</t>
        </is>
      </c>
      <c r="G1664" t="inlineStr">
        <is>
          <t>16 - Harry Potter and Starting Super Carlin Brothers</t>
        </is>
      </c>
      <c r="H1664" s="44" t="n">
        <v>0.0467824074074074</v>
      </c>
      <c r="I1664" s="45" t="n">
        <v>9267</v>
      </c>
      <c r="J1664" s="45" t="n">
        <v>338</v>
      </c>
      <c r="K1664" s="45" t="n">
        <v>83</v>
      </c>
      <c r="L1664" s="46" t="n"/>
      <c r="M1664" s="47" t="n"/>
      <c r="N1664" s="47" t="inlineStr">
        <is>
          <t>UCHfIbq9thHPC8yrKjAdJgDA</t>
        </is>
      </c>
      <c r="O1664" s="48" t="n">
        <v>43923.54166666666</v>
      </c>
      <c r="P1664" s="49" t="n">
        <v>43923</v>
      </c>
      <c r="Q1664" s="47" t="n">
        <v>1604</v>
      </c>
      <c r="R1664" s="47" t="inlineStr">
        <is>
          <t>No Video ID yet</t>
        </is>
      </c>
      <c r="S1664" s="49" t="n"/>
      <c r="T1664" s="49" t="n"/>
      <c r="U1664" s="47" t="inlineStr">
        <is>
          <t>Ben and J discuss: The Emperor’s New Groove, plot holes, Harry Potter, snowball gifts, active reading, audiobooks, yard work, people pleasing, intent vs impact, SCB year 1, Covid-19, work from home, and wearing shoes at home. Show notes: Editor’s Note about Covid/Corona: latest data lead to the conclusion that you are NOT immune to Covid if you’ve already had it. Please stay safe! Support the Pop Patreon: Email us about your audiobook times: mailto: popcornculturepod@gmail.com At home rollercoaster: Submit Your Corny Jokes!:</t>
        </is>
      </c>
      <c r="V1664" s="47">
        <f>IF(AND(P1664&gt;=Calendar!$K$2,P1664&lt;EDATE(Calendar!$K$2,1),OR(Calendar!$K$4="*",N1664=Calendar!$K$4)),P1664*100+COUNTIFS($P$6:$P$3267,P1664,$Q$6:$Q$3267,"&lt;="&amp;Q1664,$N$6:$N$3267,Calendar!$K$4),"")</f>
        <v/>
      </c>
      <c r="W1664" s="47">
        <f>IF(AND(B1664=Queue!$C$4,OR(Queue!$K$4="*",N1664=Queue!$K$4)),Q1664,"")</f>
        <v/>
      </c>
    </row>
    <row r="1665">
      <c r="A1665" s="38">
        <f>IF(M1665="","",HYPERLINK("https://www.youtube.com/watch?v="&amp;M1665,"▶"))</f>
        <v/>
      </c>
      <c r="B1665" s="39">
        <f>IF(C1665&lt;&gt;"",C1665,IF(P1665&lt;=IFERROR(INDEX(tblChannels[Watched Through],MATCH(N1665,tblChannels[Channel ID],0)),0),"Watched","Unwatched"))</f>
        <v/>
      </c>
      <c r="C1665" s="40" t="n"/>
      <c r="D1665" s="41" t="n"/>
      <c r="E1665" s="42" t="n">
        <v>43921.63541666666</v>
      </c>
      <c r="F1665" s="50" t="inlineStr">
        <is>
          <t>Super Carlin Brothers</t>
        </is>
      </c>
      <c r="G1665" t="inlineStr">
        <is>
          <t>The Pixar Theory SONG | SuperCarlinBrothers Songify Remix by  Schmoyoho</t>
        </is>
      </c>
      <c r="H1665" s="44" t="n">
        <v>0.002395833333333333</v>
      </c>
      <c r="I1665" s="45" t="n">
        <v>339789</v>
      </c>
      <c r="J1665" s="45" t="n">
        <v>16084</v>
      </c>
      <c r="K1665" s="45" t="n">
        <v>1698</v>
      </c>
      <c r="L1665" s="46" t="n"/>
      <c r="M1665" s="47" t="n"/>
      <c r="N1665" s="47" t="inlineStr">
        <is>
          <t>UCKZo4N0lVPccBkSiuyVh4yg</t>
        </is>
      </c>
      <c r="O1665" s="48" t="n">
        <v>43921.80208333334</v>
      </c>
      <c r="P1665" s="49" t="n">
        <v>43921</v>
      </c>
      <c r="Q1665" s="47" t="n">
        <v>1603</v>
      </c>
      <c r="R1665" s="47" t="inlineStr">
        <is>
          <t>No Video ID yet</t>
        </is>
      </c>
      <c r="S1665" s="49" t="n"/>
      <c r="T1665" s="49" t="n"/>
      <c r="U1665" s="47" t="inlineStr">
        <is>
          <t>The Pixar Theory Song available for purchase and/or listen here :: Schmoyoho Channel ► The Pixar Theory.One GIANT timeline, one HUGE story.. and now IT'S A SONG!! Thank you so much to the wonderful Gregory Brothers who made this remix for us! Check it out and give them some love!</t>
        </is>
      </c>
      <c r="V1665" s="47">
        <f>IF(AND(P1665&gt;=Calendar!$K$2,P1665&lt;EDATE(Calendar!$K$2,1),OR(Calendar!$K$4="*",N1665=Calendar!$K$4)),P1665*100+COUNTIFS($P$6:$P$3267,P1665,$Q$6:$Q$3267,"&lt;="&amp;Q1665,$N$6:$N$3267,Calendar!$K$4),"")</f>
        <v/>
      </c>
      <c r="W1665" s="47">
        <f>IF(AND(B1665=Queue!$C$4,OR(Queue!$K$4="*",N1665=Queue!$K$4)),Q1665,"")</f>
        <v/>
      </c>
    </row>
    <row r="1666">
      <c r="A1666" s="38">
        <f>IF(M1666="","",HYPERLINK("https://www.youtube.com/watch?v="&amp;M1666,"▶"))</f>
        <v/>
      </c>
      <c r="B1666" s="39">
        <f>IF(C1666&lt;&gt;"",C1666,IF(P1666&lt;=IFERROR(INDEX(tblChannels[Watched Through],MATCH(N1666,tblChannels[Channel ID],0)),0),"Watched","Unwatched"))</f>
        <v/>
      </c>
      <c r="C1666" s="40" t="n"/>
      <c r="D1666" s="41" t="n"/>
      <c r="E1666" s="42" t="n">
        <v>43920.5875</v>
      </c>
      <c r="F1666" s="53" t="inlineStr">
        <is>
          <t>Jonathan Carlin</t>
        </is>
      </c>
      <c r="G1666" t="inlineStr">
        <is>
          <t>The Quarantine Begins!</t>
        </is>
      </c>
      <c r="H1666" s="44" t="n">
        <v>0.007442129629629629</v>
      </c>
      <c r="I1666" s="45" t="n">
        <v>53441</v>
      </c>
      <c r="J1666" s="45" t="n">
        <v>3201</v>
      </c>
      <c r="K1666" s="45" t="n">
        <v>469</v>
      </c>
      <c r="L1666" s="46" t="n"/>
      <c r="M1666" s="47" t="n"/>
      <c r="N1666" s="47" t="inlineStr">
        <is>
          <t>UCYPKFe86e6nm4TVUYKLsFUQ</t>
        </is>
      </c>
      <c r="O1666" s="48" t="n">
        <v>43920.75416666667</v>
      </c>
      <c r="P1666" s="49" t="n">
        <v>43920</v>
      </c>
      <c r="Q1666" s="47" t="n">
        <v>1602</v>
      </c>
      <c r="R1666" s="47" t="inlineStr">
        <is>
          <t>No Video ID yet</t>
        </is>
      </c>
      <c r="S1666" s="49" t="n"/>
      <c r="T1666" s="49" t="n"/>
      <c r="U1666" s="47" t="inlineStr">
        <is>
          <t>This week Seamus tries his FIRST EVER Peanut Butter and Jelly Sandwich and the SCB offices start working from home and practice social distancing.</t>
        </is>
      </c>
      <c r="V1666" s="47">
        <f>IF(AND(P1666&gt;=Calendar!$K$2,P1666&lt;EDATE(Calendar!$K$2,1),OR(Calendar!$K$4="*",N1666=Calendar!$K$4)),P1666*100+COUNTIFS($P$6:$P$3267,P1666,$Q$6:$Q$3267,"&lt;="&amp;Q1666,$N$6:$N$3267,Calendar!$K$4),"")</f>
        <v/>
      </c>
      <c r="W1666" s="47">
        <f>IF(AND(B1666=Queue!$C$4,OR(Queue!$K$4="*",N1666=Queue!$K$4)),Q1666,"")</f>
        <v/>
      </c>
    </row>
    <row r="1667">
      <c r="A1667" s="38">
        <f>IF(M1667="","",HYPERLINK("https://www.youtube.com/watch?v="&amp;M1667,"▶"))</f>
        <v/>
      </c>
      <c r="B1667" s="39">
        <f>IF(C1667&lt;&gt;"",C1667,IF(P1667&lt;=IFERROR(INDEX(tblChannels[Watched Through],MATCH(N1667,tblChannels[Channel ID],0)),0),"Watched","Unwatched"))</f>
        <v/>
      </c>
      <c r="C1667" s="40" t="n"/>
      <c r="D1667" s="41" t="n"/>
      <c r="E1667" s="42" t="n">
        <v>43916.75833333333</v>
      </c>
      <c r="F1667" s="50" t="inlineStr">
        <is>
          <t>Super Carlin Brothers</t>
        </is>
      </c>
      <c r="G1667" t="inlineStr">
        <is>
          <t>Monsters Inc and the MISSING A-113 Easter Egg</t>
        </is>
      </c>
      <c r="H1667" s="44" t="n">
        <v>0.008993055555555556</v>
      </c>
      <c r="I1667" s="45" t="n">
        <v>502185</v>
      </c>
      <c r="J1667" s="45" t="n">
        <v>18607</v>
      </c>
      <c r="K1667" s="45" t="n">
        <v>3107</v>
      </c>
      <c r="L1667" s="46" t="n"/>
      <c r="M1667" s="47" t="n"/>
      <c r="N1667" s="47" t="inlineStr">
        <is>
          <t>UCKZo4N0lVPccBkSiuyVh4yg</t>
        </is>
      </c>
      <c r="O1667" s="48" t="n">
        <v>43916.925</v>
      </c>
      <c r="P1667" s="49" t="n">
        <v>43916</v>
      </c>
      <c r="Q1667" s="47" t="n">
        <v>1601</v>
      </c>
      <c r="R1667" s="47" t="inlineStr">
        <is>
          <t>No Video ID yet</t>
        </is>
      </c>
      <c r="S1667" s="49" t="n"/>
      <c r="T1667" s="49" t="n"/>
      <c r="U1667" s="47" t="inlineStr">
        <is>
          <t>You can get started with Candid with $75 off of by using code SCB at Today Ben dives into the world of Pixar to try and unearth a the missing A113 Easter Egg from Monsters Inc! Does it exist? Can it be found? #SuperCarlinBrothers #Pixar</t>
        </is>
      </c>
      <c r="V1667" s="47">
        <f>IF(AND(P1667&gt;=Calendar!$K$2,P1667&lt;EDATE(Calendar!$K$2,1),OR(Calendar!$K$4="*",N1667=Calendar!$K$4)),P1667*100+COUNTIFS($P$6:$P$3267,P1667,$Q$6:$Q$3267,"&lt;="&amp;Q1667,$N$6:$N$3267,Calendar!$K$4),"")</f>
        <v/>
      </c>
      <c r="W1667" s="47">
        <f>IF(AND(B1667=Queue!$C$4,OR(Queue!$K$4="*",N1667=Queue!$K$4)),Q1667,"")</f>
        <v/>
      </c>
    </row>
    <row r="1668">
      <c r="A1668" s="38">
        <f>IF(M1668="","",HYPERLINK("https://www.youtube.com/watch?v="&amp;M1668,"▶"))</f>
        <v/>
      </c>
      <c r="B1668" s="39">
        <f>IF(C1668&lt;&gt;"",C1668,IF(P1668&lt;=IFERROR(INDEX(tblChannels[Watched Through],MATCH(N1668,tblChannels[Channel ID],0)),0),"Watched","Unwatched"))</f>
        <v/>
      </c>
      <c r="C1668" s="40" t="n"/>
      <c r="D1668" s="41" t="n"/>
      <c r="E1668" s="42" t="n">
        <v>43914.65</v>
      </c>
      <c r="F1668" s="50" t="inlineStr">
        <is>
          <t>Super Carlin Brothers</t>
        </is>
      </c>
      <c r="G1668" t="inlineStr">
        <is>
          <t>THE TWINS ARE BORN! - J Becomes a Dad! (again)</t>
        </is>
      </c>
      <c r="H1668" s="44" t="n">
        <v>0.01152777777777778</v>
      </c>
      <c r="I1668" s="45" t="n">
        <v>126348</v>
      </c>
      <c r="J1668" s="45" t="n">
        <v>9009</v>
      </c>
      <c r="K1668" s="45" t="n">
        <v>1022</v>
      </c>
      <c r="L1668" s="46" t="n"/>
      <c r="M1668" s="47" t="n"/>
      <c r="N1668" s="47" t="inlineStr">
        <is>
          <t>UCKZo4N0lVPccBkSiuyVh4yg</t>
        </is>
      </c>
      <c r="O1668" s="48" t="n">
        <v>43914.81666666667</v>
      </c>
      <c r="P1668" s="49" t="n">
        <v>43914</v>
      </c>
      <c r="Q1668" s="47" t="n">
        <v>1600</v>
      </c>
      <c r="R1668" s="47" t="inlineStr">
        <is>
          <t>No Video ID yet</t>
        </is>
      </c>
      <c r="S1668" s="49" t="n"/>
      <c r="T1668" s="49" t="n"/>
      <c r="U1668" s="47" t="inlineStr">
        <is>
          <t>Welcome to the world Nick &amp; Nate! Today J dives into the world of parenthood to discover what its like to be the father of three sons!</t>
        </is>
      </c>
      <c r="V1668" s="47">
        <f>IF(AND(P1668&gt;=Calendar!$K$2,P1668&lt;EDATE(Calendar!$K$2,1),OR(Calendar!$K$4="*",N1668=Calendar!$K$4)),P1668*100+COUNTIFS($P$6:$P$3267,P1668,$Q$6:$Q$3267,"&lt;="&amp;Q1668,$N$6:$N$3267,Calendar!$K$4),"")</f>
        <v/>
      </c>
      <c r="W1668" s="47">
        <f>IF(AND(B1668=Queue!$C$4,OR(Queue!$K$4="*",N1668=Queue!$K$4)),Q1668,"")</f>
        <v/>
      </c>
    </row>
    <row r="1669">
      <c r="A1669" s="38">
        <f>IF(M1669="","",HYPERLINK("https://www.youtube.com/watch?v="&amp;M1669,"▶"))</f>
        <v/>
      </c>
      <c r="B1669" s="39">
        <f>IF(C1669&lt;&gt;"",C1669,IF(P1669&lt;=IFERROR(INDEX(tblChannels[Watched Through],MATCH(N1669,tblChannels[Channel ID],0)),0),"Watched","Unwatched"))</f>
        <v/>
      </c>
      <c r="C1669" s="40" t="n"/>
      <c r="D1669" s="41" t="n"/>
      <c r="E1669" s="42" t="n">
        <v>43913.41666666666</v>
      </c>
      <c r="F1669" s="53" t="inlineStr">
        <is>
          <t>Jonathan Carlin</t>
        </is>
      </c>
      <c r="G1669" t="inlineStr">
        <is>
          <t>Holding Both Twins For The First Time!</t>
        </is>
      </c>
      <c r="H1669" s="44" t="n">
        <v>0.005960648148148148</v>
      </c>
      <c r="I1669" s="45" t="n">
        <v>47061</v>
      </c>
      <c r="J1669" s="45" t="n">
        <v>3208</v>
      </c>
      <c r="K1669" s="45" t="n">
        <v>255</v>
      </c>
      <c r="L1669" s="46" t="n"/>
      <c r="M1669" s="47" t="n"/>
      <c r="N1669" s="47" t="inlineStr">
        <is>
          <t>UCYPKFe86e6nm4TVUYKLsFUQ</t>
        </is>
      </c>
      <c r="O1669" s="48" t="n">
        <v>43913.58333333334</v>
      </c>
      <c r="P1669" s="49" t="n">
        <v>43913</v>
      </c>
      <c r="Q1669" s="47" t="n">
        <v>1599</v>
      </c>
      <c r="R1669" s="47" t="inlineStr">
        <is>
          <t>No Video ID yet</t>
        </is>
      </c>
      <c r="S1669" s="49" t="n"/>
      <c r="T1669" s="49" t="n"/>
      <c r="U1669" s="47" t="inlineStr">
        <is>
          <t>Three weeks into their NICU stay J is finally able to hold both of his new sons at the same time. Also Seamus and Mr. Bob start a country western band!</t>
        </is>
      </c>
      <c r="V1669" s="47">
        <f>IF(AND(P1669&gt;=Calendar!$K$2,P1669&lt;EDATE(Calendar!$K$2,1),OR(Calendar!$K$4="*",N1669=Calendar!$K$4)),P1669*100+COUNTIFS($P$6:$P$3267,P1669,$Q$6:$Q$3267,"&lt;="&amp;Q1669,$N$6:$N$3267,Calendar!$K$4),"")</f>
        <v/>
      </c>
      <c r="W1669" s="47">
        <f>IF(AND(B1669=Queue!$C$4,OR(Queue!$K$4="*",N1669=Queue!$K$4)),Q1669,"")</f>
        <v/>
      </c>
    </row>
    <row r="1670">
      <c r="A1670" s="38">
        <f>IF(M1670="","",HYPERLINK("https://www.youtube.com/watch?v="&amp;M1670,"▶"))</f>
        <v/>
      </c>
      <c r="B1670" s="39">
        <f>IF(C1670&lt;&gt;"",C1670,IF(P1670&lt;=IFERROR(INDEX(tblChannels[Watched Through],MATCH(N1670,tblChannels[Channel ID],0)),0),"Watched","Unwatched"))</f>
        <v/>
      </c>
      <c r="C1670" s="40" t="n"/>
      <c r="D1670" s="41" t="n"/>
      <c r="E1670" s="42" t="n">
        <v>43909.54166666666</v>
      </c>
      <c r="F1670" s="50" t="inlineStr">
        <is>
          <t>Super Carlin Brothers</t>
        </is>
      </c>
      <c r="G1670" t="inlineStr">
        <is>
          <t>J vs Ben: ULTIMATE Arthur &amp; Molly Weasley Quiz [Harry Potter Trivia]</t>
        </is>
      </c>
      <c r="H1670" s="44" t="n">
        <v>0.01583333333333333</v>
      </c>
      <c r="I1670" s="45" t="n">
        <v>252451</v>
      </c>
      <c r="J1670" s="45" t="n">
        <v>9899</v>
      </c>
      <c r="K1670" s="45" t="n">
        <v>1449</v>
      </c>
      <c r="L1670" s="46" t="n"/>
      <c r="M1670" s="47" t="n"/>
      <c r="N1670" s="47" t="inlineStr">
        <is>
          <t>UCKZo4N0lVPccBkSiuyVh4yg</t>
        </is>
      </c>
      <c r="O1670" s="48" t="n">
        <v>43909.70833333334</v>
      </c>
      <c r="P1670" s="49" t="n">
        <v>43909</v>
      </c>
      <c r="Q1670" s="47" t="n">
        <v>1598</v>
      </c>
      <c r="R1670" s="47" t="inlineStr">
        <is>
          <t>No Video ID yet</t>
        </is>
      </c>
      <c r="S1670" s="49" t="n"/>
      <c r="T1670" s="49" t="n"/>
      <c r="U1670" s="47" t="inlineStr">
        <is>
          <t>Use Code “SCB” for 10% off your order of Ridge Wallets Play along with us! :: Today J and Ben take on the Hardest Molly and Arthur Weasley Quiz on the internet to find out who knows the most about Harry Potters most adorable couple! Edited by: Scott Niswander</t>
        </is>
      </c>
      <c r="V1670" s="47">
        <f>IF(AND(P1670&gt;=Calendar!$K$2,P1670&lt;EDATE(Calendar!$K$2,1),OR(Calendar!$K$4="*",N1670=Calendar!$K$4)),P1670*100+COUNTIFS($P$6:$P$3267,P1670,$Q$6:$Q$3267,"&lt;="&amp;Q1670,$N$6:$N$3267,Calendar!$K$4),"")</f>
        <v/>
      </c>
      <c r="W1670" s="47">
        <f>IF(AND(B1670=Queue!$C$4,OR(Queue!$K$4="*",N1670=Queue!$K$4)),Q1670,"")</f>
        <v/>
      </c>
    </row>
    <row r="1671">
      <c r="A1671" s="38">
        <f>IF(M1671="","",HYPERLINK("https://www.youtube.com/watch?v="&amp;M1671,"▶"))</f>
        <v/>
      </c>
      <c r="B1671" s="39">
        <f>IF(C1671&lt;&gt;"",C1671,IF(P1671&lt;=IFERROR(INDEX(tblChannels[Watched Through],MATCH(N1671,tblChannels[Channel ID],0)),0),"Watched","Unwatched"))</f>
        <v/>
      </c>
      <c r="C1671" s="40" t="n"/>
      <c r="D1671" s="41" t="n"/>
      <c r="E1671" s="42" t="n">
        <v>43908.48055555556</v>
      </c>
      <c r="F1671" s="52" t="inlineStr">
        <is>
          <t>Super Carlin Gaming</t>
        </is>
      </c>
      <c r="G1671" t="inlineStr">
        <is>
          <t>Hogwarts Founders LIGHT EVERYTHING ON FIRE in SIMS 4 | Episode #11</t>
        </is>
      </c>
      <c r="H1671" s="44" t="n">
        <v>0.02090277777777778</v>
      </c>
      <c r="I1671" s="45" t="n">
        <v>28601</v>
      </c>
      <c r="J1671" s="45" t="n">
        <v>1185</v>
      </c>
      <c r="K1671" s="45" t="n">
        <v>287</v>
      </c>
      <c r="L1671" s="46" t="n"/>
      <c r="M1671" s="47" t="n"/>
      <c r="N1671" s="47" t="inlineStr">
        <is>
          <t>UCor_9jRnNNZVzTuQ92PKsaQ</t>
        </is>
      </c>
      <c r="O1671" s="48" t="n">
        <v>43908.64722222222</v>
      </c>
      <c r="P1671" s="49" t="n">
        <v>43908</v>
      </c>
      <c r="Q1671" s="47" t="n">
        <v>1597</v>
      </c>
      <c r="R1671" s="47" t="inlineStr">
        <is>
          <t>No Video ID yet</t>
        </is>
      </c>
      <c r="S1671" s="49" t="n"/>
      <c r="T1671" s="49" t="n"/>
      <c r="U1671" s="47" t="inlineStr">
        <is>
          <t>J and Ben continue the founding of Hogwarts with Godric Gryffindor, Rowena Ravenclaw, Helga Hufflepuff and Salazar Slytherin! The Weasleys move into the Burrow, the Founders throw another successful party, and then decide to torment a visitor for funsies. #Sims4 #HarryPotter #LetsPlay #PrettyObvious</t>
        </is>
      </c>
      <c r="V1671" s="47">
        <f>IF(AND(P1671&gt;=Calendar!$K$2,P1671&lt;EDATE(Calendar!$K$2,1),OR(Calendar!$K$4="*",N1671=Calendar!$K$4)),P1671*100+COUNTIFS($P$6:$P$3267,P1671,$Q$6:$Q$3267,"&lt;="&amp;Q1671,$N$6:$N$3267,Calendar!$K$4),"")</f>
        <v/>
      </c>
      <c r="W1671" s="47">
        <f>IF(AND(B1671=Queue!$C$4,OR(Queue!$K$4="*",N1671=Queue!$K$4)),Q1671,"")</f>
        <v/>
      </c>
    </row>
    <row r="1672">
      <c r="A1672" s="38">
        <f>IF(M1672="","",HYPERLINK("https://www.youtube.com/watch?v="&amp;M1672,"▶"))</f>
        <v/>
      </c>
      <c r="B1672" s="39">
        <f>IF(C1672&lt;&gt;"",C1672,IF(P1672&lt;=IFERROR(INDEX(tblChannels[Watched Through],MATCH(N1672,tblChannels[Channel ID],0)),0),"Watched","Unwatched"))</f>
        <v/>
      </c>
      <c r="C1672" s="40" t="n"/>
      <c r="D1672" s="41" t="n"/>
      <c r="E1672" s="42" t="n">
        <v>43907.8375</v>
      </c>
      <c r="F1672" s="50" t="inlineStr">
        <is>
          <t>Super Carlin Brothers</t>
        </is>
      </c>
      <c r="G1672" t="inlineStr">
        <is>
          <t>What Is Voldemort’s Patronus? [Harry Potter Theory]</t>
        </is>
      </c>
      <c r="H1672" s="44" t="n">
        <v>0.008657407407407407</v>
      </c>
      <c r="I1672" s="45" t="n">
        <v>695314</v>
      </c>
      <c r="J1672" s="45" t="n">
        <v>25476</v>
      </c>
      <c r="K1672" s="45" t="n">
        <v>3505</v>
      </c>
      <c r="L1672" s="46" t="n"/>
      <c r="M1672" s="47" t="n"/>
      <c r="N1672" s="47" t="inlineStr">
        <is>
          <t>UCKZo4N0lVPccBkSiuyVh4yg</t>
        </is>
      </c>
      <c r="O1672" s="48" t="n">
        <v>43908.00416666667</v>
      </c>
      <c r="P1672" s="49" t="n">
        <v>43907</v>
      </c>
      <c r="Q1672" s="47" t="n">
        <v>1596</v>
      </c>
      <c r="R1672" s="47" t="inlineStr">
        <is>
          <t>No Video ID yet</t>
        </is>
      </c>
      <c r="S1672" s="49" t="n"/>
      <c r="T1672" s="49" t="n"/>
      <c r="U1672" s="47" t="inlineStr">
        <is>
          <t>Hurry to to find out HOW LOW your Upstart rate is. Today J dives into the Wizarding World of Harry Potter to try and determine what Voldemort’s patronus might be.. If he could indeed cast one #TheOneWhoEatsHoney Edited by: Scott Niswander Sources ::</t>
        </is>
      </c>
      <c r="V1672" s="47">
        <f>IF(AND(P1672&gt;=Calendar!$K$2,P1672&lt;EDATE(Calendar!$K$2,1),OR(Calendar!$K$4="*",N1672=Calendar!$K$4)),P1672*100+COUNTIFS($P$6:$P$3267,P1672,$Q$6:$Q$3267,"&lt;="&amp;Q1672,$N$6:$N$3267,Calendar!$K$4),"")</f>
        <v/>
      </c>
      <c r="W1672" s="47">
        <f>IF(AND(B1672=Queue!$C$4,OR(Queue!$K$4="*",N1672=Queue!$K$4)),Q1672,"")</f>
        <v/>
      </c>
    </row>
    <row r="1673">
      <c r="A1673" s="38">
        <f>IF(M1673="","",HYPERLINK("https://www.youtube.com/watch?v="&amp;M1673,"▶"))</f>
        <v/>
      </c>
      <c r="B1673" s="39">
        <f>IF(C1673&lt;&gt;"",C1673,IF(P1673&lt;=IFERROR(INDEX(tblChannels[Watched Through],MATCH(N1673,tblChannels[Channel ID],0)),0),"Watched","Unwatched"))</f>
        <v/>
      </c>
      <c r="C1673" s="40" t="n"/>
      <c r="D1673" s="41" t="n"/>
      <c r="E1673" s="42" t="n">
        <v>43906.62986111111</v>
      </c>
      <c r="F1673" s="43" t="inlineStr">
        <is>
          <t>Popcorn Culture</t>
        </is>
      </c>
      <c r="G1673" t="inlineStr">
        <is>
          <t>14 - Nails on a Chalk Board, Monster Trucks, and Innate Fears</t>
        </is>
      </c>
      <c r="H1673" s="44" t="n">
        <v>0.03262731481481482</v>
      </c>
      <c r="I1673" s="45" t="n">
        <v>5006</v>
      </c>
      <c r="J1673" s="45" t="n">
        <v>219</v>
      </c>
      <c r="K1673" s="45" t="n">
        <v>38</v>
      </c>
      <c r="L1673" s="46" t="n"/>
      <c r="M1673" s="47" t="n"/>
      <c r="N1673" s="47" t="inlineStr">
        <is>
          <t>UCHfIbq9thHPC8yrKjAdJgDA</t>
        </is>
      </c>
      <c r="O1673" s="48" t="n">
        <v>43906.79652777778</v>
      </c>
      <c r="P1673" s="49" t="n">
        <v>43906</v>
      </c>
      <c r="Q1673" s="47" t="n">
        <v>1595</v>
      </c>
      <c r="R1673" s="47" t="inlineStr">
        <is>
          <t>No Video ID yet</t>
        </is>
      </c>
      <c r="S1673" s="49" t="n"/>
      <c r="T1673" s="49" t="n"/>
      <c r="U1673" s="47" t="inlineStr">
        <is>
          <t>Ben and J discuss: fingernails on a chalkboard, innate fears, Monster trucks, human memory cache, original thoughts, Power Rangers, rock climbing, instant karma, and pants. Innate Fears: Vlog Link - J forgot his pants: Discuss the Podcast on Discord:</t>
        </is>
      </c>
      <c r="V1673" s="47">
        <f>IF(AND(P1673&gt;=Calendar!$K$2,P1673&lt;EDATE(Calendar!$K$2,1),OR(Calendar!$K$4="*",N1673=Calendar!$K$4)),P1673*100+COUNTIFS($P$6:$P$3267,P1673,$Q$6:$Q$3267,"&lt;="&amp;Q1673,$N$6:$N$3267,Calendar!$K$4),"")</f>
        <v/>
      </c>
      <c r="W1673" s="47">
        <f>IF(AND(B1673=Queue!$C$4,OR(Queue!$K$4="*",N1673=Queue!$K$4)),Q1673,"")</f>
        <v/>
      </c>
    </row>
    <row r="1674">
      <c r="A1674" s="38">
        <f>IF(M1674="","",HYPERLINK("https://www.youtube.com/watch?v="&amp;M1674,"▶"))</f>
        <v/>
      </c>
      <c r="B1674" s="39">
        <f>IF(C1674&lt;&gt;"",C1674,IF(P1674&lt;=IFERROR(INDEX(tblChannels[Watched Through],MATCH(N1674,tblChannels[Channel ID],0)),0),"Watched","Unwatched"))</f>
        <v/>
      </c>
      <c r="C1674" s="40" t="n"/>
      <c r="D1674" s="41" t="n"/>
      <c r="E1674" s="42" t="n">
        <v>43906.44236111111</v>
      </c>
      <c r="F1674" s="53" t="inlineStr">
        <is>
          <t>Jonathan Carlin</t>
        </is>
      </c>
      <c r="G1674" t="inlineStr">
        <is>
          <t>Luke &amp; Seamus Learn to Ride a Bike</t>
        </is>
      </c>
      <c r="H1674" s="44" t="n">
        <v>0.01049768518518518</v>
      </c>
      <c r="I1674" s="45" t="n">
        <v>55099</v>
      </c>
      <c r="J1674" s="45" t="n">
        <v>3432</v>
      </c>
      <c r="K1674" s="45" t="n">
        <v>438</v>
      </c>
      <c r="L1674" s="46" t="n"/>
      <c r="M1674" s="47" t="n"/>
      <c r="N1674" s="47" t="inlineStr">
        <is>
          <t>UCYPKFe86e6nm4TVUYKLsFUQ</t>
        </is>
      </c>
      <c r="O1674" s="48" t="n">
        <v>43906.60902777778</v>
      </c>
      <c r="P1674" s="49" t="n">
        <v>43906</v>
      </c>
      <c r="Q1674" s="47" t="n">
        <v>1594</v>
      </c>
      <c r="R1674" s="47" t="inlineStr">
        <is>
          <t>No Video ID yet</t>
        </is>
      </c>
      <c r="S1674" s="49" t="n"/>
      <c r="T1674" s="49" t="n"/>
      <c r="U1674" s="47" t="inlineStr">
        <is>
          <t>This week Luke tries out his strider bike for the first time, while Seamus puts the saying "It's like riding a bike" to the test. We also test boiled vs kettle tea water and check in with the twins in the NICU.</t>
        </is>
      </c>
      <c r="V1674" s="47">
        <f>IF(AND(P1674&gt;=Calendar!$K$2,P1674&lt;EDATE(Calendar!$K$2,1),OR(Calendar!$K$4="*",N1674=Calendar!$K$4)),P1674*100+COUNTIFS($P$6:$P$3267,P1674,$Q$6:$Q$3267,"&lt;="&amp;Q1674,$N$6:$N$3267,Calendar!$K$4),"")</f>
        <v/>
      </c>
      <c r="W1674" s="47">
        <f>IF(AND(B1674=Queue!$C$4,OR(Queue!$K$4="*",N1674=Queue!$K$4)),Q1674,"")</f>
        <v/>
      </c>
    </row>
    <row r="1675">
      <c r="A1675" s="38">
        <f>IF(M1675="","",HYPERLINK("https://www.youtube.com/watch?v="&amp;M1675,"▶"))</f>
        <v/>
      </c>
      <c r="B1675" s="39">
        <f>IF(C1675&lt;&gt;"",C1675,IF(P1675&lt;=IFERROR(INDEX(tblChannels[Watched Through],MATCH(N1675,tblChannels[Channel ID],0)),0),"Watched","Unwatched"))</f>
        <v/>
      </c>
      <c r="C1675" s="40" t="n"/>
      <c r="D1675" s="41" t="n"/>
      <c r="E1675" s="42" t="n">
        <v>43904.39583333334</v>
      </c>
      <c r="F1675" s="43" t="inlineStr">
        <is>
          <t>Popcorn Culture</t>
        </is>
      </c>
      <c r="G1675" t="inlineStr">
        <is>
          <t>13 - Bungee Jumping and Pokémon Cards</t>
        </is>
      </c>
      <c r="H1675" s="44" t="n">
        <v>0.03851851851851852</v>
      </c>
      <c r="I1675" s="45" t="n">
        <v>5426</v>
      </c>
      <c r="J1675" s="45" t="n">
        <v>229</v>
      </c>
      <c r="K1675" s="45" t="n">
        <v>37</v>
      </c>
      <c r="L1675" s="46" t="n"/>
      <c r="M1675" s="47" t="n"/>
      <c r="N1675" s="47" t="inlineStr">
        <is>
          <t>UCHfIbq9thHPC8yrKjAdJgDA</t>
        </is>
      </c>
      <c r="O1675" s="48" t="n">
        <v>43904.5625</v>
      </c>
      <c r="P1675" s="49" t="n">
        <v>43904</v>
      </c>
      <c r="Q1675" s="47" t="n">
        <v>1593</v>
      </c>
      <c r="R1675" s="47" t="inlineStr">
        <is>
          <t>No Video ID yet</t>
        </is>
      </c>
      <c r="S1675" s="49" t="n"/>
      <c r="T1675" s="49" t="n"/>
      <c r="U1675" s="47" t="inlineStr">
        <is>
          <t>Ben and J discuss: fart noises, colors, claustrophobia, SCUBA diving, bungee jumping, Photosynthesis, Trading Card Games, Ben’s entrepreneurial spirit, Pokémon cards, Hot Wheels, “extreme” sports and esports, video game bots, and battle royale bowling. Ben Photos Nevis Bungee jump: Not-Ben Video of Nevis Bungee Jump: Reddit post, skiing video: Mario Kart Series Link: Discuss the Podcast on Discord:</t>
        </is>
      </c>
      <c r="V1675" s="47">
        <f>IF(AND(P1675&gt;=Calendar!$K$2,P1675&lt;EDATE(Calendar!$K$2,1),OR(Calendar!$K$4="*",N1675=Calendar!$K$4)),P1675*100+COUNTIFS($P$6:$P$3267,P1675,$Q$6:$Q$3267,"&lt;="&amp;Q1675,$N$6:$N$3267,Calendar!$K$4),"")</f>
        <v/>
      </c>
      <c r="W1675" s="47">
        <f>IF(AND(B1675=Queue!$C$4,OR(Queue!$K$4="*",N1675=Queue!$K$4)),Q1675,"")</f>
        <v/>
      </c>
    </row>
    <row r="1676">
      <c r="A1676" s="38">
        <f>IF(M1676="","",HYPERLINK("https://www.youtube.com/watch?v="&amp;M1676,"▶"))</f>
        <v/>
      </c>
      <c r="B1676" s="39">
        <f>IF(C1676&lt;&gt;"",C1676,IF(P1676&lt;=IFERROR(INDEX(tblChannels[Watched Through],MATCH(N1676,tblChannels[Channel ID],0)),0),"Watched","Unwatched"))</f>
        <v/>
      </c>
      <c r="C1676" s="40" t="n"/>
      <c r="D1676" s="41" t="n"/>
      <c r="E1676" s="42" t="n">
        <v>43902.95555555556</v>
      </c>
      <c r="F1676" s="50" t="inlineStr">
        <is>
          <t>Super Carlin Brothers</t>
        </is>
      </c>
      <c r="G1676" t="inlineStr">
        <is>
          <t>Queenie is Snape's Grandmother?! feat. Seamus Gorman [Harry Potter Theory]</t>
        </is>
      </c>
      <c r="H1676" s="44" t="n">
        <v>0.009710648148148149</v>
      </c>
      <c r="I1676" s="45" t="n">
        <v>1092254</v>
      </c>
      <c r="J1676" s="45" t="n">
        <v>45594</v>
      </c>
      <c r="K1676" s="45" t="n">
        <v>3078</v>
      </c>
      <c r="L1676" s="46" t="n"/>
      <c r="M1676" s="47" t="n"/>
      <c r="N1676" s="47" t="inlineStr">
        <is>
          <t>UCKZo4N0lVPccBkSiuyVh4yg</t>
        </is>
      </c>
      <c r="O1676" s="48" t="n">
        <v>43903.12222222222</v>
      </c>
      <c r="P1676" s="49" t="n">
        <v>43902</v>
      </c>
      <c r="Q1676" s="47" t="n">
        <v>1592</v>
      </c>
      <c r="R1676" s="47" t="inlineStr">
        <is>
          <t>No Video ID yet</t>
        </is>
      </c>
      <c r="S1676" s="49" t="n"/>
      <c r="T1676" s="49" t="n"/>
      <c r="U1676" s="47" t="inlineStr">
        <is>
          <t>You can get started with Candid with $75 off of by using code SCB at Today Ben and Seamus dive into the Wizarding World of Harry Potter to try and determine if Queenie Goldstien from Fantastic Beasts is actually the grandmother of Severus Snape!</t>
        </is>
      </c>
      <c r="V1676" s="47">
        <f>IF(AND(P1676&gt;=Calendar!$K$2,P1676&lt;EDATE(Calendar!$K$2,1),OR(Calendar!$K$4="*",N1676=Calendar!$K$4)),P1676*100+COUNTIFS($P$6:$P$3267,P1676,$Q$6:$Q$3267,"&lt;="&amp;Q1676,$N$6:$N$3267,Calendar!$K$4),"")</f>
        <v/>
      </c>
      <c r="W1676" s="47">
        <f>IF(AND(B1676=Queue!$C$4,OR(Queue!$K$4="*",N1676=Queue!$K$4)),Q1676,"")</f>
        <v/>
      </c>
    </row>
    <row r="1677">
      <c r="A1677" s="38">
        <f>IF(M1677="","",HYPERLINK("https://www.youtube.com/watch?v="&amp;M1677,"▶"))</f>
        <v/>
      </c>
      <c r="B1677" s="39">
        <f>IF(C1677&lt;&gt;"",C1677,IF(P1677&lt;=IFERROR(INDEX(tblChannels[Watched Through],MATCH(N1677,tblChannels[Channel ID],0)),0),"Watched","Unwatched"))</f>
        <v/>
      </c>
      <c r="C1677" s="40" t="n"/>
      <c r="D1677" s="41" t="n"/>
      <c r="E1677" s="42" t="n">
        <v>43902.58333333334</v>
      </c>
      <c r="F1677" s="43" t="inlineStr">
        <is>
          <t>Popcorn Culture</t>
        </is>
      </c>
      <c r="G1677" t="inlineStr">
        <is>
          <t>12 - Horoscopes, First Memories, and How To Name A Child</t>
        </is>
      </c>
      <c r="H1677" s="44" t="n">
        <v>0.04123842592592593</v>
      </c>
      <c r="I1677" s="45" t="n">
        <v>6149</v>
      </c>
      <c r="J1677" s="45" t="n">
        <v>231</v>
      </c>
      <c r="K1677" s="45" t="n">
        <v>49</v>
      </c>
      <c r="L1677" s="46" t="n"/>
      <c r="M1677" s="47" t="n"/>
      <c r="N1677" s="47" t="inlineStr">
        <is>
          <t>UCHfIbq9thHPC8yrKjAdJgDA</t>
        </is>
      </c>
      <c r="O1677" s="48" t="n">
        <v>43902.75</v>
      </c>
      <c r="P1677" s="49" t="n">
        <v>43902</v>
      </c>
      <c r="Q1677" s="47" t="n">
        <v>1591</v>
      </c>
      <c r="R1677" s="47" t="inlineStr">
        <is>
          <t>No Video ID yet</t>
        </is>
      </c>
      <c r="S1677" s="49" t="n"/>
      <c r="T1677" s="49" t="n"/>
      <c r="U1677" s="47" t="inlineStr">
        <is>
          <t>Ben and J discuss: patience, life-changing news, how to name a child, zodiac signs, horoscopes, first memories, the Mandela effect, vlogging, other near-death experiences, narwhals and jackalopes, great white sharks, cornbread, and interesting bonus content. Twins born on different dates: Grizzly Umbrellas: The Mandela Effect: Deep Blue the Giant Shark: Discuss the Podcast on Discord:</t>
        </is>
      </c>
      <c r="V1677" s="47">
        <f>IF(AND(P1677&gt;=Calendar!$K$2,P1677&lt;EDATE(Calendar!$K$2,1),OR(Calendar!$K$4="*",N1677=Calendar!$K$4)),P1677*100+COUNTIFS($P$6:$P$3267,P1677,$Q$6:$Q$3267,"&lt;="&amp;Q1677,$N$6:$N$3267,Calendar!$K$4),"")</f>
        <v/>
      </c>
      <c r="W1677" s="47">
        <f>IF(AND(B1677=Queue!$C$4,OR(Queue!$K$4="*",N1677=Queue!$K$4)),Q1677,"")</f>
        <v/>
      </c>
    </row>
    <row r="1678">
      <c r="A1678" s="38">
        <f>IF(M1678="","",HYPERLINK("https://www.youtube.com/watch?v="&amp;M1678,"▶"))</f>
        <v/>
      </c>
      <c r="B1678" s="39">
        <f>IF(C1678&lt;&gt;"",C1678,IF(P1678&lt;=IFERROR(INDEX(tblChannels[Watched Through],MATCH(N1678,tblChannels[Channel ID],0)),0),"Watched","Unwatched"))</f>
        <v/>
      </c>
      <c r="C1678" s="40" t="n"/>
      <c r="D1678" s="41" t="n"/>
      <c r="E1678" s="42" t="n">
        <v>43901.44305555556</v>
      </c>
      <c r="F1678" s="52" t="inlineStr">
        <is>
          <t>Super Carlin Gaming</t>
        </is>
      </c>
      <c r="G1678" t="inlineStr">
        <is>
          <t>WE OPEN AN ENTIRE POKEMON SWORD &amp; SHIELD BOOSTER BOX</t>
        </is>
      </c>
      <c r="H1678" s="44" t="n">
        <v>0.009282407407407408</v>
      </c>
      <c r="I1678" s="45" t="n">
        <v>12640</v>
      </c>
      <c r="J1678" s="45" t="n">
        <v>1421</v>
      </c>
      <c r="K1678" s="45" t="n">
        <v>205</v>
      </c>
      <c r="L1678" s="46" t="n"/>
      <c r="M1678" s="47" t="n"/>
      <c r="N1678" s="47" t="inlineStr">
        <is>
          <t>UCor_9jRnNNZVzTuQ92PKsaQ</t>
        </is>
      </c>
      <c r="O1678" s="48" t="n">
        <v>43901.60972222222</v>
      </c>
      <c r="P1678" s="49" t="n">
        <v>43901</v>
      </c>
      <c r="Q1678" s="47" t="n">
        <v>1590</v>
      </c>
      <c r="R1678" s="47" t="inlineStr">
        <is>
          <t>No Video ID yet</t>
        </is>
      </c>
      <c r="S1678" s="49" t="n"/>
      <c r="T1678" s="49" t="n"/>
      <c r="U1678" s="47" t="inlineStr">
        <is>
          <t>This week J and Ben dip their toe into the world of the Pokemon Trading Card game and open an entire Sword &amp; Shield Booster Box with the hopes the value inside will pass the value on the outside!</t>
        </is>
      </c>
      <c r="V1678" s="47">
        <f>IF(AND(P1678&gt;=Calendar!$K$2,P1678&lt;EDATE(Calendar!$K$2,1),OR(Calendar!$K$4="*",N1678=Calendar!$K$4)),P1678*100+COUNTIFS($P$6:$P$3267,P1678,$Q$6:$Q$3267,"&lt;="&amp;Q1678,$N$6:$N$3267,Calendar!$K$4),"")</f>
        <v/>
      </c>
      <c r="W1678" s="47">
        <f>IF(AND(B1678=Queue!$C$4,OR(Queue!$K$4="*",N1678=Queue!$K$4)),Q1678,"")</f>
        <v/>
      </c>
    </row>
    <row r="1679">
      <c r="A1679" s="38">
        <f>IF(M1679="","",HYPERLINK("https://www.youtube.com/watch?v="&amp;M1679,"▶"))</f>
        <v/>
      </c>
      <c r="B1679" s="39">
        <f>IF(C1679&lt;&gt;"",C1679,IF(P1679&lt;=IFERROR(INDEX(tblChannels[Watched Through],MATCH(N1679,tblChannels[Channel ID],0)),0),"Watched","Unwatched"))</f>
        <v/>
      </c>
      <c r="C1679" s="40" t="n"/>
      <c r="D1679" s="41" t="n"/>
      <c r="E1679" s="42" t="n">
        <v>43900.81180555555</v>
      </c>
      <c r="F1679" s="50" t="inlineStr">
        <is>
          <t>Super Carlin Brothers</t>
        </is>
      </c>
      <c r="G1679" t="inlineStr">
        <is>
          <t>How Onward Fits Into The Pixar Theory</t>
        </is>
      </c>
      <c r="H1679" s="44" t="n">
        <v>0.008206018518518519</v>
      </c>
      <c r="I1679" s="45" t="n">
        <v>1100675</v>
      </c>
      <c r="J1679" s="45" t="n">
        <v>42172</v>
      </c>
      <c r="K1679" s="45" t="n">
        <v>3601</v>
      </c>
      <c r="L1679" s="46" t="n"/>
      <c r="M1679" s="47" t="n"/>
      <c r="N1679" s="47" t="inlineStr">
        <is>
          <t>UCKZo4N0lVPccBkSiuyVh4yg</t>
        </is>
      </c>
      <c r="O1679" s="48" t="n">
        <v>43900.97847222222</v>
      </c>
      <c r="P1679" s="49" t="n">
        <v>43900</v>
      </c>
      <c r="Q1679" s="47" t="n">
        <v>1589</v>
      </c>
      <c r="R1679" s="47" t="inlineStr">
        <is>
          <t>No Video ID yet</t>
        </is>
      </c>
      <c r="S1679" s="49" t="n"/>
      <c r="T1679" s="49" t="n"/>
      <c r="U1679" s="47" t="inlineStr">
        <is>
          <t>Today J dives into the wider Pixar universe to reveal the AMAZING way in which Onward fits into the Pixar theory! #Disney #Pixar #Onward</t>
        </is>
      </c>
      <c r="V1679" s="47">
        <f>IF(AND(P1679&gt;=Calendar!$K$2,P1679&lt;EDATE(Calendar!$K$2,1),OR(Calendar!$K$4="*",N1679=Calendar!$K$4)),P1679*100+COUNTIFS($P$6:$P$3267,P1679,$Q$6:$Q$3267,"&lt;="&amp;Q1679,$N$6:$N$3267,Calendar!$K$4),"")</f>
        <v/>
      </c>
      <c r="W1679" s="47">
        <f>IF(AND(B1679=Queue!$C$4,OR(Queue!$K$4="*",N1679=Queue!$K$4)),Q1679,"")</f>
        <v/>
      </c>
    </row>
    <row r="1680">
      <c r="A1680" s="38">
        <f>IF(M1680="","",HYPERLINK("https://www.youtube.com/watch?v="&amp;M1680,"▶"))</f>
        <v/>
      </c>
      <c r="B1680" s="39">
        <f>IF(C1680&lt;&gt;"",C1680,IF(P1680&lt;=IFERROR(INDEX(tblChannels[Watched Through],MATCH(N1680,tblChannels[Channel ID],0)),0),"Watched","Unwatched"))</f>
        <v/>
      </c>
      <c r="C1680" s="40" t="n"/>
      <c r="D1680" s="41" t="n"/>
      <c r="E1680" s="42" t="n">
        <v>43900.62361111111</v>
      </c>
      <c r="F1680" s="43" t="inlineStr">
        <is>
          <t>Popcorn Culture</t>
        </is>
      </c>
      <c r="G1680" t="inlineStr">
        <is>
          <t>11 - Times We Probably Should Have Died</t>
        </is>
      </c>
      <c r="H1680" s="44" t="n">
        <v>0.0425</v>
      </c>
      <c r="I1680" s="45" t="n">
        <v>7081</v>
      </c>
      <c r="J1680" s="45" t="n">
        <v>305</v>
      </c>
      <c r="K1680" s="45" t="n">
        <v>137</v>
      </c>
      <c r="L1680" s="46" t="n"/>
      <c r="M1680" s="47" t="n"/>
      <c r="N1680" s="47" t="inlineStr">
        <is>
          <t>UCHfIbq9thHPC8yrKjAdJgDA</t>
        </is>
      </c>
      <c r="O1680" s="48" t="n">
        <v>43900.79027777778</v>
      </c>
      <c r="P1680" s="49" t="n">
        <v>43900</v>
      </c>
      <c r="Q1680" s="47" t="n">
        <v>1588</v>
      </c>
      <c r="R1680" s="47" t="inlineStr">
        <is>
          <t>No Video ID yet</t>
        </is>
      </c>
      <c r="S1680" s="49" t="n"/>
      <c r="T1680" s="49" t="n"/>
      <c r="U1680" s="47" t="inlineStr">
        <is>
          <t>Ben and J discuss: the physics of sound, rain resistance, chilly willies, favorite candies, skiing, fishing, times we probably should have died, regional phrases, LAN parties, fringe friends, word crutches, and Airplane! How Fans cool people Map of names for grocery carts Maps of soft drink names Check out our Pilot friend Submit Your Corny Jokes!: Discuss the Podcast on Discord:</t>
        </is>
      </c>
      <c r="V1680" s="47">
        <f>IF(AND(P1680&gt;=Calendar!$K$2,P1680&lt;EDATE(Calendar!$K$2,1),OR(Calendar!$K$4="*",N1680=Calendar!$K$4)),P1680*100+COUNTIFS($P$6:$P$3267,P1680,$Q$6:$Q$3267,"&lt;="&amp;Q1680,$N$6:$N$3267,Calendar!$K$4),"")</f>
        <v/>
      </c>
      <c r="W1680" s="47">
        <f>IF(AND(B1680=Queue!$C$4,OR(Queue!$K$4="*",N1680=Queue!$K$4)),Q1680,"")</f>
        <v/>
      </c>
    </row>
    <row r="1681">
      <c r="A1681" s="38">
        <f>IF(M1681="","",HYPERLINK("https://www.youtube.com/watch?v="&amp;M1681,"▶"))</f>
        <v/>
      </c>
      <c r="B1681" s="39">
        <f>IF(C1681&lt;&gt;"",C1681,IF(P1681&lt;=IFERROR(INDEX(tblChannels[Watched Through],MATCH(N1681,tblChannels[Channel ID],0)),0),"Watched","Unwatched"))</f>
        <v/>
      </c>
      <c r="C1681" s="40" t="n"/>
      <c r="D1681" s="41" t="n"/>
      <c r="E1681" s="42" t="n">
        <v>43899.45486111111</v>
      </c>
      <c r="F1681" s="53" t="inlineStr">
        <is>
          <t>Jonathan Carlin</t>
        </is>
      </c>
      <c r="G1681" t="inlineStr">
        <is>
          <t>The Twins Are Born</t>
        </is>
      </c>
      <c r="H1681" s="44" t="n">
        <v>0.0109837962962963</v>
      </c>
      <c r="I1681" s="45" t="n">
        <v>88484</v>
      </c>
      <c r="J1681" s="45" t="n">
        <v>7517</v>
      </c>
      <c r="K1681" s="45" t="n">
        <v>1067</v>
      </c>
      <c r="L1681" s="46" t="n"/>
      <c r="M1681" s="47" t="n"/>
      <c r="N1681" s="47" t="inlineStr">
        <is>
          <t>UCYPKFe86e6nm4TVUYKLsFUQ</t>
        </is>
      </c>
      <c r="O1681" s="48" t="n">
        <v>43899.62152777778</v>
      </c>
      <c r="P1681" s="49" t="n">
        <v>43899</v>
      </c>
      <c r="Q1681" s="47" t="n">
        <v>1587</v>
      </c>
      <c r="R1681" s="47" t="inlineStr">
        <is>
          <t>No Video ID yet</t>
        </is>
      </c>
      <c r="S1681" s="49" t="n"/>
      <c r="T1681" s="49" t="n"/>
      <c r="U1681" s="47" t="inlineStr">
        <is>
          <t>This week J and Beth meet their new twin sons: Nicholas Martin Carlin and Nathan John Carlin Welcome to the world boys!</t>
        </is>
      </c>
      <c r="V1681" s="47">
        <f>IF(AND(P1681&gt;=Calendar!$K$2,P1681&lt;EDATE(Calendar!$K$2,1),OR(Calendar!$K$4="*",N1681=Calendar!$K$4)),P1681*100+COUNTIFS($P$6:$P$3267,P1681,$Q$6:$Q$3267,"&lt;="&amp;Q1681,$N$6:$N$3267,Calendar!$K$4),"")</f>
        <v/>
      </c>
      <c r="W1681" s="47">
        <f>IF(AND(B1681=Queue!$C$4,OR(Queue!$K$4="*",N1681=Queue!$K$4)),Q1681,"")</f>
        <v/>
      </c>
    </row>
    <row r="1682">
      <c r="A1682" s="38">
        <f>IF(M1682="","",HYPERLINK("https://www.youtube.com/watch?v="&amp;M1682,"▶"))</f>
        <v/>
      </c>
      <c r="B1682" s="39">
        <f>IF(C1682&lt;&gt;"",C1682,IF(P1682&lt;=IFERROR(INDEX(tblChannels[Watched Through],MATCH(N1682,tblChannels[Channel ID],0)),0),"Watched","Unwatched"))</f>
        <v/>
      </c>
      <c r="C1682" s="40" t="n"/>
      <c r="D1682" s="41" t="n"/>
      <c r="E1682" s="42" t="n">
        <v>43895.69861111111</v>
      </c>
      <c r="F1682" s="50" t="inlineStr">
        <is>
          <t>Super Carlin Brothers</t>
        </is>
      </c>
      <c r="G1682" t="inlineStr">
        <is>
          <t>REVIEW: Pixar's Onward</t>
        </is>
      </c>
      <c r="H1682" s="44" t="n">
        <v>0.02892361111111111</v>
      </c>
      <c r="I1682" s="45" t="n">
        <v>236851</v>
      </c>
      <c r="J1682" s="45" t="n">
        <v>9166</v>
      </c>
      <c r="K1682" s="45" t="n">
        <v>1745</v>
      </c>
      <c r="L1682" s="46" t="n"/>
      <c r="M1682" s="47" t="n"/>
      <c r="N1682" s="47" t="inlineStr">
        <is>
          <t>UCKZo4N0lVPccBkSiuyVh4yg</t>
        </is>
      </c>
      <c r="O1682" s="48" t="n">
        <v>43895.90694444445</v>
      </c>
      <c r="P1682" s="49" t="n">
        <v>43895</v>
      </c>
      <c r="Q1682" s="47" t="n">
        <v>1586</v>
      </c>
      <c r="R1682" s="47" t="inlineStr">
        <is>
          <t>No Video ID yet</t>
        </is>
      </c>
      <c r="S1682" s="49" t="n"/>
      <c r="T1682" s="49" t="n"/>
      <c r="U1682" s="47" t="inlineStr">
        <is>
          <t>Hurry to to find out HOW LOW your Upstart rate is! Today J and Ben dive into the Pixar Universe to discuss the latest Pixar original movie: Onward and give it their critical review #Disney #Pixar #Onward</t>
        </is>
      </c>
      <c r="V1682" s="47">
        <f>IF(AND(P1682&gt;=Calendar!$K$2,P1682&lt;EDATE(Calendar!$K$2,1),OR(Calendar!$K$4="*",N1682=Calendar!$K$4)),P1682*100+COUNTIFS($P$6:$P$3267,P1682,$Q$6:$Q$3267,"&lt;="&amp;Q1682,$N$6:$N$3267,Calendar!$K$4),"")</f>
        <v/>
      </c>
      <c r="W1682" s="47">
        <f>IF(AND(B1682=Queue!$C$4,OR(Queue!$K$4="*",N1682=Queue!$K$4)),Q1682,"")</f>
        <v/>
      </c>
    </row>
    <row r="1683">
      <c r="A1683" s="38">
        <f>IF(M1683="","",HYPERLINK("https://www.youtube.com/watch?v="&amp;M1683,"▶"))</f>
        <v/>
      </c>
      <c r="B1683" s="39">
        <f>IF(C1683&lt;&gt;"",C1683,IF(P1683&lt;=IFERROR(INDEX(tblChannels[Watched Through],MATCH(N1683,tblChannels[Channel ID],0)),0),"Watched","Unwatched"))</f>
        <v/>
      </c>
      <c r="C1683" s="40" t="n"/>
      <c r="D1683" s="41" t="n"/>
      <c r="E1683" s="42" t="n">
        <v>43894.55486111111</v>
      </c>
      <c r="F1683" s="52" t="inlineStr">
        <is>
          <t>Super Carlin Gaming</t>
        </is>
      </c>
      <c r="G1683" t="inlineStr">
        <is>
          <t>Hogwarts Founders and The APPLE ESCAPADE  in SIMS 4 | Episode #10</t>
        </is>
      </c>
      <c r="H1683" s="44" t="n">
        <v>0.02428240740740741</v>
      </c>
      <c r="I1683" s="45" t="n">
        <v>25592</v>
      </c>
      <c r="J1683" s="45" t="n">
        <v>1015</v>
      </c>
      <c r="K1683" s="45" t="n">
        <v>293</v>
      </c>
      <c r="L1683" s="46" t="n"/>
      <c r="M1683" s="47" t="n"/>
      <c r="N1683" s="47" t="inlineStr">
        <is>
          <t>UCor_9jRnNNZVzTuQ92PKsaQ</t>
        </is>
      </c>
      <c r="O1683" s="48" t="n">
        <v>43894.76319444444</v>
      </c>
      <c r="P1683" s="49" t="n">
        <v>43894</v>
      </c>
      <c r="Q1683" s="47" t="n">
        <v>1585</v>
      </c>
      <c r="R1683" s="47" t="inlineStr">
        <is>
          <t>No Video ID yet</t>
        </is>
      </c>
      <c r="S1683" s="49" t="n"/>
      <c r="T1683" s="49" t="n"/>
      <c r="U1683" s="47" t="inlineStr">
        <is>
          <t>J and Ben continue the founding of Hogwarts with Godric Gryffindor, Rowena Ravenclaw, Helga Hufflepuff and Salazar Slytherin! Malfoy Manor enters the Wizarding World, the Chamber of Sprinkles receives a much needed addition, and Rowena goes on a grand adventure to (finally) find apples. #Sims4 #HarryPotter #LetsPlay</t>
        </is>
      </c>
      <c r="V1683" s="47">
        <f>IF(AND(P1683&gt;=Calendar!$K$2,P1683&lt;EDATE(Calendar!$K$2,1),OR(Calendar!$K$4="*",N1683=Calendar!$K$4)),P1683*100+COUNTIFS($P$6:$P$3267,P1683,$Q$6:$Q$3267,"&lt;="&amp;Q1683,$N$6:$N$3267,Calendar!$K$4),"")</f>
        <v/>
      </c>
      <c r="W1683" s="47">
        <f>IF(AND(B1683=Queue!$C$4,OR(Queue!$K$4="*",N1683=Queue!$K$4)),Q1683,"")</f>
        <v/>
      </c>
    </row>
    <row r="1684">
      <c r="A1684" s="38">
        <f>IF(M1684="","",HYPERLINK("https://www.youtube.com/watch?v="&amp;M1684,"▶"))</f>
        <v/>
      </c>
      <c r="B1684" s="39">
        <f>IF(C1684&lt;&gt;"",C1684,IF(P1684&lt;=IFERROR(INDEX(tblChannels[Watched Through],MATCH(N1684,tblChannels[Channel ID],0)),0),"Watched","Unwatched"))</f>
        <v/>
      </c>
      <c r="C1684" s="40" t="n"/>
      <c r="D1684" s="41" t="n"/>
      <c r="E1684" s="42" t="n">
        <v>43893.64097222222</v>
      </c>
      <c r="F1684" s="50" t="inlineStr">
        <is>
          <t>Super Carlin Brothers</t>
        </is>
      </c>
      <c r="G1684" t="inlineStr">
        <is>
          <t>J vs Ben: ULTIMATE Minerva McGonagall TRIVIA Quiz</t>
        </is>
      </c>
      <c r="H1684" s="44" t="n">
        <v>0.01378472222222222</v>
      </c>
      <c r="I1684" s="45" t="n">
        <v>286776</v>
      </c>
      <c r="J1684" s="45" t="n">
        <v>11235</v>
      </c>
      <c r="K1684" s="45" t="n">
        <v>1643</v>
      </c>
      <c r="L1684" s="46" t="n"/>
      <c r="M1684" s="47" t="n"/>
      <c r="N1684" s="47" t="inlineStr">
        <is>
          <t>UCKZo4N0lVPccBkSiuyVh4yg</t>
        </is>
      </c>
      <c r="O1684" s="48" t="n">
        <v>43893.84930555556</v>
      </c>
      <c r="P1684" s="49" t="n">
        <v>43893</v>
      </c>
      <c r="Q1684" s="47" t="n">
        <v>1584</v>
      </c>
      <c r="R1684" s="47" t="inlineStr">
        <is>
          <t>No Video ID yet</t>
        </is>
      </c>
      <c r="S1684" s="49" t="n"/>
      <c r="T1684" s="49" t="n"/>
      <c r="U1684" s="47" t="inlineStr">
        <is>
          <t>Today J and Ben face off once more to see how knows the Head of Gryffindor House: Minerva McGonagall the BEST?! #JvsBen #HarryPotter #WizardingWorld</t>
        </is>
      </c>
      <c r="V1684" s="47">
        <f>IF(AND(P1684&gt;=Calendar!$K$2,P1684&lt;EDATE(Calendar!$K$2,1),OR(Calendar!$K$4="*",N1684=Calendar!$K$4)),P1684*100+COUNTIFS($P$6:$P$3267,P1684,$Q$6:$Q$3267,"&lt;="&amp;Q1684,$N$6:$N$3267,Calendar!$K$4),"")</f>
        <v/>
      </c>
      <c r="W1684" s="47">
        <f>IF(AND(B1684=Queue!$C$4,OR(Queue!$K$4="*",N1684=Queue!$K$4)),Q1684,"")</f>
        <v/>
      </c>
    </row>
    <row r="1685">
      <c r="A1685" s="38">
        <f>IF(M1685="","",HYPERLINK("https://www.youtube.com/watch?v="&amp;M1685,"▶"))</f>
        <v/>
      </c>
      <c r="B1685" s="39">
        <f>IF(C1685&lt;&gt;"",C1685,IF(P1685&lt;=IFERROR(INDEX(tblChannels[Watched Through],MATCH(N1685,tblChannels[Channel ID],0)),0),"Watched","Unwatched"))</f>
        <v/>
      </c>
      <c r="C1685" s="40" t="n"/>
      <c r="D1685" s="41" t="n"/>
      <c r="E1685" s="42" t="n">
        <v>43892.41666666666</v>
      </c>
      <c r="F1685" s="53" t="inlineStr">
        <is>
          <t>Jonathan Carlin</t>
        </is>
      </c>
      <c r="G1685" t="inlineStr">
        <is>
          <t>We Learn How to SABER a Champagne Bottle!</t>
        </is>
      </c>
      <c r="H1685" s="44" t="n">
        <v>0.007696759259259259</v>
      </c>
      <c r="I1685" s="45" t="n">
        <v>28726</v>
      </c>
      <c r="J1685" s="45" t="n">
        <v>2048</v>
      </c>
      <c r="K1685" s="45" t="n">
        <v>273</v>
      </c>
      <c r="L1685" s="46" t="n"/>
      <c r="M1685" s="47" t="n"/>
      <c r="N1685" s="47" t="inlineStr">
        <is>
          <t>UCYPKFe86e6nm4TVUYKLsFUQ</t>
        </is>
      </c>
      <c r="O1685" s="48" t="n">
        <v>43892.625</v>
      </c>
      <c r="P1685" s="49" t="n">
        <v>43892</v>
      </c>
      <c r="Q1685" s="47" t="n">
        <v>1583</v>
      </c>
      <c r="R1685" s="47" t="inlineStr">
        <is>
          <t>No Video ID yet</t>
        </is>
      </c>
      <c r="S1685" s="49" t="n"/>
      <c r="T1685" s="49" t="n"/>
      <c r="U1685" s="47" t="inlineStr">
        <is>
          <t>This week J and the SCB crew learn how to saber a champagne bottle, Beth makes chocolate cake, and Luke bakes muffins!</t>
        </is>
      </c>
      <c r="V1685" s="47">
        <f>IF(AND(P1685&gt;=Calendar!$K$2,P1685&lt;EDATE(Calendar!$K$2,1),OR(Calendar!$K$4="*",N1685=Calendar!$K$4)),P1685*100+COUNTIFS($P$6:$P$3267,P1685,$Q$6:$Q$3267,"&lt;="&amp;Q1685,$N$6:$N$3267,Calendar!$K$4),"")</f>
        <v/>
      </c>
      <c r="W1685" s="47">
        <f>IF(AND(B1685=Queue!$C$4,OR(Queue!$K$4="*",N1685=Queue!$K$4)),Q1685,"")</f>
        <v/>
      </c>
    </row>
    <row r="1686">
      <c r="A1686" s="38">
        <f>IF(M1686="","",HYPERLINK("https://www.youtube.com/watch?v="&amp;M1686,"▶"))</f>
        <v/>
      </c>
      <c r="B1686" s="39">
        <f>IF(C1686&lt;&gt;"",C1686,IF(P1686&lt;=IFERROR(INDEX(tblChannels[Watched Through],MATCH(N1686,tblChannels[Channel ID],0)),0),"Watched","Unwatched"))</f>
        <v/>
      </c>
      <c r="C1686" s="40" t="n"/>
      <c r="D1686" s="41" t="n"/>
      <c r="E1686" s="42" t="n">
        <v>43888.60277777778</v>
      </c>
      <c r="F1686" s="50" t="inlineStr">
        <is>
          <t>Super Carlin Brothers</t>
        </is>
      </c>
      <c r="G1686" t="inlineStr">
        <is>
          <t>Aberforth's Goats EXPLAINED [Harry Potter Theory]</t>
        </is>
      </c>
      <c r="H1686" s="44" t="n">
        <v>0.009976851851851851</v>
      </c>
      <c r="I1686" s="45" t="n">
        <v>518289</v>
      </c>
      <c r="J1686" s="45" t="n">
        <v>21048</v>
      </c>
      <c r="K1686" s="45" t="n">
        <v>3179</v>
      </c>
      <c r="L1686" s="46" t="n"/>
      <c r="M1686" s="47" t="n"/>
      <c r="N1686" s="47" t="inlineStr">
        <is>
          <t>UCKZo4N0lVPccBkSiuyVh4yg</t>
        </is>
      </c>
      <c r="O1686" s="48" t="n">
        <v>43888.81111111111</v>
      </c>
      <c r="P1686" s="49" t="n">
        <v>43888</v>
      </c>
      <c r="Q1686" s="47" t="n">
        <v>1582</v>
      </c>
      <c r="R1686" s="47" t="inlineStr">
        <is>
          <t>No Video ID yet</t>
        </is>
      </c>
      <c r="S1686" s="49" t="n"/>
      <c r="T1686" s="49" t="n"/>
      <c r="U1686" s="47" t="inlineStr">
        <is>
          <t>You can get started with Candid with $75 off of by using code SCB at Today Ben dives into the Wizarding World of Harry Potter to FINALLY unravel the mystery behind Aberforth Dumbledore's obsession with goats! #HarryPotter #SuperCarlinBrothers #WizardingWorld</t>
        </is>
      </c>
      <c r="V1686" s="47">
        <f>IF(AND(P1686&gt;=Calendar!$K$2,P1686&lt;EDATE(Calendar!$K$2,1),OR(Calendar!$K$4="*",N1686=Calendar!$K$4)),P1686*100+COUNTIFS($P$6:$P$3267,P1686,$Q$6:$Q$3267,"&lt;="&amp;Q1686,$N$6:$N$3267,Calendar!$K$4),"")</f>
        <v/>
      </c>
      <c r="W1686" s="47">
        <f>IF(AND(B1686=Queue!$C$4,OR(Queue!$K$4="*",N1686=Queue!$K$4)),Q1686,"")</f>
        <v/>
      </c>
    </row>
    <row r="1687">
      <c r="A1687" s="38">
        <f>IF(M1687="","",HYPERLINK("https://www.youtube.com/watch?v="&amp;M1687,"▶"))</f>
        <v/>
      </c>
      <c r="B1687" s="39">
        <f>IF(C1687&lt;&gt;"",C1687,IF(P1687&lt;=IFERROR(INDEX(tblChannels[Watched Through],MATCH(N1687,tblChannels[Channel ID],0)),0),"Watched","Unwatched"))</f>
        <v/>
      </c>
      <c r="C1687" s="40" t="n"/>
      <c r="D1687" s="41" t="n"/>
      <c r="E1687" s="42" t="n">
        <v>43888.48402777778</v>
      </c>
      <c r="F1687" s="52" t="inlineStr">
        <is>
          <t>Super Carlin Gaming</t>
        </is>
      </c>
      <c r="G1687" t="inlineStr">
        <is>
          <t>Hogwarts Founders and The Chamber of SPRINKLES in SIMS 4 | Episode #9</t>
        </is>
      </c>
      <c r="H1687" s="44" t="n">
        <v>0.01875</v>
      </c>
      <c r="I1687" s="45" t="n">
        <v>26602</v>
      </c>
      <c r="J1687" s="45" t="n">
        <v>1008</v>
      </c>
      <c r="K1687" s="45" t="n">
        <v>238</v>
      </c>
      <c r="L1687" s="46" t="n"/>
      <c r="M1687" s="47" t="n"/>
      <c r="N1687" s="47" t="inlineStr">
        <is>
          <t>UCor_9jRnNNZVzTuQ92PKsaQ</t>
        </is>
      </c>
      <c r="O1687" s="48" t="n">
        <v>43888.69236111111</v>
      </c>
      <c r="P1687" s="49" t="n">
        <v>43888</v>
      </c>
      <c r="Q1687" s="47" t="n">
        <v>1581</v>
      </c>
      <c r="R1687" s="47" t="inlineStr">
        <is>
          <t>No Video ID yet</t>
        </is>
      </c>
      <c r="S1687" s="49" t="n"/>
      <c r="T1687" s="49" t="n"/>
      <c r="U1687" s="47" t="inlineStr">
        <is>
          <t>J and Ben continue the founding of Hogwarts with Godric Gryffindor, Rowena Ravenclaw, Helga Hufflepuff and Salazar Slytherin! The Lovegoods and plentiful Gilderoys enter the world, and Hogwarts Castle gets a much needed addition. #Sims4 #HarryPotter #LetsPlay C O F F E E ➜</t>
        </is>
      </c>
      <c r="V1687" s="47">
        <f>IF(AND(P1687&gt;=Calendar!$K$2,P1687&lt;EDATE(Calendar!$K$2,1),OR(Calendar!$K$4="*",N1687=Calendar!$K$4)),P1687*100+COUNTIFS($P$6:$P$3267,P1687,$Q$6:$Q$3267,"&lt;="&amp;Q1687,$N$6:$N$3267,Calendar!$K$4),"")</f>
        <v/>
      </c>
      <c r="W1687" s="47">
        <f>IF(AND(B1687=Queue!$C$4,OR(Queue!$K$4="*",N1687=Queue!$K$4)),Q1687,"")</f>
        <v/>
      </c>
    </row>
    <row r="1688">
      <c r="A1688" s="38">
        <f>IF(M1688="","",HYPERLINK("https://www.youtube.com/watch?v="&amp;M1688,"▶"))</f>
        <v/>
      </c>
      <c r="B1688" s="39">
        <f>IF(C1688&lt;&gt;"",C1688,IF(P1688&lt;=IFERROR(INDEX(tblChannels[Watched Through],MATCH(N1688,tblChannels[Channel ID],0)),0),"Watched","Unwatched"))</f>
        <v/>
      </c>
      <c r="C1688" s="40" t="n"/>
      <c r="D1688" s="41" t="n"/>
      <c r="E1688" s="42" t="n">
        <v>43886.57083333333</v>
      </c>
      <c r="F1688" s="50" t="inlineStr">
        <is>
          <t>Super Carlin Brothers</t>
        </is>
      </c>
      <c r="G1688" t="inlineStr">
        <is>
          <t>Why Couldn't Harry See The Thestrals? [Harry Potter Theory]</t>
        </is>
      </c>
      <c r="H1688" s="44" t="n">
        <v>0.008206018518518519</v>
      </c>
      <c r="I1688" s="45" t="n">
        <v>923384</v>
      </c>
      <c r="J1688" s="45" t="n">
        <v>30080</v>
      </c>
      <c r="K1688" s="45" t="n">
        <v>3370</v>
      </c>
      <c r="L1688" s="46" t="n"/>
      <c r="M1688" s="47" t="n"/>
      <c r="N1688" s="47" t="inlineStr">
        <is>
          <t>UCKZo4N0lVPccBkSiuyVh4yg</t>
        </is>
      </c>
      <c r="O1688" s="48" t="n">
        <v>43886.77916666667</v>
      </c>
      <c r="P1688" s="49" t="n">
        <v>43886</v>
      </c>
      <c r="Q1688" s="47" t="n">
        <v>1580</v>
      </c>
      <c r="R1688" s="47" t="inlineStr">
        <is>
          <t>No Video ID yet</t>
        </is>
      </c>
      <c r="S1688" s="49" t="n"/>
      <c r="T1688" s="49" t="n"/>
      <c r="U1688" s="47" t="inlineStr">
        <is>
          <t>Today J dives into the Wizarding World of Harry Potter to try and explain one of the weirdest plot holes in Harry Potter - Why can't Harry see thestrals until Cedric dies.. and why cant he see them RIGHT after he dies? #HarryPotter #SuperCarlinBrothers #Theory</t>
        </is>
      </c>
      <c r="V1688" s="47">
        <f>IF(AND(P1688&gt;=Calendar!$K$2,P1688&lt;EDATE(Calendar!$K$2,1),OR(Calendar!$K$4="*",N1688=Calendar!$K$4)),P1688*100+COUNTIFS($P$6:$P$3267,P1688,$Q$6:$Q$3267,"&lt;="&amp;Q1688,$N$6:$N$3267,Calendar!$K$4),"")</f>
        <v/>
      </c>
      <c r="W1688" s="47">
        <f>IF(AND(B1688=Queue!$C$4,OR(Queue!$K$4="*",N1688=Queue!$K$4)),Q1688,"")</f>
        <v/>
      </c>
    </row>
    <row r="1689">
      <c r="A1689" s="38">
        <f>IF(M1689="","",HYPERLINK("https://www.youtube.com/watch?v="&amp;M1689,"▶"))</f>
        <v/>
      </c>
      <c r="B1689" s="39">
        <f>IF(C1689&lt;&gt;"",C1689,IF(P1689&lt;=IFERROR(INDEX(tblChannels[Watched Through],MATCH(N1689,tblChannels[Channel ID],0)),0),"Watched","Unwatched"))</f>
        <v/>
      </c>
      <c r="C1689" s="40" t="n"/>
      <c r="D1689" s="41" t="n"/>
      <c r="E1689" s="42" t="n">
        <v>43885.59652777778</v>
      </c>
      <c r="F1689" s="53" t="inlineStr">
        <is>
          <t>Jonathan Carlin</t>
        </is>
      </c>
      <c r="G1689" t="inlineStr">
        <is>
          <t>Saying Goodbye to the Old House</t>
        </is>
      </c>
      <c r="H1689" s="44" t="n">
        <v>0.01023148148148148</v>
      </c>
      <c r="I1689" s="45" t="n">
        <v>48968</v>
      </c>
      <c r="J1689" s="45" t="n">
        <v>2784</v>
      </c>
      <c r="K1689" s="45" t="n">
        <v>314</v>
      </c>
      <c r="L1689" s="46" t="n"/>
      <c r="M1689" s="47" t="n"/>
      <c r="N1689" s="47" t="inlineStr">
        <is>
          <t>UCYPKFe86e6nm4TVUYKLsFUQ</t>
        </is>
      </c>
      <c r="O1689" s="48" t="n">
        <v>43885.80486111111</v>
      </c>
      <c r="P1689" s="49" t="n">
        <v>43885</v>
      </c>
      <c r="Q1689" s="47" t="n">
        <v>1579</v>
      </c>
      <c r="R1689" s="47" t="inlineStr">
        <is>
          <t>No Video ID yet</t>
        </is>
      </c>
      <c r="S1689" s="49" t="n"/>
      <c r="T1689" s="49" t="n"/>
      <c r="U1689" s="47" t="inlineStr">
        <is>
          <t>This week the Carlin clan celebrates ystävänpäivä and J says good bye the old house, while preparing the new one for the twins!</t>
        </is>
      </c>
      <c r="V1689" s="47">
        <f>IF(AND(P1689&gt;=Calendar!$K$2,P1689&lt;EDATE(Calendar!$K$2,1),OR(Calendar!$K$4="*",N1689=Calendar!$K$4)),P1689*100+COUNTIFS($P$6:$P$3267,P1689,$Q$6:$Q$3267,"&lt;="&amp;Q1689,$N$6:$N$3267,Calendar!$K$4),"")</f>
        <v/>
      </c>
      <c r="W1689" s="47">
        <f>IF(AND(B1689=Queue!$C$4,OR(Queue!$K$4="*",N1689=Queue!$K$4)),Q1689,"")</f>
        <v/>
      </c>
    </row>
    <row r="1690">
      <c r="A1690" s="38">
        <f>IF(M1690="","",HYPERLINK("https://www.youtube.com/watch?v="&amp;M1690,"▶"))</f>
        <v/>
      </c>
      <c r="B1690" s="39">
        <f>IF(C1690&lt;&gt;"",C1690,IF(P1690&lt;=IFERROR(INDEX(tblChannels[Watched Through],MATCH(N1690,tblChannels[Channel ID],0)),0),"Watched","Unwatched"))</f>
        <v/>
      </c>
      <c r="C1690" s="40" t="n"/>
      <c r="D1690" s="41" t="n"/>
      <c r="E1690" s="42" t="n">
        <v>43881.76458333333</v>
      </c>
      <c r="F1690" s="50" t="inlineStr">
        <is>
          <t>Super Carlin Brothers</t>
        </is>
      </c>
      <c r="G1690" t="inlineStr">
        <is>
          <t>OUR FAIRY TALE DISNEY WEDDING</t>
        </is>
      </c>
      <c r="H1690" s="44" t="n">
        <v>0.01216435185185185</v>
      </c>
      <c r="I1690" s="45" t="n">
        <v>320075</v>
      </c>
      <c r="J1690" s="45" t="n">
        <v>26102</v>
      </c>
      <c r="K1690" s="45" t="n">
        <v>3184</v>
      </c>
      <c r="L1690" s="46" t="n"/>
      <c r="M1690" s="47" t="n"/>
      <c r="N1690" s="47" t="inlineStr">
        <is>
          <t>UCKZo4N0lVPccBkSiuyVh4yg</t>
        </is>
      </c>
      <c r="O1690" s="48" t="n">
        <v>43881.97291666667</v>
      </c>
      <c r="P1690" s="49" t="n">
        <v>43881</v>
      </c>
      <c r="Q1690" s="47" t="n">
        <v>1578</v>
      </c>
      <c r="R1690" s="47" t="inlineStr">
        <is>
          <t>No Video ID yet</t>
        </is>
      </c>
      <c r="S1690" s="49" t="n"/>
      <c r="T1690" s="49" t="n"/>
      <c r="U1690" s="47" t="inlineStr">
        <is>
          <t>Want your own Fairy Tale Wedding? Inquire here :: Today we celebrate Ben and Alyce’s love for one another, their beautiful wedding and amazing celebration at Disney World. Follow Ben and Alyce on Instagram! @scb_ben - @achaynes - #DisneyWorld #DisneyWedding #Disney #FairyTaleWedding</t>
        </is>
      </c>
      <c r="V1690" s="47">
        <f>IF(AND(P1690&gt;=Calendar!$K$2,P1690&lt;EDATE(Calendar!$K$2,1),OR(Calendar!$K$4="*",N1690=Calendar!$K$4)),P1690*100+COUNTIFS($P$6:$P$3267,P1690,$Q$6:$Q$3267,"&lt;="&amp;Q1690,$N$6:$N$3267,Calendar!$K$4),"")</f>
        <v/>
      </c>
      <c r="W1690" s="47">
        <f>IF(AND(B1690=Queue!$C$4,OR(Queue!$K$4="*",N1690=Queue!$K$4)),Q1690,"")</f>
        <v/>
      </c>
    </row>
    <row r="1691">
      <c r="A1691" s="38">
        <f>IF(M1691="","",HYPERLINK("https://www.youtube.com/watch?v="&amp;M1691,"▶"))</f>
        <v/>
      </c>
      <c r="B1691" s="39">
        <f>IF(C1691&lt;&gt;"",C1691,IF(P1691&lt;=IFERROR(INDEX(tblChannels[Watched Through],MATCH(N1691,tblChannels[Channel ID],0)),0),"Watched","Unwatched"))</f>
        <v/>
      </c>
      <c r="C1691" s="40" t="n"/>
      <c r="D1691" s="41" t="n"/>
      <c r="E1691" s="42" t="n">
        <v>43880.45486111111</v>
      </c>
      <c r="F1691" s="52" t="inlineStr">
        <is>
          <t>Super Carlin Gaming</t>
        </is>
      </c>
      <c r="G1691" t="inlineStr">
        <is>
          <t>Hogwarts Founders Meet GILDEROY in SIMS 4 | Episode #8</t>
        </is>
      </c>
      <c r="H1691" s="44" t="n">
        <v>0.02298611111111111</v>
      </c>
      <c r="I1691" s="45" t="n">
        <v>27691</v>
      </c>
      <c r="J1691" s="45" t="n">
        <v>1112</v>
      </c>
      <c r="K1691" s="45" t="n">
        <v>219</v>
      </c>
      <c r="L1691" s="46" t="n"/>
      <c r="M1691" s="47" t="n"/>
      <c r="N1691" s="47" t="inlineStr">
        <is>
          <t>UCor_9jRnNNZVzTuQ92PKsaQ</t>
        </is>
      </c>
      <c r="O1691" s="48" t="n">
        <v>43880.66319444445</v>
      </c>
      <c r="P1691" s="49" t="n">
        <v>43880</v>
      </c>
      <c r="Q1691" s="47" t="n">
        <v>1577</v>
      </c>
      <c r="R1691" s="47" t="inlineStr">
        <is>
          <t>No Video ID yet</t>
        </is>
      </c>
      <c r="S1691" s="49" t="n"/>
      <c r="T1691" s="49" t="n"/>
      <c r="U1691" s="47" t="inlineStr">
        <is>
          <t>J and Ben continue the founding of Hogwarts with Godric Gryffindor, Rowena Ravenclaw, Helga Hufflepuff and Salazar Slytherin! The founders fight to save their castle from a raging fire and Helga gets up close &amp; personal with Gilderoy Lockhart. #Sims4 #HarryPotter #LetsPlay</t>
        </is>
      </c>
      <c r="V1691" s="47">
        <f>IF(AND(P1691&gt;=Calendar!$K$2,P1691&lt;EDATE(Calendar!$K$2,1),OR(Calendar!$K$4="*",N1691=Calendar!$K$4)),P1691*100+COUNTIFS($P$6:$P$3267,P1691,$Q$6:$Q$3267,"&lt;="&amp;Q1691,$N$6:$N$3267,Calendar!$K$4),"")</f>
        <v/>
      </c>
      <c r="W1691" s="47">
        <f>IF(AND(B1691=Queue!$C$4,OR(Queue!$K$4="*",N1691=Queue!$K$4)),Q1691,"")</f>
        <v/>
      </c>
    </row>
    <row r="1692">
      <c r="A1692" s="38">
        <f>IF(M1692="","",HYPERLINK("https://www.youtube.com/watch?v="&amp;M1692,"▶"))</f>
        <v/>
      </c>
      <c r="B1692" s="39">
        <f>IF(C1692&lt;&gt;"",C1692,IF(P1692&lt;=IFERROR(INDEX(tblChannels[Watched Through],MATCH(N1692,tblChannels[Channel ID],0)),0),"Watched","Unwatched"))</f>
        <v/>
      </c>
      <c r="C1692" s="40" t="n"/>
      <c r="D1692" s="41" t="n"/>
      <c r="E1692" s="42" t="n">
        <v>43879.80902777778</v>
      </c>
      <c r="F1692" s="50" t="inlineStr">
        <is>
          <t>Super Carlin Brothers</t>
        </is>
      </c>
      <c r="G1692" t="inlineStr">
        <is>
          <t>Dumbledore Is Death [Harry Potter Theory]</t>
        </is>
      </c>
      <c r="H1692" s="44" t="n">
        <v>0.009293981481481481</v>
      </c>
      <c r="I1692" s="45" t="n">
        <v>786928</v>
      </c>
      <c r="J1692" s="45" t="n">
        <v>27764</v>
      </c>
      <c r="K1692" s="45" t="n">
        <v>1745</v>
      </c>
      <c r="L1692" s="46" t="n"/>
      <c r="M1692" s="47" t="n"/>
      <c r="N1692" s="47" t="inlineStr">
        <is>
          <t>UCKZo4N0lVPccBkSiuyVh4yg</t>
        </is>
      </c>
      <c r="O1692" s="48" t="n">
        <v>43880.01736111111</v>
      </c>
      <c r="P1692" s="49" t="n">
        <v>43879</v>
      </c>
      <c r="Q1692" s="47" t="n">
        <v>1576</v>
      </c>
      <c r="R1692" s="47" t="inlineStr">
        <is>
          <t>No Video ID yet</t>
        </is>
      </c>
      <c r="S1692" s="49" t="n"/>
      <c r="T1692" s="49" t="n"/>
      <c r="U1692" s="47" t="inlineStr">
        <is>
          <t>Get 20% off your first monthly box when you sign up at and enter the code “SUPER” at checkout. Today J dives into the Wizarding World of Harry Potter to revisit and expand upon the theory that Dumbledore is DEATH and that Harry, Voldemort and Snape represent the three brothers.</t>
        </is>
      </c>
      <c r="V1692" s="47">
        <f>IF(AND(P1692&gt;=Calendar!$K$2,P1692&lt;EDATE(Calendar!$K$2,1),OR(Calendar!$K$4="*",N1692=Calendar!$K$4)),P1692*100+COUNTIFS($P$6:$P$3267,P1692,$Q$6:$Q$3267,"&lt;="&amp;Q1692,$N$6:$N$3267,Calendar!$K$4),"")</f>
        <v/>
      </c>
      <c r="W1692" s="47">
        <f>IF(AND(B1692=Queue!$C$4,OR(Queue!$K$4="*",N1692=Queue!$K$4)),Q1692,"")</f>
        <v/>
      </c>
    </row>
    <row r="1693">
      <c r="A1693" s="38">
        <f>IF(M1693="","",HYPERLINK("https://www.youtube.com/watch?v="&amp;M1693,"▶"))</f>
        <v/>
      </c>
      <c r="B1693" s="39">
        <f>IF(C1693&lt;&gt;"",C1693,IF(P1693&lt;=IFERROR(INDEX(tblChannels[Watched Through],MATCH(N1693,tblChannels[Channel ID],0)),0),"Watched","Unwatched"))</f>
        <v/>
      </c>
      <c r="C1693" s="40" t="n"/>
      <c r="D1693" s="41" t="n"/>
      <c r="E1693" s="42" t="n">
        <v>43878.45833333334</v>
      </c>
      <c r="F1693" s="53" t="inlineStr">
        <is>
          <t>Jonathan Carlin</t>
        </is>
      </c>
      <c r="G1693" t="inlineStr">
        <is>
          <t>The Twin Countdown IS REAL!</t>
        </is>
      </c>
      <c r="H1693" s="44" t="n">
        <v>0.007222222222222222</v>
      </c>
      <c r="I1693" s="45" t="n">
        <v>67527</v>
      </c>
      <c r="J1693" s="45" t="n">
        <v>5154</v>
      </c>
      <c r="K1693" s="45" t="n">
        <v>765</v>
      </c>
      <c r="L1693" s="46" t="n"/>
      <c r="M1693" s="47" t="n"/>
      <c r="N1693" s="47" t="inlineStr">
        <is>
          <t>UCYPKFe86e6nm4TVUYKLsFUQ</t>
        </is>
      </c>
      <c r="O1693" s="48" t="n">
        <v>43878.66666666666</v>
      </c>
      <c r="P1693" s="49" t="n">
        <v>43878</v>
      </c>
      <c r="Q1693" s="47" t="n">
        <v>1575</v>
      </c>
      <c r="R1693" s="47" t="inlineStr">
        <is>
          <t>No Video ID yet</t>
        </is>
      </c>
      <c r="S1693" s="49" t="n"/>
      <c r="T1693" s="49" t="n"/>
      <c r="U1693" s="47" t="inlineStr">
        <is>
          <t>Good to see you again! Much has happened including a new house! Thank for hanging in there while I took a quick break, stepping away for a few months was very helpful! This week J checks in with the rest of the SCB crew including some new faces, and discusses what it's like preparing for the next stage of parenthood.</t>
        </is>
      </c>
      <c r="V1693" s="47">
        <f>IF(AND(P1693&gt;=Calendar!$K$2,P1693&lt;EDATE(Calendar!$K$2,1),OR(Calendar!$K$4="*",N1693=Calendar!$K$4)),P1693*100+COUNTIFS($P$6:$P$3267,P1693,$Q$6:$Q$3267,"&lt;="&amp;Q1693,$N$6:$N$3267,Calendar!$K$4),"")</f>
        <v/>
      </c>
      <c r="W1693" s="47">
        <f>IF(AND(B1693=Queue!$C$4,OR(Queue!$K$4="*",N1693=Queue!$K$4)),Q1693,"")</f>
        <v/>
      </c>
    </row>
    <row r="1694">
      <c r="A1694" s="38">
        <f>IF(M1694="","",HYPERLINK("https://www.youtube.com/watch?v="&amp;M1694,"▶"))</f>
        <v/>
      </c>
      <c r="B1694" s="39">
        <f>IF(C1694&lt;&gt;"",C1694,IF(P1694&lt;=IFERROR(INDEX(tblChannels[Watched Through],MATCH(N1694,tblChannels[Channel ID],0)),0),"Watched","Unwatched"))</f>
        <v/>
      </c>
      <c r="C1694" s="40" t="n"/>
      <c r="D1694" s="41" t="n"/>
      <c r="E1694" s="42" t="n">
        <v>43875.57638888889</v>
      </c>
      <c r="F1694" s="43" t="inlineStr">
        <is>
          <t>Popcorn Culture</t>
        </is>
      </c>
      <c r="G1694" t="inlineStr">
        <is>
          <t>10 - Chainsaws, Regional Speech, and Ystavanpaiva Day</t>
        </is>
      </c>
      <c r="H1694" s="44" t="n">
        <v>0.0430787037037037</v>
      </c>
      <c r="I1694" s="45" t="n">
        <v>6667</v>
      </c>
      <c r="J1694" s="45" t="n">
        <v>263</v>
      </c>
      <c r="K1694" s="45" t="n">
        <v>91</v>
      </c>
      <c r="L1694" s="46" t="n"/>
      <c r="M1694" s="47" t="n"/>
      <c r="N1694" s="47" t="inlineStr">
        <is>
          <t>UCHfIbq9thHPC8yrKjAdJgDA</t>
        </is>
      </c>
      <c r="O1694" s="48" t="n">
        <v>43875.78472222222</v>
      </c>
      <c r="P1694" s="49" t="n">
        <v>43875</v>
      </c>
      <c r="Q1694" s="47" t="n">
        <v>1574</v>
      </c>
      <c r="R1694" s="47" t="inlineStr">
        <is>
          <t>No Video ID yet</t>
        </is>
      </c>
      <c r="S1694" s="49" t="n"/>
      <c r="T1694" s="49" t="n"/>
      <c r="U1694" s="47" t="inlineStr">
        <is>
          <t>Ben and J discuss: homophones, regional speech, “Sir” and “Ma’am”, chainsaws, many definitions of “manly”, Ystavanpaiva Day, french fries, can crushers, burger joint hierarchy, meet and greets, reality show feedback and truth, and game shows. Can Crusher: Check out Seamus Gorman: Submit Your Corny Jokes!: Discuss the Podcast on Discord:</t>
        </is>
      </c>
      <c r="V1694" s="47">
        <f>IF(AND(P1694&gt;=Calendar!$K$2,P1694&lt;EDATE(Calendar!$K$2,1),OR(Calendar!$K$4="*",N1694=Calendar!$K$4)),P1694*100+COUNTIFS($P$6:$P$3267,P1694,$Q$6:$Q$3267,"&lt;="&amp;Q1694,$N$6:$N$3267,Calendar!$K$4),"")</f>
        <v/>
      </c>
      <c r="W1694" s="47">
        <f>IF(AND(B1694=Queue!$C$4,OR(Queue!$K$4="*",N1694=Queue!$K$4)),Q1694,"")</f>
        <v/>
      </c>
    </row>
    <row r="1695">
      <c r="A1695" s="38">
        <f>IF(M1695="","",HYPERLINK("https://www.youtube.com/watch?v="&amp;M1695,"▶"))</f>
        <v/>
      </c>
      <c r="B1695" s="39">
        <f>IF(C1695&lt;&gt;"",C1695,IF(P1695&lt;=IFERROR(INDEX(tblChannels[Watched Through],MATCH(N1695,tblChannels[Channel ID],0)),0),"Watched","Unwatched"))</f>
        <v/>
      </c>
      <c r="C1695" s="40" t="n"/>
      <c r="D1695" s="41" t="n"/>
      <c r="E1695" s="42" t="n">
        <v>43874.64236111111</v>
      </c>
      <c r="F1695" s="50" t="inlineStr">
        <is>
          <t>Super Carlin Brothers</t>
        </is>
      </c>
      <c r="G1695" t="inlineStr">
        <is>
          <t>J vs Ben: ULTIMATE Gilderoy Lockhart TRIVIA Quiz</t>
        </is>
      </c>
      <c r="H1695" s="44" t="n">
        <v>0.01643518518518518</v>
      </c>
      <c r="I1695" s="45" t="n">
        <v>473151</v>
      </c>
      <c r="J1695" s="45" t="n">
        <v>12971</v>
      </c>
      <c r="K1695" s="45" t="n">
        <v>1206</v>
      </c>
      <c r="L1695" s="46" t="n"/>
      <c r="M1695" s="47" t="n"/>
      <c r="N1695" s="47" t="inlineStr">
        <is>
          <t>UCKZo4N0lVPccBkSiuyVh4yg</t>
        </is>
      </c>
      <c r="O1695" s="48" t="n">
        <v>43874.85069444445</v>
      </c>
      <c r="P1695" s="49" t="n">
        <v>43874</v>
      </c>
      <c r="Q1695" s="47" t="n">
        <v>1573</v>
      </c>
      <c r="R1695" s="47" t="inlineStr">
        <is>
          <t>No Video ID yet</t>
        </is>
      </c>
      <c r="S1695" s="49" t="n"/>
      <c r="T1695" s="49" t="n"/>
      <c r="U1695" s="47" t="inlineStr">
        <is>
          <t>Get your special access to the Wizarding World with a Gold Subscription here: Today J and Ben face off in the hardest Gilderoy Lockhart quiz online to see who know the most about the greatest wizard of all time… according to himself. (But he doesnt talk about that)</t>
        </is>
      </c>
      <c r="V1695" s="47">
        <f>IF(AND(P1695&gt;=Calendar!$K$2,P1695&lt;EDATE(Calendar!$K$2,1),OR(Calendar!$K$4="*",N1695=Calendar!$K$4)),P1695*100+COUNTIFS($P$6:$P$3267,P1695,$Q$6:$Q$3267,"&lt;="&amp;Q1695,$N$6:$N$3267,Calendar!$K$4),"")</f>
        <v/>
      </c>
      <c r="W1695" s="47">
        <f>IF(AND(B1695=Queue!$C$4,OR(Queue!$K$4="*",N1695=Queue!$K$4)),Q1695,"")</f>
        <v/>
      </c>
    </row>
    <row r="1696">
      <c r="A1696" s="38">
        <f>IF(M1696="","",HYPERLINK("https://www.youtube.com/watch?v="&amp;M1696,"▶"))</f>
        <v/>
      </c>
      <c r="B1696" s="39">
        <f>IF(C1696&lt;&gt;"",C1696,IF(P1696&lt;=IFERROR(INDEX(tblChannels[Watched Through],MATCH(N1696,tblChannels[Channel ID],0)),0),"Watched","Unwatched"))</f>
        <v/>
      </c>
      <c r="C1696" s="40" t="n"/>
      <c r="D1696" s="41" t="n"/>
      <c r="E1696" s="42" t="n">
        <v>43873.40902777778</v>
      </c>
      <c r="F1696" s="52" t="inlineStr">
        <is>
          <t>Super Carlin Gaming</t>
        </is>
      </c>
      <c r="G1696" t="inlineStr">
        <is>
          <t>Hogwarts Founders Throw a RAGER in SIMS 4 | Episode #7</t>
        </is>
      </c>
      <c r="H1696" s="44" t="n">
        <v>0.02861111111111111</v>
      </c>
      <c r="I1696" s="45" t="n">
        <v>48334</v>
      </c>
      <c r="J1696" s="45" t="n">
        <v>1498</v>
      </c>
      <c r="K1696" s="45" t="n">
        <v>221</v>
      </c>
      <c r="L1696" s="46" t="n"/>
      <c r="M1696" s="47" t="n"/>
      <c r="N1696" s="47" t="inlineStr">
        <is>
          <t>UCor_9jRnNNZVzTuQ92PKsaQ</t>
        </is>
      </c>
      <c r="O1696" s="48" t="n">
        <v>43873.61736111111</v>
      </c>
      <c r="P1696" s="49" t="n">
        <v>43873</v>
      </c>
      <c r="Q1696" s="47" t="n">
        <v>1572</v>
      </c>
      <c r="R1696" s="47" t="inlineStr">
        <is>
          <t>No Video ID yet</t>
        </is>
      </c>
      <c r="S1696" s="49" t="n"/>
      <c r="T1696" s="49" t="n"/>
      <c r="U1696" s="47" t="inlineStr">
        <is>
          <t>J and Ben continue the founding of Hogwarts with Godric Gryffindor, Rowena Ravenclaw, Helga Hufflepuff and Salazar Slytherin! The founders throw an insane party and Salazar has a shopping spree in the Magical Realm. #Sims4 #HarryPotter #LetsPlay</t>
        </is>
      </c>
      <c r="V1696" s="47">
        <f>IF(AND(P1696&gt;=Calendar!$K$2,P1696&lt;EDATE(Calendar!$K$2,1),OR(Calendar!$K$4="*",N1696=Calendar!$K$4)),P1696*100+COUNTIFS($P$6:$P$3267,P1696,$Q$6:$Q$3267,"&lt;="&amp;Q1696,$N$6:$N$3267,Calendar!$K$4),"")</f>
        <v/>
      </c>
      <c r="W1696" s="47">
        <f>IF(AND(B1696=Queue!$C$4,OR(Queue!$K$4="*",N1696=Queue!$K$4)),Q1696,"")</f>
        <v/>
      </c>
    </row>
    <row r="1697">
      <c r="A1697" s="38">
        <f>IF(M1697="","",HYPERLINK("https://www.youtube.com/watch?v="&amp;M1697,"▶"))</f>
        <v/>
      </c>
      <c r="B1697" s="39">
        <f>IF(C1697&lt;&gt;"",C1697,IF(P1697&lt;=IFERROR(INDEX(tblChannels[Watched Through],MATCH(N1697,tblChannels[Channel ID],0)),0),"Watched","Unwatched"))</f>
        <v/>
      </c>
      <c r="C1697" s="40" t="n"/>
      <c r="D1697" s="41" t="n"/>
      <c r="E1697" s="42" t="n">
        <v>43872.70833333334</v>
      </c>
      <c r="F1697" s="50" t="inlineStr">
        <is>
          <t>Super Carlin Brothers</t>
        </is>
      </c>
      <c r="G1697" t="inlineStr">
        <is>
          <t>Why the Horcrux in Harry Wasn't Destroyed by the Basilisk [Harry Potter Explained]</t>
        </is>
      </c>
      <c r="H1697" s="44" t="n">
        <v>0.007662037037037037</v>
      </c>
      <c r="I1697" s="45" t="n">
        <v>772478</v>
      </c>
      <c r="J1697" s="45" t="n">
        <v>23889</v>
      </c>
      <c r="K1697" s="45" t="n">
        <v>2640</v>
      </c>
      <c r="L1697" s="46" t="n"/>
      <c r="M1697" s="47" t="n"/>
      <c r="N1697" s="47" t="inlineStr">
        <is>
          <t>UCKZo4N0lVPccBkSiuyVh4yg</t>
        </is>
      </c>
      <c r="O1697" s="48" t="n">
        <v>43872.91666666666</v>
      </c>
      <c r="P1697" s="49" t="n">
        <v>43872</v>
      </c>
      <c r="Q1697" s="47" t="n">
        <v>1571</v>
      </c>
      <c r="R1697" s="47" t="inlineStr">
        <is>
          <t>No Video ID yet</t>
        </is>
      </c>
      <c r="S1697" s="49" t="n"/>
      <c r="T1697" s="49" t="n"/>
      <c r="U1697" s="47" t="inlineStr">
        <is>
          <t>Get started today with $75 off by using code SCB at Today J dives into the Wizarding World of Harry Potter to determine why the Basilisk didnt destroy the horcrux inside Harry in Chamber of Secrets even though everything else its venom touches perishes instantly!</t>
        </is>
      </c>
      <c r="V1697" s="47">
        <f>IF(AND(P1697&gt;=Calendar!$K$2,P1697&lt;EDATE(Calendar!$K$2,1),OR(Calendar!$K$4="*",N1697=Calendar!$K$4)),P1697*100+COUNTIFS($P$6:$P$3267,P1697,$Q$6:$Q$3267,"&lt;="&amp;Q1697,$N$6:$N$3267,Calendar!$K$4),"")</f>
        <v/>
      </c>
      <c r="W1697" s="47">
        <f>IF(AND(B1697=Queue!$C$4,OR(Queue!$K$4="*",N1697=Queue!$K$4)),Q1697,"")</f>
        <v/>
      </c>
    </row>
    <row r="1698">
      <c r="A1698" s="38">
        <f>IF(M1698="","",HYPERLINK("https://www.youtube.com/watch?v="&amp;M1698,"▶"))</f>
        <v/>
      </c>
      <c r="B1698" s="39">
        <f>IF(C1698&lt;&gt;"",C1698,IF(P1698&lt;=IFERROR(INDEX(tblChannels[Watched Through],MATCH(N1698,tblChannels[Channel ID],0)),0),"Watched","Unwatched"))</f>
        <v/>
      </c>
      <c r="C1698" s="40" t="n"/>
      <c r="D1698" s="41" t="n"/>
      <c r="E1698" s="42" t="n">
        <v>43872.53472222222</v>
      </c>
      <c r="F1698" s="43" t="inlineStr">
        <is>
          <t>Popcorn Culture</t>
        </is>
      </c>
      <c r="G1698" t="inlineStr">
        <is>
          <t>9 - Speeding Tickets and Reality TV</t>
        </is>
      </c>
      <c r="H1698" s="44" t="n">
        <v>0.03907407407407407</v>
      </c>
      <c r="I1698" s="45" t="n">
        <v>5933</v>
      </c>
      <c r="J1698" s="45" t="n">
        <v>260</v>
      </c>
      <c r="K1698" s="45" t="n">
        <v>36</v>
      </c>
      <c r="L1698" s="46" t="n"/>
      <c r="M1698" s="47" t="n"/>
      <c r="N1698" s="47" t="inlineStr">
        <is>
          <t>UCHfIbq9thHPC8yrKjAdJgDA</t>
        </is>
      </c>
      <c r="O1698" s="48" t="n">
        <v>43872.74305555555</v>
      </c>
      <c r="P1698" s="49" t="n">
        <v>43872</v>
      </c>
      <c r="Q1698" s="47" t="n">
        <v>1570</v>
      </c>
      <c r="R1698" s="47" t="inlineStr">
        <is>
          <t>No Video ID yet</t>
        </is>
      </c>
      <c r="S1698" s="49" t="n"/>
      <c r="T1698" s="49" t="n"/>
      <c r="U1698" s="47" t="inlineStr">
        <is>
          <t>Ben and J discuss: streaming, talking to yourself, being good at your job, speeding tickets, board game feedback, The Bachelor, manufactured entertainment, reality TV, and six degrees of separation. Awkward Bachelor Date Part 1 and Part 2: and Email us your reality TV stories!: mailto:popcornculturepod@gmail.com Discuss the Podcast on Discord:</t>
        </is>
      </c>
      <c r="V1698" s="47">
        <f>IF(AND(P1698&gt;=Calendar!$K$2,P1698&lt;EDATE(Calendar!$K$2,1),OR(Calendar!$K$4="*",N1698=Calendar!$K$4)),P1698*100+COUNTIFS($P$6:$P$3267,P1698,$Q$6:$Q$3267,"&lt;="&amp;Q1698,$N$6:$N$3267,Calendar!$K$4),"")</f>
        <v/>
      </c>
      <c r="W1698" s="47">
        <f>IF(AND(B1698=Queue!$C$4,OR(Queue!$K$4="*",N1698=Queue!$K$4)),Q1698,"")</f>
        <v/>
      </c>
    </row>
    <row r="1699">
      <c r="A1699" s="38">
        <f>IF(M1699="","",HYPERLINK("https://www.youtube.com/watch?v="&amp;M1699,"▶"))</f>
        <v/>
      </c>
      <c r="B1699" s="39">
        <f>IF(C1699&lt;&gt;"",C1699,IF(P1699&lt;=IFERROR(INDEX(tblChannels[Watched Through],MATCH(N1699,tblChannels[Channel ID],0)),0),"Watched","Unwatched"))</f>
        <v/>
      </c>
      <c r="C1699" s="40" t="n"/>
      <c r="D1699" s="41" t="n"/>
      <c r="E1699" s="42" t="n">
        <v>43867.83472222222</v>
      </c>
      <c r="F1699" s="50" t="inlineStr">
        <is>
          <t>Super Carlin Brothers</t>
        </is>
      </c>
      <c r="G1699" t="inlineStr">
        <is>
          <t>Salazar Slytherin Is STILL Alive?! [Harry Potter Theory]</t>
        </is>
      </c>
      <c r="H1699" s="44" t="n">
        <v>0.009756944444444445</v>
      </c>
      <c r="I1699" s="45" t="n">
        <v>966315</v>
      </c>
      <c r="J1699" s="45" t="n">
        <v>28015</v>
      </c>
      <c r="K1699" s="45" t="n">
        <v>2298</v>
      </c>
      <c r="L1699" s="46" t="n"/>
      <c r="M1699" s="47" t="n"/>
      <c r="N1699" s="47" t="inlineStr">
        <is>
          <t>UCKZo4N0lVPccBkSiuyVh4yg</t>
        </is>
      </c>
      <c r="O1699" s="48" t="n">
        <v>43868.04305555556</v>
      </c>
      <c r="P1699" s="49" t="n">
        <v>43867</v>
      </c>
      <c r="Q1699" s="47" t="n">
        <v>1569</v>
      </c>
      <c r="R1699" s="47" t="inlineStr">
        <is>
          <t>No Video ID yet</t>
        </is>
      </c>
      <c r="S1699" s="49" t="n"/>
      <c r="T1699" s="49" t="n"/>
      <c r="U1699" s="47" t="inlineStr">
        <is>
          <t>Do you need that last minute Valentines Day Idea?! Be sure to check out for 15% off your entire order! Today Ben dives into the Wizarding World of Harry Potter to discuss a new theory about how Salazar Slytherin, founding member of Hogwarts, may have cheated death and survived into the future!</t>
        </is>
      </c>
      <c r="V1699" s="47">
        <f>IF(AND(P1699&gt;=Calendar!$K$2,P1699&lt;EDATE(Calendar!$K$2,1),OR(Calendar!$K$4="*",N1699=Calendar!$K$4)),P1699*100+COUNTIFS($P$6:$P$3267,P1699,$Q$6:$Q$3267,"&lt;="&amp;Q1699,$N$6:$N$3267,Calendar!$K$4),"")</f>
        <v/>
      </c>
      <c r="W1699" s="47">
        <f>IF(AND(B1699=Queue!$C$4,OR(Queue!$K$4="*",N1699=Queue!$K$4)),Q1699,"")</f>
        <v/>
      </c>
    </row>
    <row r="1700">
      <c r="A1700" s="38">
        <f>IF(M1700="","",HYPERLINK("https://www.youtube.com/watch?v="&amp;M1700,"▶"))</f>
        <v/>
      </c>
      <c r="B1700" s="39">
        <f>IF(C1700&lt;&gt;"",C1700,IF(P1700&lt;=IFERROR(INDEX(tblChannels[Watched Through],MATCH(N1700,tblChannels[Channel ID],0)),0),"Watched","Unwatched"))</f>
        <v/>
      </c>
      <c r="C1700" s="40" t="n"/>
      <c r="D1700" s="41" t="n"/>
      <c r="E1700" s="42" t="n">
        <v>43867.72222222222</v>
      </c>
      <c r="F1700" s="43" t="inlineStr">
        <is>
          <t>Popcorn Culture</t>
        </is>
      </c>
      <c r="G1700" t="inlineStr">
        <is>
          <t>Episode 8 - Fangirling, Board Games, and the Produce Pirate!</t>
        </is>
      </c>
      <c r="H1700" s="44" t="n">
        <v>0.0490162037037037</v>
      </c>
      <c r="I1700" s="45" t="n">
        <v>6359</v>
      </c>
      <c r="J1700" s="45" t="n">
        <v>253</v>
      </c>
      <c r="K1700" s="45" t="n">
        <v>46</v>
      </c>
      <c r="L1700" s="46" t="n"/>
      <c r="M1700" s="47" t="n"/>
      <c r="N1700" s="47" t="inlineStr">
        <is>
          <t>UCHfIbq9thHPC8yrKjAdJgDA</t>
        </is>
      </c>
      <c r="O1700" s="48" t="n">
        <v>43867.93055555555</v>
      </c>
      <c r="P1700" s="49" t="n">
        <v>43867</v>
      </c>
      <c r="Q1700" s="47" t="n">
        <v>1568</v>
      </c>
      <c r="R1700" s="47" t="inlineStr">
        <is>
          <t>No Video ID yet</t>
        </is>
      </c>
      <c r="S1700" s="49" t="n"/>
      <c r="T1700" s="49" t="n"/>
      <c r="U1700" s="47" t="inlineStr">
        <is>
          <t>Ben and J discuss: fandoms, Fan-boying vs. Fan-girling, embarrassing interactions, meeting famous people, the Dodgeball Effect, board game strategy, and "Produce Pirates." Lake Effects imdb (sadly, J does not appear in the imdb credits): Discuss the Podcast on Discord:</t>
        </is>
      </c>
      <c r="V1700" s="47">
        <f>IF(AND(P1700&gt;=Calendar!$K$2,P1700&lt;EDATE(Calendar!$K$2,1),OR(Calendar!$K$4="*",N1700=Calendar!$K$4)),P1700*100+COUNTIFS($P$6:$P$3267,P1700,$Q$6:$Q$3267,"&lt;="&amp;Q1700,$N$6:$N$3267,Calendar!$K$4),"")</f>
        <v/>
      </c>
      <c r="W1700" s="47">
        <f>IF(AND(B1700=Queue!$C$4,OR(Queue!$K$4="*",N1700=Queue!$K$4)),Q1700,"")</f>
        <v/>
      </c>
    </row>
    <row r="1701">
      <c r="A1701" s="38">
        <f>IF(M1701="","",HYPERLINK("https://www.youtube.com/watch?v="&amp;M1701,"▶"))</f>
        <v/>
      </c>
      <c r="B1701" s="39">
        <f>IF(C1701&lt;&gt;"",C1701,IF(P1701&lt;=IFERROR(INDEX(tblChannels[Watched Through],MATCH(N1701,tblChannels[Channel ID],0)),0),"Watched","Unwatched"))</f>
        <v/>
      </c>
      <c r="C1701" s="40" t="n"/>
      <c r="D1701" s="41" t="n"/>
      <c r="E1701" s="42" t="n">
        <v>43865.87847222222</v>
      </c>
      <c r="F1701" s="50" t="inlineStr">
        <is>
          <t>Super Carlin Brothers</t>
        </is>
      </c>
      <c r="G1701" t="inlineStr">
        <is>
          <t>Why Crimes of Grindelwald Failed According to Pixar</t>
        </is>
      </c>
      <c r="H1701" s="44" t="n">
        <v>0.01322916666666667</v>
      </c>
      <c r="I1701" s="45" t="n">
        <v>620199</v>
      </c>
      <c r="J1701" s="45" t="n">
        <v>21039</v>
      </c>
      <c r="K1701" s="45" t="n">
        <v>4459</v>
      </c>
      <c r="L1701" s="46" t="n"/>
      <c r="M1701" s="47" t="n"/>
      <c r="N1701" s="47" t="inlineStr">
        <is>
          <t>UCKZo4N0lVPccBkSiuyVh4yg</t>
        </is>
      </c>
      <c r="O1701" s="48" t="n">
        <v>43866.08680555555</v>
      </c>
      <c r="P1701" s="49" t="n">
        <v>43865</v>
      </c>
      <c r="Q1701" s="47" t="n">
        <v>1567</v>
      </c>
      <c r="R1701" s="47" t="inlineStr">
        <is>
          <t>No Video ID yet</t>
        </is>
      </c>
      <c r="S1701" s="49" t="n"/>
      <c r="T1701" s="49" t="n"/>
      <c r="U1701" s="47" t="inlineStr">
        <is>
          <t>Hurry to to find out HOW LOW your Upstart rate is Pixar’s 22 Rules of Storytelling ::</t>
        </is>
      </c>
      <c r="V1701" s="47">
        <f>IF(AND(P1701&gt;=Calendar!$K$2,P1701&lt;EDATE(Calendar!$K$2,1),OR(Calendar!$K$4="*",N1701=Calendar!$K$4)),P1701*100+COUNTIFS($P$6:$P$3267,P1701,$Q$6:$Q$3267,"&lt;="&amp;Q1701,$N$6:$N$3267,Calendar!$K$4),"")</f>
        <v/>
      </c>
      <c r="W1701" s="47">
        <f>IF(AND(B1701=Queue!$C$4,OR(Queue!$K$4="*",N1701=Queue!$K$4)),Q1701,"")</f>
        <v/>
      </c>
    </row>
    <row r="1702">
      <c r="A1702" s="38">
        <f>IF(M1702="","",HYPERLINK("https://www.youtube.com/watch?v="&amp;M1702,"▶"))</f>
        <v/>
      </c>
      <c r="B1702" s="39">
        <f>IF(C1702&lt;&gt;"",C1702,IF(P1702&lt;=IFERROR(INDEX(tblChannels[Watched Through],MATCH(N1702,tblChannels[Channel ID],0)),0),"Watched","Unwatched"))</f>
        <v/>
      </c>
      <c r="C1702" s="40" t="n"/>
      <c r="D1702" s="41" t="n"/>
      <c r="E1702" s="42" t="n">
        <v>43860.93611111111</v>
      </c>
      <c r="F1702" s="50" t="inlineStr">
        <is>
          <t>Super Carlin Brothers</t>
        </is>
      </c>
      <c r="G1702" t="inlineStr">
        <is>
          <t>The Reylo Controversy Explained</t>
        </is>
      </c>
      <c r="H1702" s="44" t="n">
        <v>0.0118287037037037</v>
      </c>
      <c r="I1702" s="45" t="n">
        <v>188968</v>
      </c>
      <c r="J1702" s="45" t="n">
        <v>10950</v>
      </c>
      <c r="K1702" s="45" t="n">
        <v>2256</v>
      </c>
      <c r="L1702" s="46" t="n"/>
      <c r="M1702" s="47" t="n"/>
      <c r="N1702" s="47" t="inlineStr">
        <is>
          <t>UCKZo4N0lVPccBkSiuyVh4yg</t>
        </is>
      </c>
      <c r="O1702" s="48" t="n">
        <v>43861.14444444444</v>
      </c>
      <c r="P1702" s="49" t="n">
        <v>43860</v>
      </c>
      <c r="Q1702" s="47" t="n">
        <v>1566</v>
      </c>
      <c r="R1702" s="47" t="inlineStr">
        <is>
          <t>No Video ID yet</t>
        </is>
      </c>
      <c r="S1702" s="49" t="n"/>
      <c r="T1702" s="49" t="n"/>
      <c r="U1702" s="47" t="inlineStr">
        <is>
          <t>Would you guys like to see us tackle other topics like this?! Today Ben dives into the world of the Star Wars to fandom to discuss the unusual and twisting path of the Reylo controversy.</t>
        </is>
      </c>
      <c r="V1702" s="47">
        <f>IF(AND(P1702&gt;=Calendar!$K$2,P1702&lt;EDATE(Calendar!$K$2,1),OR(Calendar!$K$4="*",N1702=Calendar!$K$4)),P1702*100+COUNTIFS($P$6:$P$3267,P1702,$Q$6:$Q$3267,"&lt;="&amp;Q1702,$N$6:$N$3267,Calendar!$K$4),"")</f>
        <v/>
      </c>
      <c r="W1702" s="47">
        <f>IF(AND(B1702=Queue!$C$4,OR(Queue!$K$4="*",N1702=Queue!$K$4)),Q1702,"")</f>
        <v/>
      </c>
    </row>
    <row r="1703">
      <c r="A1703" s="38">
        <f>IF(M1703="","",HYPERLINK("https://www.youtube.com/watch?v="&amp;M1703,"▶"))</f>
        <v/>
      </c>
      <c r="B1703" s="39">
        <f>IF(C1703&lt;&gt;"",C1703,IF(P1703&lt;=IFERROR(INDEX(tblChannels[Watched Through],MATCH(N1703,tblChannels[Channel ID],0)),0),"Watched","Unwatched"))</f>
        <v/>
      </c>
      <c r="C1703" s="40" t="n"/>
      <c r="D1703" s="41" t="n"/>
      <c r="E1703" s="42" t="n">
        <v>43858.78472222222</v>
      </c>
      <c r="F1703" s="50" t="inlineStr">
        <is>
          <t>Super Carlin Brothers</t>
        </is>
      </c>
      <c r="G1703" t="inlineStr">
        <is>
          <t>The Philosopher’s Stone Created Aurelius Dumbledore [Harry Potter Theory]</t>
        </is>
      </c>
      <c r="H1703" s="44" t="n">
        <v>0.01019675925925926</v>
      </c>
      <c r="I1703" s="45" t="n">
        <v>872904</v>
      </c>
      <c r="J1703" s="45" t="n">
        <v>36883</v>
      </c>
      <c r="K1703" s="45" t="n">
        <v>3473</v>
      </c>
      <c r="L1703" s="46" t="n"/>
      <c r="M1703" s="47" t="n"/>
      <c r="N1703" s="47" t="inlineStr">
        <is>
          <t>UCKZo4N0lVPccBkSiuyVh4yg</t>
        </is>
      </c>
      <c r="O1703" s="48" t="n">
        <v>43858.99305555555</v>
      </c>
      <c r="P1703" s="49" t="n">
        <v>43858</v>
      </c>
      <c r="Q1703" s="47" t="n">
        <v>1565</v>
      </c>
      <c r="R1703" s="47" t="inlineStr">
        <is>
          <t>No Video ID yet</t>
        </is>
      </c>
      <c r="S1703" s="49" t="n"/>
      <c r="T1703" s="49" t="n"/>
      <c r="U1703" s="47" t="inlineStr">
        <is>
          <t>Get a free stock today by going to Today J dives into the Wizarding World of Harry Potter and Fantastic Beasts to discuss one of its biggest active mysteries: Where did Credence aka Aurelius Dumbledore come from? How can Dumbledore have a brother he knows nothing about? Why did the Phoenix appear to him? What did it have to do with the Philosophers Stone?</t>
        </is>
      </c>
      <c r="V1703" s="47">
        <f>IF(AND(P1703&gt;=Calendar!$K$2,P1703&lt;EDATE(Calendar!$K$2,1),OR(Calendar!$K$4="*",N1703=Calendar!$K$4)),P1703*100+COUNTIFS($P$6:$P$3267,P1703,$Q$6:$Q$3267,"&lt;="&amp;Q1703,$N$6:$N$3267,Calendar!$K$4),"")</f>
        <v/>
      </c>
      <c r="W1703" s="47">
        <f>IF(AND(B1703=Queue!$C$4,OR(Queue!$K$4="*",N1703=Queue!$K$4)),Q1703,"")</f>
        <v/>
      </c>
    </row>
    <row r="1704">
      <c r="A1704" s="38">
        <f>IF(M1704="","",HYPERLINK("https://www.youtube.com/watch?v="&amp;M1704,"▶"))</f>
        <v/>
      </c>
      <c r="B1704" s="39">
        <f>IF(C1704&lt;&gt;"",C1704,IF(P1704&lt;=IFERROR(INDEX(tblChannels[Watched Through],MATCH(N1704,tblChannels[Channel ID],0)),0),"Watched","Unwatched"))</f>
        <v/>
      </c>
      <c r="C1704" s="40" t="n"/>
      <c r="D1704" s="41" t="n"/>
      <c r="E1704" s="42" t="n">
        <v>43858.4875</v>
      </c>
      <c r="F1704" s="43" t="inlineStr">
        <is>
          <t>Popcorn Culture</t>
        </is>
      </c>
      <c r="G1704" t="inlineStr">
        <is>
          <t>7 - The Oscars, Survivor, and Grapefruit</t>
        </is>
      </c>
      <c r="H1704" s="44" t="n">
        <v>0.04446759259259259</v>
      </c>
      <c r="I1704" s="45" t="n">
        <v>6210</v>
      </c>
      <c r="J1704" s="45" t="n">
        <v>248</v>
      </c>
      <c r="K1704" s="45" t="n">
        <v>65</v>
      </c>
      <c r="L1704" s="46" t="n"/>
      <c r="M1704" s="47" t="n"/>
      <c r="N1704" s="47" t="inlineStr">
        <is>
          <t>UCHfIbq9thHPC8yrKjAdJgDA</t>
        </is>
      </c>
      <c r="O1704" s="48" t="n">
        <v>43858.69583333333</v>
      </c>
      <c r="P1704" s="49" t="n">
        <v>43858</v>
      </c>
      <c r="Q1704" s="47" t="n">
        <v>1564</v>
      </c>
      <c r="R1704" s="47" t="inlineStr">
        <is>
          <t>No Video ID yet</t>
        </is>
      </c>
      <c r="S1704" s="49" t="n"/>
      <c r="T1704" s="49" t="n"/>
      <c r="U1704" s="47" t="inlineStr">
        <is>
          <t>Ben and J discuss: Survivor, Luke, Introducing people to new things, fandom and hobby competition, Blinded by the Light, Disney Magic/Tragic Recap, The Oscars, Animated Movies, Blockbuster Films, Grapefruit and Candy Preference Results. UPDATES: We realized Frozen was not actually nominated for Best Picture. We had bad information. Also: SHAWSHANK IS A GEM. We disagree with ourselves saying Forrest Gump obviously should have won. Disney Magic/Tragic Stories: List of Oscar-Winning Films: Candy Graphs: Email us your fandom stories!: mailto:popcornculturepod@gmail.com Discuss the Podcast on Discord:</t>
        </is>
      </c>
      <c r="V1704" s="47">
        <f>IF(AND(P1704&gt;=Calendar!$K$2,P1704&lt;EDATE(Calendar!$K$2,1),OR(Calendar!$K$4="*",N1704=Calendar!$K$4)),P1704*100+COUNTIFS($P$6:$P$3267,P1704,$Q$6:$Q$3267,"&lt;="&amp;Q1704,$N$6:$N$3267,Calendar!$K$4),"")</f>
        <v/>
      </c>
      <c r="W1704" s="47">
        <f>IF(AND(B1704=Queue!$C$4,OR(Queue!$K$4="*",N1704=Queue!$K$4)),Q1704,"")</f>
        <v/>
      </c>
    </row>
    <row r="1705">
      <c r="A1705" s="38">
        <f>IF(M1705="","",HYPERLINK("https://www.youtube.com/watch?v="&amp;M1705,"▶"))</f>
        <v/>
      </c>
      <c r="B1705" s="39">
        <f>IF(C1705&lt;&gt;"",C1705,IF(P1705&lt;=IFERROR(INDEX(tblChannels[Watched Through],MATCH(N1705,tblChannels[Channel ID],0)),0),"Watched","Unwatched"))</f>
        <v/>
      </c>
      <c r="C1705" s="40" t="n"/>
      <c r="D1705" s="41" t="n"/>
      <c r="E1705" s="42" t="n">
        <v>43853.78333333333</v>
      </c>
      <c r="F1705" s="50" t="inlineStr">
        <is>
          <t>Super Carlin Brothers</t>
        </is>
      </c>
      <c r="G1705" t="inlineStr">
        <is>
          <t>Percy Weasley Had A Time Turner [Harry Potter Theory]</t>
        </is>
      </c>
      <c r="H1705" s="44" t="n">
        <v>0.01003472222222222</v>
      </c>
      <c r="I1705" s="45" t="n">
        <v>858839</v>
      </c>
      <c r="J1705" s="45" t="n">
        <v>24432</v>
      </c>
      <c r="K1705" s="45" t="n">
        <v>2693</v>
      </c>
      <c r="L1705" s="46" t="n"/>
      <c r="M1705" s="47" t="n"/>
      <c r="N1705" s="47" t="inlineStr">
        <is>
          <t>UCKZo4N0lVPccBkSiuyVh4yg</t>
        </is>
      </c>
      <c r="O1705" s="48" t="n">
        <v>43853.99166666667</v>
      </c>
      <c r="P1705" s="49" t="n">
        <v>43853</v>
      </c>
      <c r="Q1705" s="47" t="n">
        <v>1563</v>
      </c>
      <c r="R1705" s="47" t="inlineStr">
        <is>
          <t>No Video ID yet</t>
        </is>
      </c>
      <c r="S1705" s="49" t="n"/>
      <c r="T1705" s="49" t="n"/>
      <c r="U1705" s="47" t="inlineStr">
        <is>
          <t>You can get started with Candid with $75 off of by using code SCB at Today Ben dives into the Wizarding World of Harry Potter to try and determine how on Earth Percy Weasley was able to procure 12 OWL’s when there is simply not enough time in the day!</t>
        </is>
      </c>
      <c r="V1705" s="47">
        <f>IF(AND(P1705&gt;=Calendar!$K$2,P1705&lt;EDATE(Calendar!$K$2,1),OR(Calendar!$K$4="*",N1705=Calendar!$K$4)),P1705*100+COUNTIFS($P$6:$P$3267,P1705,$Q$6:$Q$3267,"&lt;="&amp;Q1705,$N$6:$N$3267,Calendar!$K$4),"")</f>
        <v/>
      </c>
      <c r="W1705" s="47">
        <f>IF(AND(B1705=Queue!$C$4,OR(Queue!$K$4="*",N1705=Queue!$K$4)),Q1705,"")</f>
        <v/>
      </c>
    </row>
    <row r="1706">
      <c r="A1706" s="38">
        <f>IF(M1706="","",HYPERLINK("https://www.youtube.com/watch?v="&amp;M1706,"▶"))</f>
        <v/>
      </c>
      <c r="B1706" s="39">
        <f>IF(C1706&lt;&gt;"",C1706,IF(P1706&lt;=IFERROR(INDEX(tblChannels[Watched Through],MATCH(N1706,tblChannels[Channel ID],0)),0),"Watched","Unwatched"))</f>
        <v/>
      </c>
      <c r="C1706" s="40" t="n"/>
      <c r="D1706" s="41" t="n"/>
      <c r="E1706" s="42" t="n">
        <v>43851.71180555555</v>
      </c>
      <c r="F1706" s="50" t="inlineStr">
        <is>
          <t>Super Carlin Brothers</t>
        </is>
      </c>
      <c r="G1706" t="inlineStr">
        <is>
          <t>J vs Ben: HARDEST Luna Lovegood TRIVIA Quiz</t>
        </is>
      </c>
      <c r="H1706" s="44" t="n">
        <v>0.01422453703703704</v>
      </c>
      <c r="I1706" s="45" t="n">
        <v>396710</v>
      </c>
      <c r="J1706" s="45" t="n">
        <v>12306</v>
      </c>
      <c r="K1706" s="45" t="n">
        <v>1541</v>
      </c>
      <c r="L1706" s="46" t="n"/>
      <c r="M1706" s="47" t="n"/>
      <c r="N1706" s="47" t="inlineStr">
        <is>
          <t>UCKZo4N0lVPccBkSiuyVh4yg</t>
        </is>
      </c>
      <c r="O1706" s="48" t="n">
        <v>43851.92013888889</v>
      </c>
      <c r="P1706" s="49" t="n">
        <v>43851</v>
      </c>
      <c r="Q1706" s="47" t="n">
        <v>1562</v>
      </c>
      <c r="R1706" s="47" t="inlineStr">
        <is>
          <t>No Video ID yet</t>
        </is>
      </c>
      <c r="S1706" s="49" t="n"/>
      <c r="T1706" s="49" t="n"/>
      <c r="U1706" s="47" t="inlineStr">
        <is>
          <t>Play along with us: Today J and Ben face off in the Ultimate Luna Lovegood quiz to see who knows everyones favorite Ravenclaw the best!</t>
        </is>
      </c>
      <c r="V1706" s="47">
        <f>IF(AND(P1706&gt;=Calendar!$K$2,P1706&lt;EDATE(Calendar!$K$2,1),OR(Calendar!$K$4="*",N1706=Calendar!$K$4)),P1706*100+COUNTIFS($P$6:$P$3267,P1706,$Q$6:$Q$3267,"&lt;="&amp;Q1706,$N$6:$N$3267,Calendar!$K$4),"")</f>
        <v/>
      </c>
      <c r="W1706" s="47">
        <f>IF(AND(B1706=Queue!$C$4,OR(Queue!$K$4="*",N1706=Queue!$K$4)),Q1706,"")</f>
        <v/>
      </c>
    </row>
    <row r="1707">
      <c r="A1707" s="38">
        <f>IF(M1707="","",HYPERLINK("https://www.youtube.com/watch?v="&amp;M1707,"▶"))</f>
        <v/>
      </c>
      <c r="B1707" s="39">
        <f>IF(C1707&lt;&gt;"",C1707,IF(P1707&lt;=IFERROR(INDEX(tblChannels[Watched Through],MATCH(N1707,tblChannels[Channel ID],0)),0),"Watched","Unwatched"))</f>
        <v/>
      </c>
      <c r="C1707" s="40" t="n"/>
      <c r="D1707" s="41" t="n"/>
      <c r="E1707" s="42" t="n">
        <v>43847.55833333333</v>
      </c>
      <c r="F1707" s="43" t="inlineStr">
        <is>
          <t>Popcorn Culture</t>
        </is>
      </c>
      <c r="G1707" t="inlineStr">
        <is>
          <t>6 - The Great Candy Debate, Disney Magic, and Why Wash Cloths are the WORST</t>
        </is>
      </c>
      <c r="H1707" s="44" t="n">
        <v>0.03673611111111111</v>
      </c>
      <c r="I1707" s="45" t="n">
        <v>7376</v>
      </c>
      <c r="J1707" s="45" t="n">
        <v>295</v>
      </c>
      <c r="K1707" s="45" t="n">
        <v>103</v>
      </c>
      <c r="L1707" s="46" t="n"/>
      <c r="M1707" s="47" t="n"/>
      <c r="N1707" s="47" t="inlineStr">
        <is>
          <t>UCHfIbq9thHPC8yrKjAdJgDA</t>
        </is>
      </c>
      <c r="O1707" s="48" t="n">
        <v>43847.76666666667</v>
      </c>
      <c r="P1707" s="49" t="n">
        <v>43847</v>
      </c>
      <c r="Q1707" s="47" t="n">
        <v>1561</v>
      </c>
      <c r="R1707" s="47" t="inlineStr">
        <is>
          <t>No Video ID yet</t>
        </is>
      </c>
      <c r="S1707" s="49" t="n"/>
      <c r="T1707" s="49" t="n"/>
      <c r="U1707" s="47" t="inlineStr">
        <is>
          <t>Ben and J discuss: Rings, Soap, Bath Poufs, Outdated Technologies, Ben and Alyce’s Wedding, The Flu, Disney Magic, Galaxy’s Edge, Brainspace and Multitasking, and Candy Superiority. Naming of the Dopp Kit: Ystävänpäivä Day: Popcast Candy Survey: Discuss the Podcast on Discord:</t>
        </is>
      </c>
      <c r="V1707" s="47">
        <f>IF(AND(P1707&gt;=Calendar!$K$2,P1707&lt;EDATE(Calendar!$K$2,1),OR(Calendar!$K$4="*",N1707=Calendar!$K$4)),P1707*100+COUNTIFS($P$6:$P$3267,P1707,$Q$6:$Q$3267,"&lt;="&amp;Q1707,$N$6:$N$3267,Calendar!$K$4),"")</f>
        <v/>
      </c>
      <c r="W1707" s="47">
        <f>IF(AND(B1707=Queue!$C$4,OR(Queue!$K$4="*",N1707=Queue!$K$4)),Q1707,"")</f>
        <v/>
      </c>
    </row>
    <row r="1708">
      <c r="A1708" s="38">
        <f>IF(M1708="","",HYPERLINK("https://www.youtube.com/watch?v="&amp;M1708,"▶"))</f>
        <v/>
      </c>
      <c r="B1708" s="39">
        <f>IF(C1708&lt;&gt;"",C1708,IF(P1708&lt;=IFERROR(INDEX(tblChannels[Watched Through],MATCH(N1708,tblChannels[Channel ID],0)),0),"Watched","Unwatched"))</f>
        <v/>
      </c>
      <c r="C1708" s="40" t="n"/>
      <c r="D1708" s="41" t="n"/>
      <c r="E1708" s="42" t="n">
        <v>43846.76319444444</v>
      </c>
      <c r="F1708" s="50" t="inlineStr">
        <is>
          <t>Super Carlin Brothers</t>
        </is>
      </c>
      <c r="G1708" t="inlineStr">
        <is>
          <t>Sorting Harry Potter Characters Into Their Enneagram</t>
        </is>
      </c>
      <c r="H1708" s="44" t="n">
        <v>0.01119212962962963</v>
      </c>
      <c r="I1708" s="45" t="n">
        <v>345339</v>
      </c>
      <c r="J1708" s="45" t="n">
        <v>13384</v>
      </c>
      <c r="K1708" s="45" t="n">
        <v>2434</v>
      </c>
      <c r="L1708" s="46" t="n"/>
      <c r="M1708" s="47" t="n"/>
      <c r="N1708" s="47" t="inlineStr">
        <is>
          <t>UCKZo4N0lVPccBkSiuyVh4yg</t>
        </is>
      </c>
      <c r="O1708" s="48" t="n">
        <v>43846.97152777778</v>
      </c>
      <c r="P1708" s="49" t="n">
        <v>43846</v>
      </c>
      <c r="Q1708" s="47" t="n">
        <v>1560</v>
      </c>
      <c r="R1708" s="47" t="inlineStr">
        <is>
          <t>No Video ID yet</t>
        </is>
      </c>
      <c r="S1708" s="49" t="n"/>
      <c r="T1708" s="49" t="n"/>
      <c r="U1708" s="47" t="inlineStr">
        <is>
          <t>Buy your Bombas at today and get 20% off your first purchase. Take the enneagram for yourself: Today Ben dives into the Wizarding World of Harry Potter to sort various characters according to their Enneagram personality type</t>
        </is>
      </c>
      <c r="V1708" s="47">
        <f>IF(AND(P1708&gt;=Calendar!$K$2,P1708&lt;EDATE(Calendar!$K$2,1),OR(Calendar!$K$4="*",N1708=Calendar!$K$4)),P1708*100+COUNTIFS($P$6:$P$3267,P1708,$Q$6:$Q$3267,"&lt;="&amp;Q1708,$N$6:$N$3267,Calendar!$K$4),"")</f>
        <v/>
      </c>
      <c r="W1708" s="47">
        <f>IF(AND(B1708=Queue!$C$4,OR(Queue!$K$4="*",N1708=Queue!$K$4)),Q1708,"")</f>
        <v/>
      </c>
    </row>
    <row r="1709">
      <c r="A1709" s="38">
        <f>IF(M1709="","",HYPERLINK("https://www.youtube.com/watch?v="&amp;M1709,"▶"))</f>
        <v/>
      </c>
      <c r="B1709" s="39">
        <f>IF(C1709&lt;&gt;"",C1709,IF(P1709&lt;=IFERROR(INDEX(tblChannels[Watched Through],MATCH(N1709,tblChannels[Channel ID],0)),0),"Watched","Unwatched"))</f>
        <v/>
      </c>
      <c r="C1709" s="40" t="n"/>
      <c r="D1709" s="41" t="n"/>
      <c r="E1709" s="42" t="n">
        <v>43844.82777777778</v>
      </c>
      <c r="F1709" s="50" t="inlineStr">
        <is>
          <t>Super Carlin Brothers</t>
        </is>
      </c>
      <c r="G1709" t="inlineStr">
        <is>
          <t>How Much Would It Cost To Watch ALL THE STAR WARS?</t>
        </is>
      </c>
      <c r="H1709" s="44" t="n">
        <v>0.01078703703703704</v>
      </c>
      <c r="I1709" s="45" t="n">
        <v>142812</v>
      </c>
      <c r="J1709" s="45" t="n">
        <v>6730</v>
      </c>
      <c r="K1709" s="45" t="n">
        <v>1417</v>
      </c>
      <c r="L1709" s="46" t="n"/>
      <c r="M1709" s="47" t="n"/>
      <c r="N1709" s="47" t="inlineStr">
        <is>
          <t>UCKZo4N0lVPccBkSiuyVh4yg</t>
        </is>
      </c>
      <c r="O1709" s="48" t="n">
        <v>43845.03611111111</v>
      </c>
      <c r="P1709" s="49" t="n">
        <v>43844</v>
      </c>
      <c r="Q1709" s="47" t="n">
        <v>1559</v>
      </c>
      <c r="R1709" s="47" t="inlineStr">
        <is>
          <t>No Video ID yet</t>
        </is>
      </c>
      <c r="S1709" s="49" t="n"/>
      <c r="T1709" s="49" t="n"/>
      <c r="U1709" s="47" t="inlineStr">
        <is>
          <t>Star Wars Checklist :: Today J dives into the Star Wars Universe to determine how much time and money it would cost you to try and consume ALL the canon Star Wars materials from movies, to books, to tv shows, to comics &amp; video games</t>
        </is>
      </c>
      <c r="V1709" s="47">
        <f>IF(AND(P1709&gt;=Calendar!$K$2,P1709&lt;EDATE(Calendar!$K$2,1),OR(Calendar!$K$4="*",N1709=Calendar!$K$4)),P1709*100+COUNTIFS($P$6:$P$3267,P1709,$Q$6:$Q$3267,"&lt;="&amp;Q1709,$N$6:$N$3267,Calendar!$K$4),"")</f>
        <v/>
      </c>
      <c r="W1709" s="47">
        <f>IF(AND(B1709=Queue!$C$4,OR(Queue!$K$4="*",N1709=Queue!$K$4)),Q1709,"")</f>
        <v/>
      </c>
    </row>
    <row r="1710">
      <c r="A1710" s="38">
        <f>IF(M1710="","",HYPERLINK("https://www.youtube.com/watch?v="&amp;M1710,"▶"))</f>
        <v/>
      </c>
      <c r="B1710" s="39">
        <f>IF(C1710&lt;&gt;"",C1710,IF(P1710&lt;=IFERROR(INDEX(tblChannels[Watched Through],MATCH(N1710,tblChannels[Channel ID],0)),0),"Watched","Unwatched"))</f>
        <v/>
      </c>
      <c r="C1710" s="40" t="n"/>
      <c r="D1710" s="41" t="n"/>
      <c r="E1710" s="42" t="n">
        <v>43844.58194444444</v>
      </c>
      <c r="F1710" s="43" t="inlineStr">
        <is>
          <t>Popcorn Culture</t>
        </is>
      </c>
      <c r="G1710" t="inlineStr">
        <is>
          <t>5 - Weddings and February Friendsgiving</t>
        </is>
      </c>
      <c r="H1710" s="44" t="n">
        <v>0.04143518518518519</v>
      </c>
      <c r="I1710" s="45" t="n">
        <v>6103</v>
      </c>
      <c r="J1710" s="45" t="n">
        <v>262</v>
      </c>
      <c r="K1710" s="45" t="n">
        <v>38</v>
      </c>
      <c r="L1710" s="46" t="n"/>
      <c r="M1710" s="47" t="n"/>
      <c r="N1710" s="47" t="inlineStr">
        <is>
          <t>UCHfIbq9thHPC8yrKjAdJgDA</t>
        </is>
      </c>
      <c r="O1710" s="48" t="n">
        <v>43844.79027777778</v>
      </c>
      <c r="P1710" s="49" t="n">
        <v>43844</v>
      </c>
      <c r="Q1710" s="47" t="n">
        <v>1558</v>
      </c>
      <c r="R1710" s="47" t="inlineStr">
        <is>
          <t>No Video ID yet</t>
        </is>
      </c>
      <c r="S1710" s="49" t="n"/>
      <c r="T1710" s="49" t="n"/>
      <c r="U1710" s="47" t="inlineStr">
        <is>
          <t>Ben and J discuss: Bad Ideas, Engagements Rings, Proposals, Wedding Traditions, Valentine’s Day, Friend Fries, Viral Instagram Hacks, and Diablo 2 (again). Video of a Ring made from a Coin: Wedding Cliches List: Ben and Alyce Wedding Photo: Discuss the Podcast on Discord:</t>
        </is>
      </c>
      <c r="V1710" s="47">
        <f>IF(AND(P1710&gt;=Calendar!$K$2,P1710&lt;EDATE(Calendar!$K$2,1),OR(Calendar!$K$4="*",N1710=Calendar!$K$4)),P1710*100+COUNTIFS($P$6:$P$3267,P1710,$Q$6:$Q$3267,"&lt;="&amp;Q1710,$N$6:$N$3267,Calendar!$K$4),"")</f>
        <v/>
      </c>
      <c r="W1710" s="47">
        <f>IF(AND(B1710=Queue!$C$4,OR(Queue!$K$4="*",N1710=Queue!$K$4)),Q1710,"")</f>
        <v/>
      </c>
    </row>
    <row r="1711">
      <c r="A1711" s="38">
        <f>IF(M1711="","",HYPERLINK("https://www.youtube.com/watch?v="&amp;M1711,"▶"))</f>
        <v/>
      </c>
      <c r="B1711" s="39">
        <f>IF(C1711&lt;&gt;"",C1711,IF(P1711&lt;=IFERROR(INDEX(tblChannels[Watched Through],MATCH(N1711,tblChannels[Channel ID],0)),0),"Watched","Unwatched"))</f>
        <v/>
      </c>
      <c r="C1711" s="40" t="n"/>
      <c r="D1711" s="41" t="n"/>
      <c r="E1711" s="42" t="n">
        <v>43839.75486111111</v>
      </c>
      <c r="F1711" s="50" t="inlineStr">
        <is>
          <t>Super Carlin Brothers</t>
        </is>
      </c>
      <c r="G1711" t="inlineStr">
        <is>
          <t>J vs Ben: ULTIMATE Hogwarts Castle Quiz EVER</t>
        </is>
      </c>
      <c r="H1711" s="44" t="n">
        <v>0.01431712962962963</v>
      </c>
      <c r="I1711" s="45" t="n">
        <v>371293</v>
      </c>
      <c r="J1711" s="45" t="n">
        <v>11936</v>
      </c>
      <c r="K1711" s="45" t="n">
        <v>1327</v>
      </c>
      <c r="L1711" s="46" t="n"/>
      <c r="M1711" s="47" t="n"/>
      <c r="N1711" s="47" t="inlineStr">
        <is>
          <t>UCKZo4N0lVPccBkSiuyVh4yg</t>
        </is>
      </c>
      <c r="O1711" s="48" t="n">
        <v>43839.96319444444</v>
      </c>
      <c r="P1711" s="49" t="n">
        <v>43839</v>
      </c>
      <c r="Q1711" s="47" t="n">
        <v>1557</v>
      </c>
      <c r="R1711" s="47" t="inlineStr">
        <is>
          <t>No Video ID yet</t>
        </is>
      </c>
      <c r="S1711" s="49" t="n"/>
      <c r="T1711" s="49" t="n"/>
      <c r="U1711" s="47" t="inlineStr">
        <is>
          <t>Take the Quiz with us! Hogwarts Hogwarts Hoggy Hoggy Hogwarts! Today J and Ben face off in the Ultimate Hogwarts Castle Quiz to see who knows more about the magical grounds of the wizarding worlds most famous school! Popcorn Culture:</t>
        </is>
      </c>
      <c r="V1711" s="47">
        <f>IF(AND(P1711&gt;=Calendar!$K$2,P1711&lt;EDATE(Calendar!$K$2,1),OR(Calendar!$K$4="*",N1711=Calendar!$K$4)),P1711*100+COUNTIFS($P$6:$P$3267,P1711,$Q$6:$Q$3267,"&lt;="&amp;Q1711,$N$6:$N$3267,Calendar!$K$4),"")</f>
        <v/>
      </c>
      <c r="W1711" s="47">
        <f>IF(AND(B1711=Queue!$C$4,OR(Queue!$K$4="*",N1711=Queue!$K$4)),Q1711,"")</f>
        <v/>
      </c>
    </row>
    <row r="1712">
      <c r="A1712" s="38">
        <f>IF(M1712="","",HYPERLINK("https://www.youtube.com/watch?v="&amp;M1712,"▶"))</f>
        <v/>
      </c>
      <c r="B1712" s="39">
        <f>IF(C1712&lt;&gt;"",C1712,IF(P1712&lt;=IFERROR(INDEX(tblChannels[Watched Through],MATCH(N1712,tblChannels[Channel ID],0)),0),"Watched","Unwatched"))</f>
        <v/>
      </c>
      <c r="C1712" s="40" t="n"/>
      <c r="D1712" s="41" t="n"/>
      <c r="E1712" s="42" t="n">
        <v>43835.33333333334</v>
      </c>
      <c r="F1712" s="43" t="inlineStr">
        <is>
          <t>Popcorn Culture</t>
        </is>
      </c>
      <c r="G1712" t="inlineStr">
        <is>
          <t>4 - Self Help Books, Hair Cuts, and The Gamora Paradox</t>
        </is>
      </c>
      <c r="H1712" s="44" t="n">
        <v>0.04321759259259259</v>
      </c>
      <c r="I1712" s="45" t="n">
        <v>7759</v>
      </c>
      <c r="J1712" s="45" t="n">
        <v>280</v>
      </c>
      <c r="K1712" s="45" t="n">
        <v>51</v>
      </c>
      <c r="L1712" s="46" t="n"/>
      <c r="M1712" s="47" t="n"/>
      <c r="N1712" s="47" t="inlineStr">
        <is>
          <t>UCHfIbq9thHPC8yrKjAdJgDA</t>
        </is>
      </c>
      <c r="O1712" s="48" t="n">
        <v>43835.54166666666</v>
      </c>
      <c r="P1712" s="49" t="n">
        <v>43835</v>
      </c>
      <c r="Q1712" s="47" t="n">
        <v>1556</v>
      </c>
      <c r="R1712" s="47" t="inlineStr">
        <is>
          <t>No Video ID yet</t>
        </is>
      </c>
      <c r="S1712" s="49" t="n"/>
      <c r="T1712" s="49" t="n"/>
      <c r="U1712" s="47" t="inlineStr">
        <is>
          <t>Ben and J discuss: Common phrases and idioms, self-help books, haircuts, our personal in-crowds, fandom peripherals, what counts as canon, and the Gamora Paradox. Star Wars Canon List: Discuss the Podcast on Discord:</t>
        </is>
      </c>
      <c r="V1712" s="47">
        <f>IF(AND(P1712&gt;=Calendar!$K$2,P1712&lt;EDATE(Calendar!$K$2,1),OR(Calendar!$K$4="*",N1712=Calendar!$K$4)),P1712*100+COUNTIFS($P$6:$P$3267,P1712,$Q$6:$Q$3267,"&lt;="&amp;Q1712,$N$6:$N$3267,Calendar!$K$4),"")</f>
        <v/>
      </c>
      <c r="W1712" s="47">
        <f>IF(AND(B1712=Queue!$C$4,OR(Queue!$K$4="*",N1712=Queue!$K$4)),Q1712,"")</f>
        <v/>
      </c>
    </row>
    <row r="1713">
      <c r="A1713" s="38">
        <f>IF(M1713="","",HYPERLINK("https://www.youtube.com/watch?v="&amp;M1713,"▶"))</f>
        <v/>
      </c>
      <c r="B1713" s="39">
        <f>IF(C1713&lt;&gt;"",C1713,IF(P1713&lt;=IFERROR(INDEX(tblChannels[Watched Through],MATCH(N1713,tblChannels[Channel ID],0)),0),"Watched","Unwatched"))</f>
        <v/>
      </c>
      <c r="C1713" s="40" t="n"/>
      <c r="D1713" s="41" t="n"/>
      <c r="E1713" s="42" t="n">
        <v>43834.75</v>
      </c>
      <c r="F1713" s="43" t="inlineStr">
        <is>
          <t>Popcorn Culture</t>
        </is>
      </c>
      <c r="G1713" t="inlineStr">
        <is>
          <t>3 - BEEF With Big Chicken</t>
        </is>
      </c>
      <c r="H1713" s="44" t="n">
        <v>0.0271875</v>
      </c>
      <c r="I1713" s="45" t="n">
        <v>6150</v>
      </c>
      <c r="J1713" s="45" t="n">
        <v>274</v>
      </c>
      <c r="K1713" s="45" t="n">
        <v>42</v>
      </c>
      <c r="L1713" s="46" t="n"/>
      <c r="M1713" s="47" t="n"/>
      <c r="N1713" s="47" t="inlineStr">
        <is>
          <t>UCHfIbq9thHPC8yrKjAdJgDA</t>
        </is>
      </c>
      <c r="O1713" s="48" t="n">
        <v>43834.95833333334</v>
      </c>
      <c r="P1713" s="49" t="n">
        <v>43834</v>
      </c>
      <c r="Q1713" s="47" t="n">
        <v>1555</v>
      </c>
      <c r="R1713" s="47" t="inlineStr">
        <is>
          <t>No Video ID yet</t>
        </is>
      </c>
      <c r="S1713" s="49" t="n"/>
      <c r="T1713" s="49" t="n"/>
      <c r="U1713" s="47" t="inlineStr">
        <is>
          <t>Ben and J discuss: Social Media, the Mute button, Beef with Big Chicken, Diablo 2, obligation likes, and gut feelings. Discuss the Podcast on Discord: Check out Panikann: Check out our Pilot friend:</t>
        </is>
      </c>
      <c r="V1713" s="47">
        <f>IF(AND(P1713&gt;=Calendar!$K$2,P1713&lt;EDATE(Calendar!$K$2,1),OR(Calendar!$K$4="*",N1713=Calendar!$K$4)),P1713*100+COUNTIFS($P$6:$P$3267,P1713,$Q$6:$Q$3267,"&lt;="&amp;Q1713,$N$6:$N$3267,Calendar!$K$4),"")</f>
        <v/>
      </c>
      <c r="W1713" s="47">
        <f>IF(AND(B1713=Queue!$C$4,OR(Queue!$K$4="*",N1713=Queue!$K$4)),Q1713,"")</f>
        <v/>
      </c>
    </row>
    <row r="1714">
      <c r="A1714" s="38">
        <f>IF(M1714="","",HYPERLINK("https://www.youtube.com/watch?v="&amp;M1714,"▶"))</f>
        <v/>
      </c>
      <c r="B1714" s="39">
        <f>IF(C1714&lt;&gt;"",C1714,IF(P1714&lt;=IFERROR(INDEX(tblChannels[Watched Through],MATCH(N1714,tblChannels[Channel ID],0)),0),"Watched","Unwatched"))</f>
        <v/>
      </c>
      <c r="C1714" s="40" t="n"/>
      <c r="D1714" s="41" t="n"/>
      <c r="E1714" s="42" t="n">
        <v>43833.75</v>
      </c>
      <c r="F1714" s="43" t="inlineStr">
        <is>
          <t>Popcorn Culture</t>
        </is>
      </c>
      <c r="G1714" t="inlineStr">
        <is>
          <t>2 - Business Cards, Bachelor Parties, and Baby Yoda</t>
        </is>
      </c>
      <c r="H1714" s="44" t="n">
        <v>0.03876157407407407</v>
      </c>
      <c r="I1714" s="45" t="n">
        <v>7948</v>
      </c>
      <c r="J1714" s="45" t="n">
        <v>306</v>
      </c>
      <c r="K1714" s="45" t="n">
        <v>55</v>
      </c>
      <c r="L1714" s="46" t="n"/>
      <c r="M1714" s="47" t="n"/>
      <c r="N1714" s="47" t="inlineStr">
        <is>
          <t>UCHfIbq9thHPC8yrKjAdJgDA</t>
        </is>
      </c>
      <c r="O1714" s="48" t="n">
        <v>43833.95833333334</v>
      </c>
      <c r="P1714" s="49" t="n">
        <v>43833</v>
      </c>
      <c r="Q1714" s="47" t="n">
        <v>1554</v>
      </c>
      <c r="R1714" s="47" t="inlineStr">
        <is>
          <t>No Video ID yet</t>
        </is>
      </c>
      <c r="S1714" s="49" t="n"/>
      <c r="T1714" s="49" t="n"/>
      <c r="U1714" s="47" t="inlineStr">
        <is>
          <t>J and Ben discuss: Business Cards, Bachelor Parties, Fun and Hobbies, Disney Plus, Spoiler Culture, and Baby Yoda. Send your cool business card to our PO Box: Popcorn Culture Roanoke, VA 24015</t>
        </is>
      </c>
      <c r="V1714" s="47">
        <f>IF(AND(P1714&gt;=Calendar!$K$2,P1714&lt;EDATE(Calendar!$K$2,1),OR(Calendar!$K$4="*",N1714=Calendar!$K$4)),P1714*100+COUNTIFS($P$6:$P$3267,P1714,$Q$6:$Q$3267,"&lt;="&amp;Q1714,$N$6:$N$3267,Calendar!$K$4),"")</f>
        <v/>
      </c>
      <c r="W1714" s="47">
        <f>IF(AND(B1714=Queue!$C$4,OR(Queue!$K$4="*",N1714=Queue!$K$4)),Q1714,"")</f>
        <v/>
      </c>
    </row>
    <row r="1715">
      <c r="A1715" s="38">
        <f>IF(M1715="","",HYPERLINK("https://www.youtube.com/watch?v="&amp;M1715,"▶"))</f>
        <v/>
      </c>
      <c r="B1715" s="39">
        <f>IF(C1715&lt;&gt;"",C1715,IF(P1715&lt;=IFERROR(INDEX(tblChannels[Watched Through],MATCH(N1715,tblChannels[Channel ID],0)),0),"Watched","Unwatched"))</f>
        <v/>
      </c>
      <c r="C1715" s="40" t="n"/>
      <c r="D1715" s="41" t="n"/>
      <c r="E1715" s="42" t="n">
        <v>43832.79166666666</v>
      </c>
      <c r="F1715" s="43" t="inlineStr">
        <is>
          <t>Popcorn Culture</t>
        </is>
      </c>
      <c r="G1715" t="inlineStr">
        <is>
          <t>1 - Strong Opinions, Spray Tans, and Star Wars</t>
        </is>
      </c>
      <c r="H1715" s="44" t="n">
        <v>0.03853009259259259</v>
      </c>
      <c r="I1715" s="45" t="n">
        <v>10879</v>
      </c>
      <c r="J1715" s="45" t="n">
        <v>405</v>
      </c>
      <c r="K1715" s="45" t="n">
        <v>55</v>
      </c>
      <c r="L1715" s="46" t="n"/>
      <c r="M1715" s="47" t="n"/>
      <c r="N1715" s="47" t="inlineStr">
        <is>
          <t>UCHfIbq9thHPC8yrKjAdJgDA</t>
        </is>
      </c>
      <c r="O1715" s="48" t="n">
        <v>43833</v>
      </c>
      <c r="P1715" s="49" t="n">
        <v>43832</v>
      </c>
      <c r="Q1715" s="47" t="n">
        <v>1553</v>
      </c>
      <c r="R1715" s="47" t="inlineStr">
        <is>
          <t>No Video ID yet</t>
        </is>
      </c>
      <c r="S1715" s="49" t="n"/>
      <c r="T1715" s="49" t="n"/>
      <c r="U1715" s="47" t="inlineStr">
        <is>
          <t>J and Ben discuss: Episode Zero, Strong Opinions, Spray Tans, Movie Rankings, Star Wars (pre-Episode 9), and share an embarrassing wedding story.</t>
        </is>
      </c>
      <c r="V1715" s="47">
        <f>IF(AND(P1715&gt;=Calendar!$K$2,P1715&lt;EDATE(Calendar!$K$2,1),OR(Calendar!$K$4="*",N1715=Calendar!$K$4)),P1715*100+COUNTIFS($P$6:$P$3267,P1715,$Q$6:$Q$3267,"&lt;="&amp;Q1715,$N$6:$N$3267,Calendar!$K$4),"")</f>
        <v/>
      </c>
      <c r="W1715" s="47">
        <f>IF(AND(B1715=Queue!$C$4,OR(Queue!$K$4="*",N1715=Queue!$K$4)),Q1715,"")</f>
        <v/>
      </c>
    </row>
    <row r="1716">
      <c r="A1716" s="38">
        <f>IF(M1716="","",HYPERLINK("https://www.youtube.com/watch?v="&amp;M1716,"▶"))</f>
        <v/>
      </c>
      <c r="B1716" s="39">
        <f>IF(C1716&lt;&gt;"",C1716,IF(P1716&lt;=IFERROR(INDEX(tblChannels[Watched Through],MATCH(N1716,tblChannels[Channel ID],0)),0),"Watched","Unwatched"))</f>
        <v/>
      </c>
      <c r="C1716" s="40" t="n"/>
      <c r="D1716" s="41" t="n"/>
      <c r="E1716" s="42" t="n">
        <v>43832.63819444444</v>
      </c>
      <c r="F1716" s="50" t="inlineStr">
        <is>
          <t>Super Carlin Brothers</t>
        </is>
      </c>
      <c r="G1716" t="inlineStr">
        <is>
          <t>J vs Ben: GETTING RESORTED ON POTTERMORE FOR 2020!</t>
        </is>
      </c>
      <c r="H1716" s="44" t="n">
        <v>0.009201388888888889</v>
      </c>
      <c r="I1716" s="45" t="n">
        <v>429939</v>
      </c>
      <c r="J1716" s="45" t="n">
        <v>17042</v>
      </c>
      <c r="K1716" s="45" t="n">
        <v>3975</v>
      </c>
      <c r="L1716" s="46" t="n"/>
      <c r="M1716" s="47" t="n"/>
      <c r="N1716" s="47" t="inlineStr">
        <is>
          <t>UCKZo4N0lVPccBkSiuyVh4yg</t>
        </is>
      </c>
      <c r="O1716" s="48" t="n">
        <v>43832.84652777778</v>
      </c>
      <c r="P1716" s="49" t="n">
        <v>43832</v>
      </c>
      <c r="Q1716" s="47" t="n">
        <v>1552</v>
      </c>
      <c r="R1716" s="47" t="inlineStr">
        <is>
          <t>No Video ID yet</t>
        </is>
      </c>
      <c r="S1716" s="49" t="n"/>
      <c r="T1716" s="49" t="n"/>
      <c r="U1716" s="47" t="inlineStr">
        <is>
          <t>Go to and use code SCB to get $75 off! Take the Re-Sorting Challenge with us: Today J and Ben retake the Sorting quiz for 2020 in the Annual Super Carlin Sorting Ceremony! Will J stay in Slytherin? Will Ben finally solve his identity crisis!?</t>
        </is>
      </c>
      <c r="V1716" s="47">
        <f>IF(AND(P1716&gt;=Calendar!$K$2,P1716&lt;EDATE(Calendar!$K$2,1),OR(Calendar!$K$4="*",N1716=Calendar!$K$4)),P1716*100+COUNTIFS($P$6:$P$3267,P1716,$Q$6:$Q$3267,"&lt;="&amp;Q1716,$N$6:$N$3267,Calendar!$K$4),"")</f>
        <v/>
      </c>
      <c r="W1716" s="47">
        <f>IF(AND(B1716=Queue!$C$4,OR(Queue!$K$4="*",N1716=Queue!$K$4)),Q1716,"")</f>
        <v/>
      </c>
    </row>
    <row r="1717">
      <c r="A1717" s="38">
        <f>IF(M1717="","",HYPERLINK("https://www.youtube.com/watch?v="&amp;M1717,"▶"))</f>
        <v/>
      </c>
      <c r="B1717" s="39">
        <f>IF(C1717&lt;&gt;"",C1717,IF(P1717&lt;=IFERROR(INDEX(tblChannels[Watched Through],MATCH(N1717,tblChannels[Channel ID],0)),0),"Watched","Unwatched"))</f>
        <v/>
      </c>
      <c r="C1717" s="40" t="n"/>
      <c r="D1717" s="41" t="n"/>
      <c r="E1717" s="42" t="n">
        <v>43825.75277777778</v>
      </c>
      <c r="F1717" s="50" t="inlineStr">
        <is>
          <t>Super Carlin Brothers</t>
        </is>
      </c>
      <c r="G1717" t="inlineStr">
        <is>
          <t>Ranking TOP Disney Movies of 2019</t>
        </is>
      </c>
      <c r="H1717" s="44" t="n">
        <v>0.03276620370370371</v>
      </c>
      <c r="I1717" s="45" t="n">
        <v>189148</v>
      </c>
      <c r="J1717" s="45" t="n">
        <v>6878</v>
      </c>
      <c r="K1717" s="45" t="n">
        <v>1453</v>
      </c>
      <c r="L1717" s="46" t="n"/>
      <c r="M1717" s="47" t="n"/>
      <c r="N1717" s="47" t="inlineStr">
        <is>
          <t>UCKZo4N0lVPccBkSiuyVh4yg</t>
        </is>
      </c>
      <c r="O1717" s="48" t="n">
        <v>43825.96111111111</v>
      </c>
      <c r="P1717" s="49" t="n">
        <v>43825</v>
      </c>
      <c r="Q1717" s="47" t="n">
        <v>1551</v>
      </c>
      <c r="R1717" s="47" t="inlineStr">
        <is>
          <t>No Video ID yet</t>
        </is>
      </c>
      <c r="S1717" s="49" t="n"/>
      <c r="T1717" s="49" t="n"/>
      <c r="U1717" s="47" t="inlineStr">
        <is>
          <t>Today J and Ben rank their Top Disney Movies from 2019! Every movie they have done a review on is up for grabs from Star Wars The Rise of Skywalker to Captain Marvel! How would you rank them all?</t>
        </is>
      </c>
      <c r="V1717" s="47">
        <f>IF(AND(P1717&gt;=Calendar!$K$2,P1717&lt;EDATE(Calendar!$K$2,1),OR(Calendar!$K$4="*",N1717=Calendar!$K$4)),P1717*100+COUNTIFS($P$6:$P$3267,P1717,$Q$6:$Q$3267,"&lt;="&amp;Q1717,$N$6:$N$3267,Calendar!$K$4),"")</f>
        <v/>
      </c>
      <c r="W1717" s="47">
        <f>IF(AND(B1717=Queue!$C$4,OR(Queue!$K$4="*",N1717=Queue!$K$4)),Q1717,"")</f>
        <v/>
      </c>
    </row>
    <row r="1718">
      <c r="A1718" s="38">
        <f>IF(M1718="","",HYPERLINK("https://www.youtube.com/watch?v="&amp;M1718,"▶"))</f>
        <v/>
      </c>
      <c r="B1718" s="39">
        <f>IF(C1718&lt;&gt;"",C1718,IF(P1718&lt;=IFERROR(INDEX(tblChannels[Watched Through],MATCH(N1718,tblChannels[Channel ID],0)),0),"Watched","Unwatched"))</f>
        <v/>
      </c>
      <c r="C1718" s="40" t="n"/>
      <c r="D1718" s="41" t="n"/>
      <c r="E1718" s="42" t="n">
        <v>43823.625</v>
      </c>
      <c r="F1718" s="50" t="inlineStr">
        <is>
          <t>Super Carlin Brothers</t>
        </is>
      </c>
      <c r="G1718" t="inlineStr">
        <is>
          <t>Top 7 Unanswered Questions from The Rise of Skywalker [Star Wars]</t>
        </is>
      </c>
      <c r="H1718" s="44" t="n">
        <v>0.009930555555555555</v>
      </c>
      <c r="I1718" s="45" t="n">
        <v>642743</v>
      </c>
      <c r="J1718" s="45" t="n">
        <v>15372</v>
      </c>
      <c r="K1718" s="45" t="n">
        <v>2843</v>
      </c>
      <c r="L1718" s="46" t="n"/>
      <c r="M1718" s="47" t="n"/>
      <c r="N1718" s="47" t="inlineStr">
        <is>
          <t>UCKZo4N0lVPccBkSiuyVh4yg</t>
        </is>
      </c>
      <c r="O1718" s="48" t="n">
        <v>43823.83333333334</v>
      </c>
      <c r="P1718" s="49" t="n">
        <v>43823</v>
      </c>
      <c r="Q1718" s="47" t="n">
        <v>1550</v>
      </c>
      <c r="R1718" s="47" t="inlineStr">
        <is>
          <t>No Video ID yet</t>
        </is>
      </c>
      <c r="S1718" s="49" t="n"/>
      <c r="T1718" s="49" t="n"/>
      <c r="U1718" s="47" t="inlineStr">
        <is>
          <t>Go to and use code SCB to get $75 off. Star Wars has reached it’s grand finale with the release of Episode 9 The Rise of Skywalker! Today J dives into all of the unanswered questions that still remain! Like what is a dyad? Who is Rey’s Grandmother? Why is her saber that color?! Who even were the Knights of Ren AND what was Finn going to tell Rey??</t>
        </is>
      </c>
      <c r="V1718" s="47">
        <f>IF(AND(P1718&gt;=Calendar!$K$2,P1718&lt;EDATE(Calendar!$K$2,1),OR(Calendar!$K$4="*",N1718=Calendar!$K$4)),P1718*100+COUNTIFS($P$6:$P$3267,P1718,$Q$6:$Q$3267,"&lt;="&amp;Q1718,$N$6:$N$3267,Calendar!$K$4),"")</f>
        <v/>
      </c>
      <c r="W1718" s="47">
        <f>IF(AND(B1718=Queue!$C$4,OR(Queue!$K$4="*",N1718=Queue!$K$4)),Q1718,"")</f>
        <v/>
      </c>
    </row>
    <row r="1719">
      <c r="A1719" s="38">
        <f>IF(M1719="","",HYPERLINK("https://www.youtube.com/watch?v="&amp;M1719,"▶"))</f>
        <v/>
      </c>
      <c r="B1719" s="39">
        <f>IF(C1719&lt;&gt;"",C1719,IF(P1719&lt;=IFERROR(INDEX(tblChannels[Watched Through],MATCH(N1719,tblChannels[Channel ID],0)),0),"Watched","Unwatched"))</f>
        <v/>
      </c>
      <c r="C1719" s="40" t="n"/>
      <c r="D1719" s="41" t="n"/>
      <c r="E1719" s="42" t="n">
        <v>43819.92013888889</v>
      </c>
      <c r="F1719" s="50" t="inlineStr">
        <is>
          <t>Super Carlin Brothers</t>
        </is>
      </c>
      <c r="G1719" t="inlineStr">
        <is>
          <t>Star Wars Episode 9 The Rise of Skywalker [Spoiler Review]</t>
        </is>
      </c>
      <c r="H1719" s="44" t="n">
        <v>0.04479166666666667</v>
      </c>
      <c r="I1719" s="45" t="n">
        <v>363278</v>
      </c>
      <c r="J1719" s="45" t="n">
        <v>9891</v>
      </c>
      <c r="K1719" s="45" t="n">
        <v>3371</v>
      </c>
      <c r="L1719" s="46" t="n"/>
      <c r="M1719" s="47" t="n"/>
      <c r="N1719" s="47" t="inlineStr">
        <is>
          <t>UCKZo4N0lVPccBkSiuyVh4yg</t>
        </is>
      </c>
      <c r="O1719" s="48" t="n">
        <v>43820.12847222222</v>
      </c>
      <c r="P1719" s="49" t="n">
        <v>43819</v>
      </c>
      <c r="Q1719" s="47" t="n">
        <v>1549</v>
      </c>
      <c r="R1719" s="47" t="inlineStr">
        <is>
          <t>No Video ID yet</t>
        </is>
      </c>
      <c r="S1719" s="49" t="n"/>
      <c r="T1719" s="49" t="n"/>
      <c r="U1719" s="47" t="inlineStr">
        <is>
          <t>Hurry to to find our HOW LOW your Upstart rate is. Today J and Ben dive into the Star Wars Galaxy to give their full SPOILER Review of Star Wars Episode 9 The Rise of Skywalker and discuss how they feel it wraps up the entire Skywalker Saga</t>
        </is>
      </c>
      <c r="V1719" s="47">
        <f>IF(AND(P1719&gt;=Calendar!$K$2,P1719&lt;EDATE(Calendar!$K$2,1),OR(Calendar!$K$4="*",N1719=Calendar!$K$4)),P1719*100+COUNTIFS($P$6:$P$3267,P1719,$Q$6:$Q$3267,"&lt;="&amp;Q1719,$N$6:$N$3267,Calendar!$K$4),"")</f>
        <v/>
      </c>
      <c r="W1719" s="47">
        <f>IF(AND(B1719=Queue!$C$4,OR(Queue!$K$4="*",N1719=Queue!$K$4)),Q1719,"")</f>
        <v/>
      </c>
    </row>
    <row r="1720">
      <c r="A1720" s="38">
        <f>IF(M1720="","",HYPERLINK("https://www.youtube.com/watch?v="&amp;M1720,"▶"))</f>
        <v/>
      </c>
      <c r="B1720" s="39">
        <f>IF(C1720&lt;&gt;"",C1720,IF(P1720&lt;=IFERROR(INDEX(tblChannels[Watched Through],MATCH(N1720,tblChannels[Channel ID],0)),0),"Watched","Unwatched"))</f>
        <v/>
      </c>
      <c r="C1720" s="40" t="n"/>
      <c r="D1720" s="41" t="n"/>
      <c r="E1720" s="42" t="n">
        <v>43817.57569444444</v>
      </c>
      <c r="F1720" s="43" t="inlineStr">
        <is>
          <t>Popcorn Culture</t>
        </is>
      </c>
      <c r="G1720" t="inlineStr">
        <is>
          <t>Episode 0: The Pilot - So it Begins</t>
        </is>
      </c>
      <c r="H1720" s="44" t="n">
        <v>0.02986111111111111</v>
      </c>
      <c r="I1720" s="45" t="n">
        <v>20781</v>
      </c>
      <c r="J1720" s="45" t="n">
        <v>782</v>
      </c>
      <c r="K1720" s="45" t="n">
        <v>84</v>
      </c>
      <c r="L1720" s="46" t="n"/>
      <c r="M1720" s="47" t="n"/>
      <c r="N1720" s="47" t="inlineStr">
        <is>
          <t>UCHfIbq9thHPC8yrKjAdJgDA</t>
        </is>
      </c>
      <c r="O1720" s="48" t="n">
        <v>43817.78402777778</v>
      </c>
      <c r="P1720" s="49" t="n">
        <v>43817</v>
      </c>
      <c r="Q1720" s="47" t="n">
        <v>1548</v>
      </c>
      <c r="R1720" s="47" t="inlineStr">
        <is>
          <t>No Video ID yet</t>
        </is>
      </c>
      <c r="S1720" s="49" t="n"/>
      <c r="T1720" s="49" t="n"/>
      <c r="U1720" s="47" t="inlineStr">
        <is>
          <t>Popcorn Culture is brought to you by J and Ben Carlin aka the SuperCarlinBrothers on YouTube. The two are most well known for the The Pixar Theory, Rampant Predictions of your favorite upcoming movies, Harry Potter Trivia Fiends, and for being a pair of man childs. Man children? Men Children. None of those seem right. You get the point. Anyway, they wanted a way to talk more in depth about their theories and BEYOND! And this is their solution.</t>
        </is>
      </c>
      <c r="V1720" s="47">
        <f>IF(AND(P1720&gt;=Calendar!$K$2,P1720&lt;EDATE(Calendar!$K$2,1),OR(Calendar!$K$4="*",N1720=Calendar!$K$4)),P1720*100+COUNTIFS($P$6:$P$3267,P1720,$Q$6:$Q$3267,"&lt;="&amp;Q1720,$N$6:$N$3267,Calendar!$K$4),"")</f>
        <v/>
      </c>
      <c r="W1720" s="47">
        <f>IF(AND(B1720=Queue!$C$4,OR(Queue!$K$4="*",N1720=Queue!$K$4)),Q1720,"")</f>
        <v/>
      </c>
    </row>
    <row r="1721">
      <c r="A1721" s="38">
        <f>IF(M1721="","",HYPERLINK("https://www.youtube.com/watch?v="&amp;M1721,"▶"))</f>
        <v/>
      </c>
      <c r="B1721" s="39">
        <f>IF(C1721&lt;&gt;"",C1721,IF(P1721&lt;=IFERROR(INDEX(tblChannels[Watched Through],MATCH(N1721,tblChannels[Channel ID],0)),0),"Watched","Unwatched"))</f>
        <v/>
      </c>
      <c r="C1721" s="40" t="n"/>
      <c r="D1721" s="41" t="n"/>
      <c r="E1721" s="42" t="n">
        <v>43816.72708333333</v>
      </c>
      <c r="F1721" s="50" t="inlineStr">
        <is>
          <t>Super Carlin Brothers</t>
        </is>
      </c>
      <c r="G1721" t="inlineStr">
        <is>
          <t>The White Saber Theory [Star Wars The Rise Of Skywalker]</t>
        </is>
      </c>
      <c r="H1721" s="44" t="n">
        <v>0.008831018518518519</v>
      </c>
      <c r="I1721" s="45" t="n">
        <v>200687</v>
      </c>
      <c r="J1721" s="45" t="n">
        <v>8473</v>
      </c>
      <c r="K1721" s="45" t="n">
        <v>1186</v>
      </c>
      <c r="L1721" s="46" t="n"/>
      <c r="M1721" s="47" t="n"/>
      <c r="N1721" s="47" t="inlineStr">
        <is>
          <t>UCKZo4N0lVPccBkSiuyVh4yg</t>
        </is>
      </c>
      <c r="O1721" s="48" t="n">
        <v>43816.93541666667</v>
      </c>
      <c r="P1721" s="49" t="n">
        <v>43816</v>
      </c>
      <c r="Q1721" s="47" t="n">
        <v>1547</v>
      </c>
      <c r="R1721" s="47" t="inlineStr">
        <is>
          <t>No Video ID yet</t>
        </is>
      </c>
      <c r="S1721" s="49" t="n"/>
      <c r="T1721" s="49" t="n"/>
      <c r="U1721" s="47" t="inlineStr">
        <is>
          <t>Popcorn Culture iTunes :: With Star Wars Episode 9 The Rise of Skywalker just days away J dives into the Star Wars Galaxy to discuss the future of Kylo Ren’s Lightsaber and the White Saber theory!</t>
        </is>
      </c>
      <c r="V1721" s="47">
        <f>IF(AND(P1721&gt;=Calendar!$K$2,P1721&lt;EDATE(Calendar!$K$2,1),OR(Calendar!$K$4="*",N1721=Calendar!$K$4)),P1721*100+COUNTIFS($P$6:$P$3267,P1721,$Q$6:$Q$3267,"&lt;="&amp;Q1721,$N$6:$N$3267,Calendar!$K$4),"")</f>
        <v/>
      </c>
      <c r="W1721" s="47">
        <f>IF(AND(B1721=Queue!$C$4,OR(Queue!$K$4="*",N1721=Queue!$K$4)),Q1721,"")</f>
        <v/>
      </c>
    </row>
    <row r="1722">
      <c r="A1722" s="38">
        <f>IF(M1722="","",HYPERLINK("https://www.youtube.com/watch?v="&amp;M1722,"▶"))</f>
        <v/>
      </c>
      <c r="B1722" s="39">
        <f>IF(C1722&lt;&gt;"",C1722,IF(P1722&lt;=IFERROR(INDEX(tblChannels[Watched Through],MATCH(N1722,tblChannels[Channel ID],0)),0),"Watched","Unwatched"))</f>
        <v/>
      </c>
      <c r="C1722" s="40" t="n"/>
      <c r="D1722" s="41" t="n"/>
      <c r="E1722" s="42" t="n">
        <v>43813.41666666666</v>
      </c>
      <c r="F1722" s="50" t="inlineStr">
        <is>
          <t>Super Carlin Brothers</t>
        </is>
      </c>
      <c r="G1722" t="inlineStr">
        <is>
          <t>SCB GIVE-A-THON &amp; PODCAST ANNOUNCEMENT!</t>
        </is>
      </c>
      <c r="H1722" s="44" t="n">
        <v>0.002916666666666667</v>
      </c>
      <c r="I1722" s="45" t="n">
        <v>31002</v>
      </c>
      <c r="J1722" s="45" t="n">
        <v>2099</v>
      </c>
      <c r="K1722" s="45" t="n">
        <v>202</v>
      </c>
      <c r="L1722" s="46" t="n"/>
      <c r="M1722" s="47" t="n"/>
      <c r="N1722" s="47" t="inlineStr">
        <is>
          <t>UCKZo4N0lVPccBkSiuyVh4yg</t>
        </is>
      </c>
      <c r="O1722" s="48" t="n">
        <v>43813.625</v>
      </c>
      <c r="P1722" s="49" t="n">
        <v>43813</v>
      </c>
      <c r="Q1722" s="47" t="n">
        <v>1546</v>
      </c>
      <c r="R1722" s="47" t="inlineStr">
        <is>
          <t>No Video ID yet</t>
        </is>
      </c>
      <c r="S1722" s="49" t="n"/>
      <c r="T1722" s="49" t="n"/>
      <c r="U1722" s="47" t="inlineStr">
        <is>
          <t>Save The Children :: Popcorn Culture iTunes :: Instagram J :: Ben ::</t>
        </is>
      </c>
      <c r="V1722" s="47">
        <f>IF(AND(P1722&gt;=Calendar!$K$2,P1722&lt;EDATE(Calendar!$K$2,1),OR(Calendar!$K$4="*",N1722=Calendar!$K$4)),P1722*100+COUNTIFS($P$6:$P$3267,P1722,$Q$6:$Q$3267,"&lt;="&amp;Q1722,$N$6:$N$3267,Calendar!$K$4),"")</f>
        <v/>
      </c>
      <c r="W1722" s="47">
        <f>IF(AND(B1722=Queue!$C$4,OR(Queue!$K$4="*",N1722=Queue!$K$4)),Q1722,"")</f>
        <v/>
      </c>
    </row>
    <row r="1723">
      <c r="A1723" s="38">
        <f>IF(M1723="","",HYPERLINK("https://www.youtube.com/watch?v="&amp;M1723,"▶"))</f>
        <v/>
      </c>
      <c r="B1723" s="39">
        <f>IF(C1723&lt;&gt;"",C1723,IF(P1723&lt;=IFERROR(INDEX(tblChannels[Watched Through],MATCH(N1723,tblChannels[Channel ID],0)),0),"Watched","Unwatched"))</f>
        <v/>
      </c>
      <c r="C1723" s="40" t="n"/>
      <c r="D1723" s="41" t="n"/>
      <c r="E1723" s="42" t="n">
        <v>43811.84861111111</v>
      </c>
      <c r="F1723" s="50" t="inlineStr">
        <is>
          <t>Super Carlin Brothers</t>
        </is>
      </c>
      <c r="G1723" t="inlineStr">
        <is>
          <t>J vs Ben: ULTIMATE Harry Potter Gift TRIVIA Quiz</t>
        </is>
      </c>
      <c r="H1723" s="44" t="n">
        <v>0.01605324074074074</v>
      </c>
      <c r="I1723" s="45" t="n">
        <v>431878</v>
      </c>
      <c r="J1723" s="45" t="n">
        <v>12868</v>
      </c>
      <c r="K1723" s="45" t="n">
        <v>1416</v>
      </c>
      <c r="L1723" s="46" t="n"/>
      <c r="M1723" s="47" t="n"/>
      <c r="N1723" s="47" t="inlineStr">
        <is>
          <t>UCKZo4N0lVPccBkSiuyVh4yg</t>
        </is>
      </c>
      <c r="O1723" s="48" t="n">
        <v>43812.05694444444</v>
      </c>
      <c r="P1723" s="49" t="n">
        <v>43811</v>
      </c>
      <c r="Q1723" s="47" t="n">
        <v>1545</v>
      </c>
      <c r="R1723" s="47" t="inlineStr">
        <is>
          <t>No Video ID yet</t>
        </is>
      </c>
      <c r="S1723" s="49" t="n"/>
      <c r="T1723" s="49" t="n"/>
      <c r="U1723" s="47" t="inlineStr">
        <is>
          <t>Go to and find out how you can get 3 months free. Today J and Ben face off to find out whose mind has a better presence when it comes to Harry Potter presents? Do remember every gift Harry ever got?! #JvsBen</t>
        </is>
      </c>
      <c r="V1723" s="47">
        <f>IF(AND(P1723&gt;=Calendar!$K$2,P1723&lt;EDATE(Calendar!$K$2,1),OR(Calendar!$K$4="*",N1723=Calendar!$K$4)),P1723*100+COUNTIFS($P$6:$P$3267,P1723,$Q$6:$Q$3267,"&lt;="&amp;Q1723,$N$6:$N$3267,Calendar!$K$4),"")</f>
        <v/>
      </c>
      <c r="W1723" s="47">
        <f>IF(AND(B1723=Queue!$C$4,OR(Queue!$K$4="*",N1723=Queue!$K$4)),Q1723,"")</f>
        <v/>
      </c>
    </row>
    <row r="1724">
      <c r="A1724" s="38">
        <f>IF(M1724="","",HYPERLINK("https://www.youtube.com/watch?v="&amp;M1724,"▶"))</f>
        <v/>
      </c>
      <c r="B1724" s="39">
        <f>IF(C1724&lt;&gt;"",C1724,IF(P1724&lt;=IFERROR(INDEX(tblChannels[Watched Through],MATCH(N1724,tblChannels[Channel ID],0)),0),"Watched","Unwatched"))</f>
        <v/>
      </c>
      <c r="C1724" s="40" t="n"/>
      <c r="D1724" s="41" t="n"/>
      <c r="E1724" s="42" t="n">
        <v>43809.80277777778</v>
      </c>
      <c r="F1724" s="50" t="inlineStr">
        <is>
          <t>Super Carlin Brothers</t>
        </is>
      </c>
      <c r="G1724" t="inlineStr">
        <is>
          <t>Was Han Solo Force Sensitive? [Star Wars Theory]</t>
        </is>
      </c>
      <c r="H1724" s="44" t="n">
        <v>0.009907407407407408</v>
      </c>
      <c r="I1724" s="45" t="n">
        <v>211245</v>
      </c>
      <c r="J1724" s="45" t="n">
        <v>8747</v>
      </c>
      <c r="K1724" s="45" t="n">
        <v>1137</v>
      </c>
      <c r="L1724" s="46" t="n"/>
      <c r="M1724" s="47" t="n"/>
      <c r="N1724" s="47" t="inlineStr">
        <is>
          <t>UCKZo4N0lVPccBkSiuyVh4yg</t>
        </is>
      </c>
      <c r="O1724" s="48" t="n">
        <v>43810.01111111111</v>
      </c>
      <c r="P1724" s="49" t="n">
        <v>43809</v>
      </c>
      <c r="Q1724" s="47" t="n">
        <v>1544</v>
      </c>
      <c r="R1724" s="47" t="inlineStr">
        <is>
          <t>No Video ID yet</t>
        </is>
      </c>
      <c r="S1724" s="49" t="n"/>
      <c r="T1724" s="49" t="n"/>
      <c r="U1724" s="47" t="inlineStr">
        <is>
          <t>Today J dives into the Star Wars Galaxy to try and answer an age old question: Could Han Solo use The Force? We meet Han Solo as a somewhat overconfident pilot who seems to make his way through the galaxy thanks to his charm, a bit of wit, and a lot of luck. But today we examine whether or not all of that luck behind Han’s success is simply luck OR is it something else?!</t>
        </is>
      </c>
      <c r="V1724" s="47">
        <f>IF(AND(P1724&gt;=Calendar!$K$2,P1724&lt;EDATE(Calendar!$K$2,1),OR(Calendar!$K$4="*",N1724=Calendar!$K$4)),P1724*100+COUNTIFS($P$6:$P$3267,P1724,$Q$6:$Q$3267,"&lt;="&amp;Q1724,$N$6:$N$3267,Calendar!$K$4),"")</f>
        <v/>
      </c>
      <c r="W1724" s="47">
        <f>IF(AND(B1724=Queue!$C$4,OR(Queue!$K$4="*",N1724=Queue!$K$4)),Q1724,"")</f>
        <v/>
      </c>
    </row>
    <row r="1725">
      <c r="A1725" s="38">
        <f>IF(M1725="","",HYPERLINK("https://www.youtube.com/watch?v="&amp;M1725,"▶"))</f>
        <v/>
      </c>
      <c r="B1725" s="39">
        <f>IF(C1725&lt;&gt;"",C1725,IF(P1725&lt;=IFERROR(INDEX(tblChannels[Watched Through],MATCH(N1725,tblChannels[Channel ID],0)),0),"Watched","Unwatched"))</f>
        <v/>
      </c>
      <c r="C1725" s="40" t="n"/>
      <c r="D1725" s="41" t="n"/>
      <c r="E1725" s="42" t="n">
        <v>43804.65069444444</v>
      </c>
      <c r="F1725" s="50" t="inlineStr">
        <is>
          <t>Super Carlin Brothers</t>
        </is>
      </c>
      <c r="G1725" t="inlineStr">
        <is>
          <t>Harry Potter Theory: Snape Killed Hedwig?!</t>
        </is>
      </c>
      <c r="H1725" s="44" t="n">
        <v>0.008611111111111111</v>
      </c>
      <c r="I1725" s="45" t="n">
        <v>818583</v>
      </c>
      <c r="J1725" s="45" t="n">
        <v>25541</v>
      </c>
      <c r="K1725" s="45" t="n">
        <v>2820</v>
      </c>
      <c r="L1725" s="46" t="n"/>
      <c r="M1725" s="47" t="n"/>
      <c r="N1725" s="47" t="inlineStr">
        <is>
          <t>UCKZo4N0lVPccBkSiuyVh4yg</t>
        </is>
      </c>
      <c r="O1725" s="48" t="n">
        <v>43804.85902777778</v>
      </c>
      <c r="P1725" s="49" t="n">
        <v>43804</v>
      </c>
      <c r="Q1725" s="47" t="n">
        <v>1543</v>
      </c>
      <c r="R1725" s="47" t="inlineStr">
        <is>
          <t>No Video ID yet</t>
        </is>
      </c>
      <c r="S1725" s="49" t="n"/>
      <c r="T1725" s="49" t="n"/>
      <c r="U1725" s="47" t="inlineStr">
        <is>
          <t>Visit to receive a special 20% discount! Today Ben dives into the Wizarding World of Harry Potter to discuss Harry's pet owl Hedwig and discuss the theory that Snape killed Hedwig!</t>
        </is>
      </c>
      <c r="V1725" s="47">
        <f>IF(AND(P1725&gt;=Calendar!$K$2,P1725&lt;EDATE(Calendar!$K$2,1),OR(Calendar!$K$4="*",N1725=Calendar!$K$4)),P1725*100+COUNTIFS($P$6:$P$3267,P1725,$Q$6:$Q$3267,"&lt;="&amp;Q1725,$N$6:$N$3267,Calendar!$K$4),"")</f>
        <v/>
      </c>
      <c r="W1725" s="47">
        <f>IF(AND(B1725=Queue!$C$4,OR(Queue!$K$4="*",N1725=Queue!$K$4)),Q1725,"")</f>
        <v/>
      </c>
    </row>
    <row r="1726">
      <c r="A1726" s="38">
        <f>IF(M1726="","",HYPERLINK("https://www.youtube.com/watch?v="&amp;M1726,"▶"))</f>
        <v/>
      </c>
      <c r="B1726" s="39">
        <f>IF(C1726&lt;&gt;"",C1726,IF(P1726&lt;=IFERROR(INDEX(tblChannels[Watched Through],MATCH(N1726,tblChannels[Channel ID],0)),0),"Watched","Unwatched"))</f>
        <v/>
      </c>
      <c r="C1726" s="40" t="n"/>
      <c r="D1726" s="41" t="n"/>
      <c r="E1726" s="42" t="n">
        <v>43802.81944444445</v>
      </c>
      <c r="F1726" s="50" t="inlineStr">
        <is>
          <t>Super Carlin Brothers</t>
        </is>
      </c>
      <c r="G1726" t="inlineStr">
        <is>
          <t>Top 10 Most ADORABLE Disney Babies</t>
        </is>
      </c>
      <c r="H1726" s="44" t="n">
        <v>0.008506944444444444</v>
      </c>
      <c r="I1726" s="45" t="n">
        <v>222564</v>
      </c>
      <c r="J1726" s="45" t="n">
        <v>9501</v>
      </c>
      <c r="K1726" s="45" t="n">
        <v>1391</v>
      </c>
      <c r="L1726" s="46" t="n"/>
      <c r="M1726" s="47" t="n"/>
      <c r="N1726" s="47" t="inlineStr">
        <is>
          <t>UCKZo4N0lVPccBkSiuyVh4yg</t>
        </is>
      </c>
      <c r="O1726" s="48" t="n">
        <v>43803.02777777778</v>
      </c>
      <c r="P1726" s="49" t="n">
        <v>43802</v>
      </c>
      <c r="Q1726" s="47" t="n">
        <v>1542</v>
      </c>
      <c r="R1726" s="47" t="inlineStr">
        <is>
          <t>No Video ID yet</t>
        </is>
      </c>
      <c r="S1726" s="49" t="n"/>
      <c r="T1726" s="49" t="n"/>
      <c r="U1726" s="47" t="inlineStr">
        <is>
          <t>Today J dives into the world of Disney, Pixar, Marvel and Star Wars to determine the cutest most adorable babies ever put on screen!</t>
        </is>
      </c>
      <c r="V1726" s="47">
        <f>IF(AND(P1726&gt;=Calendar!$K$2,P1726&lt;EDATE(Calendar!$K$2,1),OR(Calendar!$K$4="*",N1726=Calendar!$K$4)),P1726*100+COUNTIFS($P$6:$P$3267,P1726,$Q$6:$Q$3267,"&lt;="&amp;Q1726,$N$6:$N$3267,Calendar!$K$4),"")</f>
        <v/>
      </c>
      <c r="W1726" s="47">
        <f>IF(AND(B1726=Queue!$C$4,OR(Queue!$K$4="*",N1726=Queue!$K$4)),Q1726,"")</f>
        <v/>
      </c>
    </row>
    <row r="1727">
      <c r="A1727" s="38">
        <f>IF(M1727="","",HYPERLINK("https://www.youtube.com/watch?v="&amp;M1727,"▶"))</f>
        <v/>
      </c>
      <c r="B1727" s="39">
        <f>IF(C1727&lt;&gt;"",C1727,IF(P1727&lt;=IFERROR(INDEX(tblChannels[Watched Through],MATCH(N1727,tblChannels[Channel ID],0)),0),"Watched","Unwatched"))</f>
        <v/>
      </c>
      <c r="C1727" s="40" t="n"/>
      <c r="D1727" s="41" t="n"/>
      <c r="E1727" s="42" t="n">
        <v>43797.625</v>
      </c>
      <c r="F1727" s="50" t="inlineStr">
        <is>
          <t>Super Carlin Brothers</t>
        </is>
      </c>
      <c r="G1727" t="inlineStr">
        <is>
          <t>J vs Ben: The ULTIMATE Hermione Granger TRIVIA Quiz [Harry Potter]</t>
        </is>
      </c>
      <c r="H1727" s="44" t="n">
        <v>0.01541666666666667</v>
      </c>
      <c r="I1727" s="45" t="n">
        <v>394953</v>
      </c>
      <c r="J1727" s="45" t="n">
        <v>12172</v>
      </c>
      <c r="K1727" s="45" t="n">
        <v>1243</v>
      </c>
      <c r="L1727" s="46" t="n"/>
      <c r="M1727" s="47" t="n"/>
      <c r="N1727" s="47" t="inlineStr">
        <is>
          <t>UCKZo4N0lVPccBkSiuyVh4yg</t>
        </is>
      </c>
      <c r="O1727" s="48" t="n">
        <v>43797.83333333334</v>
      </c>
      <c r="P1727" s="49" t="n">
        <v>43797</v>
      </c>
      <c r="Q1727" s="47" t="n">
        <v>1541</v>
      </c>
      <c r="R1727" s="47" t="inlineStr">
        <is>
          <t>No Video ID yet</t>
        </is>
      </c>
      <c r="S1727" s="49" t="n"/>
      <c r="T1727" s="49" t="n"/>
      <c r="U1727" s="47" t="inlineStr">
        <is>
          <t>Go to and use code SCB to get $75 off! Take the quiz with us :: Today J and Ben face off in the ULTIMATE Hermione Granger quiz to see who know the most about the girl who knows the most!</t>
        </is>
      </c>
      <c r="V1727" s="47">
        <f>IF(AND(P1727&gt;=Calendar!$K$2,P1727&lt;EDATE(Calendar!$K$2,1),OR(Calendar!$K$4="*",N1727=Calendar!$K$4)),P1727*100+COUNTIFS($P$6:$P$3267,P1727,$Q$6:$Q$3267,"&lt;="&amp;Q1727,$N$6:$N$3267,Calendar!$K$4),"")</f>
        <v/>
      </c>
      <c r="W1727" s="47">
        <f>IF(AND(B1727=Queue!$C$4,OR(Queue!$K$4="*",N1727=Queue!$K$4)),Q1727,"")</f>
        <v/>
      </c>
    </row>
    <row r="1728">
      <c r="A1728" s="38">
        <f>IF(M1728="","",HYPERLINK("https://www.youtube.com/watch?v="&amp;M1728,"▶"))</f>
        <v/>
      </c>
      <c r="B1728" s="39">
        <f>IF(C1728&lt;&gt;"",C1728,IF(P1728&lt;=IFERROR(INDEX(tblChannels[Watched Through],MATCH(N1728,tblChannels[Channel ID],0)),0),"Watched","Unwatched"))</f>
        <v/>
      </c>
      <c r="C1728" s="40" t="n"/>
      <c r="D1728" s="41" t="n"/>
      <c r="E1728" s="42" t="n">
        <v>43796.69097222222</v>
      </c>
      <c r="F1728" s="53" t="inlineStr">
        <is>
          <t>Jonathan Carlin</t>
        </is>
      </c>
      <c r="G1728" t="inlineStr">
        <is>
          <t>SALT LAKE CITY MEETUP &amp; UPDATES!</t>
        </is>
      </c>
      <c r="H1728" s="44" t="n">
        <v>0.005393518518518519</v>
      </c>
      <c r="I1728" s="45" t="n">
        <v>18637</v>
      </c>
      <c r="J1728" s="45" t="n">
        <v>1449</v>
      </c>
      <c r="K1728" s="45" t="n">
        <v>275</v>
      </c>
      <c r="L1728" s="46" t="n"/>
      <c r="M1728" s="47" t="n"/>
      <c r="N1728" s="47" t="inlineStr">
        <is>
          <t>UCYPKFe86e6nm4TVUYKLsFUQ</t>
        </is>
      </c>
      <c r="O1728" s="48" t="n">
        <v>43796.89930555555</v>
      </c>
      <c r="P1728" s="49" t="n">
        <v>43796</v>
      </c>
      <c r="Q1728" s="47" t="n">
        <v>1540</v>
      </c>
      <c r="R1728" s="47" t="inlineStr">
        <is>
          <t>No Video ID yet</t>
        </is>
      </c>
      <c r="S1728" s="49" t="n"/>
      <c r="T1728" s="49" t="n"/>
      <c r="U1728" s="47" t="inlineStr">
        <is>
          <t>This week J and the SCB Crew head to Salt Lake City to see Frozen 2 and meet up with lots of viewers! Also J has some life updates!</t>
        </is>
      </c>
      <c r="V1728" s="47">
        <f>IF(AND(P1728&gt;=Calendar!$K$2,P1728&lt;EDATE(Calendar!$K$2,1),OR(Calendar!$K$4="*",N1728=Calendar!$K$4)),P1728*100+COUNTIFS($P$6:$P$3267,P1728,$Q$6:$Q$3267,"&lt;="&amp;Q1728,$N$6:$N$3267,Calendar!$K$4),"")</f>
        <v/>
      </c>
      <c r="W1728" s="47">
        <f>IF(AND(B1728=Queue!$C$4,OR(Queue!$K$4="*",N1728=Queue!$K$4)),Q1728,"")</f>
        <v/>
      </c>
    </row>
    <row r="1729">
      <c r="A1729" s="38">
        <f>IF(M1729="","",HYPERLINK("https://www.youtube.com/watch?v="&amp;M1729,"▶"))</f>
        <v/>
      </c>
      <c r="B1729" s="39">
        <f>IF(C1729&lt;&gt;"",C1729,IF(P1729&lt;=IFERROR(INDEX(tblChannels[Watched Through],MATCH(N1729,tblChannels[Channel ID],0)),0),"Watched","Unwatched"))</f>
        <v/>
      </c>
      <c r="C1729" s="40" t="n"/>
      <c r="D1729" s="41" t="n"/>
      <c r="E1729" s="42" t="n">
        <v>43795.83055555556</v>
      </c>
      <c r="F1729" s="50" t="inlineStr">
        <is>
          <t>Super Carlin Brothers</t>
        </is>
      </c>
      <c r="G1729" t="inlineStr">
        <is>
          <t>Frozen 2  Spoiler Review</t>
        </is>
      </c>
      <c r="H1729" s="44" t="n">
        <v>0.04568287037037037</v>
      </c>
      <c r="I1729" s="45" t="n">
        <v>458745</v>
      </c>
      <c r="J1729" s="45" t="n">
        <v>11487</v>
      </c>
      <c r="K1729" s="45" t="n">
        <v>4572</v>
      </c>
      <c r="L1729" s="46" t="n"/>
      <c r="M1729" s="47" t="n"/>
      <c r="N1729" s="47" t="inlineStr">
        <is>
          <t>UCKZo4N0lVPccBkSiuyVh4yg</t>
        </is>
      </c>
      <c r="O1729" s="48" t="n">
        <v>43796.03888888889</v>
      </c>
      <c r="P1729" s="49" t="n">
        <v>43795</v>
      </c>
      <c r="Q1729" s="47" t="n">
        <v>1539</v>
      </c>
      <c r="R1729" s="47" t="inlineStr">
        <is>
          <t>No Video ID yet</t>
        </is>
      </c>
      <c r="S1729" s="49" t="n"/>
      <c r="T1729" s="49" t="n"/>
      <c r="U1729" s="47" t="inlineStr">
        <is>
          <t>Be sure to check out Vincero's biggest SITEWIDE sale of the year: Today J and Ben dive into Disney's Frozen 2 to discuss Anna, Elsa, Kristof and Olaf and give it their full spoiler review to find out how it stacks up to the original!</t>
        </is>
      </c>
      <c r="V1729" s="47">
        <f>IF(AND(P1729&gt;=Calendar!$K$2,P1729&lt;EDATE(Calendar!$K$2,1),OR(Calendar!$K$4="*",N1729=Calendar!$K$4)),P1729*100+COUNTIFS($P$6:$P$3267,P1729,$Q$6:$Q$3267,"&lt;="&amp;Q1729,$N$6:$N$3267,Calendar!$K$4),"")</f>
        <v/>
      </c>
      <c r="W1729" s="47">
        <f>IF(AND(B1729=Queue!$C$4,OR(Queue!$K$4="*",N1729=Queue!$K$4)),Q1729,"")</f>
        <v/>
      </c>
    </row>
    <row r="1730">
      <c r="A1730" s="38">
        <f>IF(M1730="","",HYPERLINK("https://www.youtube.com/watch?v="&amp;M1730,"▶"))</f>
        <v/>
      </c>
      <c r="B1730" s="39">
        <f>IF(C1730&lt;&gt;"",C1730,IF(P1730&lt;=IFERROR(INDEX(tblChannels[Watched Through],MATCH(N1730,tblChannels[Channel ID],0)),0),"Watched","Unwatched"))</f>
        <v/>
      </c>
      <c r="C1730" s="40" t="n"/>
      <c r="D1730" s="41" t="n"/>
      <c r="E1730" s="42" t="n">
        <v>43790.74791666667</v>
      </c>
      <c r="F1730" s="50" t="inlineStr">
        <is>
          <t>Super Carlin Brothers</t>
        </is>
      </c>
      <c r="G1730" t="inlineStr">
        <is>
          <t>The Great Star Wars Ice Cream Conspiracy</t>
        </is>
      </c>
      <c r="H1730" s="44" t="n">
        <v>0.006875</v>
      </c>
      <c r="I1730" s="45" t="n">
        <v>168546</v>
      </c>
      <c r="J1730" s="45" t="n">
        <v>8344</v>
      </c>
      <c r="K1730" s="45" t="n">
        <v>910</v>
      </c>
      <c r="L1730" s="46" t="n"/>
      <c r="M1730" s="47" t="n"/>
      <c r="N1730" s="47" t="inlineStr">
        <is>
          <t>UCKZo4N0lVPccBkSiuyVh4yg</t>
        </is>
      </c>
      <c r="O1730" s="48" t="n">
        <v>43790.95625</v>
      </c>
      <c r="P1730" s="49" t="n">
        <v>43790</v>
      </c>
      <c r="Q1730" s="47" t="n">
        <v>1538</v>
      </c>
      <c r="R1730" s="47" t="inlineStr">
        <is>
          <t>No Video ID yet</t>
        </is>
      </c>
      <c r="S1730" s="49" t="n"/>
      <c r="T1730" s="49" t="n"/>
      <c r="U1730" s="47" t="inlineStr">
        <is>
          <t>Hurry to to find out HOW LOW your Upstart rate is. Check out Delta! The Mandalorian has introduced to us some brand new Star Wars Jargon. In the very first episode we learn about a special metal called Beskar that can be melted down and reinforce the Mandalorian’s armor. We also know that if he can complete his mission he has an ENTIRE CAMONTO of the stuff waiting for him upon delivery of the Young Orphan Darling Asset, aka LIL YODA. But how much is a camtono? And how on TATOOINE could it have anything to do with ICE CREAM!?</t>
        </is>
      </c>
      <c r="V1730" s="47">
        <f>IF(AND(P1730&gt;=Calendar!$K$2,P1730&lt;EDATE(Calendar!$K$2,1),OR(Calendar!$K$4="*",N1730=Calendar!$K$4)),P1730*100+COUNTIFS($P$6:$P$3267,P1730,$Q$6:$Q$3267,"&lt;="&amp;Q1730,$N$6:$N$3267,Calendar!$K$4),"")</f>
        <v/>
      </c>
      <c r="W1730" s="47">
        <f>IF(AND(B1730=Queue!$C$4,OR(Queue!$K$4="*",N1730=Queue!$K$4)),Q1730,"")</f>
        <v/>
      </c>
    </row>
    <row r="1731">
      <c r="A1731" s="38">
        <f>IF(M1731="","",HYPERLINK("https://www.youtube.com/watch?v="&amp;M1731,"▶"))</f>
        <v/>
      </c>
      <c r="B1731" s="39">
        <f>IF(C1731&lt;&gt;"",C1731,IF(P1731&lt;=IFERROR(INDEX(tblChannels[Watched Through],MATCH(N1731,tblChannels[Channel ID],0)),0),"Watched","Unwatched"))</f>
        <v/>
      </c>
      <c r="C1731" s="40" t="n"/>
      <c r="D1731" s="41" t="n"/>
      <c r="E1731" s="42" t="n">
        <v>43788.72291666667</v>
      </c>
      <c r="F1731" s="50" t="inlineStr">
        <is>
          <t>Super Carlin Brothers</t>
        </is>
      </c>
      <c r="G1731" t="inlineStr">
        <is>
          <t>Was Percy Under The Imperius Curse? | Harry Potter Theory</t>
        </is>
      </c>
      <c r="H1731" s="44" t="n">
        <v>0.008773148148148148</v>
      </c>
      <c r="I1731" s="45" t="n">
        <v>1235006</v>
      </c>
      <c r="J1731" s="45" t="n">
        <v>37866</v>
      </c>
      <c r="K1731" s="45" t="n">
        <v>5829</v>
      </c>
      <c r="L1731" s="46" t="n"/>
      <c r="M1731" s="47" t="n"/>
      <c r="N1731" s="47" t="inlineStr">
        <is>
          <t>UCKZo4N0lVPccBkSiuyVh4yg</t>
        </is>
      </c>
      <c r="O1731" s="48" t="n">
        <v>43788.93125</v>
      </c>
      <c r="P1731" s="49" t="n">
        <v>43788</v>
      </c>
      <c r="Q1731" s="47" t="n">
        <v>1537</v>
      </c>
      <c r="R1731" s="47" t="inlineStr">
        <is>
          <t>No Video ID yet</t>
        </is>
      </c>
      <c r="S1731" s="49" t="n"/>
      <c r="T1731" s="49" t="n"/>
      <c r="U1731" s="47" t="inlineStr">
        <is>
          <t>Today J dives into the Wizarding World of Harry Potter to try and determine if Ron's older brother Percy Weasley was acting under the influence of the Imperius Curse. Edited by: J Carlin</t>
        </is>
      </c>
      <c r="V1731" s="47">
        <f>IF(AND(P1731&gt;=Calendar!$K$2,P1731&lt;EDATE(Calendar!$K$2,1),OR(Calendar!$K$4="*",N1731=Calendar!$K$4)),P1731*100+COUNTIFS($P$6:$P$3267,P1731,$Q$6:$Q$3267,"&lt;="&amp;Q1731,$N$6:$N$3267,Calendar!$K$4),"")</f>
        <v/>
      </c>
      <c r="W1731" s="47">
        <f>IF(AND(B1731=Queue!$C$4,OR(Queue!$K$4="*",N1731=Queue!$K$4)),Q1731,"")</f>
        <v/>
      </c>
    </row>
    <row r="1732">
      <c r="A1732" s="38">
        <f>IF(M1732="","",HYPERLINK("https://www.youtube.com/watch?v="&amp;M1732,"▶"))</f>
        <v/>
      </c>
      <c r="B1732" s="39">
        <f>IF(C1732&lt;&gt;"",C1732,IF(P1732&lt;=IFERROR(INDEX(tblChannels[Watched Through],MATCH(N1732,tblChannels[Channel ID],0)),0),"Watched","Unwatched"))</f>
        <v/>
      </c>
      <c r="C1732" s="40" t="n"/>
      <c r="D1732" s="41" t="n"/>
      <c r="E1732" s="42" t="n">
        <v>43783.75</v>
      </c>
      <c r="F1732" s="50" t="inlineStr">
        <is>
          <t>Super Carlin Brothers</t>
        </is>
      </c>
      <c r="G1732" t="inlineStr">
        <is>
          <t>Palpatine CREATED Baby Yoda | Star Wars Film Theory</t>
        </is>
      </c>
      <c r="H1732" s="44" t="n">
        <v>0.008680555555555556</v>
      </c>
      <c r="I1732" s="45" t="n">
        <v>563108</v>
      </c>
      <c r="J1732" s="45" t="n">
        <v>17954</v>
      </c>
      <c r="K1732" s="45" t="n">
        <v>2035</v>
      </c>
      <c r="L1732" s="46" t="n"/>
      <c r="M1732" s="47" t="n"/>
      <c r="N1732" s="47" t="inlineStr">
        <is>
          <t>UCKZo4N0lVPccBkSiuyVh4yg</t>
        </is>
      </c>
      <c r="O1732" s="48" t="n">
        <v>43783.95833333334</v>
      </c>
      <c r="P1732" s="49" t="n">
        <v>43783</v>
      </c>
      <c r="Q1732" s="47" t="n">
        <v>1536</v>
      </c>
      <c r="R1732" s="47" t="inlineStr">
        <is>
          <t>No Video ID yet</t>
        </is>
      </c>
      <c r="S1732" s="49" t="n"/>
      <c r="T1732" s="49" t="n"/>
      <c r="U1732" s="47" t="inlineStr">
        <is>
          <t>Use our link or text code scb to 500-500 to get a free book and 30-day free trial. Today Ben dives into the Star Wars Galaxy to discuss the ending of Episode 1 of Star Wars: The Mandalorian and tries to reveal where that lil baby Yoda guy came from!</t>
        </is>
      </c>
      <c r="V1732" s="47">
        <f>IF(AND(P1732&gt;=Calendar!$K$2,P1732&lt;EDATE(Calendar!$K$2,1),OR(Calendar!$K$4="*",N1732=Calendar!$K$4)),P1732*100+COUNTIFS($P$6:$P$3267,P1732,$Q$6:$Q$3267,"&lt;="&amp;Q1732,$N$6:$N$3267,Calendar!$K$4),"")</f>
        <v/>
      </c>
      <c r="W1732" s="47">
        <f>IF(AND(B1732=Queue!$C$4,OR(Queue!$K$4="*",N1732=Queue!$K$4)),Q1732,"")</f>
        <v/>
      </c>
    </row>
    <row r="1733">
      <c r="A1733" s="38">
        <f>IF(M1733="","",HYPERLINK("https://www.youtube.com/watch?v="&amp;M1733,"▶"))</f>
        <v/>
      </c>
      <c r="B1733" s="39">
        <f>IF(C1733&lt;&gt;"",C1733,IF(P1733&lt;=IFERROR(INDEX(tblChannels[Watched Through],MATCH(N1733,tblChannels[Channel ID],0)),0),"Watched","Unwatched"))</f>
        <v/>
      </c>
      <c r="C1733" s="40" t="n"/>
      <c r="D1733" s="41" t="n"/>
      <c r="E1733" s="42" t="n">
        <v>43781.71736111111</v>
      </c>
      <c r="F1733" s="50" t="inlineStr">
        <is>
          <t>Super Carlin Brothers</t>
        </is>
      </c>
      <c r="G1733" t="inlineStr">
        <is>
          <t>HOGWARTS EXACT LOCATION REVEALED | Harry Potter Theory</t>
        </is>
      </c>
      <c r="H1733" s="44" t="n">
        <v>0.007951388888888888</v>
      </c>
      <c r="I1733" s="45" t="n">
        <v>641406</v>
      </c>
      <c r="J1733" s="45" t="n">
        <v>25398</v>
      </c>
      <c r="K1733" s="45" t="n">
        <v>2512</v>
      </c>
      <c r="L1733" s="46" t="n"/>
      <c r="M1733" s="47" t="n"/>
      <c r="N1733" s="47" t="inlineStr">
        <is>
          <t>UCKZo4N0lVPccBkSiuyVh4yg</t>
        </is>
      </c>
      <c r="O1733" s="48" t="n">
        <v>43781.92569444444</v>
      </c>
      <c r="P1733" s="49" t="n">
        <v>43781</v>
      </c>
      <c r="Q1733" s="47" t="n">
        <v>1535</v>
      </c>
      <c r="R1733" s="47" t="inlineStr">
        <is>
          <t>No Video ID yet</t>
        </is>
      </c>
      <c r="S1733" s="49" t="n"/>
      <c r="T1733" s="49" t="n"/>
      <c r="U1733" s="47" t="inlineStr">
        <is>
          <t>Get Three Months of ExpressVPN for FREE by visiting Today J dives into the Wizarding World of Harry Potter to try and uncover one of the oldest mysteries in the books: Where is the exact location of Hogwarts castle?</t>
        </is>
      </c>
      <c r="V1733" s="47">
        <f>IF(AND(P1733&gt;=Calendar!$K$2,P1733&lt;EDATE(Calendar!$K$2,1),OR(Calendar!$K$4="*",N1733=Calendar!$K$4)),P1733*100+COUNTIFS($P$6:$P$3267,P1733,$Q$6:$Q$3267,"&lt;="&amp;Q1733,$N$6:$N$3267,Calendar!$K$4),"")</f>
        <v/>
      </c>
      <c r="W1733" s="47">
        <f>IF(AND(B1733=Queue!$C$4,OR(Queue!$K$4="*",N1733=Queue!$K$4)),Q1733,"")</f>
        <v/>
      </c>
    </row>
    <row r="1734">
      <c r="A1734" s="38">
        <f>IF(M1734="","",HYPERLINK("https://www.youtube.com/watch?v="&amp;M1734,"▶"))</f>
        <v/>
      </c>
      <c r="B1734" s="39">
        <f>IF(C1734&lt;&gt;"",C1734,IF(P1734&lt;=IFERROR(INDEX(tblChannels[Watched Through],MATCH(N1734,tblChannels[Channel ID],0)),0),"Watched","Unwatched"))</f>
        <v/>
      </c>
      <c r="C1734" s="40" t="n"/>
      <c r="D1734" s="41" t="n"/>
      <c r="E1734" s="42" t="n">
        <v>43776.625</v>
      </c>
      <c r="F1734" s="50" t="inlineStr">
        <is>
          <t>Super Carlin Brothers</t>
        </is>
      </c>
      <c r="G1734" t="inlineStr">
        <is>
          <t>How To Become An Animagus | Harry Potter Explained</t>
        </is>
      </c>
      <c r="H1734" s="44" t="n">
        <v>0.00917824074074074</v>
      </c>
      <c r="I1734" s="45" t="n">
        <v>1263654</v>
      </c>
      <c r="J1734" s="45" t="n">
        <v>37050</v>
      </c>
      <c r="K1734" s="45" t="n">
        <v>6214</v>
      </c>
      <c r="L1734" s="46" t="n"/>
      <c r="M1734" s="47" t="n"/>
      <c r="N1734" s="47" t="inlineStr">
        <is>
          <t>UCKZo4N0lVPccBkSiuyVh4yg</t>
        </is>
      </c>
      <c r="O1734" s="48" t="n">
        <v>43776.83333333334</v>
      </c>
      <c r="P1734" s="49" t="n">
        <v>43776</v>
      </c>
      <c r="Q1734" s="47" t="n">
        <v>1534</v>
      </c>
      <c r="R1734" s="47" t="inlineStr">
        <is>
          <t>No Video ID yet</t>
        </is>
      </c>
      <c r="S1734" s="49" t="n"/>
      <c r="T1734" s="49" t="n"/>
      <c r="U1734" s="47" t="inlineStr">
        <is>
          <t>Go to www.EscapeTheInvasion.com/SCB for 20% off your first box! Or click here :: Today Ben dives into the Wizarding World of Harry Potter to discuss the Marauders and how they became animagi! #HarryPotter #BenFish</t>
        </is>
      </c>
      <c r="V1734" s="47">
        <f>IF(AND(P1734&gt;=Calendar!$K$2,P1734&lt;EDATE(Calendar!$K$2,1),OR(Calendar!$K$4="*",N1734=Calendar!$K$4)),P1734*100+COUNTIFS($P$6:$P$3267,P1734,$Q$6:$Q$3267,"&lt;="&amp;Q1734,$N$6:$N$3267,Calendar!$K$4),"")</f>
        <v/>
      </c>
      <c r="W1734" s="47">
        <f>IF(AND(B1734=Queue!$C$4,OR(Queue!$K$4="*",N1734=Queue!$K$4)),Q1734,"")</f>
        <v/>
      </c>
    </row>
    <row r="1735">
      <c r="A1735" s="38">
        <f>IF(M1735="","",HYPERLINK("https://www.youtube.com/watch?v="&amp;M1735,"▶"))</f>
        <v/>
      </c>
      <c r="B1735" s="39">
        <f>IF(C1735&lt;&gt;"",C1735,IF(P1735&lt;=IFERROR(INDEX(tblChannels[Watched Through],MATCH(N1735,tblChannels[Channel ID],0)),0),"Watched","Unwatched"))</f>
        <v/>
      </c>
      <c r="C1735" s="40" t="n"/>
      <c r="D1735" s="41" t="n"/>
      <c r="E1735" s="42" t="n">
        <v>43774.625</v>
      </c>
      <c r="F1735" s="50" t="inlineStr">
        <is>
          <t>Super Carlin Brothers</t>
        </is>
      </c>
      <c r="G1735" t="inlineStr">
        <is>
          <t>Pixar Theory: GERI IS DEAD!?</t>
        </is>
      </c>
      <c r="H1735" s="44" t="n">
        <v>0.007025462962962963</v>
      </c>
      <c r="I1735" s="45" t="n">
        <v>818782</v>
      </c>
      <c r="J1735" s="45" t="n">
        <v>24461</v>
      </c>
      <c r="K1735" s="45" t="n">
        <v>1611</v>
      </c>
      <c r="L1735" s="46" t="n"/>
      <c r="M1735" s="47" t="n"/>
      <c r="N1735" s="47" t="inlineStr">
        <is>
          <t>UCKZo4N0lVPccBkSiuyVh4yg</t>
        </is>
      </c>
      <c r="O1735" s="48" t="n">
        <v>43774.83333333334</v>
      </c>
      <c r="P1735" s="49" t="n">
        <v>43774</v>
      </c>
      <c r="Q1735" s="47" t="n">
        <v>1533</v>
      </c>
      <c r="R1735" s="47" t="inlineStr">
        <is>
          <t>No Video ID yet</t>
        </is>
      </c>
      <c r="S1735" s="49" t="n"/>
      <c r="T1735" s="49" t="n"/>
      <c r="U1735" s="47" t="inlineStr">
        <is>
          <t>Today J dives into the world of Pixar's Toy Story, to discuss the fate of the beloved Geri from Geri's Game, the Pixar short that started it all!</t>
        </is>
      </c>
      <c r="V1735" s="47">
        <f>IF(AND(P1735&gt;=Calendar!$K$2,P1735&lt;EDATE(Calendar!$K$2,1),OR(Calendar!$K$4="*",N1735=Calendar!$K$4)),P1735*100+COUNTIFS($P$6:$P$3267,P1735,$Q$6:$Q$3267,"&lt;="&amp;Q1735,$N$6:$N$3267,Calendar!$K$4),"")</f>
        <v/>
      </c>
      <c r="W1735" s="47">
        <f>IF(AND(B1735=Queue!$C$4,OR(Queue!$K$4="*",N1735=Queue!$K$4)),Q1735,"")</f>
        <v/>
      </c>
    </row>
    <row r="1736">
      <c r="A1736" s="38">
        <f>IF(M1736="","",HYPERLINK("https://www.youtube.com/watch?v="&amp;M1736,"▶"))</f>
        <v/>
      </c>
      <c r="B1736" s="39">
        <f>IF(C1736&lt;&gt;"",C1736,IF(P1736&lt;=IFERROR(INDEX(tblChannels[Watched Through],MATCH(N1736,tblChannels[Channel ID],0)),0),"Watched","Unwatched"))</f>
        <v/>
      </c>
      <c r="C1736" s="40" t="n"/>
      <c r="D1736" s="41" t="n"/>
      <c r="E1736" s="42" t="n">
        <v>43774.41388888889</v>
      </c>
      <c r="F1736" s="52" t="inlineStr">
        <is>
          <t>Super Carlin Gaming</t>
        </is>
      </c>
      <c r="G1736" t="inlineStr">
        <is>
          <t>THE FINAL BATTLE | Pokémon X Nuzlocke #45</t>
        </is>
      </c>
      <c r="H1736" s="44" t="n">
        <v>0.01834490740740741</v>
      </c>
      <c r="I1736" s="45" t="n">
        <v>19930</v>
      </c>
      <c r="J1736" s="45" t="n">
        <v>683</v>
      </c>
      <c r="K1736" s="45" t="n">
        <v>192</v>
      </c>
      <c r="L1736" s="46" t="n"/>
      <c r="M1736" s="47" t="n"/>
      <c r="N1736" s="47" t="inlineStr">
        <is>
          <t>UCor_9jRnNNZVzTuQ92PKsaQ</t>
        </is>
      </c>
      <c r="O1736" s="48" t="n">
        <v>43774.62222222222</v>
      </c>
      <c r="P1736" s="49" t="n">
        <v>43774</v>
      </c>
      <c r="Q1736" s="47" t="n">
        <v>1532</v>
      </c>
      <c r="R1736" s="47" t="inlineStr">
        <is>
          <t>No Video ID yet</t>
        </is>
      </c>
      <c r="S1736" s="49" t="n"/>
      <c r="T1736" s="49" t="n"/>
      <c r="U1736" s="47" t="inlineStr">
        <is>
          <t>This is it - win or lose its the FINAL BATTLE with the Champion of the Kalos Region! Is the team ready to take her on, or will she be the ultimate hurdle before the finish line?</t>
        </is>
      </c>
      <c r="V1736" s="47">
        <f>IF(AND(P1736&gt;=Calendar!$K$2,P1736&lt;EDATE(Calendar!$K$2,1),OR(Calendar!$K$4="*",N1736=Calendar!$K$4)),P1736*100+COUNTIFS($P$6:$P$3267,P1736,$Q$6:$Q$3267,"&lt;="&amp;Q1736,$N$6:$N$3267,Calendar!$K$4),"")</f>
        <v/>
      </c>
      <c r="W1736" s="47">
        <f>IF(AND(B1736=Queue!$C$4,OR(Queue!$K$4="*",N1736=Queue!$K$4)),Q1736,"")</f>
        <v/>
      </c>
    </row>
    <row r="1737">
      <c r="A1737" s="38">
        <f>IF(M1737="","",HYPERLINK("https://www.youtube.com/watch?v="&amp;M1737,"▶"))</f>
        <v/>
      </c>
      <c r="B1737" s="39">
        <f>IF(C1737&lt;&gt;"",C1737,IF(P1737&lt;=IFERROR(INDEX(tblChannels[Watched Through],MATCH(N1737,tblChannels[Channel ID],0)),0),"Watched","Unwatched"))</f>
        <v/>
      </c>
      <c r="C1737" s="40" t="n"/>
      <c r="D1737" s="41" t="n"/>
      <c r="E1737" s="42" t="n">
        <v>43770.42222222222</v>
      </c>
      <c r="F1737" s="52" t="inlineStr">
        <is>
          <t>Super Carlin Gaming</t>
        </is>
      </c>
      <c r="G1737" t="inlineStr">
        <is>
          <t>ELITE FOUR - Part 2 |  Pokémon X Nuzlocke #44</t>
        </is>
      </c>
      <c r="H1737" s="44" t="n">
        <v>0.01391203703703704</v>
      </c>
      <c r="I1737" s="45" t="n">
        <v>13561</v>
      </c>
      <c r="J1737" s="45" t="n">
        <v>532</v>
      </c>
      <c r="K1737" s="45" t="n">
        <v>58</v>
      </c>
      <c r="L1737" s="46" t="n"/>
      <c r="M1737" s="47" t="n"/>
      <c r="N1737" s="47" t="inlineStr">
        <is>
          <t>UCor_9jRnNNZVzTuQ92PKsaQ</t>
        </is>
      </c>
      <c r="O1737" s="48" t="n">
        <v>43770.58888888889</v>
      </c>
      <c r="P1737" s="49" t="n">
        <v>43770</v>
      </c>
      <c r="Q1737" s="47" t="n">
        <v>1531</v>
      </c>
      <c r="R1737" s="47" t="inlineStr">
        <is>
          <t>No Video ID yet</t>
        </is>
      </c>
      <c r="S1737" s="49" t="n"/>
      <c r="T1737" s="49" t="n"/>
      <c r="U1737" s="47" t="inlineStr">
        <is>
          <t>Two down and two to go - With the team still mourning the death of Xylia, are they ready to take on Siebold and Drasna?</t>
        </is>
      </c>
      <c r="V1737" s="47">
        <f>IF(AND(P1737&gt;=Calendar!$K$2,P1737&lt;EDATE(Calendar!$K$2,1),OR(Calendar!$K$4="*",N1737=Calendar!$K$4)),P1737*100+COUNTIFS($P$6:$P$3267,P1737,$Q$6:$Q$3267,"&lt;="&amp;Q1737,$N$6:$N$3267,Calendar!$K$4),"")</f>
        <v/>
      </c>
      <c r="W1737" s="47">
        <f>IF(AND(B1737=Queue!$C$4,OR(Queue!$K$4="*",N1737=Queue!$K$4)),Q1737,"")</f>
        <v/>
      </c>
    </row>
    <row r="1738">
      <c r="A1738" s="38">
        <f>IF(M1738="","",HYPERLINK("https://www.youtube.com/watch?v="&amp;M1738,"▶"))</f>
        <v/>
      </c>
      <c r="B1738" s="39">
        <f>IF(C1738&lt;&gt;"",C1738,IF(P1738&lt;=IFERROR(INDEX(tblChannels[Watched Through],MATCH(N1738,tblChannels[Channel ID],0)),0),"Watched","Unwatched"))</f>
        <v/>
      </c>
      <c r="C1738" s="40" t="n"/>
      <c r="D1738" s="41" t="n"/>
      <c r="E1738" s="42" t="n">
        <v>43769.8625</v>
      </c>
      <c r="F1738" s="50" t="inlineStr">
        <is>
          <t>Super Carlin Brothers</t>
        </is>
      </c>
      <c r="G1738" t="inlineStr">
        <is>
          <t>J vs Ben: The HARDEST Neville Longbottom Trivia Quiz EVER</t>
        </is>
      </c>
      <c r="H1738" s="44" t="n">
        <v>0.01167824074074074</v>
      </c>
      <c r="I1738" s="45" t="n">
        <v>377702</v>
      </c>
      <c r="J1738" s="45" t="n">
        <v>13531</v>
      </c>
      <c r="K1738" s="45" t="n">
        <v>1707</v>
      </c>
      <c r="L1738" s="46" t="n"/>
      <c r="M1738" s="47" t="n"/>
      <c r="N1738" s="47" t="inlineStr">
        <is>
          <t>UCKZo4N0lVPccBkSiuyVh4yg</t>
        </is>
      </c>
      <c r="O1738" s="48" t="n">
        <v>43770.02916666667</v>
      </c>
      <c r="P1738" s="49" t="n">
        <v>43769</v>
      </c>
      <c r="Q1738" s="47" t="n">
        <v>1530</v>
      </c>
      <c r="R1738" s="47" t="inlineStr">
        <is>
          <t>No Video ID yet</t>
        </is>
      </c>
      <c r="S1738" s="49" t="n"/>
      <c r="T1738" s="49" t="n"/>
      <c r="U1738" s="47" t="inlineStr">
        <is>
          <t>Today J and Ben face off in the HARDEST Neville Longbottom quiz to find out who knows the one true Gryffindor the best! Edited by: Scott Niswander</t>
        </is>
      </c>
      <c r="V1738" s="47">
        <f>IF(AND(P1738&gt;=Calendar!$K$2,P1738&lt;EDATE(Calendar!$K$2,1),OR(Calendar!$K$4="*",N1738=Calendar!$K$4)),P1738*100+COUNTIFS($P$6:$P$3267,P1738,$Q$6:$Q$3267,"&lt;="&amp;Q1738,$N$6:$N$3267,Calendar!$K$4),"")</f>
        <v/>
      </c>
      <c r="W1738" s="47">
        <f>IF(AND(B1738=Queue!$C$4,OR(Queue!$K$4="*",N1738=Queue!$K$4)),Q1738,"")</f>
        <v/>
      </c>
    </row>
    <row r="1739">
      <c r="A1739" s="38">
        <f>IF(M1739="","",HYPERLINK("https://www.youtube.com/watch?v="&amp;M1739,"▶"))</f>
        <v/>
      </c>
      <c r="B1739" s="39">
        <f>IF(C1739&lt;&gt;"",C1739,IF(P1739&lt;=IFERROR(INDEX(tblChannels[Watched Through],MATCH(N1739,tblChannels[Channel ID],0)),0),"Watched","Unwatched"))</f>
        <v/>
      </c>
      <c r="C1739" s="40" t="n"/>
      <c r="D1739" s="41" t="n"/>
      <c r="E1739" s="42" t="n">
        <v>43769.41319444445</v>
      </c>
      <c r="F1739" s="52" t="inlineStr">
        <is>
          <t>Super Carlin Gaming</t>
        </is>
      </c>
      <c r="G1739" t="inlineStr">
        <is>
          <t>THE ELITE FOUR |  Pokémon X Nuzlocke #43</t>
        </is>
      </c>
      <c r="H1739" s="44" t="n">
        <v>0.02549768518518519</v>
      </c>
      <c r="I1739" s="45" t="n">
        <v>15796</v>
      </c>
      <c r="J1739" s="45" t="n">
        <v>535</v>
      </c>
      <c r="K1739" s="45" t="n">
        <v>120</v>
      </c>
      <c r="L1739" s="46" t="n"/>
      <c r="M1739" s="47" t="n"/>
      <c r="N1739" s="47" t="inlineStr">
        <is>
          <t>UCor_9jRnNNZVzTuQ92PKsaQ</t>
        </is>
      </c>
      <c r="O1739" s="48" t="n">
        <v>43769.57986111111</v>
      </c>
      <c r="P1739" s="49" t="n">
        <v>43769</v>
      </c>
      <c r="Q1739" s="47" t="n">
        <v>1529</v>
      </c>
      <c r="R1739" s="47" t="inlineStr">
        <is>
          <t>No Video ID yet</t>
        </is>
      </c>
      <c r="S1739" s="49" t="n"/>
      <c r="T1739" s="49" t="n"/>
      <c r="U1739" s="47" t="inlineStr">
        <is>
          <t>Today J and the team face down some the best the Kalos Region has to offer, and enter the Elite 4! Are we ready or will they overpower us!?</t>
        </is>
      </c>
      <c r="V1739" s="47">
        <f>IF(AND(P1739&gt;=Calendar!$K$2,P1739&lt;EDATE(Calendar!$K$2,1),OR(Calendar!$K$4="*",N1739=Calendar!$K$4)),P1739*100+COUNTIFS($P$6:$P$3267,P1739,$Q$6:$Q$3267,"&lt;="&amp;Q1739,$N$6:$N$3267,Calendar!$K$4),"")</f>
        <v/>
      </c>
      <c r="W1739" s="47">
        <f>IF(AND(B1739=Queue!$C$4,OR(Queue!$K$4="*",N1739=Queue!$K$4)),Q1739,"")</f>
        <v/>
      </c>
    </row>
    <row r="1740">
      <c r="A1740" s="38">
        <f>IF(M1740="","",HYPERLINK("https://www.youtube.com/watch?v="&amp;M1740,"▶"))</f>
        <v/>
      </c>
      <c r="B1740" s="39">
        <f>IF(C1740&lt;&gt;"",C1740,IF(P1740&lt;=IFERROR(INDEX(tblChannels[Watched Through],MATCH(N1740,tblChannels[Channel ID],0)),0),"Watched","Unwatched"))</f>
        <v/>
      </c>
      <c r="C1740" s="40" t="n"/>
      <c r="D1740" s="41" t="n"/>
      <c r="E1740" s="42" t="n">
        <v>43768.55694444444</v>
      </c>
      <c r="F1740" s="53" t="inlineStr">
        <is>
          <t>Jonathan Carlin</t>
        </is>
      </c>
      <c r="G1740" t="inlineStr">
        <is>
          <t>WEEK OF WOTSO!</t>
        </is>
      </c>
      <c r="H1740" s="44" t="n">
        <v>0.004421296296296296</v>
      </c>
      <c r="I1740" s="45" t="n">
        <v>23764</v>
      </c>
      <c r="J1740" s="45" t="n">
        <v>1349</v>
      </c>
      <c r="K1740" s="45" t="n">
        <v>133</v>
      </c>
      <c r="L1740" s="46" t="n"/>
      <c r="M1740" s="47" t="n"/>
      <c r="N1740" s="47" t="inlineStr">
        <is>
          <t>UCYPKFe86e6nm4TVUYKLsFUQ</t>
        </is>
      </c>
      <c r="O1740" s="48" t="n">
        <v>43768.72361111111</v>
      </c>
      <c r="P1740" s="49" t="n">
        <v>43768</v>
      </c>
      <c r="Q1740" s="47" t="n">
        <v>1528</v>
      </c>
      <c r="R1740" s="47" t="inlineStr">
        <is>
          <t>No Video ID yet</t>
        </is>
      </c>
      <c r="S1740" s="49" t="n"/>
      <c r="T1740" s="49" t="n"/>
      <c r="U1740" s="47" t="inlineStr">
        <is>
          <t>This week the SCB crew hosts Issac Carlson of Wotso Videos and Beth, J and Luke head to Kentucky to visit family!</t>
        </is>
      </c>
      <c r="V1740" s="47">
        <f>IF(AND(P1740&gt;=Calendar!$K$2,P1740&lt;EDATE(Calendar!$K$2,1),OR(Calendar!$K$4="*",N1740=Calendar!$K$4)),P1740*100+COUNTIFS($P$6:$P$3267,P1740,$Q$6:$Q$3267,"&lt;="&amp;Q1740,$N$6:$N$3267,Calendar!$K$4),"")</f>
        <v/>
      </c>
      <c r="W1740" s="47">
        <f>IF(AND(B1740=Queue!$C$4,OR(Queue!$K$4="*",N1740=Queue!$K$4)),Q1740,"")</f>
        <v/>
      </c>
    </row>
    <row r="1741">
      <c r="A1741" s="38">
        <f>IF(M1741="","",HYPERLINK("https://www.youtube.com/watch?v="&amp;M1741,"▶"))</f>
        <v/>
      </c>
      <c r="B1741" s="39">
        <f>IF(C1741&lt;&gt;"",C1741,IF(P1741&lt;=IFERROR(INDEX(tblChannels[Watched Through],MATCH(N1741,tblChannels[Channel ID],0)),0),"Watched","Unwatched"))</f>
        <v/>
      </c>
      <c r="C1741" s="40" t="n"/>
      <c r="D1741" s="41" t="n"/>
      <c r="E1741" s="42" t="n">
        <v>43767.66875</v>
      </c>
      <c r="F1741" s="50" t="inlineStr">
        <is>
          <t>Super Carlin Brothers</t>
        </is>
      </c>
      <c r="G1741" t="inlineStr">
        <is>
          <t>Top 10 Fred &amp; George Moments In Harry Potter</t>
        </is>
      </c>
      <c r="H1741" s="44" t="n">
        <v>0.0102662037037037</v>
      </c>
      <c r="I1741" s="45" t="n">
        <v>644993</v>
      </c>
      <c r="J1741" s="45" t="n">
        <v>20913</v>
      </c>
      <c r="K1741" s="45" t="n">
        <v>2534</v>
      </c>
      <c r="L1741" s="46" t="n"/>
      <c r="M1741" s="47" t="n"/>
      <c r="N1741" s="47" t="inlineStr">
        <is>
          <t>UCKZo4N0lVPccBkSiuyVh4yg</t>
        </is>
      </c>
      <c r="O1741" s="48" t="n">
        <v>43767.83541666667</v>
      </c>
      <c r="P1741" s="49" t="n">
        <v>43767</v>
      </c>
      <c r="Q1741" s="47" t="n">
        <v>1527</v>
      </c>
      <c r="R1741" s="47" t="inlineStr">
        <is>
          <t>No Video ID yet</t>
        </is>
      </c>
      <c r="S1741" s="49" t="n"/>
      <c r="T1741" s="49" t="n"/>
      <c r="U1741" s="47" t="inlineStr">
        <is>
          <t>Go to www.EscapeTheInvasion.com/SCB for 20% off your first box! Or click here :: Today J dives into the Wizarding World of Harry Potter to celebrate the clown princes of Hogwarts: Fred and George Weasley and counts down their Top 10 Moments throughout the series. Join the SCB T-Shirt Club and get an Exclusive new T-shirt automatically shipped to your day every 3-Months!</t>
        </is>
      </c>
      <c r="V1741" s="47">
        <f>IF(AND(P1741&gt;=Calendar!$K$2,P1741&lt;EDATE(Calendar!$K$2,1),OR(Calendar!$K$4="*",N1741=Calendar!$K$4)),P1741*100+COUNTIFS($P$6:$P$3267,P1741,$Q$6:$Q$3267,"&lt;="&amp;Q1741,$N$6:$N$3267,Calendar!$K$4),"")</f>
        <v/>
      </c>
      <c r="W1741" s="47">
        <f>IF(AND(B1741=Queue!$C$4,OR(Queue!$K$4="*",N1741=Queue!$K$4)),Q1741,"")</f>
        <v/>
      </c>
    </row>
    <row r="1742">
      <c r="A1742" s="38">
        <f>IF(M1742="","",HYPERLINK("https://www.youtube.com/watch?v="&amp;M1742,"▶"))</f>
        <v/>
      </c>
      <c r="B1742" s="39">
        <f>IF(C1742&lt;&gt;"",C1742,IF(P1742&lt;=IFERROR(INDEX(tblChannels[Watched Through],MATCH(N1742,tblChannels[Channel ID],0)),0),"Watched","Unwatched"))</f>
        <v/>
      </c>
      <c r="C1742" s="40" t="n"/>
      <c r="D1742" s="41" t="n"/>
      <c r="E1742" s="42" t="n">
        <v>43762.88055555556</v>
      </c>
      <c r="F1742" s="50" t="inlineStr">
        <is>
          <t>Super Carlin Brothers</t>
        </is>
      </c>
      <c r="G1742" t="inlineStr">
        <is>
          <t>Pixar Fast Facts: Toy Story 4</t>
        </is>
      </c>
      <c r="H1742" s="44" t="n">
        <v>0.007094907407407407</v>
      </c>
      <c r="I1742" s="45" t="n">
        <v>151466</v>
      </c>
      <c r="J1742" s="45" t="n">
        <v>6120</v>
      </c>
      <c r="K1742" s="45" t="n">
        <v>532</v>
      </c>
      <c r="L1742" s="46" t="n"/>
      <c r="M1742" s="47" t="n"/>
      <c r="N1742" s="47" t="inlineStr">
        <is>
          <t>UCKZo4N0lVPccBkSiuyVh4yg</t>
        </is>
      </c>
      <c r="O1742" s="48" t="n">
        <v>43763.04722222222</v>
      </c>
      <c r="P1742" s="49" t="n">
        <v>43762</v>
      </c>
      <c r="Q1742" s="47" t="n">
        <v>1526</v>
      </c>
      <c r="R1742" s="47" t="inlineStr">
        <is>
          <t>No Video ID yet</t>
        </is>
      </c>
      <c r="S1742" s="49" t="n"/>
      <c r="T1742" s="49" t="n"/>
      <c r="U1742" s="47" t="inlineStr">
        <is>
          <t>Don’t forget to smash the like button! And ‘Subscribe’ for all sorts of Disney, Pixar, Star Wars, Harry Potter, and Marvel Action! Today Ben reveals all of the MANY Easter Eggs hidden throughout Toy Story 4! This movie was a GOLD MINE. We had so much fun uncovering them all. Let us know if we missed anything! Check out Wotso Videos HERE: Check out Seamus Video discovering Duke Caboom here: And check out Jace's Video finding Onward right here: Join the SCB T-Shirt Club and get an Exclusive new T-shirt automatically shipped to your day every 3-Months!</t>
        </is>
      </c>
      <c r="V1742" s="47">
        <f>IF(AND(P1742&gt;=Calendar!$K$2,P1742&lt;EDATE(Calendar!$K$2,1),OR(Calendar!$K$4="*",N1742=Calendar!$K$4)),P1742*100+COUNTIFS($P$6:$P$3267,P1742,$Q$6:$Q$3267,"&lt;="&amp;Q1742,$N$6:$N$3267,Calendar!$K$4),"")</f>
        <v/>
      </c>
      <c r="W1742" s="47">
        <f>IF(AND(B1742=Queue!$C$4,OR(Queue!$K$4="*",N1742=Queue!$K$4)),Q1742,"")</f>
        <v/>
      </c>
    </row>
    <row r="1743">
      <c r="A1743" s="38">
        <f>IF(M1743="","",HYPERLINK("https://www.youtube.com/watch?v="&amp;M1743,"▶"))</f>
        <v/>
      </c>
      <c r="B1743" s="39">
        <f>IF(C1743&lt;&gt;"",C1743,IF(P1743&lt;=IFERROR(INDEX(tblChannels[Watched Through],MATCH(N1743,tblChannels[Channel ID],0)),0),"Watched","Unwatched"))</f>
        <v/>
      </c>
      <c r="C1743" s="40" t="n"/>
      <c r="D1743" s="41" t="n"/>
      <c r="E1743" s="42" t="n">
        <v>43760.78055555555</v>
      </c>
      <c r="F1743" s="50" t="inlineStr">
        <is>
          <t>Super Carlin Brothers</t>
        </is>
      </c>
      <c r="G1743" t="inlineStr">
        <is>
          <t>Harry Potter Theory: Filch Is Actually A Poltergeist?!</t>
        </is>
      </c>
      <c r="H1743" s="44" t="n">
        <v>0.008530092592592593</v>
      </c>
      <c r="I1743" s="45" t="n">
        <v>773027</v>
      </c>
      <c r="J1743" s="45" t="n">
        <v>24803</v>
      </c>
      <c r="K1743" s="45" t="n">
        <v>2129</v>
      </c>
      <c r="L1743" s="46" t="n"/>
      <c r="M1743" s="47" t="n"/>
      <c r="N1743" s="47" t="inlineStr">
        <is>
          <t>UCKZo4N0lVPccBkSiuyVh4yg</t>
        </is>
      </c>
      <c r="O1743" s="48" t="n">
        <v>43760.94722222222</v>
      </c>
      <c r="P1743" s="49" t="n">
        <v>43760</v>
      </c>
      <c r="Q1743" s="47" t="n">
        <v>1525</v>
      </c>
      <c r="R1743" s="47" t="inlineStr">
        <is>
          <t>No Video ID yet</t>
        </is>
      </c>
      <c r="S1743" s="49" t="n"/>
      <c r="T1743" s="49" t="n"/>
      <c r="U1743" s="47" t="inlineStr">
        <is>
          <t>Go to and use code SCB to get $75 off! Today J dives into the Wizarding World of Harry Potter to discuss the cantankerous caretaker Argus Filch and ponders the possibility that he, like Peeves, is a Poltergeist. Edited by: J Carlin</t>
        </is>
      </c>
      <c r="V1743" s="47">
        <f>IF(AND(P1743&gt;=Calendar!$K$2,P1743&lt;EDATE(Calendar!$K$2,1),OR(Calendar!$K$4="*",N1743=Calendar!$K$4)),P1743*100+COUNTIFS($P$6:$P$3267,P1743,$Q$6:$Q$3267,"&lt;="&amp;Q1743,$N$6:$N$3267,Calendar!$K$4),"")</f>
        <v/>
      </c>
      <c r="W1743" s="47">
        <f>IF(AND(B1743=Queue!$C$4,OR(Queue!$K$4="*",N1743=Queue!$K$4)),Q1743,"")</f>
        <v/>
      </c>
    </row>
    <row r="1744">
      <c r="A1744" s="38">
        <f>IF(M1744="","",HYPERLINK("https://www.youtube.com/watch?v="&amp;M1744,"▶"))</f>
        <v/>
      </c>
      <c r="B1744" s="39">
        <f>IF(C1744&lt;&gt;"",C1744,IF(P1744&lt;=IFERROR(INDEX(tblChannels[Watched Through],MATCH(N1744,tblChannels[Channel ID],0)),0),"Watched","Unwatched"))</f>
        <v/>
      </c>
      <c r="C1744" s="40" t="n"/>
      <c r="D1744" s="41" t="n"/>
      <c r="E1744" s="42" t="n">
        <v>43759.54861111111</v>
      </c>
      <c r="F1744" s="52" t="inlineStr">
        <is>
          <t>Super Carlin Gaming</t>
        </is>
      </c>
      <c r="G1744" t="inlineStr">
        <is>
          <t>Hogwarts Founders CRASH A SHUTTLE in SIMS 4 | Episode #6</t>
        </is>
      </c>
      <c r="H1744" s="44" t="n">
        <v>0.0194212962962963</v>
      </c>
      <c r="I1744" s="45" t="n">
        <v>35923</v>
      </c>
      <c r="J1744" s="45" t="n">
        <v>1399</v>
      </c>
      <c r="K1744" s="45" t="n">
        <v>223</v>
      </c>
      <c r="L1744" s="46" t="n"/>
      <c r="M1744" s="47" t="n"/>
      <c r="N1744" s="47" t="inlineStr">
        <is>
          <t>UCor_9jRnNNZVzTuQ92PKsaQ</t>
        </is>
      </c>
      <c r="O1744" s="48" t="n">
        <v>43759.71527777778</v>
      </c>
      <c r="P1744" s="49" t="n">
        <v>43759</v>
      </c>
      <c r="Q1744" s="47" t="n">
        <v>1524</v>
      </c>
      <c r="R1744" s="47" t="inlineStr">
        <is>
          <t>No Video ID yet</t>
        </is>
      </c>
      <c r="S1744" s="49" t="n"/>
      <c r="T1744" s="49" t="n"/>
      <c r="U1744" s="47" t="inlineStr">
        <is>
          <t>Share us your Gilderoy Lockharts! #PrettyObvious J and Ben continue the founding of Hogwarts with Godric Gryffindor, Rowena Ravenclaw, Helga Hufflepuff and Salazar Slytherin! This week the girls get magical, Rowena makes some questionable decisions at work, and Godric is lord of the dance</t>
        </is>
      </c>
      <c r="V1744" s="47">
        <f>IF(AND(P1744&gt;=Calendar!$K$2,P1744&lt;EDATE(Calendar!$K$2,1),OR(Calendar!$K$4="*",N1744=Calendar!$K$4)),P1744*100+COUNTIFS($P$6:$P$3267,P1744,$Q$6:$Q$3267,"&lt;="&amp;Q1744,$N$6:$N$3267,Calendar!$K$4),"")</f>
        <v/>
      </c>
      <c r="W1744" s="47">
        <f>IF(AND(B1744=Queue!$C$4,OR(Queue!$K$4="*",N1744=Queue!$K$4)),Q1744,"")</f>
        <v/>
      </c>
    </row>
    <row r="1745">
      <c r="A1745" s="38">
        <f>IF(M1745="","",HYPERLINK("https://www.youtube.com/watch?v="&amp;M1745,"▶"))</f>
        <v/>
      </c>
      <c r="B1745" s="39">
        <f>IF(C1745&lt;&gt;"",C1745,IF(P1745&lt;=IFERROR(INDEX(tblChannels[Watched Through],MATCH(N1745,tblChannels[Channel ID],0)),0),"Watched","Unwatched"))</f>
        <v/>
      </c>
      <c r="C1745" s="40" t="n"/>
      <c r="D1745" s="41" t="n"/>
      <c r="E1745" s="42" t="n">
        <v>43759.44583333333</v>
      </c>
      <c r="F1745" s="53" t="inlineStr">
        <is>
          <t>Jonathan Carlin</t>
        </is>
      </c>
      <c r="G1745" t="inlineStr">
        <is>
          <t>Do Twins Run In Our Family?!</t>
        </is>
      </c>
      <c r="H1745" s="44" t="n">
        <v>0.0059375</v>
      </c>
      <c r="I1745" s="45" t="n">
        <v>68864</v>
      </c>
      <c r="J1745" s="45" t="n">
        <v>3294</v>
      </c>
      <c r="K1745" s="45" t="n">
        <v>447</v>
      </c>
      <c r="L1745" s="46" t="n"/>
      <c r="M1745" s="47" t="n"/>
      <c r="N1745" s="47" t="inlineStr">
        <is>
          <t>UCYPKFe86e6nm4TVUYKLsFUQ</t>
        </is>
      </c>
      <c r="O1745" s="48" t="n">
        <v>43759.6125</v>
      </c>
      <c r="P1745" s="49" t="n">
        <v>43759</v>
      </c>
      <c r="Q1745" s="47" t="n">
        <v>1523</v>
      </c>
      <c r="R1745" s="47" t="inlineStr">
        <is>
          <t>No Video ID yet</t>
        </is>
      </c>
      <c r="S1745" s="49" t="n"/>
      <c r="T1745" s="49" t="n"/>
      <c r="U1745" s="47" t="inlineStr">
        <is>
          <t>This week we celebrate the 100th episode of the Vlog, return to Go Fest AND answer all of your questions about the TWINS! Also.. did we buy a house?</t>
        </is>
      </c>
      <c r="V1745" s="47">
        <f>IF(AND(P1745&gt;=Calendar!$K$2,P1745&lt;EDATE(Calendar!$K$2,1),OR(Calendar!$K$4="*",N1745=Calendar!$K$4)),P1745*100+COUNTIFS($P$6:$P$3267,P1745,$Q$6:$Q$3267,"&lt;="&amp;Q1745,$N$6:$N$3267,Calendar!$K$4),"")</f>
        <v/>
      </c>
      <c r="W1745" s="47">
        <f>IF(AND(B1745=Queue!$C$4,OR(Queue!$K$4="*",N1745=Queue!$K$4)),Q1745,"")</f>
        <v/>
      </c>
    </row>
    <row r="1746">
      <c r="A1746" s="38">
        <f>IF(M1746="","",HYPERLINK("https://www.youtube.com/watch?v="&amp;M1746,"▶"))</f>
        <v/>
      </c>
      <c r="B1746" s="39">
        <f>IF(C1746&lt;&gt;"",C1746,IF(P1746&lt;=IFERROR(INDEX(tblChannels[Watched Through],MATCH(N1746,tblChannels[Channel ID],0)),0),"Watched","Unwatched"))</f>
        <v/>
      </c>
      <c r="C1746" s="40" t="n"/>
      <c r="D1746" s="41" t="n"/>
      <c r="E1746" s="42" t="n">
        <v>43755.74097222222</v>
      </c>
      <c r="F1746" s="50" t="inlineStr">
        <is>
          <t>Super Carlin Brothers</t>
        </is>
      </c>
      <c r="G1746" t="inlineStr">
        <is>
          <t>Nitwit Blubber Oddment Tweak Explained | Harry Potter Theory</t>
        </is>
      </c>
      <c r="H1746" s="44" t="n">
        <v>0.008437500000000001</v>
      </c>
      <c r="I1746" s="45" t="n">
        <v>523234</v>
      </c>
      <c r="J1746" s="45" t="n">
        <v>16646</v>
      </c>
      <c r="K1746" s="45" t="n">
        <v>2107</v>
      </c>
      <c r="L1746" s="46" t="n"/>
      <c r="M1746" s="47" t="n"/>
      <c r="N1746" s="47" t="inlineStr">
        <is>
          <t>UCKZo4N0lVPccBkSiuyVh4yg</t>
        </is>
      </c>
      <c r="O1746" s="48" t="n">
        <v>43755.90763888889</v>
      </c>
      <c r="P1746" s="49" t="n">
        <v>43755</v>
      </c>
      <c r="Q1746" s="47" t="n">
        <v>1522</v>
      </c>
      <c r="R1746" s="47" t="inlineStr">
        <is>
          <t>No Video ID yet</t>
        </is>
      </c>
      <c r="S1746" s="49" t="n"/>
      <c r="T1746" s="49" t="n"/>
      <c r="U1746" s="47" t="inlineStr">
        <is>
          <t>Hurry to to find out HOW LOW your Upstart rate is. You may recall these four bizarre words that Dumbledore chooses to address the student’s of Hogwarts after Harry is sorted into Gryffindor in his first year: Nitwit, Oddment, Blubber, and Tweak -- These words may be making a reference to each of the Hogwarts Houses and may have a much greater meaning than we might have thought. #harrypotter #wizardingworld Edited by: J Carlin</t>
        </is>
      </c>
      <c r="V1746" s="47">
        <f>IF(AND(P1746&gt;=Calendar!$K$2,P1746&lt;EDATE(Calendar!$K$2,1),OR(Calendar!$K$4="*",N1746=Calendar!$K$4)),P1746*100+COUNTIFS($P$6:$P$3267,P1746,$Q$6:$Q$3267,"&lt;="&amp;Q1746,$N$6:$N$3267,Calendar!$K$4),"")</f>
        <v/>
      </c>
      <c r="W1746" s="47">
        <f>IF(AND(B1746=Queue!$C$4,OR(Queue!$K$4="*",N1746=Queue!$K$4)),Q1746,"")</f>
        <v/>
      </c>
    </row>
    <row r="1747">
      <c r="A1747" s="38">
        <f>IF(M1747="","",HYPERLINK("https://www.youtube.com/watch?v="&amp;M1747,"▶"))</f>
        <v/>
      </c>
      <c r="B1747" s="39">
        <f>IF(C1747&lt;&gt;"",C1747,IF(P1747&lt;=IFERROR(INDEX(tblChannels[Watched Through],MATCH(N1747,tblChannels[Channel ID],0)),0),"Watched","Unwatched"))</f>
        <v/>
      </c>
      <c r="C1747" s="40" t="n"/>
      <c r="D1747" s="41" t="n"/>
      <c r="E1747" s="42" t="n">
        <v>43753.83055555556</v>
      </c>
      <c r="F1747" s="50" t="inlineStr">
        <is>
          <t>Super Carlin Brothers</t>
        </is>
      </c>
      <c r="G1747" t="inlineStr">
        <is>
          <t>The Giant Squid Explained AT LAST | Harry Potter Theory</t>
        </is>
      </c>
      <c r="H1747" s="44" t="n">
        <v>0.009571759259259259</v>
      </c>
      <c r="I1747" s="45" t="n">
        <v>1064937</v>
      </c>
      <c r="J1747" s="45" t="n">
        <v>31920</v>
      </c>
      <c r="K1747" s="45" t="n">
        <v>3201</v>
      </c>
      <c r="L1747" s="46" t="n"/>
      <c r="M1747" s="47" t="n"/>
      <c r="N1747" s="47" t="inlineStr">
        <is>
          <t>UCKZo4N0lVPccBkSiuyVh4yg</t>
        </is>
      </c>
      <c r="O1747" s="48" t="n">
        <v>43753.99722222222</v>
      </c>
      <c r="P1747" s="49" t="n">
        <v>43753</v>
      </c>
      <c r="Q1747" s="47" t="n">
        <v>1521</v>
      </c>
      <c r="R1747" s="47" t="inlineStr">
        <is>
          <t>No Video ID yet</t>
        </is>
      </c>
      <c r="S1747" s="49" t="n"/>
      <c r="T1747" s="49" t="n"/>
      <c r="U1747" s="47" t="inlineStr">
        <is>
          <t>Today J dives into the Black Lake of Harry Potter and tries to solve the mysteries of the GIANT SQUID and its purpose in the Wizarding World</t>
        </is>
      </c>
      <c r="V1747" s="47">
        <f>IF(AND(P1747&gt;=Calendar!$K$2,P1747&lt;EDATE(Calendar!$K$2,1),OR(Calendar!$K$4="*",N1747=Calendar!$K$4)),P1747*100+COUNTIFS($P$6:$P$3267,P1747,$Q$6:$Q$3267,"&lt;="&amp;Q1747,$N$6:$N$3267,Calendar!$K$4),"")</f>
        <v/>
      </c>
      <c r="W1747" s="47">
        <f>IF(AND(B1747=Queue!$C$4,OR(Queue!$K$4="*",N1747=Queue!$K$4)),Q1747,"")</f>
        <v/>
      </c>
    </row>
    <row r="1748">
      <c r="A1748" s="38">
        <f>IF(M1748="","",HYPERLINK("https://www.youtube.com/watch?v="&amp;M1748,"▶"))</f>
        <v/>
      </c>
      <c r="B1748" s="39">
        <f>IF(C1748&lt;&gt;"",C1748,IF(P1748&lt;=IFERROR(INDEX(tblChannels[Watched Through],MATCH(N1748,tblChannels[Channel ID],0)),0),"Watched","Unwatched"))</f>
        <v/>
      </c>
      <c r="C1748" s="40" t="n"/>
      <c r="D1748" s="41" t="n"/>
      <c r="E1748" s="42" t="n">
        <v>43752.49097222222</v>
      </c>
      <c r="F1748" s="53" t="inlineStr">
        <is>
          <t>Jonathan Carlin</t>
        </is>
      </c>
      <c r="G1748" t="inlineStr">
        <is>
          <t>FALL IS HERE</t>
        </is>
      </c>
      <c r="H1748" s="44" t="n">
        <v>0.005266203703703703</v>
      </c>
      <c r="I1748" s="45" t="n">
        <v>24198</v>
      </c>
      <c r="J1748" s="45" t="n">
        <v>1420</v>
      </c>
      <c r="K1748" s="45" t="n">
        <v>206</v>
      </c>
      <c r="L1748" s="46" t="n"/>
      <c r="M1748" s="47" t="n"/>
      <c r="N1748" s="47" t="inlineStr">
        <is>
          <t>UCYPKFe86e6nm4TVUYKLsFUQ</t>
        </is>
      </c>
      <c r="O1748" s="48" t="n">
        <v>43752.65763888889</v>
      </c>
      <c r="P1748" s="49" t="n">
        <v>43752</v>
      </c>
      <c r="Q1748" s="47" t="n">
        <v>1520</v>
      </c>
      <c r="R1748" s="47" t="inlineStr">
        <is>
          <t>No Video ID yet</t>
        </is>
      </c>
      <c r="S1748" s="49" t="n"/>
      <c r="T1748" s="49" t="n"/>
      <c r="U1748" s="47" t="inlineStr">
        <is>
          <t>Fall has finally arrived in Roanoke! This week the SCB team tries to drop a tshirt from a drone, and Beth and J head to JMU for a football game!</t>
        </is>
      </c>
      <c r="V1748" s="47">
        <f>IF(AND(P1748&gt;=Calendar!$K$2,P1748&lt;EDATE(Calendar!$K$2,1),OR(Calendar!$K$4="*",N1748=Calendar!$K$4)),P1748*100+COUNTIFS($P$6:$P$3267,P1748,$Q$6:$Q$3267,"&lt;="&amp;Q1748,$N$6:$N$3267,Calendar!$K$4),"")</f>
        <v/>
      </c>
      <c r="W1748" s="47">
        <f>IF(AND(B1748=Queue!$C$4,OR(Queue!$K$4="*",N1748=Queue!$K$4)),Q1748,"")</f>
        <v/>
      </c>
    </row>
    <row r="1749">
      <c r="A1749" s="38">
        <f>IF(M1749="","",HYPERLINK("https://www.youtube.com/watch?v="&amp;M1749,"▶"))</f>
        <v/>
      </c>
      <c r="B1749" s="39">
        <f>IF(C1749&lt;&gt;"",C1749,IF(P1749&lt;=IFERROR(INDEX(tblChannels[Watched Through],MATCH(N1749,tblChannels[Channel ID],0)),0),"Watched","Unwatched"))</f>
        <v/>
      </c>
      <c r="C1749" s="40" t="n"/>
      <c r="D1749" s="41" t="n"/>
      <c r="E1749" s="42" t="n">
        <v>43749.74236111111</v>
      </c>
      <c r="F1749" s="50" t="inlineStr">
        <is>
          <t>Super Carlin Brothers</t>
        </is>
      </c>
      <c r="G1749" t="inlineStr">
        <is>
          <t>Carlin Brothers SUPER SPECIAL FUN Stream!</t>
        </is>
      </c>
      <c r="H1749" s="44" t="n">
        <v>0.09327546296296296</v>
      </c>
      <c r="I1749" s="45" t="n">
        <v>147771</v>
      </c>
      <c r="J1749" s="45" t="n">
        <v>1600</v>
      </c>
      <c r="K1749" s="45" t="n">
        <v>83</v>
      </c>
      <c r="L1749" s="46" t="n"/>
      <c r="M1749" s="47" t="n"/>
      <c r="N1749" s="47" t="inlineStr">
        <is>
          <t>UCKZo4N0lVPccBkSiuyVh4yg</t>
        </is>
      </c>
      <c r="O1749" s="48" t="n">
        <v>43749.90902777778</v>
      </c>
      <c r="P1749" s="49" t="n">
        <v>43749</v>
      </c>
      <c r="Q1749" s="47" t="n">
        <v>1519</v>
      </c>
      <c r="R1749" s="47" t="inlineStr">
        <is>
          <t>No Video ID yet</t>
        </is>
      </c>
      <c r="S1749" s="49" t="n"/>
      <c r="T1749" s="49" t="n"/>
      <c r="U1749" s="47" t="inlineStr">
        <is>
          <t>Sign up for Giveaways :: Blooper Compilation: Hang out with J and Ben as they unveil new Patreon perks, special offers, and celebrate their patrons!</t>
        </is>
      </c>
      <c r="V1749" s="47">
        <f>IF(AND(P1749&gt;=Calendar!$K$2,P1749&lt;EDATE(Calendar!$K$2,1),OR(Calendar!$K$4="*",N1749=Calendar!$K$4)),P1749*100+COUNTIFS($P$6:$P$3267,P1749,$Q$6:$Q$3267,"&lt;="&amp;Q1749,$N$6:$N$3267,Calendar!$K$4),"")</f>
        <v/>
      </c>
      <c r="W1749" s="47">
        <f>IF(AND(B1749=Queue!$C$4,OR(Queue!$K$4="*",N1749=Queue!$K$4)),Q1749,"")</f>
        <v/>
      </c>
    </row>
    <row r="1750">
      <c r="A1750" s="38">
        <f>IF(M1750="","",HYPERLINK("https://www.youtube.com/watch?v="&amp;M1750,"▶"))</f>
        <v/>
      </c>
      <c r="B1750" s="39">
        <f>IF(C1750&lt;&gt;"",C1750,IF(P1750&lt;=IFERROR(INDEX(tblChannels[Watched Through],MATCH(N1750,tblChannels[Channel ID],0)),0),"Watched","Unwatched"))</f>
        <v/>
      </c>
      <c r="C1750" s="40" t="n"/>
      <c r="D1750" s="41" t="n"/>
      <c r="E1750" s="42" t="n">
        <v>43748.95694444444</v>
      </c>
      <c r="F1750" s="50" t="inlineStr">
        <is>
          <t>Super Carlin Brothers</t>
        </is>
      </c>
      <c r="G1750" t="inlineStr">
        <is>
          <t>Woody's Origins Explained</t>
        </is>
      </c>
      <c r="H1750" s="44" t="n">
        <v>0.009224537037037036</v>
      </c>
      <c r="I1750" s="45" t="n">
        <v>251768</v>
      </c>
      <c r="J1750" s="45" t="n">
        <v>9477</v>
      </c>
      <c r="K1750" s="45" t="n">
        <v>968</v>
      </c>
      <c r="L1750" s="46" t="n"/>
      <c r="M1750" s="47" t="n"/>
      <c r="N1750" s="47" t="inlineStr">
        <is>
          <t>UCKZo4N0lVPccBkSiuyVh4yg</t>
        </is>
      </c>
      <c r="O1750" s="48" t="n">
        <v>43749.12361111111</v>
      </c>
      <c r="P1750" s="49" t="n">
        <v>43748</v>
      </c>
      <c r="Q1750" s="47" t="n">
        <v>1518</v>
      </c>
      <c r="R1750" s="47" t="inlineStr">
        <is>
          <t>No Video ID yet</t>
        </is>
      </c>
      <c r="S1750" s="49" t="n"/>
      <c r="T1750" s="49" t="n"/>
      <c r="U1750" s="47" t="inlineStr">
        <is>
          <t>Get 15% off your entire order at - Use promo Code ‘SCB’ at Checkout! And don’t forget! Free shipping worldwide on all orders! And don’t forget to tune into tomorrow Patreon Livestream RIGHT HERE on the SuperCarlinBrothers YouTube Page. We are announcing some brand new reward tiers, special offers, and doing some amazing giveaways! Friday, October 11 3-5pmEDT Today Ben tackles a question that miraculously actually has an answer! What is Woody’s last name? And how did he get the name Woody to begin with?! #ToyStory #Pixar</t>
        </is>
      </c>
      <c r="V1750" s="47">
        <f>IF(AND(P1750&gt;=Calendar!$K$2,P1750&lt;EDATE(Calendar!$K$2,1),OR(Calendar!$K$4="*",N1750=Calendar!$K$4)),P1750*100+COUNTIFS($P$6:$P$3267,P1750,$Q$6:$Q$3267,"&lt;="&amp;Q1750,$N$6:$N$3267,Calendar!$K$4),"")</f>
        <v/>
      </c>
      <c r="W1750" s="47">
        <f>IF(AND(B1750=Queue!$C$4,OR(Queue!$K$4="*",N1750=Queue!$K$4)),Q1750,"")</f>
        <v/>
      </c>
    </row>
    <row r="1751">
      <c r="A1751" s="38">
        <f>IF(M1751="","",HYPERLINK("https://www.youtube.com/watch?v="&amp;M1751,"▶"))</f>
        <v/>
      </c>
      <c r="B1751" s="39">
        <f>IF(C1751&lt;&gt;"",C1751,IF(P1751&lt;=IFERROR(INDEX(tblChannels[Watched Through],MATCH(N1751,tblChannels[Channel ID],0)),0),"Watched","Unwatched"))</f>
        <v/>
      </c>
      <c r="C1751" s="40" t="n"/>
      <c r="D1751" s="41" t="n"/>
      <c r="E1751" s="42" t="n">
        <v>43746.82569444444</v>
      </c>
      <c r="F1751" s="50" t="inlineStr">
        <is>
          <t>Super Carlin Brothers</t>
        </is>
      </c>
      <c r="G1751" t="inlineStr">
        <is>
          <t>Why Woody Is Actually Captain America</t>
        </is>
      </c>
      <c r="H1751" s="44" t="n">
        <v>0.007083333333333333</v>
      </c>
      <c r="I1751" s="45" t="n">
        <v>209266</v>
      </c>
      <c r="J1751" s="45" t="n">
        <v>8974</v>
      </c>
      <c r="K1751" s="45" t="n">
        <v>1069</v>
      </c>
      <c r="L1751" s="46" t="n"/>
      <c r="M1751" s="47" t="n"/>
      <c r="N1751" s="47" t="inlineStr">
        <is>
          <t>UCKZo4N0lVPccBkSiuyVh4yg</t>
        </is>
      </c>
      <c r="O1751" s="48" t="n">
        <v>43746.99236111111</v>
      </c>
      <c r="P1751" s="49" t="n">
        <v>43746</v>
      </c>
      <c r="Q1751" s="47" t="n">
        <v>1517</v>
      </c>
      <c r="R1751" s="47" t="inlineStr">
        <is>
          <t>No Video ID yet</t>
        </is>
      </c>
      <c r="S1751" s="49" t="n"/>
      <c r="T1751" s="49" t="n"/>
      <c r="U1751" s="47" t="inlineStr">
        <is>
          <t>Go to and find out how you can get 3 months free. Today J dives into the world of Pixar’s Toy Story and the Marvel Cinematic Universe to dissect two of our favorite heroes: Woody and Captain America, and reveals how in the end, they are the exact same. #Pixar #Marvel #SuperCarlinBrothers Edited by: Scott Niswander</t>
        </is>
      </c>
      <c r="V1751" s="47">
        <f>IF(AND(P1751&gt;=Calendar!$K$2,P1751&lt;EDATE(Calendar!$K$2,1),OR(Calendar!$K$4="*",N1751=Calendar!$K$4)),P1751*100+COUNTIFS($P$6:$P$3267,P1751,$Q$6:$Q$3267,"&lt;="&amp;Q1751,$N$6:$N$3267,Calendar!$K$4),"")</f>
        <v/>
      </c>
      <c r="W1751" s="47">
        <f>IF(AND(B1751=Queue!$C$4,OR(Queue!$K$4="*",N1751=Queue!$K$4)),Q1751,"")</f>
        <v/>
      </c>
    </row>
    <row r="1752">
      <c r="A1752" s="38">
        <f>IF(M1752="","",HYPERLINK("https://www.youtube.com/watch?v="&amp;M1752,"▶"))</f>
        <v/>
      </c>
      <c r="B1752" s="39">
        <f>IF(C1752&lt;&gt;"",C1752,IF(P1752&lt;=IFERROR(INDEX(tblChannels[Watched Through],MATCH(N1752,tblChannels[Channel ID],0)),0),"Watched","Unwatched"))</f>
        <v/>
      </c>
      <c r="C1752" s="40" t="n"/>
      <c r="D1752" s="41" t="n"/>
      <c r="E1752" s="42" t="n">
        <v>43746.41666666666</v>
      </c>
      <c r="F1752" s="53" t="inlineStr">
        <is>
          <t>Jonathan Carlin</t>
        </is>
      </c>
      <c r="G1752" t="inlineStr">
        <is>
          <t>Beach Week and BIG ANNOUNCEMENT</t>
        </is>
      </c>
      <c r="H1752" s="44" t="n">
        <v>0.00798611111111111</v>
      </c>
      <c r="I1752" s="45" t="n">
        <v>53286</v>
      </c>
      <c r="J1752" s="45" t="n">
        <v>3841</v>
      </c>
      <c r="K1752" s="45" t="n">
        <v>0</v>
      </c>
      <c r="L1752" s="46" t="n"/>
      <c r="M1752" s="47" t="n"/>
      <c r="N1752" s="47" t="inlineStr">
        <is>
          <t>UCYPKFe86e6nm4TVUYKLsFUQ</t>
        </is>
      </c>
      <c r="O1752" s="48" t="n">
        <v>43746.58333333334</v>
      </c>
      <c r="P1752" s="49" t="n">
        <v>43746</v>
      </c>
      <c r="Q1752" s="47" t="n">
        <v>1516</v>
      </c>
      <c r="R1752" s="47" t="inlineStr">
        <is>
          <t>No Video ID yet</t>
        </is>
      </c>
      <c r="S1752" s="49" t="n"/>
      <c r="T1752" s="49" t="n"/>
      <c r="U1752" s="47" t="inlineStr">
        <is>
          <t>This week J and the family head to the beach for a much needed vacation and make sure you stick around to the end for big announcement!</t>
        </is>
      </c>
      <c r="V1752" s="47">
        <f>IF(AND(P1752&gt;=Calendar!$K$2,P1752&lt;EDATE(Calendar!$K$2,1),OR(Calendar!$K$4="*",N1752=Calendar!$K$4)),P1752*100+COUNTIFS($P$6:$P$3267,P1752,$Q$6:$Q$3267,"&lt;="&amp;Q1752,$N$6:$N$3267,Calendar!$K$4),"")</f>
        <v/>
      </c>
      <c r="W1752" s="47">
        <f>IF(AND(B1752=Queue!$C$4,OR(Queue!$K$4="*",N1752=Queue!$K$4)),Q1752,"")</f>
        <v/>
      </c>
    </row>
    <row r="1753">
      <c r="A1753" s="38">
        <f>IF(M1753="","",HYPERLINK("https://www.youtube.com/watch?v="&amp;M1753,"▶"))</f>
        <v/>
      </c>
      <c r="B1753" s="39">
        <f>IF(C1753&lt;&gt;"",C1753,IF(P1753&lt;=IFERROR(INDEX(tblChannels[Watched Through],MATCH(N1753,tblChannels[Channel ID],0)),0),"Watched","Unwatched"))</f>
        <v/>
      </c>
      <c r="C1753" s="40" t="n"/>
      <c r="D1753" s="41" t="n"/>
      <c r="E1753" s="42" t="n">
        <v>43741.82916666667</v>
      </c>
      <c r="F1753" s="50" t="inlineStr">
        <is>
          <t>Super Carlin Brothers</t>
        </is>
      </c>
      <c r="G1753" t="inlineStr">
        <is>
          <t>J vs Ben: ULTIMATE Hogwarts Express Harry Potter Quiz</t>
        </is>
      </c>
      <c r="H1753" s="44" t="n">
        <v>0.01708333333333333</v>
      </c>
      <c r="I1753" s="45" t="n">
        <v>591364</v>
      </c>
      <c r="J1753" s="45" t="n">
        <v>14668</v>
      </c>
      <c r="K1753" s="45" t="n">
        <v>1924</v>
      </c>
      <c r="L1753" s="46" t="n"/>
      <c r="M1753" s="47" t="n"/>
      <c r="N1753" s="47" t="inlineStr">
        <is>
          <t>UCKZo4N0lVPccBkSiuyVh4yg</t>
        </is>
      </c>
      <c r="O1753" s="48" t="n">
        <v>43741.99583333333</v>
      </c>
      <c r="P1753" s="49" t="n">
        <v>43741</v>
      </c>
      <c r="Q1753" s="47" t="n">
        <v>1515</v>
      </c>
      <c r="R1753" s="47" t="inlineStr">
        <is>
          <t>No Video ID yet</t>
        </is>
      </c>
      <c r="S1753" s="49" t="n"/>
      <c r="T1753" s="49" t="n"/>
      <c r="U1753" s="47" t="inlineStr">
        <is>
          <t>Play Along with us! :: Today J and Ben dive into the Wizarding World of Harry Potter and face off in the Ultimate Hogwarts Express Quiz to find out who knows more about the scarlet steam engine that takes everyone to Hogwarts Edited by: Scott Niswander</t>
        </is>
      </c>
      <c r="V1753" s="47">
        <f>IF(AND(P1753&gt;=Calendar!$K$2,P1753&lt;EDATE(Calendar!$K$2,1),OR(Calendar!$K$4="*",N1753=Calendar!$K$4)),P1753*100+COUNTIFS($P$6:$P$3267,P1753,$Q$6:$Q$3267,"&lt;="&amp;Q1753,$N$6:$N$3267,Calendar!$K$4),"")</f>
        <v/>
      </c>
      <c r="W1753" s="47">
        <f>IF(AND(B1753=Queue!$C$4,OR(Queue!$K$4="*",N1753=Queue!$K$4)),Q1753,"")</f>
        <v/>
      </c>
    </row>
    <row r="1754">
      <c r="A1754" s="38">
        <f>IF(M1754="","",HYPERLINK("https://www.youtube.com/watch?v="&amp;M1754,"▶"))</f>
        <v/>
      </c>
      <c r="B1754" s="39">
        <f>IF(C1754&lt;&gt;"",C1754,IF(P1754&lt;=IFERROR(INDEX(tblChannels[Watched Through],MATCH(N1754,tblChannels[Channel ID],0)),0),"Watched","Unwatched"))</f>
        <v/>
      </c>
      <c r="C1754" s="40" t="n"/>
      <c r="D1754" s="41" t="n"/>
      <c r="E1754" s="42" t="n">
        <v>43739.85625</v>
      </c>
      <c r="F1754" s="50" t="inlineStr">
        <is>
          <t>Super Carlin Brothers</t>
        </is>
      </c>
      <c r="G1754" t="inlineStr">
        <is>
          <t>Fast Facts: Spider-Man Far From Home</t>
        </is>
      </c>
      <c r="H1754" s="44" t="n">
        <v>0.00568287037037037</v>
      </c>
      <c r="I1754" s="45" t="n">
        <v>206935</v>
      </c>
      <c r="J1754" s="45" t="n">
        <v>9125</v>
      </c>
      <c r="K1754" s="45" t="n">
        <v>556</v>
      </c>
      <c r="L1754" s="46" t="n"/>
      <c r="M1754" s="47" t="n"/>
      <c r="N1754" s="47" t="inlineStr">
        <is>
          <t>UCKZo4N0lVPccBkSiuyVh4yg</t>
        </is>
      </c>
      <c r="O1754" s="48" t="n">
        <v>43740.02291666667</v>
      </c>
      <c r="P1754" s="49" t="n">
        <v>43739</v>
      </c>
      <c r="Q1754" s="47" t="n">
        <v>1514</v>
      </c>
      <c r="R1754" s="47" t="inlineStr">
        <is>
          <t>No Video ID yet</t>
        </is>
      </c>
      <c r="S1754" s="49" t="n"/>
      <c r="T1754" s="49" t="n"/>
      <c r="U1754" s="47" t="inlineStr">
        <is>
          <t>Today Ben dives into the MCU and Spider-Man Far From Home to uncover every Easter Egg and random fact we could find about the movie! Edited by: Scott Niswander</t>
        </is>
      </c>
      <c r="V1754" s="47">
        <f>IF(AND(P1754&gt;=Calendar!$K$2,P1754&lt;EDATE(Calendar!$K$2,1),OR(Calendar!$K$4="*",N1754=Calendar!$K$4)),P1754*100+COUNTIFS($P$6:$P$3267,P1754,$Q$6:$Q$3267,"&lt;="&amp;Q1754,$N$6:$N$3267,Calendar!$K$4),"")</f>
        <v/>
      </c>
      <c r="W1754" s="47">
        <f>IF(AND(B1754=Queue!$C$4,OR(Queue!$K$4="*",N1754=Queue!$K$4)),Q1754,"")</f>
        <v/>
      </c>
    </row>
    <row r="1755">
      <c r="A1755" s="38">
        <f>IF(M1755="","",HYPERLINK("https://www.youtube.com/watch?v="&amp;M1755,"▶"))</f>
        <v/>
      </c>
      <c r="B1755" s="39">
        <f>IF(C1755&lt;&gt;"",C1755,IF(P1755&lt;=IFERROR(INDEX(tblChannels[Watched Through],MATCH(N1755,tblChannels[Channel ID],0)),0),"Watched","Unwatched"))</f>
        <v/>
      </c>
      <c r="C1755" s="40" t="n"/>
      <c r="D1755" s="41" t="n"/>
      <c r="E1755" s="42" t="n">
        <v>43734.77777777778</v>
      </c>
      <c r="F1755" s="50" t="inlineStr">
        <is>
          <t>Super Carlin Brothers</t>
        </is>
      </c>
      <c r="G1755" t="inlineStr">
        <is>
          <t>Harry Potter Theory: Why Didn’t Voldemort Return As A Ghost?</t>
        </is>
      </c>
      <c r="H1755" s="44" t="n">
        <v>0.009282407407407408</v>
      </c>
      <c r="I1755" s="45" t="n">
        <v>837290</v>
      </c>
      <c r="J1755" s="45" t="n">
        <v>23842</v>
      </c>
      <c r="K1755" s="45" t="n">
        <v>2970</v>
      </c>
      <c r="L1755" s="46" t="n"/>
      <c r="M1755" s="47" t="n"/>
      <c r="N1755" s="47" t="inlineStr">
        <is>
          <t>UCKZo4N0lVPccBkSiuyVh4yg</t>
        </is>
      </c>
      <c r="O1755" s="48" t="n">
        <v>43734.94444444445</v>
      </c>
      <c r="P1755" s="49" t="n">
        <v>43734</v>
      </c>
      <c r="Q1755" s="47" t="n">
        <v>1513</v>
      </c>
      <c r="R1755" s="47" t="inlineStr">
        <is>
          <t>No Video ID yet</t>
        </is>
      </c>
      <c r="S1755" s="49" t="n"/>
      <c r="T1755" s="49" t="n"/>
      <c r="U1755" s="47" t="inlineStr">
        <is>
          <t>Go to and use code SCB to get $75 off! Today Ben dives into the Wizarding World of Harry Potter to try and figure out why Voldemort didn’t elect to come back as a ghost and instead accepted death Horcrux and Book Text Animation created by: Scott Niswander</t>
        </is>
      </c>
      <c r="V1755" s="47">
        <f>IF(AND(P1755&gt;=Calendar!$K$2,P1755&lt;EDATE(Calendar!$K$2,1),OR(Calendar!$K$4="*",N1755=Calendar!$K$4)),P1755*100+COUNTIFS($P$6:$P$3267,P1755,$Q$6:$Q$3267,"&lt;="&amp;Q1755,$N$6:$N$3267,Calendar!$K$4),"")</f>
        <v/>
      </c>
      <c r="W1755" s="47">
        <f>IF(AND(B1755=Queue!$C$4,OR(Queue!$K$4="*",N1755=Queue!$K$4)),Q1755,"")</f>
        <v/>
      </c>
    </row>
    <row r="1756">
      <c r="A1756" s="38">
        <f>IF(M1756="","",HYPERLINK("https://www.youtube.com/watch?v="&amp;M1756,"▶"))</f>
        <v/>
      </c>
      <c r="B1756" s="39">
        <f>IF(C1756&lt;&gt;"",C1756,IF(P1756&lt;=IFERROR(INDEX(tblChannels[Watched Through],MATCH(N1756,tblChannels[Channel ID],0)),0),"Watched","Unwatched"))</f>
        <v/>
      </c>
      <c r="C1756" s="40" t="n"/>
      <c r="D1756" s="41" t="n"/>
      <c r="E1756" s="42" t="n">
        <v>43734.3875</v>
      </c>
      <c r="F1756" s="52" t="inlineStr">
        <is>
          <t>Super Carlin Gaming</t>
        </is>
      </c>
      <c r="G1756" t="inlineStr">
        <is>
          <t>VICTORY ROAD |  Pokémon X Nuzlocke #42</t>
        </is>
      </c>
      <c r="H1756" s="44" t="n">
        <v>0.03396990740740741</v>
      </c>
      <c r="I1756" s="45" t="n">
        <v>18149</v>
      </c>
      <c r="J1756" s="45" t="n">
        <v>604</v>
      </c>
      <c r="K1756" s="45" t="n">
        <v>207</v>
      </c>
      <c r="L1756" s="46" t="n"/>
      <c r="M1756" s="47" t="n"/>
      <c r="N1756" s="47" t="inlineStr">
        <is>
          <t>UCor_9jRnNNZVzTuQ92PKsaQ</t>
        </is>
      </c>
      <c r="O1756" s="48" t="n">
        <v>43734.55416666667</v>
      </c>
      <c r="P1756" s="49" t="n">
        <v>43734</v>
      </c>
      <c r="Q1756" s="47" t="n">
        <v>1512</v>
      </c>
      <c r="R1756" s="47" t="inlineStr">
        <is>
          <t>No Video ID yet</t>
        </is>
      </c>
      <c r="S1756" s="49" t="n"/>
      <c r="T1756" s="49" t="n"/>
      <c r="U1756" s="47" t="inlineStr">
        <is>
          <t>Today J and the team take on VICTORY ROAD! A series of challenging trainers meant to see if we are ready for the Elite 4 - Can the team survive the longest series of trainers yet?!</t>
        </is>
      </c>
      <c r="V1756" s="47">
        <f>IF(AND(P1756&gt;=Calendar!$K$2,P1756&lt;EDATE(Calendar!$K$2,1),OR(Calendar!$K$4="*",N1756=Calendar!$K$4)),P1756*100+COUNTIFS($P$6:$P$3267,P1756,$Q$6:$Q$3267,"&lt;="&amp;Q1756,$N$6:$N$3267,Calendar!$K$4),"")</f>
        <v/>
      </c>
      <c r="W1756" s="47">
        <f>IF(AND(B1756=Queue!$C$4,OR(Queue!$K$4="*",N1756=Queue!$K$4)),Q1756,"")</f>
        <v/>
      </c>
    </row>
    <row r="1757">
      <c r="A1757" s="38">
        <f>IF(M1757="","",HYPERLINK("https://www.youtube.com/watch?v="&amp;M1757,"▶"))</f>
        <v/>
      </c>
      <c r="B1757" s="39">
        <f>IF(C1757&lt;&gt;"",C1757,IF(P1757&lt;=IFERROR(INDEX(tblChannels[Watched Through],MATCH(N1757,tblChannels[Channel ID],0)),0),"Watched","Unwatched"))</f>
        <v/>
      </c>
      <c r="C1757" s="40" t="n"/>
      <c r="D1757" s="41" t="n"/>
      <c r="E1757" s="42" t="n">
        <v>43732.70972222222</v>
      </c>
      <c r="F1757" s="50" t="inlineStr">
        <is>
          <t>Super Carlin Brothers</t>
        </is>
      </c>
      <c r="G1757" t="inlineStr">
        <is>
          <t>Frozen Theory: How Elsa Got Her Powers</t>
        </is>
      </c>
      <c r="H1757" s="44" t="n">
        <v>0.008425925925925925</v>
      </c>
      <c r="I1757" s="45" t="n">
        <v>466807</v>
      </c>
      <c r="J1757" s="45" t="n">
        <v>18209</v>
      </c>
      <c r="K1757" s="45" t="n">
        <v>1911</v>
      </c>
      <c r="L1757" s="46" t="n"/>
      <c r="M1757" s="47" t="n"/>
      <c r="N1757" s="47" t="inlineStr">
        <is>
          <t>UCKZo4N0lVPccBkSiuyVh4yg</t>
        </is>
      </c>
      <c r="O1757" s="48" t="n">
        <v>43732.87638888889</v>
      </c>
      <c r="P1757" s="49" t="n">
        <v>43732</v>
      </c>
      <c r="Q1757" s="47" t="n">
        <v>1511</v>
      </c>
      <c r="R1757" s="47" t="inlineStr">
        <is>
          <t>No Video ID yet</t>
        </is>
      </c>
      <c r="S1757" s="49" t="n"/>
      <c r="T1757" s="49" t="n"/>
      <c r="U1757" s="47" t="inlineStr">
        <is>
          <t>Frozen 2 Meet-Up in Salt Lake City :: Today J dives into the world of Disney's Frozen to try and uncover how and why Elsa has her powers!</t>
        </is>
      </c>
      <c r="V1757" s="47">
        <f>IF(AND(P1757&gt;=Calendar!$K$2,P1757&lt;EDATE(Calendar!$K$2,1),OR(Calendar!$K$4="*",N1757=Calendar!$K$4)),P1757*100+COUNTIFS($P$6:$P$3267,P1757,$Q$6:$Q$3267,"&lt;="&amp;Q1757,$N$6:$N$3267,Calendar!$K$4),"")</f>
        <v/>
      </c>
      <c r="W1757" s="47">
        <f>IF(AND(B1757=Queue!$C$4,OR(Queue!$K$4="*",N1757=Queue!$K$4)),Q1757,"")</f>
        <v/>
      </c>
    </row>
    <row r="1758">
      <c r="A1758" s="38">
        <f>IF(M1758="","",HYPERLINK("https://www.youtube.com/watch?v="&amp;M1758,"▶"))</f>
        <v/>
      </c>
      <c r="B1758" s="39">
        <f>IF(C1758&lt;&gt;"",C1758,IF(P1758&lt;=IFERROR(INDEX(tblChannels[Watched Through],MATCH(N1758,tblChannels[Channel ID],0)),0),"Watched","Unwatched"))</f>
        <v/>
      </c>
      <c r="C1758" s="40" t="n"/>
      <c r="D1758" s="41" t="n"/>
      <c r="E1758" s="42" t="n">
        <v>43731.46805555555</v>
      </c>
      <c r="F1758" s="53" t="inlineStr">
        <is>
          <t>Jonathan Carlin</t>
        </is>
      </c>
      <c r="G1758" t="inlineStr">
        <is>
          <t>Luke Meets Olivia For The First Time!</t>
        </is>
      </c>
      <c r="H1758" s="44" t="n">
        <v>0.00449074074074074</v>
      </c>
      <c r="I1758" s="45" t="n">
        <v>30024</v>
      </c>
      <c r="J1758" s="45" t="n">
        <v>1543</v>
      </c>
      <c r="K1758" s="45" t="n">
        <v>134</v>
      </c>
      <c r="L1758" s="46" t="n"/>
      <c r="M1758" s="47" t="n"/>
      <c r="N1758" s="47" t="inlineStr">
        <is>
          <t>UCYPKFe86e6nm4TVUYKLsFUQ</t>
        </is>
      </c>
      <c r="O1758" s="48" t="n">
        <v>43731.63472222222</v>
      </c>
      <c r="P1758" s="49" t="n">
        <v>43731</v>
      </c>
      <c r="Q1758" s="47" t="n">
        <v>1510</v>
      </c>
      <c r="R1758" s="47" t="inlineStr">
        <is>
          <t>No Video ID yet</t>
        </is>
      </c>
      <c r="S1758" s="49" t="n"/>
      <c r="T1758" s="49" t="n"/>
      <c r="U1758" s="47" t="inlineStr">
        <is>
          <t>This week Luke meets his newborn cousin Olivia for the very first time and Ben EXPERTLY opens a bottle of wine!</t>
        </is>
      </c>
      <c r="V1758" s="47">
        <f>IF(AND(P1758&gt;=Calendar!$K$2,P1758&lt;EDATE(Calendar!$K$2,1),OR(Calendar!$K$4="*",N1758=Calendar!$K$4)),P1758*100+COUNTIFS($P$6:$P$3267,P1758,$Q$6:$Q$3267,"&lt;="&amp;Q1758,$N$6:$N$3267,Calendar!$K$4),"")</f>
        <v/>
      </c>
      <c r="W1758" s="47">
        <f>IF(AND(B1758=Queue!$C$4,OR(Queue!$K$4="*",N1758=Queue!$K$4)),Q1758,"")</f>
        <v/>
      </c>
    </row>
    <row r="1759">
      <c r="A1759" s="38">
        <f>IF(M1759="","",HYPERLINK("https://www.youtube.com/watch?v="&amp;M1759,"▶"))</f>
        <v/>
      </c>
      <c r="B1759" s="39">
        <f>IF(C1759&lt;&gt;"",C1759,IF(P1759&lt;=IFERROR(INDEX(tblChannels[Watched Through],MATCH(N1759,tblChannels[Channel ID],0)),0),"Watched","Unwatched"))</f>
        <v/>
      </c>
      <c r="C1759" s="40" t="n"/>
      <c r="D1759" s="41" t="n"/>
      <c r="E1759" s="42" t="n">
        <v>43729.32013888889</v>
      </c>
      <c r="F1759" s="52" t="inlineStr">
        <is>
          <t>Super Carlin Gaming</t>
        </is>
      </c>
      <c r="G1759" t="inlineStr">
        <is>
          <t>Hogwarts Founders LEARN MAGIC in SIMS 4 | Episode #5</t>
        </is>
      </c>
      <c r="H1759" s="44" t="n">
        <v>0.02090277777777778</v>
      </c>
      <c r="I1759" s="45" t="n">
        <v>46911</v>
      </c>
      <c r="J1759" s="45" t="n">
        <v>1507</v>
      </c>
      <c r="K1759" s="45" t="n">
        <v>308</v>
      </c>
      <c r="L1759" s="46" t="n"/>
      <c r="M1759" s="47" t="n"/>
      <c r="N1759" s="47" t="inlineStr">
        <is>
          <t>UCor_9jRnNNZVzTuQ92PKsaQ</t>
        </is>
      </c>
      <c r="O1759" s="48" t="n">
        <v>43729.48680555556</v>
      </c>
      <c r="P1759" s="49" t="n">
        <v>43729</v>
      </c>
      <c r="Q1759" s="47" t="n">
        <v>1509</v>
      </c>
      <c r="R1759" s="47" t="inlineStr">
        <is>
          <t>No Video ID yet</t>
        </is>
      </c>
      <c r="S1759" s="49" t="n"/>
      <c r="T1759" s="49" t="n"/>
      <c r="U1759" s="47" t="inlineStr">
        <is>
          <t>J and Ben continue the founding of Hogwarts with Godric Gryffindor, Rowena Ravenclaw, Helga Hufflepuff and Salazar Slytherin! Today they dive into the new Realm of Magic expansion and begin teaching the wizards to FINALLY do magic! #Sims4 #FoundingHogwarts</t>
        </is>
      </c>
      <c r="V1759" s="47">
        <f>IF(AND(P1759&gt;=Calendar!$K$2,P1759&lt;EDATE(Calendar!$K$2,1),OR(Calendar!$K$4="*",N1759=Calendar!$K$4)),P1759*100+COUNTIFS($P$6:$P$3267,P1759,$Q$6:$Q$3267,"&lt;="&amp;Q1759,$N$6:$N$3267,Calendar!$K$4),"")</f>
        <v/>
      </c>
      <c r="W1759" s="47">
        <f>IF(AND(B1759=Queue!$C$4,OR(Queue!$K$4="*",N1759=Queue!$K$4)),Q1759,"")</f>
        <v/>
      </c>
    </row>
    <row r="1760">
      <c r="A1760" s="38">
        <f>IF(M1760="","",HYPERLINK("https://www.youtube.com/watch?v="&amp;M1760,"▶"))</f>
        <v/>
      </c>
      <c r="B1760" s="39">
        <f>IF(C1760&lt;&gt;"",C1760,IF(P1760&lt;=IFERROR(INDEX(tblChannels[Watched Through],MATCH(N1760,tblChannels[Channel ID],0)),0),"Watched","Unwatched"))</f>
        <v/>
      </c>
      <c r="C1760" s="40" t="n"/>
      <c r="D1760" s="41" t="n"/>
      <c r="E1760" s="42" t="n">
        <v>43728.74444444444</v>
      </c>
      <c r="F1760" s="50" t="inlineStr">
        <is>
          <t>Super Carlin Brothers</t>
        </is>
      </c>
      <c r="G1760" t="inlineStr">
        <is>
          <t>Carlin Brothers Coffee 1-Year Anniversary Stream!</t>
        </is>
      </c>
      <c r="H1760" s="44" t="n">
        <v>0.0862037037037037</v>
      </c>
      <c r="I1760" s="45" t="n">
        <v>105607</v>
      </c>
      <c r="J1760" s="45" t="n">
        <v>1578</v>
      </c>
      <c r="K1760" s="45" t="n">
        <v>108</v>
      </c>
      <c r="L1760" s="46" t="n"/>
      <c r="M1760" s="47" t="n"/>
      <c r="N1760" s="47" t="inlineStr">
        <is>
          <t>UCKZo4N0lVPccBkSiuyVh4yg</t>
        </is>
      </c>
      <c r="O1760" s="48" t="n">
        <v>43728.91111111111</v>
      </c>
      <c r="P1760" s="49" t="n">
        <v>43728</v>
      </c>
      <c r="Q1760" s="47" t="n">
        <v>1508</v>
      </c>
      <c r="R1760" s="47" t="inlineStr">
        <is>
          <t>No Video ID yet</t>
        </is>
      </c>
      <c r="S1760" s="49" t="n"/>
      <c r="T1760" s="49" t="n"/>
      <c r="U1760" s="47" t="inlineStr">
        <is>
          <t>ENTER FOR COFFEE GIVEAWAYS: Survey Link: Salt Lake City Meet Up Link:</t>
        </is>
      </c>
      <c r="V1760" s="47">
        <f>IF(AND(P1760&gt;=Calendar!$K$2,P1760&lt;EDATE(Calendar!$K$2,1),OR(Calendar!$K$4="*",N1760=Calendar!$K$4)),P1760*100+COUNTIFS($P$6:$P$3267,P1760,$Q$6:$Q$3267,"&lt;="&amp;Q1760,$N$6:$N$3267,Calendar!$K$4),"")</f>
        <v/>
      </c>
      <c r="W1760" s="47">
        <f>IF(AND(B1760=Queue!$C$4,OR(Queue!$K$4="*",N1760=Queue!$K$4)),Q1760,"")</f>
        <v/>
      </c>
    </row>
    <row r="1761">
      <c r="A1761" s="38">
        <f>IF(M1761="","",HYPERLINK("https://www.youtube.com/watch?v="&amp;M1761,"▶"))</f>
        <v/>
      </c>
      <c r="B1761" s="39">
        <f>IF(C1761&lt;&gt;"",C1761,IF(P1761&lt;=IFERROR(INDEX(tblChannels[Watched Through],MATCH(N1761,tblChannels[Channel ID],0)),0),"Watched","Unwatched"))</f>
        <v/>
      </c>
      <c r="C1761" s="40" t="n"/>
      <c r="D1761" s="41" t="n"/>
      <c r="E1761" s="42" t="n">
        <v>43727.74652777778</v>
      </c>
      <c r="F1761" s="50" t="inlineStr">
        <is>
          <t>Super Carlin Brothers</t>
        </is>
      </c>
      <c r="G1761" t="inlineStr">
        <is>
          <t>Toy Story 4 Alternate Ending Explained</t>
        </is>
      </c>
      <c r="H1761" s="44" t="n">
        <v>0.009293981481481481</v>
      </c>
      <c r="I1761" s="45" t="n">
        <v>248011</v>
      </c>
      <c r="J1761" s="45" t="n">
        <v>8863</v>
      </c>
      <c r="K1761" s="45" t="n">
        <v>749</v>
      </c>
      <c r="L1761" s="46" t="n"/>
      <c r="M1761" s="47" t="n"/>
      <c r="N1761" s="47" t="inlineStr">
        <is>
          <t>UCKZo4N0lVPccBkSiuyVh4yg</t>
        </is>
      </c>
      <c r="O1761" s="48" t="n">
        <v>43727.91319444445</v>
      </c>
      <c r="P1761" s="49" t="n">
        <v>43727</v>
      </c>
      <c r="Q1761" s="47" t="n">
        <v>1507</v>
      </c>
      <c r="R1761" s="47" t="inlineStr">
        <is>
          <t>No Video ID yet</t>
        </is>
      </c>
      <c r="S1761" s="49" t="n"/>
      <c r="T1761" s="49" t="n"/>
      <c r="U1761" s="47" t="inlineStr">
        <is>
          <t>Check out the alternate ending :: Today Ben dives into the world of Pixar to discuss the newly release alternate ending of Toy Story 4 and what this reveals about the nature of being a toy!</t>
        </is>
      </c>
      <c r="V1761" s="47">
        <f>IF(AND(P1761&gt;=Calendar!$K$2,P1761&lt;EDATE(Calendar!$K$2,1),OR(Calendar!$K$4="*",N1761=Calendar!$K$4)),P1761*100+COUNTIFS($P$6:$P$3267,P1761,$Q$6:$Q$3267,"&lt;="&amp;Q1761,$N$6:$N$3267,Calendar!$K$4),"")</f>
        <v/>
      </c>
      <c r="W1761" s="47">
        <f>IF(AND(B1761=Queue!$C$4,OR(Queue!$K$4="*",N1761=Queue!$K$4)),Q1761,"")</f>
        <v/>
      </c>
    </row>
    <row r="1762">
      <c r="A1762" s="38">
        <f>IF(M1762="","",HYPERLINK("https://www.youtube.com/watch?v="&amp;M1762,"▶"))</f>
        <v/>
      </c>
      <c r="B1762" s="39">
        <f>IF(C1762&lt;&gt;"",C1762,IF(P1762&lt;=IFERROR(INDEX(tblChannels[Watched Through],MATCH(N1762,tblChannels[Channel ID],0)),0),"Watched","Unwatched"))</f>
        <v/>
      </c>
      <c r="C1762" s="40" t="n"/>
      <c r="D1762" s="41" t="n"/>
      <c r="E1762" s="42" t="n">
        <v>43726.47291666667</v>
      </c>
      <c r="F1762" s="52" t="inlineStr">
        <is>
          <t>Super Carlin Gaming</t>
        </is>
      </c>
      <c r="G1762" t="inlineStr">
        <is>
          <t>Preparing for Victory |  Pokémon X Nuzlocke #41</t>
        </is>
      </c>
      <c r="H1762" s="44" t="n">
        <v>0.02023148148148148</v>
      </c>
      <c r="I1762" s="45" t="n">
        <v>15097</v>
      </c>
      <c r="J1762" s="45" t="n">
        <v>518</v>
      </c>
      <c r="K1762" s="45" t="n">
        <v>100</v>
      </c>
      <c r="L1762" s="46" t="n"/>
      <c r="M1762" s="47" t="n"/>
      <c r="N1762" s="47" t="inlineStr">
        <is>
          <t>UCor_9jRnNNZVzTuQ92PKsaQ</t>
        </is>
      </c>
      <c r="O1762" s="48" t="n">
        <v>43726.63958333333</v>
      </c>
      <c r="P1762" s="49" t="n">
        <v>43726</v>
      </c>
      <c r="Q1762" s="47" t="n">
        <v>1506</v>
      </c>
      <c r="R1762" s="47" t="inlineStr">
        <is>
          <t>No Video ID yet</t>
        </is>
      </c>
      <c r="S1762" s="49" t="n"/>
      <c r="T1762" s="49" t="n"/>
      <c r="U1762" s="47" t="inlineStr">
        <is>
          <t>This week J and the team get some grinding done and at long last enter Victory Road - Will they be strong enough for the hardest cave in the game?</t>
        </is>
      </c>
      <c r="V1762" s="47">
        <f>IF(AND(P1762&gt;=Calendar!$K$2,P1762&lt;EDATE(Calendar!$K$2,1),OR(Calendar!$K$4="*",N1762=Calendar!$K$4)),P1762*100+COUNTIFS($P$6:$P$3267,P1762,$Q$6:$Q$3267,"&lt;="&amp;Q1762,$N$6:$N$3267,Calendar!$K$4),"")</f>
        <v/>
      </c>
      <c r="W1762" s="47">
        <f>IF(AND(B1762=Queue!$C$4,OR(Queue!$K$4="*",N1762=Queue!$K$4)),Q1762,"")</f>
        <v/>
      </c>
    </row>
    <row r="1763">
      <c r="A1763" s="38">
        <f>IF(M1763="","",HYPERLINK("https://www.youtube.com/watch?v="&amp;M1763,"▶"))</f>
        <v/>
      </c>
      <c r="B1763" s="39">
        <f>IF(C1763&lt;&gt;"",C1763,IF(P1763&lt;=IFERROR(INDEX(tblChannels[Watched Through],MATCH(N1763,tblChannels[Channel ID],0)),0),"Watched","Unwatched"))</f>
        <v/>
      </c>
      <c r="C1763" s="40" t="n"/>
      <c r="D1763" s="41" t="n"/>
      <c r="E1763" s="42" t="n">
        <v>43725.81666666667</v>
      </c>
      <c r="F1763" s="50" t="inlineStr">
        <is>
          <t>Super Carlin Brothers</t>
        </is>
      </c>
      <c r="G1763" t="inlineStr">
        <is>
          <t>Trelawney's Actually ALWAYS Right? | Harry Potter Explained</t>
        </is>
      </c>
      <c r="H1763" s="44" t="n">
        <v>0.009386574074074073</v>
      </c>
      <c r="I1763" s="45" t="n">
        <v>1521106</v>
      </c>
      <c r="J1763" s="45" t="n">
        <v>46775</v>
      </c>
      <c r="K1763" s="45" t="n">
        <v>3864</v>
      </c>
      <c r="L1763" s="46" t="n"/>
      <c r="M1763" s="47" t="n"/>
      <c r="N1763" s="47" t="inlineStr">
        <is>
          <t>UCKZo4N0lVPccBkSiuyVh4yg</t>
        </is>
      </c>
      <c r="O1763" s="48" t="n">
        <v>43725.98333333333</v>
      </c>
      <c r="P1763" s="49" t="n">
        <v>43725</v>
      </c>
      <c r="Q1763" s="47" t="n">
        <v>1505</v>
      </c>
      <c r="R1763" s="47" t="inlineStr">
        <is>
          <t>No Video ID yet</t>
        </is>
      </c>
      <c r="S1763" s="49" t="n"/>
      <c r="T1763" s="49" t="n"/>
      <c r="U1763" s="47" t="inlineStr">
        <is>
          <t>Today J dives into the Wizarding World of Harry Potter to uncover the hidden genius of Sybill Trelawney and how she is actually almost always right.. even if she doesn't know why. #HarryPotter #SuperCarlinBrothers #Pottermore</t>
        </is>
      </c>
      <c r="V1763" s="47">
        <f>IF(AND(P1763&gt;=Calendar!$K$2,P1763&lt;EDATE(Calendar!$K$2,1),OR(Calendar!$K$4="*",N1763=Calendar!$K$4)),P1763*100+COUNTIFS($P$6:$P$3267,P1763,$Q$6:$Q$3267,"&lt;="&amp;Q1763,$N$6:$N$3267,Calendar!$K$4),"")</f>
        <v/>
      </c>
      <c r="W1763" s="47">
        <f>IF(AND(B1763=Queue!$C$4,OR(Queue!$K$4="*",N1763=Queue!$K$4)),Q1763,"")</f>
        <v/>
      </c>
    </row>
    <row r="1764">
      <c r="A1764" s="38">
        <f>IF(M1764="","",HYPERLINK("https://www.youtube.com/watch?v="&amp;M1764,"▶"))</f>
        <v/>
      </c>
      <c r="B1764" s="39">
        <f>IF(C1764&lt;&gt;"",C1764,IF(P1764&lt;=IFERROR(INDEX(tblChannels[Watched Through],MATCH(N1764,tblChannels[Channel ID],0)),0),"Watched","Unwatched"))</f>
        <v/>
      </c>
      <c r="C1764" s="40" t="n"/>
      <c r="D1764" s="41" t="n"/>
      <c r="E1764" s="42" t="n">
        <v>43724.44166666667</v>
      </c>
      <c r="F1764" s="53" t="inlineStr">
        <is>
          <t>Jonathan Carlin</t>
        </is>
      </c>
      <c r="G1764" t="inlineStr">
        <is>
          <t>TYLER &amp; EMILY HAVE A BABY!</t>
        </is>
      </c>
      <c r="H1764" s="44" t="n">
        <v>0.006354166666666667</v>
      </c>
      <c r="I1764" s="45" t="n">
        <v>42930</v>
      </c>
      <c r="J1764" s="45" t="n">
        <v>2165</v>
      </c>
      <c r="K1764" s="45" t="n">
        <v>201</v>
      </c>
      <c r="L1764" s="46" t="n"/>
      <c r="M1764" s="47" t="n"/>
      <c r="N1764" s="47" t="inlineStr">
        <is>
          <t>UCYPKFe86e6nm4TVUYKLsFUQ</t>
        </is>
      </c>
      <c r="O1764" s="48" t="n">
        <v>43724.60833333333</v>
      </c>
      <c r="P1764" s="49" t="n">
        <v>43724</v>
      </c>
      <c r="Q1764" s="47" t="n">
        <v>1504</v>
      </c>
      <c r="R1764" s="47" t="inlineStr">
        <is>
          <t>No Video ID yet</t>
        </is>
      </c>
      <c r="S1764" s="49" t="n"/>
      <c r="T1764" s="49" t="n"/>
      <c r="U1764" s="47" t="inlineStr">
        <is>
          <t>This week Tyler and Emily welcome their first child, Olivia, into the world!</t>
        </is>
      </c>
      <c r="V1764" s="47">
        <f>IF(AND(P1764&gt;=Calendar!$K$2,P1764&lt;EDATE(Calendar!$K$2,1),OR(Calendar!$K$4="*",N1764=Calendar!$K$4)),P1764*100+COUNTIFS($P$6:$P$3267,P1764,$Q$6:$Q$3267,"&lt;="&amp;Q1764,$N$6:$N$3267,Calendar!$K$4),"")</f>
        <v/>
      </c>
      <c r="W1764" s="47">
        <f>IF(AND(B1764=Queue!$C$4,OR(Queue!$K$4="*",N1764=Queue!$K$4)),Q1764,"")</f>
        <v/>
      </c>
    </row>
    <row r="1765">
      <c r="A1765" s="38">
        <f>IF(M1765="","",HYPERLINK("https://www.youtube.com/watch?v="&amp;M1765,"▶"))</f>
        <v/>
      </c>
      <c r="B1765" s="39">
        <f>IF(C1765&lt;&gt;"",C1765,IF(P1765&lt;=IFERROR(INDEX(tblChannels[Watched Through],MATCH(N1765,tblChannels[Channel ID],0)),0),"Watched","Unwatched"))</f>
        <v/>
      </c>
      <c r="C1765" s="40" t="n"/>
      <c r="D1765" s="41" t="n"/>
      <c r="E1765" s="42" t="n">
        <v>43721.41805555556</v>
      </c>
      <c r="F1765" s="52" t="inlineStr">
        <is>
          <t>Super Carlin Gaming</t>
        </is>
      </c>
      <c r="G1765" t="inlineStr">
        <is>
          <t>Hogwarts Founders Get a UNICORN in SIMS 4 | Episode #4</t>
        </is>
      </c>
      <c r="H1765" s="44" t="n">
        <v>0.02471064814814815</v>
      </c>
      <c r="I1765" s="45" t="n">
        <v>47474</v>
      </c>
      <c r="J1765" s="45" t="n">
        <v>1609</v>
      </c>
      <c r="K1765" s="45" t="n">
        <v>364</v>
      </c>
      <c r="L1765" s="46" t="n"/>
      <c r="M1765" s="47" t="n"/>
      <c r="N1765" s="47" t="inlineStr">
        <is>
          <t>UCor_9jRnNNZVzTuQ92PKsaQ</t>
        </is>
      </c>
      <c r="O1765" s="48" t="n">
        <v>43721.58472222222</v>
      </c>
      <c r="P1765" s="49" t="n">
        <v>43721</v>
      </c>
      <c r="Q1765" s="47" t="n">
        <v>1503</v>
      </c>
      <c r="R1765" s="47" t="inlineStr">
        <is>
          <t>No Video ID yet</t>
        </is>
      </c>
      <c r="S1765" s="49" t="n"/>
      <c r="T1765" s="49" t="n"/>
      <c r="U1765" s="47" t="inlineStr">
        <is>
          <t>J and Ben continue the founding of Hogwarts with Godric Gryffindor, Rowena Ravenclaw, Helga Hufflepuff and Salazar Slytherin! This week Salazar makes a TASTY salad, Godric gets a new job, and Rowena builds a bar! #sims4 #harrypotter</t>
        </is>
      </c>
      <c r="V1765" s="47">
        <f>IF(AND(P1765&gt;=Calendar!$K$2,P1765&lt;EDATE(Calendar!$K$2,1),OR(Calendar!$K$4="*",N1765=Calendar!$K$4)),P1765*100+COUNTIFS($P$6:$P$3267,P1765,$Q$6:$Q$3267,"&lt;="&amp;Q1765,$N$6:$N$3267,Calendar!$K$4),"")</f>
        <v/>
      </c>
      <c r="W1765" s="47">
        <f>IF(AND(B1765=Queue!$C$4,OR(Queue!$K$4="*",N1765=Queue!$K$4)),Q1765,"")</f>
        <v/>
      </c>
    </row>
    <row r="1766">
      <c r="A1766" s="38">
        <f>IF(M1766="","",HYPERLINK("https://www.youtube.com/watch?v="&amp;M1766,"▶"))</f>
        <v/>
      </c>
      <c r="B1766" s="39">
        <f>IF(C1766&lt;&gt;"",C1766,IF(P1766&lt;=IFERROR(INDEX(tblChannels[Watched Through],MATCH(N1766,tblChannels[Channel ID],0)),0),"Watched","Unwatched"))</f>
        <v/>
      </c>
      <c r="C1766" s="40" t="n"/>
      <c r="D1766" s="41" t="n"/>
      <c r="E1766" s="42" t="n">
        <v>43720.74375</v>
      </c>
      <c r="F1766" s="50" t="inlineStr">
        <is>
          <t>Super Carlin Brothers</t>
        </is>
      </c>
      <c r="G1766" t="inlineStr">
        <is>
          <t>How Old Is Captain America In Endgame? | Avengers Explained</t>
        </is>
      </c>
      <c r="H1766" s="44" t="n">
        <v>0.008298611111111111</v>
      </c>
      <c r="I1766" s="45" t="n">
        <v>276926</v>
      </c>
      <c r="J1766" s="45" t="n">
        <v>11341</v>
      </c>
      <c r="K1766" s="45" t="n">
        <v>1238</v>
      </c>
      <c r="L1766" s="46" t="n"/>
      <c r="M1766" s="47" t="n"/>
      <c r="N1766" s="47" t="inlineStr">
        <is>
          <t>UCKZo4N0lVPccBkSiuyVh4yg</t>
        </is>
      </c>
      <c r="O1766" s="48" t="n">
        <v>43720.91041666667</v>
      </c>
      <c r="P1766" s="49" t="n">
        <v>43720</v>
      </c>
      <c r="Q1766" s="47" t="n">
        <v>1502</v>
      </c>
      <c r="R1766" s="47" t="inlineStr">
        <is>
          <t>No Video ID yet</t>
        </is>
      </c>
      <c r="S1766" s="49" t="n"/>
      <c r="T1766" s="49" t="n"/>
      <c r="U1766" s="47" t="inlineStr">
        <is>
          <t>Go to or text SCB to 500500 to get a free book, 2 free Audible Originals, and a 30 day free trial. Today Ben dives into the Marvel Cinematic Universe to answer the question: How Old is Captain America at the end of Endgame?? He’s been trapped in ice, pumped full of super soldier serum, time traveled, and spent who knows how long in the past! #SuperCarlinBrothers #Avengers #Marvel Edited by: Scott Niswander</t>
        </is>
      </c>
      <c r="V1766" s="47">
        <f>IF(AND(P1766&gt;=Calendar!$K$2,P1766&lt;EDATE(Calendar!$K$2,1),OR(Calendar!$K$4="*",N1766=Calendar!$K$4)),P1766*100+COUNTIFS($P$6:$P$3267,P1766,$Q$6:$Q$3267,"&lt;="&amp;Q1766,$N$6:$N$3267,Calendar!$K$4),"")</f>
        <v/>
      </c>
      <c r="W1766" s="47">
        <f>IF(AND(B1766=Queue!$C$4,OR(Queue!$K$4="*",N1766=Queue!$K$4)),Q1766,"")</f>
        <v/>
      </c>
    </row>
    <row r="1767">
      <c r="A1767" s="38">
        <f>IF(M1767="","",HYPERLINK("https://www.youtube.com/watch?v="&amp;M1767,"▶"))</f>
        <v/>
      </c>
      <c r="B1767" s="39">
        <f>IF(C1767&lt;&gt;"",C1767,IF(P1767&lt;=IFERROR(INDEX(tblChannels[Watched Through],MATCH(N1767,tblChannels[Channel ID],0)),0),"Watched","Unwatched"))</f>
        <v/>
      </c>
      <c r="C1767" s="40" t="n"/>
      <c r="D1767" s="41" t="n"/>
      <c r="E1767" s="42" t="n">
        <v>43719.41666666666</v>
      </c>
      <c r="F1767" s="52" t="inlineStr">
        <is>
          <t>Super Carlin Gaming</t>
        </is>
      </c>
      <c r="G1767" t="inlineStr">
        <is>
          <t>THE FINAL GYM BATTLE |  Pokémon X Nuzlocke #40</t>
        </is>
      </c>
      <c r="H1767" s="44" t="n">
        <v>0.02737268518518518</v>
      </c>
      <c r="I1767" s="45" t="n">
        <v>17005</v>
      </c>
      <c r="J1767" s="45" t="n">
        <v>542</v>
      </c>
      <c r="K1767" s="45" t="n">
        <v>157</v>
      </c>
      <c r="L1767" s="46" t="n"/>
      <c r="M1767" s="47" t="n"/>
      <c r="N1767" s="47" t="inlineStr">
        <is>
          <t>UCor_9jRnNNZVzTuQ92PKsaQ</t>
        </is>
      </c>
      <c r="O1767" s="48" t="n">
        <v>43719.58333333334</v>
      </c>
      <c r="P1767" s="49" t="n">
        <v>43719</v>
      </c>
      <c r="Q1767" s="47" t="n">
        <v>1501</v>
      </c>
      <c r="R1767" s="47" t="inlineStr">
        <is>
          <t>No Video ID yet</t>
        </is>
      </c>
      <c r="S1767" s="49" t="n"/>
      <c r="T1767" s="49" t="n"/>
      <c r="U1767" s="47" t="inlineStr">
        <is>
          <t>Today J and the team hunt down the walrus shaped gym ice type gym leader: WULFRIC, and then challenge him to a battle... TO THE DEATH! Not really.. unless one of our team member dies.. geez I hope that doesn't happen!</t>
        </is>
      </c>
      <c r="V1767" s="47">
        <f>IF(AND(P1767&gt;=Calendar!$K$2,P1767&lt;EDATE(Calendar!$K$2,1),OR(Calendar!$K$4="*",N1767=Calendar!$K$4)),P1767*100+COUNTIFS($P$6:$P$3267,P1767,$Q$6:$Q$3267,"&lt;="&amp;Q1767,$N$6:$N$3267,Calendar!$K$4),"")</f>
        <v/>
      </c>
      <c r="W1767" s="47">
        <f>IF(AND(B1767=Queue!$C$4,OR(Queue!$K$4="*",N1767=Queue!$K$4)),Q1767,"")</f>
        <v/>
      </c>
    </row>
    <row r="1768">
      <c r="A1768" s="38">
        <f>IF(M1768="","",HYPERLINK("https://www.youtube.com/watch?v="&amp;M1768,"▶"))</f>
        <v/>
      </c>
      <c r="B1768" s="39">
        <f>IF(C1768&lt;&gt;"",C1768,IF(P1768&lt;=IFERROR(INDEX(tblChannels[Watched Through],MATCH(N1768,tblChannels[Channel ID],0)),0),"Watched","Unwatched"))</f>
        <v/>
      </c>
      <c r="C1768" s="40" t="n"/>
      <c r="D1768" s="41" t="n"/>
      <c r="E1768" s="42" t="n">
        <v>43718.89027777778</v>
      </c>
      <c r="F1768" s="50" t="inlineStr">
        <is>
          <t>Super Carlin Brothers</t>
        </is>
      </c>
      <c r="G1768" t="inlineStr">
        <is>
          <t>How Much Did Nemo Cost The Dentist? | Pixar Theory</t>
        </is>
      </c>
      <c r="H1768" s="44" t="n">
        <v>0.008622685185185185</v>
      </c>
      <c r="I1768" s="45" t="n">
        <v>314791</v>
      </c>
      <c r="J1768" s="45" t="n">
        <v>10719</v>
      </c>
      <c r="K1768" s="45" t="n">
        <v>1972</v>
      </c>
      <c r="L1768" s="46" t="n"/>
      <c r="M1768" s="47" t="n"/>
      <c r="N1768" s="47" t="inlineStr">
        <is>
          <t>UCKZo4N0lVPccBkSiuyVh4yg</t>
        </is>
      </c>
      <c r="O1768" s="48" t="n">
        <v>43719.05694444444</v>
      </c>
      <c r="P1768" s="49" t="n">
        <v>43718</v>
      </c>
      <c r="Q1768" s="47" t="n">
        <v>1500</v>
      </c>
      <c r="R1768" s="47" t="inlineStr">
        <is>
          <t>No Video ID yet</t>
        </is>
      </c>
      <c r="S1768" s="49" t="n"/>
      <c r="T1768" s="49" t="n"/>
      <c r="U1768" s="47" t="inlineStr">
        <is>
          <t>SCB Annual Survey :: Today J dives into the great barrier reef and the world of Pixar’s Finding Nemo to try and determine if it was even possible for the Dentist to get Nemo to his tank, and how much he ultimately cost him #FindingNemo #SuperCarlinBrothers #PixarTheory</t>
        </is>
      </c>
      <c r="V1768" s="47">
        <f>IF(AND(P1768&gt;=Calendar!$K$2,P1768&lt;EDATE(Calendar!$K$2,1),OR(Calendar!$K$4="*",N1768=Calendar!$K$4)),P1768*100+COUNTIFS($P$6:$P$3267,P1768,$Q$6:$Q$3267,"&lt;="&amp;Q1768,$N$6:$N$3267,Calendar!$K$4),"")</f>
        <v/>
      </c>
      <c r="W1768" s="47">
        <f>IF(AND(B1768=Queue!$C$4,OR(Queue!$K$4="*",N1768=Queue!$K$4)),Q1768,"")</f>
        <v/>
      </c>
    </row>
    <row r="1769">
      <c r="A1769" s="38">
        <f>IF(M1769="","",HYPERLINK("https://www.youtube.com/watch?v="&amp;M1769,"▶"))</f>
        <v/>
      </c>
      <c r="B1769" s="39">
        <f>IF(C1769&lt;&gt;"",C1769,IF(P1769&lt;=IFERROR(INDEX(tblChannels[Watched Through],MATCH(N1769,tblChannels[Channel ID],0)),0),"Watched","Unwatched"))</f>
        <v/>
      </c>
      <c r="C1769" s="40" t="n"/>
      <c r="D1769" s="41" t="n"/>
      <c r="E1769" s="42" t="n">
        <v>43717.48333333333</v>
      </c>
      <c r="F1769" s="53" t="inlineStr">
        <is>
          <t>Jonathan Carlin</t>
        </is>
      </c>
      <c r="G1769" t="inlineStr">
        <is>
          <t>Technical Difficulties...</t>
        </is>
      </c>
      <c r="H1769" s="44" t="n">
        <v>0.003773148148148148</v>
      </c>
      <c r="I1769" s="45" t="n">
        <v>21883</v>
      </c>
      <c r="J1769" s="45" t="n">
        <v>1459</v>
      </c>
      <c r="K1769" s="45" t="n">
        <v>109</v>
      </c>
      <c r="L1769" s="46" t="n"/>
      <c r="M1769" s="47" t="n"/>
      <c r="N1769" s="47" t="inlineStr">
        <is>
          <t>UCYPKFe86e6nm4TVUYKLsFUQ</t>
        </is>
      </c>
      <c r="O1769" s="48" t="n">
        <v>43717.65</v>
      </c>
      <c r="P1769" s="49" t="n">
        <v>43717</v>
      </c>
      <c r="Q1769" s="47" t="n">
        <v>1499</v>
      </c>
      <c r="R1769" s="47" t="inlineStr">
        <is>
          <t>No Video ID yet</t>
        </is>
      </c>
      <c r="S1769" s="49" t="n"/>
      <c r="T1769" s="49" t="n"/>
      <c r="U1769" s="47" t="inlineStr">
        <is>
          <t>This week J and the team deal with technical difficulties at the office and Luke goes for a bike ride with Papa John.</t>
        </is>
      </c>
      <c r="V1769" s="47">
        <f>IF(AND(P1769&gt;=Calendar!$K$2,P1769&lt;EDATE(Calendar!$K$2,1),OR(Calendar!$K$4="*",N1769=Calendar!$K$4)),P1769*100+COUNTIFS($P$6:$P$3267,P1769,$Q$6:$Q$3267,"&lt;="&amp;Q1769,$N$6:$N$3267,Calendar!$K$4),"")</f>
        <v/>
      </c>
      <c r="W1769" s="47">
        <f>IF(AND(B1769=Queue!$C$4,OR(Queue!$K$4="*",N1769=Queue!$K$4)),Q1769,"")</f>
        <v/>
      </c>
    </row>
    <row r="1770">
      <c r="A1770" s="38">
        <f>IF(M1770="","",HYPERLINK("https://www.youtube.com/watch?v="&amp;M1770,"▶"))</f>
        <v/>
      </c>
      <c r="B1770" s="39">
        <f>IF(C1770&lt;&gt;"",C1770,IF(P1770&lt;=IFERROR(INDEX(tblChannels[Watched Through],MATCH(N1770,tblChannels[Channel ID],0)),0),"Watched","Unwatched"))</f>
        <v/>
      </c>
      <c r="C1770" s="40" t="n"/>
      <c r="D1770" s="41" t="n"/>
      <c r="E1770" s="42" t="n">
        <v>43714.41666666666</v>
      </c>
      <c r="F1770" s="52" t="inlineStr">
        <is>
          <t>Super Carlin Gaming</t>
        </is>
      </c>
      <c r="G1770" t="inlineStr">
        <is>
          <t>Hogwarts Founders Build Ravenclaw Tower in SIMS 4 | Episode #3</t>
        </is>
      </c>
      <c r="H1770" s="44" t="n">
        <v>0.02434027777777778</v>
      </c>
      <c r="I1770" s="45" t="n">
        <v>57498</v>
      </c>
      <c r="J1770" s="45" t="n">
        <v>2021</v>
      </c>
      <c r="K1770" s="45" t="n">
        <v>405</v>
      </c>
      <c r="L1770" s="46" t="n"/>
      <c r="M1770" s="47" t="n"/>
      <c r="N1770" s="47" t="inlineStr">
        <is>
          <t>UCor_9jRnNNZVzTuQ92PKsaQ</t>
        </is>
      </c>
      <c r="O1770" s="48" t="n">
        <v>43714.58333333334</v>
      </c>
      <c r="P1770" s="49" t="n">
        <v>43714</v>
      </c>
      <c r="Q1770" s="47" t="n">
        <v>1498</v>
      </c>
      <c r="R1770" s="47" t="inlineStr">
        <is>
          <t>No Video ID yet</t>
        </is>
      </c>
      <c r="S1770" s="49" t="n"/>
      <c r="T1770" s="49" t="n"/>
      <c r="U1770" s="47" t="inlineStr">
        <is>
          <t>J and Ben continue the founding of Hogwarts with Godric Gryffindor, Rowena Ravenclaw, Helga Hufflepuff and Salazar Slytherin! Today.. the begin construction of Ravenclaw tower.. including stairs.. something long believed to be IMPOSSIBLE in the Sims! #Sims4 #HarryPotter</t>
        </is>
      </c>
      <c r="V1770" s="47">
        <f>IF(AND(P1770&gt;=Calendar!$K$2,P1770&lt;EDATE(Calendar!$K$2,1),OR(Calendar!$K$4="*",N1770=Calendar!$K$4)),P1770*100+COUNTIFS($P$6:$P$3267,P1770,$Q$6:$Q$3267,"&lt;="&amp;Q1770,$N$6:$N$3267,Calendar!$K$4),"")</f>
        <v/>
      </c>
      <c r="W1770" s="47">
        <f>IF(AND(B1770=Queue!$C$4,OR(Queue!$K$4="*",N1770=Queue!$K$4)),Q1770,"")</f>
        <v/>
      </c>
    </row>
    <row r="1771">
      <c r="A1771" s="38">
        <f>IF(M1771="","",HYPERLINK("https://www.youtube.com/watch?v="&amp;M1771,"▶"))</f>
        <v/>
      </c>
      <c r="B1771" s="39">
        <f>IF(C1771&lt;&gt;"",C1771,IF(P1771&lt;=IFERROR(INDEX(tblChannels[Watched Through],MATCH(N1771,tblChannels[Channel ID],0)),0),"Watched","Unwatched"))</f>
        <v/>
      </c>
      <c r="C1771" s="40" t="n"/>
      <c r="D1771" s="41" t="n"/>
      <c r="E1771" s="42" t="n">
        <v>43713.91180555556</v>
      </c>
      <c r="F1771" s="50" t="inlineStr">
        <is>
          <t>Super Carlin Brothers</t>
        </is>
      </c>
      <c r="G1771" t="inlineStr">
        <is>
          <t>Voldemort’s Grandmother REVEALED | Harry Potter Theory</t>
        </is>
      </c>
      <c r="H1771" s="44" t="n">
        <v>0.01049768518518518</v>
      </c>
      <c r="I1771" s="45" t="n">
        <v>814935</v>
      </c>
      <c r="J1771" s="45" t="n">
        <v>23388</v>
      </c>
      <c r="K1771" s="45" t="n">
        <v>2741</v>
      </c>
      <c r="L1771" s="46" t="n"/>
      <c r="M1771" s="47" t="n"/>
      <c r="N1771" s="47" t="inlineStr">
        <is>
          <t>UCKZo4N0lVPccBkSiuyVh4yg</t>
        </is>
      </c>
      <c r="O1771" s="48" t="n">
        <v>43714.07847222222</v>
      </c>
      <c r="P1771" s="49" t="n">
        <v>43713</v>
      </c>
      <c r="Q1771" s="47" t="n">
        <v>1497</v>
      </c>
      <c r="R1771" s="47" t="inlineStr">
        <is>
          <t>No Video ID yet</t>
        </is>
      </c>
      <c r="S1771" s="49" t="n"/>
      <c r="T1771" s="49" t="n"/>
      <c r="U1771" s="47" t="inlineStr">
        <is>
          <t>SCB Annual Survey :: Today Ben dives into the Wizarding World of Harry Potter to try and answer an age old mystery about the identity of Voldemort’s Grandmother aka #Nanamort - Could she have been involved in the creation of one of his Horcruxes??? #HarryPotter #SuperCarlinBrothers #HarryPotterTheory Edited by: Scott Niswander</t>
        </is>
      </c>
      <c r="V1771" s="47">
        <f>IF(AND(P1771&gt;=Calendar!$K$2,P1771&lt;EDATE(Calendar!$K$2,1),OR(Calendar!$K$4="*",N1771=Calendar!$K$4)),P1771*100+COUNTIFS($P$6:$P$3267,P1771,$Q$6:$Q$3267,"&lt;="&amp;Q1771,$N$6:$N$3267,Calendar!$K$4),"")</f>
        <v/>
      </c>
      <c r="W1771" s="47">
        <f>IF(AND(B1771=Queue!$C$4,OR(Queue!$K$4="*",N1771=Queue!$K$4)),Q1771,"")</f>
        <v/>
      </c>
    </row>
    <row r="1772">
      <c r="A1772" s="38">
        <f>IF(M1772="","",HYPERLINK("https://www.youtube.com/watch?v="&amp;M1772,"▶"))</f>
        <v/>
      </c>
      <c r="B1772" s="39">
        <f>IF(C1772&lt;&gt;"",C1772,IF(P1772&lt;=IFERROR(INDEX(tblChannels[Watched Through],MATCH(N1772,tblChannels[Channel ID],0)),0),"Watched","Unwatched"))</f>
        <v/>
      </c>
      <c r="C1772" s="40" t="n"/>
      <c r="D1772" s="41" t="n"/>
      <c r="E1772" s="42" t="n">
        <v>43712.49930555555</v>
      </c>
      <c r="F1772" s="52" t="inlineStr">
        <is>
          <t>Super Carlin Gaming</t>
        </is>
      </c>
      <c r="G1772" t="inlineStr">
        <is>
          <t>THE BRIDGE OF BATTLES |  Pokémon X Nuzlocke #39</t>
        </is>
      </c>
      <c r="H1772" s="44" t="n">
        <v>0.01841435185185185</v>
      </c>
      <c r="I1772" s="45" t="n">
        <v>15287</v>
      </c>
      <c r="J1772" s="45" t="n">
        <v>534</v>
      </c>
      <c r="K1772" s="45" t="n">
        <v>126</v>
      </c>
      <c r="L1772" s="46" t="n"/>
      <c r="M1772" s="47" t="n"/>
      <c r="N1772" s="47" t="inlineStr">
        <is>
          <t>UCor_9jRnNNZVzTuQ92PKsaQ</t>
        </is>
      </c>
      <c r="O1772" s="48" t="n">
        <v>43712.66597222222</v>
      </c>
      <c r="P1772" s="49" t="n">
        <v>43712</v>
      </c>
      <c r="Q1772" s="47" t="n">
        <v>1496</v>
      </c>
      <c r="R1772" s="47" t="inlineStr">
        <is>
          <t>No Video ID yet</t>
        </is>
      </c>
      <c r="S1772" s="49" t="n"/>
      <c r="T1772" s="49" t="n"/>
      <c r="U1772" s="47" t="inlineStr">
        <is>
          <t>Today J and the team head towards their 8th gym badge but are unceremoniously interrupted by a wild hoard of RIVAL BATTLES! Can the team survive this impromptu attack?? #Pokemon #Nuzlocke</t>
        </is>
      </c>
      <c r="V1772" s="47">
        <f>IF(AND(P1772&gt;=Calendar!$K$2,P1772&lt;EDATE(Calendar!$K$2,1),OR(Calendar!$K$4="*",N1772=Calendar!$K$4)),P1772*100+COUNTIFS($P$6:$P$3267,P1772,$Q$6:$Q$3267,"&lt;="&amp;Q1772,$N$6:$N$3267,Calendar!$K$4),"")</f>
        <v/>
      </c>
      <c r="W1772" s="47">
        <f>IF(AND(B1772=Queue!$C$4,OR(Queue!$K$4="*",N1772=Queue!$K$4)),Q1772,"")</f>
        <v/>
      </c>
    </row>
    <row r="1773">
      <c r="A1773" s="38">
        <f>IF(M1773="","",HYPERLINK("https://www.youtube.com/watch?v="&amp;M1773,"▶"))</f>
        <v/>
      </c>
      <c r="B1773" s="39">
        <f>IF(C1773&lt;&gt;"",C1773,IF(P1773&lt;=IFERROR(INDEX(tblChannels[Watched Through],MATCH(N1773,tblChannels[Channel ID],0)),0),"Watched","Unwatched"))</f>
        <v/>
      </c>
      <c r="C1773" s="40" t="n"/>
      <c r="D1773" s="41" t="n"/>
      <c r="E1773" s="42" t="n">
        <v>43711.78958333333</v>
      </c>
      <c r="F1773" s="50" t="inlineStr">
        <is>
          <t>Super Carlin Brothers</t>
        </is>
      </c>
      <c r="G1773" t="inlineStr">
        <is>
          <t>Is Hagrid Secretly A Millionaire!? | Harry Potter Theory</t>
        </is>
      </c>
      <c r="H1773" s="44" t="n">
        <v>0.009548611111111112</v>
      </c>
      <c r="I1773" s="45" t="n">
        <v>1296695</v>
      </c>
      <c r="J1773" s="45" t="n">
        <v>35258</v>
      </c>
      <c r="K1773" s="45" t="n">
        <v>3816</v>
      </c>
      <c r="L1773" s="46" t="n"/>
      <c r="M1773" s="47" t="n"/>
      <c r="N1773" s="47" t="inlineStr">
        <is>
          <t>UCKZo4N0lVPccBkSiuyVh4yg</t>
        </is>
      </c>
      <c r="O1773" s="48" t="n">
        <v>43711.95625</v>
      </c>
      <c r="P1773" s="49" t="n">
        <v>43711</v>
      </c>
      <c r="Q1773" s="47" t="n">
        <v>1495</v>
      </c>
      <c r="R1773" s="47" t="inlineStr">
        <is>
          <t>No Video ID yet</t>
        </is>
      </c>
      <c r="S1773" s="49" t="n"/>
      <c r="T1773" s="49" t="n"/>
      <c r="U1773" s="47" t="inlineStr">
        <is>
          <t>Today J dives into the wizarding world of Harry Potter to try and determine if Hagrid, the humble keeper of keys and grounds at Hogwarts School of Witchcraft and Wizardry is actually.. a Millionaire. #Swagrid #HarryPotter #SuperCarlinBrothers Edited by: J Carlin Swagrid by: Scott Niswander</t>
        </is>
      </c>
      <c r="V1773" s="47">
        <f>IF(AND(P1773&gt;=Calendar!$K$2,P1773&lt;EDATE(Calendar!$K$2,1),OR(Calendar!$K$4="*",N1773=Calendar!$K$4)),P1773*100+COUNTIFS($P$6:$P$3267,P1773,$Q$6:$Q$3267,"&lt;="&amp;Q1773,$N$6:$N$3267,Calendar!$K$4),"")</f>
        <v/>
      </c>
      <c r="W1773" s="47">
        <f>IF(AND(B1773=Queue!$C$4,OR(Queue!$K$4="*",N1773=Queue!$K$4)),Q1773,"")</f>
        <v/>
      </c>
    </row>
    <row r="1774">
      <c r="A1774" s="38">
        <f>IF(M1774="","",HYPERLINK("https://www.youtube.com/watch?v="&amp;M1774,"▶"))</f>
        <v/>
      </c>
      <c r="B1774" s="39">
        <f>IF(C1774&lt;&gt;"",C1774,IF(P1774&lt;=IFERROR(INDEX(tblChannels[Watched Through],MATCH(N1774,tblChannels[Channel ID],0)),0),"Watched","Unwatched"))</f>
        <v/>
      </c>
      <c r="C1774" s="40" t="n"/>
      <c r="D1774" s="41" t="n"/>
      <c r="E1774" s="42" t="n">
        <v>43707.41666666666</v>
      </c>
      <c r="F1774" s="52" t="inlineStr">
        <is>
          <t>Super Carlin Gaming</t>
        </is>
      </c>
      <c r="G1774" t="inlineStr">
        <is>
          <t>Hogwarts Founders Build the Common Rooms in SIMS 4 | Episode 2</t>
        </is>
      </c>
      <c r="H1774" s="44" t="n">
        <v>0.03998842592592593</v>
      </c>
      <c r="I1774" s="45" t="n">
        <v>83444</v>
      </c>
      <c r="J1774" s="45" t="n">
        <v>2572</v>
      </c>
      <c r="K1774" s="45" t="n">
        <v>530</v>
      </c>
      <c r="L1774" s="46" t="n"/>
      <c r="M1774" s="47" t="n"/>
      <c r="N1774" s="47" t="inlineStr">
        <is>
          <t>UCor_9jRnNNZVzTuQ92PKsaQ</t>
        </is>
      </c>
      <c r="O1774" s="48" t="n">
        <v>43707.58333333334</v>
      </c>
      <c r="P1774" s="49" t="n">
        <v>43707</v>
      </c>
      <c r="Q1774" s="47" t="n">
        <v>1494</v>
      </c>
      <c r="R1774" s="47" t="inlineStr">
        <is>
          <t>No Video ID yet</t>
        </is>
      </c>
      <c r="S1774" s="49" t="n"/>
      <c r="T1774" s="49" t="n"/>
      <c r="U1774" s="47" t="inlineStr">
        <is>
          <t>J and Ben continue the founding of Hogwarts with Godric Gryffindor, Rowena Ravenclaw, Helga Hufflepuff and Salazar Slytherin! Today they lay the foundations for a castle, get jobs and build an outhouse!</t>
        </is>
      </c>
      <c r="V1774" s="47">
        <f>IF(AND(P1774&gt;=Calendar!$K$2,P1774&lt;EDATE(Calendar!$K$2,1),OR(Calendar!$K$4="*",N1774=Calendar!$K$4)),P1774*100+COUNTIFS($P$6:$P$3267,P1774,$Q$6:$Q$3267,"&lt;="&amp;Q1774,$N$6:$N$3267,Calendar!$K$4),"")</f>
        <v/>
      </c>
      <c r="W1774" s="47">
        <f>IF(AND(B1774=Queue!$C$4,OR(Queue!$K$4="*",N1774=Queue!$K$4)),Q1774,"")</f>
        <v/>
      </c>
    </row>
    <row r="1775">
      <c r="A1775" s="38">
        <f>IF(M1775="","",HYPERLINK("https://www.youtube.com/watch?v="&amp;M1775,"▶"))</f>
        <v/>
      </c>
      <c r="B1775" s="39">
        <f>IF(C1775&lt;&gt;"",C1775,IF(P1775&lt;=IFERROR(INDEX(tblChannels[Watched Through],MATCH(N1775,tblChannels[Channel ID],0)),0),"Watched","Unwatched"))</f>
        <v/>
      </c>
      <c r="C1775" s="40" t="n"/>
      <c r="D1775" s="41" t="n"/>
      <c r="E1775" s="42" t="n">
        <v>43706.70972222222</v>
      </c>
      <c r="F1775" s="50" t="inlineStr">
        <is>
          <t>Super Carlin Brothers</t>
        </is>
      </c>
      <c r="G1775" t="inlineStr">
        <is>
          <t>J vs Ben: INSANE Harry Potter Trivia Quiz</t>
        </is>
      </c>
      <c r="H1775" s="44" t="n">
        <v>0.02180555555555556</v>
      </c>
      <c r="I1775" s="45" t="n">
        <v>821706</v>
      </c>
      <c r="J1775" s="45" t="n">
        <v>16837</v>
      </c>
      <c r="K1775" s="45" t="n">
        <v>2711</v>
      </c>
      <c r="L1775" s="46" t="n"/>
      <c r="M1775" s="47" t="n"/>
      <c r="N1775" s="47" t="inlineStr">
        <is>
          <t>UCKZo4N0lVPccBkSiuyVh4yg</t>
        </is>
      </c>
      <c r="O1775" s="48" t="n">
        <v>43706.87638888889</v>
      </c>
      <c r="P1775" s="49" t="n">
        <v>43706</v>
      </c>
      <c r="Q1775" s="47" t="n">
        <v>1493</v>
      </c>
      <c r="R1775" s="47" t="inlineStr">
        <is>
          <t>No Video ID yet</t>
        </is>
      </c>
      <c r="S1775" s="49" t="n"/>
      <c r="T1775" s="49" t="n"/>
      <c r="U1775" s="47" t="inlineStr">
        <is>
          <t>Today J and Ben face off in the hardest Harry Potter trivia quiz they have ever seen, seriously if you get more than 5 of these correct you are indeed a genius! #JvsBen #SuperCarlinBrothers Edited by: J Carlin Tea Edited by: Scott Niswander</t>
        </is>
      </c>
      <c r="V1775" s="47">
        <f>IF(AND(P1775&gt;=Calendar!$K$2,P1775&lt;EDATE(Calendar!$K$2,1),OR(Calendar!$K$4="*",N1775=Calendar!$K$4)),P1775*100+COUNTIFS($P$6:$P$3267,P1775,$Q$6:$Q$3267,"&lt;="&amp;Q1775,$N$6:$N$3267,Calendar!$K$4),"")</f>
        <v/>
      </c>
      <c r="W1775" s="47">
        <f>IF(AND(B1775=Queue!$C$4,OR(Queue!$K$4="*",N1775=Queue!$K$4)),Q1775,"")</f>
        <v/>
      </c>
    </row>
    <row r="1776">
      <c r="A1776" s="38">
        <f>IF(M1776="","",HYPERLINK("https://www.youtube.com/watch?v="&amp;M1776,"▶"))</f>
        <v/>
      </c>
      <c r="B1776" s="39">
        <f>IF(C1776&lt;&gt;"",C1776,IF(P1776&lt;=IFERROR(INDEX(tblChannels[Watched Through],MATCH(N1776,tblChannels[Channel ID],0)),0),"Watched","Unwatched"))</f>
        <v/>
      </c>
      <c r="C1776" s="40" t="n"/>
      <c r="D1776" s="41" t="n"/>
      <c r="E1776" s="42" t="n">
        <v>43705.49236111111</v>
      </c>
      <c r="F1776" s="52" t="inlineStr">
        <is>
          <t>Super Carlin Gaming</t>
        </is>
      </c>
      <c r="G1776" t="inlineStr">
        <is>
          <t>Sycamore's Startling Surprise! |  Pokémon X Nuzlocke #38</t>
        </is>
      </c>
      <c r="H1776" s="44" t="n">
        <v>0.02333333333333333</v>
      </c>
      <c r="I1776" s="45" t="n">
        <v>17376</v>
      </c>
      <c r="J1776" s="45" t="n">
        <v>538</v>
      </c>
      <c r="K1776" s="45" t="n">
        <v>119</v>
      </c>
      <c r="L1776" s="46" t="n"/>
      <c r="M1776" s="47" t="n"/>
      <c r="N1776" s="47" t="inlineStr">
        <is>
          <t>UCor_9jRnNNZVzTuQ92PKsaQ</t>
        </is>
      </c>
      <c r="O1776" s="48" t="n">
        <v>43705.65902777778</v>
      </c>
      <c r="P1776" s="49" t="n">
        <v>43705</v>
      </c>
      <c r="Q1776" s="47" t="n">
        <v>1492</v>
      </c>
      <c r="R1776" s="47" t="inlineStr">
        <is>
          <t>No Video ID yet</t>
        </is>
      </c>
      <c r="S1776" s="49" t="n"/>
      <c r="T1776" s="49" t="n"/>
      <c r="U1776" s="47" t="inlineStr">
        <is>
          <t>Today J and the team welcome Daven the Xerneas to the team and continue along the route to the next gym before being surprised by the freak appearance of Professor Sycamore!</t>
        </is>
      </c>
      <c r="V1776" s="47">
        <f>IF(AND(P1776&gt;=Calendar!$K$2,P1776&lt;EDATE(Calendar!$K$2,1),OR(Calendar!$K$4="*",N1776=Calendar!$K$4)),P1776*100+COUNTIFS($P$6:$P$3267,P1776,$Q$6:$Q$3267,"&lt;="&amp;Q1776,$N$6:$N$3267,Calendar!$K$4),"")</f>
        <v/>
      </c>
      <c r="W1776" s="47">
        <f>IF(AND(B1776=Queue!$C$4,OR(Queue!$K$4="*",N1776=Queue!$K$4)),Q1776,"")</f>
        <v/>
      </c>
    </row>
    <row r="1777">
      <c r="A1777" s="38">
        <f>IF(M1777="","",HYPERLINK("https://www.youtube.com/watch?v="&amp;M1777,"▶"))</f>
        <v/>
      </c>
      <c r="B1777" s="39">
        <f>IF(C1777&lt;&gt;"",C1777,IF(P1777&lt;=IFERROR(INDEX(tblChannels[Watched Through],MATCH(N1777,tblChannels[Channel ID],0)),0),"Watched","Unwatched"))</f>
        <v/>
      </c>
      <c r="C1777" s="40" t="n"/>
      <c r="D1777" s="41" t="n"/>
      <c r="E1777" s="42" t="n">
        <v>43704.86666666667</v>
      </c>
      <c r="F1777" s="50" t="inlineStr">
        <is>
          <t>Super Carlin Brothers</t>
        </is>
      </c>
      <c r="G1777" t="inlineStr">
        <is>
          <t>STAR WARS Dark Rey Explained | Episode 9 The Rise of Skywalker</t>
        </is>
      </c>
      <c r="H1777" s="44" t="n">
        <v>0.009918981481481482</v>
      </c>
      <c r="I1777" s="45" t="n">
        <v>378967</v>
      </c>
      <c r="J1777" s="45" t="n">
        <v>12258</v>
      </c>
      <c r="K1777" s="45" t="n">
        <v>1986</v>
      </c>
      <c r="L1777" s="46" t="n"/>
      <c r="M1777" s="47" t="n"/>
      <c r="N1777" s="47" t="inlineStr">
        <is>
          <t>UCKZo4N0lVPccBkSiuyVh4yg</t>
        </is>
      </c>
      <c r="O1777" s="48" t="n">
        <v>43705.03333333333</v>
      </c>
      <c r="P1777" s="49" t="n">
        <v>43704</v>
      </c>
      <c r="Q1777" s="47" t="n">
        <v>1491</v>
      </c>
      <c r="R1777" s="47" t="inlineStr">
        <is>
          <t>No Video ID yet</t>
        </is>
      </c>
      <c r="S1777" s="49" t="n"/>
      <c r="T1777" s="49" t="n"/>
      <c r="U1777" s="47" t="inlineStr">
        <is>
          <t>Today J dives into the Star Wars galaxy to discuss the latest trailer from D23 regarding Star Wars Episode 9 the Rise of Skywalker and the reveal of Dark Rey! Will Rey turn evil? Does she have a dark clone? A Twin!? Edited by: Scott Niswander</t>
        </is>
      </c>
      <c r="V1777" s="47">
        <f>IF(AND(P1777&gt;=Calendar!$K$2,P1777&lt;EDATE(Calendar!$K$2,1),OR(Calendar!$K$4="*",N1777=Calendar!$K$4)),P1777*100+COUNTIFS($P$6:$P$3267,P1777,$Q$6:$Q$3267,"&lt;="&amp;Q1777,$N$6:$N$3267,Calendar!$K$4),"")</f>
        <v/>
      </c>
      <c r="W1777" s="47">
        <f>IF(AND(B1777=Queue!$C$4,OR(Queue!$K$4="*",N1777=Queue!$K$4)),Q1777,"")</f>
        <v/>
      </c>
    </row>
    <row r="1778">
      <c r="A1778" s="38">
        <f>IF(M1778="","",HYPERLINK("https://www.youtube.com/watch?v="&amp;M1778,"▶"))</f>
        <v/>
      </c>
      <c r="B1778" s="39">
        <f>IF(C1778&lt;&gt;"",C1778,IF(P1778&lt;=IFERROR(INDEX(tblChannels[Watched Through],MATCH(N1778,tblChannels[Channel ID],0)),0),"Watched","Unwatched"))</f>
        <v/>
      </c>
      <c r="C1778" s="40" t="n"/>
      <c r="D1778" s="41" t="n"/>
      <c r="E1778" s="42" t="n">
        <v>43704.57152777778</v>
      </c>
      <c r="F1778" s="53" t="inlineStr">
        <is>
          <t>Jonathan Carlin</t>
        </is>
      </c>
      <c r="G1778" t="inlineStr">
        <is>
          <t>TOUCH A TRUCK RETURNS!</t>
        </is>
      </c>
      <c r="H1778" s="44" t="n">
        <v>0.004675925925925926</v>
      </c>
      <c r="I1778" s="45" t="n">
        <v>17968</v>
      </c>
      <c r="J1778" s="45" t="n">
        <v>1130</v>
      </c>
      <c r="K1778" s="45" t="n">
        <v>76</v>
      </c>
      <c r="L1778" s="46" t="n"/>
      <c r="M1778" s="47" t="n"/>
      <c r="N1778" s="47" t="inlineStr">
        <is>
          <t>UCYPKFe86e6nm4TVUYKLsFUQ</t>
        </is>
      </c>
      <c r="O1778" s="48" t="n">
        <v>43704.73819444444</v>
      </c>
      <c r="P1778" s="49" t="n">
        <v>43704</v>
      </c>
      <c r="Q1778" s="47" t="n">
        <v>1490</v>
      </c>
      <c r="R1778" s="47" t="inlineStr">
        <is>
          <t>No Video ID yet</t>
        </is>
      </c>
      <c r="S1778" s="49" t="n"/>
      <c r="T1778" s="49" t="n"/>
      <c r="U1778" s="47" t="inlineStr">
        <is>
          <t>J and the SCB team finally get a break from work and Luke touches ALL of the trucks!</t>
        </is>
      </c>
      <c r="V1778" s="47">
        <f>IF(AND(P1778&gt;=Calendar!$K$2,P1778&lt;EDATE(Calendar!$K$2,1),OR(Calendar!$K$4="*",N1778=Calendar!$K$4)),P1778*100+COUNTIFS($P$6:$P$3267,P1778,$Q$6:$Q$3267,"&lt;="&amp;Q1778,$N$6:$N$3267,Calendar!$K$4),"")</f>
        <v/>
      </c>
      <c r="W1778" s="47">
        <f>IF(AND(B1778=Queue!$C$4,OR(Queue!$K$4="*",N1778=Queue!$K$4)),Q1778,"")</f>
        <v/>
      </c>
    </row>
    <row r="1779">
      <c r="A1779" s="38">
        <f>IF(M1779="","",HYPERLINK("https://www.youtube.com/watch?v="&amp;M1779,"▶"))</f>
        <v/>
      </c>
      <c r="B1779" s="39">
        <f>IF(C1779&lt;&gt;"",C1779,IF(P1779&lt;=IFERROR(INDEX(tblChannels[Watched Through],MATCH(N1779,tblChannels[Channel ID],0)),0),"Watched","Unwatched"))</f>
        <v/>
      </c>
      <c r="C1779" s="40" t="n"/>
      <c r="D1779" s="41" t="n"/>
      <c r="E1779" s="42" t="n">
        <v>43700.45763888889</v>
      </c>
      <c r="F1779" s="52" t="inlineStr">
        <is>
          <t>Super Carlin Gaming</t>
        </is>
      </c>
      <c r="G1779" t="inlineStr">
        <is>
          <t>Hogwarts Founders GET CREATED in SIMS 4 | Episode 1</t>
        </is>
      </c>
      <c r="H1779" s="44" t="n">
        <v>0.02697916666666667</v>
      </c>
      <c r="I1779" s="45" t="n">
        <v>136742</v>
      </c>
      <c r="J1779" s="45" t="n">
        <v>4672</v>
      </c>
      <c r="K1779" s="45" t="n">
        <v>658</v>
      </c>
      <c r="L1779" s="46" t="n"/>
      <c r="M1779" s="47" t="n"/>
      <c r="N1779" s="47" t="inlineStr">
        <is>
          <t>UCor_9jRnNNZVzTuQ92PKsaQ</t>
        </is>
      </c>
      <c r="O1779" s="48" t="n">
        <v>43700.62430555555</v>
      </c>
      <c r="P1779" s="49" t="n">
        <v>43700</v>
      </c>
      <c r="Q1779" s="47" t="n">
        <v>1489</v>
      </c>
      <c r="R1779" s="47" t="inlineStr">
        <is>
          <t>No Video ID yet</t>
        </is>
      </c>
      <c r="S1779" s="49" t="n"/>
      <c r="T1779" s="49" t="n"/>
      <c r="U1779" s="47" t="inlineStr">
        <is>
          <t>J and Ben embark on a new Sims 4 Adventure where they create the 4 founders of Hogwarts School of Witchcraft and Wizardry and see what happens!</t>
        </is>
      </c>
      <c r="V1779" s="47">
        <f>IF(AND(P1779&gt;=Calendar!$K$2,P1779&lt;EDATE(Calendar!$K$2,1),OR(Calendar!$K$4="*",N1779=Calendar!$K$4)),P1779*100+COUNTIFS($P$6:$P$3267,P1779,$Q$6:$Q$3267,"&lt;="&amp;Q1779,$N$6:$N$3267,Calendar!$K$4),"")</f>
        <v/>
      </c>
      <c r="W1779" s="47">
        <f>IF(AND(B1779=Queue!$C$4,OR(Queue!$K$4="*",N1779=Queue!$K$4)),Q1779,"")</f>
        <v/>
      </c>
    </row>
    <row r="1780">
      <c r="A1780" s="38">
        <f>IF(M1780="","",HYPERLINK("https://www.youtube.com/watch?v="&amp;M1780,"▶"))</f>
        <v/>
      </c>
      <c r="B1780" s="39">
        <f>IF(C1780&lt;&gt;"",C1780,IF(P1780&lt;=IFERROR(INDEX(tblChannels[Watched Through],MATCH(N1780,tblChannels[Channel ID],0)),0),"Watched","Unwatched"))</f>
        <v/>
      </c>
      <c r="C1780" s="40" t="n"/>
      <c r="D1780" s="41" t="n"/>
      <c r="E1780" s="42" t="n">
        <v>43699.83888888889</v>
      </c>
      <c r="F1780" s="50" t="inlineStr">
        <is>
          <t>Super Carlin Brothers</t>
        </is>
      </c>
      <c r="G1780" t="inlineStr">
        <is>
          <t>Marvel Theory: Was Cap Always Worthy To Lift Mjolnir? | Avengers Endgame</t>
        </is>
      </c>
      <c r="H1780" s="44" t="n">
        <v>0.009131944444444444</v>
      </c>
      <c r="I1780" s="45" t="n">
        <v>339377</v>
      </c>
      <c r="J1780" s="45" t="n">
        <v>14886</v>
      </c>
      <c r="K1780" s="45" t="n">
        <v>1964</v>
      </c>
      <c r="L1780" s="46" t="n"/>
      <c r="M1780" s="47" t="n"/>
      <c r="N1780" s="47" t="inlineStr">
        <is>
          <t>UCKZo4N0lVPccBkSiuyVh4yg</t>
        </is>
      </c>
      <c r="O1780" s="48" t="n">
        <v>43700.00555555556</v>
      </c>
      <c r="P1780" s="49" t="n">
        <v>43699</v>
      </c>
      <c r="Q1780" s="47" t="n">
        <v>1488</v>
      </c>
      <c r="R1780" s="47" t="inlineStr">
        <is>
          <t>No Video ID yet</t>
        </is>
      </c>
      <c r="S1780" s="49" t="n"/>
      <c r="T1780" s="49" t="n"/>
      <c r="U1780" s="47" t="inlineStr">
        <is>
          <t>Today Ben dives into the Marvel Cinematic Universe to try and answer a question that has been plaguing the fandom since Age of Ultron - Was Captain America ALWAYS worthy enough to wield Mjolnir? Or was his guilt over not telling Tony the truth about his parents holding him back? Edited by: Scott Niswander</t>
        </is>
      </c>
      <c r="V1780" s="47">
        <f>IF(AND(P1780&gt;=Calendar!$K$2,P1780&lt;EDATE(Calendar!$K$2,1),OR(Calendar!$K$4="*",N1780=Calendar!$K$4)),P1780*100+COUNTIFS($P$6:$P$3267,P1780,$Q$6:$Q$3267,"&lt;="&amp;Q1780,$N$6:$N$3267,Calendar!$K$4),"")</f>
        <v/>
      </c>
      <c r="W1780" s="47">
        <f>IF(AND(B1780=Queue!$C$4,OR(Queue!$K$4="*",N1780=Queue!$K$4)),Q1780,"")</f>
        <v/>
      </c>
    </row>
    <row r="1781">
      <c r="A1781" s="38">
        <f>IF(M1781="","",HYPERLINK("https://www.youtube.com/watch?v="&amp;M1781,"▶"))</f>
        <v/>
      </c>
      <c r="B1781" s="39">
        <f>IF(C1781&lt;&gt;"",C1781,IF(P1781&lt;=IFERROR(INDEX(tblChannels[Watched Through],MATCH(N1781,tblChannels[Channel ID],0)),0),"Watched","Unwatched"))</f>
        <v/>
      </c>
      <c r="C1781" s="40" t="n"/>
      <c r="D1781" s="41" t="n"/>
      <c r="E1781" s="42" t="n">
        <v>43699.40625</v>
      </c>
      <c r="F1781" s="52" t="inlineStr">
        <is>
          <t>Super Carlin Gaming</t>
        </is>
      </c>
      <c r="G1781" t="inlineStr">
        <is>
          <t>LYSANDRE FINAL BATTLE |  Pokémon X Nuzlocke #37</t>
        </is>
      </c>
      <c r="H1781" s="44" t="n">
        <v>0.02465277777777778</v>
      </c>
      <c r="I1781" s="45" t="n">
        <v>17552</v>
      </c>
      <c r="J1781" s="45" t="n">
        <v>596</v>
      </c>
      <c r="K1781" s="45" t="n">
        <v>101</v>
      </c>
      <c r="L1781" s="46" t="n"/>
      <c r="M1781" s="47" t="n"/>
      <c r="N1781" s="47" t="inlineStr">
        <is>
          <t>UCor_9jRnNNZVzTuQ92PKsaQ</t>
        </is>
      </c>
      <c r="O1781" s="48" t="n">
        <v>43699.57291666666</v>
      </c>
      <c r="P1781" s="49" t="n">
        <v>43699</v>
      </c>
      <c r="Q1781" s="47" t="n">
        <v>1487</v>
      </c>
      <c r="R1781" s="47" t="inlineStr">
        <is>
          <t>No Video ID yet</t>
        </is>
      </c>
      <c r="S1781" s="49" t="n"/>
      <c r="T1781" s="49" t="n"/>
      <c r="U1781" s="47" t="inlineStr">
        <is>
          <t>J and the team take on Lysandre for the final time and try to catch the Legendary Pokemon Xerneas! (also sorry there is no game audio... didnt discover the issue til it was to late please enjoy the early morning sound of my voice as best you can!)</t>
        </is>
      </c>
      <c r="V1781" s="47">
        <f>IF(AND(P1781&gt;=Calendar!$K$2,P1781&lt;EDATE(Calendar!$K$2,1),OR(Calendar!$K$4="*",N1781=Calendar!$K$4)),P1781*100+COUNTIFS($P$6:$P$3267,P1781,$Q$6:$Q$3267,"&lt;="&amp;Q1781,$N$6:$N$3267,Calendar!$K$4),"")</f>
        <v/>
      </c>
      <c r="W1781" s="47">
        <f>IF(AND(B1781=Queue!$C$4,OR(Queue!$K$4="*",N1781=Queue!$K$4)),Q1781,"")</f>
        <v/>
      </c>
    </row>
    <row r="1782">
      <c r="A1782" s="38">
        <f>IF(M1782="","",HYPERLINK("https://www.youtube.com/watch?v="&amp;M1782,"▶"))</f>
        <v/>
      </c>
      <c r="B1782" s="39">
        <f>IF(C1782&lt;&gt;"",C1782,IF(P1782&lt;=IFERROR(INDEX(tblChannels[Watched Through],MATCH(N1782,tblChannels[Channel ID],0)),0),"Watched","Unwatched"))</f>
        <v/>
      </c>
      <c r="C1782" s="40" t="n"/>
      <c r="D1782" s="41" t="n"/>
      <c r="E1782" s="42" t="n">
        <v>43697.80208333334</v>
      </c>
      <c r="F1782" s="50" t="inlineStr">
        <is>
          <t>Super Carlin Brothers</t>
        </is>
      </c>
      <c r="G1782" t="inlineStr">
        <is>
          <t>Why Did Fawkes’s Feather Choose Voldemort? | Harry Potter Theory</t>
        </is>
      </c>
      <c r="H1782" s="44" t="n">
        <v>0.007650462962962963</v>
      </c>
      <c r="I1782" s="45" t="n">
        <v>1325876</v>
      </c>
      <c r="J1782" s="45" t="n">
        <v>35349</v>
      </c>
      <c r="K1782" s="45" t="n">
        <v>4145</v>
      </c>
      <c r="L1782" s="46" t="n"/>
      <c r="M1782" s="47" t="n"/>
      <c r="N1782" s="47" t="inlineStr">
        <is>
          <t>UCKZo4N0lVPccBkSiuyVh4yg</t>
        </is>
      </c>
      <c r="O1782" s="48" t="n">
        <v>43697.96875</v>
      </c>
      <c r="P1782" s="49" t="n">
        <v>43697</v>
      </c>
      <c r="Q1782" s="47" t="n">
        <v>1486</v>
      </c>
      <c r="R1782" s="47" t="inlineStr">
        <is>
          <t>No Video ID yet</t>
        </is>
      </c>
      <c r="S1782" s="49" t="n"/>
      <c r="T1782" s="49" t="n"/>
      <c r="U1782" s="47" t="inlineStr">
        <is>
          <t>Today J dives into the Wizarding World of Harry Potter to try and determine why it's important that the tail feather in Harry and Voldemort’s wands came from Fawkes, and why Fawkes’ feather chose Voldemort to begin with! Edited by: Scott Niswander</t>
        </is>
      </c>
      <c r="V1782" s="47">
        <f>IF(AND(P1782&gt;=Calendar!$K$2,P1782&lt;EDATE(Calendar!$K$2,1),OR(Calendar!$K$4="*",N1782=Calendar!$K$4)),P1782*100+COUNTIFS($P$6:$P$3267,P1782,$Q$6:$Q$3267,"&lt;="&amp;Q1782,$N$6:$N$3267,Calendar!$K$4),"")</f>
        <v/>
      </c>
      <c r="W1782" s="47">
        <f>IF(AND(B1782=Queue!$C$4,OR(Queue!$K$4="*",N1782=Queue!$K$4)),Q1782,"")</f>
        <v/>
      </c>
    </row>
    <row r="1783">
      <c r="A1783" s="38">
        <f>IF(M1783="","",HYPERLINK("https://www.youtube.com/watch?v="&amp;M1783,"▶"))</f>
        <v/>
      </c>
      <c r="B1783" s="39">
        <f>IF(C1783&lt;&gt;"",C1783,IF(P1783&lt;=IFERROR(INDEX(tblChannels[Watched Through],MATCH(N1783,tblChannels[Channel ID],0)),0),"Watched","Unwatched"))</f>
        <v/>
      </c>
      <c r="C1783" s="40" t="n"/>
      <c r="D1783" s="41" t="n"/>
      <c r="E1783" s="42" t="n">
        <v>43696.41666666666</v>
      </c>
      <c r="F1783" s="53" t="inlineStr">
        <is>
          <t>Jonathan Carlin</t>
        </is>
      </c>
      <c r="G1783" t="inlineStr">
        <is>
          <t>CHICAGO MEETUP</t>
        </is>
      </c>
      <c r="H1783" s="44" t="n">
        <v>0.006388888888888889</v>
      </c>
      <c r="I1783" s="45" t="n">
        <v>19202</v>
      </c>
      <c r="J1783" s="45" t="n">
        <v>1140</v>
      </c>
      <c r="K1783" s="45" t="n">
        <v>156</v>
      </c>
      <c r="L1783" s="46" t="n"/>
      <c r="M1783" s="47" t="n"/>
      <c r="N1783" s="47" t="inlineStr">
        <is>
          <t>UCYPKFe86e6nm4TVUYKLsFUQ</t>
        </is>
      </c>
      <c r="O1783" s="48" t="n">
        <v>43696.58333333334</v>
      </c>
      <c r="P1783" s="49" t="n">
        <v>43696</v>
      </c>
      <c r="Q1783" s="47" t="n">
        <v>1485</v>
      </c>
      <c r="R1783" s="47" t="inlineStr">
        <is>
          <t>No Video ID yet</t>
        </is>
      </c>
      <c r="S1783" s="49" t="n"/>
      <c r="T1783" s="49" t="n"/>
      <c r="U1783" s="47" t="inlineStr">
        <is>
          <t>This week J and the SCB crew head to Chicago to see The Lion King and meet all of you wonderful people! Our next meet up is in Salt Lake City to see Frozen 2 on November 23 Get Tix for the Frozen 2 Meetup ::</t>
        </is>
      </c>
      <c r="V1783" s="47">
        <f>IF(AND(P1783&gt;=Calendar!$K$2,P1783&lt;EDATE(Calendar!$K$2,1),OR(Calendar!$K$4="*",N1783=Calendar!$K$4)),P1783*100+COUNTIFS($P$6:$P$3267,P1783,$Q$6:$Q$3267,"&lt;="&amp;Q1783,$N$6:$N$3267,Calendar!$K$4),"")</f>
        <v/>
      </c>
      <c r="W1783" s="47">
        <f>IF(AND(B1783=Queue!$C$4,OR(Queue!$K$4="*",N1783=Queue!$K$4)),Q1783,"")</f>
        <v/>
      </c>
    </row>
    <row r="1784">
      <c r="A1784" s="38">
        <f>IF(M1784="","",HYPERLINK("https://www.youtube.com/watch?v="&amp;M1784,"▶"))</f>
        <v/>
      </c>
      <c r="B1784" s="39">
        <f>IF(C1784&lt;&gt;"",C1784,IF(P1784&lt;=IFERROR(INDEX(tblChannels[Watched Through],MATCH(N1784,tblChannels[Channel ID],0)),0),"Watched","Unwatched"))</f>
        <v/>
      </c>
      <c r="C1784" s="40" t="n"/>
      <c r="D1784" s="41" t="n"/>
      <c r="E1784" s="42" t="n">
        <v>43692.82986111111</v>
      </c>
      <c r="F1784" s="50" t="inlineStr">
        <is>
          <t>Super Carlin Brothers</t>
        </is>
      </c>
      <c r="G1784" t="inlineStr">
        <is>
          <t>In Defense Of Ravenclaw</t>
        </is>
      </c>
      <c r="H1784" s="44" t="n">
        <v>0.008194444444444445</v>
      </c>
      <c r="I1784" s="45" t="n">
        <v>744804</v>
      </c>
      <c r="J1784" s="45" t="n">
        <v>38514</v>
      </c>
      <c r="K1784" s="45" t="n">
        <v>10403</v>
      </c>
      <c r="L1784" s="46" t="n"/>
      <c r="M1784" s="47" t="n"/>
      <c r="N1784" s="47" t="inlineStr">
        <is>
          <t>UCKZo4N0lVPccBkSiuyVh4yg</t>
        </is>
      </c>
      <c r="O1784" s="48" t="n">
        <v>43692.99652777778</v>
      </c>
      <c r="P1784" s="49" t="n">
        <v>43692</v>
      </c>
      <c r="Q1784" s="47" t="n">
        <v>1484</v>
      </c>
      <c r="R1784" s="47" t="inlineStr">
        <is>
          <t>No Video ID yet</t>
        </is>
      </c>
      <c r="S1784" s="49" t="n"/>
      <c r="T1784" s="49" t="n"/>
      <c r="U1784" s="47" t="inlineStr">
        <is>
          <t>Today Ben dives into the Wizarding World of Harry Potter to defend the very misrepresented House of Ravenclaw! #BringBackTheBronze #RemoveTheRaven Ravens using Logic :: Edited by: Scott Niswander</t>
        </is>
      </c>
      <c r="V1784" s="47">
        <f>IF(AND(P1784&gt;=Calendar!$K$2,P1784&lt;EDATE(Calendar!$K$2,1),OR(Calendar!$K$4="*",N1784=Calendar!$K$4)),P1784*100+COUNTIFS($P$6:$P$3267,P1784,$Q$6:$Q$3267,"&lt;="&amp;Q1784,$N$6:$N$3267,Calendar!$K$4),"")</f>
        <v/>
      </c>
      <c r="W1784" s="47">
        <f>IF(AND(B1784=Queue!$C$4,OR(Queue!$K$4="*",N1784=Queue!$K$4)),Q1784,"")</f>
        <v/>
      </c>
    </row>
    <row r="1785">
      <c r="A1785" s="38">
        <f>IF(M1785="","",HYPERLINK("https://www.youtube.com/watch?v="&amp;M1785,"▶"))</f>
        <v/>
      </c>
      <c r="B1785" s="39">
        <f>IF(C1785&lt;&gt;"",C1785,IF(P1785&lt;=IFERROR(INDEX(tblChannels[Watched Through],MATCH(N1785,tblChannels[Channel ID],0)),0),"Watched","Unwatched"))</f>
        <v/>
      </c>
      <c r="C1785" s="40" t="n"/>
      <c r="D1785" s="41" t="n"/>
      <c r="E1785" s="42" t="n">
        <v>43690.84097222222</v>
      </c>
      <c r="F1785" s="50" t="inlineStr">
        <is>
          <t>Super Carlin Brothers</t>
        </is>
      </c>
      <c r="G1785" t="inlineStr">
        <is>
          <t>Dumbledore Is A Phoenix | Harry Potter Theory</t>
        </is>
      </c>
      <c r="H1785" s="44" t="n">
        <v>0.009722222222222222</v>
      </c>
      <c r="I1785" s="45" t="n">
        <v>495305</v>
      </c>
      <c r="J1785" s="45" t="n">
        <v>18195</v>
      </c>
      <c r="K1785" s="45" t="n">
        <v>2163</v>
      </c>
      <c r="L1785" s="46" t="n"/>
      <c r="M1785" s="47" t="n"/>
      <c r="N1785" s="47" t="inlineStr">
        <is>
          <t>UCKZo4N0lVPccBkSiuyVh4yg</t>
        </is>
      </c>
      <c r="O1785" s="48" t="n">
        <v>43691.00763888889</v>
      </c>
      <c r="P1785" s="49" t="n">
        <v>43690</v>
      </c>
      <c r="Q1785" s="47" t="n">
        <v>1483</v>
      </c>
      <c r="R1785" s="47" t="inlineStr">
        <is>
          <t>No Video ID yet</t>
        </is>
      </c>
      <c r="S1785" s="49" t="n"/>
      <c r="T1785" s="49" t="n"/>
      <c r="U1785" s="47" t="inlineStr">
        <is>
          <t>Get 25% off your Vincero Watch :: Today J dives into the wizarding world of Harry Potter to try and reveal another of Dumbledore’s many secrets - Was he a phoenix? Was one born upon his death? Edited by: Scott Niswander</t>
        </is>
      </c>
      <c r="V1785" s="47">
        <f>IF(AND(P1785&gt;=Calendar!$K$2,P1785&lt;EDATE(Calendar!$K$2,1),OR(Calendar!$K$4="*",N1785=Calendar!$K$4)),P1785*100+COUNTIFS($P$6:$P$3267,P1785,$Q$6:$Q$3267,"&lt;="&amp;Q1785,$N$6:$N$3267,Calendar!$K$4),"")</f>
        <v/>
      </c>
      <c r="W1785" s="47">
        <f>IF(AND(B1785=Queue!$C$4,OR(Queue!$K$4="*",N1785=Queue!$K$4)),Q1785,"")</f>
        <v/>
      </c>
    </row>
    <row r="1786">
      <c r="A1786" s="38">
        <f>IF(M1786="","",HYPERLINK("https://www.youtube.com/watch?v="&amp;M1786,"▶"))</f>
        <v/>
      </c>
      <c r="B1786" s="39">
        <f>IF(C1786&lt;&gt;"",C1786,IF(P1786&lt;=IFERROR(INDEX(tblChannels[Watched Through],MATCH(N1786,tblChannels[Channel ID],0)),0),"Watched","Unwatched"))</f>
        <v/>
      </c>
      <c r="C1786" s="40" t="n"/>
      <c r="D1786" s="41" t="n"/>
      <c r="E1786" s="42" t="n">
        <v>43689.41666666666</v>
      </c>
      <c r="F1786" s="53" t="inlineStr">
        <is>
          <t>Jonathan Carlin</t>
        </is>
      </c>
      <c r="G1786" t="inlineStr">
        <is>
          <t>VIDCON 2019</t>
        </is>
      </c>
      <c r="H1786" s="44" t="n">
        <v>0.006724537037037037</v>
      </c>
      <c r="I1786" s="45" t="n">
        <v>23604</v>
      </c>
      <c r="J1786" s="45" t="n">
        <v>1360</v>
      </c>
      <c r="K1786" s="45" t="n">
        <v>91</v>
      </c>
      <c r="L1786" s="46" t="n"/>
      <c r="M1786" s="47" t="n"/>
      <c r="N1786" s="47" t="inlineStr">
        <is>
          <t>UCYPKFe86e6nm4TVUYKLsFUQ</t>
        </is>
      </c>
      <c r="O1786" s="48" t="n">
        <v>43689.58333333334</v>
      </c>
      <c r="P1786" s="49" t="n">
        <v>43689</v>
      </c>
      <c r="Q1786" s="47" t="n">
        <v>1482</v>
      </c>
      <c r="R1786" s="47" t="inlineStr">
        <is>
          <t>No Video ID yet</t>
        </is>
      </c>
      <c r="S1786" s="49" t="n"/>
      <c r="T1786" s="49" t="n"/>
      <c r="U1786" s="47" t="inlineStr">
        <is>
          <t>This week J and the SCB crew head to VidCon 2019!</t>
        </is>
      </c>
      <c r="V1786" s="47">
        <f>IF(AND(P1786&gt;=Calendar!$K$2,P1786&lt;EDATE(Calendar!$K$2,1),OR(Calendar!$K$4="*",N1786=Calendar!$K$4)),P1786*100+COUNTIFS($P$6:$P$3267,P1786,$Q$6:$Q$3267,"&lt;="&amp;Q1786,$N$6:$N$3267,Calendar!$K$4),"")</f>
        <v/>
      </c>
      <c r="W1786" s="47">
        <f>IF(AND(B1786=Queue!$C$4,OR(Queue!$K$4="*",N1786=Queue!$K$4)),Q1786,"")</f>
        <v/>
      </c>
    </row>
    <row r="1787">
      <c r="A1787" s="38">
        <f>IF(M1787="","",HYPERLINK("https://www.youtube.com/watch?v="&amp;M1787,"▶"))</f>
        <v/>
      </c>
      <c r="B1787" s="39">
        <f>IF(C1787&lt;&gt;"",C1787,IF(P1787&lt;=IFERROR(INDEX(tblChannels[Watched Through],MATCH(N1787,tblChannels[Channel ID],0)),0),"Watched","Unwatched"))</f>
        <v/>
      </c>
      <c r="C1787" s="40" t="n"/>
      <c r="D1787" s="41" t="n"/>
      <c r="E1787" s="42" t="n">
        <v>43689.41666666666</v>
      </c>
      <c r="F1787" s="52" t="inlineStr">
        <is>
          <t>Super Carlin Gaming</t>
        </is>
      </c>
      <c r="G1787" t="inlineStr">
        <is>
          <t>The Dwight Schrute Dating Profile |  Super Smash Bros #48</t>
        </is>
      </c>
      <c r="H1787" s="44" t="n">
        <v>0.01174768518518519</v>
      </c>
      <c r="I1787" s="45" t="n">
        <v>6723</v>
      </c>
      <c r="J1787" s="45" t="n">
        <v>235</v>
      </c>
      <c r="K1787" s="45" t="n">
        <v>57</v>
      </c>
      <c r="L1787" s="46" t="n"/>
      <c r="M1787" s="47" t="n"/>
      <c r="N1787" s="47" t="inlineStr">
        <is>
          <t>UCor_9jRnNNZVzTuQ92PKsaQ</t>
        </is>
      </c>
      <c r="O1787" s="48" t="n">
        <v>43689.58333333334</v>
      </c>
      <c r="P1787" s="49" t="n">
        <v>43689</v>
      </c>
      <c r="Q1787" s="47" t="n">
        <v>1481</v>
      </c>
      <c r="R1787" s="47" t="inlineStr">
        <is>
          <t>No Video ID yet</t>
        </is>
      </c>
      <c r="S1787" s="49" t="n"/>
      <c r="T1787" s="49" t="n"/>
      <c r="U1787" s="47" t="inlineStr">
        <is>
          <t>How would Dwight Schrute from The Office fair on a dating website?</t>
        </is>
      </c>
      <c r="V1787" s="47">
        <f>IF(AND(P1787&gt;=Calendar!$K$2,P1787&lt;EDATE(Calendar!$K$2,1),OR(Calendar!$K$4="*",N1787=Calendar!$K$4)),P1787*100+COUNTIFS($P$6:$P$3267,P1787,$Q$6:$Q$3267,"&lt;="&amp;Q1787,$N$6:$N$3267,Calendar!$K$4),"")</f>
        <v/>
      </c>
      <c r="W1787" s="47">
        <f>IF(AND(B1787=Queue!$C$4,OR(Queue!$K$4="*",N1787=Queue!$K$4)),Q1787,"")</f>
        <v/>
      </c>
    </row>
    <row r="1788">
      <c r="A1788" s="38">
        <f>IF(M1788="","",HYPERLINK("https://www.youtube.com/watch?v="&amp;M1788,"▶"))</f>
        <v/>
      </c>
      <c r="B1788" s="39">
        <f>IF(C1788&lt;&gt;"",C1788,IF(P1788&lt;=IFERROR(INDEX(tblChannels[Watched Through],MATCH(N1788,tblChannels[Channel ID],0)),0),"Watched","Unwatched"))</f>
        <v/>
      </c>
      <c r="C1788" s="40" t="n"/>
      <c r="D1788" s="41" t="n"/>
      <c r="E1788" s="42" t="n">
        <v>43685.78472222222</v>
      </c>
      <c r="F1788" s="50" t="inlineStr">
        <is>
          <t>Super Carlin Brothers</t>
        </is>
      </c>
      <c r="G1788" t="inlineStr">
        <is>
          <t>Fast Facts: Avengers Endgame</t>
        </is>
      </c>
      <c r="H1788" s="44" t="n">
        <v>0.006631944444444445</v>
      </c>
      <c r="I1788" s="45" t="n">
        <v>421276</v>
      </c>
      <c r="J1788" s="45" t="n">
        <v>17358</v>
      </c>
      <c r="K1788" s="45" t="n">
        <v>1232</v>
      </c>
      <c r="L1788" s="46" t="n"/>
      <c r="M1788" s="47" t="n"/>
      <c r="N1788" s="47" t="inlineStr">
        <is>
          <t>UCKZo4N0lVPccBkSiuyVh4yg</t>
        </is>
      </c>
      <c r="O1788" s="48" t="n">
        <v>43685.95138888889</v>
      </c>
      <c r="P1788" s="49" t="n">
        <v>43685</v>
      </c>
      <c r="Q1788" s="47" t="n">
        <v>1480</v>
      </c>
      <c r="R1788" s="47" t="inlineStr">
        <is>
          <t>No Video ID yet</t>
        </is>
      </c>
      <c r="S1788" s="49" t="n"/>
      <c r="T1788" s="49" t="n"/>
      <c r="U1788" s="47" t="inlineStr">
        <is>
          <t>Today Ben dives into the MCU and Avengers Endgame to uncover every Easter Egg and random fact we could find about the movie!</t>
        </is>
      </c>
      <c r="V1788" s="47">
        <f>IF(AND(P1788&gt;=Calendar!$K$2,P1788&lt;EDATE(Calendar!$K$2,1),OR(Calendar!$K$4="*",N1788=Calendar!$K$4)),P1788*100+COUNTIFS($P$6:$P$3267,P1788,$Q$6:$Q$3267,"&lt;="&amp;Q1788,$N$6:$N$3267,Calendar!$K$4),"")</f>
        <v/>
      </c>
      <c r="W1788" s="47">
        <f>IF(AND(B1788=Queue!$C$4,OR(Queue!$K$4="*",N1788=Queue!$K$4)),Q1788,"")</f>
        <v/>
      </c>
    </row>
    <row r="1789">
      <c r="A1789" s="38">
        <f>IF(M1789="","",HYPERLINK("https://www.youtube.com/watch?v="&amp;M1789,"▶"))</f>
        <v/>
      </c>
      <c r="B1789" s="39">
        <f>IF(C1789&lt;&gt;"",C1789,IF(P1789&lt;=IFERROR(INDEX(tblChannels[Watched Through],MATCH(N1789,tblChannels[Channel ID],0)),0),"Watched","Unwatched"))</f>
        <v/>
      </c>
      <c r="C1789" s="40" t="n"/>
      <c r="D1789" s="41" t="n"/>
      <c r="E1789" s="42" t="n">
        <v>43684.62222222222</v>
      </c>
      <c r="F1789" s="52" t="inlineStr">
        <is>
          <t>Super Carlin Gaming</t>
        </is>
      </c>
      <c r="G1789" t="inlineStr">
        <is>
          <t>Moo Moo Milk It Up |  Pokémon X Nuzlocke #36</t>
        </is>
      </c>
      <c r="H1789" s="44" t="n">
        <v>0.02579861111111111</v>
      </c>
      <c r="I1789" s="45" t="n">
        <v>18046</v>
      </c>
      <c r="J1789" s="45" t="n">
        <v>594</v>
      </c>
      <c r="K1789" s="45" t="n">
        <v>179</v>
      </c>
      <c r="L1789" s="46" t="n"/>
      <c r="M1789" s="47" t="n"/>
      <c r="N1789" s="47" t="inlineStr">
        <is>
          <t>UCor_9jRnNNZVzTuQ92PKsaQ</t>
        </is>
      </c>
      <c r="O1789" s="48" t="n">
        <v>43684.78888888889</v>
      </c>
      <c r="P1789" s="49" t="n">
        <v>43684</v>
      </c>
      <c r="Q1789" s="47" t="n">
        <v>1479</v>
      </c>
      <c r="R1789" s="47" t="inlineStr">
        <is>
          <t>No Video ID yet</t>
        </is>
      </c>
      <c r="S1789" s="49" t="n"/>
      <c r="T1789" s="49" t="n"/>
      <c r="U1789" s="47" t="n"/>
      <c r="V1789" s="47">
        <f>IF(AND(P1789&gt;=Calendar!$K$2,P1789&lt;EDATE(Calendar!$K$2,1),OR(Calendar!$K$4="*",N1789=Calendar!$K$4)),P1789*100+COUNTIFS($P$6:$P$3267,P1789,$Q$6:$Q$3267,"&lt;="&amp;Q1789,$N$6:$N$3267,Calendar!$K$4),"")</f>
        <v/>
      </c>
      <c r="W1789" s="47">
        <f>IF(AND(B1789=Queue!$C$4,OR(Queue!$K$4="*",N1789=Queue!$K$4)),Q1789,"")</f>
        <v/>
      </c>
    </row>
    <row r="1790">
      <c r="A1790" s="38">
        <f>IF(M1790="","",HYPERLINK("https://www.youtube.com/watch?v="&amp;M1790,"▶"))</f>
        <v/>
      </c>
      <c r="B1790" s="39">
        <f>IF(C1790&lt;&gt;"",C1790,IF(P1790&lt;=IFERROR(INDEX(tblChannels[Watched Through],MATCH(N1790,tblChannels[Channel ID],0)),0),"Watched","Unwatched"))</f>
        <v/>
      </c>
      <c r="C1790" s="40" t="n"/>
      <c r="D1790" s="41" t="n"/>
      <c r="E1790" s="42" t="n">
        <v>43683.87083333333</v>
      </c>
      <c r="F1790" s="50" t="inlineStr">
        <is>
          <t>Super Carlin Brothers</t>
        </is>
      </c>
      <c r="G1790" t="inlineStr">
        <is>
          <t>The Disney Renaissance Explained</t>
        </is>
      </c>
      <c r="H1790" s="44" t="n">
        <v>0.0149537037037037</v>
      </c>
      <c r="I1790" s="45" t="n">
        <v>611449</v>
      </c>
      <c r="J1790" s="45" t="n">
        <v>22619</v>
      </c>
      <c r="K1790" s="45" t="n">
        <v>3133</v>
      </c>
      <c r="L1790" s="46" t="n"/>
      <c r="M1790" s="47" t="n"/>
      <c r="N1790" s="47" t="inlineStr">
        <is>
          <t>UCKZo4N0lVPccBkSiuyVh4yg</t>
        </is>
      </c>
      <c r="O1790" s="48" t="n">
        <v>43684.0375</v>
      </c>
      <c r="P1790" s="49" t="n">
        <v>43683</v>
      </c>
      <c r="Q1790" s="47" t="n">
        <v>1478</v>
      </c>
      <c r="R1790" s="47" t="inlineStr">
        <is>
          <t>No Video ID yet</t>
        </is>
      </c>
      <c r="S1790" s="49" t="n"/>
      <c r="T1790" s="49" t="n"/>
      <c r="U1790" s="47" t="inlineStr">
        <is>
          <t>Today J dives into the history of Disney from The Little Mermaid to Tarzan to explain what the Disney Renaissance was, why it happened, why it ended, whats up with all the giant rocks and how it's all connected! What is your favorite Disney Renaissance movie?? Or GIANT rock? Sources :: ScottJEinig :: Diz Avenue :: Wiki Disney Renaissance :: Film School Rejects ::</t>
        </is>
      </c>
      <c r="V1790" s="47">
        <f>IF(AND(P1790&gt;=Calendar!$K$2,P1790&lt;EDATE(Calendar!$K$2,1),OR(Calendar!$K$4="*",N1790=Calendar!$K$4)),P1790*100+COUNTIFS($P$6:$P$3267,P1790,$Q$6:$Q$3267,"&lt;="&amp;Q1790,$N$6:$N$3267,Calendar!$K$4),"")</f>
        <v/>
      </c>
      <c r="W1790" s="47">
        <f>IF(AND(B1790=Queue!$C$4,OR(Queue!$K$4="*",N1790=Queue!$K$4)),Q1790,"")</f>
        <v/>
      </c>
    </row>
    <row r="1791">
      <c r="A1791" s="38">
        <f>IF(M1791="","",HYPERLINK("https://www.youtube.com/watch?v="&amp;M1791,"▶"))</f>
        <v/>
      </c>
      <c r="B1791" s="39">
        <f>IF(C1791&lt;&gt;"",C1791,IF(P1791&lt;=IFERROR(INDEX(tblChannels[Watched Through],MATCH(N1791,tblChannels[Channel ID],0)),0),"Watched","Unwatched"))</f>
        <v/>
      </c>
      <c r="C1791" s="40" t="n"/>
      <c r="D1791" s="41" t="n"/>
      <c r="E1791" s="42" t="n">
        <v>43683.49513888889</v>
      </c>
      <c r="F1791" s="53" t="inlineStr">
        <is>
          <t>Jonathan Carlin</t>
        </is>
      </c>
      <c r="G1791" t="inlineStr">
        <is>
          <t>Beth Bakes SOURDOUGH!</t>
        </is>
      </c>
      <c r="H1791" s="44" t="n">
        <v>0.006377314814814815</v>
      </c>
      <c r="I1791" s="45" t="n">
        <v>22504</v>
      </c>
      <c r="J1791" s="45" t="n">
        <v>1464</v>
      </c>
      <c r="K1791" s="45" t="n">
        <v>264</v>
      </c>
      <c r="L1791" s="46" t="n"/>
      <c r="M1791" s="47" t="n"/>
      <c r="N1791" s="47" t="inlineStr">
        <is>
          <t>UCYPKFe86e6nm4TVUYKLsFUQ</t>
        </is>
      </c>
      <c r="O1791" s="48" t="n">
        <v>43683.66180555556</v>
      </c>
      <c r="P1791" s="49" t="n">
        <v>43683</v>
      </c>
      <c r="Q1791" s="47" t="n">
        <v>1477</v>
      </c>
      <c r="R1791" s="47" t="inlineStr">
        <is>
          <t>No Video ID yet</t>
        </is>
      </c>
      <c r="S1791" s="49" t="n"/>
      <c r="T1791" s="49" t="n"/>
      <c r="U1791" s="47" t="inlineStr">
        <is>
          <t>This week Beth takes over the vlog and bakes pumpkin muffins and tries her hand at Sourdough! Beth's Muffins from the beginning ::</t>
        </is>
      </c>
      <c r="V1791" s="47">
        <f>IF(AND(P1791&gt;=Calendar!$K$2,P1791&lt;EDATE(Calendar!$K$2,1),OR(Calendar!$K$4="*",N1791=Calendar!$K$4)),P1791*100+COUNTIFS($P$6:$P$3267,P1791,$Q$6:$Q$3267,"&lt;="&amp;Q1791,$N$6:$N$3267,Calendar!$K$4),"")</f>
        <v/>
      </c>
      <c r="W1791" s="47">
        <f>IF(AND(B1791=Queue!$C$4,OR(Queue!$K$4="*",N1791=Queue!$K$4)),Q1791,"")</f>
        <v/>
      </c>
    </row>
    <row r="1792">
      <c r="A1792" s="38">
        <f>IF(M1792="","",HYPERLINK("https://www.youtube.com/watch?v="&amp;M1792,"▶"))</f>
        <v/>
      </c>
      <c r="B1792" s="39">
        <f>IF(C1792&lt;&gt;"",C1792,IF(P1792&lt;=IFERROR(INDEX(tblChannels[Watched Through],MATCH(N1792,tblChannels[Channel ID],0)),0),"Watched","Unwatched"))</f>
        <v/>
      </c>
      <c r="C1792" s="40" t="n"/>
      <c r="D1792" s="41" t="n"/>
      <c r="E1792" s="42" t="n">
        <v>43679.62708333333</v>
      </c>
      <c r="F1792" s="52" t="inlineStr">
        <is>
          <t>Super Carlin Gaming</t>
        </is>
      </c>
      <c r="G1792" t="inlineStr">
        <is>
          <t>Even More Dangerous |  Pokémon X Nuzlocke #35</t>
        </is>
      </c>
      <c r="H1792" s="44" t="n">
        <v>0.02431712962962963</v>
      </c>
      <c r="I1792" s="45" t="n">
        <v>17927</v>
      </c>
      <c r="J1792" s="45" t="n">
        <v>584</v>
      </c>
      <c r="K1792" s="45" t="n">
        <v>160</v>
      </c>
      <c r="L1792" s="46" t="n"/>
      <c r="M1792" s="47" t="n"/>
      <c r="N1792" s="47" t="inlineStr">
        <is>
          <t>UCor_9jRnNNZVzTuQ92PKsaQ</t>
        </is>
      </c>
      <c r="O1792" s="48" t="n">
        <v>43679.79375</v>
      </c>
      <c r="P1792" s="49" t="n">
        <v>43679</v>
      </c>
      <c r="Q1792" s="47" t="n">
        <v>1476</v>
      </c>
      <c r="R1792" s="47" t="inlineStr">
        <is>
          <t>No Video ID yet</t>
        </is>
      </c>
      <c r="S1792" s="49" t="n"/>
      <c r="T1792" s="49" t="n"/>
      <c r="U1792" s="47" t="n"/>
      <c r="V1792" s="47">
        <f>IF(AND(P1792&gt;=Calendar!$K$2,P1792&lt;EDATE(Calendar!$K$2,1),OR(Calendar!$K$4="*",N1792=Calendar!$K$4)),P1792*100+COUNTIFS($P$6:$P$3267,P1792,$Q$6:$Q$3267,"&lt;="&amp;Q1792,$N$6:$N$3267,Calendar!$K$4),"")</f>
        <v/>
      </c>
      <c r="W1792" s="47">
        <f>IF(AND(B1792=Queue!$C$4,OR(Queue!$K$4="*",N1792=Queue!$K$4)),Q1792,"")</f>
        <v/>
      </c>
    </row>
    <row r="1793">
      <c r="A1793" s="38">
        <f>IF(M1793="","",HYPERLINK("https://www.youtube.com/watch?v="&amp;M1793,"▶"))</f>
        <v/>
      </c>
      <c r="B1793" s="39">
        <f>IF(C1793&lt;&gt;"",C1793,IF(P1793&lt;=IFERROR(INDEX(tblChannels[Watched Through],MATCH(N1793,tblChannels[Channel ID],0)),0),"Watched","Unwatched"))</f>
        <v/>
      </c>
      <c r="C1793" s="40" t="n"/>
      <c r="D1793" s="41" t="n"/>
      <c r="E1793" s="42" t="n">
        <v>43678.65833333333</v>
      </c>
      <c r="F1793" s="50" t="inlineStr">
        <is>
          <t>Super Carlin Brothers</t>
        </is>
      </c>
      <c r="G1793" t="inlineStr">
        <is>
          <t>J vs Ben: ULTIMATE Harry Potter Boy Who Lived TRIVIA Quiz</t>
        </is>
      </c>
      <c r="H1793" s="44" t="n">
        <v>0.0297337962962963</v>
      </c>
      <c r="I1793" s="45" t="n">
        <v>1465634</v>
      </c>
      <c r="J1793" s="45" t="n">
        <v>21745</v>
      </c>
      <c r="K1793" s="45" t="n">
        <v>3045</v>
      </c>
      <c r="L1793" s="46" t="n"/>
      <c r="M1793" s="47" t="n"/>
      <c r="N1793" s="47" t="inlineStr">
        <is>
          <t>UCKZo4N0lVPccBkSiuyVh4yg</t>
        </is>
      </c>
      <c r="O1793" s="48" t="n">
        <v>43678.825</v>
      </c>
      <c r="P1793" s="49" t="n">
        <v>43678</v>
      </c>
      <c r="Q1793" s="47" t="n">
        <v>1475</v>
      </c>
      <c r="R1793" s="47" t="inlineStr">
        <is>
          <t>No Video ID yet</t>
        </is>
      </c>
      <c r="S1793" s="49" t="n"/>
      <c r="T1793" s="49" t="n"/>
      <c r="U1793" s="47" t="inlineStr">
        <is>
          <t>Want to be a Quiz Master and get YOUR question on J vs Ben? Head over to our Patreon to find out how :: Take the quiz with us :: Today J and Ben go head to head in the hardest Harry Potter Boy Who Lived quiz on Pottermore to see who knows the wizarding world best! Who will win? What was your score??</t>
        </is>
      </c>
      <c r="V1793" s="47">
        <f>IF(AND(P1793&gt;=Calendar!$K$2,P1793&lt;EDATE(Calendar!$K$2,1),OR(Calendar!$K$4="*",N1793=Calendar!$K$4)),P1793*100+COUNTIFS($P$6:$P$3267,P1793,$Q$6:$Q$3267,"&lt;="&amp;Q1793,$N$6:$N$3267,Calendar!$K$4),"")</f>
        <v/>
      </c>
      <c r="W1793" s="47">
        <f>IF(AND(B1793=Queue!$C$4,OR(Queue!$K$4="*",N1793=Queue!$K$4)),Q1793,"")</f>
        <v/>
      </c>
    </row>
    <row r="1794">
      <c r="A1794" s="38">
        <f>IF(M1794="","",HYPERLINK("https://www.youtube.com/watch?v="&amp;M1794,"▶"))</f>
        <v/>
      </c>
      <c r="B1794" s="39">
        <f>IF(C1794&lt;&gt;"",C1794,IF(P1794&lt;=IFERROR(INDEX(tblChannels[Watched Through],MATCH(N1794,tblChannels[Channel ID],0)),0),"Watched","Unwatched"))</f>
        <v/>
      </c>
      <c r="C1794" s="40" t="n"/>
      <c r="D1794" s="41" t="n"/>
      <c r="E1794" s="42" t="n">
        <v>43677.63402777778</v>
      </c>
      <c r="F1794" s="52" t="inlineStr">
        <is>
          <t>Super Carlin Gaming</t>
        </is>
      </c>
      <c r="G1794" t="inlineStr">
        <is>
          <t>Psychic. |  Pokémon X Nuzlocke #34</t>
        </is>
      </c>
      <c r="H1794" s="44" t="n">
        <v>0.02013888888888889</v>
      </c>
      <c r="I1794" s="45" t="n">
        <v>17372</v>
      </c>
      <c r="J1794" s="45" t="n">
        <v>624</v>
      </c>
      <c r="K1794" s="45" t="n">
        <v>147</v>
      </c>
      <c r="L1794" s="46" t="n"/>
      <c r="M1794" s="47" t="n"/>
      <c r="N1794" s="47" t="inlineStr">
        <is>
          <t>UCor_9jRnNNZVzTuQ92PKsaQ</t>
        </is>
      </c>
      <c r="O1794" s="48" t="n">
        <v>43677.80069444444</v>
      </c>
      <c r="P1794" s="49" t="n">
        <v>43677</v>
      </c>
      <c r="Q1794" s="47" t="n">
        <v>1474</v>
      </c>
      <c r="R1794" s="47" t="inlineStr">
        <is>
          <t>No Video ID yet</t>
        </is>
      </c>
      <c r="S1794" s="49" t="n"/>
      <c r="T1794" s="49" t="n"/>
      <c r="U1794" s="47" t="n"/>
      <c r="V1794" s="47">
        <f>IF(AND(P1794&gt;=Calendar!$K$2,P1794&lt;EDATE(Calendar!$K$2,1),OR(Calendar!$K$4="*",N1794=Calendar!$K$4)),P1794*100+COUNTIFS($P$6:$P$3267,P1794,$Q$6:$Q$3267,"&lt;="&amp;Q1794,$N$6:$N$3267,Calendar!$K$4),"")</f>
        <v/>
      </c>
      <c r="W1794" s="47">
        <f>IF(AND(B1794=Queue!$C$4,OR(Queue!$K$4="*",N1794=Queue!$K$4)),Q1794,"")</f>
        <v/>
      </c>
    </row>
    <row r="1795">
      <c r="A1795" s="38">
        <f>IF(M1795="","",HYPERLINK("https://www.youtube.com/watch?v="&amp;M1795,"▶"))</f>
        <v/>
      </c>
      <c r="B1795" s="39">
        <f>IF(C1795&lt;&gt;"",C1795,IF(P1795&lt;=IFERROR(INDEX(tblChannels[Watched Through],MATCH(N1795,tblChannels[Channel ID],0)),0),"Watched","Unwatched"))</f>
        <v/>
      </c>
      <c r="C1795" s="40" t="n"/>
      <c r="D1795" s="41" t="n"/>
      <c r="E1795" s="42" t="n">
        <v>43676.72013888889</v>
      </c>
      <c r="F1795" s="50" t="inlineStr">
        <is>
          <t>Super Carlin Brothers</t>
        </is>
      </c>
      <c r="G1795" t="inlineStr">
        <is>
          <t>Who Was Carl's Monster? | Pixar Theory</t>
        </is>
      </c>
      <c r="H1795" s="44" t="n">
        <v>0.007962962962962963</v>
      </c>
      <c r="I1795" s="45" t="n">
        <v>1192140</v>
      </c>
      <c r="J1795" s="45" t="n">
        <v>35145</v>
      </c>
      <c r="K1795" s="45" t="n">
        <v>2227</v>
      </c>
      <c r="L1795" s="46" t="n"/>
      <c r="M1795" s="47" t="n"/>
      <c r="N1795" s="47" t="inlineStr">
        <is>
          <t>UCKZo4N0lVPccBkSiuyVh4yg</t>
        </is>
      </c>
      <c r="O1795" s="48" t="n">
        <v>43676.88680555556</v>
      </c>
      <c r="P1795" s="49" t="n">
        <v>43676</v>
      </c>
      <c r="Q1795" s="47" t="n">
        <v>1473</v>
      </c>
      <c r="R1795" s="47" t="inlineStr">
        <is>
          <t>No Video ID yet</t>
        </is>
      </c>
      <c r="S1795" s="49" t="n"/>
      <c r="T1795" s="49" t="n"/>
      <c r="U1795" s="47" t="inlineStr">
        <is>
          <t>Today J dives into the world of Pixar’s Up to try and determine the identity of Young Carl’s Monster from Monsters Inc.</t>
        </is>
      </c>
      <c r="V1795" s="47">
        <f>IF(AND(P1795&gt;=Calendar!$K$2,P1795&lt;EDATE(Calendar!$K$2,1),OR(Calendar!$K$4="*",N1795=Calendar!$K$4)),P1795*100+COUNTIFS($P$6:$P$3267,P1795,$Q$6:$Q$3267,"&lt;="&amp;Q1795,$N$6:$N$3267,Calendar!$K$4),"")</f>
        <v/>
      </c>
      <c r="W1795" s="47">
        <f>IF(AND(B1795=Queue!$C$4,OR(Queue!$K$4="*",N1795=Queue!$K$4)),Q1795,"")</f>
        <v/>
      </c>
    </row>
    <row r="1796">
      <c r="A1796" s="38">
        <f>IF(M1796="","",HYPERLINK("https://www.youtube.com/watch?v="&amp;M1796,"▶"))</f>
        <v/>
      </c>
      <c r="B1796" s="39">
        <f>IF(C1796&lt;&gt;"",C1796,IF(P1796&lt;=IFERROR(INDEX(tblChannels[Watched Through],MATCH(N1796,tblChannels[Channel ID],0)),0),"Watched","Unwatched"))</f>
        <v/>
      </c>
      <c r="C1796" s="40" t="n"/>
      <c r="D1796" s="41" t="n"/>
      <c r="E1796" s="42" t="n">
        <v>43675.47638888889</v>
      </c>
      <c r="F1796" s="53" t="inlineStr">
        <is>
          <t>Jonathan Carlin</t>
        </is>
      </c>
      <c r="G1796" t="inlineStr">
        <is>
          <t>THE SPARTAN RACE RETURNS | DC MEET UP</t>
        </is>
      </c>
      <c r="H1796" s="44" t="n">
        <v>0.006990740740740741</v>
      </c>
      <c r="I1796" s="45" t="n">
        <v>22540</v>
      </c>
      <c r="J1796" s="45" t="n">
        <v>1295</v>
      </c>
      <c r="K1796" s="45" t="n">
        <v>110</v>
      </c>
      <c r="L1796" s="46" t="n"/>
      <c r="M1796" s="47" t="n"/>
      <c r="N1796" s="47" t="inlineStr">
        <is>
          <t>UCYPKFe86e6nm4TVUYKLsFUQ</t>
        </is>
      </c>
      <c r="O1796" s="48" t="n">
        <v>43675.64305555556</v>
      </c>
      <c r="P1796" s="49" t="n">
        <v>43675</v>
      </c>
      <c r="Q1796" s="47" t="n">
        <v>1472</v>
      </c>
      <c r="R1796" s="47" t="inlineStr">
        <is>
          <t>No Video ID yet</t>
        </is>
      </c>
      <c r="S1796" s="49" t="n"/>
      <c r="T1796" s="49" t="n"/>
      <c r="U1796" s="47" t="inlineStr">
        <is>
          <t>This week or uh.. weekend J, Beth and the SCB crew take on the Washington DC Spartan Race and host another meetup for Toy Story 4!</t>
        </is>
      </c>
      <c r="V1796" s="47">
        <f>IF(AND(P1796&gt;=Calendar!$K$2,P1796&lt;EDATE(Calendar!$K$2,1),OR(Calendar!$K$4="*",N1796=Calendar!$K$4)),P1796*100+COUNTIFS($P$6:$P$3267,P1796,$Q$6:$Q$3267,"&lt;="&amp;Q1796,$N$6:$N$3267,Calendar!$K$4),"")</f>
        <v/>
      </c>
      <c r="W1796" s="47">
        <f>IF(AND(B1796=Queue!$C$4,OR(Queue!$K$4="*",N1796=Queue!$K$4)),Q1796,"")</f>
        <v/>
      </c>
    </row>
    <row r="1797">
      <c r="A1797" s="38">
        <f>IF(M1797="","",HYPERLINK("https://www.youtube.com/watch?v="&amp;M1797,"▶"))</f>
        <v/>
      </c>
      <c r="B1797" s="39">
        <f>IF(C1797&lt;&gt;"",C1797,IF(P1797&lt;=IFERROR(INDEX(tblChannels[Watched Through],MATCH(N1797,tblChannels[Channel ID],0)),0),"Watched","Unwatched"))</f>
        <v/>
      </c>
      <c r="C1797" s="40" t="n"/>
      <c r="D1797" s="41" t="n"/>
      <c r="E1797" s="42" t="n">
        <v>43672.61666666667</v>
      </c>
      <c r="F1797" s="52" t="inlineStr">
        <is>
          <t>Super Carlin Gaming</t>
        </is>
      </c>
      <c r="G1797" t="inlineStr">
        <is>
          <t>The Hugger |  Pokémon X Nuzlocke #33</t>
        </is>
      </c>
      <c r="H1797" s="44" t="n">
        <v>0.01515046296296296</v>
      </c>
      <c r="I1797" s="45" t="n">
        <v>16740</v>
      </c>
      <c r="J1797" s="45" t="n">
        <v>620</v>
      </c>
      <c r="K1797" s="45" t="n">
        <v>126</v>
      </c>
      <c r="L1797" s="46" t="n"/>
      <c r="M1797" s="47" t="n"/>
      <c r="N1797" s="47" t="inlineStr">
        <is>
          <t>UCor_9jRnNNZVzTuQ92PKsaQ</t>
        </is>
      </c>
      <c r="O1797" s="48" t="n">
        <v>43672.78333333333</v>
      </c>
      <c r="P1797" s="49" t="n">
        <v>43672</v>
      </c>
      <c r="Q1797" s="47" t="n">
        <v>1471</v>
      </c>
      <c r="R1797" s="47" t="inlineStr">
        <is>
          <t>No Video ID yet</t>
        </is>
      </c>
      <c r="S1797" s="49" t="n"/>
      <c r="T1797" s="49" t="n"/>
      <c r="U1797" s="47" t="n"/>
      <c r="V1797" s="47">
        <f>IF(AND(P1797&gt;=Calendar!$K$2,P1797&lt;EDATE(Calendar!$K$2,1),OR(Calendar!$K$4="*",N1797=Calendar!$K$4)),P1797*100+COUNTIFS($P$6:$P$3267,P1797,$Q$6:$Q$3267,"&lt;="&amp;Q1797,$N$6:$N$3267,Calendar!$K$4),"")</f>
        <v/>
      </c>
      <c r="W1797" s="47">
        <f>IF(AND(B1797=Queue!$C$4,OR(Queue!$K$4="*",N1797=Queue!$K$4)),Q1797,"")</f>
        <v/>
      </c>
    </row>
    <row r="1798">
      <c r="A1798" s="38">
        <f>IF(M1798="","",HYPERLINK("https://www.youtube.com/watch?v="&amp;M1798,"▶"))</f>
        <v/>
      </c>
      <c r="B1798" s="39">
        <f>IF(C1798&lt;&gt;"",C1798,IF(P1798&lt;=IFERROR(INDEX(tblChannels[Watched Through],MATCH(N1798,tblChannels[Channel ID],0)),0),"Watched","Unwatched"))</f>
        <v/>
      </c>
      <c r="C1798" s="40" t="n"/>
      <c r="D1798" s="41" t="n"/>
      <c r="E1798" s="42" t="n">
        <v>43671.86180555556</v>
      </c>
      <c r="F1798" s="50" t="inlineStr">
        <is>
          <t>Super Carlin Brothers</t>
        </is>
      </c>
      <c r="G1798" t="inlineStr">
        <is>
          <t>Future Of The MCU | Marvel Phase 4 Explained</t>
        </is>
      </c>
      <c r="H1798" s="44" t="n">
        <v>0.009930555555555555</v>
      </c>
      <c r="I1798" s="45" t="n">
        <v>260873</v>
      </c>
      <c r="J1798" s="45" t="n">
        <v>10580</v>
      </c>
      <c r="K1798" s="45" t="n">
        <v>1445</v>
      </c>
      <c r="L1798" s="46" t="n"/>
      <c r="M1798" s="47" t="n"/>
      <c r="N1798" s="47" t="inlineStr">
        <is>
          <t>UCKZo4N0lVPccBkSiuyVh4yg</t>
        </is>
      </c>
      <c r="O1798" s="48" t="n">
        <v>43672.02847222222</v>
      </c>
      <c r="P1798" s="49" t="n">
        <v>43671</v>
      </c>
      <c r="Q1798" s="47" t="n">
        <v>1470</v>
      </c>
      <c r="R1798" s="47" t="inlineStr">
        <is>
          <t>No Video ID yet</t>
        </is>
      </c>
      <c r="S1798" s="49" t="n"/>
      <c r="T1798" s="49" t="n"/>
      <c r="U1798" s="47" t="n"/>
      <c r="V1798" s="47">
        <f>IF(AND(P1798&gt;=Calendar!$K$2,P1798&lt;EDATE(Calendar!$K$2,1),OR(Calendar!$K$4="*",N1798=Calendar!$K$4)),P1798*100+COUNTIFS($P$6:$P$3267,P1798,$Q$6:$Q$3267,"&lt;="&amp;Q1798,$N$6:$N$3267,Calendar!$K$4),"")</f>
        <v/>
      </c>
      <c r="W1798" s="47">
        <f>IF(AND(B1798=Queue!$C$4,OR(Queue!$K$4="*",N1798=Queue!$K$4)),Q1798,"")</f>
        <v/>
      </c>
    </row>
    <row r="1799">
      <c r="A1799" s="38">
        <f>IF(M1799="","",HYPERLINK("https://www.youtube.com/watch?v="&amp;M1799,"▶"))</f>
        <v/>
      </c>
      <c r="B1799" s="39">
        <f>IF(C1799&lt;&gt;"",C1799,IF(P1799&lt;=IFERROR(INDEX(tblChannels[Watched Through],MATCH(N1799,tblChannels[Channel ID],0)),0),"Watched","Unwatched"))</f>
        <v/>
      </c>
      <c r="C1799" s="40" t="n"/>
      <c r="D1799" s="41" t="n"/>
      <c r="E1799" s="42" t="n">
        <v>43670.72361111111</v>
      </c>
      <c r="F1799" s="52" t="inlineStr">
        <is>
          <t>Super Carlin Gaming</t>
        </is>
      </c>
      <c r="G1799" t="inlineStr">
        <is>
          <t>I Hate This Game |  Pokémon X Nuzlocke #32</t>
        </is>
      </c>
      <c r="H1799" s="44" t="n">
        <v>0.02369212962962963</v>
      </c>
      <c r="I1799" s="45" t="n">
        <v>19707</v>
      </c>
      <c r="J1799" s="45" t="n">
        <v>649</v>
      </c>
      <c r="K1799" s="45" t="n">
        <v>272</v>
      </c>
      <c r="L1799" s="46" t="n"/>
      <c r="M1799" s="47" t="n"/>
      <c r="N1799" s="47" t="inlineStr">
        <is>
          <t>UCor_9jRnNNZVzTuQ92PKsaQ</t>
        </is>
      </c>
      <c r="O1799" s="48" t="n">
        <v>43670.89027777778</v>
      </c>
      <c r="P1799" s="49" t="n">
        <v>43670</v>
      </c>
      <c r="Q1799" s="47" t="n">
        <v>1469</v>
      </c>
      <c r="R1799" s="47" t="inlineStr">
        <is>
          <t>No Video ID yet</t>
        </is>
      </c>
      <c r="S1799" s="49" t="n"/>
      <c r="T1799" s="49" t="n"/>
      <c r="U1799" s="47" t="n"/>
      <c r="V1799" s="47">
        <f>IF(AND(P1799&gt;=Calendar!$K$2,P1799&lt;EDATE(Calendar!$K$2,1),OR(Calendar!$K$4="*",N1799=Calendar!$K$4)),P1799*100+COUNTIFS($P$6:$P$3267,P1799,$Q$6:$Q$3267,"&lt;="&amp;Q1799,$N$6:$N$3267,Calendar!$K$4),"")</f>
        <v/>
      </c>
      <c r="W1799" s="47">
        <f>IF(AND(B1799=Queue!$C$4,OR(Queue!$K$4="*",N1799=Queue!$K$4)),Q1799,"")</f>
        <v/>
      </c>
    </row>
    <row r="1800">
      <c r="A1800" s="38">
        <f>IF(M1800="","",HYPERLINK("https://www.youtube.com/watch?v="&amp;M1800,"▶"))</f>
        <v/>
      </c>
      <c r="B1800" s="39">
        <f>IF(C1800&lt;&gt;"",C1800,IF(P1800&lt;=IFERROR(INDEX(tblChannels[Watched Through],MATCH(N1800,tblChannels[Channel ID],0)),0),"Watched","Unwatched"))</f>
        <v/>
      </c>
      <c r="C1800" s="40" t="n"/>
      <c r="D1800" s="41" t="n"/>
      <c r="E1800" s="42" t="n">
        <v>43669.69791666666</v>
      </c>
      <c r="F1800" s="50" t="inlineStr">
        <is>
          <t>Super Carlin Brothers</t>
        </is>
      </c>
      <c r="G1800" t="inlineStr">
        <is>
          <t>The Lion King: Was It Worth It? | SCB Review</t>
        </is>
      </c>
      <c r="H1800" s="44" t="n">
        <v>0.04020833333333333</v>
      </c>
      <c r="I1800" s="45" t="n">
        <v>316716</v>
      </c>
      <c r="J1800" s="45" t="n">
        <v>8507</v>
      </c>
      <c r="K1800" s="45" t="n">
        <v>2512</v>
      </c>
      <c r="L1800" s="46" t="n"/>
      <c r="M1800" s="47" t="n"/>
      <c r="N1800" s="47" t="inlineStr">
        <is>
          <t>UCKZo4N0lVPccBkSiuyVh4yg</t>
        </is>
      </c>
      <c r="O1800" s="48" t="n">
        <v>43669.86458333334</v>
      </c>
      <c r="P1800" s="49" t="n">
        <v>43669</v>
      </c>
      <c r="Q1800" s="47" t="n">
        <v>1468</v>
      </c>
      <c r="R1800" s="47" t="inlineStr">
        <is>
          <t>No Video ID yet</t>
        </is>
      </c>
      <c r="S1800" s="49" t="n"/>
      <c r="T1800" s="49" t="n"/>
      <c r="U1800" s="47" t="inlineStr">
        <is>
          <t>Today J and Ben dive into the Pride Lands to give their full spoiler review of Disney’s Live Action Remake of The Lion King</t>
        </is>
      </c>
      <c r="V1800" s="47">
        <f>IF(AND(P1800&gt;=Calendar!$K$2,P1800&lt;EDATE(Calendar!$K$2,1),OR(Calendar!$K$4="*",N1800=Calendar!$K$4)),P1800*100+COUNTIFS($P$6:$P$3267,P1800,$Q$6:$Q$3267,"&lt;="&amp;Q1800,$N$6:$N$3267,Calendar!$K$4),"")</f>
        <v/>
      </c>
      <c r="W1800" s="47">
        <f>IF(AND(B1800=Queue!$C$4,OR(Queue!$K$4="*",N1800=Queue!$K$4)),Q1800,"")</f>
        <v/>
      </c>
    </row>
    <row r="1801">
      <c r="A1801" s="38">
        <f>IF(M1801="","",HYPERLINK("https://www.youtube.com/watch?v="&amp;M1801,"▶"))</f>
        <v/>
      </c>
      <c r="B1801" s="39">
        <f>IF(C1801&lt;&gt;"",C1801,IF(P1801&lt;=IFERROR(INDEX(tblChannels[Watched Through],MATCH(N1801,tblChannels[Channel ID],0)),0),"Watched","Unwatched"))</f>
        <v/>
      </c>
      <c r="C1801" s="40" t="n"/>
      <c r="D1801" s="41" t="n"/>
      <c r="E1801" s="42" t="n">
        <v>43669.42777777778</v>
      </c>
      <c r="F1801" s="53" t="inlineStr">
        <is>
          <t>Jonathan Carlin</t>
        </is>
      </c>
      <c r="G1801" t="inlineStr">
        <is>
          <t>A Week Of Milestones | 2-Million Subscribers!</t>
        </is>
      </c>
      <c r="H1801" s="44" t="n">
        <v>0.007777777777777778</v>
      </c>
      <c r="I1801" s="45" t="n">
        <v>29145</v>
      </c>
      <c r="J1801" s="45" t="n">
        <v>1871</v>
      </c>
      <c r="K1801" s="45" t="n">
        <v>162</v>
      </c>
      <c r="L1801" s="46" t="n"/>
      <c r="M1801" s="47" t="n"/>
      <c r="N1801" s="47" t="inlineStr">
        <is>
          <t>UCYPKFe86e6nm4TVUYKLsFUQ</t>
        </is>
      </c>
      <c r="O1801" s="48" t="n">
        <v>43669.59444444445</v>
      </c>
      <c r="P1801" s="49" t="n">
        <v>43669</v>
      </c>
      <c r="Q1801" s="47" t="n">
        <v>1467</v>
      </c>
      <c r="R1801" s="47" t="inlineStr">
        <is>
          <t>No Video ID yet</t>
        </is>
      </c>
      <c r="S1801" s="49" t="n"/>
      <c r="T1801" s="49" t="n"/>
      <c r="U1801" s="47" t="inlineStr">
        <is>
          <t>A true week of celebration, as SCB celebrates 7 years on YouTube and 2,000,000 Subscribers, while J and Beth celebrate 4 years of marriage!</t>
        </is>
      </c>
      <c r="V1801" s="47">
        <f>IF(AND(P1801&gt;=Calendar!$K$2,P1801&lt;EDATE(Calendar!$K$2,1),OR(Calendar!$K$4="*",N1801=Calendar!$K$4)),P1801*100+COUNTIFS($P$6:$P$3267,P1801,$Q$6:$Q$3267,"&lt;="&amp;Q1801,$N$6:$N$3267,Calendar!$K$4),"")</f>
        <v/>
      </c>
      <c r="W1801" s="47">
        <f>IF(AND(B1801=Queue!$C$4,OR(Queue!$K$4="*",N1801=Queue!$K$4)),Q1801,"")</f>
        <v/>
      </c>
    </row>
    <row r="1802">
      <c r="A1802" s="38">
        <f>IF(M1802="","",HYPERLINK("https://www.youtube.com/watch?v="&amp;M1802,"▶"))</f>
        <v/>
      </c>
      <c r="B1802" s="39">
        <f>IF(C1802&lt;&gt;"",C1802,IF(P1802&lt;=IFERROR(INDEX(tblChannels[Watched Through],MATCH(N1802,tblChannels[Channel ID],0)),0),"Watched","Unwatched"))</f>
        <v/>
      </c>
      <c r="C1802" s="40" t="n"/>
      <c r="D1802" s="41" t="n"/>
      <c r="E1802" s="42" t="n">
        <v>43668.71875</v>
      </c>
      <c r="F1802" s="52" t="inlineStr">
        <is>
          <t>Super Carlin Gaming</t>
        </is>
      </c>
      <c r="G1802" t="inlineStr">
        <is>
          <t>Fun with Flags |  Super Smash Brothers #47</t>
        </is>
      </c>
      <c r="H1802" s="44" t="n">
        <v>0.01395833333333333</v>
      </c>
      <c r="I1802" s="45" t="n">
        <v>4877</v>
      </c>
      <c r="J1802" s="45" t="n">
        <v>229</v>
      </c>
      <c r="K1802" s="45" t="n">
        <v>79</v>
      </c>
      <c r="L1802" s="46" t="n"/>
      <c r="M1802" s="47" t="n"/>
      <c r="N1802" s="47" t="inlineStr">
        <is>
          <t>UCor_9jRnNNZVzTuQ92PKsaQ</t>
        </is>
      </c>
      <c r="O1802" s="48" t="n">
        <v>43668.88541666666</v>
      </c>
      <c r="P1802" s="49" t="n">
        <v>43668</v>
      </c>
      <c r="Q1802" s="47" t="n">
        <v>1466</v>
      </c>
      <c r="R1802" s="47" t="inlineStr">
        <is>
          <t>No Video ID yet</t>
        </is>
      </c>
      <c r="S1802" s="49" t="n"/>
      <c r="T1802" s="49" t="n"/>
      <c r="U1802" s="47" t="inlineStr">
        <is>
          <t>Can we beat our super charged Amiibo’s? J, Ben and DK take turns facing off against these mighty foes while answering your questions! If you want us to challenge your Amiibo, send it to the PO Box listed below!</t>
        </is>
      </c>
      <c r="V1802" s="47">
        <f>IF(AND(P1802&gt;=Calendar!$K$2,P1802&lt;EDATE(Calendar!$K$2,1),OR(Calendar!$K$4="*",N1802=Calendar!$K$4)),P1802*100+COUNTIFS($P$6:$P$3267,P1802,$Q$6:$Q$3267,"&lt;="&amp;Q1802,$N$6:$N$3267,Calendar!$K$4),"")</f>
        <v/>
      </c>
      <c r="W1802" s="47">
        <f>IF(AND(B1802=Queue!$C$4,OR(Queue!$K$4="*",N1802=Queue!$K$4)),Q1802,"")</f>
        <v/>
      </c>
    </row>
    <row r="1803">
      <c r="A1803" s="38">
        <f>IF(M1803="","",HYPERLINK("https://www.youtube.com/watch?v="&amp;M1803,"▶"))</f>
        <v/>
      </c>
      <c r="B1803" s="39">
        <f>IF(C1803&lt;&gt;"",C1803,IF(P1803&lt;=IFERROR(INDEX(tblChannels[Watched Through],MATCH(N1803,tblChannels[Channel ID],0)),0),"Watched","Unwatched"))</f>
        <v/>
      </c>
      <c r="C1803" s="40" t="n"/>
      <c r="D1803" s="41" t="n"/>
      <c r="E1803" s="42" t="n">
        <v>43665.41666666666</v>
      </c>
      <c r="F1803" s="52" t="inlineStr">
        <is>
          <t>Super Carlin Gaming</t>
        </is>
      </c>
      <c r="G1803" t="inlineStr">
        <is>
          <t>Return of Tomjon |  Pokémon X Nuzlocke #31</t>
        </is>
      </c>
      <c r="H1803" s="44" t="n">
        <v>0.02193287037037037</v>
      </c>
      <c r="I1803" s="45" t="n">
        <v>18218</v>
      </c>
      <c r="J1803" s="45" t="n">
        <v>635</v>
      </c>
      <c r="K1803" s="45" t="n">
        <v>347</v>
      </c>
      <c r="L1803" s="46" t="n"/>
      <c r="M1803" s="47" t="n"/>
      <c r="N1803" s="47" t="inlineStr">
        <is>
          <t>UCor_9jRnNNZVzTuQ92PKsaQ</t>
        </is>
      </c>
      <c r="O1803" s="48" t="n">
        <v>43665.58333333334</v>
      </c>
      <c r="P1803" s="49" t="n">
        <v>43665</v>
      </c>
      <c r="Q1803" s="47" t="n">
        <v>1465</v>
      </c>
      <c r="R1803" s="47" t="inlineStr">
        <is>
          <t>No Video ID yet</t>
        </is>
      </c>
      <c r="S1803" s="49" t="n"/>
      <c r="T1803" s="49" t="n"/>
      <c r="U1803" s="47" t="n"/>
      <c r="V1803" s="47">
        <f>IF(AND(P1803&gt;=Calendar!$K$2,P1803&lt;EDATE(Calendar!$K$2,1),OR(Calendar!$K$4="*",N1803=Calendar!$K$4)),P1803*100+COUNTIFS($P$6:$P$3267,P1803,$Q$6:$Q$3267,"&lt;="&amp;Q1803,$N$6:$N$3267,Calendar!$K$4),"")</f>
        <v/>
      </c>
      <c r="W1803" s="47">
        <f>IF(AND(B1803=Queue!$C$4,OR(Queue!$K$4="*",N1803=Queue!$K$4)),Q1803,"")</f>
        <v/>
      </c>
    </row>
    <row r="1804">
      <c r="A1804" s="38">
        <f>IF(M1804="","",HYPERLINK("https://www.youtube.com/watch?v="&amp;M1804,"▶"))</f>
        <v/>
      </c>
      <c r="B1804" s="39">
        <f>IF(C1804&lt;&gt;"",C1804,IF(P1804&lt;=IFERROR(INDEX(tblChannels[Watched Through],MATCH(N1804,tblChannels[Channel ID],0)),0),"Watched","Unwatched"))</f>
        <v/>
      </c>
      <c r="C1804" s="40" t="n"/>
      <c r="D1804" s="41" t="n"/>
      <c r="E1804" s="42" t="n">
        <v>43664.79166666666</v>
      </c>
      <c r="F1804" s="50" t="inlineStr">
        <is>
          <t>Super Carlin Brothers</t>
        </is>
      </c>
      <c r="G1804" t="inlineStr">
        <is>
          <t>Fast Facts: The Lion King</t>
        </is>
      </c>
      <c r="H1804" s="44" t="n">
        <v>0.005995370370370371</v>
      </c>
      <c r="I1804" s="45" t="n">
        <v>422122</v>
      </c>
      <c r="J1804" s="45" t="n">
        <v>13038</v>
      </c>
      <c r="K1804" s="45" t="n">
        <v>895</v>
      </c>
      <c r="L1804" s="46" t="n"/>
      <c r="M1804" s="47" t="n"/>
      <c r="N1804" s="47" t="inlineStr">
        <is>
          <t>UCKZo4N0lVPccBkSiuyVh4yg</t>
        </is>
      </c>
      <c r="O1804" s="48" t="n">
        <v>43664.95833333334</v>
      </c>
      <c r="P1804" s="49" t="n">
        <v>43664</v>
      </c>
      <c r="Q1804" s="47" t="n">
        <v>1464</v>
      </c>
      <c r="R1804" s="47" t="inlineStr">
        <is>
          <t>No Video ID yet</t>
        </is>
      </c>
      <c r="S1804" s="49" t="n"/>
      <c r="T1804" s="49" t="n"/>
      <c r="U1804" s="47" t="inlineStr">
        <is>
          <t>Get 15% off your Vincero Watch order with Promo Code: SCB VinceroWatches :: Today Ben dives into the world of Disney’s The Lion King to uncover every Easter Egg and random fact we could find about the movie!</t>
        </is>
      </c>
      <c r="V1804" s="47">
        <f>IF(AND(P1804&gt;=Calendar!$K$2,P1804&lt;EDATE(Calendar!$K$2,1),OR(Calendar!$K$4="*",N1804=Calendar!$K$4)),P1804*100+COUNTIFS($P$6:$P$3267,P1804,$Q$6:$Q$3267,"&lt;="&amp;Q1804,$N$6:$N$3267,Calendar!$K$4),"")</f>
        <v/>
      </c>
      <c r="W1804" s="47">
        <f>IF(AND(B1804=Queue!$C$4,OR(Queue!$K$4="*",N1804=Queue!$K$4)),Q1804,"")</f>
        <v/>
      </c>
    </row>
    <row r="1805">
      <c r="A1805" s="38">
        <f>IF(M1805="","",HYPERLINK("https://www.youtube.com/watch?v="&amp;M1805,"▶"))</f>
        <v/>
      </c>
      <c r="B1805" s="39">
        <f>IF(C1805&lt;&gt;"",C1805,IF(P1805&lt;=IFERROR(INDEX(tblChannels[Watched Through],MATCH(N1805,tblChannels[Channel ID],0)),0),"Watched","Unwatched"))</f>
        <v/>
      </c>
      <c r="C1805" s="40" t="n"/>
      <c r="D1805" s="41" t="n"/>
      <c r="E1805" s="42" t="n">
        <v>43663.41666666666</v>
      </c>
      <c r="F1805" s="52" t="inlineStr">
        <is>
          <t>Super Carlin Gaming</t>
        </is>
      </c>
      <c r="G1805" t="inlineStr">
        <is>
          <t>Into the Ice Cave |  Pokémon X Nuzlocke #30</t>
        </is>
      </c>
      <c r="H1805" s="44" t="n">
        <v>0.02179398148148148</v>
      </c>
      <c r="I1805" s="45" t="n">
        <v>19215</v>
      </c>
      <c r="J1805" s="45" t="n">
        <v>649</v>
      </c>
      <c r="K1805" s="45" t="n">
        <v>102</v>
      </c>
      <c r="L1805" s="46" t="n"/>
      <c r="M1805" s="47" t="n"/>
      <c r="N1805" s="47" t="inlineStr">
        <is>
          <t>UCor_9jRnNNZVzTuQ92PKsaQ</t>
        </is>
      </c>
      <c r="O1805" s="48" t="n">
        <v>43663.58333333334</v>
      </c>
      <c r="P1805" s="49" t="n">
        <v>43663</v>
      </c>
      <c r="Q1805" s="47" t="n">
        <v>1463</v>
      </c>
      <c r="R1805" s="47" t="inlineStr">
        <is>
          <t>No Video ID yet</t>
        </is>
      </c>
      <c r="S1805" s="49" t="n"/>
      <c r="T1805" s="49" t="n"/>
      <c r="U1805" s="47" t="n"/>
      <c r="V1805" s="47">
        <f>IF(AND(P1805&gt;=Calendar!$K$2,P1805&lt;EDATE(Calendar!$K$2,1),OR(Calendar!$K$4="*",N1805=Calendar!$K$4)),P1805*100+COUNTIFS($P$6:$P$3267,P1805,$Q$6:$Q$3267,"&lt;="&amp;Q1805,$N$6:$N$3267,Calendar!$K$4),"")</f>
        <v/>
      </c>
      <c r="W1805" s="47">
        <f>IF(AND(B1805=Queue!$C$4,OR(Queue!$K$4="*",N1805=Queue!$K$4)),Q1805,"")</f>
        <v/>
      </c>
    </row>
    <row r="1806">
      <c r="A1806" s="38">
        <f>IF(M1806="","",HYPERLINK("https://www.youtube.com/watch?v="&amp;M1806,"▶"))</f>
        <v/>
      </c>
      <c r="B1806" s="39">
        <f>IF(C1806&lt;&gt;"",C1806,IF(P1806&lt;=IFERROR(INDEX(tblChannels[Watched Through],MATCH(N1806,tblChannels[Channel ID],0)),0),"Watched","Unwatched"))</f>
        <v/>
      </c>
      <c r="C1806" s="40" t="n"/>
      <c r="D1806" s="41" t="n"/>
      <c r="E1806" s="42" t="n">
        <v>43662.83819444444</v>
      </c>
      <c r="F1806" s="50" t="inlineStr">
        <is>
          <t>Super Carlin Brothers</t>
        </is>
      </c>
      <c r="G1806" t="inlineStr">
        <is>
          <t>How Toy Story 4 Fits Into The Pixar Theory</t>
        </is>
      </c>
      <c r="H1806" s="44" t="n">
        <v>0.007175925925925926</v>
      </c>
      <c r="I1806" s="45" t="n">
        <v>556220</v>
      </c>
      <c r="J1806" s="45" t="n">
        <v>19565</v>
      </c>
      <c r="K1806" s="45" t="n">
        <v>1965</v>
      </c>
      <c r="L1806" s="46" t="n"/>
      <c r="M1806" s="47" t="n"/>
      <c r="N1806" s="47" t="inlineStr">
        <is>
          <t>UCKZo4N0lVPccBkSiuyVh4yg</t>
        </is>
      </c>
      <c r="O1806" s="48" t="n">
        <v>43663.00486111111</v>
      </c>
      <c r="P1806" s="49" t="n">
        <v>43662</v>
      </c>
      <c r="Q1806" s="47" t="n">
        <v>1462</v>
      </c>
      <c r="R1806" s="47" t="inlineStr">
        <is>
          <t>No Video ID yet</t>
        </is>
      </c>
      <c r="S1806" s="49" t="n"/>
      <c r="T1806" s="49" t="n"/>
      <c r="U1806" s="47" t="inlineStr">
        <is>
          <t>Today J dives into the world of Pixar to discuss how Toy Story 4 fits into the greater Pixar Theory! See how our new intro was made ::</t>
        </is>
      </c>
      <c r="V1806" s="47">
        <f>IF(AND(P1806&gt;=Calendar!$K$2,P1806&lt;EDATE(Calendar!$K$2,1),OR(Calendar!$K$4="*",N1806=Calendar!$K$4)),P1806*100+COUNTIFS($P$6:$P$3267,P1806,$Q$6:$Q$3267,"&lt;="&amp;Q1806,$N$6:$N$3267,Calendar!$K$4),"")</f>
        <v/>
      </c>
      <c r="W1806" s="47">
        <f>IF(AND(B1806=Queue!$C$4,OR(Queue!$K$4="*",N1806=Queue!$K$4)),Q1806,"")</f>
        <v/>
      </c>
    </row>
    <row r="1807">
      <c r="A1807" s="38">
        <f>IF(M1807="","",HYPERLINK("https://www.youtube.com/watch?v="&amp;M1807,"▶"))</f>
        <v/>
      </c>
      <c r="B1807" s="39">
        <f>IF(C1807&lt;&gt;"",C1807,IF(P1807&lt;=IFERROR(INDEX(tblChannels[Watched Through],MATCH(N1807,tblChannels[Channel ID],0)),0),"Watched","Unwatched"))</f>
        <v/>
      </c>
      <c r="C1807" s="40" t="n"/>
      <c r="D1807" s="41" t="n"/>
      <c r="E1807" s="42" t="n">
        <v>43661.58888888889</v>
      </c>
      <c r="F1807" s="52" t="inlineStr">
        <is>
          <t>Super Carlin Gaming</t>
        </is>
      </c>
      <c r="G1807" t="inlineStr">
        <is>
          <t>I Like Water |  Super Smash Brothers Ultimate #46</t>
        </is>
      </c>
      <c r="H1807" s="44" t="n">
        <v>0.01208333333333333</v>
      </c>
      <c r="I1807" s="45" t="n">
        <v>4507</v>
      </c>
      <c r="J1807" s="45" t="n">
        <v>206</v>
      </c>
      <c r="K1807" s="45" t="n">
        <v>50</v>
      </c>
      <c r="L1807" s="46" t="n"/>
      <c r="M1807" s="47" t="n"/>
      <c r="N1807" s="47" t="inlineStr">
        <is>
          <t>UCor_9jRnNNZVzTuQ92PKsaQ</t>
        </is>
      </c>
      <c r="O1807" s="48" t="n">
        <v>43661.75555555556</v>
      </c>
      <c r="P1807" s="49" t="n">
        <v>43661</v>
      </c>
      <c r="Q1807" s="47" t="n">
        <v>1461</v>
      </c>
      <c r="R1807" s="47" t="inlineStr">
        <is>
          <t>No Video ID yet</t>
        </is>
      </c>
      <c r="S1807" s="49" t="n"/>
      <c r="T1807" s="49" t="n"/>
      <c r="U1807" s="47" t="inlineStr">
        <is>
          <t>Can we beat our super charged Amiibo’s? J, Ben and DK take turns facing off against these mighty foes while answering your questions! If you want us to challenge your Amiibo, send it to the PO Box listed below!</t>
        </is>
      </c>
      <c r="V1807" s="47">
        <f>IF(AND(P1807&gt;=Calendar!$K$2,P1807&lt;EDATE(Calendar!$K$2,1),OR(Calendar!$K$4="*",N1807=Calendar!$K$4)),P1807*100+COUNTIFS($P$6:$P$3267,P1807,$Q$6:$Q$3267,"&lt;="&amp;Q1807,$N$6:$N$3267,Calendar!$K$4),"")</f>
        <v/>
      </c>
      <c r="W1807" s="47">
        <f>IF(AND(B1807=Queue!$C$4,OR(Queue!$K$4="*",N1807=Queue!$K$4)),Q1807,"")</f>
        <v/>
      </c>
    </row>
    <row r="1808">
      <c r="A1808" s="38">
        <f>IF(M1808="","",HYPERLINK("https://www.youtube.com/watch?v="&amp;M1808,"▶"))</f>
        <v/>
      </c>
      <c r="B1808" s="39">
        <f>IF(C1808&lt;&gt;"",C1808,IF(P1808&lt;=IFERROR(INDEX(tblChannels[Watched Through],MATCH(N1808,tblChannels[Channel ID],0)),0),"Watched","Unwatched"))</f>
        <v/>
      </c>
      <c r="C1808" s="40" t="n"/>
      <c r="D1808" s="41" t="n"/>
      <c r="E1808" s="42" t="n">
        <v>43657.62222222222</v>
      </c>
      <c r="F1808" s="50" t="inlineStr">
        <is>
          <t>Super Carlin Brothers</t>
        </is>
      </c>
      <c r="G1808" t="inlineStr">
        <is>
          <t>Mulan's SECRET Legacy: McDonalds Szechuan Sauce</t>
        </is>
      </c>
      <c r="H1808" s="44" t="n">
        <v>0.01128472222222222</v>
      </c>
      <c r="I1808" s="45" t="n">
        <v>231427</v>
      </c>
      <c r="J1808" s="45" t="n">
        <v>10933</v>
      </c>
      <c r="K1808" s="45" t="n">
        <v>1415</v>
      </c>
      <c r="L1808" s="46" t="n"/>
      <c r="M1808" s="47" t="n"/>
      <c r="N1808" s="47" t="inlineStr">
        <is>
          <t>UCKZo4N0lVPccBkSiuyVh4yg</t>
        </is>
      </c>
      <c r="O1808" s="48" t="n">
        <v>43657.78888888889</v>
      </c>
      <c r="P1808" s="49" t="n">
        <v>43657</v>
      </c>
      <c r="Q1808" s="47" t="n">
        <v>1460</v>
      </c>
      <c r="R1808" s="47" t="inlineStr">
        <is>
          <t>No Video ID yet</t>
        </is>
      </c>
      <c r="S1808" s="49" t="n"/>
      <c r="T1808" s="49" t="n"/>
      <c r="U1808" s="47" t="inlineStr">
        <is>
          <t>Go to or text SCB to 500-500 to get started today! Today Ben dives into Mulan's history to tell the tale of her secret legacy: McDonald's Szechuan Sauce Babish Makes the Szechuan Sauce :: Being gives back to Dave Wasman ::</t>
        </is>
      </c>
      <c r="V1808" s="47">
        <f>IF(AND(P1808&gt;=Calendar!$K$2,P1808&lt;EDATE(Calendar!$K$2,1),OR(Calendar!$K$4="*",N1808=Calendar!$K$4)),P1808*100+COUNTIFS($P$6:$P$3267,P1808,$Q$6:$Q$3267,"&lt;="&amp;Q1808,$N$6:$N$3267,Calendar!$K$4),"")</f>
        <v/>
      </c>
      <c r="W1808" s="47">
        <f>IF(AND(B1808=Queue!$C$4,OR(Queue!$K$4="*",N1808=Queue!$K$4)),Q1808,"")</f>
        <v/>
      </c>
    </row>
    <row r="1809">
      <c r="A1809" s="38">
        <f>IF(M1809="","",HYPERLINK("https://www.youtube.com/watch?v="&amp;M1809,"▶"))</f>
        <v/>
      </c>
      <c r="B1809" s="39">
        <f>IF(C1809&lt;&gt;"",C1809,IF(P1809&lt;=IFERROR(INDEX(tblChannels[Watched Through],MATCH(N1809,tblChannels[Channel ID],0)),0),"Watched","Unwatched"))</f>
        <v/>
      </c>
      <c r="C1809" s="40" t="n"/>
      <c r="D1809" s="41" t="n"/>
      <c r="E1809" s="42" t="n">
        <v>43656.41666666666</v>
      </c>
      <c r="F1809" s="52" t="inlineStr">
        <is>
          <t>Super Carlin Gaming</t>
        </is>
      </c>
      <c r="G1809" t="inlineStr">
        <is>
          <t>Literal Garbage |  Pokémon X Nuzlocke #29</t>
        </is>
      </c>
      <c r="H1809" s="44" t="n">
        <v>0.02600694444444444</v>
      </c>
      <c r="I1809" s="45" t="n">
        <v>21704</v>
      </c>
      <c r="J1809" s="45" t="n">
        <v>667</v>
      </c>
      <c r="K1809" s="45" t="n">
        <v>231</v>
      </c>
      <c r="L1809" s="46" t="n"/>
      <c r="M1809" s="47" t="n"/>
      <c r="N1809" s="47" t="inlineStr">
        <is>
          <t>UCor_9jRnNNZVzTuQ92PKsaQ</t>
        </is>
      </c>
      <c r="O1809" s="48" t="n">
        <v>43656.58333333334</v>
      </c>
      <c r="P1809" s="49" t="n">
        <v>43656</v>
      </c>
      <c r="Q1809" s="47" t="n">
        <v>1459</v>
      </c>
      <c r="R1809" s="47" t="inlineStr">
        <is>
          <t>No Video ID yet</t>
        </is>
      </c>
      <c r="S1809" s="49" t="n"/>
      <c r="T1809" s="49" t="n"/>
      <c r="U1809" s="47" t="n"/>
      <c r="V1809" s="47">
        <f>IF(AND(P1809&gt;=Calendar!$K$2,P1809&lt;EDATE(Calendar!$K$2,1),OR(Calendar!$K$4="*",N1809=Calendar!$K$4)),P1809*100+COUNTIFS($P$6:$P$3267,P1809,$Q$6:$Q$3267,"&lt;="&amp;Q1809,$N$6:$N$3267,Calendar!$K$4),"")</f>
        <v/>
      </c>
      <c r="W1809" s="47">
        <f>IF(AND(B1809=Queue!$C$4,OR(Queue!$K$4="*",N1809=Queue!$K$4)),Q1809,"")</f>
        <v/>
      </c>
    </row>
    <row r="1810">
      <c r="A1810" s="38">
        <f>IF(M1810="","",HYPERLINK("https://www.youtube.com/watch?v="&amp;M1810,"▶"))</f>
        <v/>
      </c>
      <c r="B1810" s="39">
        <f>IF(C1810&lt;&gt;"",C1810,IF(P1810&lt;=IFERROR(INDEX(tblChannels[Watched Through],MATCH(N1810,tblChannels[Channel ID],0)),0),"Watched","Unwatched"))</f>
        <v/>
      </c>
      <c r="C1810" s="40" t="n"/>
      <c r="D1810" s="41" t="n"/>
      <c r="E1810" s="42" t="n">
        <v>43655.63541666666</v>
      </c>
      <c r="F1810" s="50" t="inlineStr">
        <is>
          <t>Super Carlin Brothers</t>
        </is>
      </c>
      <c r="G1810" t="inlineStr">
        <is>
          <t>Spider-Man Far From Home REVIEW</t>
        </is>
      </c>
      <c r="H1810" s="44" t="n">
        <v>0.03456018518518519</v>
      </c>
      <c r="I1810" s="45" t="n">
        <v>391183</v>
      </c>
      <c r="J1810" s="45" t="n">
        <v>11643</v>
      </c>
      <c r="K1810" s="45" t="n">
        <v>2645</v>
      </c>
      <c r="L1810" s="46" t="n"/>
      <c r="M1810" s="47" t="n"/>
      <c r="N1810" s="47" t="inlineStr">
        <is>
          <t>UCKZo4N0lVPccBkSiuyVh4yg</t>
        </is>
      </c>
      <c r="O1810" s="48" t="n">
        <v>43655.80208333334</v>
      </c>
      <c r="P1810" s="49" t="n">
        <v>43655</v>
      </c>
      <c r="Q1810" s="47" t="n">
        <v>1458</v>
      </c>
      <c r="R1810" s="47" t="inlineStr">
        <is>
          <t>No Video ID yet</t>
        </is>
      </c>
      <c r="S1810" s="49" t="n"/>
      <c r="T1810" s="49" t="n"/>
      <c r="U1810" s="47" t="inlineStr">
        <is>
          <t>Today J and Ben dive into the MCU to give their full SPOILER review of Marvel's Spider-Man Far From Home. Is Peter Parker the next Iron Man? Is this the best Spider-Man movie? How does it rank vs the rest of the MCU?</t>
        </is>
      </c>
      <c r="V1810" s="47">
        <f>IF(AND(P1810&gt;=Calendar!$K$2,P1810&lt;EDATE(Calendar!$K$2,1),OR(Calendar!$K$4="*",N1810=Calendar!$K$4)),P1810*100+COUNTIFS($P$6:$P$3267,P1810,$Q$6:$Q$3267,"&lt;="&amp;Q1810,$N$6:$N$3267,Calendar!$K$4),"")</f>
        <v/>
      </c>
      <c r="W1810" s="47">
        <f>IF(AND(B1810=Queue!$C$4,OR(Queue!$K$4="*",N1810=Queue!$K$4)),Q1810,"")</f>
        <v/>
      </c>
    </row>
    <row r="1811">
      <c r="A1811" s="38">
        <f>IF(M1811="","",HYPERLINK("https://www.youtube.com/watch?v="&amp;M1811,"▶"))</f>
        <v/>
      </c>
      <c r="B1811" s="39">
        <f>IF(C1811&lt;&gt;"",C1811,IF(P1811&lt;=IFERROR(INDEX(tblChannels[Watched Through],MATCH(N1811,tblChannels[Channel ID],0)),0),"Watched","Unwatched"))</f>
        <v/>
      </c>
      <c r="C1811" s="40" t="n"/>
      <c r="D1811" s="41" t="n"/>
      <c r="E1811" s="42" t="n">
        <v>43654.62430555555</v>
      </c>
      <c r="F1811" s="53" t="inlineStr">
        <is>
          <t>Jonathan Carlin</t>
        </is>
      </c>
      <c r="G1811" t="inlineStr">
        <is>
          <t>BACK TO FLORIDA</t>
        </is>
      </c>
      <c r="H1811" s="44" t="n">
        <v>0.01008101851851852</v>
      </c>
      <c r="I1811" s="45" t="n">
        <v>33986</v>
      </c>
      <c r="J1811" s="45" t="n">
        <v>1823</v>
      </c>
      <c r="K1811" s="45" t="n">
        <v>272</v>
      </c>
      <c r="L1811" s="46" t="n"/>
      <c r="M1811" s="47" t="n"/>
      <c r="N1811" s="47" t="inlineStr">
        <is>
          <t>UCYPKFe86e6nm4TVUYKLsFUQ</t>
        </is>
      </c>
      <c r="O1811" s="48" t="n">
        <v>43654.79097222222</v>
      </c>
      <c r="P1811" s="49" t="n">
        <v>43654</v>
      </c>
      <c r="Q1811" s="47" t="n">
        <v>1457</v>
      </c>
      <c r="R1811" s="47" t="inlineStr">
        <is>
          <t>No Video ID yet</t>
        </is>
      </c>
      <c r="S1811" s="49" t="n"/>
      <c r="T1811" s="49" t="n"/>
      <c r="U1811" s="47" t="inlineStr">
        <is>
          <t>This week J, Beth and Luke head back down to Florida for a week of poolside relaxation... and as an added bonus J gives one of his world famous tours of the venue!</t>
        </is>
      </c>
      <c r="V1811" s="47">
        <f>IF(AND(P1811&gt;=Calendar!$K$2,P1811&lt;EDATE(Calendar!$K$2,1),OR(Calendar!$K$4="*",N1811=Calendar!$K$4)),P1811*100+COUNTIFS($P$6:$P$3267,P1811,$Q$6:$Q$3267,"&lt;="&amp;Q1811,$N$6:$N$3267,Calendar!$K$4),"")</f>
        <v/>
      </c>
      <c r="W1811" s="47">
        <f>IF(AND(B1811=Queue!$C$4,OR(Queue!$K$4="*",N1811=Queue!$K$4)),Q1811,"")</f>
        <v/>
      </c>
    </row>
    <row r="1812">
      <c r="A1812" s="38">
        <f>IF(M1812="","",HYPERLINK("https://www.youtube.com/watch?v="&amp;M1812,"▶"))</f>
        <v/>
      </c>
      <c r="B1812" s="39">
        <f>IF(C1812&lt;&gt;"",C1812,IF(P1812&lt;=IFERROR(INDEX(tblChannels[Watched Through],MATCH(N1812,tblChannels[Channel ID],0)),0),"Watched","Unwatched"))</f>
        <v/>
      </c>
      <c r="C1812" s="40" t="n"/>
      <c r="D1812" s="41" t="n"/>
      <c r="E1812" s="42" t="n">
        <v>43650.625</v>
      </c>
      <c r="F1812" s="50" t="inlineStr">
        <is>
          <t>Super Carlin Brothers</t>
        </is>
      </c>
      <c r="G1812" t="inlineStr">
        <is>
          <t>Spider-Man Far From Home Post Credit Scene Explained</t>
        </is>
      </c>
      <c r="H1812" s="44" t="n">
        <v>0.008680555555555556</v>
      </c>
      <c r="I1812" s="45" t="n">
        <v>595998</v>
      </c>
      <c r="J1812" s="45" t="n">
        <v>16668</v>
      </c>
      <c r="K1812" s="45" t="n">
        <v>1882</v>
      </c>
      <c r="L1812" s="46" t="n"/>
      <c r="M1812" s="47" t="n"/>
      <c r="N1812" s="47" t="inlineStr">
        <is>
          <t>UCKZo4N0lVPccBkSiuyVh4yg</t>
        </is>
      </c>
      <c r="O1812" s="48" t="n">
        <v>43650.79166666666</v>
      </c>
      <c r="P1812" s="49" t="n">
        <v>43650</v>
      </c>
      <c r="Q1812" s="47" t="n">
        <v>1456</v>
      </c>
      <c r="R1812" s="47" t="inlineStr">
        <is>
          <t>No Video ID yet</t>
        </is>
      </c>
      <c r="S1812" s="49" t="n"/>
      <c r="T1812" s="49" t="n"/>
      <c r="U1812" s="47" t="inlineStr">
        <is>
          <t>Come watch Lion King with us in Chicago :: Today Ben dives into the world of the MCU to dissect the post credit scene from Spider-Man Far From Home to see what it's setting up for later in Phase 4!</t>
        </is>
      </c>
      <c r="V1812" s="47">
        <f>IF(AND(P1812&gt;=Calendar!$K$2,P1812&lt;EDATE(Calendar!$K$2,1),OR(Calendar!$K$4="*",N1812=Calendar!$K$4)),P1812*100+COUNTIFS($P$6:$P$3267,P1812,$Q$6:$Q$3267,"&lt;="&amp;Q1812,$N$6:$N$3267,Calendar!$K$4),"")</f>
        <v/>
      </c>
      <c r="W1812" s="47">
        <f>IF(AND(B1812=Queue!$C$4,OR(Queue!$K$4="*",N1812=Queue!$K$4)),Q1812,"")</f>
        <v/>
      </c>
    </row>
    <row r="1813">
      <c r="A1813" s="38">
        <f>IF(M1813="","",HYPERLINK("https://www.youtube.com/watch?v="&amp;M1813,"▶"))</f>
        <v/>
      </c>
      <c r="B1813" s="39">
        <f>IF(C1813&lt;&gt;"",C1813,IF(P1813&lt;=IFERROR(INDEX(tblChannels[Watched Through],MATCH(N1813,tblChannels[Channel ID],0)),0),"Watched","Unwatched"))</f>
        <v/>
      </c>
      <c r="C1813" s="40" t="n"/>
      <c r="D1813" s="41" t="n"/>
      <c r="E1813" s="42" t="n">
        <v>43649.65277777778</v>
      </c>
      <c r="F1813" s="52" t="inlineStr">
        <is>
          <t>Super Carlin Gaming</t>
        </is>
      </c>
      <c r="G1813" t="inlineStr">
        <is>
          <t>A Shadow Ball |  Pokémon X Nuzlocke #28</t>
        </is>
      </c>
      <c r="H1813" s="44" t="n">
        <v>0.02009259259259259</v>
      </c>
      <c r="I1813" s="45" t="n">
        <v>23088</v>
      </c>
      <c r="J1813" s="45" t="n">
        <v>706</v>
      </c>
      <c r="K1813" s="45" t="n">
        <v>375</v>
      </c>
      <c r="L1813" s="46" t="n"/>
      <c r="M1813" s="47" t="n"/>
      <c r="N1813" s="47" t="inlineStr">
        <is>
          <t>UCor_9jRnNNZVzTuQ92PKsaQ</t>
        </is>
      </c>
      <c r="O1813" s="48" t="n">
        <v>43649.81944444445</v>
      </c>
      <c r="P1813" s="49" t="n">
        <v>43649</v>
      </c>
      <c r="Q1813" s="47" t="n">
        <v>1455</v>
      </c>
      <c r="R1813" s="47" t="inlineStr">
        <is>
          <t>No Video ID yet</t>
        </is>
      </c>
      <c r="S1813" s="49" t="n"/>
      <c r="T1813" s="49" t="n"/>
      <c r="U1813" s="47" t="n"/>
      <c r="V1813" s="47">
        <f>IF(AND(P1813&gt;=Calendar!$K$2,P1813&lt;EDATE(Calendar!$K$2,1),OR(Calendar!$K$4="*",N1813=Calendar!$K$4)),P1813*100+COUNTIFS($P$6:$P$3267,P1813,$Q$6:$Q$3267,"&lt;="&amp;Q1813,$N$6:$N$3267,Calendar!$K$4),"")</f>
        <v/>
      </c>
      <c r="W1813" s="47">
        <f>IF(AND(B1813=Queue!$C$4,OR(Queue!$K$4="*",N1813=Queue!$K$4)),Q1813,"")</f>
        <v/>
      </c>
    </row>
    <row r="1814">
      <c r="A1814" s="38">
        <f>IF(M1814="","",HYPERLINK("https://www.youtube.com/watch?v="&amp;M1814,"▶"))</f>
        <v/>
      </c>
      <c r="B1814" s="39">
        <f>IF(C1814&lt;&gt;"",C1814,IF(P1814&lt;=IFERROR(INDEX(tblChannels[Watched Through],MATCH(N1814,tblChannels[Channel ID],0)),0),"Watched","Unwatched"))</f>
        <v/>
      </c>
      <c r="C1814" s="40" t="n"/>
      <c r="D1814" s="41" t="n"/>
      <c r="E1814" s="42" t="n">
        <v>43648.77916666667</v>
      </c>
      <c r="F1814" s="50" t="inlineStr">
        <is>
          <t>Super Carlin Brothers</t>
        </is>
      </c>
      <c r="G1814" t="inlineStr">
        <is>
          <t>HOW TO PLAY WIZARDS UNITE</t>
        </is>
      </c>
      <c r="H1814" s="44" t="n">
        <v>0.01329861111111111</v>
      </c>
      <c r="I1814" s="45" t="n">
        <v>205169</v>
      </c>
      <c r="J1814" s="45" t="n">
        <v>6766</v>
      </c>
      <c r="K1814" s="45" t="n">
        <v>1024</v>
      </c>
      <c r="L1814" s="46" t="n"/>
      <c r="M1814" s="47" t="n"/>
      <c r="N1814" s="47" t="inlineStr">
        <is>
          <t>UCKZo4N0lVPccBkSiuyVh4yg</t>
        </is>
      </c>
      <c r="O1814" s="48" t="n">
        <v>43648.94583333333</v>
      </c>
      <c r="P1814" s="49" t="n">
        <v>43648</v>
      </c>
      <c r="Q1814" s="47" t="n">
        <v>1454</v>
      </c>
      <c r="R1814" s="47" t="inlineStr">
        <is>
          <t>No Video ID yet</t>
        </is>
      </c>
      <c r="S1814" s="49" t="n"/>
      <c r="T1814" s="49" t="n"/>
      <c r="U1814" s="47" t="inlineStr">
        <is>
          <t>Today J dives into the Wizarding World of Harry Potter and explains How to Play Wizards Unite! From Confoundables, professions, portkeys, and potions we explain all of the basics of what you need to keep track of to get started in Wizards Unite! #WizardsUnite #Niantic</t>
        </is>
      </c>
      <c r="V1814" s="47">
        <f>IF(AND(P1814&gt;=Calendar!$K$2,P1814&lt;EDATE(Calendar!$K$2,1),OR(Calendar!$K$4="*",N1814=Calendar!$K$4)),P1814*100+COUNTIFS($P$6:$P$3267,P1814,$Q$6:$Q$3267,"&lt;="&amp;Q1814,$N$6:$N$3267,Calendar!$K$4),"")</f>
        <v/>
      </c>
      <c r="W1814" s="47">
        <f>IF(AND(B1814=Queue!$C$4,OR(Queue!$K$4="*",N1814=Queue!$K$4)),Q1814,"")</f>
        <v/>
      </c>
    </row>
    <row r="1815">
      <c r="A1815" s="38">
        <f>IF(M1815="","",HYPERLINK("https://www.youtube.com/watch?v="&amp;M1815,"▶"))</f>
        <v/>
      </c>
      <c r="B1815" s="39">
        <f>IF(C1815&lt;&gt;"",C1815,IF(P1815&lt;=IFERROR(INDEX(tblChannels[Watched Through],MATCH(N1815,tblChannels[Channel ID],0)),0),"Watched","Unwatched"))</f>
        <v/>
      </c>
      <c r="C1815" s="40" t="n"/>
      <c r="D1815" s="41" t="n"/>
      <c r="E1815" s="42" t="n">
        <v>43648.66875</v>
      </c>
      <c r="F1815" s="53" t="inlineStr">
        <is>
          <t>Jonathan Carlin</t>
        </is>
      </c>
      <c r="G1815" t="inlineStr">
        <is>
          <t>WE GOT A POPCORN MAKER</t>
        </is>
      </c>
      <c r="H1815" s="44" t="n">
        <v>0.004548611111111111</v>
      </c>
      <c r="I1815" s="45" t="n">
        <v>28098</v>
      </c>
      <c r="J1815" s="45" t="n">
        <v>1756</v>
      </c>
      <c r="K1815" s="45" t="n">
        <v>162</v>
      </c>
      <c r="L1815" s="46" t="n"/>
      <c r="M1815" s="47" t="n"/>
      <c r="N1815" s="47" t="inlineStr">
        <is>
          <t>UCYPKFe86e6nm4TVUYKLsFUQ</t>
        </is>
      </c>
      <c r="O1815" s="48" t="n">
        <v>43648.83541666667</v>
      </c>
      <c r="P1815" s="49" t="n">
        <v>43648</v>
      </c>
      <c r="Q1815" s="47" t="n">
        <v>1453</v>
      </c>
      <c r="R1815" s="47" t="inlineStr">
        <is>
          <t>No Video ID yet</t>
        </is>
      </c>
      <c r="S1815" s="49" t="n"/>
      <c r="T1815" s="49" t="n"/>
      <c r="U1815" s="47" t="inlineStr">
        <is>
          <t>This week the SCB office gets a brand new LEGIT popcorn maker! Also J contemplates his relationship with rain and Luke prepares for a vacation! Popcorn Maker ::</t>
        </is>
      </c>
      <c r="V1815" s="47">
        <f>IF(AND(P1815&gt;=Calendar!$K$2,P1815&lt;EDATE(Calendar!$K$2,1),OR(Calendar!$K$4="*",N1815=Calendar!$K$4)),P1815*100+COUNTIFS($P$6:$P$3267,P1815,$Q$6:$Q$3267,"&lt;="&amp;Q1815,$N$6:$N$3267,Calendar!$K$4),"")</f>
        <v/>
      </c>
      <c r="W1815" s="47">
        <f>IF(AND(B1815=Queue!$C$4,OR(Queue!$K$4="*",N1815=Queue!$K$4)),Q1815,"")</f>
        <v/>
      </c>
    </row>
    <row r="1816">
      <c r="A1816" s="38">
        <f>IF(M1816="","",HYPERLINK("https://www.youtube.com/watch?v="&amp;M1816,"▶"))</f>
        <v/>
      </c>
      <c r="B1816" s="39">
        <f>IF(C1816&lt;&gt;"",C1816,IF(P1816&lt;=IFERROR(INDEX(tblChannels[Watched Through],MATCH(N1816,tblChannels[Channel ID],0)),0),"Watched","Unwatched"))</f>
        <v/>
      </c>
      <c r="C1816" s="40" t="n"/>
      <c r="D1816" s="41" t="n"/>
      <c r="E1816" s="42" t="n">
        <v>43648.56666666667</v>
      </c>
      <c r="F1816" s="52" t="inlineStr">
        <is>
          <t>Super Carlin Gaming</t>
        </is>
      </c>
      <c r="G1816" t="inlineStr">
        <is>
          <t>Building Your Dating Profile | Super Smash Bros #45</t>
        </is>
      </c>
      <c r="H1816" s="44" t="n">
        <v>0.01090277777777778</v>
      </c>
      <c r="I1816" s="45" t="n">
        <v>4219</v>
      </c>
      <c r="J1816" s="45" t="n">
        <v>199</v>
      </c>
      <c r="K1816" s="45" t="n">
        <v>50</v>
      </c>
      <c r="L1816" s="46" t="n"/>
      <c r="M1816" s="47" t="n"/>
      <c r="N1816" s="47" t="inlineStr">
        <is>
          <t>UCor_9jRnNNZVzTuQ92PKsaQ</t>
        </is>
      </c>
      <c r="O1816" s="48" t="n">
        <v>43648.73333333333</v>
      </c>
      <c r="P1816" s="49" t="n">
        <v>43648</v>
      </c>
      <c r="Q1816" s="47" t="n">
        <v>1452</v>
      </c>
      <c r="R1816" s="47" t="inlineStr">
        <is>
          <t>No Video ID yet</t>
        </is>
      </c>
      <c r="S1816" s="49" t="n"/>
      <c r="T1816" s="49" t="n"/>
      <c r="U1816" s="47" t="inlineStr">
        <is>
          <t>Can we beat our super charged Amiibo’s? J, Ben and DK take turns facing off against these mighty foes while answering your questions! If you want us to challenge your Amiibo, send it to the PO Box listed below!</t>
        </is>
      </c>
      <c r="V1816" s="47">
        <f>IF(AND(P1816&gt;=Calendar!$K$2,P1816&lt;EDATE(Calendar!$K$2,1),OR(Calendar!$K$4="*",N1816=Calendar!$K$4)),P1816*100+COUNTIFS($P$6:$P$3267,P1816,$Q$6:$Q$3267,"&lt;="&amp;Q1816,$N$6:$N$3267,Calendar!$K$4),"")</f>
        <v/>
      </c>
      <c r="W1816" s="47">
        <f>IF(AND(B1816=Queue!$C$4,OR(Queue!$K$4="*",N1816=Queue!$K$4)),Q1816,"")</f>
        <v/>
      </c>
    </row>
    <row r="1817">
      <c r="A1817" s="38">
        <f>IF(M1817="","",HYPERLINK("https://www.youtube.com/watch?v="&amp;M1817,"▶"))</f>
        <v/>
      </c>
      <c r="B1817" s="39">
        <f>IF(C1817&lt;&gt;"",C1817,IF(P1817&lt;=IFERROR(INDEX(tblChannels[Watched Through],MATCH(N1817,tblChannels[Channel ID],0)),0),"Watched","Unwatched"))</f>
        <v/>
      </c>
      <c r="C1817" s="40" t="n"/>
      <c r="D1817" s="41" t="n"/>
      <c r="E1817" s="42" t="n">
        <v>43644.41666666666</v>
      </c>
      <c r="F1817" s="52" t="inlineStr">
        <is>
          <t>Super Carlin Gaming</t>
        </is>
      </c>
      <c r="G1817" t="inlineStr">
        <is>
          <t>The Pokéball Factory |  Pokémon X Nuzlocke #27</t>
        </is>
      </c>
      <c r="H1817" s="44" t="n">
        <v>0.02017361111111111</v>
      </c>
      <c r="I1817" s="45" t="n">
        <v>20929</v>
      </c>
      <c r="J1817" s="45" t="n">
        <v>647</v>
      </c>
      <c r="K1817" s="45" t="n">
        <v>139</v>
      </c>
      <c r="L1817" s="46" t="n"/>
      <c r="M1817" s="47" t="n"/>
      <c r="N1817" s="47" t="inlineStr">
        <is>
          <t>UCor_9jRnNNZVzTuQ92PKsaQ</t>
        </is>
      </c>
      <c r="O1817" s="48" t="n">
        <v>43644.58333333334</v>
      </c>
      <c r="P1817" s="49" t="n">
        <v>43644</v>
      </c>
      <c r="Q1817" s="47" t="n">
        <v>1451</v>
      </c>
      <c r="R1817" s="47" t="inlineStr">
        <is>
          <t>No Video ID yet</t>
        </is>
      </c>
      <c r="S1817" s="49" t="n"/>
      <c r="T1817" s="49" t="n"/>
      <c r="U1817" s="47" t="n"/>
      <c r="V1817" s="47">
        <f>IF(AND(P1817&gt;=Calendar!$K$2,P1817&lt;EDATE(Calendar!$K$2,1),OR(Calendar!$K$4="*",N1817=Calendar!$K$4)),P1817*100+COUNTIFS($P$6:$P$3267,P1817,$Q$6:$Q$3267,"&lt;="&amp;Q1817,$N$6:$N$3267,Calendar!$K$4),"")</f>
        <v/>
      </c>
      <c r="W1817" s="47">
        <f>IF(AND(B1817=Queue!$C$4,OR(Queue!$K$4="*",N1817=Queue!$K$4)),Q1817,"")</f>
        <v/>
      </c>
    </row>
    <row r="1818">
      <c r="A1818" s="38">
        <f>IF(M1818="","",HYPERLINK("https://www.youtube.com/watch?v="&amp;M1818,"▶"))</f>
        <v/>
      </c>
      <c r="B1818" s="39">
        <f>IF(C1818&lt;&gt;"",C1818,IF(P1818&lt;=IFERROR(INDEX(tblChannels[Watched Through],MATCH(N1818,tblChannels[Channel ID],0)),0),"Watched","Unwatched"))</f>
        <v/>
      </c>
      <c r="C1818" s="40" t="n"/>
      <c r="D1818" s="41" t="n"/>
      <c r="E1818" s="42" t="n">
        <v>43643.80208333334</v>
      </c>
      <c r="F1818" s="50" t="inlineStr">
        <is>
          <t>Super Carlin Brothers</t>
        </is>
      </c>
      <c r="G1818" t="inlineStr">
        <is>
          <t>J vs Ben: The BIGGEST Harry Potter Trivia Quiz EVER | 2-MILLION SUBSCRIBERS</t>
        </is>
      </c>
      <c r="H1818" s="44" t="n">
        <v>0.03475694444444444</v>
      </c>
      <c r="I1818" s="45" t="n">
        <v>1893099</v>
      </c>
      <c r="J1818" s="45" t="n">
        <v>27228</v>
      </c>
      <c r="K1818" s="45" t="n">
        <v>3524</v>
      </c>
      <c r="L1818" s="46" t="n"/>
      <c r="M1818" s="47" t="n"/>
      <c r="N1818" s="47" t="inlineStr">
        <is>
          <t>UCKZo4N0lVPccBkSiuyVh4yg</t>
        </is>
      </c>
      <c r="O1818" s="48" t="n">
        <v>43643.96875</v>
      </c>
      <c r="P1818" s="49" t="n">
        <v>43643</v>
      </c>
      <c r="Q1818" s="47" t="n">
        <v>1450</v>
      </c>
      <c r="R1818" s="47" t="inlineStr">
        <is>
          <t>No Video ID yet</t>
        </is>
      </c>
      <c r="S1818" s="49" t="n"/>
      <c r="T1818" s="49" t="n"/>
      <c r="U1818" s="47" t="inlineStr">
        <is>
          <t>Get 15% off your Vincero Watch or Sunglasses! :: Promo Code: SCB Today J and Ben face off in a really rather long Harry Potter quiz to celebrate hitting 2 million subscribers and to find out who knows the most about the movies, books and Cursed Child!</t>
        </is>
      </c>
      <c r="V1818" s="47">
        <f>IF(AND(P1818&gt;=Calendar!$K$2,P1818&lt;EDATE(Calendar!$K$2,1),OR(Calendar!$K$4="*",N1818=Calendar!$K$4)),P1818*100+COUNTIFS($P$6:$P$3267,P1818,$Q$6:$Q$3267,"&lt;="&amp;Q1818,$N$6:$N$3267,Calendar!$K$4),"")</f>
        <v/>
      </c>
      <c r="W1818" s="47">
        <f>IF(AND(B1818=Queue!$C$4,OR(Queue!$K$4="*",N1818=Queue!$K$4)),Q1818,"")</f>
        <v/>
      </c>
    </row>
    <row r="1819">
      <c r="A1819" s="38">
        <f>IF(M1819="","",HYPERLINK("https://www.youtube.com/watch?v="&amp;M1819,"▶"))</f>
        <v/>
      </c>
      <c r="B1819" s="39">
        <f>IF(C1819&lt;&gt;"",C1819,IF(P1819&lt;=IFERROR(INDEX(tblChannels[Watched Through],MATCH(N1819,tblChannels[Channel ID],0)),0),"Watched","Unwatched"))</f>
        <v/>
      </c>
      <c r="C1819" s="40" t="n"/>
      <c r="D1819" s="41" t="n"/>
      <c r="E1819" s="42" t="n">
        <v>43643.41666666666</v>
      </c>
      <c r="F1819" s="52" t="inlineStr">
        <is>
          <t>Super Carlin Gaming</t>
        </is>
      </c>
      <c r="G1819" t="inlineStr">
        <is>
          <t>I Wanna Be an Actor |  Super Smash Bros #44</t>
        </is>
      </c>
      <c r="H1819" s="44" t="n">
        <v>0.01236111111111111</v>
      </c>
      <c r="I1819" s="45" t="n">
        <v>3941</v>
      </c>
      <c r="J1819" s="45" t="n">
        <v>205</v>
      </c>
      <c r="K1819" s="45" t="n">
        <v>38</v>
      </c>
      <c r="L1819" s="46" t="n"/>
      <c r="M1819" s="47" t="n"/>
      <c r="N1819" s="47" t="inlineStr">
        <is>
          <t>UCor_9jRnNNZVzTuQ92PKsaQ</t>
        </is>
      </c>
      <c r="O1819" s="48" t="n">
        <v>43643.58333333334</v>
      </c>
      <c r="P1819" s="49" t="n">
        <v>43643</v>
      </c>
      <c r="Q1819" s="47" t="n">
        <v>1449</v>
      </c>
      <c r="R1819" s="47" t="inlineStr">
        <is>
          <t>No Video ID yet</t>
        </is>
      </c>
      <c r="S1819" s="49" t="n"/>
      <c r="T1819" s="49" t="n"/>
      <c r="U1819" s="47" t="inlineStr">
        <is>
          <t>Can we beat our super charged Amiibo’s? J, Ben and DK take turns facing off against these mighty foes while answering your questions! If you want us to challenge your Amiibo, send it to the PO Box listed below!</t>
        </is>
      </c>
      <c r="V1819" s="47">
        <f>IF(AND(P1819&gt;=Calendar!$K$2,P1819&lt;EDATE(Calendar!$K$2,1),OR(Calendar!$K$4="*",N1819=Calendar!$K$4)),P1819*100+COUNTIFS($P$6:$P$3267,P1819,$Q$6:$Q$3267,"&lt;="&amp;Q1819,$N$6:$N$3267,Calendar!$K$4),"")</f>
        <v/>
      </c>
      <c r="W1819" s="47">
        <f>IF(AND(B1819=Queue!$C$4,OR(Queue!$K$4="*",N1819=Queue!$K$4)),Q1819,"")</f>
        <v/>
      </c>
    </row>
    <row r="1820">
      <c r="A1820" s="38">
        <f>IF(M1820="","",HYPERLINK("https://www.youtube.com/watch?v="&amp;M1820,"▶"))</f>
        <v/>
      </c>
      <c r="B1820" s="39">
        <f>IF(C1820&lt;&gt;"",C1820,IF(P1820&lt;=IFERROR(INDEX(tblChannels[Watched Through],MATCH(N1820,tblChannels[Channel ID],0)),0),"Watched","Unwatched"))</f>
        <v/>
      </c>
      <c r="C1820" s="40" t="n"/>
      <c r="D1820" s="41" t="n"/>
      <c r="E1820" s="42" t="n">
        <v>43642.65416666667</v>
      </c>
      <c r="F1820" s="50" t="inlineStr">
        <is>
          <t>Super Carlin Brothers</t>
        </is>
      </c>
      <c r="G1820" t="inlineStr">
        <is>
          <t>COUNTDOWN to 2 Million Subs!</t>
        </is>
      </c>
      <c r="H1820" s="44" t="n">
        <v>0.0487037037037037</v>
      </c>
      <c r="I1820" s="45" t="n">
        <v>133493</v>
      </c>
      <c r="J1820" s="45" t="n">
        <v>5979</v>
      </c>
      <c r="K1820" s="45" t="n">
        <v>367</v>
      </c>
      <c r="L1820" s="46" t="n"/>
      <c r="M1820" s="47" t="n"/>
      <c r="N1820" s="47" t="inlineStr">
        <is>
          <t>UCKZo4N0lVPccBkSiuyVh4yg</t>
        </is>
      </c>
      <c r="O1820" s="48" t="n">
        <v>43642.82083333333</v>
      </c>
      <c r="P1820" s="49" t="n">
        <v>43642</v>
      </c>
      <c r="Q1820" s="47" t="n">
        <v>1448</v>
      </c>
      <c r="R1820" s="47" t="inlineStr">
        <is>
          <t>No Video ID yet</t>
        </is>
      </c>
      <c r="S1820" s="49" t="n"/>
      <c r="T1820" s="49" t="n"/>
      <c r="U1820" s="47" t="inlineStr">
        <is>
          <t>Watch with us as we count down to 2 million subscribers!!</t>
        </is>
      </c>
      <c r="V1820" s="47">
        <f>IF(AND(P1820&gt;=Calendar!$K$2,P1820&lt;EDATE(Calendar!$K$2,1),OR(Calendar!$K$4="*",N1820=Calendar!$K$4)),P1820*100+COUNTIFS($P$6:$P$3267,P1820,$Q$6:$Q$3267,"&lt;="&amp;Q1820,$N$6:$N$3267,Calendar!$K$4),"")</f>
        <v/>
      </c>
      <c r="W1820" s="47">
        <f>IF(AND(B1820=Queue!$C$4,OR(Queue!$K$4="*",N1820=Queue!$K$4)),Q1820,"")</f>
        <v/>
      </c>
    </row>
    <row r="1821">
      <c r="A1821" s="38">
        <f>IF(M1821="","",HYPERLINK("https://www.youtube.com/watch?v="&amp;M1821,"▶"))</f>
        <v/>
      </c>
      <c r="B1821" s="39">
        <f>IF(C1821&lt;&gt;"",C1821,IF(P1821&lt;=IFERROR(INDEX(tblChannels[Watched Through],MATCH(N1821,tblChannels[Channel ID],0)),0),"Watched","Unwatched"))</f>
        <v/>
      </c>
      <c r="C1821" s="40" t="n"/>
      <c r="D1821" s="41" t="n"/>
      <c r="E1821" s="42" t="n">
        <v>43642.41666666666</v>
      </c>
      <c r="F1821" s="52" t="inlineStr">
        <is>
          <t>Super Carlin Gaming</t>
        </is>
      </c>
      <c r="G1821" t="inlineStr">
        <is>
          <t>The Fairy Gym |  Pokémon X Nuzlocke #26</t>
        </is>
      </c>
      <c r="H1821" s="44" t="n">
        <v>0.03483796296296297</v>
      </c>
      <c r="I1821" s="45" t="n">
        <v>23556</v>
      </c>
      <c r="J1821" s="45" t="n">
        <v>770</v>
      </c>
      <c r="K1821" s="45" t="n">
        <v>220</v>
      </c>
      <c r="L1821" s="46" t="n"/>
      <c r="M1821" s="47" t="n"/>
      <c r="N1821" s="47" t="inlineStr">
        <is>
          <t>UCor_9jRnNNZVzTuQ92PKsaQ</t>
        </is>
      </c>
      <c r="O1821" s="48" t="n">
        <v>43642.58333333334</v>
      </c>
      <c r="P1821" s="49" t="n">
        <v>43642</v>
      </c>
      <c r="Q1821" s="47" t="n">
        <v>1447</v>
      </c>
      <c r="R1821" s="47" t="inlineStr">
        <is>
          <t>No Video ID yet</t>
        </is>
      </c>
      <c r="S1821" s="49" t="n"/>
      <c r="T1821" s="49" t="n"/>
      <c r="U1821" s="47" t="n"/>
      <c r="V1821" s="47">
        <f>IF(AND(P1821&gt;=Calendar!$K$2,P1821&lt;EDATE(Calendar!$K$2,1),OR(Calendar!$K$4="*",N1821=Calendar!$K$4)),P1821*100+COUNTIFS($P$6:$P$3267,P1821,$Q$6:$Q$3267,"&lt;="&amp;Q1821,$N$6:$N$3267,Calendar!$K$4),"")</f>
        <v/>
      </c>
      <c r="W1821" s="47">
        <f>IF(AND(B1821=Queue!$C$4,OR(Queue!$K$4="*",N1821=Queue!$K$4)),Q1821,"")</f>
        <v/>
      </c>
    </row>
    <row r="1822">
      <c r="A1822" s="38">
        <f>IF(M1822="","",HYPERLINK("https://www.youtube.com/watch?v="&amp;M1822,"▶"))</f>
        <v/>
      </c>
      <c r="B1822" s="39">
        <f>IF(C1822&lt;&gt;"",C1822,IF(P1822&lt;=IFERROR(INDEX(tblChannels[Watched Through],MATCH(N1822,tblChannels[Channel ID],0)),0),"Watched","Unwatched"))</f>
        <v/>
      </c>
      <c r="C1822" s="40" t="n"/>
      <c r="D1822" s="41" t="n"/>
      <c r="E1822" s="42" t="n">
        <v>43641.64930555555</v>
      </c>
      <c r="F1822" s="50" t="inlineStr">
        <is>
          <t>Super Carlin Brothers</t>
        </is>
      </c>
      <c r="G1822" t="inlineStr">
        <is>
          <t>Is Toy Story 4 the Best Toy Story Movie? | Spoiler Review</t>
        </is>
      </c>
      <c r="H1822" s="44" t="n">
        <v>0.03347222222222222</v>
      </c>
      <c r="I1822" s="45" t="n">
        <v>369487</v>
      </c>
      <c r="J1822" s="45" t="n">
        <v>11877</v>
      </c>
      <c r="K1822" s="45" t="n">
        <v>3509</v>
      </c>
      <c r="L1822" s="46" t="n"/>
      <c r="M1822" s="47" t="n"/>
      <c r="N1822" s="47" t="inlineStr">
        <is>
          <t>UCKZo4N0lVPccBkSiuyVh4yg</t>
        </is>
      </c>
      <c r="O1822" s="48" t="n">
        <v>43641.81597222222</v>
      </c>
      <c r="P1822" s="49" t="n">
        <v>43641</v>
      </c>
      <c r="Q1822" s="47" t="n">
        <v>1446</v>
      </c>
      <c r="R1822" s="47" t="inlineStr">
        <is>
          <t>No Video ID yet</t>
        </is>
      </c>
      <c r="S1822" s="49" t="n"/>
      <c r="T1822" s="49" t="n"/>
      <c r="U1822" s="47" t="inlineStr">
        <is>
          <t>Today J and Ben dive into the wonderful world of Pixar and give their full spoiler review of Toy Story 4 to try and determine if it is actually the best Toy Story movie ever.</t>
        </is>
      </c>
      <c r="V1822" s="47">
        <f>IF(AND(P1822&gt;=Calendar!$K$2,P1822&lt;EDATE(Calendar!$K$2,1),OR(Calendar!$K$4="*",N1822=Calendar!$K$4)),P1822*100+COUNTIFS($P$6:$P$3267,P1822,$Q$6:$Q$3267,"&lt;="&amp;Q1822,$N$6:$N$3267,Calendar!$K$4),"")</f>
        <v/>
      </c>
      <c r="W1822" s="47">
        <f>IF(AND(B1822=Queue!$C$4,OR(Queue!$K$4="*",N1822=Queue!$K$4)),Q1822,"")</f>
        <v/>
      </c>
    </row>
    <row r="1823">
      <c r="A1823" s="38">
        <f>IF(M1823="","",HYPERLINK("https://www.youtube.com/watch?v="&amp;M1823,"▶"))</f>
        <v/>
      </c>
      <c r="B1823" s="39">
        <f>IF(C1823&lt;&gt;"",C1823,IF(P1823&lt;=IFERROR(INDEX(tblChannels[Watched Through],MATCH(N1823,tblChannels[Channel ID],0)),0),"Watched","Unwatched"))</f>
        <v/>
      </c>
      <c r="C1823" s="40" t="n"/>
      <c r="D1823" s="41" t="n"/>
      <c r="E1823" s="42" t="n">
        <v>43641.43888888889</v>
      </c>
      <c r="F1823" s="53" t="inlineStr">
        <is>
          <t>Jonathan Carlin</t>
        </is>
      </c>
      <c r="G1823" t="inlineStr">
        <is>
          <t>Luke Has Surgery</t>
        </is>
      </c>
      <c r="H1823" s="44" t="n">
        <v>0.00380787037037037</v>
      </c>
      <c r="I1823" s="45" t="n">
        <v>60498</v>
      </c>
      <c r="J1823" s="45" t="n">
        <v>3417</v>
      </c>
      <c r="K1823" s="45" t="n">
        <v>277</v>
      </c>
      <c r="L1823" s="46" t="n"/>
      <c r="M1823" s="47" t="n"/>
      <c r="N1823" s="47" t="inlineStr">
        <is>
          <t>UCYPKFe86e6nm4TVUYKLsFUQ</t>
        </is>
      </c>
      <c r="O1823" s="48" t="n">
        <v>43641.60555555556</v>
      </c>
      <c r="P1823" s="49" t="n">
        <v>43641</v>
      </c>
      <c r="Q1823" s="47" t="n">
        <v>1445</v>
      </c>
      <c r="R1823" s="47" t="inlineStr">
        <is>
          <t>No Video ID yet</t>
        </is>
      </c>
      <c r="S1823" s="49" t="n"/>
      <c r="T1823" s="49" t="n"/>
      <c r="U1823" s="47" t="inlineStr">
        <is>
          <t>This week J and Beth emotionally prepare for Luke to undergo some very routine surgery.</t>
        </is>
      </c>
      <c r="V1823" s="47">
        <f>IF(AND(P1823&gt;=Calendar!$K$2,P1823&lt;EDATE(Calendar!$K$2,1),OR(Calendar!$K$4="*",N1823=Calendar!$K$4)),P1823*100+COUNTIFS($P$6:$P$3267,P1823,$Q$6:$Q$3267,"&lt;="&amp;Q1823,$N$6:$N$3267,Calendar!$K$4),"")</f>
        <v/>
      </c>
      <c r="W1823" s="47">
        <f>IF(AND(B1823=Queue!$C$4,OR(Queue!$K$4="*",N1823=Queue!$K$4)),Q1823,"")</f>
        <v/>
      </c>
    </row>
    <row r="1824">
      <c r="A1824" s="38">
        <f>IF(M1824="","",HYPERLINK("https://www.youtube.com/watch?v="&amp;M1824,"▶"))</f>
        <v/>
      </c>
      <c r="B1824" s="39">
        <f>IF(C1824&lt;&gt;"",C1824,IF(P1824&lt;=IFERROR(INDEX(tblChannels[Watched Through],MATCH(N1824,tblChannels[Channel ID],0)),0),"Watched","Unwatched"))</f>
        <v/>
      </c>
      <c r="C1824" s="40" t="n"/>
      <c r="D1824" s="41" t="n"/>
      <c r="E1824" s="42" t="n">
        <v>43640.65277777778</v>
      </c>
      <c r="F1824" s="52" t="inlineStr">
        <is>
          <t>Super Carlin Gaming</t>
        </is>
      </c>
      <c r="G1824" t="inlineStr">
        <is>
          <t>Best Friend In Love With ME!? | Super Smash Bros #43</t>
        </is>
      </c>
      <c r="H1824" s="44" t="n">
        <v>0.01482638888888889</v>
      </c>
      <c r="I1824" s="45" t="n">
        <v>3817</v>
      </c>
      <c r="J1824" s="45" t="n">
        <v>225</v>
      </c>
      <c r="K1824" s="45" t="n">
        <v>61</v>
      </c>
      <c r="L1824" s="46" t="n"/>
      <c r="M1824" s="47" t="n"/>
      <c r="N1824" s="47" t="inlineStr">
        <is>
          <t>UCor_9jRnNNZVzTuQ92PKsaQ</t>
        </is>
      </c>
      <c r="O1824" s="48" t="n">
        <v>43640.81944444445</v>
      </c>
      <c r="P1824" s="49" t="n">
        <v>43640</v>
      </c>
      <c r="Q1824" s="47" t="n">
        <v>1444</v>
      </c>
      <c r="R1824" s="47" t="inlineStr">
        <is>
          <t>No Video ID yet</t>
        </is>
      </c>
      <c r="S1824" s="49" t="n"/>
      <c r="T1824" s="49" t="n"/>
      <c r="U1824" s="47" t="inlineStr">
        <is>
          <t>Can we beat our super charged Amiibo’s? J, Ben and DK take turns facing off against these mighty foes while answering your questions! If you want us to challenge your Amiibo, send it to the PO Box listed below!</t>
        </is>
      </c>
      <c r="V1824" s="47">
        <f>IF(AND(P1824&gt;=Calendar!$K$2,P1824&lt;EDATE(Calendar!$K$2,1),OR(Calendar!$K$4="*",N1824=Calendar!$K$4)),P1824*100+COUNTIFS($P$6:$P$3267,P1824,$Q$6:$Q$3267,"&lt;="&amp;Q1824,$N$6:$N$3267,Calendar!$K$4),"")</f>
        <v/>
      </c>
      <c r="W1824" s="47">
        <f>IF(AND(B1824=Queue!$C$4,OR(Queue!$K$4="*",N1824=Queue!$K$4)),Q1824,"")</f>
        <v/>
      </c>
    </row>
    <row r="1825">
      <c r="A1825" s="38">
        <f>IF(M1825="","",HYPERLINK("https://www.youtube.com/watch?v="&amp;M1825,"▶"))</f>
        <v/>
      </c>
      <c r="B1825" s="39">
        <f>IF(C1825&lt;&gt;"",C1825,IF(P1825&lt;=IFERROR(INDEX(tblChannels[Watched Through],MATCH(N1825,tblChannels[Channel ID],0)),0),"Watched","Unwatched"))</f>
        <v/>
      </c>
      <c r="C1825" s="40" t="n"/>
      <c r="D1825" s="41" t="n"/>
      <c r="E1825" s="42" t="n">
        <v>43637.41666666666</v>
      </c>
      <c r="F1825" s="52" t="inlineStr">
        <is>
          <t>Super Carlin Gaming</t>
        </is>
      </c>
      <c r="G1825" t="inlineStr">
        <is>
          <t>The Marsh March |  Pokémon X Nuzlocke #25</t>
        </is>
      </c>
      <c r="H1825" s="44" t="n">
        <v>0.01803240740740741</v>
      </c>
      <c r="I1825" s="45" t="n">
        <v>20918</v>
      </c>
      <c r="J1825" s="45" t="n">
        <v>681</v>
      </c>
      <c r="K1825" s="45" t="n">
        <v>262</v>
      </c>
      <c r="L1825" s="46" t="n"/>
      <c r="M1825" s="47" t="n"/>
      <c r="N1825" s="47" t="inlineStr">
        <is>
          <t>UCor_9jRnNNZVzTuQ92PKsaQ</t>
        </is>
      </c>
      <c r="O1825" s="48" t="n">
        <v>43637.58333333334</v>
      </c>
      <c r="P1825" s="49" t="n">
        <v>43637</v>
      </c>
      <c r="Q1825" s="47" t="n">
        <v>1443</v>
      </c>
      <c r="R1825" s="47" t="inlineStr">
        <is>
          <t>No Video ID yet</t>
        </is>
      </c>
      <c r="S1825" s="49" t="n"/>
      <c r="T1825" s="49" t="n"/>
      <c r="U1825" s="47" t="n"/>
      <c r="V1825" s="47">
        <f>IF(AND(P1825&gt;=Calendar!$K$2,P1825&lt;EDATE(Calendar!$K$2,1),OR(Calendar!$K$4="*",N1825=Calendar!$K$4)),P1825*100+COUNTIFS($P$6:$P$3267,P1825,$Q$6:$Q$3267,"&lt;="&amp;Q1825,$N$6:$N$3267,Calendar!$K$4),"")</f>
        <v/>
      </c>
      <c r="W1825" s="47">
        <f>IF(AND(B1825=Queue!$C$4,OR(Queue!$K$4="*",N1825=Queue!$K$4)),Q1825,"")</f>
        <v/>
      </c>
    </row>
    <row r="1826">
      <c r="A1826" s="38">
        <f>IF(M1826="","",HYPERLINK("https://www.youtube.com/watch?v="&amp;M1826,"▶"))</f>
        <v/>
      </c>
      <c r="B1826" s="39">
        <f>IF(C1826&lt;&gt;"",C1826,IF(P1826&lt;=IFERROR(INDEX(tblChannels[Watched Through],MATCH(N1826,tblChannels[Channel ID],0)),0),"Watched","Unwatched"))</f>
        <v/>
      </c>
      <c r="C1826" s="40" t="n"/>
      <c r="D1826" s="41" t="n"/>
      <c r="E1826" s="42" t="n">
        <v>43636.69375</v>
      </c>
      <c r="F1826" s="50" t="inlineStr">
        <is>
          <t>Super Carlin Brothers</t>
        </is>
      </c>
      <c r="G1826" t="inlineStr">
        <is>
          <t>Is Onward Andy's Imagination!? | Pixar Theory</t>
        </is>
      </c>
      <c r="H1826" s="44" t="n">
        <v>0.00869212962962963</v>
      </c>
      <c r="I1826" s="45" t="n">
        <v>701547</v>
      </c>
      <c r="J1826" s="45" t="n">
        <v>24022</v>
      </c>
      <c r="K1826" s="45" t="n">
        <v>2835</v>
      </c>
      <c r="L1826" s="46" t="n"/>
      <c r="M1826" s="47" t="n"/>
      <c r="N1826" s="47" t="inlineStr">
        <is>
          <t>UCKZo4N0lVPccBkSiuyVh4yg</t>
        </is>
      </c>
      <c r="O1826" s="48" t="n">
        <v>43636.86041666667</v>
      </c>
      <c r="P1826" s="49" t="n">
        <v>43636</v>
      </c>
      <c r="Q1826" s="47" t="n">
        <v>1442</v>
      </c>
      <c r="R1826" s="47" t="inlineStr">
        <is>
          <t>No Video ID yet</t>
        </is>
      </c>
      <c r="S1826" s="49" t="n"/>
      <c r="T1826" s="49" t="n"/>
      <c r="U1826" s="47" t="inlineStr">
        <is>
          <t>In today’s episode Ben takes a look at Pixar’s brand new fantasy world found in Onward and discusses the parallels between Ian and Andy. Is it possible that this whole world has actually be created by the ever imaginative Andy?! Could Onward Break the Pixar Theory? The COMPLETE Pixar Theory:</t>
        </is>
      </c>
      <c r="V1826" s="47">
        <f>IF(AND(P1826&gt;=Calendar!$K$2,P1826&lt;EDATE(Calendar!$K$2,1),OR(Calendar!$K$4="*",N1826=Calendar!$K$4)),P1826*100+COUNTIFS($P$6:$P$3267,P1826,$Q$6:$Q$3267,"&lt;="&amp;Q1826,$N$6:$N$3267,Calendar!$K$4),"")</f>
        <v/>
      </c>
      <c r="W1826" s="47">
        <f>IF(AND(B1826=Queue!$C$4,OR(Queue!$K$4="*",N1826=Queue!$K$4)),Q1826,"")</f>
        <v/>
      </c>
    </row>
    <row r="1827">
      <c r="A1827" s="38">
        <f>IF(M1827="","",HYPERLINK("https://www.youtube.com/watch?v="&amp;M1827,"▶"))</f>
        <v/>
      </c>
      <c r="B1827" s="39">
        <f>IF(C1827&lt;&gt;"",C1827,IF(P1827&lt;=IFERROR(INDEX(tblChannels[Watched Through],MATCH(N1827,tblChannels[Channel ID],0)),0),"Watched","Unwatched"))</f>
        <v/>
      </c>
      <c r="C1827" s="40" t="n"/>
      <c r="D1827" s="41" t="n"/>
      <c r="E1827" s="42" t="n">
        <v>43636.45277777778</v>
      </c>
      <c r="F1827" s="52" t="inlineStr">
        <is>
          <t>Super Carlin Gaming</t>
        </is>
      </c>
      <c r="G1827" t="inlineStr">
        <is>
          <t>Confuse Ray! |  Pokémon X Nuzlocke #24</t>
        </is>
      </c>
      <c r="H1827" s="44" t="n">
        <v>0.0237037037037037</v>
      </c>
      <c r="I1827" s="45" t="n">
        <v>21612</v>
      </c>
      <c r="J1827" s="45" t="n">
        <v>693</v>
      </c>
      <c r="K1827" s="45" t="n">
        <v>197</v>
      </c>
      <c r="L1827" s="46" t="n"/>
      <c r="M1827" s="47" t="n"/>
      <c r="N1827" s="47" t="inlineStr">
        <is>
          <t>UCor_9jRnNNZVzTuQ92PKsaQ</t>
        </is>
      </c>
      <c r="O1827" s="48" t="n">
        <v>43636.61944444444</v>
      </c>
      <c r="P1827" s="49" t="n">
        <v>43636</v>
      </c>
      <c r="Q1827" s="47" t="n">
        <v>1441</v>
      </c>
      <c r="R1827" s="47" t="inlineStr">
        <is>
          <t>No Video ID yet</t>
        </is>
      </c>
      <c r="S1827" s="49" t="n"/>
      <c r="T1827" s="49" t="n"/>
      <c r="U1827" s="47" t="n"/>
      <c r="V1827" s="47">
        <f>IF(AND(P1827&gt;=Calendar!$K$2,P1827&lt;EDATE(Calendar!$K$2,1),OR(Calendar!$K$4="*",N1827=Calendar!$K$4)),P1827*100+COUNTIFS($P$6:$P$3267,P1827,$Q$6:$Q$3267,"&lt;="&amp;Q1827,$N$6:$N$3267,Calendar!$K$4),"")</f>
        <v/>
      </c>
      <c r="W1827" s="47">
        <f>IF(AND(B1827=Queue!$C$4,OR(Queue!$K$4="*",N1827=Queue!$K$4)),Q1827,"")</f>
        <v/>
      </c>
    </row>
    <row r="1828">
      <c r="A1828" s="38">
        <f>IF(M1828="","",HYPERLINK("https://www.youtube.com/watch?v="&amp;M1828,"▶"))</f>
        <v/>
      </c>
      <c r="B1828" s="39">
        <f>IF(C1828&lt;&gt;"",C1828,IF(P1828&lt;=IFERROR(INDEX(tblChannels[Watched Through],MATCH(N1828,tblChannels[Channel ID],0)),0),"Watched","Unwatched"))</f>
        <v/>
      </c>
      <c r="C1828" s="40" t="n"/>
      <c r="D1828" s="41" t="n"/>
      <c r="E1828" s="42" t="n">
        <v>43634.625</v>
      </c>
      <c r="F1828" s="50" t="inlineStr">
        <is>
          <t>Super Carlin Brothers</t>
        </is>
      </c>
      <c r="G1828" t="inlineStr">
        <is>
          <t>The SECRETS of Cinderella Castle</t>
        </is>
      </c>
      <c r="H1828" s="44" t="n">
        <v>0.006238425925925926</v>
      </c>
      <c r="I1828" s="45" t="n">
        <v>278602</v>
      </c>
      <c r="J1828" s="45" t="n">
        <v>13049</v>
      </c>
      <c r="K1828" s="45" t="n">
        <v>882</v>
      </c>
      <c r="L1828" s="46" t="n"/>
      <c r="M1828" s="47" t="n"/>
      <c r="N1828" s="47" t="inlineStr">
        <is>
          <t>UCKZo4N0lVPccBkSiuyVh4yg</t>
        </is>
      </c>
      <c r="O1828" s="48" t="n">
        <v>43634.79166666666</v>
      </c>
      <c r="P1828" s="49" t="n">
        <v>43634</v>
      </c>
      <c r="Q1828" s="47" t="n">
        <v>1440</v>
      </c>
      <c r="R1828" s="47" t="inlineStr">
        <is>
          <t>No Video ID yet</t>
        </is>
      </c>
      <c r="S1828" s="49" t="n"/>
      <c r="T1828" s="49" t="n"/>
      <c r="U1828" s="47" t="inlineStr">
        <is>
          <t>This video includes a paid partnership with Disney. #ad Best Day Ever Instagram :: Today J dives into the magical land of Walt Disney World to explore and uncover all of the Secrets of Cinderella Castle! #DisneyWorld</t>
        </is>
      </c>
      <c r="V1828" s="47">
        <f>IF(AND(P1828&gt;=Calendar!$K$2,P1828&lt;EDATE(Calendar!$K$2,1),OR(Calendar!$K$4="*",N1828=Calendar!$K$4)),P1828*100+COUNTIFS($P$6:$P$3267,P1828,$Q$6:$Q$3267,"&lt;="&amp;Q1828,$N$6:$N$3267,Calendar!$K$4),"")</f>
        <v/>
      </c>
      <c r="W1828" s="47">
        <f>IF(AND(B1828=Queue!$C$4,OR(Queue!$K$4="*",N1828=Queue!$K$4)),Q1828,"")</f>
        <v/>
      </c>
    </row>
    <row r="1829">
      <c r="A1829" s="38">
        <f>IF(M1829="","",HYPERLINK("https://www.youtube.com/watch?v="&amp;M1829,"▶"))</f>
        <v/>
      </c>
      <c r="B1829" s="39">
        <f>IF(C1829&lt;&gt;"",C1829,IF(P1829&lt;=IFERROR(INDEX(tblChannels[Watched Through],MATCH(N1829,tblChannels[Channel ID],0)),0),"Watched","Unwatched"))</f>
        <v/>
      </c>
      <c r="C1829" s="40" t="n"/>
      <c r="D1829" s="41" t="n"/>
      <c r="E1829" s="42" t="n">
        <v>43633.65694444445</v>
      </c>
      <c r="F1829" s="52" t="inlineStr">
        <is>
          <t>Super Carlin Gaming</t>
        </is>
      </c>
      <c r="G1829" t="inlineStr">
        <is>
          <t>I've Got a Baby Face! |  Super Smash Bros #42</t>
        </is>
      </c>
      <c r="H1829" s="44" t="n">
        <v>0.01359953703703704</v>
      </c>
      <c r="I1829" s="45" t="n">
        <v>4366</v>
      </c>
      <c r="J1829" s="45" t="n">
        <v>215</v>
      </c>
      <c r="K1829" s="45" t="n">
        <v>81</v>
      </c>
      <c r="L1829" s="46" t="n"/>
      <c r="M1829" s="47" t="n"/>
      <c r="N1829" s="47" t="inlineStr">
        <is>
          <t>UCor_9jRnNNZVzTuQ92PKsaQ</t>
        </is>
      </c>
      <c r="O1829" s="48" t="n">
        <v>43633.82361111111</v>
      </c>
      <c r="P1829" s="49" t="n">
        <v>43633</v>
      </c>
      <c r="Q1829" s="47" t="n">
        <v>1439</v>
      </c>
      <c r="R1829" s="47" t="inlineStr">
        <is>
          <t>No Video ID yet</t>
        </is>
      </c>
      <c r="S1829" s="49" t="n"/>
      <c r="T1829" s="49" t="n"/>
      <c r="U1829" s="47" t="inlineStr">
        <is>
          <t>Can we beat our super charged Amiibo’s? J, Ben and DK take turns facing off against these mighty foes while answering your questions! If you want us to challenge your Amiibo, send it to the PO Box listed below!</t>
        </is>
      </c>
      <c r="V1829" s="47">
        <f>IF(AND(P1829&gt;=Calendar!$K$2,P1829&lt;EDATE(Calendar!$K$2,1),OR(Calendar!$K$4="*",N1829=Calendar!$K$4)),P1829*100+COUNTIFS($P$6:$P$3267,P1829,$Q$6:$Q$3267,"&lt;="&amp;Q1829,$N$6:$N$3267,Calendar!$K$4),"")</f>
        <v/>
      </c>
      <c r="W1829" s="47">
        <f>IF(AND(B1829=Queue!$C$4,OR(Queue!$K$4="*",N1829=Queue!$K$4)),Q1829,"")</f>
        <v/>
      </c>
    </row>
    <row r="1830">
      <c r="A1830" s="38">
        <f>IF(M1830="","",HYPERLINK("https://www.youtube.com/watch?v="&amp;M1830,"▶"))</f>
        <v/>
      </c>
      <c r="B1830" s="39">
        <f>IF(C1830&lt;&gt;"",C1830,IF(P1830&lt;=IFERROR(INDEX(tblChannels[Watched Through],MATCH(N1830,tblChannels[Channel ID],0)),0),"Watched","Unwatched"))</f>
        <v/>
      </c>
      <c r="C1830" s="40" t="n"/>
      <c r="D1830" s="41" t="n"/>
      <c r="E1830" s="42" t="n">
        <v>43630.65486111111</v>
      </c>
      <c r="F1830" s="52" t="inlineStr">
        <is>
          <t>Super Carlin Gaming</t>
        </is>
      </c>
      <c r="G1830" t="inlineStr">
        <is>
          <t>Power Plant Problems |  Pokémon X Nuzlocke #23</t>
        </is>
      </c>
      <c r="H1830" s="44" t="n">
        <v>0.02422453703703704</v>
      </c>
      <c r="I1830" s="45" t="n">
        <v>22998</v>
      </c>
      <c r="J1830" s="45" t="n">
        <v>719</v>
      </c>
      <c r="K1830" s="45" t="n">
        <v>143</v>
      </c>
      <c r="L1830" s="46" t="n"/>
      <c r="M1830" s="47" t="n"/>
      <c r="N1830" s="47" t="inlineStr">
        <is>
          <t>UCor_9jRnNNZVzTuQ92PKsaQ</t>
        </is>
      </c>
      <c r="O1830" s="48" t="n">
        <v>43630.82152777778</v>
      </c>
      <c r="P1830" s="49" t="n">
        <v>43630</v>
      </c>
      <c r="Q1830" s="47" t="n">
        <v>1438</v>
      </c>
      <c r="R1830" s="47" t="inlineStr">
        <is>
          <t>No Video ID yet</t>
        </is>
      </c>
      <c r="S1830" s="49" t="n"/>
      <c r="T1830" s="49" t="n"/>
      <c r="U1830" s="47" t="n"/>
      <c r="V1830" s="47">
        <f>IF(AND(P1830&gt;=Calendar!$K$2,P1830&lt;EDATE(Calendar!$K$2,1),OR(Calendar!$K$4="*",N1830=Calendar!$K$4)),P1830*100+COUNTIFS($P$6:$P$3267,P1830,$Q$6:$Q$3267,"&lt;="&amp;Q1830,$N$6:$N$3267,Calendar!$K$4),"")</f>
        <v/>
      </c>
      <c r="W1830" s="47">
        <f>IF(AND(B1830=Queue!$C$4,OR(Queue!$K$4="*",N1830=Queue!$K$4)),Q1830,"")</f>
        <v/>
      </c>
    </row>
    <row r="1831">
      <c r="A1831" s="38">
        <f>IF(M1831="","",HYPERLINK("https://www.youtube.com/watch?v="&amp;M1831,"▶"))</f>
        <v/>
      </c>
      <c r="B1831" s="39">
        <f>IF(C1831&lt;&gt;"",C1831,IF(P1831&lt;=IFERROR(INDEX(tblChannels[Watched Through],MATCH(N1831,tblChannels[Channel ID],0)),0),"Watched","Unwatched"))</f>
        <v/>
      </c>
      <c r="C1831" s="40" t="n"/>
      <c r="D1831" s="41" t="n"/>
      <c r="E1831" s="42" t="n">
        <v>43629.79791666667</v>
      </c>
      <c r="F1831" s="50" t="inlineStr">
        <is>
          <t>Super Carlin Brothers</t>
        </is>
      </c>
      <c r="G1831" t="inlineStr">
        <is>
          <t>Elsa: The Last Ice Bender | Frozen 2 Theory</t>
        </is>
      </c>
      <c r="H1831" s="44" t="n">
        <v>0.0078125</v>
      </c>
      <c r="I1831" s="45" t="n">
        <v>409208</v>
      </c>
      <c r="J1831" s="45" t="n">
        <v>18335</v>
      </c>
      <c r="K1831" s="45" t="n">
        <v>2592</v>
      </c>
      <c r="L1831" s="46" t="n"/>
      <c r="M1831" s="47" t="n"/>
      <c r="N1831" s="47" t="inlineStr">
        <is>
          <t>UCKZo4N0lVPccBkSiuyVh4yg</t>
        </is>
      </c>
      <c r="O1831" s="48" t="n">
        <v>43629.96458333333</v>
      </c>
      <c r="P1831" s="49" t="n">
        <v>43629</v>
      </c>
      <c r="Q1831" s="47" t="n">
        <v>1437</v>
      </c>
      <c r="R1831" s="47" t="inlineStr">
        <is>
          <t>No Video ID yet</t>
        </is>
      </c>
      <c r="S1831" s="49" t="n"/>
      <c r="T1831" s="49" t="n"/>
      <c r="U1831" s="47" t="inlineStr">
        <is>
          <t>Today Ben dives into the world of Disney’s Frozen to analyze the new trailer and try and determine if Elsa can actually control all 4 elements!</t>
        </is>
      </c>
      <c r="V1831" s="47">
        <f>IF(AND(P1831&gt;=Calendar!$K$2,P1831&lt;EDATE(Calendar!$K$2,1),OR(Calendar!$K$4="*",N1831=Calendar!$K$4)),P1831*100+COUNTIFS($P$6:$P$3267,P1831,$Q$6:$Q$3267,"&lt;="&amp;Q1831,$N$6:$N$3267,Calendar!$K$4),"")</f>
        <v/>
      </c>
      <c r="W1831" s="47">
        <f>IF(AND(B1831=Queue!$C$4,OR(Queue!$K$4="*",N1831=Queue!$K$4)),Q1831,"")</f>
        <v/>
      </c>
    </row>
    <row r="1832">
      <c r="A1832" s="38">
        <f>IF(M1832="","",HYPERLINK("https://www.youtube.com/watch?v="&amp;M1832,"▶"))</f>
        <v/>
      </c>
      <c r="B1832" s="39">
        <f>IF(C1832&lt;&gt;"",C1832,IF(P1832&lt;=IFERROR(INDEX(tblChannels[Watched Through],MATCH(N1832,tblChannels[Channel ID],0)),0),"Watched","Unwatched"))</f>
        <v/>
      </c>
      <c r="C1832" s="40" t="n"/>
      <c r="D1832" s="41" t="n"/>
      <c r="E1832" s="42" t="n">
        <v>43628.55</v>
      </c>
      <c r="F1832" s="52" t="inlineStr">
        <is>
          <t>Super Carlin Gaming</t>
        </is>
      </c>
      <c r="G1832" t="inlineStr">
        <is>
          <t>THE RISE OF JOOJ |  Pokémon X Nuzlocke #22</t>
        </is>
      </c>
      <c r="H1832" s="44" t="n">
        <v>0.0255787037037037</v>
      </c>
      <c r="I1832" s="45" t="n">
        <v>25349</v>
      </c>
      <c r="J1832" s="45" t="n">
        <v>777</v>
      </c>
      <c r="K1832" s="45" t="n">
        <v>234</v>
      </c>
      <c r="L1832" s="46" t="n"/>
      <c r="M1832" s="47" t="n"/>
      <c r="N1832" s="47" t="inlineStr">
        <is>
          <t>UCor_9jRnNNZVzTuQ92PKsaQ</t>
        </is>
      </c>
      <c r="O1832" s="48" t="n">
        <v>43628.71666666667</v>
      </c>
      <c r="P1832" s="49" t="n">
        <v>43628</v>
      </c>
      <c r="Q1832" s="47" t="n">
        <v>1436</v>
      </c>
      <c r="R1832" s="47" t="inlineStr">
        <is>
          <t>No Video ID yet</t>
        </is>
      </c>
      <c r="S1832" s="49" t="n"/>
      <c r="T1832" s="49" t="n"/>
      <c r="U1832" s="47" t="inlineStr">
        <is>
          <t>Today J and the team take on a sneaky desert filled with traps and wild Pokemon, and try and drive Team Flare out of the Power Plant!</t>
        </is>
      </c>
      <c r="V1832" s="47">
        <f>IF(AND(P1832&gt;=Calendar!$K$2,P1832&lt;EDATE(Calendar!$K$2,1),OR(Calendar!$K$4="*",N1832=Calendar!$K$4)),P1832*100+COUNTIFS($P$6:$P$3267,P1832,$Q$6:$Q$3267,"&lt;="&amp;Q1832,$N$6:$N$3267,Calendar!$K$4),"")</f>
        <v/>
      </c>
      <c r="W1832" s="47">
        <f>IF(AND(B1832=Queue!$C$4,OR(Queue!$K$4="*",N1832=Queue!$K$4)),Q1832,"")</f>
        <v/>
      </c>
    </row>
    <row r="1833">
      <c r="A1833" s="38">
        <f>IF(M1833="","",HYPERLINK("https://www.youtube.com/watch?v="&amp;M1833,"▶"))</f>
        <v/>
      </c>
      <c r="B1833" s="39">
        <f>IF(C1833&lt;&gt;"",C1833,IF(P1833&lt;=IFERROR(INDEX(tblChannels[Watched Through],MATCH(N1833,tblChannels[Channel ID],0)),0),"Watched","Unwatched"))</f>
        <v/>
      </c>
      <c r="C1833" s="40" t="n"/>
      <c r="D1833" s="41" t="n"/>
      <c r="E1833" s="42" t="n">
        <v>43627.66805555556</v>
      </c>
      <c r="F1833" s="50" t="inlineStr">
        <is>
          <t>Super Carlin Brothers</t>
        </is>
      </c>
      <c r="G1833" t="inlineStr">
        <is>
          <t>Toy Story Land's CRAZY Google Maps Easter Egg Game</t>
        </is>
      </c>
      <c r="H1833" s="44" t="n">
        <v>0.007569444444444445</v>
      </c>
      <c r="I1833" s="45" t="n">
        <v>211953</v>
      </c>
      <c r="J1833" s="45" t="n">
        <v>9641</v>
      </c>
      <c r="K1833" s="45" t="n">
        <v>542</v>
      </c>
      <c r="L1833" s="46" t="n"/>
      <c r="M1833" s="47" t="n"/>
      <c r="N1833" s="47" t="inlineStr">
        <is>
          <t>UCKZo4N0lVPccBkSiuyVh4yg</t>
        </is>
      </c>
      <c r="O1833" s="48" t="n">
        <v>43627.83472222222</v>
      </c>
      <c r="P1833" s="49" t="n">
        <v>43627</v>
      </c>
      <c r="Q1833" s="47" t="n">
        <v>1435</v>
      </c>
      <c r="R1833" s="47" t="inlineStr">
        <is>
          <t>No Video ID yet</t>
        </is>
      </c>
      <c r="S1833" s="49" t="n"/>
      <c r="T1833" s="49" t="n"/>
      <c r="U1833" s="47" t="inlineStr">
        <is>
          <t>Today J dives into the magic of Walt Disney World and unveils a SUPER SECRET Easter Egg hunt in Toy Story Land hidden in Google Maps! Dan the Pixar Fan Umbrella Story ::</t>
        </is>
      </c>
      <c r="V1833" s="47">
        <f>IF(AND(P1833&gt;=Calendar!$K$2,P1833&lt;EDATE(Calendar!$K$2,1),OR(Calendar!$K$4="*",N1833=Calendar!$K$4)),P1833*100+COUNTIFS($P$6:$P$3267,P1833,$Q$6:$Q$3267,"&lt;="&amp;Q1833,$N$6:$N$3267,Calendar!$K$4),"")</f>
        <v/>
      </c>
      <c r="W1833" s="47">
        <f>IF(AND(B1833=Queue!$C$4,OR(Queue!$K$4="*",N1833=Queue!$K$4)),Q1833,"")</f>
        <v/>
      </c>
    </row>
    <row r="1834">
      <c r="A1834" s="38">
        <f>IF(M1834="","",HYPERLINK("https://www.youtube.com/watch?v="&amp;M1834,"▶"))</f>
        <v/>
      </c>
      <c r="B1834" s="39">
        <f>IF(C1834&lt;&gt;"",C1834,IF(P1834&lt;=IFERROR(INDEX(tblChannels[Watched Through],MATCH(N1834,tblChannels[Channel ID],0)),0),"Watched","Unwatched"))</f>
        <v/>
      </c>
      <c r="C1834" s="40" t="n"/>
      <c r="D1834" s="41" t="n"/>
      <c r="E1834" s="42" t="n">
        <v>43626.57847222222</v>
      </c>
      <c r="F1834" s="52" t="inlineStr">
        <is>
          <t>Super Carlin Gaming</t>
        </is>
      </c>
      <c r="G1834" t="inlineStr">
        <is>
          <t>5th Year Senior |  Super Smash Bros #41??</t>
        </is>
      </c>
      <c r="H1834" s="44" t="n">
        <v>0.01371527777777778</v>
      </c>
      <c r="I1834" s="45" t="n">
        <v>4500</v>
      </c>
      <c r="J1834" s="45" t="n">
        <v>217</v>
      </c>
      <c r="K1834" s="45" t="n">
        <v>45</v>
      </c>
      <c r="L1834" s="46" t="n"/>
      <c r="M1834" s="47" t="n"/>
      <c r="N1834" s="47" t="inlineStr">
        <is>
          <t>UCor_9jRnNNZVzTuQ92PKsaQ</t>
        </is>
      </c>
      <c r="O1834" s="48" t="n">
        <v>43626.74513888889</v>
      </c>
      <c r="P1834" s="49" t="n">
        <v>43626</v>
      </c>
      <c r="Q1834" s="47" t="n">
        <v>1434</v>
      </c>
      <c r="R1834" s="47" t="inlineStr">
        <is>
          <t>No Video ID yet</t>
        </is>
      </c>
      <c r="S1834" s="49" t="n"/>
      <c r="T1834" s="49" t="n"/>
      <c r="U1834" s="47" t="inlineStr">
        <is>
          <t>Can we beat our super charged Amiibo’s? J, Ben and DK take turns facing off against these mighty foes while answering your questions! If you want us to challenge your Amiibo, send it to the PO Box listed below!</t>
        </is>
      </c>
      <c r="V1834" s="47">
        <f>IF(AND(P1834&gt;=Calendar!$K$2,P1834&lt;EDATE(Calendar!$K$2,1),OR(Calendar!$K$4="*",N1834=Calendar!$K$4)),P1834*100+COUNTIFS($P$6:$P$3267,P1834,$Q$6:$Q$3267,"&lt;="&amp;Q1834,$N$6:$N$3267,Calendar!$K$4),"")</f>
        <v/>
      </c>
      <c r="W1834" s="47">
        <f>IF(AND(B1834=Queue!$C$4,OR(Queue!$K$4="*",N1834=Queue!$K$4)),Q1834,"")</f>
        <v/>
      </c>
    </row>
    <row r="1835">
      <c r="A1835" s="38">
        <f>IF(M1835="","",HYPERLINK("https://www.youtube.com/watch?v="&amp;M1835,"▶"))</f>
        <v/>
      </c>
      <c r="B1835" s="39">
        <f>IF(C1835&lt;&gt;"",C1835,IF(P1835&lt;=IFERROR(INDEX(tblChannels[Watched Through],MATCH(N1835,tblChannels[Channel ID],0)),0),"Watched","Unwatched"))</f>
        <v/>
      </c>
      <c r="C1835" s="40" t="n"/>
      <c r="D1835" s="41" t="n"/>
      <c r="E1835" s="42" t="n">
        <v>43626.43402777778</v>
      </c>
      <c r="F1835" s="53" t="inlineStr">
        <is>
          <t>Jonathan Carlin</t>
        </is>
      </c>
      <c r="G1835" t="inlineStr">
        <is>
          <t>Luke Meets Mickey Mouse! | Disney World 2019</t>
        </is>
      </c>
      <c r="H1835" s="44" t="n">
        <v>0.01105324074074074</v>
      </c>
      <c r="I1835" s="45" t="n">
        <v>58687</v>
      </c>
      <c r="J1835" s="45" t="n">
        <v>2646</v>
      </c>
      <c r="K1835" s="45" t="n">
        <v>479</v>
      </c>
      <c r="L1835" s="46" t="n"/>
      <c r="M1835" s="47" t="n"/>
      <c r="N1835" s="47" t="inlineStr">
        <is>
          <t>UCYPKFe86e6nm4TVUYKLsFUQ</t>
        </is>
      </c>
      <c r="O1835" s="48" t="n">
        <v>43626.60069444445</v>
      </c>
      <c r="P1835" s="49" t="n">
        <v>43626</v>
      </c>
      <c r="Q1835" s="47" t="n">
        <v>1433</v>
      </c>
      <c r="R1835" s="47" t="inlineStr">
        <is>
          <t>No Video ID yet</t>
        </is>
      </c>
      <c r="S1835" s="49" t="n"/>
      <c r="T1835" s="49" t="n"/>
      <c r="U1835" s="47" t="inlineStr">
        <is>
          <t>This week J and the Super Carlin Family head to Walt Disney World for a week long vacation! Luke gets to enjoy a bunch of rides, see TONS of animals, and meets Mickey Mouse!</t>
        </is>
      </c>
      <c r="V1835" s="47">
        <f>IF(AND(P1835&gt;=Calendar!$K$2,P1835&lt;EDATE(Calendar!$K$2,1),OR(Calendar!$K$4="*",N1835=Calendar!$K$4)),P1835*100+COUNTIFS($P$6:$P$3267,P1835,$Q$6:$Q$3267,"&lt;="&amp;Q1835,$N$6:$N$3267,Calendar!$K$4),"")</f>
        <v/>
      </c>
      <c r="W1835" s="47">
        <f>IF(AND(B1835=Queue!$C$4,OR(Queue!$K$4="*",N1835=Queue!$K$4)),Q1835,"")</f>
        <v/>
      </c>
    </row>
    <row r="1836">
      <c r="A1836" s="38">
        <f>IF(M1836="","",HYPERLINK("https://www.youtube.com/watch?v="&amp;M1836,"▶"))</f>
        <v/>
      </c>
      <c r="B1836" s="39">
        <f>IF(C1836&lt;&gt;"",C1836,IF(P1836&lt;=IFERROR(INDEX(tblChannels[Watched Through],MATCH(N1836,tblChannels[Channel ID],0)),0),"Watched","Unwatched"))</f>
        <v/>
      </c>
      <c r="C1836" s="40" t="n"/>
      <c r="D1836" s="41" t="n"/>
      <c r="E1836" s="42" t="n">
        <v>43623.56875</v>
      </c>
      <c r="F1836" s="52" t="inlineStr">
        <is>
          <t>Super Carlin Gaming</t>
        </is>
      </c>
      <c r="G1836" t="inlineStr">
        <is>
          <t>The Acrobatic Jumpluff.. |  Pokémon X Nuzlocke #21</t>
        </is>
      </c>
      <c r="H1836" s="44" t="n">
        <v>0.02078703703703704</v>
      </c>
      <c r="I1836" s="45" t="n">
        <v>23698</v>
      </c>
      <c r="J1836" s="45" t="n">
        <v>778</v>
      </c>
      <c r="K1836" s="45" t="n">
        <v>194</v>
      </c>
      <c r="L1836" s="46" t="n"/>
      <c r="M1836" s="47" t="n"/>
      <c r="N1836" s="47" t="inlineStr">
        <is>
          <t>UCor_9jRnNNZVzTuQ92PKsaQ</t>
        </is>
      </c>
      <c r="O1836" s="48" t="n">
        <v>43623.73541666667</v>
      </c>
      <c r="P1836" s="49" t="n">
        <v>43623</v>
      </c>
      <c r="Q1836" s="47" t="n">
        <v>1432</v>
      </c>
      <c r="R1836" s="47" t="inlineStr">
        <is>
          <t>No Video ID yet</t>
        </is>
      </c>
      <c r="S1836" s="49" t="n"/>
      <c r="T1836" s="49" t="n"/>
      <c r="U1836" s="47" t="inlineStr">
        <is>
          <t>Today J and the team take on their 4th Gym Battle, to try and win the creatively named: PLANT BADGE! Will they all survive the encounter?!</t>
        </is>
      </c>
      <c r="V1836" s="47">
        <f>IF(AND(P1836&gt;=Calendar!$K$2,P1836&lt;EDATE(Calendar!$K$2,1),OR(Calendar!$K$4="*",N1836=Calendar!$K$4)),P1836*100+COUNTIFS($P$6:$P$3267,P1836,$Q$6:$Q$3267,"&lt;="&amp;Q1836,$N$6:$N$3267,Calendar!$K$4),"")</f>
        <v/>
      </c>
      <c r="W1836" s="47">
        <f>IF(AND(B1836=Queue!$C$4,OR(Queue!$K$4="*",N1836=Queue!$K$4)),Q1836,"")</f>
        <v/>
      </c>
    </row>
    <row r="1837">
      <c r="A1837" s="38">
        <f>IF(M1837="","",HYPERLINK("https://www.youtube.com/watch?v="&amp;M1837,"▶"))</f>
        <v/>
      </c>
      <c r="B1837" s="39">
        <f>IF(C1837&lt;&gt;"",C1837,IF(P1837&lt;=IFERROR(INDEX(tblChannels[Watched Through],MATCH(N1837,tblChannels[Channel ID],0)),0),"Watched","Unwatched"))</f>
        <v/>
      </c>
      <c r="C1837" s="40" t="n"/>
      <c r="D1837" s="41" t="n"/>
      <c r="E1837" s="42" t="n">
        <v>43622.79305555556</v>
      </c>
      <c r="F1837" s="50" t="inlineStr">
        <is>
          <t>Super Carlin Brothers</t>
        </is>
      </c>
      <c r="G1837" t="inlineStr">
        <is>
          <t>Who Is ACTUALLY The First Avenger?</t>
        </is>
      </c>
      <c r="H1837" s="44" t="n">
        <v>0.008090277777777778</v>
      </c>
      <c r="I1837" s="45" t="n">
        <v>349432</v>
      </c>
      <c r="J1837" s="45" t="n">
        <v>13811</v>
      </c>
      <c r="K1837" s="45" t="n">
        <v>3269</v>
      </c>
      <c r="L1837" s="46" t="n"/>
      <c r="M1837" s="47" t="n"/>
      <c r="N1837" s="47" t="inlineStr">
        <is>
          <t>UCKZo4N0lVPccBkSiuyVh4yg</t>
        </is>
      </c>
      <c r="O1837" s="48" t="n">
        <v>43622.95972222222</v>
      </c>
      <c r="P1837" s="49" t="n">
        <v>43622</v>
      </c>
      <c r="Q1837" s="47" t="n">
        <v>1431</v>
      </c>
      <c r="R1837" s="47" t="inlineStr">
        <is>
          <t>No Video ID yet</t>
        </is>
      </c>
      <c r="S1837" s="49" t="n"/>
      <c r="T1837" s="49" t="n"/>
      <c r="U1837" s="47" t="inlineStr">
        <is>
          <t>Go to or text SCB to 500500 to get a free book, 2 free Audible Originals, and a 30 day free trial. Today Ben dives into the Marvel Cinematic Universe to try and uncover who was ACTUALLY the first Avenger.</t>
        </is>
      </c>
      <c r="V1837" s="47">
        <f>IF(AND(P1837&gt;=Calendar!$K$2,P1837&lt;EDATE(Calendar!$K$2,1),OR(Calendar!$K$4="*",N1837=Calendar!$K$4)),P1837*100+COUNTIFS($P$6:$P$3267,P1837,$Q$6:$Q$3267,"&lt;="&amp;Q1837,$N$6:$N$3267,Calendar!$K$4),"")</f>
        <v/>
      </c>
      <c r="W1837" s="47">
        <f>IF(AND(B1837=Queue!$C$4,OR(Queue!$K$4="*",N1837=Queue!$K$4)),Q1837,"")</f>
        <v/>
      </c>
    </row>
    <row r="1838">
      <c r="A1838" s="38">
        <f>IF(M1838="","",HYPERLINK("https://www.youtube.com/watch?v="&amp;M1838,"▶"))</f>
        <v/>
      </c>
      <c r="B1838" s="39">
        <f>IF(C1838&lt;&gt;"",C1838,IF(P1838&lt;=IFERROR(INDEX(tblChannels[Watched Through],MATCH(N1838,tblChannels[Channel ID],0)),0),"Watched","Unwatched"))</f>
        <v/>
      </c>
      <c r="C1838" s="40" t="n"/>
      <c r="D1838" s="41" t="n"/>
      <c r="E1838" s="42" t="n">
        <v>43620.61319444444</v>
      </c>
      <c r="F1838" s="50" t="inlineStr">
        <is>
          <t>Super Carlin Brothers</t>
        </is>
      </c>
      <c r="G1838" t="inlineStr">
        <is>
          <t>Could Onward BREAK The Pixar Theory?!</t>
        </is>
      </c>
      <c r="H1838" s="44" t="n">
        <v>0.007615740740740741</v>
      </c>
      <c r="I1838" s="45" t="n">
        <v>1168410</v>
      </c>
      <c r="J1838" s="45" t="n">
        <v>40004</v>
      </c>
      <c r="K1838" s="45" t="n">
        <v>6156</v>
      </c>
      <c r="L1838" s="46" t="n"/>
      <c r="M1838" s="47" t="n"/>
      <c r="N1838" s="47" t="inlineStr">
        <is>
          <t>UCKZo4N0lVPccBkSiuyVh4yg</t>
        </is>
      </c>
      <c r="O1838" s="48" t="n">
        <v>43620.77986111111</v>
      </c>
      <c r="P1838" s="49" t="n">
        <v>43620</v>
      </c>
      <c r="Q1838" s="47" t="n">
        <v>1430</v>
      </c>
      <c r="R1838" s="47" t="inlineStr">
        <is>
          <t>No Video ID yet</t>
        </is>
      </c>
      <c r="S1838" s="49" t="n"/>
      <c r="T1838" s="49" t="n"/>
      <c r="U1838" s="47" t="inlineStr">
        <is>
          <t>DC Meet Up :: Onward Trailer :: Today J dives into the world of Pixar to try and determine, where their newest movie 'Onward' will fit into the greater Pixar Theory or if it might break the whole thing!</t>
        </is>
      </c>
      <c r="V1838" s="47">
        <f>IF(AND(P1838&gt;=Calendar!$K$2,P1838&lt;EDATE(Calendar!$K$2,1),OR(Calendar!$K$4="*",N1838=Calendar!$K$4)),P1838*100+COUNTIFS($P$6:$P$3267,P1838,$Q$6:$Q$3267,"&lt;="&amp;Q1838,$N$6:$N$3267,Calendar!$K$4),"")</f>
        <v/>
      </c>
      <c r="W1838" s="47">
        <f>IF(AND(B1838=Queue!$C$4,OR(Queue!$K$4="*",N1838=Queue!$K$4)),Q1838,"")</f>
        <v/>
      </c>
    </row>
    <row r="1839">
      <c r="A1839" s="38">
        <f>IF(M1839="","",HYPERLINK("https://www.youtube.com/watch?v="&amp;M1839,"▶"))</f>
        <v/>
      </c>
      <c r="B1839" s="39">
        <f>IF(C1839&lt;&gt;"",C1839,IF(P1839&lt;=IFERROR(INDEX(tblChannels[Watched Through],MATCH(N1839,tblChannels[Channel ID],0)),0),"Watched","Unwatched"))</f>
        <v/>
      </c>
      <c r="C1839" s="40" t="n"/>
      <c r="D1839" s="41" t="n"/>
      <c r="E1839" s="42" t="n">
        <v>43619.81180555555</v>
      </c>
      <c r="F1839" s="53" t="inlineStr">
        <is>
          <t>Jonathan Carlin</t>
        </is>
      </c>
      <c r="G1839" t="inlineStr">
        <is>
          <t>What Should I Pack for Disney World?</t>
        </is>
      </c>
      <c r="H1839" s="44" t="n">
        <v>0.005590277777777777</v>
      </c>
      <c r="I1839" s="45" t="n">
        <v>27519</v>
      </c>
      <c r="J1839" s="45" t="n">
        <v>1479</v>
      </c>
      <c r="K1839" s="45" t="n">
        <v>145</v>
      </c>
      <c r="L1839" s="46" t="n"/>
      <c r="M1839" s="47" t="n"/>
      <c r="N1839" s="47" t="inlineStr">
        <is>
          <t>UCYPKFe86e6nm4TVUYKLsFUQ</t>
        </is>
      </c>
      <c r="O1839" s="48" t="n">
        <v>43619.97847222222</v>
      </c>
      <c r="P1839" s="49" t="n">
        <v>43619</v>
      </c>
      <c r="Q1839" s="47" t="n">
        <v>1429</v>
      </c>
      <c r="R1839" s="47" t="inlineStr">
        <is>
          <t>No Video ID yet</t>
        </is>
      </c>
      <c r="S1839" s="49" t="n"/>
      <c r="T1839" s="49" t="n"/>
      <c r="U1839" s="47" t="inlineStr">
        <is>
          <t>J and Beth prepare for their pending trip to Disney World, DK prepares for Japan, Luke plays with water. Also J has a big butt.</t>
        </is>
      </c>
      <c r="V1839" s="47">
        <f>IF(AND(P1839&gt;=Calendar!$K$2,P1839&lt;EDATE(Calendar!$K$2,1),OR(Calendar!$K$4="*",N1839=Calendar!$K$4)),P1839*100+COUNTIFS($P$6:$P$3267,P1839,$Q$6:$Q$3267,"&lt;="&amp;Q1839,$N$6:$N$3267,Calendar!$K$4),"")</f>
        <v/>
      </c>
      <c r="W1839" s="47">
        <f>IF(AND(B1839=Queue!$C$4,OR(Queue!$K$4="*",N1839=Queue!$K$4)),Q1839,"")</f>
        <v/>
      </c>
    </row>
    <row r="1840">
      <c r="A1840" s="38">
        <f>IF(M1840="","",HYPERLINK("https://www.youtube.com/watch?v="&amp;M1840,"▶"))</f>
        <v/>
      </c>
      <c r="B1840" s="39">
        <f>IF(C1840&lt;&gt;"",C1840,IF(P1840&lt;=IFERROR(INDEX(tblChannels[Watched Through],MATCH(N1840,tblChannels[Channel ID],0)),0),"Watched","Unwatched"))</f>
        <v/>
      </c>
      <c r="C1840" s="40" t="n"/>
      <c r="D1840" s="41" t="n"/>
      <c r="E1840" s="42" t="n">
        <v>43615.625</v>
      </c>
      <c r="F1840" s="50" t="inlineStr">
        <is>
          <t>Super Carlin Brothers</t>
        </is>
      </c>
      <c r="G1840" t="inlineStr">
        <is>
          <t>J vs Ben: The HARDEST Hagrid Trivia Quiz EVER</t>
        </is>
      </c>
      <c r="H1840" s="44" t="n">
        <v>0.02225694444444444</v>
      </c>
      <c r="I1840" s="45" t="n">
        <v>740089</v>
      </c>
      <c r="J1840" s="45" t="n">
        <v>14741</v>
      </c>
      <c r="K1840" s="45" t="n">
        <v>1882</v>
      </c>
      <c r="L1840" s="46" t="n"/>
      <c r="M1840" s="47" t="n"/>
      <c r="N1840" s="47" t="inlineStr">
        <is>
          <t>UCKZo4N0lVPccBkSiuyVh4yg</t>
        </is>
      </c>
      <c r="O1840" s="48" t="n">
        <v>43615.79166666666</v>
      </c>
      <c r="P1840" s="49" t="n">
        <v>43615</v>
      </c>
      <c r="Q1840" s="47" t="n">
        <v>1428</v>
      </c>
      <c r="R1840" s="47" t="inlineStr">
        <is>
          <t>No Video ID yet</t>
        </is>
      </c>
      <c r="S1840" s="49" t="n"/>
      <c r="T1840" s="49" t="n"/>
      <c r="U1840" s="47" t="inlineStr">
        <is>
          <t>Get 15% off your Vincero Watch! :: Promo Code: SCB Play along with us! :: Today J and Ben face off in the Ultimate Rubeus Hagrid quiz to find out who knows Harry Potter’s biggest friend best! Open your Monster Book of Monsters and let's begin!</t>
        </is>
      </c>
      <c r="V1840" s="47">
        <f>IF(AND(P1840&gt;=Calendar!$K$2,P1840&lt;EDATE(Calendar!$K$2,1),OR(Calendar!$K$4="*",N1840=Calendar!$K$4)),P1840*100+COUNTIFS($P$6:$P$3267,P1840,$Q$6:$Q$3267,"&lt;="&amp;Q1840,$N$6:$N$3267,Calendar!$K$4),"")</f>
        <v/>
      </c>
      <c r="W1840" s="47">
        <f>IF(AND(B1840=Queue!$C$4,OR(Queue!$K$4="*",N1840=Queue!$K$4)),Q1840,"")</f>
        <v/>
      </c>
    </row>
    <row r="1841">
      <c r="A1841" s="38">
        <f>IF(M1841="","",HYPERLINK("https://www.youtube.com/watch?v="&amp;M1841,"▶"))</f>
        <v/>
      </c>
      <c r="B1841" s="39">
        <f>IF(C1841&lt;&gt;"",C1841,IF(P1841&lt;=IFERROR(INDEX(tblChannels[Watched Through],MATCH(N1841,tblChannels[Channel ID],0)),0),"Watched","Unwatched"))</f>
        <v/>
      </c>
      <c r="C1841" s="40" t="n"/>
      <c r="D1841" s="41" t="n"/>
      <c r="E1841" s="42" t="n">
        <v>43613.71875</v>
      </c>
      <c r="F1841" s="50" t="inlineStr">
        <is>
          <t>Super Carlin Brothers</t>
        </is>
      </c>
      <c r="G1841" t="inlineStr">
        <is>
          <t>Aladdin Review | Better Than The Original?</t>
        </is>
      </c>
      <c r="H1841" s="44" t="n">
        <v>0.03166666666666667</v>
      </c>
      <c r="I1841" s="45" t="n">
        <v>358855</v>
      </c>
      <c r="J1841" s="45" t="n">
        <v>10239</v>
      </c>
      <c r="K1841" s="45" t="n">
        <v>2717</v>
      </c>
      <c r="L1841" s="46" t="n"/>
      <c r="M1841" s="47" t="n"/>
      <c r="N1841" s="47" t="inlineStr">
        <is>
          <t>UCKZo4N0lVPccBkSiuyVh4yg</t>
        </is>
      </c>
      <c r="O1841" s="48" t="n">
        <v>43613.88541666666</v>
      </c>
      <c r="P1841" s="49" t="n">
        <v>43613</v>
      </c>
      <c r="Q1841" s="47" t="n">
        <v>1427</v>
      </c>
      <c r="R1841" s="47" t="inlineStr">
        <is>
          <t>No Video ID yet</t>
        </is>
      </c>
      <c r="S1841" s="49" t="n"/>
      <c r="T1841" s="49" t="n"/>
      <c r="U1841" s="47" t="inlineStr">
        <is>
          <t>Today J and Ben dive into Agrabah, to give their full spoiler review of Disney’s Aladdin and try and answer the question: Is the live-action Aladdin as good as the original?</t>
        </is>
      </c>
      <c r="V1841" s="47">
        <f>IF(AND(P1841&gt;=Calendar!$K$2,P1841&lt;EDATE(Calendar!$K$2,1),OR(Calendar!$K$4="*",N1841=Calendar!$K$4)),P1841*100+COUNTIFS($P$6:$P$3267,P1841,$Q$6:$Q$3267,"&lt;="&amp;Q1841,$N$6:$N$3267,Calendar!$K$4),"")</f>
        <v/>
      </c>
      <c r="W1841" s="47">
        <f>IF(AND(B1841=Queue!$C$4,OR(Queue!$K$4="*",N1841=Queue!$K$4)),Q1841,"")</f>
        <v/>
      </c>
    </row>
    <row r="1842">
      <c r="A1842" s="38">
        <f>IF(M1842="","",HYPERLINK("https://www.youtube.com/watch?v="&amp;M1842,"▶"))</f>
        <v/>
      </c>
      <c r="B1842" s="39">
        <f>IF(C1842&lt;&gt;"",C1842,IF(P1842&lt;=IFERROR(INDEX(tblChannels[Watched Through],MATCH(N1842,tblChannels[Channel ID],0)),0),"Watched","Unwatched"))</f>
        <v/>
      </c>
      <c r="C1842" s="40" t="n"/>
      <c r="D1842" s="41" t="n"/>
      <c r="E1842" s="42" t="n">
        <v>43612.41666666666</v>
      </c>
      <c r="F1842" s="53" t="inlineStr">
        <is>
          <t>Jonathan Carlin</t>
        </is>
      </c>
      <c r="G1842" t="inlineStr">
        <is>
          <t>How Can I Drink More Water?</t>
        </is>
      </c>
      <c r="H1842" s="44" t="n">
        <v>0.009097222222222222</v>
      </c>
      <c r="I1842" s="45" t="n">
        <v>36673</v>
      </c>
      <c r="J1842" s="45" t="n">
        <v>1826</v>
      </c>
      <c r="K1842" s="45" t="n">
        <v>393</v>
      </c>
      <c r="L1842" s="46" t="n"/>
      <c r="M1842" s="47" t="n"/>
      <c r="N1842" s="47" t="inlineStr">
        <is>
          <t>UCYPKFe86e6nm4TVUYKLsFUQ</t>
        </is>
      </c>
      <c r="O1842" s="48" t="n">
        <v>43612.58333333334</v>
      </c>
      <c r="P1842" s="49" t="n">
        <v>43612</v>
      </c>
      <c r="Q1842" s="47" t="n">
        <v>1426</v>
      </c>
      <c r="R1842" s="47" t="inlineStr">
        <is>
          <t>No Video ID yet</t>
        </is>
      </c>
      <c r="S1842" s="49" t="n"/>
      <c r="T1842" s="49" t="n"/>
      <c r="U1842" s="47" t="inlineStr">
        <is>
          <t>This week J goes on a quest to answer the question: How can i drink more water? And wonders how he can increase his daily water consumption plus Ben gets a standing desk and Luke visits the library!</t>
        </is>
      </c>
      <c r="V1842" s="47">
        <f>IF(AND(P1842&gt;=Calendar!$K$2,P1842&lt;EDATE(Calendar!$K$2,1),OR(Calendar!$K$4="*",N1842=Calendar!$K$4)),P1842*100+COUNTIFS($P$6:$P$3267,P1842,$Q$6:$Q$3267,"&lt;="&amp;Q1842,$N$6:$N$3267,Calendar!$K$4),"")</f>
        <v/>
      </c>
      <c r="W1842" s="47">
        <f>IF(AND(B1842=Queue!$C$4,OR(Queue!$K$4="*",N1842=Queue!$K$4)),Q1842,"")</f>
        <v/>
      </c>
    </row>
    <row r="1843">
      <c r="A1843" s="38">
        <f>IF(M1843="","",HYPERLINK("https://www.youtube.com/watch?v="&amp;M1843,"▶"))</f>
        <v/>
      </c>
      <c r="B1843" s="39">
        <f>IF(C1843&lt;&gt;"",C1843,IF(P1843&lt;=IFERROR(INDEX(tblChannels[Watched Through],MATCH(N1843,tblChannels[Channel ID],0)),0),"Watched","Unwatched"))</f>
        <v/>
      </c>
      <c r="C1843" s="40" t="n"/>
      <c r="D1843" s="41" t="n"/>
      <c r="E1843" s="42" t="n">
        <v>43609.4375</v>
      </c>
      <c r="F1843" s="52" t="inlineStr">
        <is>
          <t>Super Carlin Gaming</t>
        </is>
      </c>
      <c r="G1843" t="inlineStr">
        <is>
          <t>What's with all the Ice Attacks? |  Pokémon X Nuzlocke #20</t>
        </is>
      </c>
      <c r="H1843" s="44" t="n">
        <v>0.02679398148148148</v>
      </c>
      <c r="I1843" s="45" t="n">
        <v>29015</v>
      </c>
      <c r="J1843" s="45" t="n">
        <v>927</v>
      </c>
      <c r="K1843" s="45" t="n">
        <v>306</v>
      </c>
      <c r="L1843" s="46" t="n"/>
      <c r="M1843" s="47" t="n"/>
      <c r="N1843" s="47" t="inlineStr">
        <is>
          <t>UCor_9jRnNNZVzTuQ92PKsaQ</t>
        </is>
      </c>
      <c r="O1843" s="48" t="n">
        <v>43609.60416666666</v>
      </c>
      <c r="P1843" s="49" t="n">
        <v>43609</v>
      </c>
      <c r="Q1843" s="47" t="n">
        <v>1425</v>
      </c>
      <c r="R1843" s="47" t="inlineStr">
        <is>
          <t>No Video ID yet</t>
        </is>
      </c>
      <c r="S1843" s="49" t="n"/>
      <c r="T1843" s="49" t="n"/>
      <c r="U1843" s="47" t="n"/>
      <c r="V1843" s="47">
        <f>IF(AND(P1843&gt;=Calendar!$K$2,P1843&lt;EDATE(Calendar!$K$2,1),OR(Calendar!$K$4="*",N1843=Calendar!$K$4)),P1843*100+COUNTIFS($P$6:$P$3267,P1843,$Q$6:$Q$3267,"&lt;="&amp;Q1843,$N$6:$N$3267,Calendar!$K$4),"")</f>
        <v/>
      </c>
      <c r="W1843" s="47">
        <f>IF(AND(B1843=Queue!$C$4,OR(Queue!$K$4="*",N1843=Queue!$K$4)),Q1843,"")</f>
        <v/>
      </c>
    </row>
    <row r="1844">
      <c r="A1844" s="38">
        <f>IF(M1844="","",HYPERLINK("https://www.youtube.com/watch?v="&amp;M1844,"▶"))</f>
        <v/>
      </c>
      <c r="B1844" s="39">
        <f>IF(C1844&lt;&gt;"",C1844,IF(P1844&lt;=IFERROR(INDEX(tblChannels[Watched Through],MATCH(N1844,tblChannels[Channel ID],0)),0),"Watched","Unwatched"))</f>
        <v/>
      </c>
      <c r="C1844" s="40" t="n"/>
      <c r="D1844" s="41" t="n"/>
      <c r="E1844" s="42" t="n">
        <v>43608.6875</v>
      </c>
      <c r="F1844" s="50" t="inlineStr">
        <is>
          <t>Super Carlin Brothers</t>
        </is>
      </c>
      <c r="G1844" t="inlineStr">
        <is>
          <t>What Happened To Aladdin’s Mother?</t>
        </is>
      </c>
      <c r="H1844" s="44" t="n">
        <v>0.008275462962962964</v>
      </c>
      <c r="I1844" s="45" t="n">
        <v>361762</v>
      </c>
      <c r="J1844" s="45" t="n">
        <v>13221</v>
      </c>
      <c r="K1844" s="45" t="n">
        <v>1201</v>
      </c>
      <c r="L1844" s="46" t="n"/>
      <c r="M1844" s="47" t="n"/>
      <c r="N1844" s="47" t="inlineStr">
        <is>
          <t>UCKZo4N0lVPccBkSiuyVh4yg</t>
        </is>
      </c>
      <c r="O1844" s="48" t="n">
        <v>43608.85416666666</v>
      </c>
      <c r="P1844" s="49" t="n">
        <v>43608</v>
      </c>
      <c r="Q1844" s="47" t="n">
        <v>1424</v>
      </c>
      <c r="R1844" s="47" t="inlineStr">
        <is>
          <t>No Video ID yet</t>
        </is>
      </c>
      <c r="S1844" s="49" t="n"/>
      <c r="T1844" s="49" t="n"/>
      <c r="U1844" s="47" t="inlineStr">
        <is>
          <t>Today Ben dives into the world of Disney’s Aladdin to try and uncover the mystery of where Aladdin came from. Will Aladdin or Jasmine’s dead parents make an appearance in the live action version of the movie? Proud Of Your Boy ::</t>
        </is>
      </c>
      <c r="V1844" s="47">
        <f>IF(AND(P1844&gt;=Calendar!$K$2,P1844&lt;EDATE(Calendar!$K$2,1),OR(Calendar!$K$4="*",N1844=Calendar!$K$4)),P1844*100+COUNTIFS($P$6:$P$3267,P1844,$Q$6:$Q$3267,"&lt;="&amp;Q1844,$N$6:$N$3267,Calendar!$K$4),"")</f>
        <v/>
      </c>
      <c r="W1844" s="47">
        <f>IF(AND(B1844=Queue!$C$4,OR(Queue!$K$4="*",N1844=Queue!$K$4)),Q1844,"")</f>
        <v/>
      </c>
    </row>
    <row r="1845">
      <c r="A1845" s="38">
        <f>IF(M1845="","",HYPERLINK("https://www.youtube.com/watch?v="&amp;M1845,"▶"))</f>
        <v/>
      </c>
      <c r="B1845" s="39">
        <f>IF(C1845&lt;&gt;"",C1845,IF(P1845&lt;=IFERROR(INDEX(tblChannels[Watched Through],MATCH(N1845,tblChannels[Channel ID],0)),0),"Watched","Unwatched"))</f>
        <v/>
      </c>
      <c r="C1845" s="40" t="n"/>
      <c r="D1845" s="41" t="n"/>
      <c r="E1845" s="42" t="n">
        <v>43607.60972222222</v>
      </c>
      <c r="F1845" s="52" t="inlineStr">
        <is>
          <t>Super Carlin Gaming</t>
        </is>
      </c>
      <c r="G1845" t="inlineStr">
        <is>
          <t>A Dangerous Pursuit |  Pokémon X Nuzlocke #19</t>
        </is>
      </c>
      <c r="H1845" s="44" t="n">
        <v>0.02311342592592593</v>
      </c>
      <c r="I1845" s="45" t="n">
        <v>28234</v>
      </c>
      <c r="J1845" s="45" t="n">
        <v>950</v>
      </c>
      <c r="K1845" s="45" t="n">
        <v>566</v>
      </c>
      <c r="L1845" s="46" t="n"/>
      <c r="M1845" s="47" t="n"/>
      <c r="N1845" s="47" t="inlineStr">
        <is>
          <t>UCor_9jRnNNZVzTuQ92PKsaQ</t>
        </is>
      </c>
      <c r="O1845" s="48" t="n">
        <v>43607.77638888889</v>
      </c>
      <c r="P1845" s="49" t="n">
        <v>43607</v>
      </c>
      <c r="Q1845" s="47" t="n">
        <v>1423</v>
      </c>
      <c r="R1845" s="47" t="inlineStr">
        <is>
          <t>No Video ID yet</t>
        </is>
      </c>
      <c r="S1845" s="49" t="n"/>
      <c r="T1845" s="49" t="n"/>
      <c r="U1845" s="47" t="inlineStr">
        <is>
          <t>Today J and the team make their way towards their 4th gym battle and ride around on the back of a Jooj!</t>
        </is>
      </c>
      <c r="V1845" s="47">
        <f>IF(AND(P1845&gt;=Calendar!$K$2,P1845&lt;EDATE(Calendar!$K$2,1),OR(Calendar!$K$4="*",N1845=Calendar!$K$4)),P1845*100+COUNTIFS($P$6:$P$3267,P1845,$Q$6:$Q$3267,"&lt;="&amp;Q1845,$N$6:$N$3267,Calendar!$K$4),"")</f>
        <v/>
      </c>
      <c r="W1845" s="47">
        <f>IF(AND(B1845=Queue!$C$4,OR(Queue!$K$4="*",N1845=Queue!$K$4)),Q1845,"")</f>
        <v/>
      </c>
    </row>
    <row r="1846">
      <c r="A1846" s="38">
        <f>IF(M1846="","",HYPERLINK("https://www.youtube.com/watch?v="&amp;M1846,"▶"))</f>
        <v/>
      </c>
      <c r="B1846" s="39">
        <f>IF(C1846&lt;&gt;"",C1846,IF(P1846&lt;=IFERROR(INDEX(tblChannels[Watched Through],MATCH(N1846,tblChannels[Channel ID],0)),0),"Watched","Unwatched"))</f>
        <v/>
      </c>
      <c r="C1846" s="40" t="n"/>
      <c r="D1846" s="41" t="n"/>
      <c r="E1846" s="42" t="n">
        <v>43606.66319444445</v>
      </c>
      <c r="F1846" s="50" t="inlineStr">
        <is>
          <t>Super Carlin Brothers</t>
        </is>
      </c>
      <c r="G1846" t="inlineStr">
        <is>
          <t>The SECRET Message In Incredibles 2</t>
        </is>
      </c>
      <c r="H1846" s="44" t="n">
        <v>0.006377314814814815</v>
      </c>
      <c r="I1846" s="45" t="n">
        <v>377927</v>
      </c>
      <c r="J1846" s="45" t="n">
        <v>17252</v>
      </c>
      <c r="K1846" s="45" t="n">
        <v>1879</v>
      </c>
      <c r="L1846" s="46" t="n"/>
      <c r="M1846" s="47" t="n"/>
      <c r="N1846" s="47" t="inlineStr">
        <is>
          <t>UCKZo4N0lVPccBkSiuyVh4yg</t>
        </is>
      </c>
      <c r="O1846" s="48" t="n">
        <v>43606.82986111111</v>
      </c>
      <c r="P1846" s="49" t="n">
        <v>43606</v>
      </c>
      <c r="Q1846" s="47" t="n">
        <v>1422</v>
      </c>
      <c r="R1846" s="47" t="inlineStr">
        <is>
          <t>No Video ID yet</t>
        </is>
      </c>
      <c r="S1846" s="49" t="n"/>
      <c r="T1846" s="49" t="n"/>
      <c r="U1846" s="47" t="inlineStr">
        <is>
          <t>Hey Brother Sunglasses :: Today J dives into the world of Pixar’s Incredibles 2 to discuss his favorite scene, where Mrs Incredible is flying through the city on the hunt for Screen Slaver, and the hidden message in conceals about the greater goals and message of Pixar as a whole.</t>
        </is>
      </c>
      <c r="V1846" s="47">
        <f>IF(AND(P1846&gt;=Calendar!$K$2,P1846&lt;EDATE(Calendar!$K$2,1),OR(Calendar!$K$4="*",N1846=Calendar!$K$4)),P1846*100+COUNTIFS($P$6:$P$3267,P1846,$Q$6:$Q$3267,"&lt;="&amp;Q1846,$N$6:$N$3267,Calendar!$K$4),"")</f>
        <v/>
      </c>
      <c r="W1846" s="47">
        <f>IF(AND(B1846=Queue!$C$4,OR(Queue!$K$4="*",N1846=Queue!$K$4)),Q1846,"")</f>
        <v/>
      </c>
    </row>
    <row r="1847">
      <c r="A1847" s="38">
        <f>IF(M1847="","",HYPERLINK("https://www.youtube.com/watch?v="&amp;M1847,"▶"))</f>
        <v/>
      </c>
      <c r="B1847" s="39">
        <f>IF(C1847&lt;&gt;"",C1847,IF(P1847&lt;=IFERROR(INDEX(tblChannels[Watched Through],MATCH(N1847,tblChannels[Channel ID],0)),0),"Watched","Unwatched"))</f>
        <v/>
      </c>
      <c r="C1847" s="40" t="n"/>
      <c r="D1847" s="41" t="n"/>
      <c r="E1847" s="42" t="n">
        <v>43605.62361111111</v>
      </c>
      <c r="F1847" s="52" t="inlineStr">
        <is>
          <t>Super Carlin Gaming</t>
        </is>
      </c>
      <c r="G1847" t="inlineStr">
        <is>
          <t>Keeping Friends is Hard | Super Smash Bros #40</t>
        </is>
      </c>
      <c r="H1847" s="44" t="n">
        <v>0.01295138888888889</v>
      </c>
      <c r="I1847" s="45" t="n">
        <v>5542</v>
      </c>
      <c r="J1847" s="45" t="n">
        <v>246</v>
      </c>
      <c r="K1847" s="45" t="n">
        <v>60</v>
      </c>
      <c r="L1847" s="46" t="n"/>
      <c r="M1847" s="47" t="n"/>
      <c r="N1847" s="47" t="inlineStr">
        <is>
          <t>UCor_9jRnNNZVzTuQ92PKsaQ</t>
        </is>
      </c>
      <c r="O1847" s="48" t="n">
        <v>43605.79027777778</v>
      </c>
      <c r="P1847" s="49" t="n">
        <v>43605</v>
      </c>
      <c r="Q1847" s="47" t="n">
        <v>1421</v>
      </c>
      <c r="R1847" s="47" t="inlineStr">
        <is>
          <t>No Video ID yet</t>
        </is>
      </c>
      <c r="S1847" s="49" t="n"/>
      <c r="T1847" s="49" t="n"/>
      <c r="U1847" s="47" t="inlineStr">
        <is>
          <t>Can we beat our super charged Amiibo’s? J, Ben and DK take turns facing off against these mighty foes while answering your questions! If you want us to challenge your Amiibo, send it to the PO Box listed below!</t>
        </is>
      </c>
      <c r="V1847" s="47">
        <f>IF(AND(P1847&gt;=Calendar!$K$2,P1847&lt;EDATE(Calendar!$K$2,1),OR(Calendar!$K$4="*",N1847=Calendar!$K$4)),P1847*100+COUNTIFS($P$6:$P$3267,P1847,$Q$6:$Q$3267,"&lt;="&amp;Q1847,$N$6:$N$3267,Calendar!$K$4),"")</f>
        <v/>
      </c>
      <c r="W1847" s="47">
        <f>IF(AND(B1847=Queue!$C$4,OR(Queue!$K$4="*",N1847=Queue!$K$4)),Q1847,"")</f>
        <v/>
      </c>
    </row>
    <row r="1848">
      <c r="A1848" s="38">
        <f>IF(M1848="","",HYPERLINK("https://www.youtube.com/watch?v="&amp;M1848,"▶"))</f>
        <v/>
      </c>
      <c r="B1848" s="39">
        <f>IF(C1848&lt;&gt;"",C1848,IF(P1848&lt;=IFERROR(INDEX(tblChannels[Watched Through],MATCH(N1848,tblChannels[Channel ID],0)),0),"Watched","Unwatched"))</f>
        <v/>
      </c>
      <c r="C1848" s="40" t="n"/>
      <c r="D1848" s="41" t="n"/>
      <c r="E1848" s="42" t="n">
        <v>43605.45347222222</v>
      </c>
      <c r="F1848" s="53" t="inlineStr">
        <is>
          <t>Jonathan Carlin</t>
        </is>
      </c>
      <c r="G1848" t="inlineStr">
        <is>
          <t>Mother's Day! ..and LUKE GETS A HAT!</t>
        </is>
      </c>
      <c r="H1848" s="44" t="n">
        <v>0.005694444444444445</v>
      </c>
      <c r="I1848" s="45" t="n">
        <v>25972</v>
      </c>
      <c r="J1848" s="45" t="n">
        <v>1454</v>
      </c>
      <c r="K1848" s="45" t="n">
        <v>118</v>
      </c>
      <c r="L1848" s="46" t="n"/>
      <c r="M1848" s="47" t="n"/>
      <c r="N1848" s="47" t="inlineStr">
        <is>
          <t>UCYPKFe86e6nm4TVUYKLsFUQ</t>
        </is>
      </c>
      <c r="O1848" s="48" t="n">
        <v>43605.62013888889</v>
      </c>
      <c r="P1848" s="49" t="n">
        <v>43605</v>
      </c>
      <c r="Q1848" s="47" t="n">
        <v>1420</v>
      </c>
      <c r="R1848" s="47" t="inlineStr">
        <is>
          <t>No Video ID yet</t>
        </is>
      </c>
      <c r="S1848" s="49" t="n"/>
      <c r="T1848" s="49" t="n"/>
      <c r="U1848" s="47" t="inlineStr">
        <is>
          <t>Beth continues meal prepping, J opens a box of Spiderman stuff, and the whole family celebrates Mother's Day! Also Luke REALLY enjoys playing with a hat! Cook Once All Week ::</t>
        </is>
      </c>
      <c r="V1848" s="47">
        <f>IF(AND(P1848&gt;=Calendar!$K$2,P1848&lt;EDATE(Calendar!$K$2,1),OR(Calendar!$K$4="*",N1848=Calendar!$K$4)),P1848*100+COUNTIFS($P$6:$P$3267,P1848,$Q$6:$Q$3267,"&lt;="&amp;Q1848,$N$6:$N$3267,Calendar!$K$4),"")</f>
        <v/>
      </c>
      <c r="W1848" s="47">
        <f>IF(AND(B1848=Queue!$C$4,OR(Queue!$K$4="*",N1848=Queue!$K$4)),Q1848,"")</f>
        <v/>
      </c>
    </row>
    <row r="1849">
      <c r="A1849" s="38">
        <f>IF(M1849="","",HYPERLINK("https://www.youtube.com/watch?v="&amp;M1849,"▶"))</f>
        <v/>
      </c>
      <c r="B1849" s="39">
        <f>IF(C1849&lt;&gt;"",C1849,IF(P1849&lt;=IFERROR(INDEX(tblChannels[Watched Through],MATCH(N1849,tblChannels[Channel ID],0)),0),"Watched","Unwatched"))</f>
        <v/>
      </c>
      <c r="C1849" s="40" t="n"/>
      <c r="D1849" s="41" t="n"/>
      <c r="E1849" s="42" t="n">
        <v>43602.43194444444</v>
      </c>
      <c r="F1849" s="52" t="inlineStr">
        <is>
          <t>Super Carlin Gaming</t>
        </is>
      </c>
      <c r="G1849" t="inlineStr">
        <is>
          <t>LETS GET READY TO RUMBLE |  Pokémon X Nuzlocke #18</t>
        </is>
      </c>
      <c r="H1849" s="44" t="n">
        <v>0.01771990740740741</v>
      </c>
      <c r="I1849" s="45" t="n">
        <v>24886</v>
      </c>
      <c r="J1849" s="45" t="n">
        <v>751</v>
      </c>
      <c r="K1849" s="45" t="n">
        <v>342</v>
      </c>
      <c r="L1849" s="46" t="n"/>
      <c r="M1849" s="47" t="n"/>
      <c r="N1849" s="47" t="inlineStr">
        <is>
          <t>UCor_9jRnNNZVzTuQ92PKsaQ</t>
        </is>
      </c>
      <c r="O1849" s="48" t="n">
        <v>43602.59861111111</v>
      </c>
      <c r="P1849" s="49" t="n">
        <v>43602</v>
      </c>
      <c r="Q1849" s="47" t="n">
        <v>1419</v>
      </c>
      <c r="R1849" s="47" t="inlineStr">
        <is>
          <t>No Video ID yet</t>
        </is>
      </c>
      <c r="S1849" s="49" t="n"/>
      <c r="T1849" s="49" t="n"/>
      <c r="U1849" s="47" t="inlineStr">
        <is>
          <t>Today J and the Team take on their 3rd Gym Battle and try to win the RUMBLE badge - Will Goiran be able to handle Korrina's mighty Hawlucha?</t>
        </is>
      </c>
      <c r="V1849" s="47">
        <f>IF(AND(P1849&gt;=Calendar!$K$2,P1849&lt;EDATE(Calendar!$K$2,1),OR(Calendar!$K$4="*",N1849=Calendar!$K$4)),P1849*100+COUNTIFS($P$6:$P$3267,P1849,$Q$6:$Q$3267,"&lt;="&amp;Q1849,$N$6:$N$3267,Calendar!$K$4),"")</f>
        <v/>
      </c>
      <c r="W1849" s="47">
        <f>IF(AND(B1849=Queue!$C$4,OR(Queue!$K$4="*",N1849=Queue!$K$4)),Q1849,"")</f>
        <v/>
      </c>
    </row>
    <row r="1850">
      <c r="A1850" s="38">
        <f>IF(M1850="","",HYPERLINK("https://www.youtube.com/watch?v="&amp;M1850,"▶"))</f>
        <v/>
      </c>
      <c r="B1850" s="39">
        <f>IF(C1850&lt;&gt;"",C1850,IF(P1850&lt;=IFERROR(INDEX(tblChannels[Watched Through],MATCH(N1850,tblChannels[Channel ID],0)),0),"Watched","Unwatched"))</f>
        <v/>
      </c>
      <c r="C1850" s="40" t="n"/>
      <c r="D1850" s="41" t="n"/>
      <c r="E1850" s="42" t="n">
        <v>43601.75625</v>
      </c>
      <c r="F1850" s="50" t="inlineStr">
        <is>
          <t>Super Carlin Brothers</t>
        </is>
      </c>
      <c r="G1850" t="inlineStr">
        <is>
          <t>Will There ACTUALLY Be A Marvel Multiverse?</t>
        </is>
      </c>
      <c r="H1850" s="44" t="n">
        <v>0.007465277777777778</v>
      </c>
      <c r="I1850" s="45" t="n">
        <v>245847</v>
      </c>
      <c r="J1850" s="45" t="n">
        <v>13098</v>
      </c>
      <c r="K1850" s="45" t="n">
        <v>1945</v>
      </c>
      <c r="L1850" s="46" t="n"/>
      <c r="M1850" s="47" t="n"/>
      <c r="N1850" s="47" t="inlineStr">
        <is>
          <t>UCKZo4N0lVPccBkSiuyVh4yg</t>
        </is>
      </c>
      <c r="O1850" s="48" t="n">
        <v>43601.92291666667</v>
      </c>
      <c r="P1850" s="49" t="n">
        <v>43601</v>
      </c>
      <c r="Q1850" s="47" t="n">
        <v>1418</v>
      </c>
      <c r="R1850" s="47" t="inlineStr">
        <is>
          <t>No Video ID yet</t>
        </is>
      </c>
      <c r="S1850" s="49" t="n"/>
      <c r="T1850" s="49" t="n"/>
      <c r="U1850" s="47" t="inlineStr">
        <is>
          <t>HOT CHOCOLATE :: Today Ben dives into the MCU Multiverse to try and determine if there will actually be a marvel Multiverse or if Mysterio is just a fit fat liar pants!</t>
        </is>
      </c>
      <c r="V1850" s="47">
        <f>IF(AND(P1850&gt;=Calendar!$K$2,P1850&lt;EDATE(Calendar!$K$2,1),OR(Calendar!$K$4="*",N1850=Calendar!$K$4)),P1850*100+COUNTIFS($P$6:$P$3267,P1850,$Q$6:$Q$3267,"&lt;="&amp;Q1850,$N$6:$N$3267,Calendar!$K$4),"")</f>
        <v/>
      </c>
      <c r="W1850" s="47">
        <f>IF(AND(B1850=Queue!$C$4,OR(Queue!$K$4="*",N1850=Queue!$K$4)),Q1850,"")</f>
        <v/>
      </c>
    </row>
    <row r="1851">
      <c r="A1851" s="38">
        <f>IF(M1851="","",HYPERLINK("https://www.youtube.com/watch?v="&amp;M1851,"▶"))</f>
        <v/>
      </c>
      <c r="B1851" s="39">
        <f>IF(C1851&lt;&gt;"",C1851,IF(P1851&lt;=IFERROR(INDEX(tblChannels[Watched Through],MATCH(N1851,tblChannels[Channel ID],0)),0),"Watched","Unwatched"))</f>
        <v/>
      </c>
      <c r="C1851" s="40" t="n"/>
      <c r="D1851" s="41" t="n"/>
      <c r="E1851" s="42" t="n">
        <v>43600.41666666666</v>
      </c>
      <c r="F1851" s="52" t="inlineStr">
        <is>
          <t>Super Carlin Gaming</t>
        </is>
      </c>
      <c r="G1851" t="inlineStr">
        <is>
          <t>Heracrossed |  Pokémon X Nuzlocke #17</t>
        </is>
      </c>
      <c r="H1851" s="44" t="n">
        <v>0.02023148148148148</v>
      </c>
      <c r="I1851" s="45" t="n">
        <v>25419</v>
      </c>
      <c r="J1851" s="45" t="n">
        <v>806</v>
      </c>
      <c r="K1851" s="45" t="n">
        <v>192</v>
      </c>
      <c r="L1851" s="46" t="n"/>
      <c r="M1851" s="47" t="n"/>
      <c r="N1851" s="47" t="inlineStr">
        <is>
          <t>UCor_9jRnNNZVzTuQ92PKsaQ</t>
        </is>
      </c>
      <c r="O1851" s="48" t="n">
        <v>43600.58333333334</v>
      </c>
      <c r="P1851" s="49" t="n">
        <v>43600</v>
      </c>
      <c r="Q1851" s="47" t="n">
        <v>1417</v>
      </c>
      <c r="R1851" s="47" t="inlineStr">
        <is>
          <t>No Video ID yet</t>
        </is>
      </c>
      <c r="S1851" s="49" t="n"/>
      <c r="T1851" s="49" t="n"/>
      <c r="U1851" s="47" t="n"/>
      <c r="V1851" s="47">
        <f>IF(AND(P1851&gt;=Calendar!$K$2,P1851&lt;EDATE(Calendar!$K$2,1),OR(Calendar!$K$4="*",N1851=Calendar!$K$4)),P1851*100+COUNTIFS($P$6:$P$3267,P1851,$Q$6:$Q$3267,"&lt;="&amp;Q1851,$N$6:$N$3267,Calendar!$K$4),"")</f>
        <v/>
      </c>
      <c r="W1851" s="47">
        <f>IF(AND(B1851=Queue!$C$4,OR(Queue!$K$4="*",N1851=Queue!$K$4)),Q1851,"")</f>
        <v/>
      </c>
    </row>
    <row r="1852">
      <c r="A1852" s="38">
        <f>IF(M1852="","",HYPERLINK("https://www.youtube.com/watch?v="&amp;M1852,"▶"))</f>
        <v/>
      </c>
      <c r="B1852" s="39">
        <f>IF(C1852&lt;&gt;"",C1852,IF(P1852&lt;=IFERROR(INDEX(tblChannels[Watched Through],MATCH(N1852,tblChannels[Channel ID],0)),0),"Watched","Unwatched"))</f>
        <v/>
      </c>
      <c r="C1852" s="40" t="n"/>
      <c r="D1852" s="41" t="n"/>
      <c r="E1852" s="42" t="n">
        <v>43599.72708333333</v>
      </c>
      <c r="F1852" s="50" t="inlineStr">
        <is>
          <t>Super Carlin Brothers</t>
        </is>
      </c>
      <c r="G1852" t="inlineStr">
        <is>
          <t>Is Thanos Gamora’s BIOLOGICAL Father? | Avengers Theory</t>
        </is>
      </c>
      <c r="H1852" s="44" t="n">
        <v>0.009155092592592593</v>
      </c>
      <c r="I1852" s="45" t="n">
        <v>315604</v>
      </c>
      <c r="J1852" s="45" t="n">
        <v>13169</v>
      </c>
      <c r="K1852" s="45" t="n">
        <v>2000</v>
      </c>
      <c r="L1852" s="46" t="n"/>
      <c r="M1852" s="47" t="n"/>
      <c r="N1852" s="47" t="inlineStr">
        <is>
          <t>UCKZo4N0lVPccBkSiuyVh4yg</t>
        </is>
      </c>
      <c r="O1852" s="48" t="n">
        <v>43599.89375</v>
      </c>
      <c r="P1852" s="49" t="n">
        <v>43599</v>
      </c>
      <c r="Q1852" s="47" t="n">
        <v>1416</v>
      </c>
      <c r="R1852" s="47" t="inlineStr">
        <is>
          <t>No Video ID yet</t>
        </is>
      </c>
      <c r="S1852" s="49" t="n"/>
      <c r="T1852" s="49" t="n"/>
      <c r="U1852" s="47" t="inlineStr">
        <is>
          <t>HOT CHOCOLATE :: Today J dives into the Marvel Cinematic Universe to try and uncover the TRUE identity of Gamora’s Father - Is Thanos more than just an adopted father?!</t>
        </is>
      </c>
      <c r="V1852" s="47">
        <f>IF(AND(P1852&gt;=Calendar!$K$2,P1852&lt;EDATE(Calendar!$K$2,1),OR(Calendar!$K$4="*",N1852=Calendar!$K$4)),P1852*100+COUNTIFS($P$6:$P$3267,P1852,$Q$6:$Q$3267,"&lt;="&amp;Q1852,$N$6:$N$3267,Calendar!$K$4),"")</f>
        <v/>
      </c>
      <c r="W1852" s="47">
        <f>IF(AND(B1852=Queue!$C$4,OR(Queue!$K$4="*",N1852=Queue!$K$4)),Q1852,"")</f>
        <v/>
      </c>
    </row>
    <row r="1853">
      <c r="A1853" s="38">
        <f>IF(M1853="","",HYPERLINK("https://www.youtube.com/watch?v="&amp;M1853,"▶"))</f>
        <v/>
      </c>
      <c r="B1853" s="39">
        <f>IF(C1853&lt;&gt;"",C1853,IF(P1853&lt;=IFERROR(INDEX(tblChannels[Watched Through],MATCH(N1853,tblChannels[Channel ID],0)),0),"Watched","Unwatched"))</f>
        <v/>
      </c>
      <c r="C1853" s="40" t="n"/>
      <c r="D1853" s="41" t="n"/>
      <c r="E1853" s="42" t="n">
        <v>43598.6375</v>
      </c>
      <c r="F1853" s="52" t="inlineStr">
        <is>
          <t>Super Carlin Gaming</t>
        </is>
      </c>
      <c r="G1853" t="inlineStr">
        <is>
          <t>In Love With My Best Friend |  Super Smash Bros #39</t>
        </is>
      </c>
      <c r="H1853" s="44" t="n">
        <v>0.01405092592592593</v>
      </c>
      <c r="I1853" s="45" t="n">
        <v>5976</v>
      </c>
      <c r="J1853" s="45" t="n">
        <v>292</v>
      </c>
      <c r="K1853" s="45" t="n">
        <v>90</v>
      </c>
      <c r="L1853" s="46" t="n"/>
      <c r="M1853" s="47" t="n"/>
      <c r="N1853" s="47" t="inlineStr">
        <is>
          <t>UCor_9jRnNNZVzTuQ92PKsaQ</t>
        </is>
      </c>
      <c r="O1853" s="48" t="n">
        <v>43598.80416666667</v>
      </c>
      <c r="P1853" s="49" t="n">
        <v>43598</v>
      </c>
      <c r="Q1853" s="47" t="n">
        <v>1415</v>
      </c>
      <c r="R1853" s="47" t="inlineStr">
        <is>
          <t>No Video ID yet</t>
        </is>
      </c>
      <c r="S1853" s="49" t="n"/>
      <c r="T1853" s="49" t="n"/>
      <c r="U1853" s="47" t="inlineStr">
        <is>
          <t>Can we beat our super charged Amiibo’s? J, Ben and DK take turns facing off against these mighty foes while answering your questions! If you want us to challenge your Amiibo, send it to the PO Box listed below!</t>
        </is>
      </c>
      <c r="V1853" s="47">
        <f>IF(AND(P1853&gt;=Calendar!$K$2,P1853&lt;EDATE(Calendar!$K$2,1),OR(Calendar!$K$4="*",N1853=Calendar!$K$4)),P1853*100+COUNTIFS($P$6:$P$3267,P1853,$Q$6:$Q$3267,"&lt;="&amp;Q1853,$N$6:$N$3267,Calendar!$K$4),"")</f>
        <v/>
      </c>
      <c r="W1853" s="47">
        <f>IF(AND(B1853=Queue!$C$4,OR(Queue!$K$4="*",N1853=Queue!$K$4)),Q1853,"")</f>
        <v/>
      </c>
    </row>
    <row r="1854">
      <c r="A1854" s="38">
        <f>IF(M1854="","",HYPERLINK("https://www.youtube.com/watch?v="&amp;M1854,"▶"))</f>
        <v/>
      </c>
      <c r="B1854" s="39">
        <f>IF(C1854&lt;&gt;"",C1854,IF(P1854&lt;=IFERROR(INDEX(tblChannels[Watched Through],MATCH(N1854,tblChannels[Channel ID],0)),0),"Watched","Unwatched"))</f>
        <v/>
      </c>
      <c r="C1854" s="40" t="n"/>
      <c r="D1854" s="41" t="n"/>
      <c r="E1854" s="42" t="n">
        <v>43598.44375</v>
      </c>
      <c r="F1854" s="53" t="inlineStr">
        <is>
          <t>Jonathan Carlin</t>
        </is>
      </c>
      <c r="G1854" t="inlineStr">
        <is>
          <t>The Kentucky Derby Party</t>
        </is>
      </c>
      <c r="H1854" s="44" t="n">
        <v>0.009108796296296297</v>
      </c>
      <c r="I1854" s="45" t="n">
        <v>28577</v>
      </c>
      <c r="J1854" s="45" t="n">
        <v>1356</v>
      </c>
      <c r="K1854" s="45" t="n">
        <v>130</v>
      </c>
      <c r="L1854" s="46" t="n"/>
      <c r="M1854" s="47" t="n"/>
      <c r="N1854" s="47" t="inlineStr">
        <is>
          <t>UCYPKFe86e6nm4TVUYKLsFUQ</t>
        </is>
      </c>
      <c r="O1854" s="48" t="n">
        <v>43598.61041666667</v>
      </c>
      <c r="P1854" s="49" t="n">
        <v>43598</v>
      </c>
      <c r="Q1854" s="47" t="n">
        <v>1414</v>
      </c>
      <c r="R1854" s="47" t="inlineStr">
        <is>
          <t>No Video ID yet</t>
        </is>
      </c>
      <c r="S1854" s="49" t="n"/>
      <c r="T1854" s="49" t="n"/>
      <c r="U1854" s="47" t="inlineStr">
        <is>
          <t>This week the Carlin clan preps for a Kentucky Derby Party - Luke and J go for an EPIC walk, and Beth does some meal prepping! Cook Once All Week ::</t>
        </is>
      </c>
      <c r="V1854" s="47">
        <f>IF(AND(P1854&gt;=Calendar!$K$2,P1854&lt;EDATE(Calendar!$K$2,1),OR(Calendar!$K$4="*",N1854=Calendar!$K$4)),P1854*100+COUNTIFS($P$6:$P$3267,P1854,$Q$6:$Q$3267,"&lt;="&amp;Q1854,$N$6:$N$3267,Calendar!$K$4),"")</f>
        <v/>
      </c>
      <c r="W1854" s="47">
        <f>IF(AND(B1854=Queue!$C$4,OR(Queue!$K$4="*",N1854=Queue!$K$4)),Q1854,"")</f>
        <v/>
      </c>
    </row>
    <row r="1855">
      <c r="A1855" s="38">
        <f>IF(M1855="","",HYPERLINK("https://www.youtube.com/watch?v="&amp;M1855,"▶"))</f>
        <v/>
      </c>
      <c r="B1855" s="39">
        <f>IF(C1855&lt;&gt;"",C1855,IF(P1855&lt;=IFERROR(INDEX(tblChannels[Watched Through],MATCH(N1855,tblChannels[Channel ID],0)),0),"Watched","Unwatched"))</f>
        <v/>
      </c>
      <c r="C1855" s="40" t="n"/>
      <c r="D1855" s="41" t="n"/>
      <c r="E1855" s="42" t="n">
        <v>43595.68194444444</v>
      </c>
      <c r="F1855" s="52" t="inlineStr">
        <is>
          <t>Super Carlin Gaming</t>
        </is>
      </c>
      <c r="G1855" t="inlineStr">
        <is>
          <t>The Cave to Shalour City |  Pokémon X Nuzlocke #16</t>
        </is>
      </c>
      <c r="H1855" s="44" t="n">
        <v>0.0212962962962963</v>
      </c>
      <c r="I1855" s="45" t="n">
        <v>26973</v>
      </c>
      <c r="J1855" s="45" t="n">
        <v>779</v>
      </c>
      <c r="K1855" s="45" t="n">
        <v>243</v>
      </c>
      <c r="L1855" s="46" t="n"/>
      <c r="M1855" s="47" t="n"/>
      <c r="N1855" s="47" t="inlineStr">
        <is>
          <t>UCor_9jRnNNZVzTuQ92PKsaQ</t>
        </is>
      </c>
      <c r="O1855" s="48" t="n">
        <v>43595.84861111111</v>
      </c>
      <c r="P1855" s="49" t="n">
        <v>43595</v>
      </c>
      <c r="Q1855" s="47" t="n">
        <v>1413</v>
      </c>
      <c r="R1855" s="47" t="inlineStr">
        <is>
          <t>No Video ID yet</t>
        </is>
      </c>
      <c r="S1855" s="49" t="n"/>
      <c r="T1855" s="49" t="n"/>
      <c r="U1855" s="47" t="inlineStr">
        <is>
          <t>J and the team head through the rest of the Glittering Cave on their way to Shalour City!</t>
        </is>
      </c>
      <c r="V1855" s="47">
        <f>IF(AND(P1855&gt;=Calendar!$K$2,P1855&lt;EDATE(Calendar!$K$2,1),OR(Calendar!$K$4="*",N1855=Calendar!$K$4)),P1855*100+COUNTIFS($P$6:$P$3267,P1855,$Q$6:$Q$3267,"&lt;="&amp;Q1855,$N$6:$N$3267,Calendar!$K$4),"")</f>
        <v/>
      </c>
      <c r="W1855" s="47">
        <f>IF(AND(B1855=Queue!$C$4,OR(Queue!$K$4="*",N1855=Queue!$K$4)),Q1855,"")</f>
        <v/>
      </c>
    </row>
    <row r="1856">
      <c r="A1856" s="38">
        <f>IF(M1856="","",HYPERLINK("https://www.youtube.com/watch?v="&amp;M1856,"▶"))</f>
        <v/>
      </c>
      <c r="B1856" s="39">
        <f>IF(C1856&lt;&gt;"",C1856,IF(P1856&lt;=IFERROR(INDEX(tblChannels[Watched Through],MATCH(N1856,tblChannels[Channel ID],0)),0),"Watched","Unwatched"))</f>
        <v/>
      </c>
      <c r="C1856" s="40" t="n"/>
      <c r="D1856" s="41" t="n"/>
      <c r="E1856" s="42" t="n">
        <v>43594.76180555556</v>
      </c>
      <c r="F1856" s="50" t="inlineStr">
        <is>
          <t>Super Carlin Brothers</t>
        </is>
      </c>
      <c r="G1856" t="inlineStr">
        <is>
          <t>Avengers Endgame Shows Us The Five Stages Of Grief</t>
        </is>
      </c>
      <c r="H1856" s="44" t="n">
        <v>0.009537037037037037</v>
      </c>
      <c r="I1856" s="45" t="n">
        <v>704271</v>
      </c>
      <c r="J1856" s="45" t="n">
        <v>27437</v>
      </c>
      <c r="K1856" s="45" t="n">
        <v>3561</v>
      </c>
      <c r="L1856" s="46" t="n"/>
      <c r="M1856" s="47" t="n"/>
      <c r="N1856" s="47" t="inlineStr">
        <is>
          <t>UCKZo4N0lVPccBkSiuyVh4yg</t>
        </is>
      </c>
      <c r="O1856" s="48" t="n">
        <v>43594.92847222222</v>
      </c>
      <c r="P1856" s="49" t="n">
        <v>43594</v>
      </c>
      <c r="Q1856" s="47" t="n">
        <v>1412</v>
      </c>
      <c r="R1856" s="47" t="inlineStr">
        <is>
          <t>No Video ID yet</t>
        </is>
      </c>
      <c r="S1856" s="49" t="n"/>
      <c r="T1856" s="49" t="n"/>
      <c r="U1856" s="47" t="inlineStr">
        <is>
          <t>Mental Health America Screening :: Mental Health America FAQ’s :: www.mentalhealthamerica.net/faqs Today Ben dives into the Marvel Cinematic Universe to discuss how Avengers Endgame helps demonstrate the 5 stages of grief: Denial, Anger, Bargaining, Depression and Acceptance.</t>
        </is>
      </c>
      <c r="V1856" s="47">
        <f>IF(AND(P1856&gt;=Calendar!$K$2,P1856&lt;EDATE(Calendar!$K$2,1),OR(Calendar!$K$4="*",N1856=Calendar!$K$4)),P1856*100+COUNTIFS($P$6:$P$3267,P1856,$Q$6:$Q$3267,"&lt;="&amp;Q1856,$N$6:$N$3267,Calendar!$K$4),"")</f>
        <v/>
      </c>
      <c r="W1856" s="47">
        <f>IF(AND(B1856=Queue!$C$4,OR(Queue!$K$4="*",N1856=Queue!$K$4)),Q1856,"")</f>
        <v/>
      </c>
    </row>
    <row r="1857">
      <c r="A1857" s="38">
        <f>IF(M1857="","",HYPERLINK("https://www.youtube.com/watch?v="&amp;M1857,"▶"))</f>
        <v/>
      </c>
      <c r="B1857" s="39">
        <f>IF(C1857&lt;&gt;"",C1857,IF(P1857&lt;=IFERROR(INDEX(tblChannels[Watched Through],MATCH(N1857,tblChannels[Channel ID],0)),0),"Watched","Unwatched"))</f>
        <v/>
      </c>
      <c r="C1857" s="40" t="n"/>
      <c r="D1857" s="41" t="n"/>
      <c r="E1857" s="42" t="n">
        <v>43593.57013888889</v>
      </c>
      <c r="F1857" s="52" t="inlineStr">
        <is>
          <t>Super Carlin Gaming</t>
        </is>
      </c>
      <c r="G1857" t="inlineStr">
        <is>
          <t>Double-Double-Double-Slap |  Pokémon X Nuzlocke #15</t>
        </is>
      </c>
      <c r="H1857" s="44" t="n">
        <v>0.02302083333333333</v>
      </c>
      <c r="I1857" s="45" t="n">
        <v>27561</v>
      </c>
      <c r="J1857" s="45" t="n">
        <v>816</v>
      </c>
      <c r="K1857" s="45" t="n">
        <v>236</v>
      </c>
      <c r="L1857" s="46" t="n"/>
      <c r="M1857" s="47" t="n"/>
      <c r="N1857" s="47" t="inlineStr">
        <is>
          <t>UCor_9jRnNNZVzTuQ92PKsaQ</t>
        </is>
      </c>
      <c r="O1857" s="48" t="n">
        <v>43593.73680555556</v>
      </c>
      <c r="P1857" s="49" t="n">
        <v>43593</v>
      </c>
      <c r="Q1857" s="47" t="n">
        <v>1411</v>
      </c>
      <c r="R1857" s="47" t="inlineStr">
        <is>
          <t>No Video ID yet</t>
        </is>
      </c>
      <c r="S1857" s="49" t="n"/>
      <c r="T1857" s="49" t="n"/>
      <c r="U1857" s="47" t="n"/>
      <c r="V1857" s="47">
        <f>IF(AND(P1857&gt;=Calendar!$K$2,P1857&lt;EDATE(Calendar!$K$2,1),OR(Calendar!$K$4="*",N1857=Calendar!$K$4)),P1857*100+COUNTIFS($P$6:$P$3267,P1857,$Q$6:$Q$3267,"&lt;="&amp;Q1857,$N$6:$N$3267,Calendar!$K$4),"")</f>
        <v/>
      </c>
      <c r="W1857" s="47">
        <f>IF(AND(B1857=Queue!$C$4,OR(Queue!$K$4="*",N1857=Queue!$K$4)),Q1857,"")</f>
        <v/>
      </c>
    </row>
    <row r="1858">
      <c r="A1858" s="38">
        <f>IF(M1858="","",HYPERLINK("https://www.youtube.com/watch?v="&amp;M1858,"▶"))</f>
        <v/>
      </c>
      <c r="B1858" s="39">
        <f>IF(C1858&lt;&gt;"",C1858,IF(P1858&lt;=IFERROR(INDEX(tblChannels[Watched Through],MATCH(N1858,tblChannels[Channel ID],0)),0),"Watched","Unwatched"))</f>
        <v/>
      </c>
      <c r="C1858" s="40" t="n"/>
      <c r="D1858" s="41" t="n"/>
      <c r="E1858" s="42" t="n">
        <v>43592.71666666667</v>
      </c>
      <c r="F1858" s="50" t="inlineStr">
        <is>
          <t>Super Carlin Brothers</t>
        </is>
      </c>
      <c r="G1858" t="inlineStr">
        <is>
          <t>J vs Ben: Sorting Marvel Characters Into Hogwarts Houses</t>
        </is>
      </c>
      <c r="H1858" s="44" t="n">
        <v>0.0209837962962963</v>
      </c>
      <c r="I1858" s="45" t="n">
        <v>768360</v>
      </c>
      <c r="J1858" s="45" t="n">
        <v>23113</v>
      </c>
      <c r="K1858" s="45" t="n">
        <v>5814</v>
      </c>
      <c r="L1858" s="46" t="n"/>
      <c r="M1858" s="47" t="n"/>
      <c r="N1858" s="47" t="inlineStr">
        <is>
          <t>UCKZo4N0lVPccBkSiuyVh4yg</t>
        </is>
      </c>
      <c r="O1858" s="48" t="n">
        <v>43592.88333333333</v>
      </c>
      <c r="P1858" s="49" t="n">
        <v>43592</v>
      </c>
      <c r="Q1858" s="47" t="n">
        <v>1410</v>
      </c>
      <c r="R1858" s="47" t="inlineStr">
        <is>
          <t>No Video ID yet</t>
        </is>
      </c>
      <c r="S1858" s="49" t="n"/>
      <c r="T1858" s="49" t="n"/>
      <c r="U1858" s="47" t="inlineStr">
        <is>
          <t>Today J and Ben dive in to the Marvel Cinematic Universe to see who can sort the Avengers more accurately into Hogwarts houses as chosen by YOU! We received more that 15,000 survey results to help us decide the correct answers - Thanks so much for your help!</t>
        </is>
      </c>
      <c r="V1858" s="47">
        <f>IF(AND(P1858&gt;=Calendar!$K$2,P1858&lt;EDATE(Calendar!$K$2,1),OR(Calendar!$K$4="*",N1858=Calendar!$K$4)),P1858*100+COUNTIFS($P$6:$P$3267,P1858,$Q$6:$Q$3267,"&lt;="&amp;Q1858,$N$6:$N$3267,Calendar!$K$4),"")</f>
        <v/>
      </c>
      <c r="W1858" s="47">
        <f>IF(AND(B1858=Queue!$C$4,OR(Queue!$K$4="*",N1858=Queue!$K$4)),Q1858,"")</f>
        <v/>
      </c>
    </row>
    <row r="1859">
      <c r="A1859" s="38">
        <f>IF(M1859="","",HYPERLINK("https://www.youtube.com/watch?v="&amp;M1859,"▶"))</f>
        <v/>
      </c>
      <c r="B1859" s="39">
        <f>IF(C1859&lt;&gt;"",C1859,IF(P1859&lt;=IFERROR(INDEX(tblChannels[Watched Through],MATCH(N1859,tblChannels[Channel ID],0)),0),"Watched","Unwatched"))</f>
        <v/>
      </c>
      <c r="C1859" s="40" t="n"/>
      <c r="D1859" s="41" t="n"/>
      <c r="E1859" s="42" t="n">
        <v>43591.71319444444</v>
      </c>
      <c r="F1859" s="52" t="inlineStr">
        <is>
          <t>Super Carlin Gaming</t>
        </is>
      </c>
      <c r="G1859" t="inlineStr">
        <is>
          <t>Dealing With Imposter Syndrome |  Smash Bros #38</t>
        </is>
      </c>
      <c r="H1859" s="44" t="n">
        <v>0.01237268518518518</v>
      </c>
      <c r="I1859" s="45" t="n">
        <v>5118</v>
      </c>
      <c r="J1859" s="45" t="n">
        <v>267</v>
      </c>
      <c r="K1859" s="45" t="n">
        <v>57</v>
      </c>
      <c r="L1859" s="46" t="n"/>
      <c r="M1859" s="47" t="n"/>
      <c r="N1859" s="47" t="inlineStr">
        <is>
          <t>UCor_9jRnNNZVzTuQ92PKsaQ</t>
        </is>
      </c>
      <c r="O1859" s="48" t="n">
        <v>43591.87986111111</v>
      </c>
      <c r="P1859" s="49" t="n">
        <v>43591</v>
      </c>
      <c r="Q1859" s="47" t="n">
        <v>1409</v>
      </c>
      <c r="R1859" s="47" t="inlineStr">
        <is>
          <t>No Video ID yet</t>
        </is>
      </c>
      <c r="S1859" s="49" t="n"/>
      <c r="T1859" s="49" t="n"/>
      <c r="U1859" s="47" t="inlineStr">
        <is>
          <t>Can we beat our super charged Amiibo’s? J, Ben and DK take turns facing off against these mighty foes while answering your questions! If you want us to challenge your Amiibo, send it to the PO Box listed below!</t>
        </is>
      </c>
      <c r="V1859" s="47">
        <f>IF(AND(P1859&gt;=Calendar!$K$2,P1859&lt;EDATE(Calendar!$K$2,1),OR(Calendar!$K$4="*",N1859=Calendar!$K$4)),P1859*100+COUNTIFS($P$6:$P$3267,P1859,$Q$6:$Q$3267,"&lt;="&amp;Q1859,$N$6:$N$3267,Calendar!$K$4),"")</f>
        <v/>
      </c>
      <c r="W1859" s="47">
        <f>IF(AND(B1859=Queue!$C$4,OR(Queue!$K$4="*",N1859=Queue!$K$4)),Q1859,"")</f>
        <v/>
      </c>
    </row>
    <row r="1860">
      <c r="A1860" s="38">
        <f>IF(M1860="","",HYPERLINK("https://www.youtube.com/watch?v="&amp;M1860,"▶"))</f>
        <v/>
      </c>
      <c r="B1860" s="39">
        <f>IF(C1860&lt;&gt;"",C1860,IF(P1860&lt;=IFERROR(INDEX(tblChannels[Watched Through],MATCH(N1860,tblChannels[Channel ID],0)),0),"Watched","Unwatched"))</f>
        <v/>
      </c>
      <c r="C1860" s="40" t="n"/>
      <c r="D1860" s="41" t="n"/>
      <c r="E1860" s="42" t="n">
        <v>43591.56041666667</v>
      </c>
      <c r="F1860" s="53" t="inlineStr">
        <is>
          <t>Jonathan Carlin</t>
        </is>
      </c>
      <c r="G1860" t="inlineStr">
        <is>
          <t>ENDGAME FEVER</t>
        </is>
      </c>
      <c r="H1860" s="44" t="n">
        <v>0.006990740740740741</v>
      </c>
      <c r="I1860" s="45" t="n">
        <v>30453</v>
      </c>
      <c r="J1860" s="45" t="n">
        <v>1536</v>
      </c>
      <c r="K1860" s="45" t="n">
        <v>192</v>
      </c>
      <c r="L1860" s="46" t="n"/>
      <c r="M1860" s="47" t="n"/>
      <c r="N1860" s="47" t="inlineStr">
        <is>
          <t>UCYPKFe86e6nm4TVUYKLsFUQ</t>
        </is>
      </c>
      <c r="O1860" s="48" t="n">
        <v>43591.72708333333</v>
      </c>
      <c r="P1860" s="49" t="n">
        <v>43591</v>
      </c>
      <c r="Q1860" s="47" t="n">
        <v>1408</v>
      </c>
      <c r="R1860" s="47" t="inlineStr">
        <is>
          <t>No Video ID yet</t>
        </is>
      </c>
      <c r="S1860" s="49" t="n"/>
      <c r="T1860" s="49" t="n"/>
      <c r="U1860" s="47" t="inlineStr">
        <is>
          <t>Join us for our other meetups! Sunday, June 30 | Washington, DC | Toy Story 4 Saturday, July 20 | Chicago, IL | The Lion King Saturday, November 23 | Salt Lake City, UT | Frozen 2 J and the SCB Team gear up for Endgame and the first meetup of the year for Avengers Endgame in Blacksburg, Va!</t>
        </is>
      </c>
      <c r="V1860" s="47">
        <f>IF(AND(P1860&gt;=Calendar!$K$2,P1860&lt;EDATE(Calendar!$K$2,1),OR(Calendar!$K$4="*",N1860=Calendar!$K$4)),P1860*100+COUNTIFS($P$6:$P$3267,P1860,$Q$6:$Q$3267,"&lt;="&amp;Q1860,$N$6:$N$3267,Calendar!$K$4),"")</f>
        <v/>
      </c>
      <c r="W1860" s="47">
        <f>IF(AND(B1860=Queue!$C$4,OR(Queue!$K$4="*",N1860=Queue!$K$4)),Q1860,"")</f>
        <v/>
      </c>
    </row>
    <row r="1861">
      <c r="A1861" s="38">
        <f>IF(M1861="","",HYPERLINK("https://www.youtube.com/watch?v="&amp;M1861,"▶"))</f>
        <v/>
      </c>
      <c r="B1861" s="39">
        <f>IF(C1861&lt;&gt;"",C1861,IF(P1861&lt;=IFERROR(INDEX(tblChannels[Watched Through],MATCH(N1861,tblChannels[Channel ID],0)),0),"Watched","Unwatched"))</f>
        <v/>
      </c>
      <c r="C1861" s="40" t="n"/>
      <c r="D1861" s="41" t="n"/>
      <c r="E1861" s="42" t="n">
        <v>43588.4375</v>
      </c>
      <c r="F1861" s="52" t="inlineStr">
        <is>
          <t>Super Carlin Gaming</t>
        </is>
      </c>
      <c r="G1861" t="inlineStr">
        <is>
          <t>LucariOH NO! |  Pokémon X Nuzlocke #14</t>
        </is>
      </c>
      <c r="H1861" s="44" t="n">
        <v>0.02355324074074074</v>
      </c>
      <c r="I1861" s="45" t="n">
        <v>30459</v>
      </c>
      <c r="J1861" s="45" t="n">
        <v>868</v>
      </c>
      <c r="K1861" s="45" t="n">
        <v>221</v>
      </c>
      <c r="L1861" s="46" t="n"/>
      <c r="M1861" s="47" t="n"/>
      <c r="N1861" s="47" t="inlineStr">
        <is>
          <t>UCor_9jRnNNZVzTuQ92PKsaQ</t>
        </is>
      </c>
      <c r="O1861" s="48" t="n">
        <v>43588.60416666666</v>
      </c>
      <c r="P1861" s="49" t="n">
        <v>43588</v>
      </c>
      <c r="Q1861" s="47" t="n">
        <v>1407</v>
      </c>
      <c r="R1861" s="47" t="inlineStr">
        <is>
          <t>No Video ID yet</t>
        </is>
      </c>
      <c r="S1861" s="49" t="n"/>
      <c r="T1861" s="49" t="n"/>
      <c r="U1861" s="47" t="inlineStr">
        <is>
          <t>J and the team face a surprise double dose of Lucario! Can they survive?!</t>
        </is>
      </c>
      <c r="V1861" s="47">
        <f>IF(AND(P1861&gt;=Calendar!$K$2,P1861&lt;EDATE(Calendar!$K$2,1),OR(Calendar!$K$4="*",N1861=Calendar!$K$4)),P1861*100+COUNTIFS($P$6:$P$3267,P1861,$Q$6:$Q$3267,"&lt;="&amp;Q1861,$N$6:$N$3267,Calendar!$K$4),"")</f>
        <v/>
      </c>
      <c r="W1861" s="47">
        <f>IF(AND(B1861=Queue!$C$4,OR(Queue!$K$4="*",N1861=Queue!$K$4)),Q1861,"")</f>
        <v/>
      </c>
    </row>
    <row r="1862">
      <c r="A1862" s="38">
        <f>IF(M1862="","",HYPERLINK("https://www.youtube.com/watch?v="&amp;M1862,"▶"))</f>
        <v/>
      </c>
      <c r="B1862" s="39">
        <f>IF(C1862&lt;&gt;"",C1862,IF(P1862&lt;=IFERROR(INDEX(tblChannels[Watched Through],MATCH(N1862,tblChannels[Channel ID],0)),0),"Watched","Unwatched"))</f>
        <v/>
      </c>
      <c r="C1862" s="40" t="n"/>
      <c r="D1862" s="41" t="n"/>
      <c r="E1862" s="42" t="n">
        <v>43587.74305555555</v>
      </c>
      <c r="F1862" s="50" t="inlineStr">
        <is>
          <t>Super Carlin Brothers</t>
        </is>
      </c>
      <c r="G1862" t="inlineStr">
        <is>
          <t>What Happened To Gamora | Endgame Theory</t>
        </is>
      </c>
      <c r="H1862" s="44" t="n">
        <v>0.009282407407407408</v>
      </c>
      <c r="I1862" s="45" t="n">
        <v>588594</v>
      </c>
      <c r="J1862" s="45" t="n">
        <v>20706</v>
      </c>
      <c r="K1862" s="45" t="n">
        <v>4217</v>
      </c>
      <c r="L1862" s="46" t="n"/>
      <c r="M1862" s="47" t="n"/>
      <c r="N1862" s="47" t="inlineStr">
        <is>
          <t>UCKZo4N0lVPccBkSiuyVh4yg</t>
        </is>
      </c>
      <c r="O1862" s="48" t="n">
        <v>43587.90972222222</v>
      </c>
      <c r="P1862" s="49" t="n">
        <v>43587</v>
      </c>
      <c r="Q1862" s="47" t="n">
        <v>1406</v>
      </c>
      <c r="R1862" s="47" t="inlineStr">
        <is>
          <t>No Video ID yet</t>
        </is>
      </c>
      <c r="S1862" s="49" t="n"/>
      <c r="T1862" s="49" t="n"/>
      <c r="U1862" s="47" t="inlineStr">
        <is>
          <t>Today Ben dives into the Marvel Cinematic Universe to discuss a big question from the end of Avengers: Endgame: What happened to Gamora?</t>
        </is>
      </c>
      <c r="V1862" s="47">
        <f>IF(AND(P1862&gt;=Calendar!$K$2,P1862&lt;EDATE(Calendar!$K$2,1),OR(Calendar!$K$4="*",N1862=Calendar!$K$4)),P1862*100+COUNTIFS($P$6:$P$3267,P1862,$Q$6:$Q$3267,"&lt;="&amp;Q1862,$N$6:$N$3267,Calendar!$K$4),"")</f>
        <v/>
      </c>
      <c r="W1862" s="47">
        <f>IF(AND(B1862=Queue!$C$4,OR(Queue!$K$4="*",N1862=Queue!$K$4)),Q1862,"")</f>
        <v/>
      </c>
    </row>
    <row r="1863">
      <c r="A1863" s="38">
        <f>IF(M1863="","",HYPERLINK("https://www.youtube.com/watch?v="&amp;M1863,"▶"))</f>
        <v/>
      </c>
      <c r="B1863" s="39">
        <f>IF(C1863&lt;&gt;"",C1863,IF(P1863&lt;=IFERROR(INDEX(tblChannels[Watched Through],MATCH(N1863,tblChannels[Channel ID],0)),0),"Watched","Unwatched"))</f>
        <v/>
      </c>
      <c r="C1863" s="40" t="n"/>
      <c r="D1863" s="41" t="n"/>
      <c r="E1863" s="42" t="n">
        <v>43586.63541666666</v>
      </c>
      <c r="F1863" s="52" t="inlineStr">
        <is>
          <t>Super Carlin Gaming</t>
        </is>
      </c>
      <c r="G1863" t="inlineStr">
        <is>
          <t>SHE'S EVOLVING! | Pokémon X Nuzlocke #13</t>
        </is>
      </c>
      <c r="H1863" s="44" t="n">
        <v>0.0169212962962963</v>
      </c>
      <c r="I1863" s="45" t="n">
        <v>29370</v>
      </c>
      <c r="J1863" s="45" t="n">
        <v>903</v>
      </c>
      <c r="K1863" s="45" t="n">
        <v>321</v>
      </c>
      <c r="L1863" s="46" t="n"/>
      <c r="M1863" s="47" t="n"/>
      <c r="N1863" s="47" t="inlineStr">
        <is>
          <t>UCor_9jRnNNZVzTuQ92PKsaQ</t>
        </is>
      </c>
      <c r="O1863" s="48" t="n">
        <v>43586.80208333334</v>
      </c>
      <c r="P1863" s="49" t="n">
        <v>43586</v>
      </c>
      <c r="Q1863" s="47" t="n">
        <v>1405</v>
      </c>
      <c r="R1863" s="47" t="inlineStr">
        <is>
          <t>No Video ID yet</t>
        </is>
      </c>
      <c r="S1863" s="49" t="n"/>
      <c r="T1863" s="49" t="n"/>
      <c r="U1863" s="47" t="inlineStr">
        <is>
          <t>Just living that grind life...</t>
        </is>
      </c>
      <c r="V1863" s="47">
        <f>IF(AND(P1863&gt;=Calendar!$K$2,P1863&lt;EDATE(Calendar!$K$2,1),OR(Calendar!$K$4="*",N1863=Calendar!$K$4)),P1863*100+COUNTIFS($P$6:$P$3267,P1863,$Q$6:$Q$3267,"&lt;="&amp;Q1863,$N$6:$N$3267,Calendar!$K$4),"")</f>
        <v/>
      </c>
      <c r="W1863" s="47">
        <f>IF(AND(B1863=Queue!$C$4,OR(Queue!$K$4="*",N1863=Queue!$K$4)),Q1863,"")</f>
        <v/>
      </c>
    </row>
    <row r="1864">
      <c r="A1864" s="38">
        <f>IF(M1864="","",HYPERLINK("https://www.youtube.com/watch?v="&amp;M1864,"▶"))</f>
        <v/>
      </c>
      <c r="B1864" s="39">
        <f>IF(C1864&lt;&gt;"",C1864,IF(P1864&lt;=IFERROR(INDEX(tblChannels[Watched Through],MATCH(N1864,tblChannels[Channel ID],0)),0),"Watched","Unwatched"))</f>
        <v/>
      </c>
      <c r="C1864" s="40" t="n"/>
      <c r="D1864" s="41" t="n"/>
      <c r="E1864" s="42" t="n">
        <v>43585.72152777778</v>
      </c>
      <c r="F1864" s="50" t="inlineStr">
        <is>
          <t>Super Carlin Brothers</t>
        </is>
      </c>
      <c r="G1864" t="inlineStr">
        <is>
          <t>Why Thanos' Plan Would Never Work | Endgame Theory</t>
        </is>
      </c>
      <c r="H1864" s="44" t="n">
        <v>0.008159722222222223</v>
      </c>
      <c r="I1864" s="45" t="n">
        <v>639413</v>
      </c>
      <c r="J1864" s="45" t="n">
        <v>23375</v>
      </c>
      <c r="K1864" s="45" t="n">
        <v>2813</v>
      </c>
      <c r="L1864" s="46" t="n"/>
      <c r="M1864" s="47" t="n"/>
      <c r="N1864" s="47" t="inlineStr">
        <is>
          <t>UCKZo4N0lVPccBkSiuyVh4yg</t>
        </is>
      </c>
      <c r="O1864" s="48" t="n">
        <v>43585.88819444444</v>
      </c>
      <c r="P1864" s="49" t="n">
        <v>43585</v>
      </c>
      <c r="Q1864" s="47" t="n">
        <v>1404</v>
      </c>
      <c r="R1864" s="47" t="inlineStr">
        <is>
          <t>No Video ID yet</t>
        </is>
      </c>
      <c r="S1864" s="49" t="n"/>
      <c r="T1864" s="49" t="n"/>
      <c r="U1864" s="47" t="inlineStr">
        <is>
          <t>Today J dives into the Marvel Cinematic Universe to discuss Endgame and why Thanos is actually a big purple dumb dumb, and why his plan would never work.</t>
        </is>
      </c>
      <c r="V1864" s="47">
        <f>IF(AND(P1864&gt;=Calendar!$K$2,P1864&lt;EDATE(Calendar!$K$2,1),OR(Calendar!$K$4="*",N1864=Calendar!$K$4)),P1864*100+COUNTIFS($P$6:$P$3267,P1864,$Q$6:$Q$3267,"&lt;="&amp;Q1864,$N$6:$N$3267,Calendar!$K$4),"")</f>
        <v/>
      </c>
      <c r="W1864" s="47">
        <f>IF(AND(B1864=Queue!$C$4,OR(Queue!$K$4="*",N1864=Queue!$K$4)),Q1864,"")</f>
        <v/>
      </c>
    </row>
    <row r="1865">
      <c r="A1865" s="38">
        <f>IF(M1865="","",HYPERLINK("https://www.youtube.com/watch?v="&amp;M1865,"▶"))</f>
        <v/>
      </c>
      <c r="B1865" s="39">
        <f>IF(C1865&lt;&gt;"",C1865,IF(P1865&lt;=IFERROR(INDEX(tblChannels[Watched Through],MATCH(N1865,tblChannels[Channel ID],0)),0),"Watched","Unwatched"))</f>
        <v/>
      </c>
      <c r="C1865" s="40" t="n"/>
      <c r="D1865" s="41" t="n"/>
      <c r="E1865" s="42" t="n">
        <v>43584.63402777778</v>
      </c>
      <c r="F1865" s="52" t="inlineStr">
        <is>
          <t>Super Carlin Gaming</t>
        </is>
      </c>
      <c r="G1865" t="inlineStr">
        <is>
          <t>On The Hook? |  Super Smash Bros #37</t>
        </is>
      </c>
      <c r="H1865" s="44" t="n">
        <v>0.01118055555555555</v>
      </c>
      <c r="I1865" s="45" t="n">
        <v>5357</v>
      </c>
      <c r="J1865" s="45" t="n">
        <v>245</v>
      </c>
      <c r="K1865" s="45" t="n">
        <v>52</v>
      </c>
      <c r="L1865" s="46" t="n"/>
      <c r="M1865" s="47" t="n"/>
      <c r="N1865" s="47" t="inlineStr">
        <is>
          <t>UCor_9jRnNNZVzTuQ92PKsaQ</t>
        </is>
      </c>
      <c r="O1865" s="48" t="n">
        <v>43584.80069444444</v>
      </c>
      <c r="P1865" s="49" t="n">
        <v>43584</v>
      </c>
      <c r="Q1865" s="47" t="n">
        <v>1403</v>
      </c>
      <c r="R1865" s="47" t="inlineStr">
        <is>
          <t>No Video ID yet</t>
        </is>
      </c>
      <c r="S1865" s="49" t="n"/>
      <c r="T1865" s="49" t="n"/>
      <c r="U1865" s="47" t="inlineStr">
        <is>
          <t>Can we beat our super charged Amiibo’s? J, Ben and DK take turns facing off against these mighty foes while answering your questions! If you want us to challenge your Amiibo, send it to the PO Box listed below!</t>
        </is>
      </c>
      <c r="V1865" s="47">
        <f>IF(AND(P1865&gt;=Calendar!$K$2,P1865&lt;EDATE(Calendar!$K$2,1),OR(Calendar!$K$4="*",N1865=Calendar!$K$4)),P1865*100+COUNTIFS($P$6:$P$3267,P1865,$Q$6:$Q$3267,"&lt;="&amp;Q1865,$N$6:$N$3267,Calendar!$K$4),"")</f>
        <v/>
      </c>
      <c r="W1865" s="47">
        <f>IF(AND(B1865=Queue!$C$4,OR(Queue!$K$4="*",N1865=Queue!$K$4)),Q1865,"")</f>
        <v/>
      </c>
    </row>
    <row r="1866">
      <c r="A1866" s="38">
        <f>IF(M1866="","",HYPERLINK("https://www.youtube.com/watch?v="&amp;M1866,"▶"))</f>
        <v/>
      </c>
      <c r="B1866" s="39">
        <f>IF(C1866&lt;&gt;"",C1866,IF(P1866&lt;=IFERROR(INDEX(tblChannels[Watched Through],MATCH(N1866,tblChannels[Channel ID],0)),0),"Watched","Unwatched"))</f>
        <v/>
      </c>
      <c r="C1866" s="40" t="n"/>
      <c r="D1866" s="41" t="n"/>
      <c r="E1866" s="42" t="n">
        <v>43584.57847222222</v>
      </c>
      <c r="F1866" s="53" t="inlineStr">
        <is>
          <t>Jonathan Carlin</t>
        </is>
      </c>
      <c r="G1866" t="inlineStr">
        <is>
          <t>How To Make Easter S'Mores!</t>
        </is>
      </c>
      <c r="H1866" s="44" t="n">
        <v>0.003854166666666667</v>
      </c>
      <c r="I1866" s="45" t="n">
        <v>20731</v>
      </c>
      <c r="J1866" s="45" t="n">
        <v>1284</v>
      </c>
      <c r="K1866" s="45" t="n">
        <v>121</v>
      </c>
      <c r="L1866" s="46" t="n"/>
      <c r="M1866" s="47" t="n"/>
      <c r="N1866" s="47" t="inlineStr">
        <is>
          <t>UCYPKFe86e6nm4TVUYKLsFUQ</t>
        </is>
      </c>
      <c r="O1866" s="48" t="n">
        <v>43584.74513888889</v>
      </c>
      <c r="P1866" s="49" t="n">
        <v>43584</v>
      </c>
      <c r="Q1866" s="47" t="n">
        <v>1402</v>
      </c>
      <c r="R1866" s="47" t="inlineStr">
        <is>
          <t>No Video ID yet</t>
        </is>
      </c>
      <c r="S1866" s="49" t="n"/>
      <c r="T1866" s="49" t="n"/>
      <c r="U1866" s="47" t="inlineStr">
        <is>
          <t>J, Beth and Luke celebrate Easter with various cookouts and lawn care solutions!</t>
        </is>
      </c>
      <c r="V1866" s="47">
        <f>IF(AND(P1866&gt;=Calendar!$K$2,P1866&lt;EDATE(Calendar!$K$2,1),OR(Calendar!$K$4="*",N1866=Calendar!$K$4)),P1866*100+COUNTIFS($P$6:$P$3267,P1866,$Q$6:$Q$3267,"&lt;="&amp;Q1866,$N$6:$N$3267,Calendar!$K$4),"")</f>
        <v/>
      </c>
      <c r="W1866" s="47">
        <f>IF(AND(B1866=Queue!$C$4,OR(Queue!$K$4="*",N1866=Queue!$K$4)),Q1866,"")</f>
        <v/>
      </c>
    </row>
    <row r="1867">
      <c r="A1867" s="38">
        <f>IF(M1867="","",HYPERLINK("https://www.youtube.com/watch?v="&amp;M1867,"▶"))</f>
        <v/>
      </c>
      <c r="B1867" s="39">
        <f>IF(C1867&lt;&gt;"",C1867,IF(P1867&lt;=IFERROR(INDEX(tblChannels[Watched Through],MATCH(N1867,tblChannels[Channel ID],0)),0),"Watched","Unwatched"))</f>
        <v/>
      </c>
      <c r="C1867" s="40" t="n"/>
      <c r="D1867" s="41" t="n"/>
      <c r="E1867" s="42" t="n">
        <v>43581.85347222222</v>
      </c>
      <c r="F1867" s="50" t="inlineStr">
        <is>
          <t>Super Carlin Brothers</t>
        </is>
      </c>
      <c r="G1867" t="inlineStr">
        <is>
          <t>Avengers Endgame Spoiler Review</t>
        </is>
      </c>
      <c r="H1867" s="44" t="n">
        <v>0.04365740740740741</v>
      </c>
      <c r="I1867" s="45" t="n">
        <v>905517</v>
      </c>
      <c r="J1867" s="45" t="n">
        <v>26433</v>
      </c>
      <c r="K1867" s="45" t="n">
        <v>8750</v>
      </c>
      <c r="L1867" s="46" t="n"/>
      <c r="M1867" s="47" t="n"/>
      <c r="N1867" s="47" t="inlineStr">
        <is>
          <t>UCKZo4N0lVPccBkSiuyVh4yg</t>
        </is>
      </c>
      <c r="O1867" s="48" t="n">
        <v>43582.02013888889</v>
      </c>
      <c r="P1867" s="49" t="n">
        <v>43581</v>
      </c>
      <c r="Q1867" s="47" t="n">
        <v>1401</v>
      </c>
      <c r="R1867" s="47" t="inlineStr">
        <is>
          <t>No Video ID yet</t>
        </is>
      </c>
      <c r="S1867" s="49" t="n"/>
      <c r="T1867" s="49" t="n"/>
      <c r="U1867" s="47" t="inlineStr">
        <is>
          <t>For 15% off your entire purchase go to PROMO CODE: SCB Today J and Ben dive into the Marvel Cinematic Universe to discuss possibly the most anticipated movie of all time: Avengers: Endgame and give it their critical review.</t>
        </is>
      </c>
      <c r="V1867" s="47">
        <f>IF(AND(P1867&gt;=Calendar!$K$2,P1867&lt;EDATE(Calendar!$K$2,1),OR(Calendar!$K$4="*",N1867=Calendar!$K$4)),P1867*100+COUNTIFS($P$6:$P$3267,P1867,$Q$6:$Q$3267,"&lt;="&amp;Q1867,$N$6:$N$3267,Calendar!$K$4),"")</f>
        <v/>
      </c>
      <c r="W1867" s="47">
        <f>IF(AND(B1867=Queue!$C$4,OR(Queue!$K$4="*",N1867=Queue!$K$4)),Q1867,"")</f>
        <v/>
      </c>
    </row>
    <row r="1868">
      <c r="A1868" s="38">
        <f>IF(M1868="","",HYPERLINK("https://www.youtube.com/watch?v="&amp;M1868,"▶"))</f>
        <v/>
      </c>
      <c r="B1868" s="39">
        <f>IF(C1868&lt;&gt;"",C1868,IF(P1868&lt;=IFERROR(INDEX(tblChannels[Watched Through],MATCH(N1868,tblChannels[Channel ID],0)),0),"Watched","Unwatched"))</f>
        <v/>
      </c>
      <c r="C1868" s="40" t="n"/>
      <c r="D1868" s="41" t="n"/>
      <c r="E1868" s="42" t="n">
        <v>43581.56597222222</v>
      </c>
      <c r="F1868" s="52" t="inlineStr">
        <is>
          <t>Super Carlin Gaming</t>
        </is>
      </c>
      <c r="G1868" t="inlineStr">
        <is>
          <t>A Rocky Takedown |  Pokémon X Nuzlocke #12</t>
        </is>
      </c>
      <c r="H1868" s="44" t="n">
        <v>0.02335648148148148</v>
      </c>
      <c r="I1868" s="45" t="n">
        <v>33584</v>
      </c>
      <c r="J1868" s="45" t="n">
        <v>937</v>
      </c>
      <c r="K1868" s="45" t="n">
        <v>522</v>
      </c>
      <c r="L1868" s="46" t="n"/>
      <c r="M1868" s="47" t="n"/>
      <c r="N1868" s="47" t="inlineStr">
        <is>
          <t>UCor_9jRnNNZVzTuQ92PKsaQ</t>
        </is>
      </c>
      <c r="O1868" s="48" t="n">
        <v>43581.73263888889</v>
      </c>
      <c r="P1868" s="49" t="n">
        <v>43581</v>
      </c>
      <c r="Q1868" s="47" t="n">
        <v>1400</v>
      </c>
      <c r="R1868" s="47" t="inlineStr">
        <is>
          <t>No Video ID yet</t>
        </is>
      </c>
      <c r="S1868" s="49" t="n"/>
      <c r="T1868" s="49" t="n"/>
      <c r="U1868" s="47" t="inlineStr">
        <is>
          <t>Finally we make it to the 2nd gym - But can we handle their rock hard defense?!</t>
        </is>
      </c>
      <c r="V1868" s="47">
        <f>IF(AND(P1868&gt;=Calendar!$K$2,P1868&lt;EDATE(Calendar!$K$2,1),OR(Calendar!$K$4="*",N1868=Calendar!$K$4)),P1868*100+COUNTIFS($P$6:$P$3267,P1868,$Q$6:$Q$3267,"&lt;="&amp;Q1868,$N$6:$N$3267,Calendar!$K$4),"")</f>
        <v/>
      </c>
      <c r="W1868" s="47">
        <f>IF(AND(B1868=Queue!$C$4,OR(Queue!$K$4="*",N1868=Queue!$K$4)),Q1868,"")</f>
        <v/>
      </c>
    </row>
    <row r="1869">
      <c r="A1869" s="38">
        <f>IF(M1869="","",HYPERLINK("https://www.youtube.com/watch?v="&amp;M1869,"▶"))</f>
        <v/>
      </c>
      <c r="B1869" s="39">
        <f>IF(C1869&lt;&gt;"",C1869,IF(P1869&lt;=IFERROR(INDEX(tblChannels[Watched Through],MATCH(N1869,tblChannels[Channel ID],0)),0),"Watched","Unwatched"))</f>
        <v/>
      </c>
      <c r="C1869" s="40" t="n"/>
      <c r="D1869" s="41" t="n"/>
      <c r="E1869" s="42" t="n">
        <v>43579.61041666667</v>
      </c>
      <c r="F1869" s="52" t="inlineStr">
        <is>
          <t>Super Carlin Gaming</t>
        </is>
      </c>
      <c r="G1869" t="inlineStr">
        <is>
          <t>A Tough Decision |  Pokémon X Nuzlocke #11</t>
        </is>
      </c>
      <c r="H1869" s="44" t="n">
        <v>0.02638888888888889</v>
      </c>
      <c r="I1869" s="45" t="n">
        <v>33135</v>
      </c>
      <c r="J1869" s="45" t="n">
        <v>929</v>
      </c>
      <c r="K1869" s="45" t="n">
        <v>379</v>
      </c>
      <c r="L1869" s="46" t="n"/>
      <c r="M1869" s="47" t="n"/>
      <c r="N1869" s="47" t="inlineStr">
        <is>
          <t>UCor_9jRnNNZVzTuQ92PKsaQ</t>
        </is>
      </c>
      <c r="O1869" s="48" t="n">
        <v>43579.77708333333</v>
      </c>
      <c r="P1869" s="49" t="n">
        <v>43579</v>
      </c>
      <c r="Q1869" s="47" t="n">
        <v>1399</v>
      </c>
      <c r="R1869" s="47" t="inlineStr">
        <is>
          <t>No Video ID yet</t>
        </is>
      </c>
      <c r="S1869" s="49" t="n"/>
      <c r="T1869" s="49" t="n"/>
      <c r="U1869" s="47" t="inlineStr">
        <is>
          <t>It hurts!</t>
        </is>
      </c>
      <c r="V1869" s="47">
        <f>IF(AND(P1869&gt;=Calendar!$K$2,P1869&lt;EDATE(Calendar!$K$2,1),OR(Calendar!$K$4="*",N1869=Calendar!$K$4)),P1869*100+COUNTIFS($P$6:$P$3267,P1869,$Q$6:$Q$3267,"&lt;="&amp;Q1869,$N$6:$N$3267,Calendar!$K$4),"")</f>
        <v/>
      </c>
      <c r="W1869" s="47">
        <f>IF(AND(B1869=Queue!$C$4,OR(Queue!$K$4="*",N1869=Queue!$K$4)),Q1869,"")</f>
        <v/>
      </c>
    </row>
    <row r="1870">
      <c r="A1870" s="38">
        <f>IF(M1870="","",HYPERLINK("https://www.youtube.com/watch?v="&amp;M1870,"▶"))</f>
        <v/>
      </c>
      <c r="B1870" s="39">
        <f>IF(C1870&lt;&gt;"",C1870,IF(P1870&lt;=IFERROR(INDEX(tblChannels[Watched Through],MATCH(N1870,tblChannels[Channel ID],0)),0),"Watched","Unwatched"))</f>
        <v/>
      </c>
      <c r="C1870" s="40" t="n"/>
      <c r="D1870" s="41" t="n"/>
      <c r="E1870" s="42" t="n">
        <v>43578.76944444444</v>
      </c>
      <c r="F1870" s="50" t="inlineStr">
        <is>
          <t>Super Carlin Brothers</t>
        </is>
      </c>
      <c r="G1870" t="inlineStr">
        <is>
          <t>Which Villain Comes After Thanos?! | Endgame Theory</t>
        </is>
      </c>
      <c r="H1870" s="44" t="n">
        <v>0.007939814814814814</v>
      </c>
      <c r="I1870" s="45" t="n">
        <v>755258</v>
      </c>
      <c r="J1870" s="45" t="n">
        <v>19722</v>
      </c>
      <c r="K1870" s="45" t="n">
        <v>3233</v>
      </c>
      <c r="L1870" s="46" t="n"/>
      <c r="M1870" s="47" t="n"/>
      <c r="N1870" s="47" t="inlineStr">
        <is>
          <t>UCKZo4N0lVPccBkSiuyVh4yg</t>
        </is>
      </c>
      <c r="O1870" s="48" t="n">
        <v>43578.93611111111</v>
      </c>
      <c r="P1870" s="49" t="n">
        <v>43578</v>
      </c>
      <c r="Q1870" s="47" t="n">
        <v>1398</v>
      </c>
      <c r="R1870" s="47" t="inlineStr">
        <is>
          <t>No Video ID yet</t>
        </is>
      </c>
      <c r="S1870" s="49" t="n"/>
      <c r="T1870" s="49" t="n"/>
      <c r="U1870" s="47" t="inlineStr">
        <is>
          <t>Today J dives into the Marvel Cinematic Universe to try and uncover WHO will be the next villain after Thanos is defeated... IF HE IS DEFEATED!</t>
        </is>
      </c>
      <c r="V1870" s="47">
        <f>IF(AND(P1870&gt;=Calendar!$K$2,P1870&lt;EDATE(Calendar!$K$2,1),OR(Calendar!$K$4="*",N1870=Calendar!$K$4)),P1870*100+COUNTIFS($P$6:$P$3267,P1870,$Q$6:$Q$3267,"&lt;="&amp;Q1870,$N$6:$N$3267,Calendar!$K$4),"")</f>
        <v/>
      </c>
      <c r="W1870" s="47">
        <f>IF(AND(B1870=Queue!$C$4,OR(Queue!$K$4="*",N1870=Queue!$K$4)),Q1870,"")</f>
        <v/>
      </c>
    </row>
    <row r="1871">
      <c r="A1871" s="38">
        <f>IF(M1871="","",HYPERLINK("https://www.youtube.com/watch?v="&amp;M1871,"▶"))</f>
        <v/>
      </c>
      <c r="B1871" s="39">
        <f>IF(C1871&lt;&gt;"",C1871,IF(P1871&lt;=IFERROR(INDEX(tblChannels[Watched Through],MATCH(N1871,tblChannels[Channel ID],0)),0),"Watched","Unwatched"))</f>
        <v/>
      </c>
      <c r="C1871" s="40" t="n"/>
      <c r="D1871" s="41" t="n"/>
      <c r="E1871" s="42" t="n">
        <v>43577.83472222222</v>
      </c>
      <c r="F1871" s="53" t="inlineStr">
        <is>
          <t>Jonathan Carlin</t>
        </is>
      </c>
      <c r="G1871" t="inlineStr">
        <is>
          <t>RUN BETH RUN</t>
        </is>
      </c>
      <c r="H1871" s="44" t="n">
        <v>0.006851851851851852</v>
      </c>
      <c r="I1871" s="45" t="n">
        <v>23571</v>
      </c>
      <c r="J1871" s="45" t="n">
        <v>1353</v>
      </c>
      <c r="K1871" s="45" t="n">
        <v>138</v>
      </c>
      <c r="L1871" s="46" t="n"/>
      <c r="M1871" s="47" t="n"/>
      <c r="N1871" s="47" t="inlineStr">
        <is>
          <t>UCYPKFe86e6nm4TVUYKLsFUQ</t>
        </is>
      </c>
      <c r="O1871" s="48" t="n">
        <v>43578.00138888889</v>
      </c>
      <c r="P1871" s="49" t="n">
        <v>43577</v>
      </c>
      <c r="Q1871" s="47" t="n">
        <v>1397</v>
      </c>
      <c r="R1871" s="47" t="inlineStr">
        <is>
          <t>No Video ID yet</t>
        </is>
      </c>
      <c r="S1871" s="49" t="n"/>
      <c r="T1871" s="49" t="n"/>
      <c r="U1871" s="47" t="inlineStr">
        <is>
          <t>Beth preps for a big race, while J and Ben unbox everything under the sun including some swanky new Harry Potter books!</t>
        </is>
      </c>
      <c r="V1871" s="47">
        <f>IF(AND(P1871&gt;=Calendar!$K$2,P1871&lt;EDATE(Calendar!$K$2,1),OR(Calendar!$K$4="*",N1871=Calendar!$K$4)),P1871*100+COUNTIFS($P$6:$P$3267,P1871,$Q$6:$Q$3267,"&lt;="&amp;Q1871,$N$6:$N$3267,Calendar!$K$4),"")</f>
        <v/>
      </c>
      <c r="W1871" s="47">
        <f>IF(AND(B1871=Queue!$C$4,OR(Queue!$K$4="*",N1871=Queue!$K$4)),Q1871,"")</f>
        <v/>
      </c>
    </row>
    <row r="1872">
      <c r="A1872" s="38">
        <f>IF(M1872="","",HYPERLINK("https://www.youtube.com/watch?v="&amp;M1872,"▶"))</f>
        <v/>
      </c>
      <c r="B1872" s="39">
        <f>IF(C1872&lt;&gt;"",C1872,IF(P1872&lt;=IFERROR(INDEX(tblChannels[Watched Through],MATCH(N1872,tblChannels[Channel ID],0)),0),"Watched","Unwatched"))</f>
        <v/>
      </c>
      <c r="C1872" s="40" t="n"/>
      <c r="D1872" s="41" t="n"/>
      <c r="E1872" s="42" t="n">
        <v>43577.4375</v>
      </c>
      <c r="F1872" s="52" t="inlineStr">
        <is>
          <t>Super Carlin Gaming</t>
        </is>
      </c>
      <c r="G1872" t="inlineStr">
        <is>
          <t>Too Young To Be Engaged? |  Super Smash Bros #36</t>
        </is>
      </c>
      <c r="H1872" s="44" t="n">
        <v>0.01315972222222222</v>
      </c>
      <c r="I1872" s="45" t="n">
        <v>5334</v>
      </c>
      <c r="J1872" s="45" t="n">
        <v>273</v>
      </c>
      <c r="K1872" s="45" t="n">
        <v>65</v>
      </c>
      <c r="L1872" s="46" t="n"/>
      <c r="M1872" s="47" t="n"/>
      <c r="N1872" s="47" t="inlineStr">
        <is>
          <t>UCor_9jRnNNZVzTuQ92PKsaQ</t>
        </is>
      </c>
      <c r="O1872" s="48" t="n">
        <v>43577.60416666666</v>
      </c>
      <c r="P1872" s="49" t="n">
        <v>43577</v>
      </c>
      <c r="Q1872" s="47" t="n">
        <v>1396</v>
      </c>
      <c r="R1872" s="47" t="inlineStr">
        <is>
          <t>No Video ID yet</t>
        </is>
      </c>
      <c r="S1872" s="49" t="n"/>
      <c r="T1872" s="49" t="n"/>
      <c r="U1872" s="47" t="inlineStr">
        <is>
          <t>Can we beat our super charged Amiibo’s? J, Ben and DK take turns facing off against these mighty foes while answering your questions! If you want us to challenge your Amiibo, send it to the PO Box listed below!</t>
        </is>
      </c>
      <c r="V1872" s="47">
        <f>IF(AND(P1872&gt;=Calendar!$K$2,P1872&lt;EDATE(Calendar!$K$2,1),OR(Calendar!$K$4="*",N1872=Calendar!$K$4)),P1872*100+COUNTIFS($P$6:$P$3267,P1872,$Q$6:$Q$3267,"&lt;="&amp;Q1872,$N$6:$N$3267,Calendar!$K$4),"")</f>
        <v/>
      </c>
      <c r="W1872" s="47">
        <f>IF(AND(B1872=Queue!$C$4,OR(Queue!$K$4="*",N1872=Queue!$K$4)),Q1872,"")</f>
        <v/>
      </c>
    </row>
    <row r="1873">
      <c r="A1873" s="38">
        <f>IF(M1873="","",HYPERLINK("https://www.youtube.com/watch?v="&amp;M1873,"▶"))</f>
        <v/>
      </c>
      <c r="B1873" s="39">
        <f>IF(C1873&lt;&gt;"",C1873,IF(P1873&lt;=IFERROR(INDEX(tblChannels[Watched Through],MATCH(N1873,tblChannels[Channel ID],0)),0),"Watched","Unwatched"))</f>
        <v/>
      </c>
      <c r="C1873" s="40" t="n"/>
      <c r="D1873" s="41" t="n"/>
      <c r="E1873" s="42" t="n">
        <v>43574.4375</v>
      </c>
      <c r="F1873" s="52" t="inlineStr">
        <is>
          <t>Super Carlin Gaming</t>
        </is>
      </c>
      <c r="G1873" t="inlineStr">
        <is>
          <t>Fossil Find |  Pokémon X Nuzlocke #10</t>
        </is>
      </c>
      <c r="H1873" s="44" t="n">
        <v>0.01924768518518518</v>
      </c>
      <c r="I1873" s="45" t="n">
        <v>32389</v>
      </c>
      <c r="J1873" s="45" t="n">
        <v>938</v>
      </c>
      <c r="K1873" s="45" t="n">
        <v>369</v>
      </c>
      <c r="L1873" s="46" t="n"/>
      <c r="M1873" s="47" t="n"/>
      <c r="N1873" s="47" t="inlineStr">
        <is>
          <t>UCor_9jRnNNZVzTuQ92PKsaQ</t>
        </is>
      </c>
      <c r="O1873" s="48" t="n">
        <v>43574.60416666666</v>
      </c>
      <c r="P1873" s="49" t="n">
        <v>43574</v>
      </c>
      <c r="Q1873" s="47" t="n">
        <v>1395</v>
      </c>
      <c r="R1873" s="47" t="inlineStr">
        <is>
          <t>No Video ID yet</t>
        </is>
      </c>
      <c r="S1873" s="49" t="n"/>
      <c r="T1873" s="49" t="n"/>
      <c r="U1873" s="47" t="inlineStr">
        <is>
          <t>Today J and the team head into Glittering cave to take on Team Flare and hopefully locate a new fossil friend!</t>
        </is>
      </c>
      <c r="V1873" s="47">
        <f>IF(AND(P1873&gt;=Calendar!$K$2,P1873&lt;EDATE(Calendar!$K$2,1),OR(Calendar!$K$4="*",N1873=Calendar!$K$4)),P1873*100+COUNTIFS($P$6:$P$3267,P1873,$Q$6:$Q$3267,"&lt;="&amp;Q1873,$N$6:$N$3267,Calendar!$K$4),"")</f>
        <v/>
      </c>
      <c r="W1873" s="47">
        <f>IF(AND(B1873=Queue!$C$4,OR(Queue!$K$4="*",N1873=Queue!$K$4)),Q1873,"")</f>
        <v/>
      </c>
    </row>
    <row r="1874">
      <c r="A1874" s="38">
        <f>IF(M1874="","",HYPERLINK("https://www.youtube.com/watch?v="&amp;M1874,"▶"))</f>
        <v/>
      </c>
      <c r="B1874" s="39">
        <f>IF(C1874&lt;&gt;"",C1874,IF(P1874&lt;=IFERROR(INDEX(tblChannels[Watched Through],MATCH(N1874,tblChannels[Channel ID],0)),0),"Watched","Unwatched"))</f>
        <v/>
      </c>
      <c r="C1874" s="40" t="n"/>
      <c r="D1874" s="41" t="n"/>
      <c r="E1874" s="42" t="n">
        <v>43573.75972222222</v>
      </c>
      <c r="F1874" s="50" t="inlineStr">
        <is>
          <t>Super Carlin Brothers</t>
        </is>
      </c>
      <c r="G1874" t="inlineStr">
        <is>
          <t>How Dumbledore Will Destroy The Blood Pact | Harry Potter Theory</t>
        </is>
      </c>
      <c r="H1874" s="44" t="n">
        <v>0.008356481481481482</v>
      </c>
      <c r="I1874" s="45" t="n">
        <v>918413</v>
      </c>
      <c r="J1874" s="45" t="n">
        <v>23255</v>
      </c>
      <c r="K1874" s="45" t="n">
        <v>1791</v>
      </c>
      <c r="L1874" s="46" t="n"/>
      <c r="M1874" s="47" t="n"/>
      <c r="N1874" s="47" t="inlineStr">
        <is>
          <t>UCKZo4N0lVPccBkSiuyVh4yg</t>
        </is>
      </c>
      <c r="O1874" s="48" t="n">
        <v>43573.92638888889</v>
      </c>
      <c r="P1874" s="49" t="n">
        <v>43573</v>
      </c>
      <c r="Q1874" s="47" t="n">
        <v>1394</v>
      </c>
      <c r="R1874" s="47" t="inlineStr">
        <is>
          <t>No Video ID yet</t>
        </is>
      </c>
      <c r="S1874" s="49" t="n"/>
      <c r="T1874" s="49" t="n"/>
      <c r="U1874" s="47" t="inlineStr">
        <is>
          <t>Today Ben dives into the Wizarding World of Harry Potter to try and figure out how Dumbledore will ultimately defeat Grindelwald, destroy the blood pact and overcome the Elder Wand.</t>
        </is>
      </c>
      <c r="V1874" s="47">
        <f>IF(AND(P1874&gt;=Calendar!$K$2,P1874&lt;EDATE(Calendar!$K$2,1),OR(Calendar!$K$4="*",N1874=Calendar!$K$4)),P1874*100+COUNTIFS($P$6:$P$3267,P1874,$Q$6:$Q$3267,"&lt;="&amp;Q1874,$N$6:$N$3267,Calendar!$K$4),"")</f>
        <v/>
      </c>
      <c r="W1874" s="47">
        <f>IF(AND(B1874=Queue!$C$4,OR(Queue!$K$4="*",N1874=Queue!$K$4)),Q1874,"")</f>
        <v/>
      </c>
    </row>
    <row r="1875">
      <c r="A1875" s="38">
        <f>IF(M1875="","",HYPERLINK("https://www.youtube.com/watch?v="&amp;M1875,"▶"))</f>
        <v/>
      </c>
      <c r="B1875" s="39">
        <f>IF(C1875&lt;&gt;"",C1875,IF(P1875&lt;=IFERROR(INDEX(tblChannels[Watched Through],MATCH(N1875,tblChannels[Channel ID],0)),0),"Watched","Unwatched"))</f>
        <v/>
      </c>
      <c r="C1875" s="40" t="n"/>
      <c r="D1875" s="41" t="n"/>
      <c r="E1875" s="42" t="n">
        <v>43572.4375</v>
      </c>
      <c r="F1875" s="52" t="inlineStr">
        <is>
          <t>Super Carlin Gaming</t>
        </is>
      </c>
      <c r="G1875" t="inlineStr">
        <is>
          <t>Second Grass |  Pokémon X Nuzlocke #9</t>
        </is>
      </c>
      <c r="H1875" s="44" t="n">
        <v>0.02114583333333333</v>
      </c>
      <c r="I1875" s="45" t="n">
        <v>34535</v>
      </c>
      <c r="J1875" s="45" t="n">
        <v>1030</v>
      </c>
      <c r="K1875" s="45" t="n">
        <v>440</v>
      </c>
      <c r="L1875" s="46" t="n"/>
      <c r="M1875" s="47" t="n"/>
      <c r="N1875" s="47" t="inlineStr">
        <is>
          <t>UCor_9jRnNNZVzTuQ92PKsaQ</t>
        </is>
      </c>
      <c r="O1875" s="48" t="n">
        <v>43572.60416666666</v>
      </c>
      <c r="P1875" s="49" t="n">
        <v>43572</v>
      </c>
      <c r="Q1875" s="47" t="n">
        <v>1393</v>
      </c>
      <c r="R1875" s="47" t="inlineStr">
        <is>
          <t>No Video ID yet</t>
        </is>
      </c>
      <c r="S1875" s="49" t="n"/>
      <c r="T1875" s="49" t="n"/>
      <c r="U1875" s="47" t="inlineStr">
        <is>
          <t>Swarm battles amiright?!</t>
        </is>
      </c>
      <c r="V1875" s="47">
        <f>IF(AND(P1875&gt;=Calendar!$K$2,P1875&lt;EDATE(Calendar!$K$2,1),OR(Calendar!$K$4="*",N1875=Calendar!$K$4)),P1875*100+COUNTIFS($P$6:$P$3267,P1875,$Q$6:$Q$3267,"&lt;="&amp;Q1875,$N$6:$N$3267,Calendar!$K$4),"")</f>
        <v/>
      </c>
      <c r="W1875" s="47">
        <f>IF(AND(B1875=Queue!$C$4,OR(Queue!$K$4="*",N1875=Queue!$K$4)),Q1875,"")</f>
        <v/>
      </c>
    </row>
    <row r="1876">
      <c r="A1876" s="38">
        <f>IF(M1876="","",HYPERLINK("https://www.youtube.com/watch?v="&amp;M1876,"▶"))</f>
        <v/>
      </c>
      <c r="B1876" s="39">
        <f>IF(C1876&lt;&gt;"",C1876,IF(P1876&lt;=IFERROR(INDEX(tblChannels[Watched Through],MATCH(N1876,tblChannels[Channel ID],0)),0),"Watched","Unwatched"))</f>
        <v/>
      </c>
      <c r="C1876" s="40" t="n"/>
      <c r="D1876" s="41" t="n"/>
      <c r="E1876" s="42" t="n">
        <v>43571.79583333333</v>
      </c>
      <c r="F1876" s="50" t="inlineStr">
        <is>
          <t>Super Carlin Brothers</t>
        </is>
      </c>
      <c r="G1876" t="inlineStr">
        <is>
          <t>How Palpatine Almost Definitely Created Rey | Star Wars Theory</t>
        </is>
      </c>
      <c r="H1876" s="44" t="n">
        <v>0.008958333333333334</v>
      </c>
      <c r="I1876" s="45" t="n">
        <v>564647</v>
      </c>
      <c r="J1876" s="45" t="n">
        <v>15786</v>
      </c>
      <c r="K1876" s="45" t="n">
        <v>2331</v>
      </c>
      <c r="L1876" s="46" t="n"/>
      <c r="M1876" s="47" t="n"/>
      <c r="N1876" s="47" t="inlineStr">
        <is>
          <t>UCKZo4N0lVPccBkSiuyVh4yg</t>
        </is>
      </c>
      <c r="O1876" s="48" t="n">
        <v>43571.9625</v>
      </c>
      <c r="P1876" s="49" t="n">
        <v>43571</v>
      </c>
      <c r="Q1876" s="47" t="n">
        <v>1392</v>
      </c>
      <c r="R1876" s="47" t="inlineStr">
        <is>
          <t>No Video ID yet</t>
        </is>
      </c>
      <c r="S1876" s="49" t="n"/>
      <c r="T1876" s="49" t="n"/>
      <c r="U1876" s="47" t="inlineStr">
        <is>
          <t>Today J dives into the Star Wars Galaxy to dissect the new Star Wars Episode 9: The Rise of Skywalker teaser trailer and discuss a possible origin story for Rey.</t>
        </is>
      </c>
      <c r="V1876" s="47">
        <f>IF(AND(P1876&gt;=Calendar!$K$2,P1876&lt;EDATE(Calendar!$K$2,1),OR(Calendar!$K$4="*",N1876=Calendar!$K$4)),P1876*100+COUNTIFS($P$6:$P$3267,P1876,$Q$6:$Q$3267,"&lt;="&amp;Q1876,$N$6:$N$3267,Calendar!$K$4),"")</f>
        <v/>
      </c>
      <c r="W1876" s="47">
        <f>IF(AND(B1876=Queue!$C$4,OR(Queue!$K$4="*",N1876=Queue!$K$4)),Q1876,"")</f>
        <v/>
      </c>
    </row>
    <row r="1877">
      <c r="A1877" s="38">
        <f>IF(M1877="","",HYPERLINK("https://www.youtube.com/watch?v="&amp;M1877,"▶"))</f>
        <v/>
      </c>
      <c r="B1877" s="39">
        <f>IF(C1877&lt;&gt;"",C1877,IF(P1877&lt;=IFERROR(INDEX(tblChannels[Watched Through],MATCH(N1877,tblChannels[Channel ID],0)),0),"Watched","Unwatched"))</f>
        <v/>
      </c>
      <c r="C1877" s="40" t="n"/>
      <c r="D1877" s="41" t="n"/>
      <c r="E1877" s="42" t="n">
        <v>43570.51597222222</v>
      </c>
      <c r="F1877" s="52" t="inlineStr">
        <is>
          <t>Super Carlin Gaming</t>
        </is>
      </c>
      <c r="G1877" t="inlineStr">
        <is>
          <t>What To Do For Mother's Day |  Super Smash Bros #35</t>
        </is>
      </c>
      <c r="H1877" s="44" t="n">
        <v>0.01016203703703704</v>
      </c>
      <c r="I1877" s="45" t="n">
        <v>4808</v>
      </c>
      <c r="J1877" s="45" t="n">
        <v>228</v>
      </c>
      <c r="K1877" s="45" t="n">
        <v>48</v>
      </c>
      <c r="L1877" s="46" t="n"/>
      <c r="M1877" s="47" t="n"/>
      <c r="N1877" s="47" t="inlineStr">
        <is>
          <t>UCor_9jRnNNZVzTuQ92PKsaQ</t>
        </is>
      </c>
      <c r="O1877" s="48" t="n">
        <v>43570.68263888889</v>
      </c>
      <c r="P1877" s="49" t="n">
        <v>43570</v>
      </c>
      <c r="Q1877" s="47" t="n">
        <v>1391</v>
      </c>
      <c r="R1877" s="47" t="inlineStr">
        <is>
          <t>No Video ID yet</t>
        </is>
      </c>
      <c r="S1877" s="49" t="n"/>
      <c r="T1877" s="49" t="n"/>
      <c r="U1877" s="47" t="inlineStr">
        <is>
          <t>Can we beat our super charged Amiibo’s? J, Ben and DK take turns facing off against these mighty foes while answering your questions! If you want us to challenge your Amiibo, send it to the PO Box listed below!</t>
        </is>
      </c>
      <c r="V1877" s="47">
        <f>IF(AND(P1877&gt;=Calendar!$K$2,P1877&lt;EDATE(Calendar!$K$2,1),OR(Calendar!$K$4="*",N1877=Calendar!$K$4)),P1877*100+COUNTIFS($P$6:$P$3267,P1877,$Q$6:$Q$3267,"&lt;="&amp;Q1877,$N$6:$N$3267,Calendar!$K$4),"")</f>
        <v/>
      </c>
      <c r="W1877" s="47">
        <f>IF(AND(B1877=Queue!$C$4,OR(Queue!$K$4="*",N1877=Queue!$K$4)),Q1877,"")</f>
        <v/>
      </c>
    </row>
    <row r="1878">
      <c r="A1878" s="38">
        <f>IF(M1878="","",HYPERLINK("https://www.youtube.com/watch?v="&amp;M1878,"▶"))</f>
        <v/>
      </c>
      <c r="B1878" s="39">
        <f>IF(C1878&lt;&gt;"",C1878,IF(P1878&lt;=IFERROR(INDEX(tblChannels[Watched Through],MATCH(N1878,tblChannels[Channel ID],0)),0),"Watched","Unwatched"))</f>
        <v/>
      </c>
      <c r="C1878" s="40" t="n"/>
      <c r="D1878" s="41" t="n"/>
      <c r="E1878" s="42" t="n">
        <v>43570.45</v>
      </c>
      <c r="F1878" s="53" t="inlineStr">
        <is>
          <t>Jonathan Carlin</t>
        </is>
      </c>
      <c r="G1878" t="inlineStr">
        <is>
          <t>Boys Weekend: Will We Survive?</t>
        </is>
      </c>
      <c r="H1878" s="44" t="n">
        <v>0.005601851851851852</v>
      </c>
      <c r="I1878" s="45" t="n">
        <v>30557</v>
      </c>
      <c r="J1878" s="45" t="n">
        <v>1617</v>
      </c>
      <c r="K1878" s="45" t="n">
        <v>222</v>
      </c>
      <c r="L1878" s="46" t="n"/>
      <c r="M1878" s="47" t="n"/>
      <c r="N1878" s="47" t="inlineStr">
        <is>
          <t>UCYPKFe86e6nm4TVUYKLsFUQ</t>
        </is>
      </c>
      <c r="O1878" s="48" t="n">
        <v>43570.61666666667</v>
      </c>
      <c r="P1878" s="49" t="n">
        <v>43570</v>
      </c>
      <c r="Q1878" s="47" t="n">
        <v>1390</v>
      </c>
      <c r="R1878" s="47" t="inlineStr">
        <is>
          <t>No Video ID yet</t>
        </is>
      </c>
      <c r="S1878" s="49" t="n"/>
      <c r="T1878" s="49" t="n"/>
      <c r="U1878" s="47" t="inlineStr">
        <is>
          <t>This week, Ben tackles the plague, SCOTT LOVES TWIZZLERS, and Beth takes a much needed weekend off leaving J and Luke alone for the weekend!</t>
        </is>
      </c>
      <c r="V1878" s="47">
        <f>IF(AND(P1878&gt;=Calendar!$K$2,P1878&lt;EDATE(Calendar!$K$2,1),OR(Calendar!$K$4="*",N1878=Calendar!$K$4)),P1878*100+COUNTIFS($P$6:$P$3267,P1878,$Q$6:$Q$3267,"&lt;="&amp;Q1878,$N$6:$N$3267,Calendar!$K$4),"")</f>
        <v/>
      </c>
      <c r="W1878" s="47">
        <f>IF(AND(B1878=Queue!$C$4,OR(Queue!$K$4="*",N1878=Queue!$K$4)),Q1878,"")</f>
        <v/>
      </c>
    </row>
    <row r="1879">
      <c r="A1879" s="38">
        <f>IF(M1879="","",HYPERLINK("https://www.youtube.com/watch?v="&amp;M1879,"▶"))</f>
        <v/>
      </c>
      <c r="B1879" s="39">
        <f>IF(C1879&lt;&gt;"",C1879,IF(P1879&lt;=IFERROR(INDEX(tblChannels[Watched Through],MATCH(N1879,tblChannels[Channel ID],0)),0),"Watched","Unwatched"))</f>
        <v/>
      </c>
      <c r="C1879" s="40" t="n"/>
      <c r="D1879" s="41" t="n"/>
      <c r="E1879" s="42" t="n">
        <v>43567.75416666667</v>
      </c>
      <c r="F1879" s="52" t="inlineStr">
        <is>
          <t>Super Carlin Gaming</t>
        </is>
      </c>
      <c r="G1879" t="inlineStr">
        <is>
          <t>Mats &amp; Fats |  Pokémon X Nuzlocke #8</t>
        </is>
      </c>
      <c r="H1879" s="44" t="n">
        <v>0.02599537037037037</v>
      </c>
      <c r="I1879" s="45" t="n">
        <v>37557</v>
      </c>
      <c r="J1879" s="45" t="n">
        <v>1100</v>
      </c>
      <c r="K1879" s="45" t="n">
        <v>397</v>
      </c>
      <c r="L1879" s="46" t="n"/>
      <c r="M1879" s="47" t="n"/>
      <c r="N1879" s="47" t="inlineStr">
        <is>
          <t>UCor_9jRnNNZVzTuQ92PKsaQ</t>
        </is>
      </c>
      <c r="O1879" s="48" t="n">
        <v>43567.92083333333</v>
      </c>
      <c r="P1879" s="49" t="n">
        <v>43567</v>
      </c>
      <c r="Q1879" s="47" t="n">
        <v>1389</v>
      </c>
      <c r="R1879" s="47" t="inlineStr">
        <is>
          <t>No Video ID yet</t>
        </is>
      </c>
      <c r="S1879" s="49" t="n"/>
      <c r="T1879" s="49" t="n"/>
      <c r="U1879" s="47" t="inlineStr">
        <is>
          <t>The team welcomes a new member, and we let a couple others spend some time together in the day care!</t>
        </is>
      </c>
      <c r="V1879" s="47">
        <f>IF(AND(P1879&gt;=Calendar!$K$2,P1879&lt;EDATE(Calendar!$K$2,1),OR(Calendar!$K$4="*",N1879=Calendar!$K$4)),P1879*100+COUNTIFS($P$6:$P$3267,P1879,$Q$6:$Q$3267,"&lt;="&amp;Q1879,$N$6:$N$3267,Calendar!$K$4),"")</f>
        <v/>
      </c>
      <c r="W1879" s="47">
        <f>IF(AND(B1879=Queue!$C$4,OR(Queue!$K$4="*",N1879=Queue!$K$4)),Q1879,"")</f>
        <v/>
      </c>
    </row>
    <row r="1880">
      <c r="A1880" s="38">
        <f>IF(M1880="","",HYPERLINK("https://www.youtube.com/watch?v="&amp;M1880,"▶"))</f>
        <v/>
      </c>
      <c r="B1880" s="39">
        <f>IF(C1880&lt;&gt;"",C1880,IF(P1880&lt;=IFERROR(INDEX(tblChannels[Watched Through],MATCH(N1880,tblChannels[Channel ID],0)),0),"Watched","Unwatched"))</f>
        <v/>
      </c>
      <c r="C1880" s="40" t="n"/>
      <c r="D1880" s="41" t="n"/>
      <c r="E1880" s="42" t="n">
        <v>43566.69166666667</v>
      </c>
      <c r="F1880" s="50" t="inlineStr">
        <is>
          <t>Super Carlin Brothers</t>
        </is>
      </c>
      <c r="G1880" t="inlineStr">
        <is>
          <t>EVERY EASTER EGG IN TOY STORY LAND</t>
        </is>
      </c>
      <c r="H1880" s="44" t="n">
        <v>0.00681712962962963</v>
      </c>
      <c r="I1880" s="45" t="n">
        <v>198716</v>
      </c>
      <c r="J1880" s="45" t="n">
        <v>7846</v>
      </c>
      <c r="K1880" s="45" t="n">
        <v>621</v>
      </c>
      <c r="L1880" s="46" t="n"/>
      <c r="M1880" s="47" t="n"/>
      <c r="N1880" s="47" t="inlineStr">
        <is>
          <t>UCKZo4N0lVPccBkSiuyVh4yg</t>
        </is>
      </c>
      <c r="O1880" s="48" t="n">
        <v>43566.85833333333</v>
      </c>
      <c r="P1880" s="49" t="n">
        <v>43566</v>
      </c>
      <c r="Q1880" s="47" t="n">
        <v>1388</v>
      </c>
      <c r="R1880" s="47" t="inlineStr">
        <is>
          <t>No Video ID yet</t>
        </is>
      </c>
      <c r="S1880" s="49" t="n"/>
      <c r="T1880" s="49" t="n"/>
      <c r="U1880" s="47" t="inlineStr">
        <is>
          <t>This video includes a paid partnership with Disney. #ad Best Day Ever Instagram :: Today J and Ben head to Walt Disney World's Toy Story Land to try and hunt down every Easter Eggs in the park including A-113, hidden dates, interactive barcodes and MORE!</t>
        </is>
      </c>
      <c r="V1880" s="47">
        <f>IF(AND(P1880&gt;=Calendar!$K$2,P1880&lt;EDATE(Calendar!$K$2,1),OR(Calendar!$K$4="*",N1880=Calendar!$K$4)),P1880*100+COUNTIFS($P$6:$P$3267,P1880,$Q$6:$Q$3267,"&lt;="&amp;Q1880,$N$6:$N$3267,Calendar!$K$4),"")</f>
        <v/>
      </c>
      <c r="W1880" s="47">
        <f>IF(AND(B1880=Queue!$C$4,OR(Queue!$K$4="*",N1880=Queue!$K$4)),Q1880,"")</f>
        <v/>
      </c>
    </row>
    <row r="1881">
      <c r="A1881" s="38">
        <f>IF(M1881="","",HYPERLINK("https://www.youtube.com/watch?v="&amp;M1881,"▶"))</f>
        <v/>
      </c>
      <c r="B1881" s="39">
        <f>IF(C1881&lt;&gt;"",C1881,IF(P1881&lt;=IFERROR(INDEX(tblChannels[Watched Through],MATCH(N1881,tblChannels[Channel ID],0)),0),"Watched","Unwatched"))</f>
        <v/>
      </c>
      <c r="C1881" s="40" t="n"/>
      <c r="D1881" s="41" t="n"/>
      <c r="E1881" s="42" t="n">
        <v>43565.65833333333</v>
      </c>
      <c r="F1881" s="52" t="inlineStr">
        <is>
          <t>Super Carlin Gaming</t>
        </is>
      </c>
      <c r="G1881" t="inlineStr">
        <is>
          <t>A GRUMPY RAGE! |  Pokémon X Nuzlocke #7</t>
        </is>
      </c>
      <c r="H1881" s="44" t="n">
        <v>0.02300925925925926</v>
      </c>
      <c r="I1881" s="45" t="n">
        <v>38290</v>
      </c>
      <c r="J1881" s="45" t="n">
        <v>1026</v>
      </c>
      <c r="K1881" s="45" t="n">
        <v>637</v>
      </c>
      <c r="L1881" s="46" t="n"/>
      <c r="M1881" s="47" t="n"/>
      <c r="N1881" s="47" t="inlineStr">
        <is>
          <t>UCor_9jRnNNZVzTuQ92PKsaQ</t>
        </is>
      </c>
      <c r="O1881" s="48" t="n">
        <v>43565.825</v>
      </c>
      <c r="P1881" s="49" t="n">
        <v>43565</v>
      </c>
      <c r="Q1881" s="47" t="n">
        <v>1387</v>
      </c>
      <c r="R1881" s="47" t="inlineStr">
        <is>
          <t>No Video ID yet</t>
        </is>
      </c>
      <c r="S1881" s="49" t="n"/>
      <c r="T1881" s="49" t="n"/>
      <c r="U1881" s="47" t="inlineStr">
        <is>
          <t>J and the team head over to a castle.. or chateau if you will, they are forced on a date with Cauliflower and then battle a cunning Snorlax!!</t>
        </is>
      </c>
      <c r="V1881" s="47">
        <f>IF(AND(P1881&gt;=Calendar!$K$2,P1881&lt;EDATE(Calendar!$K$2,1),OR(Calendar!$K$4="*",N1881=Calendar!$K$4)),P1881*100+COUNTIFS($P$6:$P$3267,P1881,$Q$6:$Q$3267,"&lt;="&amp;Q1881,$N$6:$N$3267,Calendar!$K$4),"")</f>
        <v/>
      </c>
      <c r="W1881" s="47">
        <f>IF(AND(B1881=Queue!$C$4,OR(Queue!$K$4="*",N1881=Queue!$K$4)),Q1881,"")</f>
        <v/>
      </c>
    </row>
    <row r="1882">
      <c r="A1882" s="38">
        <f>IF(M1882="","",HYPERLINK("https://www.youtube.com/watch?v="&amp;M1882,"▶"))</f>
        <v/>
      </c>
      <c r="B1882" s="39">
        <f>IF(C1882&lt;&gt;"",C1882,IF(P1882&lt;=IFERROR(INDEX(tblChannels[Watched Through],MATCH(N1882,tblChannels[Channel ID],0)),0),"Watched","Unwatched"))</f>
        <v/>
      </c>
      <c r="C1882" s="40" t="n"/>
      <c r="D1882" s="41" t="n"/>
      <c r="E1882" s="42" t="n">
        <v>43564.71736111111</v>
      </c>
      <c r="F1882" s="50" t="inlineStr">
        <is>
          <t>Super Carlin Brothers</t>
        </is>
      </c>
      <c r="G1882" t="inlineStr">
        <is>
          <t>Grindelwald’s Skull Explained | Harry Potter Theory</t>
        </is>
      </c>
      <c r="H1882" s="44" t="n">
        <v>0.008530092592592593</v>
      </c>
      <c r="I1882" s="45" t="n">
        <v>910313</v>
      </c>
      <c r="J1882" s="45" t="n">
        <v>23803</v>
      </c>
      <c r="K1882" s="45" t="n">
        <v>2036</v>
      </c>
      <c r="L1882" s="46" t="n"/>
      <c r="M1882" s="47" t="n"/>
      <c r="N1882" s="47" t="inlineStr">
        <is>
          <t>UCKZo4N0lVPccBkSiuyVh4yg</t>
        </is>
      </c>
      <c r="O1882" s="48" t="n">
        <v>43564.88402777778</v>
      </c>
      <c r="P1882" s="49" t="n">
        <v>43564</v>
      </c>
      <c r="Q1882" s="47" t="n">
        <v>1386</v>
      </c>
      <c r="R1882" s="47" t="inlineStr">
        <is>
          <t>No Video ID yet</t>
        </is>
      </c>
      <c r="S1882" s="49" t="n"/>
      <c r="T1882" s="49" t="n"/>
      <c r="U1882" s="47" t="inlineStr">
        <is>
          <t>Carlin Brothers Coffee :: Today J dives into the Wizarding World of Harry Potter to try and explain one a most unusual artifact, introduced to us in Fantastic Beasts: The Crimes of Grindelwald - Grindelwalds Skull.</t>
        </is>
      </c>
      <c r="V1882" s="47">
        <f>IF(AND(P1882&gt;=Calendar!$K$2,P1882&lt;EDATE(Calendar!$K$2,1),OR(Calendar!$K$4="*",N1882=Calendar!$K$4)),P1882*100+COUNTIFS($P$6:$P$3267,P1882,$Q$6:$Q$3267,"&lt;="&amp;Q1882,$N$6:$N$3267,Calendar!$K$4),"")</f>
        <v/>
      </c>
      <c r="W1882" s="47">
        <f>IF(AND(B1882=Queue!$C$4,OR(Queue!$K$4="*",N1882=Queue!$K$4)),Q1882,"")</f>
        <v/>
      </c>
    </row>
    <row r="1883">
      <c r="A1883" s="38">
        <f>IF(M1883="","",HYPERLINK("https://www.youtube.com/watch?v="&amp;M1883,"▶"))</f>
        <v/>
      </c>
      <c r="B1883" s="39">
        <f>IF(C1883&lt;&gt;"",C1883,IF(P1883&lt;=IFERROR(INDEX(tblChannels[Watched Through],MATCH(N1883,tblChannels[Channel ID],0)),0),"Watched","Unwatched"))</f>
        <v/>
      </c>
      <c r="C1883" s="40" t="n"/>
      <c r="D1883" s="41" t="n"/>
      <c r="E1883" s="42" t="n">
        <v>43564.43541666667</v>
      </c>
      <c r="F1883" s="53" t="inlineStr">
        <is>
          <t>Jonathan Carlin</t>
        </is>
      </c>
      <c r="G1883" t="inlineStr">
        <is>
          <t>SOUNDPROOFING MY LIFE</t>
        </is>
      </c>
      <c r="H1883" s="44" t="n">
        <v>0.00681712962962963</v>
      </c>
      <c r="I1883" s="45" t="n">
        <v>30553</v>
      </c>
      <c r="J1883" s="45" t="n">
        <v>1549</v>
      </c>
      <c r="K1883" s="45" t="n">
        <v>152</v>
      </c>
      <c r="L1883" s="46" t="n"/>
      <c r="M1883" s="47" t="n"/>
      <c r="N1883" s="47" t="inlineStr">
        <is>
          <t>UCYPKFe86e6nm4TVUYKLsFUQ</t>
        </is>
      </c>
      <c r="O1883" s="48" t="n">
        <v>43564.60208333333</v>
      </c>
      <c r="P1883" s="49" t="n">
        <v>43564</v>
      </c>
      <c r="Q1883" s="47" t="n">
        <v>1385</v>
      </c>
      <c r="R1883" s="47" t="inlineStr">
        <is>
          <t>No Video ID yet</t>
        </is>
      </c>
      <c r="S1883" s="49" t="n"/>
      <c r="T1883" s="49" t="n"/>
      <c r="U1883" s="47" t="inlineStr">
        <is>
          <t>This week we put up soundproofing... everywhere, also Luke makes a new friend!</t>
        </is>
      </c>
      <c r="V1883" s="47">
        <f>IF(AND(P1883&gt;=Calendar!$K$2,P1883&lt;EDATE(Calendar!$K$2,1),OR(Calendar!$K$4="*",N1883=Calendar!$K$4)),P1883*100+COUNTIFS($P$6:$P$3267,P1883,$Q$6:$Q$3267,"&lt;="&amp;Q1883,$N$6:$N$3267,Calendar!$K$4),"")</f>
        <v/>
      </c>
      <c r="W1883" s="47">
        <f>IF(AND(B1883=Queue!$C$4,OR(Queue!$K$4="*",N1883=Queue!$K$4)),Q1883,"")</f>
        <v/>
      </c>
    </row>
    <row r="1884">
      <c r="A1884" s="38">
        <f>IF(M1884="","",HYPERLINK("https://www.youtube.com/watch?v="&amp;M1884,"▶"))</f>
        <v/>
      </c>
      <c r="B1884" s="39">
        <f>IF(C1884&lt;&gt;"",C1884,IF(P1884&lt;=IFERROR(INDEX(tblChannels[Watched Through],MATCH(N1884,tblChannels[Channel ID],0)),0),"Watched","Unwatched"))</f>
        <v/>
      </c>
      <c r="C1884" s="40" t="n"/>
      <c r="D1884" s="41" t="n"/>
      <c r="E1884" s="42" t="n">
        <v>43563.68125</v>
      </c>
      <c r="F1884" s="52" t="inlineStr">
        <is>
          <t>Super Carlin Gaming</t>
        </is>
      </c>
      <c r="G1884" t="inlineStr">
        <is>
          <t>President Stepping On My Toes | Super Smash Bros #34</t>
        </is>
      </c>
      <c r="H1884" s="44" t="n">
        <v>0.01388888888888889</v>
      </c>
      <c r="I1884" s="45" t="n">
        <v>5620</v>
      </c>
      <c r="J1884" s="45" t="n">
        <v>242</v>
      </c>
      <c r="K1884" s="45" t="n">
        <v>60</v>
      </c>
      <c r="L1884" s="46" t="n"/>
      <c r="M1884" s="47" t="n"/>
      <c r="N1884" s="47" t="inlineStr">
        <is>
          <t>UCor_9jRnNNZVzTuQ92PKsaQ</t>
        </is>
      </c>
      <c r="O1884" s="48" t="n">
        <v>43563.84791666667</v>
      </c>
      <c r="P1884" s="49" t="n">
        <v>43563</v>
      </c>
      <c r="Q1884" s="47" t="n">
        <v>1384</v>
      </c>
      <c r="R1884" s="47" t="inlineStr">
        <is>
          <t>No Video ID yet</t>
        </is>
      </c>
      <c r="S1884" s="49" t="n"/>
      <c r="T1884" s="49" t="n"/>
      <c r="U1884" s="47" t="inlineStr">
        <is>
          <t>Can we beat our super charged Amiibo’s? J, Ben and DK take turns facing off against these mighty foes while answering your questions! If you want us to challenge your Amiibo, send it to the PO Box listed below!</t>
        </is>
      </c>
      <c r="V1884" s="47">
        <f>IF(AND(P1884&gt;=Calendar!$K$2,P1884&lt;EDATE(Calendar!$K$2,1),OR(Calendar!$K$4="*",N1884=Calendar!$K$4)),P1884*100+COUNTIFS($P$6:$P$3267,P1884,$Q$6:$Q$3267,"&lt;="&amp;Q1884,$N$6:$N$3267,Calendar!$K$4),"")</f>
        <v/>
      </c>
      <c r="W1884" s="47">
        <f>IF(AND(B1884=Queue!$C$4,OR(Queue!$K$4="*",N1884=Queue!$K$4)),Q1884,"")</f>
        <v/>
      </c>
    </row>
    <row r="1885">
      <c r="A1885" s="38">
        <f>IF(M1885="","",HYPERLINK("https://www.youtube.com/watch?v="&amp;M1885,"▶"))</f>
        <v/>
      </c>
      <c r="B1885" s="39">
        <f>IF(C1885&lt;&gt;"",C1885,IF(P1885&lt;=IFERROR(INDEX(tblChannels[Watched Through],MATCH(N1885,tblChannels[Channel ID],0)),0),"Watched","Unwatched"))</f>
        <v/>
      </c>
      <c r="C1885" s="40" t="n"/>
      <c r="D1885" s="41" t="n"/>
      <c r="E1885" s="42" t="n">
        <v>43560.4375</v>
      </c>
      <c r="F1885" s="52" t="inlineStr">
        <is>
          <t>Super Carlin Gaming</t>
        </is>
      </c>
      <c r="G1885" t="inlineStr">
        <is>
          <t>One Wrong Turn... |  Pokémon X Nuzlocke #6</t>
        </is>
      </c>
      <c r="H1885" s="44" t="n">
        <v>0.02780092592592593</v>
      </c>
      <c r="I1885" s="45" t="n">
        <v>42884</v>
      </c>
      <c r="J1885" s="45" t="n">
        <v>1265</v>
      </c>
      <c r="K1885" s="45" t="n">
        <v>635</v>
      </c>
      <c r="L1885" s="46" t="n"/>
      <c r="M1885" s="47" t="n"/>
      <c r="N1885" s="47" t="inlineStr">
        <is>
          <t>UCor_9jRnNNZVzTuQ92PKsaQ</t>
        </is>
      </c>
      <c r="O1885" s="48" t="n">
        <v>43560.60416666666</v>
      </c>
      <c r="P1885" s="49" t="n">
        <v>43560</v>
      </c>
      <c r="Q1885" s="47" t="n">
        <v>1383</v>
      </c>
      <c r="R1885" s="47" t="inlineStr">
        <is>
          <t>No Video ID yet</t>
        </is>
      </c>
      <c r="S1885" s="49" t="n"/>
      <c r="T1885" s="49" t="n"/>
      <c r="U1885" s="47" t="n"/>
      <c r="V1885" s="47">
        <f>IF(AND(P1885&gt;=Calendar!$K$2,P1885&lt;EDATE(Calendar!$K$2,1),OR(Calendar!$K$4="*",N1885=Calendar!$K$4)),P1885*100+COUNTIFS($P$6:$P$3267,P1885,$Q$6:$Q$3267,"&lt;="&amp;Q1885,$N$6:$N$3267,Calendar!$K$4),"")</f>
        <v/>
      </c>
      <c r="W1885" s="47">
        <f>IF(AND(B1885=Queue!$C$4,OR(Queue!$K$4="*",N1885=Queue!$K$4)),Q1885,"")</f>
        <v/>
      </c>
    </row>
    <row r="1886">
      <c r="A1886" s="38">
        <f>IF(M1886="","",HYPERLINK("https://www.youtube.com/watch?v="&amp;M1886,"▶"))</f>
        <v/>
      </c>
      <c r="B1886" s="39">
        <f>IF(C1886&lt;&gt;"",C1886,IF(P1886&lt;=IFERROR(INDEX(tblChannels[Watched Through],MATCH(N1886,tblChannels[Channel ID],0)),0),"Watched","Unwatched"))</f>
        <v/>
      </c>
      <c r="C1886" s="40" t="n"/>
      <c r="D1886" s="41" t="n"/>
      <c r="E1886" s="42" t="n">
        <v>43559.80833333333</v>
      </c>
      <c r="F1886" s="50" t="inlineStr">
        <is>
          <t>Super Carlin Brothers</t>
        </is>
      </c>
      <c r="G1886" t="inlineStr">
        <is>
          <t>J vs Ben: ULTIMATE Harry Potter Defense Against The Dark Arts Quiz</t>
        </is>
      </c>
      <c r="H1886" s="44" t="n">
        <v>0.02923611111111111</v>
      </c>
      <c r="I1886" s="45" t="n">
        <v>1238542</v>
      </c>
      <c r="J1886" s="45" t="n">
        <v>19748</v>
      </c>
      <c r="K1886" s="45" t="n">
        <v>3661</v>
      </c>
      <c r="L1886" s="46" t="n"/>
      <c r="M1886" s="47" t="n"/>
      <c r="N1886" s="47" t="inlineStr">
        <is>
          <t>UCKZo4N0lVPccBkSiuyVh4yg</t>
        </is>
      </c>
      <c r="O1886" s="48" t="n">
        <v>43559.975</v>
      </c>
      <c r="P1886" s="49" t="n">
        <v>43559</v>
      </c>
      <c r="Q1886" s="47" t="n">
        <v>1382</v>
      </c>
      <c r="R1886" s="47" t="inlineStr">
        <is>
          <t>No Video ID yet</t>
        </is>
      </c>
      <c r="S1886" s="49" t="n"/>
      <c r="T1886" s="49" t="n"/>
      <c r="U1886" s="47" t="inlineStr">
        <is>
          <t>Today J and Ben face off in the ULTIMATE Defense Against The Dark Arts Harry Potter Trivia Quiz to find out who knows more about surviving the darkness in the Wizarding World.</t>
        </is>
      </c>
      <c r="V1886" s="47">
        <f>IF(AND(P1886&gt;=Calendar!$K$2,P1886&lt;EDATE(Calendar!$K$2,1),OR(Calendar!$K$4="*",N1886=Calendar!$K$4)),P1886*100+COUNTIFS($P$6:$P$3267,P1886,$Q$6:$Q$3267,"&lt;="&amp;Q1886,$N$6:$N$3267,Calendar!$K$4),"")</f>
        <v/>
      </c>
      <c r="W1886" s="47">
        <f>IF(AND(B1886=Queue!$C$4,OR(Queue!$K$4="*",N1886=Queue!$K$4)),Q1886,"")</f>
        <v/>
      </c>
    </row>
    <row r="1887">
      <c r="A1887" s="38">
        <f>IF(M1887="","",HYPERLINK("https://www.youtube.com/watch?v="&amp;M1887,"▶"))</f>
        <v/>
      </c>
      <c r="B1887" s="39">
        <f>IF(C1887&lt;&gt;"",C1887,IF(P1887&lt;=IFERROR(INDEX(tblChannels[Watched Through],MATCH(N1887,tblChannels[Channel ID],0)),0),"Watched","Unwatched"))</f>
        <v/>
      </c>
      <c r="C1887" s="40" t="n"/>
      <c r="D1887" s="41" t="n"/>
      <c r="E1887" s="42" t="n">
        <v>43558.4375</v>
      </c>
      <c r="F1887" s="52" t="inlineStr">
        <is>
          <t>Super Carlin Gaming</t>
        </is>
      </c>
      <c r="G1887" t="inlineStr">
        <is>
          <t>HALT! |  Pokémon X Nuzlocke #5</t>
        </is>
      </c>
      <c r="H1887" s="44" t="n">
        <v>0.02866898148148148</v>
      </c>
      <c r="I1887" s="45" t="n">
        <v>49195</v>
      </c>
      <c r="J1887" s="45" t="n">
        <v>1297</v>
      </c>
      <c r="K1887" s="45" t="n">
        <v>545</v>
      </c>
      <c r="L1887" s="46" t="n"/>
      <c r="M1887" s="47" t="n"/>
      <c r="N1887" s="47" t="inlineStr">
        <is>
          <t>UCor_9jRnNNZVzTuQ92PKsaQ</t>
        </is>
      </c>
      <c r="O1887" s="48" t="n">
        <v>43558.60416666666</v>
      </c>
      <c r="P1887" s="49" t="n">
        <v>43558</v>
      </c>
      <c r="Q1887" s="47" t="n">
        <v>1381</v>
      </c>
      <c r="R1887" s="47" t="inlineStr">
        <is>
          <t>No Video ID yet</t>
        </is>
      </c>
      <c r="S1887" s="49" t="n"/>
      <c r="T1887" s="49" t="n"/>
      <c r="U1887" s="47" t="inlineStr">
        <is>
          <t>We get another starter pokemon! Who will it be?!</t>
        </is>
      </c>
      <c r="V1887" s="47">
        <f>IF(AND(P1887&gt;=Calendar!$K$2,P1887&lt;EDATE(Calendar!$K$2,1),OR(Calendar!$K$4="*",N1887=Calendar!$K$4)),P1887*100+COUNTIFS($P$6:$P$3267,P1887,$Q$6:$Q$3267,"&lt;="&amp;Q1887,$N$6:$N$3267,Calendar!$K$4),"")</f>
        <v/>
      </c>
      <c r="W1887" s="47">
        <f>IF(AND(B1887=Queue!$C$4,OR(Queue!$K$4="*",N1887=Queue!$K$4)),Q1887,"")</f>
        <v/>
      </c>
    </row>
    <row r="1888">
      <c r="A1888" s="38">
        <f>IF(M1888="","",HYPERLINK("https://www.youtube.com/watch?v="&amp;M1888,"▶"))</f>
        <v/>
      </c>
      <c r="B1888" s="39">
        <f>IF(C1888&lt;&gt;"",C1888,IF(P1888&lt;=IFERROR(INDEX(tblChannels[Watched Through],MATCH(N1888,tblChannels[Channel ID],0)),0),"Watched","Unwatched"))</f>
        <v/>
      </c>
      <c r="C1888" s="40" t="n"/>
      <c r="D1888" s="41" t="n"/>
      <c r="E1888" s="42" t="n">
        <v>43557.71805555555</v>
      </c>
      <c r="F1888" s="50" t="inlineStr">
        <is>
          <t>Super Carlin Brothers</t>
        </is>
      </c>
      <c r="G1888" t="inlineStr">
        <is>
          <t>Who Is The Real Captain Marvel? | SHAZAM Vs Captain Marvel</t>
        </is>
      </c>
      <c r="H1888" s="44" t="n">
        <v>0.008402777777777778</v>
      </c>
      <c r="I1888" s="45" t="n">
        <v>291933</v>
      </c>
      <c r="J1888" s="45" t="n">
        <v>10456</v>
      </c>
      <c r="K1888" s="45" t="n">
        <v>1573</v>
      </c>
      <c r="L1888" s="46" t="n"/>
      <c r="M1888" s="47" t="n"/>
      <c r="N1888" s="47" t="inlineStr">
        <is>
          <t>UCKZo4N0lVPccBkSiuyVh4yg</t>
        </is>
      </c>
      <c r="O1888" s="48" t="n">
        <v>43557.88472222222</v>
      </c>
      <c r="P1888" s="49" t="n">
        <v>43557</v>
      </c>
      <c r="Q1888" s="47" t="n">
        <v>1380</v>
      </c>
      <c r="R1888" s="47" t="inlineStr">
        <is>
          <t>No Video ID yet</t>
        </is>
      </c>
      <c r="S1888" s="49" t="n"/>
      <c r="T1888" s="49" t="n"/>
      <c r="U1888" s="47" t="inlineStr">
        <is>
          <t>Today J dives into the wonderful world of Marvel comics to get to the bottom of who actually owns the name "Captain Marvel" and why there seem to be so many versions of the characters out there - From Shazam to Carol Danvers we got you covered!</t>
        </is>
      </c>
      <c r="V1888" s="47">
        <f>IF(AND(P1888&gt;=Calendar!$K$2,P1888&lt;EDATE(Calendar!$K$2,1),OR(Calendar!$K$4="*",N1888=Calendar!$K$4)),P1888*100+COUNTIFS($P$6:$P$3267,P1888,$Q$6:$Q$3267,"&lt;="&amp;Q1888,$N$6:$N$3267,Calendar!$K$4),"")</f>
        <v/>
      </c>
      <c r="W1888" s="47">
        <f>IF(AND(B1888=Queue!$C$4,OR(Queue!$K$4="*",N1888=Queue!$K$4)),Q1888,"")</f>
        <v/>
      </c>
    </row>
    <row r="1889">
      <c r="A1889" s="38">
        <f>IF(M1889="","",HYPERLINK("https://www.youtube.com/watch?v="&amp;M1889,"▶"))</f>
        <v/>
      </c>
      <c r="B1889" s="39">
        <f>IF(C1889&lt;&gt;"",C1889,IF(P1889&lt;=IFERROR(INDEX(tblChannels[Watched Through],MATCH(N1889,tblChannels[Channel ID],0)),0),"Watched","Unwatched"))</f>
        <v/>
      </c>
      <c r="C1889" s="40" t="n"/>
      <c r="D1889" s="41" t="n"/>
      <c r="E1889" s="42" t="n">
        <v>43556.80555555555</v>
      </c>
      <c r="F1889" s="53" t="inlineStr">
        <is>
          <t>Jonathan Carlin</t>
        </is>
      </c>
      <c r="G1889" t="inlineStr">
        <is>
          <t>SCOTT IS RYAN REYNOLDS?</t>
        </is>
      </c>
      <c r="H1889" s="44" t="n">
        <v>0.003391203703703704</v>
      </c>
      <c r="I1889" s="45" t="n">
        <v>20694</v>
      </c>
      <c r="J1889" s="45" t="n">
        <v>1242</v>
      </c>
      <c r="K1889" s="45" t="n">
        <v>96</v>
      </c>
      <c r="L1889" s="46" t="n"/>
      <c r="M1889" s="47" t="n"/>
      <c r="N1889" s="47" t="inlineStr">
        <is>
          <t>UCYPKFe86e6nm4TVUYKLsFUQ</t>
        </is>
      </c>
      <c r="O1889" s="48" t="n">
        <v>43556.97222222222</v>
      </c>
      <c r="P1889" s="49" t="n">
        <v>43556</v>
      </c>
      <c r="Q1889" s="47" t="n">
        <v>1379</v>
      </c>
      <c r="R1889" s="47" t="inlineStr">
        <is>
          <t>No Video ID yet</t>
        </is>
      </c>
      <c r="S1889" s="49" t="n"/>
      <c r="T1889" s="49" t="n"/>
      <c r="U1889" s="47" t="inlineStr">
        <is>
          <t>This week J and Ben host their monthly Patreon Hangout, try out a Tiger Keg, and Scott does his AMAZING Ryan Reynolds Impression!</t>
        </is>
      </c>
      <c r="V1889" s="47">
        <f>IF(AND(P1889&gt;=Calendar!$K$2,P1889&lt;EDATE(Calendar!$K$2,1),OR(Calendar!$K$4="*",N1889=Calendar!$K$4)),P1889*100+COUNTIFS($P$6:$P$3267,P1889,$Q$6:$Q$3267,"&lt;="&amp;Q1889,$N$6:$N$3267,Calendar!$K$4),"")</f>
        <v/>
      </c>
      <c r="W1889" s="47">
        <f>IF(AND(B1889=Queue!$C$4,OR(Queue!$K$4="*",N1889=Queue!$K$4)),Q1889,"")</f>
        <v/>
      </c>
    </row>
    <row r="1890">
      <c r="A1890" s="38">
        <f>IF(M1890="","",HYPERLINK("https://www.youtube.com/watch?v="&amp;M1890,"▶"))</f>
        <v/>
      </c>
      <c r="B1890" s="39">
        <f>IF(C1890&lt;&gt;"",C1890,IF(P1890&lt;=IFERROR(INDEX(tblChannels[Watched Through],MATCH(N1890,tblChannels[Channel ID],0)),0),"Watched","Unwatched"))</f>
        <v/>
      </c>
      <c r="C1890" s="40" t="n"/>
      <c r="D1890" s="41" t="n"/>
      <c r="E1890" s="42" t="n">
        <v>43556.4375</v>
      </c>
      <c r="F1890" s="52" t="inlineStr">
        <is>
          <t>Super Carlin Gaming</t>
        </is>
      </c>
      <c r="G1890" t="inlineStr">
        <is>
          <t>Picking The Best Man |  Super Smash Bros #33</t>
        </is>
      </c>
      <c r="H1890" s="44" t="n">
        <v>0.01378472222222222</v>
      </c>
      <c r="I1890" s="45" t="n">
        <v>6318</v>
      </c>
      <c r="J1890" s="45" t="n">
        <v>273</v>
      </c>
      <c r="K1890" s="45" t="n">
        <v>59</v>
      </c>
      <c r="L1890" s="46" t="n"/>
      <c r="M1890" s="47" t="n"/>
      <c r="N1890" s="47" t="inlineStr">
        <is>
          <t>UCor_9jRnNNZVzTuQ92PKsaQ</t>
        </is>
      </c>
      <c r="O1890" s="48" t="n">
        <v>43556.60416666666</v>
      </c>
      <c r="P1890" s="49" t="n">
        <v>43556</v>
      </c>
      <c r="Q1890" s="47" t="n">
        <v>1378</v>
      </c>
      <c r="R1890" s="47" t="inlineStr">
        <is>
          <t>No Video ID yet</t>
        </is>
      </c>
      <c r="S1890" s="49" t="n"/>
      <c r="T1890" s="49" t="n"/>
      <c r="U1890" s="47" t="inlineStr">
        <is>
          <t>Super Smash Brothers Ultimate Can we beat our super charged Amiibo’s? J, Ben and DK take turns facing off against these mighty foes while answering your questions! If you want us to challenge your Amiibo, send it to the PO Box listed below!</t>
        </is>
      </c>
      <c r="V1890" s="47">
        <f>IF(AND(P1890&gt;=Calendar!$K$2,P1890&lt;EDATE(Calendar!$K$2,1),OR(Calendar!$K$4="*",N1890=Calendar!$K$4)),P1890*100+COUNTIFS($P$6:$P$3267,P1890,$Q$6:$Q$3267,"&lt;="&amp;Q1890,$N$6:$N$3267,Calendar!$K$4),"")</f>
        <v/>
      </c>
      <c r="W1890" s="47">
        <f>IF(AND(B1890=Queue!$C$4,OR(Queue!$K$4="*",N1890=Queue!$K$4)),Q1890,"")</f>
        <v/>
      </c>
    </row>
    <row r="1891">
      <c r="A1891" s="38">
        <f>IF(M1891="","",HYPERLINK("https://www.youtube.com/watch?v="&amp;M1891,"▶"))</f>
        <v/>
      </c>
      <c r="B1891" s="39">
        <f>IF(C1891&lt;&gt;"",C1891,IF(P1891&lt;=IFERROR(INDEX(tblChannels[Watched Through],MATCH(N1891,tblChannels[Channel ID],0)),0),"Watched","Unwatched"))</f>
        <v/>
      </c>
      <c r="C1891" s="40" t="n"/>
      <c r="D1891" s="41" t="n"/>
      <c r="E1891" s="42" t="n">
        <v>43553.43472222222</v>
      </c>
      <c r="F1891" s="52" t="inlineStr">
        <is>
          <t>Super Carlin Gaming</t>
        </is>
      </c>
      <c r="G1891" t="inlineStr">
        <is>
          <t>He's Evolving! |  Pokémon X Nuzlocke #4</t>
        </is>
      </c>
      <c r="H1891" s="44" t="n">
        <v>0.02460648148148148</v>
      </c>
      <c r="I1891" s="45" t="n">
        <v>53242</v>
      </c>
      <c r="J1891" s="45" t="n">
        <v>1397</v>
      </c>
      <c r="K1891" s="45" t="n">
        <v>941</v>
      </c>
      <c r="L1891" s="46" t="n"/>
      <c r="M1891" s="47" t="n"/>
      <c r="N1891" s="47" t="inlineStr">
        <is>
          <t>UCor_9jRnNNZVzTuQ92PKsaQ</t>
        </is>
      </c>
      <c r="O1891" s="48" t="n">
        <v>43553.60138888889</v>
      </c>
      <c r="P1891" s="49" t="n">
        <v>43553</v>
      </c>
      <c r="Q1891" s="47" t="n">
        <v>1377</v>
      </c>
      <c r="R1891" s="47" t="inlineStr">
        <is>
          <t>No Video ID yet</t>
        </is>
      </c>
      <c r="S1891" s="49" t="n"/>
      <c r="T1891" s="49" t="n"/>
      <c r="U1891" s="47" t="inlineStr">
        <is>
          <t>Today J and the team make their way to Lumiose City where another starter Pokemon awaits, but first they must battle their way through Route 4! Will the team survive their first encounter with fairies?!</t>
        </is>
      </c>
      <c r="V1891" s="47">
        <f>IF(AND(P1891&gt;=Calendar!$K$2,P1891&lt;EDATE(Calendar!$K$2,1),OR(Calendar!$K$4="*",N1891=Calendar!$K$4)),P1891*100+COUNTIFS($P$6:$P$3267,P1891,$Q$6:$Q$3267,"&lt;="&amp;Q1891,$N$6:$N$3267,Calendar!$K$4),"")</f>
        <v/>
      </c>
      <c r="W1891" s="47">
        <f>IF(AND(B1891=Queue!$C$4,OR(Queue!$K$4="*",N1891=Queue!$K$4)),Q1891,"")</f>
        <v/>
      </c>
    </row>
    <row r="1892">
      <c r="A1892" s="38">
        <f>IF(M1892="","",HYPERLINK("https://www.youtube.com/watch?v="&amp;M1892,"▶"))</f>
        <v/>
      </c>
      <c r="B1892" s="39">
        <f>IF(C1892&lt;&gt;"",C1892,IF(P1892&lt;=IFERROR(INDEX(tblChannels[Watched Through],MATCH(N1892,tblChannels[Channel ID],0)),0),"Watched","Unwatched"))</f>
        <v/>
      </c>
      <c r="C1892" s="40" t="n"/>
      <c r="D1892" s="41" t="n"/>
      <c r="E1892" s="42" t="n">
        <v>43552.82916666667</v>
      </c>
      <c r="F1892" s="50" t="inlineStr">
        <is>
          <t>Super Carlin Brothers</t>
        </is>
      </c>
      <c r="G1892" t="inlineStr">
        <is>
          <t>Star Wars Episode 9 LEAKED Poster Predictions</t>
        </is>
      </c>
      <c r="H1892" s="44" t="n">
        <v>0.009884259259259259</v>
      </c>
      <c r="I1892" s="45" t="n">
        <v>186368</v>
      </c>
      <c r="J1892" s="45" t="n">
        <v>6751</v>
      </c>
      <c r="K1892" s="45" t="n">
        <v>1189</v>
      </c>
      <c r="L1892" s="46" t="n"/>
      <c r="M1892" s="47" t="n"/>
      <c r="N1892" s="47" t="inlineStr">
        <is>
          <t>UCKZo4N0lVPccBkSiuyVh4yg</t>
        </is>
      </c>
      <c r="O1892" s="48" t="n">
        <v>43552.99583333333</v>
      </c>
      <c r="P1892" s="49" t="n">
        <v>43552</v>
      </c>
      <c r="Q1892" s="47" t="n">
        <v>1376</v>
      </c>
      <c r="R1892" s="47" t="inlineStr">
        <is>
          <t>No Video ID yet</t>
        </is>
      </c>
      <c r="S1892" s="49" t="n"/>
      <c r="T1892" s="49" t="n"/>
      <c r="U1892" s="47" t="inlineStr">
        <is>
          <t>Get 20% Off LootCrate :: Promo Code: CARLIN Today Ben dives into the Star Wars Universe to try and dissect a recently leaked poster Episode 9 Poster to make as many predictions about Rey, Kylo Ren, Princess Leia, The Knights of Ren and the rest of the movie as we can!</t>
        </is>
      </c>
      <c r="V1892" s="47">
        <f>IF(AND(P1892&gt;=Calendar!$K$2,P1892&lt;EDATE(Calendar!$K$2,1),OR(Calendar!$K$4="*",N1892=Calendar!$K$4)),P1892*100+COUNTIFS($P$6:$P$3267,P1892,$Q$6:$Q$3267,"&lt;="&amp;Q1892,$N$6:$N$3267,Calendar!$K$4),"")</f>
        <v/>
      </c>
      <c r="W1892" s="47">
        <f>IF(AND(B1892=Queue!$C$4,OR(Queue!$K$4="*",N1892=Queue!$K$4)),Q1892,"")</f>
        <v/>
      </c>
    </row>
    <row r="1893">
      <c r="A1893" s="38">
        <f>IF(M1893="","",HYPERLINK("https://www.youtube.com/watch?v="&amp;M1893,"▶"))</f>
        <v/>
      </c>
      <c r="B1893" s="39">
        <f>IF(C1893&lt;&gt;"",C1893,IF(P1893&lt;=IFERROR(INDEX(tblChannels[Watched Through],MATCH(N1893,tblChannels[Channel ID],0)),0),"Watched","Unwatched"))</f>
        <v/>
      </c>
      <c r="C1893" s="40" t="n"/>
      <c r="D1893" s="41" t="n"/>
      <c r="E1893" s="42" t="n">
        <v>43551.56458333333</v>
      </c>
      <c r="F1893" s="52" t="inlineStr">
        <is>
          <t>Super Carlin Gaming</t>
        </is>
      </c>
      <c r="G1893" t="inlineStr">
        <is>
          <t>The First Gym Battle | Pokémon X Nuzlocke #3</t>
        </is>
      </c>
      <c r="H1893" s="44" t="n">
        <v>0.03072916666666667</v>
      </c>
      <c r="I1893" s="45" t="n">
        <v>64358</v>
      </c>
      <c r="J1893" s="45" t="n">
        <v>1624</v>
      </c>
      <c r="K1893" s="45" t="n">
        <v>1182</v>
      </c>
      <c r="L1893" s="46" t="n"/>
      <c r="M1893" s="47" t="n"/>
      <c r="N1893" s="47" t="inlineStr">
        <is>
          <t>UCor_9jRnNNZVzTuQ92PKsaQ</t>
        </is>
      </c>
      <c r="O1893" s="48" t="n">
        <v>43551.73125</v>
      </c>
      <c r="P1893" s="49" t="n">
        <v>43551</v>
      </c>
      <c r="Q1893" s="47" t="n">
        <v>1375</v>
      </c>
      <c r="R1893" s="47" t="inlineStr">
        <is>
          <t>No Video ID yet</t>
        </is>
      </c>
      <c r="S1893" s="49" t="n"/>
      <c r="T1893" s="49" t="n"/>
      <c r="U1893" s="47" t="inlineStr">
        <is>
          <t>J and the team head to their first Gym Battle! Will the whole team make it? Also a new team member arrives!</t>
        </is>
      </c>
      <c r="V1893" s="47">
        <f>IF(AND(P1893&gt;=Calendar!$K$2,P1893&lt;EDATE(Calendar!$K$2,1),OR(Calendar!$K$4="*",N1893=Calendar!$K$4)),P1893*100+COUNTIFS($P$6:$P$3267,P1893,$Q$6:$Q$3267,"&lt;="&amp;Q1893,$N$6:$N$3267,Calendar!$K$4),"")</f>
        <v/>
      </c>
      <c r="W1893" s="47">
        <f>IF(AND(B1893=Queue!$C$4,OR(Queue!$K$4="*",N1893=Queue!$K$4)),Q1893,"")</f>
        <v/>
      </c>
    </row>
    <row r="1894">
      <c r="A1894" s="38">
        <f>IF(M1894="","",HYPERLINK("https://www.youtube.com/watch?v="&amp;M1894,"▶"))</f>
        <v/>
      </c>
      <c r="B1894" s="39">
        <f>IF(C1894&lt;&gt;"",C1894,IF(P1894&lt;=IFERROR(INDEX(tblChannels[Watched Through],MATCH(N1894,tblChannels[Channel ID],0)),0),"Watched","Unwatched"))</f>
        <v/>
      </c>
      <c r="C1894" s="40" t="n"/>
      <c r="D1894" s="41" t="n"/>
      <c r="E1894" s="42" t="n">
        <v>43550.71458333333</v>
      </c>
      <c r="F1894" s="50" t="inlineStr">
        <is>
          <t>Super Carlin Brothers</t>
        </is>
      </c>
      <c r="G1894" t="inlineStr">
        <is>
          <t>The Truth About DUKE CABOOM | Toy Story 4</t>
        </is>
      </c>
      <c r="H1894" s="44" t="n">
        <v>0.008310185185185184</v>
      </c>
      <c r="I1894" s="45" t="n">
        <v>360210</v>
      </c>
      <c r="J1894" s="45" t="n">
        <v>11195</v>
      </c>
      <c r="K1894" s="45" t="n">
        <v>830</v>
      </c>
      <c r="L1894" s="46" t="n"/>
      <c r="M1894" s="47" t="n"/>
      <c r="N1894" s="47" t="inlineStr">
        <is>
          <t>UCKZo4N0lVPccBkSiuyVh4yg</t>
        </is>
      </c>
      <c r="O1894" s="48" t="n">
        <v>43550.88125</v>
      </c>
      <c r="P1894" s="49" t="n">
        <v>43550</v>
      </c>
      <c r="Q1894" s="47" t="n">
        <v>1374</v>
      </c>
      <c r="R1894" s="47" t="inlineStr">
        <is>
          <t>No Video ID yet</t>
        </is>
      </c>
      <c r="S1894" s="49" t="n"/>
      <c r="T1894" s="49" t="n"/>
      <c r="U1894" s="47" t="inlineStr">
        <is>
          <t>Toy Story 4 Meet Up :: Sunday, June 30 | Washington, DC :: Today J dives into the world of Disney Pixar’s Toy Story to uncover the truth about the new character Duke Caboom and his real life daredevil counterpart Ken Carter aka The Mad Canadian. The Devil At Your Heels :: Failed St. Lawrence River Jump :: Heavyweight Podcast :: Shop Our Set ►►</t>
        </is>
      </c>
      <c r="V1894" s="47">
        <f>IF(AND(P1894&gt;=Calendar!$K$2,P1894&lt;EDATE(Calendar!$K$2,1),OR(Calendar!$K$4="*",N1894=Calendar!$K$4)),P1894*100+COUNTIFS($P$6:$P$3267,P1894,$Q$6:$Q$3267,"&lt;="&amp;Q1894,$N$6:$N$3267,Calendar!$K$4),"")</f>
        <v/>
      </c>
      <c r="W1894" s="47">
        <f>IF(AND(B1894=Queue!$C$4,OR(Queue!$K$4="*",N1894=Queue!$K$4)),Q1894,"")</f>
        <v/>
      </c>
    </row>
    <row r="1895">
      <c r="A1895" s="38">
        <f>IF(M1895="","",HYPERLINK("https://www.youtube.com/watch?v="&amp;M1895,"▶"))</f>
        <v/>
      </c>
      <c r="B1895" s="39">
        <f>IF(C1895&lt;&gt;"",C1895,IF(P1895&lt;=IFERROR(INDEX(tblChannels[Watched Through],MATCH(N1895,tblChannels[Channel ID],0)),0),"Watched","Unwatched"))</f>
        <v/>
      </c>
      <c r="C1895" s="40" t="n"/>
      <c r="D1895" s="41" t="n"/>
      <c r="E1895" s="42" t="n">
        <v>43549.58680555555</v>
      </c>
      <c r="F1895" s="52" t="inlineStr">
        <is>
          <t>Super Carlin Gaming</t>
        </is>
      </c>
      <c r="G1895" t="inlineStr">
        <is>
          <t>It Used To Be So Cute...  | Super Smash Bros #32</t>
        </is>
      </c>
      <c r="H1895" s="44" t="n">
        <v>0.01314814814814815</v>
      </c>
      <c r="I1895" s="45" t="n">
        <v>7398</v>
      </c>
      <c r="J1895" s="45" t="n">
        <v>359</v>
      </c>
      <c r="K1895" s="45" t="n">
        <v>86</v>
      </c>
      <c r="L1895" s="46" t="n"/>
      <c r="M1895" s="47" t="n"/>
      <c r="N1895" s="47" t="inlineStr">
        <is>
          <t>UCor_9jRnNNZVzTuQ92PKsaQ</t>
        </is>
      </c>
      <c r="O1895" s="48" t="n">
        <v>43549.75347222222</v>
      </c>
      <c r="P1895" s="49" t="n">
        <v>43549</v>
      </c>
      <c r="Q1895" s="47" t="n">
        <v>1373</v>
      </c>
      <c r="R1895" s="47" t="inlineStr">
        <is>
          <t>No Video ID yet</t>
        </is>
      </c>
      <c r="S1895" s="49" t="n"/>
      <c r="T1895" s="49" t="n"/>
      <c r="U1895" s="47" t="inlineStr">
        <is>
          <t>J, Ben, &amp; DK enter the Battlefield and work their way toward defeating Four level 9 computers at once with RANDOM CHARACTERS!!</t>
        </is>
      </c>
      <c r="V1895" s="47">
        <f>IF(AND(P1895&gt;=Calendar!$K$2,P1895&lt;EDATE(Calendar!$K$2,1),OR(Calendar!$K$4="*",N1895=Calendar!$K$4)),P1895*100+COUNTIFS($P$6:$P$3267,P1895,$Q$6:$Q$3267,"&lt;="&amp;Q1895,$N$6:$N$3267,Calendar!$K$4),"")</f>
        <v/>
      </c>
      <c r="W1895" s="47">
        <f>IF(AND(B1895=Queue!$C$4,OR(Queue!$K$4="*",N1895=Queue!$K$4)),Q1895,"")</f>
        <v/>
      </c>
    </row>
    <row r="1896">
      <c r="A1896" s="38">
        <f>IF(M1896="","",HYPERLINK("https://www.youtube.com/watch?v="&amp;M1896,"▶"))</f>
        <v/>
      </c>
      <c r="B1896" s="39">
        <f>IF(C1896&lt;&gt;"",C1896,IF(P1896&lt;=IFERROR(INDEX(tblChannels[Watched Through],MATCH(N1896,tblChannels[Channel ID],0)),0),"Watched","Unwatched"))</f>
        <v/>
      </c>
      <c r="C1896" s="40" t="n"/>
      <c r="D1896" s="41" t="n"/>
      <c r="E1896" s="42" t="n">
        <v>43549.48541666667</v>
      </c>
      <c r="F1896" s="53" t="inlineStr">
        <is>
          <t>Jonathan Carlin</t>
        </is>
      </c>
      <c r="G1896" t="inlineStr">
        <is>
          <t>Luke's First Haircut</t>
        </is>
      </c>
      <c r="H1896" s="44" t="n">
        <v>0.006064814814814815</v>
      </c>
      <c r="I1896" s="45" t="n">
        <v>30341</v>
      </c>
      <c r="J1896" s="45" t="n">
        <v>1548</v>
      </c>
      <c r="K1896" s="45" t="n">
        <v>127</v>
      </c>
      <c r="L1896" s="46" t="n"/>
      <c r="M1896" s="47" t="n"/>
      <c r="N1896" s="47" t="inlineStr">
        <is>
          <t>UCYPKFe86e6nm4TVUYKLsFUQ</t>
        </is>
      </c>
      <c r="O1896" s="48" t="n">
        <v>43549.65208333333</v>
      </c>
      <c r="P1896" s="49" t="n">
        <v>43549</v>
      </c>
      <c r="Q1896" s="47" t="n">
        <v>1372</v>
      </c>
      <c r="R1896" s="47" t="inlineStr">
        <is>
          <t>No Video ID yet</t>
        </is>
      </c>
      <c r="S1896" s="49" t="n"/>
      <c r="T1896" s="49" t="n"/>
      <c r="U1896" s="47" t="inlineStr">
        <is>
          <t>Just when you thought that kid couldnt get any cuter! Also we welcome Scott to the office with an epic dinner and Luke breaks my glasses..</t>
        </is>
      </c>
      <c r="V1896" s="47">
        <f>IF(AND(P1896&gt;=Calendar!$K$2,P1896&lt;EDATE(Calendar!$K$2,1),OR(Calendar!$K$4="*",N1896=Calendar!$K$4)),P1896*100+COUNTIFS($P$6:$P$3267,P1896,$Q$6:$Q$3267,"&lt;="&amp;Q1896,$N$6:$N$3267,Calendar!$K$4),"")</f>
        <v/>
      </c>
      <c r="W1896" s="47">
        <f>IF(AND(B1896=Queue!$C$4,OR(Queue!$K$4="*",N1896=Queue!$K$4)),Q1896,"")</f>
        <v/>
      </c>
    </row>
    <row r="1897">
      <c r="A1897" s="38">
        <f>IF(M1897="","",HYPERLINK("https://www.youtube.com/watch?v="&amp;M1897,"▶"))</f>
        <v/>
      </c>
      <c r="B1897" s="39">
        <f>IF(C1897&lt;&gt;"",C1897,IF(P1897&lt;=IFERROR(INDEX(tblChannels[Watched Through],MATCH(N1897,tblChannels[Channel ID],0)),0),"Watched","Unwatched"))</f>
        <v/>
      </c>
      <c r="C1897" s="40" t="n"/>
      <c r="D1897" s="41" t="n"/>
      <c r="E1897" s="42" t="n">
        <v>43546.71458333333</v>
      </c>
      <c r="F1897" s="52" t="inlineStr">
        <is>
          <t>Super Carlin Gaming</t>
        </is>
      </c>
      <c r="G1897" t="inlineStr">
        <is>
          <t>The First One... | Pokémon X Nuzlocke #2</t>
        </is>
      </c>
      <c r="H1897" s="44" t="n">
        <v>0.02568287037037037</v>
      </c>
      <c r="I1897" s="45" t="n">
        <v>75719</v>
      </c>
      <c r="J1897" s="45" t="n">
        <v>2002</v>
      </c>
      <c r="K1897" s="45" t="n">
        <v>904</v>
      </c>
      <c r="L1897" s="46" t="n"/>
      <c r="M1897" s="47" t="n"/>
      <c r="N1897" s="47" t="inlineStr">
        <is>
          <t>UCor_9jRnNNZVzTuQ92PKsaQ</t>
        </is>
      </c>
      <c r="O1897" s="48" t="n">
        <v>43546.88125</v>
      </c>
      <c r="P1897" s="49" t="n">
        <v>43546</v>
      </c>
      <c r="Q1897" s="47" t="n">
        <v>1371</v>
      </c>
      <c r="R1897" s="47" t="inlineStr">
        <is>
          <t>No Video ID yet</t>
        </is>
      </c>
      <c r="S1897" s="49" t="n"/>
      <c r="T1897" s="49" t="n"/>
      <c r="U1897" s="47" t="inlineStr">
        <is>
          <t>I never thought it would happen so quickly...</t>
        </is>
      </c>
      <c r="V1897" s="47">
        <f>IF(AND(P1897&gt;=Calendar!$K$2,P1897&lt;EDATE(Calendar!$K$2,1),OR(Calendar!$K$4="*",N1897=Calendar!$K$4)),P1897*100+COUNTIFS($P$6:$P$3267,P1897,$Q$6:$Q$3267,"&lt;="&amp;Q1897,$N$6:$N$3267,Calendar!$K$4),"")</f>
        <v/>
      </c>
      <c r="W1897" s="47">
        <f>IF(AND(B1897=Queue!$C$4,OR(Queue!$K$4="*",N1897=Queue!$K$4)),Q1897,"")</f>
        <v/>
      </c>
    </row>
    <row r="1898">
      <c r="A1898" s="38">
        <f>IF(M1898="","",HYPERLINK("https://www.youtube.com/watch?v="&amp;M1898,"▶"))</f>
        <v/>
      </c>
      <c r="B1898" s="39">
        <f>IF(C1898&lt;&gt;"",C1898,IF(P1898&lt;=IFERROR(INDEX(tblChannels[Watched Through],MATCH(N1898,tblChannels[Channel ID],0)),0),"Watched","Unwatched"))</f>
        <v/>
      </c>
      <c r="C1898" s="40" t="n"/>
      <c r="D1898" s="41" t="n"/>
      <c r="E1898" s="42" t="n">
        <v>43545.80763888889</v>
      </c>
      <c r="F1898" s="50" t="inlineStr">
        <is>
          <t>Super Carlin Brothers</t>
        </is>
      </c>
      <c r="G1898" t="inlineStr">
        <is>
          <t>Bo Peep Is The Villain In Toy Story 4? | Pixar Theory</t>
        </is>
      </c>
      <c r="H1898" s="44" t="n">
        <v>0.009421296296296296</v>
      </c>
      <c r="I1898" s="45" t="n">
        <v>847980</v>
      </c>
      <c r="J1898" s="45" t="n">
        <v>26039</v>
      </c>
      <c r="K1898" s="45" t="n">
        <v>4144</v>
      </c>
      <c r="L1898" s="46" t="n"/>
      <c r="M1898" s="47" t="n"/>
      <c r="N1898" s="47" t="inlineStr">
        <is>
          <t>UCKZo4N0lVPccBkSiuyVh4yg</t>
        </is>
      </c>
      <c r="O1898" s="48" t="n">
        <v>43545.97430555556</v>
      </c>
      <c r="P1898" s="49" t="n">
        <v>43545</v>
      </c>
      <c r="Q1898" s="47" t="n">
        <v>1370</v>
      </c>
      <c r="R1898" s="47" t="inlineStr">
        <is>
          <t>No Video ID yet</t>
        </is>
      </c>
      <c r="S1898" s="49" t="n"/>
      <c r="T1898" s="49" t="n"/>
      <c r="U1898" s="47" t="inlineStr">
        <is>
          <t>Today Ben dives into the world of Disney Pixar’s Toy Story to break down the latest trailer for Toy Story 4 and try and determine if our beloved Bo Peep is actually a Wolf in Sheep’s clothing! The SCB 2019 Meet Up Schedule: Saturday, April 27 | Blacksburg, VA | Avengers: Endgame Sunday, June 30 | Washington, DC | Toy Story 4 Saturday, July 20 | Chicago, IL | The Lion King Saturday, November 23 | Salt Lake City, UT | Frozen 2</t>
        </is>
      </c>
      <c r="V1898" s="47">
        <f>IF(AND(P1898&gt;=Calendar!$K$2,P1898&lt;EDATE(Calendar!$K$2,1),OR(Calendar!$K$4="*",N1898=Calendar!$K$4)),P1898*100+COUNTIFS($P$6:$P$3267,P1898,$Q$6:$Q$3267,"&lt;="&amp;Q1898,$N$6:$N$3267,Calendar!$K$4),"")</f>
        <v/>
      </c>
      <c r="W1898" s="47">
        <f>IF(AND(B1898=Queue!$C$4,OR(Queue!$K$4="*",N1898=Queue!$K$4)),Q1898,"")</f>
        <v/>
      </c>
    </row>
    <row r="1899">
      <c r="A1899" s="38">
        <f>IF(M1899="","",HYPERLINK("https://www.youtube.com/watch?v="&amp;M1899,"▶"))</f>
        <v/>
      </c>
      <c r="B1899" s="39">
        <f>IF(C1899&lt;&gt;"",C1899,IF(P1899&lt;=IFERROR(INDEX(tblChannels[Watched Through],MATCH(N1899,tblChannels[Channel ID],0)),0),"Watched","Unwatched"))</f>
        <v/>
      </c>
      <c r="C1899" s="40" t="n"/>
      <c r="D1899" s="41" t="n"/>
      <c r="E1899" s="42" t="n">
        <v>43544.43541666667</v>
      </c>
      <c r="F1899" s="52" t="inlineStr">
        <is>
          <t>Super Carlin Gaming</t>
        </is>
      </c>
      <c r="G1899" t="inlineStr">
        <is>
          <t>Luke Chooses Our Starter | Pokémon X Nuzlocke #1</t>
        </is>
      </c>
      <c r="H1899" s="44" t="n">
        <v>0.02041666666666667</v>
      </c>
      <c r="I1899" s="45" t="n">
        <v>164610</v>
      </c>
      <c r="J1899" s="45" t="n">
        <v>4157</v>
      </c>
      <c r="K1899" s="45" t="n">
        <v>2146</v>
      </c>
      <c r="L1899" s="46" t="n"/>
      <c r="M1899" s="47" t="n"/>
      <c r="N1899" s="47" t="inlineStr">
        <is>
          <t>UCor_9jRnNNZVzTuQ92PKsaQ</t>
        </is>
      </c>
      <c r="O1899" s="48" t="n">
        <v>43544.60208333333</v>
      </c>
      <c r="P1899" s="49" t="n">
        <v>43544</v>
      </c>
      <c r="Q1899" s="47" t="n">
        <v>1369</v>
      </c>
      <c r="R1899" s="47" t="inlineStr">
        <is>
          <t>No Video ID yet</t>
        </is>
      </c>
      <c r="S1899" s="49" t="n"/>
      <c r="T1899" s="49" t="n"/>
      <c r="U1899" s="47" t="inlineStr">
        <is>
          <t>Welcome everyone to a brand new season of the Nuzlocke Challenge! Today Luke picks our starter pokemon and we begin our journey by catching at least one new friend!</t>
        </is>
      </c>
      <c r="V1899" s="47">
        <f>IF(AND(P1899&gt;=Calendar!$K$2,P1899&lt;EDATE(Calendar!$K$2,1),OR(Calendar!$K$4="*",N1899=Calendar!$K$4)),P1899*100+COUNTIFS($P$6:$P$3267,P1899,$Q$6:$Q$3267,"&lt;="&amp;Q1899,$N$6:$N$3267,Calendar!$K$4),"")</f>
        <v/>
      </c>
      <c r="W1899" s="47">
        <f>IF(AND(B1899=Queue!$C$4,OR(Queue!$K$4="*",N1899=Queue!$K$4)),Q1899,"")</f>
        <v/>
      </c>
    </row>
    <row r="1900">
      <c r="A1900" s="38">
        <f>IF(M1900="","",HYPERLINK("https://www.youtube.com/watch?v="&amp;M1900,"▶"))</f>
        <v/>
      </c>
      <c r="B1900" s="39">
        <f>IF(C1900&lt;&gt;"",C1900,IF(P1900&lt;=IFERROR(INDEX(tblChannels[Watched Through],MATCH(N1900,tblChannels[Channel ID],0)),0),"Watched","Unwatched"))</f>
        <v/>
      </c>
      <c r="C1900" s="40" t="n"/>
      <c r="D1900" s="41" t="n"/>
      <c r="E1900" s="42" t="n">
        <v>43543.87430555555</v>
      </c>
      <c r="F1900" s="50" t="inlineStr">
        <is>
          <t>Super Carlin Brothers</t>
        </is>
      </c>
      <c r="G1900" t="inlineStr">
        <is>
          <t>How Endgame Will End | The Quantum Resource Theory</t>
        </is>
      </c>
      <c r="H1900" s="44" t="n">
        <v>0.01061342592592593</v>
      </c>
      <c r="I1900" s="45" t="n">
        <v>524309</v>
      </c>
      <c r="J1900" s="45" t="n">
        <v>19895</v>
      </c>
      <c r="K1900" s="45" t="n">
        <v>2546</v>
      </c>
      <c r="L1900" s="46" t="n"/>
      <c r="M1900" s="47" t="n"/>
      <c r="N1900" s="47" t="inlineStr">
        <is>
          <t>UCKZo4N0lVPccBkSiuyVh4yg</t>
        </is>
      </c>
      <c r="O1900" s="48" t="n">
        <v>43544.04097222222</v>
      </c>
      <c r="P1900" s="49" t="n">
        <v>43543</v>
      </c>
      <c r="Q1900" s="47" t="n">
        <v>1368</v>
      </c>
      <c r="R1900" s="47" t="inlineStr">
        <is>
          <t>No Video ID yet</t>
        </is>
      </c>
      <c r="S1900" s="49" t="n"/>
      <c r="T1900" s="49" t="n"/>
      <c r="U1900" s="47" t="inlineStr">
        <is>
          <t>Get 15% off your Vincero Watch! :: Promo Code: SCB Today J dives into the MCU to breakdown the latest trailer for Avengers Endgame to explain the Quantum Resources Theory and determine what the Avengers new Quantum suits might be used for.</t>
        </is>
      </c>
      <c r="V1900" s="47">
        <f>IF(AND(P1900&gt;=Calendar!$K$2,P1900&lt;EDATE(Calendar!$K$2,1),OR(Calendar!$K$4="*",N1900=Calendar!$K$4)),P1900*100+COUNTIFS($P$6:$P$3267,P1900,$Q$6:$Q$3267,"&lt;="&amp;Q1900,$N$6:$N$3267,Calendar!$K$4),"")</f>
        <v/>
      </c>
      <c r="W1900" s="47">
        <f>IF(AND(B1900=Queue!$C$4,OR(Queue!$K$4="*",N1900=Queue!$K$4)),Q1900,"")</f>
        <v/>
      </c>
    </row>
    <row r="1901">
      <c r="A1901" s="38">
        <f>IF(M1901="","",HYPERLINK("https://www.youtube.com/watch?v="&amp;M1901,"▶"))</f>
        <v/>
      </c>
      <c r="B1901" s="39">
        <f>IF(C1901&lt;&gt;"",C1901,IF(P1901&lt;=IFERROR(INDEX(tblChannels[Watched Through],MATCH(N1901,tblChannels[Channel ID],0)),0),"Watched","Unwatched"))</f>
        <v/>
      </c>
      <c r="C1901" s="40" t="n"/>
      <c r="D1901" s="41" t="n"/>
      <c r="E1901" s="42" t="n">
        <v>43542.69236111111</v>
      </c>
      <c r="F1901" s="53" t="inlineStr">
        <is>
          <t>Jonathan Carlin</t>
        </is>
      </c>
      <c r="G1901" t="inlineStr">
        <is>
          <t>GLAMPING IN ASHEVILLE</t>
        </is>
      </c>
      <c r="H1901" s="44" t="n">
        <v>0.006770833333333334</v>
      </c>
      <c r="I1901" s="45" t="n">
        <v>26661</v>
      </c>
      <c r="J1901" s="45" t="n">
        <v>1412</v>
      </c>
      <c r="K1901" s="45" t="n">
        <v>186</v>
      </c>
      <c r="L1901" s="46" t="n"/>
      <c r="M1901" s="47" t="n"/>
      <c r="N1901" s="47" t="inlineStr">
        <is>
          <t>UCYPKFe86e6nm4TVUYKLsFUQ</t>
        </is>
      </c>
      <c r="O1901" s="48" t="n">
        <v>43542.85902777778</v>
      </c>
      <c r="P1901" s="49" t="n">
        <v>43542</v>
      </c>
      <c r="Q1901" s="47" t="n">
        <v>1367</v>
      </c>
      <c r="R1901" s="47" t="inlineStr">
        <is>
          <t>No Video ID yet</t>
        </is>
      </c>
      <c r="S1901" s="49" t="n"/>
      <c r="T1901" s="49" t="n"/>
      <c r="U1901" s="47" t="inlineStr">
        <is>
          <t>This week J, Beth, Ben, Alyce and some friends go Glamping in Asheville, NC and visit the Sierra Nevada Brewery, the New Belgium Brewery and the Biltmore!</t>
        </is>
      </c>
      <c r="V1901" s="47">
        <f>IF(AND(P1901&gt;=Calendar!$K$2,P1901&lt;EDATE(Calendar!$K$2,1),OR(Calendar!$K$4="*",N1901=Calendar!$K$4)),P1901*100+COUNTIFS($P$6:$P$3267,P1901,$Q$6:$Q$3267,"&lt;="&amp;Q1901,$N$6:$N$3267,Calendar!$K$4),"")</f>
        <v/>
      </c>
      <c r="W1901" s="47">
        <f>IF(AND(B1901=Queue!$C$4,OR(Queue!$K$4="*",N1901=Queue!$K$4)),Q1901,"")</f>
        <v/>
      </c>
    </row>
    <row r="1902">
      <c r="A1902" s="38">
        <f>IF(M1902="","",HYPERLINK("https://www.youtube.com/watch?v="&amp;M1902,"▶"))</f>
        <v/>
      </c>
      <c r="B1902" s="39">
        <f>IF(C1902&lt;&gt;"",C1902,IF(P1902&lt;=IFERROR(INDEX(tblChannels[Watched Through],MATCH(N1902,tblChannels[Channel ID],0)),0),"Watched","Unwatched"))</f>
        <v/>
      </c>
      <c r="C1902" s="40" t="n"/>
      <c r="D1902" s="41" t="n"/>
      <c r="E1902" s="42" t="n">
        <v>43542.63680555556</v>
      </c>
      <c r="F1902" s="52" t="inlineStr">
        <is>
          <t>Super Carlin Gaming</t>
        </is>
      </c>
      <c r="G1902" t="inlineStr">
        <is>
          <t>The Stinky Co-Worker | Super Smash Bros #31</t>
        </is>
      </c>
      <c r="H1902" s="44" t="n">
        <v>0.01849537037037037</v>
      </c>
      <c r="I1902" s="45" t="n">
        <v>7700</v>
      </c>
      <c r="J1902" s="45" t="n">
        <v>333</v>
      </c>
      <c r="K1902" s="45" t="n">
        <v>83</v>
      </c>
      <c r="L1902" s="46" t="n"/>
      <c r="M1902" s="47" t="n"/>
      <c r="N1902" s="47" t="inlineStr">
        <is>
          <t>UCor_9jRnNNZVzTuQ92PKsaQ</t>
        </is>
      </c>
      <c r="O1902" s="48" t="n">
        <v>43542.80347222222</v>
      </c>
      <c r="P1902" s="49" t="n">
        <v>43542</v>
      </c>
      <c r="Q1902" s="47" t="n">
        <v>1366</v>
      </c>
      <c r="R1902" s="47" t="inlineStr">
        <is>
          <t>No Video ID yet</t>
        </is>
      </c>
      <c r="S1902" s="49" t="n"/>
      <c r="T1902" s="49" t="n"/>
      <c r="U1902" s="47" t="inlineStr">
        <is>
          <t>J, Ben, &amp; DK enter the Battlefield and work their way toward defeating Four level 9 computers at once with RANDOM CHARACTERS!!</t>
        </is>
      </c>
      <c r="V1902" s="47">
        <f>IF(AND(P1902&gt;=Calendar!$K$2,P1902&lt;EDATE(Calendar!$K$2,1),OR(Calendar!$K$4="*",N1902=Calendar!$K$4)),P1902*100+COUNTIFS($P$6:$P$3267,P1902,$Q$6:$Q$3267,"&lt;="&amp;Q1902,$N$6:$N$3267,Calendar!$K$4),"")</f>
        <v/>
      </c>
      <c r="W1902" s="47">
        <f>IF(AND(B1902=Queue!$C$4,OR(Queue!$K$4="*",N1902=Queue!$K$4)),Q1902,"")</f>
        <v/>
      </c>
    </row>
    <row r="1903">
      <c r="A1903" s="38">
        <f>IF(M1903="","",HYPERLINK("https://www.youtube.com/watch?v="&amp;M1903,"▶"))</f>
        <v/>
      </c>
      <c r="B1903" s="39">
        <f>IF(C1903&lt;&gt;"",C1903,IF(P1903&lt;=IFERROR(INDEX(tblChannels[Watched Through],MATCH(N1903,tblChannels[Channel ID],0)),0),"Watched","Unwatched"))</f>
        <v/>
      </c>
      <c r="C1903" s="40" t="n"/>
      <c r="D1903" s="41" t="n"/>
      <c r="E1903" s="42" t="n">
        <v>43539.67916666667</v>
      </c>
      <c r="F1903" s="52" t="inlineStr">
        <is>
          <t>Super Carlin Gaming</t>
        </is>
      </c>
      <c r="G1903" t="inlineStr">
        <is>
          <t>Is My Girlfriend Good Enough For Me? | Super Smash Bros #30</t>
        </is>
      </c>
      <c r="H1903" s="44" t="n">
        <v>0.009537037037037037</v>
      </c>
      <c r="I1903" s="45" t="n">
        <v>6555</v>
      </c>
      <c r="J1903" s="45" t="n">
        <v>324</v>
      </c>
      <c r="K1903" s="45" t="n">
        <v>68</v>
      </c>
      <c r="L1903" s="46" t="n"/>
      <c r="M1903" s="47" t="n"/>
      <c r="N1903" s="47" t="inlineStr">
        <is>
          <t>UCor_9jRnNNZVzTuQ92PKsaQ</t>
        </is>
      </c>
      <c r="O1903" s="48" t="n">
        <v>43539.84583333333</v>
      </c>
      <c r="P1903" s="49" t="n">
        <v>43539</v>
      </c>
      <c r="Q1903" s="47" t="n">
        <v>1365</v>
      </c>
      <c r="R1903" s="47" t="inlineStr">
        <is>
          <t>No Video ID yet</t>
        </is>
      </c>
      <c r="S1903" s="49" t="n"/>
      <c r="T1903" s="49" t="n"/>
      <c r="U1903" s="47" t="n"/>
      <c r="V1903" s="47">
        <f>IF(AND(P1903&gt;=Calendar!$K$2,P1903&lt;EDATE(Calendar!$K$2,1),OR(Calendar!$K$4="*",N1903=Calendar!$K$4)),P1903*100+COUNTIFS($P$6:$P$3267,P1903,$Q$6:$Q$3267,"&lt;="&amp;Q1903,$N$6:$N$3267,Calendar!$K$4),"")</f>
        <v/>
      </c>
      <c r="W1903" s="47">
        <f>IF(AND(B1903=Queue!$C$4,OR(Queue!$K$4="*",N1903=Queue!$K$4)),Q1903,"")</f>
        <v/>
      </c>
    </row>
    <row r="1904">
      <c r="A1904" s="38">
        <f>IF(M1904="","",HYPERLINK("https://www.youtube.com/watch?v="&amp;M1904,"▶"))</f>
        <v/>
      </c>
      <c r="B1904" s="39">
        <f>IF(C1904&lt;&gt;"",C1904,IF(P1904&lt;=IFERROR(INDEX(tblChannels[Watched Through],MATCH(N1904,tblChannels[Channel ID],0)),0),"Watched","Unwatched"))</f>
        <v/>
      </c>
      <c r="C1904" s="40" t="n"/>
      <c r="D1904" s="41" t="n"/>
      <c r="E1904" s="42" t="n">
        <v>43538.75277777778</v>
      </c>
      <c r="F1904" s="50" t="inlineStr">
        <is>
          <t>Super Carlin Brothers</t>
        </is>
      </c>
      <c r="G1904" t="inlineStr">
        <is>
          <t>Why Didn’t Nick Fury Call Captain Marvel Earlier? | Marvel Theory</t>
        </is>
      </c>
      <c r="H1904" s="44" t="n">
        <v>0.008171296296296296</v>
      </c>
      <c r="I1904" s="45" t="n">
        <v>461543</v>
      </c>
      <c r="J1904" s="45" t="n">
        <v>16359</v>
      </c>
      <c r="K1904" s="45" t="n">
        <v>1836</v>
      </c>
      <c r="L1904" s="46" t="n"/>
      <c r="M1904" s="47" t="n"/>
      <c r="N1904" s="47" t="inlineStr">
        <is>
          <t>UCKZo4N0lVPccBkSiuyVh4yg</t>
        </is>
      </c>
      <c r="O1904" s="48" t="n">
        <v>43538.91944444444</v>
      </c>
      <c r="P1904" s="49" t="n">
        <v>43538</v>
      </c>
      <c r="Q1904" s="47" t="n">
        <v>1364</v>
      </c>
      <c r="R1904" s="47" t="inlineStr">
        <is>
          <t>No Video ID yet</t>
        </is>
      </c>
      <c r="S1904" s="49" t="n"/>
      <c r="T1904" s="49" t="n"/>
      <c r="U1904" s="47" t="inlineStr">
        <is>
          <t>Go to or text SCB to 500-500 to get a free book, 2 free Audible Originals, and a 30 day free trial! Today Ben dives into the MCU to try and answer the big question we all had walking out of Captain Marvel: If Nick Fury had that beeper the whole time.. Why didnt he call her earlier?</t>
        </is>
      </c>
      <c r="V1904" s="47">
        <f>IF(AND(P1904&gt;=Calendar!$K$2,P1904&lt;EDATE(Calendar!$K$2,1),OR(Calendar!$K$4="*",N1904=Calendar!$K$4)),P1904*100+COUNTIFS($P$6:$P$3267,P1904,$Q$6:$Q$3267,"&lt;="&amp;Q1904,$N$6:$N$3267,Calendar!$K$4),"")</f>
        <v/>
      </c>
      <c r="W1904" s="47">
        <f>IF(AND(B1904=Queue!$C$4,OR(Queue!$K$4="*",N1904=Queue!$K$4)),Q1904,"")</f>
        <v/>
      </c>
    </row>
    <row r="1905">
      <c r="A1905" s="38">
        <f>IF(M1905="","",HYPERLINK("https://www.youtube.com/watch?v="&amp;M1905,"▶"))</f>
        <v/>
      </c>
      <c r="B1905" s="39">
        <f>IF(C1905&lt;&gt;"",C1905,IF(P1905&lt;=IFERROR(INDEX(tblChannels[Watched Through],MATCH(N1905,tblChannels[Channel ID],0)),0),"Watched","Unwatched"))</f>
        <v/>
      </c>
      <c r="C1905" s="40" t="n"/>
      <c r="D1905" s="41" t="n"/>
      <c r="E1905" s="42" t="n">
        <v>43537.4375</v>
      </c>
      <c r="F1905" s="52" t="inlineStr">
        <is>
          <t>Super Carlin Gaming</t>
        </is>
      </c>
      <c r="G1905" t="inlineStr">
        <is>
          <t>Prom as a First Date? | Super Smash Bros #29</t>
        </is>
      </c>
      <c r="H1905" s="44" t="n">
        <v>0.009305555555555555</v>
      </c>
      <c r="I1905" s="45" t="n">
        <v>6331</v>
      </c>
      <c r="J1905" s="45" t="n">
        <v>283</v>
      </c>
      <c r="K1905" s="45" t="n">
        <v>70</v>
      </c>
      <c r="L1905" s="46" t="n"/>
      <c r="M1905" s="47" t="n"/>
      <c r="N1905" s="47" t="inlineStr">
        <is>
          <t>UCor_9jRnNNZVzTuQ92PKsaQ</t>
        </is>
      </c>
      <c r="O1905" s="48" t="n">
        <v>43537.60416666666</v>
      </c>
      <c r="P1905" s="49" t="n">
        <v>43537</v>
      </c>
      <c r="Q1905" s="47" t="n">
        <v>1363</v>
      </c>
      <c r="R1905" s="47" t="inlineStr">
        <is>
          <t>No Video ID yet</t>
        </is>
      </c>
      <c r="S1905" s="49" t="n"/>
      <c r="T1905" s="49" t="n"/>
      <c r="U1905" s="47" t="inlineStr">
        <is>
          <t>J, Ben, &amp; DK enter the Battlefield and work their way toward defeating FOUR level 9 computers at once!</t>
        </is>
      </c>
      <c r="V1905" s="47">
        <f>IF(AND(P1905&gt;=Calendar!$K$2,P1905&lt;EDATE(Calendar!$K$2,1),OR(Calendar!$K$4="*",N1905=Calendar!$K$4)),P1905*100+COUNTIFS($P$6:$P$3267,P1905,$Q$6:$Q$3267,"&lt;="&amp;Q1905,$N$6:$N$3267,Calendar!$K$4),"")</f>
        <v/>
      </c>
      <c r="W1905" s="47">
        <f>IF(AND(B1905=Queue!$C$4,OR(Queue!$K$4="*",N1905=Queue!$K$4)),Q1905,"")</f>
        <v/>
      </c>
    </row>
    <row r="1906">
      <c r="A1906" s="38">
        <f>IF(M1906="","",HYPERLINK("https://www.youtube.com/watch?v="&amp;M1906,"▶"))</f>
        <v/>
      </c>
      <c r="B1906" s="39">
        <f>IF(C1906&lt;&gt;"",C1906,IF(P1906&lt;=IFERROR(INDEX(tblChannels[Watched Through],MATCH(N1906,tblChannels[Channel ID],0)),0),"Watched","Unwatched"))</f>
        <v/>
      </c>
      <c r="C1906" s="40" t="n"/>
      <c r="D1906" s="41" t="n"/>
      <c r="E1906" s="42" t="n">
        <v>43536.71736111111</v>
      </c>
      <c r="F1906" s="50" t="inlineStr">
        <is>
          <t>Super Carlin Brothers</t>
        </is>
      </c>
      <c r="G1906" t="inlineStr">
        <is>
          <t>Which Avenger Is A Skrull? | Marvel Theory</t>
        </is>
      </c>
      <c r="H1906" s="44" t="n">
        <v>0.007395833333333333</v>
      </c>
      <c r="I1906" s="45" t="n">
        <v>323421</v>
      </c>
      <c r="J1906" s="45" t="n">
        <v>10408</v>
      </c>
      <c r="K1906" s="45" t="n">
        <v>2393</v>
      </c>
      <c r="L1906" s="46" t="n"/>
      <c r="M1906" s="47" t="n"/>
      <c r="N1906" s="47" t="inlineStr">
        <is>
          <t>UCKZo4N0lVPccBkSiuyVh4yg</t>
        </is>
      </c>
      <c r="O1906" s="48" t="n">
        <v>43536.88402777778</v>
      </c>
      <c r="P1906" s="49" t="n">
        <v>43536</v>
      </c>
      <c r="Q1906" s="47" t="n">
        <v>1362</v>
      </c>
      <c r="R1906" s="47" t="inlineStr">
        <is>
          <t>No Video ID yet</t>
        </is>
      </c>
      <c r="S1906" s="49" t="n"/>
      <c r="T1906" s="49" t="n"/>
      <c r="U1906" s="47" t="inlineStr">
        <is>
          <t>The SCB 2019 Meet Up Schedule: Saturday, April 27 | Blacksburg, VA | Avengers: Endgame Sunday, June 30 | Washington, DC | Toy Story 4 Saturday, July 20 | Chicago, IL | The Lion King Saturday, November 23 | Salt Lake City, UT | Frozen 2 Today J dives into the Marvel Cinematic Universe to try and uncover which of the Avengers is most likely to be a Skrull from Captain Marvel!</t>
        </is>
      </c>
      <c r="V1906" s="47">
        <f>IF(AND(P1906&gt;=Calendar!$K$2,P1906&lt;EDATE(Calendar!$K$2,1),OR(Calendar!$K$4="*",N1906=Calendar!$K$4)),P1906*100+COUNTIFS($P$6:$P$3267,P1906,$Q$6:$Q$3267,"&lt;="&amp;Q1906,$N$6:$N$3267,Calendar!$K$4),"")</f>
        <v/>
      </c>
      <c r="W1906" s="47">
        <f>IF(AND(B1906=Queue!$C$4,OR(Queue!$K$4="*",N1906=Queue!$K$4)),Q1906,"")</f>
        <v/>
      </c>
    </row>
    <row r="1907">
      <c r="A1907" s="38">
        <f>IF(M1907="","",HYPERLINK("https://www.youtube.com/watch?v="&amp;M1907,"▶"))</f>
        <v/>
      </c>
      <c r="B1907" s="39">
        <f>IF(C1907&lt;&gt;"",C1907,IF(P1907&lt;=IFERROR(INDEX(tblChannels[Watched Through],MATCH(N1907,tblChannels[Channel ID],0)),0),"Watched","Unwatched"))</f>
        <v/>
      </c>
      <c r="C1907" s="40" t="n"/>
      <c r="D1907" s="41" t="n"/>
      <c r="E1907" s="42" t="n">
        <v>43535.69236111111</v>
      </c>
      <c r="F1907" s="52" t="inlineStr">
        <is>
          <t>Super Carlin Gaming</t>
        </is>
      </c>
      <c r="G1907" t="inlineStr">
        <is>
          <t>Where to Study Abroad? | Super Smash Bros #28</t>
        </is>
      </c>
      <c r="H1907" s="44" t="n">
        <v>0.01435185185185185</v>
      </c>
      <c r="I1907" s="45" t="n">
        <v>6233</v>
      </c>
      <c r="J1907" s="45" t="n">
        <v>288</v>
      </c>
      <c r="K1907" s="45" t="n">
        <v>91</v>
      </c>
      <c r="L1907" s="46" t="n"/>
      <c r="M1907" s="47" t="n"/>
      <c r="N1907" s="47" t="inlineStr">
        <is>
          <t>UCor_9jRnNNZVzTuQ92PKsaQ</t>
        </is>
      </c>
      <c r="O1907" s="48" t="n">
        <v>43535.85902777778</v>
      </c>
      <c r="P1907" s="49" t="n">
        <v>43535</v>
      </c>
      <c r="Q1907" s="47" t="n">
        <v>1361</v>
      </c>
      <c r="R1907" s="47" t="inlineStr">
        <is>
          <t>No Video ID yet</t>
        </is>
      </c>
      <c r="S1907" s="49" t="n"/>
      <c r="T1907" s="49" t="n"/>
      <c r="U1907" s="47" t="inlineStr">
        <is>
          <t>J, Ben, &amp; DK enter the Battlefield and work their way toward defeating FOUR level 9 computers at once!</t>
        </is>
      </c>
      <c r="V1907" s="47">
        <f>IF(AND(P1907&gt;=Calendar!$K$2,P1907&lt;EDATE(Calendar!$K$2,1),OR(Calendar!$K$4="*",N1907=Calendar!$K$4)),P1907*100+COUNTIFS($P$6:$P$3267,P1907,$Q$6:$Q$3267,"&lt;="&amp;Q1907,$N$6:$N$3267,Calendar!$K$4),"")</f>
        <v/>
      </c>
      <c r="W1907" s="47">
        <f>IF(AND(B1907=Queue!$C$4,OR(Queue!$K$4="*",N1907=Queue!$K$4)),Q1907,"")</f>
        <v/>
      </c>
    </row>
    <row r="1908">
      <c r="A1908" s="38">
        <f>IF(M1908="","",HYPERLINK("https://www.youtube.com/watch?v="&amp;M1908,"▶"))</f>
        <v/>
      </c>
      <c r="B1908" s="39">
        <f>IF(C1908&lt;&gt;"",C1908,IF(P1908&lt;=IFERROR(INDEX(tblChannels[Watched Through],MATCH(N1908,tblChannels[Channel ID],0)),0),"Watched","Unwatched"))</f>
        <v/>
      </c>
      <c r="C1908" s="40" t="n"/>
      <c r="D1908" s="41" t="n"/>
      <c r="E1908" s="42" t="n">
        <v>43535.43194444444</v>
      </c>
      <c r="F1908" s="53" t="inlineStr">
        <is>
          <t>Jonathan Carlin</t>
        </is>
      </c>
      <c r="G1908" t="inlineStr">
        <is>
          <t>BEN &amp; ALYCE GET ENGAGED!!</t>
        </is>
      </c>
      <c r="H1908" s="44" t="n">
        <v>0.006168981481481482</v>
      </c>
      <c r="I1908" s="45" t="n">
        <v>82535</v>
      </c>
      <c r="J1908" s="45" t="n">
        <v>5198</v>
      </c>
      <c r="K1908" s="45" t="n">
        <v>731</v>
      </c>
      <c r="L1908" s="46" t="n"/>
      <c r="M1908" s="47" t="n"/>
      <c r="N1908" s="47" t="inlineStr">
        <is>
          <t>UCYPKFe86e6nm4TVUYKLsFUQ</t>
        </is>
      </c>
      <c r="O1908" s="48" t="n">
        <v>43535.59861111111</v>
      </c>
      <c r="P1908" s="49" t="n">
        <v>43535</v>
      </c>
      <c r="Q1908" s="47" t="n">
        <v>1360</v>
      </c>
      <c r="R1908" s="47" t="inlineStr">
        <is>
          <t>No Video ID yet</t>
        </is>
      </c>
      <c r="S1908" s="49" t="n"/>
      <c r="T1908" s="49" t="n"/>
      <c r="U1908" s="47" t="inlineStr">
        <is>
          <t>Ben &amp; Alyce get engaged!!!! Also some other less important stuff happens.</t>
        </is>
      </c>
      <c r="V1908" s="47">
        <f>IF(AND(P1908&gt;=Calendar!$K$2,P1908&lt;EDATE(Calendar!$K$2,1),OR(Calendar!$K$4="*",N1908=Calendar!$K$4)),P1908*100+COUNTIFS($P$6:$P$3267,P1908,$Q$6:$Q$3267,"&lt;="&amp;Q1908,$N$6:$N$3267,Calendar!$K$4),"")</f>
        <v/>
      </c>
      <c r="W1908" s="47">
        <f>IF(AND(B1908=Queue!$C$4,OR(Queue!$K$4="*",N1908=Queue!$K$4)),Q1908,"")</f>
        <v/>
      </c>
    </row>
    <row r="1909">
      <c r="A1909" s="38">
        <f>IF(M1909="","",HYPERLINK("https://www.youtube.com/watch?v="&amp;M1909,"▶"))</f>
        <v/>
      </c>
      <c r="B1909" s="39">
        <f>IF(C1909&lt;&gt;"",C1909,IF(P1909&lt;=IFERROR(INDEX(tblChannels[Watched Through],MATCH(N1909,tblChannels[Channel ID],0)),0),"Watched","Unwatched"))</f>
        <v/>
      </c>
      <c r="C1909" s="40" t="n"/>
      <c r="D1909" s="41" t="n"/>
      <c r="E1909" s="42" t="n">
        <v>43532.78472222222</v>
      </c>
      <c r="F1909" s="50" t="inlineStr">
        <is>
          <t>Super Carlin Brothers</t>
        </is>
      </c>
      <c r="G1909" t="inlineStr">
        <is>
          <t>CAPTAIN MARVEL - Movie Review (Spoilers)</t>
        </is>
      </c>
      <c r="H1909" s="44" t="n">
        <v>0.03377314814814815</v>
      </c>
      <c r="I1909" s="45" t="n">
        <v>323080</v>
      </c>
      <c r="J1909" s="45" t="n">
        <v>9951</v>
      </c>
      <c r="K1909" s="45" t="n">
        <v>3080</v>
      </c>
      <c r="L1909" s="46" t="n"/>
      <c r="M1909" s="47" t="n"/>
      <c r="N1909" s="47" t="inlineStr">
        <is>
          <t>UCKZo4N0lVPccBkSiuyVh4yg</t>
        </is>
      </c>
      <c r="O1909" s="48" t="n">
        <v>43532.99305555555</v>
      </c>
      <c r="P1909" s="49" t="n">
        <v>43532</v>
      </c>
      <c r="Q1909" s="47" t="n">
        <v>1359</v>
      </c>
      <c r="R1909" s="47" t="inlineStr">
        <is>
          <t>No Video ID yet</t>
        </is>
      </c>
      <c r="S1909" s="49" t="n"/>
      <c r="T1909" s="49" t="n"/>
      <c r="U1909" s="47" t="inlineStr">
        <is>
          <t>Get 20% Off LootCrate :: Promo Code: CARLIN Today J and Ben dive into the MCU to give their Full Spoiler Review of Captain Marvel! Is she the new most powerful avenger? Can she beat Thanos? Is this the best Marvel movie of them all?</t>
        </is>
      </c>
      <c r="V1909" s="47">
        <f>IF(AND(P1909&gt;=Calendar!$K$2,P1909&lt;EDATE(Calendar!$K$2,1),OR(Calendar!$K$4="*",N1909=Calendar!$K$4)),P1909*100+COUNTIFS($P$6:$P$3267,P1909,$Q$6:$Q$3267,"&lt;="&amp;Q1909,$N$6:$N$3267,Calendar!$K$4),"")</f>
        <v/>
      </c>
      <c r="W1909" s="47">
        <f>IF(AND(B1909=Queue!$C$4,OR(Queue!$K$4="*",N1909=Queue!$K$4)),Q1909,"")</f>
        <v/>
      </c>
    </row>
    <row r="1910">
      <c r="A1910" s="38">
        <f>IF(M1910="","",HYPERLINK("https://www.youtube.com/watch?v="&amp;M1910,"▶"))</f>
        <v/>
      </c>
      <c r="B1910" s="39">
        <f>IF(C1910&lt;&gt;"",C1910,IF(P1910&lt;=IFERROR(INDEX(tblChannels[Watched Through],MATCH(N1910,tblChannels[Channel ID],0)),0),"Watched","Unwatched"))</f>
        <v/>
      </c>
      <c r="C1910" s="40" t="n"/>
      <c r="D1910" s="41" t="n"/>
      <c r="E1910" s="42" t="n">
        <v>43532.4375</v>
      </c>
      <c r="F1910" s="52" t="inlineStr">
        <is>
          <t>Super Carlin Gaming</t>
        </is>
      </c>
      <c r="G1910" t="inlineStr">
        <is>
          <t>I Don't Know What To Do With My Life | Super Smash Bros #27</t>
        </is>
      </c>
      <c r="H1910" s="44" t="n">
        <v>0.008379629629629629</v>
      </c>
      <c r="I1910" s="45" t="n">
        <v>6417</v>
      </c>
      <c r="J1910" s="45" t="n">
        <v>292</v>
      </c>
      <c r="K1910" s="45" t="n">
        <v>54</v>
      </c>
      <c r="L1910" s="46" t="n"/>
      <c r="M1910" s="47" t="n"/>
      <c r="N1910" s="47" t="inlineStr">
        <is>
          <t>UCor_9jRnNNZVzTuQ92PKsaQ</t>
        </is>
      </c>
      <c r="O1910" s="48" t="n">
        <v>43532.64583333334</v>
      </c>
      <c r="P1910" s="49" t="n">
        <v>43532</v>
      </c>
      <c r="Q1910" s="47" t="n">
        <v>1358</v>
      </c>
      <c r="R1910" s="47" t="inlineStr">
        <is>
          <t>No Video ID yet</t>
        </is>
      </c>
      <c r="S1910" s="49" t="n"/>
      <c r="T1910" s="49" t="n"/>
      <c r="U1910" s="47" t="n"/>
      <c r="V1910" s="47">
        <f>IF(AND(P1910&gt;=Calendar!$K$2,P1910&lt;EDATE(Calendar!$K$2,1),OR(Calendar!$K$4="*",N1910=Calendar!$K$4)),P1910*100+COUNTIFS($P$6:$P$3267,P1910,$Q$6:$Q$3267,"&lt;="&amp;Q1910,$N$6:$N$3267,Calendar!$K$4),"")</f>
        <v/>
      </c>
      <c r="W1910" s="47">
        <f>IF(AND(B1910=Queue!$C$4,OR(Queue!$K$4="*",N1910=Queue!$K$4)),Q1910,"")</f>
        <v/>
      </c>
    </row>
    <row r="1911">
      <c r="A1911" s="38">
        <f>IF(M1911="","",HYPERLINK("https://www.youtube.com/watch?v="&amp;M1911,"▶"))</f>
        <v/>
      </c>
      <c r="B1911" s="39">
        <f>IF(C1911&lt;&gt;"",C1911,IF(P1911&lt;=IFERROR(INDEX(tblChannels[Watched Through],MATCH(N1911,tblChannels[Channel ID],0)),0),"Watched","Unwatched"))</f>
        <v/>
      </c>
      <c r="C1911" s="40" t="n"/>
      <c r="D1911" s="41" t="n"/>
      <c r="E1911" s="42" t="n">
        <v>43530.56736111111</v>
      </c>
      <c r="F1911" s="52" t="inlineStr">
        <is>
          <t>Super Carlin Gaming</t>
        </is>
      </c>
      <c r="G1911" t="inlineStr">
        <is>
          <t>Head of the Committee | Super Smash Bros #26</t>
        </is>
      </c>
      <c r="H1911" s="44" t="n">
        <v>0.009375</v>
      </c>
      <c r="I1911" s="45" t="n">
        <v>6080</v>
      </c>
      <c r="J1911" s="45" t="n">
        <v>311</v>
      </c>
      <c r="K1911" s="45" t="n">
        <v>51</v>
      </c>
      <c r="L1911" s="46" t="n"/>
      <c r="M1911" s="47" t="n"/>
      <c r="N1911" s="47" t="inlineStr">
        <is>
          <t>UCor_9jRnNNZVzTuQ92PKsaQ</t>
        </is>
      </c>
      <c r="O1911" s="48" t="n">
        <v>43530.77569444444</v>
      </c>
      <c r="P1911" s="49" t="n">
        <v>43530</v>
      </c>
      <c r="Q1911" s="47" t="n">
        <v>1357</v>
      </c>
      <c r="R1911" s="47" t="inlineStr">
        <is>
          <t>No Video ID yet</t>
        </is>
      </c>
      <c r="S1911" s="49" t="n"/>
      <c r="T1911" s="49" t="n"/>
      <c r="U1911" s="47" t="inlineStr">
        <is>
          <t>You can send Amiibos to our PO box!</t>
        </is>
      </c>
      <c r="V1911" s="47">
        <f>IF(AND(P1911&gt;=Calendar!$K$2,P1911&lt;EDATE(Calendar!$K$2,1),OR(Calendar!$K$4="*",N1911=Calendar!$K$4)),P1911*100+COUNTIFS($P$6:$P$3267,P1911,$Q$6:$Q$3267,"&lt;="&amp;Q1911,$N$6:$N$3267,Calendar!$K$4),"")</f>
        <v/>
      </c>
      <c r="W1911" s="47">
        <f>IF(AND(B1911=Queue!$C$4,OR(Queue!$K$4="*",N1911=Queue!$K$4)),Q1911,"")</f>
        <v/>
      </c>
    </row>
    <row r="1912">
      <c r="A1912" s="38">
        <f>IF(M1912="","",HYPERLINK("https://www.youtube.com/watch?v="&amp;M1912,"▶"))</f>
        <v/>
      </c>
      <c r="B1912" s="39">
        <f>IF(C1912&lt;&gt;"",C1912,IF(P1912&lt;=IFERROR(INDEX(tblChannels[Watched Through],MATCH(N1912,tblChannels[Channel ID],0)),0),"Watched","Unwatched"))</f>
        <v/>
      </c>
      <c r="C1912" s="40" t="n"/>
      <c r="D1912" s="41" t="n"/>
      <c r="E1912" s="42" t="n">
        <v>43529.71597222222</v>
      </c>
      <c r="F1912" s="50" t="inlineStr">
        <is>
          <t>Super Carlin Brothers</t>
        </is>
      </c>
      <c r="G1912" t="inlineStr">
        <is>
          <t>J vs Ben: Ultimate MCU Trivia Quiz</t>
        </is>
      </c>
      <c r="H1912" s="44" t="n">
        <v>0.01414351851851852</v>
      </c>
      <c r="I1912" s="45" t="n">
        <v>432481</v>
      </c>
      <c r="J1912" s="45" t="n">
        <v>12862</v>
      </c>
      <c r="K1912" s="45" t="n">
        <v>2219</v>
      </c>
      <c r="L1912" s="46" t="n"/>
      <c r="M1912" s="47" t="n"/>
      <c r="N1912" s="47" t="inlineStr">
        <is>
          <t>UCKZo4N0lVPccBkSiuyVh4yg</t>
        </is>
      </c>
      <c r="O1912" s="48" t="n">
        <v>43529.92430555556</v>
      </c>
      <c r="P1912" s="49" t="n">
        <v>43529</v>
      </c>
      <c r="Q1912" s="47" t="n">
        <v>1356</v>
      </c>
      <c r="R1912" s="47" t="inlineStr">
        <is>
          <t>No Video ID yet</t>
        </is>
      </c>
      <c r="S1912" s="49" t="n"/>
      <c r="T1912" s="49" t="n"/>
      <c r="U1912" s="47" t="inlineStr">
        <is>
          <t>In preparation for Caption Marvel J and Ben are facing off in the ULTIMATE Marvel Cinematic Universe to see who knows more about our favorite superheroes!</t>
        </is>
      </c>
      <c r="V1912" s="47">
        <f>IF(AND(P1912&gt;=Calendar!$K$2,P1912&lt;EDATE(Calendar!$K$2,1),OR(Calendar!$K$4="*",N1912=Calendar!$K$4)),P1912*100+COUNTIFS($P$6:$P$3267,P1912,$Q$6:$Q$3267,"&lt;="&amp;Q1912,$N$6:$N$3267,Calendar!$K$4),"")</f>
        <v/>
      </c>
      <c r="W1912" s="47">
        <f>IF(AND(B1912=Queue!$C$4,OR(Queue!$K$4="*",N1912=Queue!$K$4)),Q1912,"")</f>
        <v/>
      </c>
    </row>
    <row r="1913">
      <c r="A1913" s="38">
        <f>IF(M1913="","",HYPERLINK("https://www.youtube.com/watch?v="&amp;M1913,"▶"))</f>
        <v/>
      </c>
      <c r="B1913" s="39">
        <f>IF(C1913&lt;&gt;"",C1913,IF(P1913&lt;=IFERROR(INDEX(tblChannels[Watched Through],MATCH(N1913,tblChannels[Channel ID],0)),0),"Watched","Unwatched"))</f>
        <v/>
      </c>
      <c r="C1913" s="40" t="n"/>
      <c r="D1913" s="41" t="n"/>
      <c r="E1913" s="42" t="n">
        <v>43528.66041666667</v>
      </c>
      <c r="F1913" s="52" t="inlineStr">
        <is>
          <t>Super Carlin Gaming</t>
        </is>
      </c>
      <c r="G1913" t="inlineStr">
        <is>
          <t>How Can I Talk With My Parents | Super Smash Bros #25</t>
        </is>
      </c>
      <c r="H1913" s="44" t="n">
        <v>0.01456018518518518</v>
      </c>
      <c r="I1913" s="45" t="n">
        <v>7342</v>
      </c>
      <c r="J1913" s="45" t="n">
        <v>358</v>
      </c>
      <c r="K1913" s="45" t="n">
        <v>92</v>
      </c>
      <c r="L1913" s="46" t="n"/>
      <c r="M1913" s="47" t="n"/>
      <c r="N1913" s="47" t="inlineStr">
        <is>
          <t>UCor_9jRnNNZVzTuQ92PKsaQ</t>
        </is>
      </c>
      <c r="O1913" s="48" t="n">
        <v>43528.86875</v>
      </c>
      <c r="P1913" s="49" t="n">
        <v>43528</v>
      </c>
      <c r="Q1913" s="47" t="n">
        <v>1355</v>
      </c>
      <c r="R1913" s="47" t="inlineStr">
        <is>
          <t>No Video ID yet</t>
        </is>
      </c>
      <c r="S1913" s="49" t="n"/>
      <c r="T1913" s="49" t="n"/>
      <c r="U1913" s="47" t="n"/>
      <c r="V1913" s="47">
        <f>IF(AND(P1913&gt;=Calendar!$K$2,P1913&lt;EDATE(Calendar!$K$2,1),OR(Calendar!$K$4="*",N1913=Calendar!$K$4)),P1913*100+COUNTIFS($P$6:$P$3267,P1913,$Q$6:$Q$3267,"&lt;="&amp;Q1913,$N$6:$N$3267,Calendar!$K$4),"")</f>
        <v/>
      </c>
      <c r="W1913" s="47">
        <f>IF(AND(B1913=Queue!$C$4,OR(Queue!$K$4="*",N1913=Queue!$K$4)),Q1913,"")</f>
        <v/>
      </c>
    </row>
    <row r="1914">
      <c r="A1914" s="38">
        <f>IF(M1914="","",HYPERLINK("https://www.youtube.com/watch?v="&amp;M1914,"▶"))</f>
        <v/>
      </c>
      <c r="B1914" s="39">
        <f>IF(C1914&lt;&gt;"",C1914,IF(P1914&lt;=IFERROR(INDEX(tblChannels[Watched Through],MATCH(N1914,tblChannels[Channel ID],0)),0),"Watched","Unwatched"))</f>
        <v/>
      </c>
      <c r="C1914" s="40" t="n"/>
      <c r="D1914" s="41" t="n"/>
      <c r="E1914" s="42" t="n">
        <v>43528.41666666666</v>
      </c>
      <c r="F1914" s="53" t="inlineStr">
        <is>
          <t>Jonathan Carlin</t>
        </is>
      </c>
      <c r="G1914" t="inlineStr">
        <is>
          <t>GETTING AHEAD</t>
        </is>
      </c>
      <c r="H1914" s="44" t="n">
        <v>0.007002314814814815</v>
      </c>
      <c r="I1914" s="45" t="n">
        <v>28776</v>
      </c>
      <c r="J1914" s="45" t="n">
        <v>1619</v>
      </c>
      <c r="K1914" s="45" t="n">
        <v>160</v>
      </c>
      <c r="L1914" s="46" t="n"/>
      <c r="M1914" s="47" t="n"/>
      <c r="N1914" s="47" t="inlineStr">
        <is>
          <t>UCYPKFe86e6nm4TVUYKLsFUQ</t>
        </is>
      </c>
      <c r="O1914" s="48" t="n">
        <v>43528.625</v>
      </c>
      <c r="P1914" s="49" t="n">
        <v>43528</v>
      </c>
      <c r="Q1914" s="47" t="n">
        <v>1354</v>
      </c>
      <c r="R1914" s="47" t="inlineStr">
        <is>
          <t>No Video ID yet</t>
        </is>
      </c>
      <c r="S1914" s="49" t="n"/>
      <c r="T1914" s="49" t="n"/>
      <c r="U1914" s="47" t="inlineStr">
        <is>
          <t>This week Beth tackles a nine pound Shoulder Butt, J and the SCB team are somehow getting ahead on work and Luke does lots of adorable playing!</t>
        </is>
      </c>
      <c r="V1914" s="47">
        <f>IF(AND(P1914&gt;=Calendar!$K$2,P1914&lt;EDATE(Calendar!$K$2,1),OR(Calendar!$K$4="*",N1914=Calendar!$K$4)),P1914*100+COUNTIFS($P$6:$P$3267,P1914,$Q$6:$Q$3267,"&lt;="&amp;Q1914,$N$6:$N$3267,Calendar!$K$4),"")</f>
        <v/>
      </c>
      <c r="W1914" s="47">
        <f>IF(AND(B1914=Queue!$C$4,OR(Queue!$K$4="*",N1914=Queue!$K$4)),Q1914,"")</f>
        <v/>
      </c>
    </row>
    <row r="1915">
      <c r="A1915" s="38">
        <f>IF(M1915="","",HYPERLINK("https://www.youtube.com/watch?v="&amp;M1915,"▶"))</f>
        <v/>
      </c>
      <c r="B1915" s="39">
        <f>IF(C1915&lt;&gt;"",C1915,IF(P1915&lt;=IFERROR(INDEX(tblChannels[Watched Through],MATCH(N1915,tblChannels[Channel ID],0)),0),"Watched","Unwatched"))</f>
        <v/>
      </c>
      <c r="C1915" s="40" t="n"/>
      <c r="D1915" s="41" t="n"/>
      <c r="E1915" s="42" t="n">
        <v>43526.49861111111</v>
      </c>
      <c r="F1915" s="50" t="inlineStr">
        <is>
          <t>Super Carlin Brothers</t>
        </is>
      </c>
      <c r="G1915" t="inlineStr">
        <is>
          <t>Super Carlin Brothers Meet Ups Announcement!</t>
        </is>
      </c>
      <c r="H1915" s="44" t="n">
        <v>0.00193287037037037</v>
      </c>
      <c r="I1915" s="45" t="n">
        <v>117733</v>
      </c>
      <c r="J1915" s="45" t="n">
        <v>6031</v>
      </c>
      <c r="K1915" s="45" t="n">
        <v>811</v>
      </c>
      <c r="L1915" s="46" t="n"/>
      <c r="M1915" s="47" t="n"/>
      <c r="N1915" s="47" t="inlineStr">
        <is>
          <t>UCKZo4N0lVPccBkSiuyVh4yg</t>
        </is>
      </c>
      <c r="O1915" s="48" t="n">
        <v>43526.70694444444</v>
      </c>
      <c r="P1915" s="49" t="n">
        <v>43526</v>
      </c>
      <c r="Q1915" s="47" t="n">
        <v>1353</v>
      </c>
      <c r="R1915" s="47" t="inlineStr">
        <is>
          <t>No Video ID yet</t>
        </is>
      </c>
      <c r="S1915" s="49" t="n"/>
      <c r="T1915" s="49" t="n"/>
      <c r="U1915" s="47" t="inlineStr">
        <is>
          <t>The SCB 2019 Meet Up Schedule: Saturday, April 27 | Blacksburg, VA | Avengers: Endgame Sunday, June 30 | Washington, DC | Toy Story 4 Saturday, July 20 | Chicago, IL | The Lion King Saturday, November 23 | Salt Lake City, UT | Frozen 2</t>
        </is>
      </c>
      <c r="V1915" s="47">
        <f>IF(AND(P1915&gt;=Calendar!$K$2,P1915&lt;EDATE(Calendar!$K$2,1),OR(Calendar!$K$4="*",N1915=Calendar!$K$4)),P1915*100+COUNTIFS($P$6:$P$3267,P1915,$Q$6:$Q$3267,"&lt;="&amp;Q1915,$N$6:$N$3267,Calendar!$K$4),"")</f>
        <v/>
      </c>
      <c r="W1915" s="47">
        <f>IF(AND(B1915=Queue!$C$4,OR(Queue!$K$4="*",N1915=Queue!$K$4)),Q1915,"")</f>
        <v/>
      </c>
    </row>
    <row r="1916">
      <c r="A1916" s="38">
        <f>IF(M1916="","",HYPERLINK("https://www.youtube.com/watch?v="&amp;M1916,"▶"))</f>
        <v/>
      </c>
      <c r="B1916" s="39">
        <f>IF(C1916&lt;&gt;"",C1916,IF(P1916&lt;=IFERROR(INDEX(tblChannels[Watched Through],MATCH(N1916,tblChannels[Channel ID],0)),0),"Watched","Unwatched"))</f>
        <v/>
      </c>
      <c r="C1916" s="40" t="n"/>
      <c r="D1916" s="41" t="n"/>
      <c r="E1916" s="42" t="n">
        <v>43525.60972222222</v>
      </c>
      <c r="F1916" s="52" t="inlineStr">
        <is>
          <t>Super Carlin Gaming</t>
        </is>
      </c>
      <c r="G1916" t="inlineStr">
        <is>
          <t>Should I Get Random Roommates? | Super Smash Bros #24</t>
        </is>
      </c>
      <c r="H1916" s="44" t="n">
        <v>0.01041666666666667</v>
      </c>
      <c r="I1916" s="45" t="n">
        <v>7173</v>
      </c>
      <c r="J1916" s="45" t="n">
        <v>336</v>
      </c>
      <c r="K1916" s="45" t="n">
        <v>58</v>
      </c>
      <c r="L1916" s="46" t="n"/>
      <c r="M1916" s="47" t="n"/>
      <c r="N1916" s="47" t="inlineStr">
        <is>
          <t>UCor_9jRnNNZVzTuQ92PKsaQ</t>
        </is>
      </c>
      <c r="O1916" s="48" t="n">
        <v>43525.81805555556</v>
      </c>
      <c r="P1916" s="49" t="n">
        <v>43525</v>
      </c>
      <c r="Q1916" s="47" t="n">
        <v>1352</v>
      </c>
      <c r="R1916" s="47" t="inlineStr">
        <is>
          <t>No Video ID yet</t>
        </is>
      </c>
      <c r="S1916" s="49" t="n"/>
      <c r="T1916" s="49" t="n"/>
      <c r="U1916" s="47" t="inlineStr">
        <is>
          <t>To Random... or not to random.. that is the question!</t>
        </is>
      </c>
      <c r="V1916" s="47">
        <f>IF(AND(P1916&gt;=Calendar!$K$2,P1916&lt;EDATE(Calendar!$K$2,1),OR(Calendar!$K$4="*",N1916=Calendar!$K$4)),P1916*100+COUNTIFS($P$6:$P$3267,P1916,$Q$6:$Q$3267,"&lt;="&amp;Q1916,$N$6:$N$3267,Calendar!$K$4),"")</f>
        <v/>
      </c>
      <c r="W1916" s="47">
        <f>IF(AND(B1916=Queue!$C$4,OR(Queue!$K$4="*",N1916=Queue!$K$4)),Q1916,"")</f>
        <v/>
      </c>
    </row>
    <row r="1917">
      <c r="A1917" s="38">
        <f>IF(M1917="","",HYPERLINK("https://www.youtube.com/watch?v="&amp;M1917,"▶"))</f>
        <v/>
      </c>
      <c r="B1917" s="39">
        <f>IF(C1917&lt;&gt;"",C1917,IF(P1917&lt;=IFERROR(INDEX(tblChannels[Watched Through],MATCH(N1917,tblChannels[Channel ID],0)),0),"Watched","Unwatched"))</f>
        <v/>
      </c>
      <c r="C1917" s="40" t="n"/>
      <c r="D1917" s="41" t="n"/>
      <c r="E1917" s="42" t="n">
        <v>43524.70347222222</v>
      </c>
      <c r="F1917" s="50" t="inlineStr">
        <is>
          <t>Super Carlin Brothers</t>
        </is>
      </c>
      <c r="G1917" t="inlineStr">
        <is>
          <t>The Body Swap Scene Explained | Crimes of Grindelwald</t>
        </is>
      </c>
      <c r="H1917" s="44" t="n">
        <v>0.008344907407407407</v>
      </c>
      <c r="I1917" s="45" t="n">
        <v>531781</v>
      </c>
      <c r="J1917" s="45" t="n">
        <v>17986</v>
      </c>
      <c r="K1917" s="45" t="n">
        <v>3977</v>
      </c>
      <c r="L1917" s="46" t="n"/>
      <c r="M1917" s="47" t="n"/>
      <c r="N1917" s="47" t="inlineStr">
        <is>
          <t>UCKZo4N0lVPccBkSiuyVh4yg</t>
        </is>
      </c>
      <c r="O1917" s="48" t="n">
        <v>43524.91180555556</v>
      </c>
      <c r="P1917" s="49" t="n">
        <v>43524</v>
      </c>
      <c r="Q1917" s="47" t="n">
        <v>1351</v>
      </c>
      <c r="R1917" s="47" t="inlineStr">
        <is>
          <t>No Video ID yet</t>
        </is>
      </c>
      <c r="S1917" s="49" t="n"/>
      <c r="T1917" s="49" t="n"/>
      <c r="U1917" s="47" t="inlineStr">
        <is>
          <t>Today Ben dives into the Wizarding World of Harry Potter to try and explain the really confusing body swap scene at the beginning of Fantastic Beasts and Crimes of Grindelwald!</t>
        </is>
      </c>
      <c r="V1917" s="47">
        <f>IF(AND(P1917&gt;=Calendar!$K$2,P1917&lt;EDATE(Calendar!$K$2,1),OR(Calendar!$K$4="*",N1917=Calendar!$K$4)),P1917*100+COUNTIFS($P$6:$P$3267,P1917,$Q$6:$Q$3267,"&lt;="&amp;Q1917,$N$6:$N$3267,Calendar!$K$4),"")</f>
        <v/>
      </c>
      <c r="W1917" s="47">
        <f>IF(AND(B1917=Queue!$C$4,OR(Queue!$K$4="*",N1917=Queue!$K$4)),Q1917,"")</f>
        <v/>
      </c>
    </row>
    <row r="1918">
      <c r="A1918" s="38">
        <f>IF(M1918="","",HYPERLINK("https://www.youtube.com/watch?v="&amp;M1918,"▶"))</f>
        <v/>
      </c>
      <c r="B1918" s="39">
        <f>IF(C1918&lt;&gt;"",C1918,IF(P1918&lt;=IFERROR(INDEX(tblChannels[Watched Through],MATCH(N1918,tblChannels[Channel ID],0)),0),"Watched","Unwatched"))</f>
        <v/>
      </c>
      <c r="C1918" s="40" t="n"/>
      <c r="D1918" s="41" t="n"/>
      <c r="E1918" s="42" t="n">
        <v>43523.53819444445</v>
      </c>
      <c r="F1918" s="52" t="inlineStr">
        <is>
          <t>Super Carlin Gaming</t>
        </is>
      </c>
      <c r="G1918" t="inlineStr">
        <is>
          <t>I'm a Good Leader | Super Smash Bros #23</t>
        </is>
      </c>
      <c r="H1918" s="44" t="n">
        <v>0.01251157407407407</v>
      </c>
      <c r="I1918" s="45" t="n">
        <v>6581</v>
      </c>
      <c r="J1918" s="45" t="n">
        <v>338</v>
      </c>
      <c r="K1918" s="45" t="n">
        <v>90</v>
      </c>
      <c r="L1918" s="46" t="n"/>
      <c r="M1918" s="47" t="n"/>
      <c r="N1918" s="47" t="inlineStr">
        <is>
          <t>UCor_9jRnNNZVzTuQ92PKsaQ</t>
        </is>
      </c>
      <c r="O1918" s="48" t="n">
        <v>43523.74652777778</v>
      </c>
      <c r="P1918" s="49" t="n">
        <v>43523</v>
      </c>
      <c r="Q1918" s="47" t="n">
        <v>1350</v>
      </c>
      <c r="R1918" s="47" t="inlineStr">
        <is>
          <t>No Video ID yet</t>
        </is>
      </c>
      <c r="S1918" s="49" t="n"/>
      <c r="T1918" s="49" t="n"/>
      <c r="U1918" s="47" t="n"/>
      <c r="V1918" s="47">
        <f>IF(AND(P1918&gt;=Calendar!$K$2,P1918&lt;EDATE(Calendar!$K$2,1),OR(Calendar!$K$4="*",N1918=Calendar!$K$4)),P1918*100+COUNTIFS($P$6:$P$3267,P1918,$Q$6:$Q$3267,"&lt;="&amp;Q1918,$N$6:$N$3267,Calendar!$K$4),"")</f>
        <v/>
      </c>
      <c r="W1918" s="47">
        <f>IF(AND(B1918=Queue!$C$4,OR(Queue!$K$4="*",N1918=Queue!$K$4)),Q1918,"")</f>
        <v/>
      </c>
    </row>
    <row r="1919">
      <c r="A1919" s="38">
        <f>IF(M1919="","",HYPERLINK("https://www.youtube.com/watch?v="&amp;M1919,"▶"))</f>
        <v/>
      </c>
      <c r="B1919" s="39">
        <f>IF(C1919&lt;&gt;"",C1919,IF(P1919&lt;=IFERROR(INDEX(tblChannels[Watched Through],MATCH(N1919,tblChannels[Channel ID],0)),0),"Watched","Unwatched"))</f>
        <v/>
      </c>
      <c r="C1919" s="40" t="n"/>
      <c r="D1919" s="41" t="n"/>
      <c r="E1919" s="42" t="n">
        <v>43522.65763888889</v>
      </c>
      <c r="F1919" s="50" t="inlineStr">
        <is>
          <t>Super Carlin Brothers</t>
        </is>
      </c>
      <c r="G1919" t="inlineStr">
        <is>
          <t>Why Azkaban Uses Dementors | Harry Potter Explained</t>
        </is>
      </c>
      <c r="H1919" s="44" t="n">
        <v>0.008518518518518519</v>
      </c>
      <c r="I1919" s="45" t="n">
        <v>1202540</v>
      </c>
      <c r="J1919" s="45" t="n">
        <v>30508</v>
      </c>
      <c r="K1919" s="45" t="n">
        <v>2515</v>
      </c>
      <c r="L1919" s="46" t="n"/>
      <c r="M1919" s="47" t="n"/>
      <c r="N1919" s="47" t="inlineStr">
        <is>
          <t>UCKZo4N0lVPccBkSiuyVh4yg</t>
        </is>
      </c>
      <c r="O1919" s="48" t="n">
        <v>43522.86597222222</v>
      </c>
      <c r="P1919" s="49" t="n">
        <v>43522</v>
      </c>
      <c r="Q1919" s="47" t="n">
        <v>1349</v>
      </c>
      <c r="R1919" s="47" t="inlineStr">
        <is>
          <t>No Video ID yet</t>
        </is>
      </c>
      <c r="S1919" s="49" t="n"/>
      <c r="T1919" s="49" t="n"/>
      <c r="U1919" s="47" t="inlineStr">
        <is>
          <t>Get 20% Off LootCrate :: Promo Code: CARLIN Full Azkaban Article :: Today J dives into the Wizarding World of Harry Potter to discuss how Azkaban became the most terrifying prison in the world and how they rationalize using dementors to torture their prisoners.</t>
        </is>
      </c>
      <c r="V1919" s="47">
        <f>IF(AND(P1919&gt;=Calendar!$K$2,P1919&lt;EDATE(Calendar!$K$2,1),OR(Calendar!$K$4="*",N1919=Calendar!$K$4)),P1919*100+COUNTIFS($P$6:$P$3267,P1919,$Q$6:$Q$3267,"&lt;="&amp;Q1919,$N$6:$N$3267,Calendar!$K$4),"")</f>
        <v/>
      </c>
      <c r="W1919" s="47">
        <f>IF(AND(B1919=Queue!$C$4,OR(Queue!$K$4="*",N1919=Queue!$K$4)),Q1919,"")</f>
        <v/>
      </c>
    </row>
    <row r="1920">
      <c r="A1920" s="38">
        <f>IF(M1920="","",HYPERLINK("https://www.youtube.com/watch?v="&amp;M1920,"▶"))</f>
        <v/>
      </c>
      <c r="B1920" s="39">
        <f>IF(C1920&lt;&gt;"",C1920,IF(P1920&lt;=IFERROR(INDEX(tblChannels[Watched Through],MATCH(N1920,tblChannels[Channel ID],0)),0),"Watched","Unwatched"))</f>
        <v/>
      </c>
      <c r="C1920" s="40" t="n"/>
      <c r="D1920" s="41" t="n"/>
      <c r="E1920" s="42" t="n">
        <v>43521.54652777778</v>
      </c>
      <c r="F1920" s="53" t="inlineStr">
        <is>
          <t>Jonathan Carlin</t>
        </is>
      </c>
      <c r="G1920" t="inlineStr">
        <is>
          <t>Valentines Disney Surprise!</t>
        </is>
      </c>
      <c r="H1920" s="44" t="n">
        <v>0.007222222222222222</v>
      </c>
      <c r="I1920" s="45" t="n">
        <v>30285</v>
      </c>
      <c r="J1920" s="45" t="n">
        <v>1588</v>
      </c>
      <c r="K1920" s="45" t="n">
        <v>188</v>
      </c>
      <c r="L1920" s="46" t="n"/>
      <c r="M1920" s="47" t="n"/>
      <c r="N1920" s="47" t="inlineStr">
        <is>
          <t>UCYPKFe86e6nm4TVUYKLsFUQ</t>
        </is>
      </c>
      <c r="O1920" s="48" t="n">
        <v>43521.75486111111</v>
      </c>
      <c r="P1920" s="49" t="n">
        <v>43521</v>
      </c>
      <c r="Q1920" s="47" t="n">
        <v>1348</v>
      </c>
      <c r="R1920" s="47" t="inlineStr">
        <is>
          <t>No Video ID yet</t>
        </is>
      </c>
      <c r="S1920" s="49" t="n"/>
      <c r="T1920" s="49" t="n"/>
      <c r="U1920" s="47" t="inlineStr">
        <is>
          <t>J and Beth celebrate Valentines Day with a big surprise and Luke explores Kid's Square in downtown Roanoke!</t>
        </is>
      </c>
      <c r="V1920" s="47">
        <f>IF(AND(P1920&gt;=Calendar!$K$2,P1920&lt;EDATE(Calendar!$K$2,1),OR(Calendar!$K$4="*",N1920=Calendar!$K$4)),P1920*100+COUNTIFS($P$6:$P$3267,P1920,$Q$6:$Q$3267,"&lt;="&amp;Q1920,$N$6:$N$3267,Calendar!$K$4),"")</f>
        <v/>
      </c>
      <c r="W1920" s="47">
        <f>IF(AND(B1920=Queue!$C$4,OR(Queue!$K$4="*",N1920=Queue!$K$4)),Q1920,"")</f>
        <v/>
      </c>
    </row>
    <row r="1921">
      <c r="A1921" s="38">
        <f>IF(M1921="","",HYPERLINK("https://www.youtube.com/watch?v="&amp;M1921,"▶"))</f>
        <v/>
      </c>
      <c r="B1921" s="39">
        <f>IF(C1921&lt;&gt;"",C1921,IF(P1921&lt;=IFERROR(INDEX(tblChannels[Watched Through],MATCH(N1921,tblChannels[Channel ID],0)),0),"Watched","Unwatched"))</f>
        <v/>
      </c>
      <c r="C1921" s="40" t="n"/>
      <c r="D1921" s="41" t="n"/>
      <c r="E1921" s="42" t="n">
        <v>43521.48263888889</v>
      </c>
      <c r="F1921" s="52" t="inlineStr">
        <is>
          <t>Super Carlin Gaming</t>
        </is>
      </c>
      <c r="G1921" t="inlineStr">
        <is>
          <t>The Career Backup Plan | Super Smash Bros #22</t>
        </is>
      </c>
      <c r="H1921" s="44" t="n">
        <v>0.01251157407407407</v>
      </c>
      <c r="I1921" s="45" t="n">
        <v>7480</v>
      </c>
      <c r="J1921" s="45" t="n">
        <v>377</v>
      </c>
      <c r="K1921" s="45" t="n">
        <v>110</v>
      </c>
      <c r="L1921" s="46" t="n"/>
      <c r="M1921" s="47" t="n"/>
      <c r="N1921" s="47" t="inlineStr">
        <is>
          <t>UCor_9jRnNNZVzTuQ92PKsaQ</t>
        </is>
      </c>
      <c r="O1921" s="48" t="n">
        <v>43521.69097222222</v>
      </c>
      <c r="P1921" s="49" t="n">
        <v>43521</v>
      </c>
      <c r="Q1921" s="47" t="n">
        <v>1347</v>
      </c>
      <c r="R1921" s="47" t="inlineStr">
        <is>
          <t>No Video ID yet</t>
        </is>
      </c>
      <c r="S1921" s="49" t="n"/>
      <c r="T1921" s="49" t="n"/>
      <c r="U1921" s="47" t="n"/>
      <c r="V1921" s="47">
        <f>IF(AND(P1921&gt;=Calendar!$K$2,P1921&lt;EDATE(Calendar!$K$2,1),OR(Calendar!$K$4="*",N1921=Calendar!$K$4)),P1921*100+COUNTIFS($P$6:$P$3267,P1921,$Q$6:$Q$3267,"&lt;="&amp;Q1921,$N$6:$N$3267,Calendar!$K$4),"")</f>
        <v/>
      </c>
      <c r="W1921" s="47">
        <f>IF(AND(B1921=Queue!$C$4,OR(Queue!$K$4="*",N1921=Queue!$K$4)),Q1921,"")</f>
        <v/>
      </c>
    </row>
    <row r="1922">
      <c r="A1922" s="38">
        <f>IF(M1922="","",HYPERLINK("https://www.youtube.com/watch?v="&amp;M1922,"▶"))</f>
        <v/>
      </c>
      <c r="B1922" s="39">
        <f>IF(C1922&lt;&gt;"",C1922,IF(P1922&lt;=IFERROR(INDEX(tblChannels[Watched Through],MATCH(N1922,tblChannels[Channel ID],0)),0),"Watched","Unwatched"))</f>
        <v/>
      </c>
      <c r="C1922" s="40" t="n"/>
      <c r="D1922" s="41" t="n"/>
      <c r="E1922" s="42" t="n">
        <v>43518.56736111111</v>
      </c>
      <c r="F1922" s="52" t="inlineStr">
        <is>
          <t>Super Carlin Gaming</t>
        </is>
      </c>
      <c r="G1922" t="inlineStr">
        <is>
          <t>Best Friend Dating My Enemy | Super Smash Bros #21</t>
        </is>
      </c>
      <c r="H1922" s="44" t="n">
        <v>0.009606481481481481</v>
      </c>
      <c r="I1922" s="45" t="n">
        <v>8444</v>
      </c>
      <c r="J1922" s="45" t="n">
        <v>401</v>
      </c>
      <c r="K1922" s="45" t="n">
        <v>107</v>
      </c>
      <c r="L1922" s="46" t="n"/>
      <c r="M1922" s="47" t="n"/>
      <c r="N1922" s="47" t="inlineStr">
        <is>
          <t>UCor_9jRnNNZVzTuQ92PKsaQ</t>
        </is>
      </c>
      <c r="O1922" s="48" t="n">
        <v>43518.77569444444</v>
      </c>
      <c r="P1922" s="49" t="n">
        <v>43518</v>
      </c>
      <c r="Q1922" s="47" t="n">
        <v>1346</v>
      </c>
      <c r="R1922" s="47" t="inlineStr">
        <is>
          <t>No Video ID yet</t>
        </is>
      </c>
      <c r="S1922" s="49" t="n"/>
      <c r="T1922" s="49" t="n"/>
      <c r="U1922" s="47" t="n"/>
      <c r="V1922" s="47">
        <f>IF(AND(P1922&gt;=Calendar!$K$2,P1922&lt;EDATE(Calendar!$K$2,1),OR(Calendar!$K$4="*",N1922=Calendar!$K$4)),P1922*100+COUNTIFS($P$6:$P$3267,P1922,$Q$6:$Q$3267,"&lt;="&amp;Q1922,$N$6:$N$3267,Calendar!$K$4),"")</f>
        <v/>
      </c>
      <c r="W1922" s="47">
        <f>IF(AND(B1922=Queue!$C$4,OR(Queue!$K$4="*",N1922=Queue!$K$4)),Q1922,"")</f>
        <v/>
      </c>
    </row>
    <row r="1923">
      <c r="A1923" s="38">
        <f>IF(M1923="","",HYPERLINK("https://www.youtube.com/watch?v="&amp;M1923,"▶"))</f>
        <v/>
      </c>
      <c r="B1923" s="39">
        <f>IF(C1923&lt;&gt;"",C1923,IF(P1923&lt;=IFERROR(INDEX(tblChannels[Watched Through],MATCH(N1923,tblChannels[Channel ID],0)),0),"Watched","Unwatched"))</f>
        <v/>
      </c>
      <c r="C1923" s="40" t="n"/>
      <c r="D1923" s="41" t="n"/>
      <c r="E1923" s="42" t="n">
        <v>43518.41666666666</v>
      </c>
      <c r="F1923" s="53" t="inlineStr">
        <is>
          <t>Jonathan Carlin</t>
        </is>
      </c>
      <c r="G1923" t="inlineStr">
        <is>
          <t>TURNING 31</t>
        </is>
      </c>
      <c r="H1923" s="44" t="n">
        <v>0.009155092592592593</v>
      </c>
      <c r="I1923" s="45" t="n">
        <v>32879</v>
      </c>
      <c r="J1923" s="45" t="n">
        <v>1659</v>
      </c>
      <c r="K1923" s="45" t="n">
        <v>238</v>
      </c>
      <c r="L1923" s="46" t="n"/>
      <c r="M1923" s="47" t="n"/>
      <c r="N1923" s="47" t="inlineStr">
        <is>
          <t>UCYPKFe86e6nm4TVUYKLsFUQ</t>
        </is>
      </c>
      <c r="O1923" s="48" t="n">
        <v>43518.625</v>
      </c>
      <c r="P1923" s="49" t="n">
        <v>43518</v>
      </c>
      <c r="Q1923" s="47" t="n">
        <v>1345</v>
      </c>
      <c r="R1923" s="47" t="inlineStr">
        <is>
          <t>No Video ID yet</t>
        </is>
      </c>
      <c r="S1923" s="49" t="n"/>
      <c r="T1923" s="49" t="n"/>
      <c r="U1923" s="47" t="inlineStr">
        <is>
          <t>This week J celebrates his 31st Birthday, loses his shoes and attends the Square Society's Annual Black &amp; White Ball with Beth, Ben and Alyce.</t>
        </is>
      </c>
      <c r="V1923" s="47">
        <f>IF(AND(P1923&gt;=Calendar!$K$2,P1923&lt;EDATE(Calendar!$K$2,1),OR(Calendar!$K$4="*",N1923=Calendar!$K$4)),P1923*100+COUNTIFS($P$6:$P$3267,P1923,$Q$6:$Q$3267,"&lt;="&amp;Q1923,$N$6:$N$3267,Calendar!$K$4),"")</f>
        <v/>
      </c>
      <c r="W1923" s="47">
        <f>IF(AND(B1923=Queue!$C$4,OR(Queue!$K$4="*",N1923=Queue!$K$4)),Q1923,"")</f>
        <v/>
      </c>
    </row>
    <row r="1924">
      <c r="A1924" s="38">
        <f>IF(M1924="","",HYPERLINK("https://www.youtube.com/watch?v="&amp;M1924,"▶"))</f>
        <v/>
      </c>
      <c r="B1924" s="39">
        <f>IF(C1924&lt;&gt;"",C1924,IF(P1924&lt;=IFERROR(INDEX(tblChannels[Watched Through],MATCH(N1924,tblChannels[Channel ID],0)),0),"Watched","Unwatched"))</f>
        <v/>
      </c>
      <c r="C1924" s="40" t="n"/>
      <c r="D1924" s="41" t="n"/>
      <c r="E1924" s="42" t="n">
        <v>43517.69444444445</v>
      </c>
      <c r="F1924" s="50" t="inlineStr">
        <is>
          <t>Super Carlin Brothers</t>
        </is>
      </c>
      <c r="G1924" t="inlineStr">
        <is>
          <t>Is Jacob A Squib? | Fantastic Beasts Theory</t>
        </is>
      </c>
      <c r="H1924" s="44" t="n">
        <v>0.008483796296296297</v>
      </c>
      <c r="I1924" s="45" t="n">
        <v>641875</v>
      </c>
      <c r="J1924" s="45" t="n">
        <v>19532</v>
      </c>
      <c r="K1924" s="45" t="n">
        <v>2264</v>
      </c>
      <c r="L1924" s="46" t="n"/>
      <c r="M1924" s="47" t="n"/>
      <c r="N1924" s="47" t="inlineStr">
        <is>
          <t>UCKZo4N0lVPccBkSiuyVh4yg</t>
        </is>
      </c>
      <c r="O1924" s="48" t="n">
        <v>43517.90277777778</v>
      </c>
      <c r="P1924" s="49" t="n">
        <v>43517</v>
      </c>
      <c r="Q1924" s="47" t="n">
        <v>1344</v>
      </c>
      <c r="R1924" s="47" t="inlineStr">
        <is>
          <t>No Video ID yet</t>
        </is>
      </c>
      <c r="S1924" s="49" t="n"/>
      <c r="T1924" s="49" t="n"/>
      <c r="U1924" s="47" t="inlineStr">
        <is>
          <t>We Finish Each Other's Salamanders Shirt :: Today J dives into the Wizarding World of Harry Potter to discuss a new theory from Fantastic Beasts: The Crimes of Grindelwald - Is Jacob Kowalski a Squib?</t>
        </is>
      </c>
      <c r="V1924" s="47">
        <f>IF(AND(P1924&gt;=Calendar!$K$2,P1924&lt;EDATE(Calendar!$K$2,1),OR(Calendar!$K$4="*",N1924=Calendar!$K$4)),P1924*100+COUNTIFS($P$6:$P$3267,P1924,$Q$6:$Q$3267,"&lt;="&amp;Q1924,$N$6:$N$3267,Calendar!$K$4),"")</f>
        <v/>
      </c>
      <c r="W1924" s="47">
        <f>IF(AND(B1924=Queue!$C$4,OR(Queue!$K$4="*",N1924=Queue!$K$4)),Q1924,"")</f>
        <v/>
      </c>
    </row>
    <row r="1925">
      <c r="A1925" s="38">
        <f>IF(M1925="","",HYPERLINK("https://www.youtube.com/watch?v="&amp;M1925,"▶"))</f>
        <v/>
      </c>
      <c r="B1925" s="39">
        <f>IF(C1925&lt;&gt;"",C1925,IF(P1925&lt;=IFERROR(INDEX(tblChannels[Watched Through],MATCH(N1925,tblChannels[Channel ID],0)),0),"Watched","Unwatched"))</f>
        <v/>
      </c>
      <c r="C1925" s="40" t="n"/>
      <c r="D1925" s="41" t="n"/>
      <c r="E1925" s="42" t="n">
        <v>43516.67430555556</v>
      </c>
      <c r="F1925" s="52" t="inlineStr">
        <is>
          <t>Super Carlin Gaming</t>
        </is>
      </c>
      <c r="G1925" t="inlineStr">
        <is>
          <t>Friend is Jealous of Me | Super Smash Bros #20</t>
        </is>
      </c>
      <c r="H1925" s="44" t="n">
        <v>0.008217592592592592</v>
      </c>
      <c r="I1925" s="45" t="n">
        <v>8309</v>
      </c>
      <c r="J1925" s="45" t="n">
        <v>422</v>
      </c>
      <c r="K1925" s="45" t="n">
        <v>74</v>
      </c>
      <c r="L1925" s="46" t="n"/>
      <c r="M1925" s="47" t="n"/>
      <c r="N1925" s="47" t="inlineStr">
        <is>
          <t>UCor_9jRnNNZVzTuQ92PKsaQ</t>
        </is>
      </c>
      <c r="O1925" s="48" t="n">
        <v>43516.88263888889</v>
      </c>
      <c r="P1925" s="49" t="n">
        <v>43516</v>
      </c>
      <c r="Q1925" s="47" t="n">
        <v>1343</v>
      </c>
      <c r="R1925" s="47" t="inlineStr">
        <is>
          <t>No Video ID yet</t>
        </is>
      </c>
      <c r="S1925" s="49" t="n"/>
      <c r="T1925" s="49" t="n"/>
      <c r="U1925" s="47" t="n"/>
      <c r="V1925" s="47">
        <f>IF(AND(P1925&gt;=Calendar!$K$2,P1925&lt;EDATE(Calendar!$K$2,1),OR(Calendar!$K$4="*",N1925=Calendar!$K$4)),P1925*100+COUNTIFS($P$6:$P$3267,P1925,$Q$6:$Q$3267,"&lt;="&amp;Q1925,$N$6:$N$3267,Calendar!$K$4),"")</f>
        <v/>
      </c>
      <c r="W1925" s="47">
        <f>IF(AND(B1925=Queue!$C$4,OR(Queue!$K$4="*",N1925=Queue!$K$4)),Q1925,"")</f>
        <v/>
      </c>
    </row>
    <row r="1926">
      <c r="A1926" s="38">
        <f>IF(M1926="","",HYPERLINK("https://www.youtube.com/watch?v="&amp;M1926,"▶"))</f>
        <v/>
      </c>
      <c r="B1926" s="39">
        <f>IF(C1926&lt;&gt;"",C1926,IF(P1926&lt;=IFERROR(INDEX(tblChannels[Watched Through],MATCH(N1926,tblChannels[Channel ID],0)),0),"Watched","Unwatched"))</f>
        <v/>
      </c>
      <c r="C1926" s="40" t="n"/>
      <c r="D1926" s="41" t="n"/>
      <c r="E1926" s="42" t="n">
        <v>43516.41666666666</v>
      </c>
      <c r="F1926" s="53" t="inlineStr">
        <is>
          <t>Jonathan Carlin</t>
        </is>
      </c>
      <c r="G1926" t="inlineStr">
        <is>
          <t>MOVING TO THE NEW OFFICE!</t>
        </is>
      </c>
      <c r="H1926" s="44" t="n">
        <v>0.005347222222222222</v>
      </c>
      <c r="I1926" s="45" t="n">
        <v>34983</v>
      </c>
      <c r="J1926" s="45" t="n">
        <v>1894</v>
      </c>
      <c r="K1926" s="45" t="n">
        <v>218</v>
      </c>
      <c r="L1926" s="46" t="n"/>
      <c r="M1926" s="47" t="n"/>
      <c r="N1926" s="47" t="inlineStr">
        <is>
          <t>UCYPKFe86e6nm4TVUYKLsFUQ</t>
        </is>
      </c>
      <c r="O1926" s="48" t="n">
        <v>43516.625</v>
      </c>
      <c r="P1926" s="49" t="n">
        <v>43516</v>
      </c>
      <c r="Q1926" s="47" t="n">
        <v>1342</v>
      </c>
      <c r="R1926" s="47" t="inlineStr">
        <is>
          <t>No Video ID yet</t>
        </is>
      </c>
      <c r="S1926" s="49" t="n"/>
      <c r="T1926" s="49" t="n"/>
      <c r="U1926" s="47" t="inlineStr">
        <is>
          <t>This week J and the SCB crew pack up and move upwards and onwards to an awesome new space! Beth battles with a new washing machine!</t>
        </is>
      </c>
      <c r="V1926" s="47">
        <f>IF(AND(P1926&gt;=Calendar!$K$2,P1926&lt;EDATE(Calendar!$K$2,1),OR(Calendar!$K$4="*",N1926=Calendar!$K$4)),P1926*100+COUNTIFS($P$6:$P$3267,P1926,$Q$6:$Q$3267,"&lt;="&amp;Q1926,$N$6:$N$3267,Calendar!$K$4),"")</f>
        <v/>
      </c>
      <c r="W1926" s="47">
        <f>IF(AND(B1926=Queue!$C$4,OR(Queue!$K$4="*",N1926=Queue!$K$4)),Q1926,"")</f>
        <v/>
      </c>
    </row>
    <row r="1927">
      <c r="A1927" s="38">
        <f>IF(M1927="","",HYPERLINK("https://www.youtube.com/watch?v="&amp;M1927,"▶"))</f>
        <v/>
      </c>
      <c r="B1927" s="39">
        <f>IF(C1927&lt;&gt;"",C1927,IF(P1927&lt;=IFERROR(INDEX(tblChannels[Watched Through],MATCH(N1927,tblChannels[Channel ID],0)),0),"Watched","Unwatched"))</f>
        <v/>
      </c>
      <c r="C1927" s="40" t="n"/>
      <c r="D1927" s="41" t="n"/>
      <c r="E1927" s="42" t="n">
        <v>43515.78819444445</v>
      </c>
      <c r="F1927" s="50" t="inlineStr">
        <is>
          <t>Super Carlin Brothers</t>
        </is>
      </c>
      <c r="G1927" t="inlineStr">
        <is>
          <t>FROZEN 2 RUNES DECIPHERED!</t>
        </is>
      </c>
      <c r="H1927" s="44" t="n">
        <v>0.00982638888888889</v>
      </c>
      <c r="I1927" s="45" t="n">
        <v>593747</v>
      </c>
      <c r="J1927" s="45" t="n">
        <v>25904</v>
      </c>
      <c r="K1927" s="45" t="n">
        <v>4201</v>
      </c>
      <c r="L1927" s="46" t="n"/>
      <c r="M1927" s="47" t="n"/>
      <c r="N1927" s="47" t="inlineStr">
        <is>
          <t>UCKZo4N0lVPccBkSiuyVh4yg</t>
        </is>
      </c>
      <c r="O1927" s="48" t="n">
        <v>43515.99652777778</v>
      </c>
      <c r="P1927" s="49" t="n">
        <v>43515</v>
      </c>
      <c r="Q1927" s="47" t="n">
        <v>1341</v>
      </c>
      <c r="R1927" s="47" t="inlineStr">
        <is>
          <t>No Video ID yet</t>
        </is>
      </c>
      <c r="S1927" s="49" t="n"/>
      <c r="T1927" s="49" t="n"/>
      <c r="U1927" s="47" t="inlineStr">
        <is>
          <t>We Finish Each Other Salamanders T-Shirt :: Today Ben dives into the magical land of Arendelle to discuss the latest trailer for Frozen 2 recently released by Disney and to try and decipher its mysterious runes, and *ahem* snowflake.</t>
        </is>
      </c>
      <c r="V1927" s="47">
        <f>IF(AND(P1927&gt;=Calendar!$K$2,P1927&lt;EDATE(Calendar!$K$2,1),OR(Calendar!$K$4="*",N1927=Calendar!$K$4)),P1927*100+COUNTIFS($P$6:$P$3267,P1927,$Q$6:$Q$3267,"&lt;="&amp;Q1927,$N$6:$N$3267,Calendar!$K$4),"")</f>
        <v/>
      </c>
      <c r="W1927" s="47">
        <f>IF(AND(B1927=Queue!$C$4,OR(Queue!$K$4="*",N1927=Queue!$K$4)),Q1927,"")</f>
        <v/>
      </c>
    </row>
    <row r="1928">
      <c r="A1928" s="38">
        <f>IF(M1928="","",HYPERLINK("https://www.youtube.com/watch?v="&amp;M1928,"▶"))</f>
        <v/>
      </c>
      <c r="B1928" s="39">
        <f>IF(C1928&lt;&gt;"",C1928,IF(P1928&lt;=IFERROR(INDEX(tblChannels[Watched Through],MATCH(N1928,tblChannels[Channel ID],0)),0),"Watched","Unwatched"))</f>
        <v/>
      </c>
      <c r="C1928" s="40" t="n"/>
      <c r="D1928" s="41" t="n"/>
      <c r="E1928" s="42" t="n">
        <v>43514.72638888889</v>
      </c>
      <c r="F1928" s="52" t="inlineStr">
        <is>
          <t>Super Carlin Gaming</t>
        </is>
      </c>
      <c r="G1928" t="inlineStr">
        <is>
          <t>Track or Dance? | Super Smash Bros #19</t>
        </is>
      </c>
      <c r="H1928" s="44" t="n">
        <v>0.009513888888888889</v>
      </c>
      <c r="I1928" s="45" t="n">
        <v>7934</v>
      </c>
      <c r="J1928" s="45" t="n">
        <v>435</v>
      </c>
      <c r="K1928" s="45" t="n">
        <v>78</v>
      </c>
      <c r="L1928" s="46" t="n"/>
      <c r="M1928" s="47" t="n"/>
      <c r="N1928" s="47" t="inlineStr">
        <is>
          <t>UCor_9jRnNNZVzTuQ92PKsaQ</t>
        </is>
      </c>
      <c r="O1928" s="48" t="n">
        <v>43514.93472222222</v>
      </c>
      <c r="P1928" s="49" t="n">
        <v>43514</v>
      </c>
      <c r="Q1928" s="47" t="n">
        <v>1340</v>
      </c>
      <c r="R1928" s="47" t="inlineStr">
        <is>
          <t>No Video ID yet</t>
        </is>
      </c>
      <c r="S1928" s="49" t="n"/>
      <c r="T1928" s="49" t="n"/>
      <c r="U1928" s="47" t="n"/>
      <c r="V1928" s="47">
        <f>IF(AND(P1928&gt;=Calendar!$K$2,P1928&lt;EDATE(Calendar!$K$2,1),OR(Calendar!$K$4="*",N1928=Calendar!$K$4)),P1928*100+COUNTIFS($P$6:$P$3267,P1928,$Q$6:$Q$3267,"&lt;="&amp;Q1928,$N$6:$N$3267,Calendar!$K$4),"")</f>
        <v/>
      </c>
      <c r="W1928" s="47">
        <f>IF(AND(B1928=Queue!$C$4,OR(Queue!$K$4="*",N1928=Queue!$K$4)),Q1928,"")</f>
        <v/>
      </c>
    </row>
    <row r="1929">
      <c r="A1929" s="38">
        <f>IF(M1929="","",HYPERLINK("https://www.youtube.com/watch?v="&amp;M1929,"▶"))</f>
        <v/>
      </c>
      <c r="B1929" s="39">
        <f>IF(C1929&lt;&gt;"",C1929,IF(P1929&lt;=IFERROR(INDEX(tblChannels[Watched Through],MATCH(N1929,tblChannels[Channel ID],0)),0),"Watched","Unwatched"))</f>
        <v/>
      </c>
      <c r="C1929" s="40" t="n"/>
      <c r="D1929" s="41" t="n"/>
      <c r="E1929" s="42" t="n">
        <v>43514.42361111111</v>
      </c>
      <c r="F1929" s="53" t="inlineStr">
        <is>
          <t>Jonathan Carlin</t>
        </is>
      </c>
      <c r="G1929" t="inlineStr">
        <is>
          <t>LUKE'S FIRST STEPS!</t>
        </is>
      </c>
      <c r="H1929" s="44" t="n">
        <v>0.006400462962962963</v>
      </c>
      <c r="I1929" s="45" t="n">
        <v>35201</v>
      </c>
      <c r="J1929" s="45" t="n">
        <v>2051</v>
      </c>
      <c r="K1929" s="45" t="n">
        <v>262</v>
      </c>
      <c r="L1929" s="46" t="n"/>
      <c r="M1929" s="47" t="n"/>
      <c r="N1929" s="47" t="inlineStr">
        <is>
          <t>UCYPKFe86e6nm4TVUYKLsFUQ</t>
        </is>
      </c>
      <c r="O1929" s="48" t="n">
        <v>43514.63194444445</v>
      </c>
      <c r="P1929" s="49" t="n">
        <v>43514</v>
      </c>
      <c r="Q1929" s="47" t="n">
        <v>1339</v>
      </c>
      <c r="R1929" s="47" t="inlineStr">
        <is>
          <t>No Video ID yet</t>
        </is>
      </c>
      <c r="S1929" s="49" t="n"/>
      <c r="T1929" s="49" t="n"/>
      <c r="U1929" s="47" t="inlineStr">
        <is>
          <t>This week our dryer breaks down at the worst possible time as suddenly everybody gets sick... BUT Luke does pick up an awesome new skill!</t>
        </is>
      </c>
      <c r="V1929" s="47">
        <f>IF(AND(P1929&gt;=Calendar!$K$2,P1929&lt;EDATE(Calendar!$K$2,1),OR(Calendar!$K$4="*",N1929=Calendar!$K$4)),P1929*100+COUNTIFS($P$6:$P$3267,P1929,$Q$6:$Q$3267,"&lt;="&amp;Q1929,$N$6:$N$3267,Calendar!$K$4),"")</f>
        <v/>
      </c>
      <c r="W1929" s="47">
        <f>IF(AND(B1929=Queue!$C$4,OR(Queue!$K$4="*",N1929=Queue!$K$4)),Q1929,"")</f>
        <v/>
      </c>
    </row>
    <row r="1930">
      <c r="A1930" s="38">
        <f>IF(M1930="","",HYPERLINK("https://www.youtube.com/watch?v="&amp;M1930,"▶"))</f>
        <v/>
      </c>
      <c r="B1930" s="39">
        <f>IF(C1930&lt;&gt;"",C1930,IF(P1930&lt;=IFERROR(INDEX(tblChannels[Watched Through],MATCH(N1930,tblChannels[Channel ID],0)),0),"Watched","Unwatched"))</f>
        <v/>
      </c>
      <c r="C1930" s="40" t="n"/>
      <c r="D1930" s="41" t="n"/>
      <c r="E1930" s="42" t="n">
        <v>43511.56944444445</v>
      </c>
      <c r="F1930" s="52" t="inlineStr">
        <is>
          <t>Super Carlin Gaming</t>
        </is>
      </c>
      <c r="G1930" t="inlineStr">
        <is>
          <t>Parents Won't Let Me Drive! | Super Smash Bros #18</t>
        </is>
      </c>
      <c r="H1930" s="44" t="n">
        <v>0.008391203703703705</v>
      </c>
      <c r="I1930" s="45" t="n">
        <v>7675</v>
      </c>
      <c r="J1930" s="45" t="n">
        <v>422</v>
      </c>
      <c r="K1930" s="45" t="n">
        <v>70</v>
      </c>
      <c r="L1930" s="46" t="n"/>
      <c r="M1930" s="47" t="n"/>
      <c r="N1930" s="47" t="inlineStr">
        <is>
          <t>UCor_9jRnNNZVzTuQ92PKsaQ</t>
        </is>
      </c>
      <c r="O1930" s="48" t="n">
        <v>43511.77777777778</v>
      </c>
      <c r="P1930" s="49" t="n">
        <v>43511</v>
      </c>
      <c r="Q1930" s="47" t="n">
        <v>1338</v>
      </c>
      <c r="R1930" s="47" t="inlineStr">
        <is>
          <t>No Video ID yet</t>
        </is>
      </c>
      <c r="S1930" s="49" t="n"/>
      <c r="T1930" s="49" t="n"/>
      <c r="U1930" s="47" t="n"/>
      <c r="V1930" s="47">
        <f>IF(AND(P1930&gt;=Calendar!$K$2,P1930&lt;EDATE(Calendar!$K$2,1),OR(Calendar!$K$4="*",N1930=Calendar!$K$4)),P1930*100+COUNTIFS($P$6:$P$3267,P1930,$Q$6:$Q$3267,"&lt;="&amp;Q1930,$N$6:$N$3267,Calendar!$K$4),"")</f>
        <v/>
      </c>
      <c r="W1930" s="47">
        <f>IF(AND(B1930=Queue!$C$4,OR(Queue!$K$4="*",N1930=Queue!$K$4)),Q1930,"")</f>
        <v/>
      </c>
    </row>
    <row r="1931">
      <c r="A1931" s="38">
        <f>IF(M1931="","",HYPERLINK("https://www.youtube.com/watch?v="&amp;M1931,"▶"))</f>
        <v/>
      </c>
      <c r="B1931" s="39">
        <f>IF(C1931&lt;&gt;"",C1931,IF(P1931&lt;=IFERROR(INDEX(tblChannels[Watched Through],MATCH(N1931,tblChannels[Channel ID],0)),0),"Watched","Unwatched"))</f>
        <v/>
      </c>
      <c r="C1931" s="40" t="n"/>
      <c r="D1931" s="41" t="n"/>
      <c r="E1931" s="42" t="n">
        <v>43510.70208333333</v>
      </c>
      <c r="F1931" s="50" t="inlineStr">
        <is>
          <t>Super Carlin Brothers</t>
        </is>
      </c>
      <c r="G1931" t="inlineStr">
        <is>
          <t>J vs Ben: ULTIMATE Harry Potter Valentine’s Day Quiz</t>
        </is>
      </c>
      <c r="H1931" s="44" t="n">
        <v>0.02334490740740741</v>
      </c>
      <c r="I1931" s="45" t="n">
        <v>640931</v>
      </c>
      <c r="J1931" s="45" t="n">
        <v>14015</v>
      </c>
      <c r="K1931" s="45" t="n">
        <v>2521</v>
      </c>
      <c r="L1931" s="46" t="n"/>
      <c r="M1931" s="47" t="n"/>
      <c r="N1931" s="47" t="inlineStr">
        <is>
          <t>UCKZo4N0lVPccBkSiuyVh4yg</t>
        </is>
      </c>
      <c r="O1931" s="48" t="n">
        <v>43510.91041666667</v>
      </c>
      <c r="P1931" s="49" t="n">
        <v>43510</v>
      </c>
      <c r="Q1931" s="47" t="n">
        <v>1337</v>
      </c>
      <c r="R1931" s="47" t="inlineStr">
        <is>
          <t>No Video ID yet</t>
        </is>
      </c>
      <c r="S1931" s="49" t="n"/>
      <c r="T1931" s="49" t="n"/>
      <c r="U1931" s="47" t="inlineStr">
        <is>
          <t>We Finish Each Other’s Salamanders T-Shirt :: Today J and Ben face off in the ULTIMATE Vivacious Valentines Day Harry Potter Trivia Quiz to find out who knows more about Love in the Wizarding World.</t>
        </is>
      </c>
      <c r="V1931" s="47">
        <f>IF(AND(P1931&gt;=Calendar!$K$2,P1931&lt;EDATE(Calendar!$K$2,1),OR(Calendar!$K$4="*",N1931=Calendar!$K$4)),P1931*100+COUNTIFS($P$6:$P$3267,P1931,$Q$6:$Q$3267,"&lt;="&amp;Q1931,$N$6:$N$3267,Calendar!$K$4),"")</f>
        <v/>
      </c>
      <c r="W1931" s="47">
        <f>IF(AND(B1931=Queue!$C$4,OR(Queue!$K$4="*",N1931=Queue!$K$4)),Q1931,"")</f>
        <v/>
      </c>
    </row>
    <row r="1932">
      <c r="A1932" s="38">
        <f>IF(M1932="","",HYPERLINK("https://www.youtube.com/watch?v="&amp;M1932,"▶"))</f>
        <v/>
      </c>
      <c r="B1932" s="39">
        <f>IF(C1932&lt;&gt;"",C1932,IF(P1932&lt;=IFERROR(INDEX(tblChannels[Watched Through],MATCH(N1932,tblChannels[Channel ID],0)),0),"Watched","Unwatched"))</f>
        <v/>
      </c>
      <c r="C1932" s="40" t="n"/>
      <c r="D1932" s="41" t="n"/>
      <c r="E1932" s="42" t="n">
        <v>43510.63194444445</v>
      </c>
      <c r="F1932" s="53" t="inlineStr">
        <is>
          <t>Jonathan Carlin</t>
        </is>
      </c>
      <c r="G1932" t="inlineStr">
        <is>
          <t>How To Get Hurt While Sleeping..</t>
        </is>
      </c>
      <c r="H1932" s="44" t="n">
        <v>0.006423611111111111</v>
      </c>
      <c r="I1932" s="45" t="n">
        <v>31391</v>
      </c>
      <c r="J1932" s="45" t="n">
        <v>1546</v>
      </c>
      <c r="K1932" s="45" t="n">
        <v>194</v>
      </c>
      <c r="L1932" s="46" t="n"/>
      <c r="M1932" s="47" t="n"/>
      <c r="N1932" s="47" t="inlineStr">
        <is>
          <t>UCYPKFe86e6nm4TVUYKLsFUQ</t>
        </is>
      </c>
      <c r="O1932" s="48" t="n">
        <v>43510.84027777778</v>
      </c>
      <c r="P1932" s="49" t="n">
        <v>43510</v>
      </c>
      <c r="Q1932" s="47" t="n">
        <v>1336</v>
      </c>
      <c r="R1932" s="47" t="inlineStr">
        <is>
          <t>No Video ID yet</t>
        </is>
      </c>
      <c r="S1932" s="49" t="n"/>
      <c r="T1932" s="49" t="n"/>
      <c r="U1932" s="47" t="inlineStr">
        <is>
          <t>This week J and Ben get some awesome packages in the mail from Warner Brothers, Beth makes the worlds best peanut butter and Luke has some chicken!</t>
        </is>
      </c>
      <c r="V1932" s="47">
        <f>IF(AND(P1932&gt;=Calendar!$K$2,P1932&lt;EDATE(Calendar!$K$2,1),OR(Calendar!$K$4="*",N1932=Calendar!$K$4)),P1932*100+COUNTIFS($P$6:$P$3267,P1932,$Q$6:$Q$3267,"&lt;="&amp;Q1932,$N$6:$N$3267,Calendar!$K$4),"")</f>
        <v/>
      </c>
      <c r="W1932" s="47">
        <f>IF(AND(B1932=Queue!$C$4,OR(Queue!$K$4="*",N1932=Queue!$K$4)),Q1932,"")</f>
        <v/>
      </c>
    </row>
    <row r="1933">
      <c r="A1933" s="38">
        <f>IF(M1933="","",HYPERLINK("https://www.youtube.com/watch?v="&amp;M1933,"▶"))</f>
        <v/>
      </c>
      <c r="B1933" s="39">
        <f>IF(C1933&lt;&gt;"",C1933,IF(P1933&lt;=IFERROR(INDEX(tblChannels[Watched Through],MATCH(N1933,tblChannels[Channel ID],0)),0),"Watched","Unwatched"))</f>
        <v/>
      </c>
      <c r="C1933" s="40" t="n"/>
      <c r="D1933" s="41" t="n"/>
      <c r="E1933" s="42" t="n">
        <v>43509.45763888889</v>
      </c>
      <c r="F1933" s="52" t="inlineStr">
        <is>
          <t>Super Carlin Gaming</t>
        </is>
      </c>
      <c r="G1933" t="inlineStr">
        <is>
          <t>Separate the Good Memories from the Bad | Super Smash Bros #17</t>
        </is>
      </c>
      <c r="H1933" s="44" t="n">
        <v>0.007673611111111111</v>
      </c>
      <c r="I1933" s="45" t="n">
        <v>7784</v>
      </c>
      <c r="J1933" s="45" t="n">
        <v>426</v>
      </c>
      <c r="K1933" s="45" t="n">
        <v>67</v>
      </c>
      <c r="L1933" s="46" t="n"/>
      <c r="M1933" s="47" t="n"/>
      <c r="N1933" s="47" t="inlineStr">
        <is>
          <t>UCor_9jRnNNZVzTuQ92PKsaQ</t>
        </is>
      </c>
      <c r="O1933" s="48" t="n">
        <v>43509.66597222222</v>
      </c>
      <c r="P1933" s="49" t="n">
        <v>43509</v>
      </c>
      <c r="Q1933" s="47" t="n">
        <v>1335</v>
      </c>
      <c r="R1933" s="47" t="inlineStr">
        <is>
          <t>No Video ID yet</t>
        </is>
      </c>
      <c r="S1933" s="49" t="n"/>
      <c r="T1933" s="49" t="n"/>
      <c r="U1933" s="47" t="n"/>
      <c r="V1933" s="47">
        <f>IF(AND(P1933&gt;=Calendar!$K$2,P1933&lt;EDATE(Calendar!$K$2,1),OR(Calendar!$K$4="*",N1933=Calendar!$K$4)),P1933*100+COUNTIFS($P$6:$P$3267,P1933,$Q$6:$Q$3267,"&lt;="&amp;Q1933,$N$6:$N$3267,Calendar!$K$4),"")</f>
        <v/>
      </c>
      <c r="W1933" s="47">
        <f>IF(AND(B1933=Queue!$C$4,OR(Queue!$K$4="*",N1933=Queue!$K$4)),Q1933,"")</f>
        <v/>
      </c>
    </row>
    <row r="1934">
      <c r="A1934" s="38">
        <f>IF(M1934="","",HYPERLINK("https://www.youtube.com/watch?v="&amp;M1934,"▶"))</f>
        <v/>
      </c>
      <c r="B1934" s="39">
        <f>IF(C1934&lt;&gt;"",C1934,IF(P1934&lt;=IFERROR(INDEX(tblChannels[Watched Through],MATCH(N1934,tblChannels[Channel ID],0)),0),"Watched","Unwatched"))</f>
        <v/>
      </c>
      <c r="C1934" s="40" t="n"/>
      <c r="D1934" s="41" t="n"/>
      <c r="E1934" s="42" t="n">
        <v>43508.85138888889</v>
      </c>
      <c r="F1934" s="50" t="inlineStr">
        <is>
          <t>Super Carlin Brothers</t>
        </is>
      </c>
      <c r="G1934" t="inlineStr">
        <is>
          <t>Which Infinity Stone Is The Most Powerful? | Avengers Theory</t>
        </is>
      </c>
      <c r="H1934" s="44" t="n">
        <v>0.009976851851851851</v>
      </c>
      <c r="I1934" s="45" t="n">
        <v>1938006</v>
      </c>
      <c r="J1934" s="45" t="n">
        <v>39483</v>
      </c>
      <c r="K1934" s="45" t="n">
        <v>6426</v>
      </c>
      <c r="L1934" s="46" t="n"/>
      <c r="M1934" s="47" t="n"/>
      <c r="N1934" s="47" t="inlineStr">
        <is>
          <t>UCKZo4N0lVPccBkSiuyVh4yg</t>
        </is>
      </c>
      <c r="O1934" s="48" t="n">
        <v>43509.05972222222</v>
      </c>
      <c r="P1934" s="49" t="n">
        <v>43508</v>
      </c>
      <c r="Q1934" s="47" t="n">
        <v>1334</v>
      </c>
      <c r="R1934" s="47" t="inlineStr">
        <is>
          <t>No Video ID yet</t>
        </is>
      </c>
      <c r="S1934" s="49" t="n"/>
      <c r="T1934" s="49" t="n"/>
      <c r="U1934" s="47" t="inlineStr">
        <is>
          <t>Thanos Infinity Pop Vinyls :: Today, as we draw closer and closer to Marvel’s Avengers:End Game, J dives into the Marvel Cinematic Universe to try and determine which Infinity Stone is the most powerful of them all! Power? Space? Mind? Time? Soul? Reality?</t>
        </is>
      </c>
      <c r="V1934" s="47">
        <f>IF(AND(P1934&gt;=Calendar!$K$2,P1934&lt;EDATE(Calendar!$K$2,1),OR(Calendar!$K$4="*",N1934=Calendar!$K$4)),P1934*100+COUNTIFS($P$6:$P$3267,P1934,$Q$6:$Q$3267,"&lt;="&amp;Q1934,$N$6:$N$3267,Calendar!$K$4),"")</f>
        <v/>
      </c>
      <c r="W1934" s="47">
        <f>IF(AND(B1934=Queue!$C$4,OR(Queue!$K$4="*",N1934=Queue!$K$4)),Q1934,"")</f>
        <v/>
      </c>
    </row>
    <row r="1935">
      <c r="A1935" s="38">
        <f>IF(M1935="","",HYPERLINK("https://www.youtube.com/watch?v="&amp;M1935,"▶"))</f>
        <v/>
      </c>
      <c r="B1935" s="39">
        <f>IF(C1935&lt;&gt;"",C1935,IF(P1935&lt;=IFERROR(INDEX(tblChannels[Watched Through],MATCH(N1935,tblChannels[Channel ID],0)),0),"Watched","Unwatched"))</f>
        <v/>
      </c>
      <c r="C1935" s="40" t="n"/>
      <c r="D1935" s="41" t="n"/>
      <c r="E1935" s="42" t="n">
        <v>43507.64027777778</v>
      </c>
      <c r="F1935" s="52" t="inlineStr">
        <is>
          <t>Super Carlin Gaming</t>
        </is>
      </c>
      <c r="G1935" t="inlineStr">
        <is>
          <t>Abandoning Your Old Friends | Super Smash Bros #16</t>
        </is>
      </c>
      <c r="H1935" s="44" t="n">
        <v>0.00849537037037037</v>
      </c>
      <c r="I1935" s="45" t="n">
        <v>9091</v>
      </c>
      <c r="J1935" s="45" t="n">
        <v>431</v>
      </c>
      <c r="K1935" s="45" t="n">
        <v>61</v>
      </c>
      <c r="L1935" s="46" t="n"/>
      <c r="M1935" s="47" t="n"/>
      <c r="N1935" s="47" t="inlineStr">
        <is>
          <t>UCor_9jRnNNZVzTuQ92PKsaQ</t>
        </is>
      </c>
      <c r="O1935" s="48" t="n">
        <v>43507.84861111111</v>
      </c>
      <c r="P1935" s="49" t="n">
        <v>43507</v>
      </c>
      <c r="Q1935" s="47" t="n">
        <v>1333</v>
      </c>
      <c r="R1935" s="47" t="inlineStr">
        <is>
          <t>No Video ID yet</t>
        </is>
      </c>
      <c r="S1935" s="49" t="n"/>
      <c r="T1935" s="49" t="n"/>
      <c r="U1935" s="47" t="n"/>
      <c r="V1935" s="47">
        <f>IF(AND(P1935&gt;=Calendar!$K$2,P1935&lt;EDATE(Calendar!$K$2,1),OR(Calendar!$K$4="*",N1935=Calendar!$K$4)),P1935*100+COUNTIFS($P$6:$P$3267,P1935,$Q$6:$Q$3267,"&lt;="&amp;Q1935,$N$6:$N$3267,Calendar!$K$4),"")</f>
        <v/>
      </c>
      <c r="W1935" s="47">
        <f>IF(AND(B1935=Queue!$C$4,OR(Queue!$K$4="*",N1935=Queue!$K$4)),Q1935,"")</f>
        <v/>
      </c>
    </row>
    <row r="1936">
      <c r="A1936" s="38">
        <f>IF(M1936="","",HYPERLINK("https://www.youtube.com/watch?v="&amp;M1936,"▶"))</f>
        <v/>
      </c>
      <c r="B1936" s="39">
        <f>IF(C1936&lt;&gt;"",C1936,IF(P1936&lt;=IFERROR(INDEX(tblChannels[Watched Through],MATCH(N1936,tblChannels[Channel ID],0)),0),"Watched","Unwatched"))</f>
        <v/>
      </c>
      <c r="C1936" s="40" t="n"/>
      <c r="D1936" s="41" t="n"/>
      <c r="E1936" s="42" t="n">
        <v>43507.63472222222</v>
      </c>
      <c r="F1936" s="53" t="inlineStr">
        <is>
          <t>Jonathan Carlin</t>
        </is>
      </c>
      <c r="G1936" t="inlineStr">
        <is>
          <t>SKI TRIP - Don't Hurt Yourself!</t>
        </is>
      </c>
      <c r="H1936" s="44" t="n">
        <v>0.009837962962962963</v>
      </c>
      <c r="I1936" s="45" t="n">
        <v>29754</v>
      </c>
      <c r="J1936" s="45" t="n">
        <v>1467</v>
      </c>
      <c r="K1936" s="45" t="n">
        <v>253</v>
      </c>
      <c r="L1936" s="46" t="n"/>
      <c r="M1936" s="47" t="n"/>
      <c r="N1936" s="47" t="inlineStr">
        <is>
          <t>UCYPKFe86e6nm4TVUYKLsFUQ</t>
        </is>
      </c>
      <c r="O1936" s="48" t="n">
        <v>43507.84305555555</v>
      </c>
      <c r="P1936" s="49" t="n">
        <v>43507</v>
      </c>
      <c r="Q1936" s="47" t="n">
        <v>1332</v>
      </c>
      <c r="R1936" s="47" t="inlineStr">
        <is>
          <t>No Video ID yet</t>
        </is>
      </c>
      <c r="S1936" s="49" t="n"/>
      <c r="T1936" s="49" t="n"/>
      <c r="U1936" s="47" t="inlineStr">
        <is>
          <t>J adopts a new life style and tries not to get hurt leading up to long awaited ski trip - Luke meets some adorable puppies, and Beth just tries to make sure J wears his helmet.</t>
        </is>
      </c>
      <c r="V1936" s="47">
        <f>IF(AND(P1936&gt;=Calendar!$K$2,P1936&lt;EDATE(Calendar!$K$2,1),OR(Calendar!$K$4="*",N1936=Calendar!$K$4)),P1936*100+COUNTIFS($P$6:$P$3267,P1936,$Q$6:$Q$3267,"&lt;="&amp;Q1936,$N$6:$N$3267,Calendar!$K$4),"")</f>
        <v/>
      </c>
      <c r="W1936" s="47">
        <f>IF(AND(B1936=Queue!$C$4,OR(Queue!$K$4="*",N1936=Queue!$K$4)),Q1936,"")</f>
        <v/>
      </c>
    </row>
    <row r="1937">
      <c r="A1937" s="38">
        <f>IF(M1937="","",HYPERLINK("https://www.youtube.com/watch?v="&amp;M1937,"▶"))</f>
        <v/>
      </c>
      <c r="B1937" s="39">
        <f>IF(C1937&lt;&gt;"",C1937,IF(P1937&lt;=IFERROR(INDEX(tblChannels[Watched Through],MATCH(N1937,tblChannels[Channel ID],0)),0),"Watched","Unwatched"))</f>
        <v/>
      </c>
      <c r="C1937" s="40" t="n"/>
      <c r="D1937" s="41" t="n"/>
      <c r="E1937" s="42" t="n">
        <v>43504.4375</v>
      </c>
      <c r="F1937" s="52" t="inlineStr">
        <is>
          <t>Super Carlin Gaming</t>
        </is>
      </c>
      <c r="G1937" t="inlineStr">
        <is>
          <t>I Can't Get a New Job | Super Smash Bros #15</t>
        </is>
      </c>
      <c r="H1937" s="44" t="n">
        <v>0.008657407407407407</v>
      </c>
      <c r="I1937" s="45" t="n">
        <v>8419</v>
      </c>
      <c r="J1937" s="45" t="n">
        <v>364</v>
      </c>
      <c r="K1937" s="45" t="n">
        <v>84</v>
      </c>
      <c r="L1937" s="46" t="n"/>
      <c r="M1937" s="47" t="n"/>
      <c r="N1937" s="47" t="inlineStr">
        <is>
          <t>UCor_9jRnNNZVzTuQ92PKsaQ</t>
        </is>
      </c>
      <c r="O1937" s="48" t="n">
        <v>43504.64583333334</v>
      </c>
      <c r="P1937" s="49" t="n">
        <v>43504</v>
      </c>
      <c r="Q1937" s="47" t="n">
        <v>1331</v>
      </c>
      <c r="R1937" s="47" t="inlineStr">
        <is>
          <t>No Video ID yet</t>
        </is>
      </c>
      <c r="S1937" s="49" t="n"/>
      <c r="T1937" s="49" t="n"/>
      <c r="U1937" s="47" t="n"/>
      <c r="V1937" s="47">
        <f>IF(AND(P1937&gt;=Calendar!$K$2,P1937&lt;EDATE(Calendar!$K$2,1),OR(Calendar!$K$4="*",N1937=Calendar!$K$4)),P1937*100+COUNTIFS($P$6:$P$3267,P1937,$Q$6:$Q$3267,"&lt;="&amp;Q1937,$N$6:$N$3267,Calendar!$K$4),"")</f>
        <v/>
      </c>
      <c r="W1937" s="47">
        <f>IF(AND(B1937=Queue!$C$4,OR(Queue!$K$4="*",N1937=Queue!$K$4)),Q1937,"")</f>
        <v/>
      </c>
    </row>
    <row r="1938">
      <c r="A1938" s="38">
        <f>IF(M1938="","",HYPERLINK("https://www.youtube.com/watch?v="&amp;M1938,"▶"))</f>
        <v/>
      </c>
      <c r="B1938" s="39">
        <f>IF(C1938&lt;&gt;"",C1938,IF(P1938&lt;=IFERROR(INDEX(tblChannels[Watched Through],MATCH(N1938,tblChannels[Channel ID],0)),0),"Watched","Unwatched"))</f>
        <v/>
      </c>
      <c r="C1938" s="40" t="n"/>
      <c r="D1938" s="41" t="n"/>
      <c r="E1938" s="42" t="n">
        <v>43503.68819444445</v>
      </c>
      <c r="F1938" s="50" t="inlineStr">
        <is>
          <t>Super Carlin Brothers</t>
        </is>
      </c>
      <c r="G1938" t="inlineStr">
        <is>
          <t>Who Does Thanos Fear Most? | Avengers Theory</t>
        </is>
      </c>
      <c r="H1938" s="44" t="n">
        <v>0.008923611111111111</v>
      </c>
      <c r="I1938" s="45" t="n">
        <v>893635</v>
      </c>
      <c r="J1938" s="45" t="n">
        <v>22857</v>
      </c>
      <c r="K1938" s="45" t="n">
        <v>3356</v>
      </c>
      <c r="L1938" s="46" t="n"/>
      <c r="M1938" s="47" t="n"/>
      <c r="N1938" s="47" t="inlineStr">
        <is>
          <t>UCKZo4N0lVPccBkSiuyVh4yg</t>
        </is>
      </c>
      <c r="O1938" s="48" t="n">
        <v>43503.89652777778</v>
      </c>
      <c r="P1938" s="49" t="n">
        <v>43503</v>
      </c>
      <c r="Q1938" s="47" t="n">
        <v>1330</v>
      </c>
      <c r="R1938" s="47" t="inlineStr">
        <is>
          <t>No Video ID yet</t>
        </is>
      </c>
      <c r="S1938" s="49" t="n"/>
      <c r="T1938" s="49" t="n"/>
      <c r="U1938" s="47" t="inlineStr">
        <is>
          <t>Get 15% off your Vincero Watch order with Promo Code: SCB Vincero Watches :: Digital Meet &amp; Greet :: Today Ben dives in the Marvel Cinematic Universe to try and uncover which Avenger the Mad Titan, Thanos, fears above all else and who may land the final blow in End Game.</t>
        </is>
      </c>
      <c r="V1938" s="47">
        <f>IF(AND(P1938&gt;=Calendar!$K$2,P1938&lt;EDATE(Calendar!$K$2,1),OR(Calendar!$K$4="*",N1938=Calendar!$K$4)),P1938*100+COUNTIFS($P$6:$P$3267,P1938,$Q$6:$Q$3267,"&lt;="&amp;Q1938,$N$6:$N$3267,Calendar!$K$4),"")</f>
        <v/>
      </c>
      <c r="W1938" s="47">
        <f>IF(AND(B1938=Queue!$C$4,OR(Queue!$K$4="*",N1938=Queue!$K$4)),Q1938,"")</f>
        <v/>
      </c>
    </row>
    <row r="1939">
      <c r="A1939" s="38">
        <f>IF(M1939="","",HYPERLINK("https://www.youtube.com/watch?v="&amp;M1939,"▶"))</f>
        <v/>
      </c>
      <c r="B1939" s="39">
        <f>IF(C1939&lt;&gt;"",C1939,IF(P1939&lt;=IFERROR(INDEX(tblChannels[Watched Through],MATCH(N1939,tblChannels[Channel ID],0)),0),"Watched","Unwatched"))</f>
        <v/>
      </c>
      <c r="C1939" s="40" t="n"/>
      <c r="D1939" s="41" t="n"/>
      <c r="E1939" s="42" t="n">
        <v>43502.47569444445</v>
      </c>
      <c r="F1939" s="52" t="inlineStr">
        <is>
          <t>Super Carlin Gaming</t>
        </is>
      </c>
      <c r="G1939" t="inlineStr">
        <is>
          <t>My Parents are Treating Me Like a Child | Super Smash Bros #14</t>
        </is>
      </c>
      <c r="H1939" s="44" t="n">
        <v>0.007824074074074074</v>
      </c>
      <c r="I1939" s="45" t="n">
        <v>8717</v>
      </c>
      <c r="J1939" s="45" t="n">
        <v>374</v>
      </c>
      <c r="K1939" s="45" t="n">
        <v>73</v>
      </c>
      <c r="L1939" s="46" t="n"/>
      <c r="M1939" s="47" t="n"/>
      <c r="N1939" s="47" t="inlineStr">
        <is>
          <t>UCor_9jRnNNZVzTuQ92PKsaQ</t>
        </is>
      </c>
      <c r="O1939" s="48" t="n">
        <v>43502.68402777778</v>
      </c>
      <c r="P1939" s="49" t="n">
        <v>43502</v>
      </c>
      <c r="Q1939" s="47" t="n">
        <v>1329</v>
      </c>
      <c r="R1939" s="47" t="inlineStr">
        <is>
          <t>No Video ID yet</t>
        </is>
      </c>
      <c r="S1939" s="49" t="n"/>
      <c r="T1939" s="49" t="n"/>
      <c r="U1939" s="47" t="n"/>
      <c r="V1939" s="47">
        <f>IF(AND(P1939&gt;=Calendar!$K$2,P1939&lt;EDATE(Calendar!$K$2,1),OR(Calendar!$K$4="*",N1939=Calendar!$K$4)),P1939*100+COUNTIFS($P$6:$P$3267,P1939,$Q$6:$Q$3267,"&lt;="&amp;Q1939,$N$6:$N$3267,Calendar!$K$4),"")</f>
        <v/>
      </c>
      <c r="W1939" s="47">
        <f>IF(AND(B1939=Queue!$C$4,OR(Queue!$K$4="*",N1939=Queue!$K$4)),Q1939,"")</f>
        <v/>
      </c>
    </row>
    <row r="1940">
      <c r="A1940" s="38">
        <f>IF(M1940="","",HYPERLINK("https://www.youtube.com/watch?v="&amp;M1940,"▶"))</f>
        <v/>
      </c>
      <c r="B1940" s="39">
        <f>IF(C1940&lt;&gt;"",C1940,IF(P1940&lt;=IFERROR(INDEX(tblChannels[Watched Through],MATCH(N1940,tblChannels[Channel ID],0)),0),"Watched","Unwatched"))</f>
        <v/>
      </c>
      <c r="C1940" s="40" t="n"/>
      <c r="D1940" s="41" t="n"/>
      <c r="E1940" s="42" t="n">
        <v>43502.41527777778</v>
      </c>
      <c r="F1940" s="53" t="inlineStr">
        <is>
          <t>Jonathan Carlin</t>
        </is>
      </c>
      <c r="G1940" t="inlineStr">
        <is>
          <t>The mini New Year's Vlog!</t>
        </is>
      </c>
      <c r="H1940" s="44" t="n">
        <v>0.003761574074074074</v>
      </c>
      <c r="I1940" s="45" t="n">
        <v>19864</v>
      </c>
      <c r="J1940" s="45" t="n">
        <v>1123</v>
      </c>
      <c r="K1940" s="45" t="n">
        <v>119</v>
      </c>
      <c r="L1940" s="46" t="n"/>
      <c r="M1940" s="47" t="n"/>
      <c r="N1940" s="47" t="inlineStr">
        <is>
          <t>UCYPKFe86e6nm4TVUYKLsFUQ</t>
        </is>
      </c>
      <c r="O1940" s="48" t="n">
        <v>43502.62361111111</v>
      </c>
      <c r="P1940" s="49" t="n">
        <v>43502</v>
      </c>
      <c r="Q1940" s="47" t="n">
        <v>1328</v>
      </c>
      <c r="R1940" s="47" t="inlineStr">
        <is>
          <t>No Video ID yet</t>
        </is>
      </c>
      <c r="S1940" s="49" t="n"/>
      <c r="T1940" s="49" t="n"/>
      <c r="U1940" s="47" t="inlineStr">
        <is>
          <t>What 2 vlogs in one week?! MADNESS! This week J, Beth and Luke celebrate even more Christmases, ring in the New Year and go over their New Year's Resolutions!</t>
        </is>
      </c>
      <c r="V1940" s="47">
        <f>IF(AND(P1940&gt;=Calendar!$K$2,P1940&lt;EDATE(Calendar!$K$2,1),OR(Calendar!$K$4="*",N1940=Calendar!$K$4)),P1940*100+COUNTIFS($P$6:$P$3267,P1940,$Q$6:$Q$3267,"&lt;="&amp;Q1940,$N$6:$N$3267,Calendar!$K$4),"")</f>
        <v/>
      </c>
      <c r="W1940" s="47">
        <f>IF(AND(B1940=Queue!$C$4,OR(Queue!$K$4="*",N1940=Queue!$K$4)),Q1940,"")</f>
        <v/>
      </c>
    </row>
    <row r="1941">
      <c r="A1941" s="38">
        <f>IF(M1941="","",HYPERLINK("https://www.youtube.com/watch?v="&amp;M1941,"▶"))</f>
        <v/>
      </c>
      <c r="B1941" s="39">
        <f>IF(C1941&lt;&gt;"",C1941,IF(P1941&lt;=IFERROR(INDEX(tblChannels[Watched Through],MATCH(N1941,tblChannels[Channel ID],0)),0),"Watched","Unwatched"))</f>
        <v/>
      </c>
      <c r="C1941" s="40" t="n"/>
      <c r="D1941" s="41" t="n"/>
      <c r="E1941" s="42" t="n">
        <v>43501.79791666667</v>
      </c>
      <c r="F1941" s="50" t="inlineStr">
        <is>
          <t>Super Carlin Brothers</t>
        </is>
      </c>
      <c r="G1941" t="inlineStr">
        <is>
          <t>Was Salazar Slytherin EVIL? | Harry Potter</t>
        </is>
      </c>
      <c r="H1941" s="44" t="n">
        <v>0.009189814814814816</v>
      </c>
      <c r="I1941" s="45" t="n">
        <v>1213136</v>
      </c>
      <c r="J1941" s="45" t="n">
        <v>33229</v>
      </c>
      <c r="K1941" s="45" t="n">
        <v>5072</v>
      </c>
      <c r="L1941" s="46" t="n"/>
      <c r="M1941" s="47" t="n"/>
      <c r="N1941" s="47" t="inlineStr">
        <is>
          <t>UCKZo4N0lVPccBkSiuyVh4yg</t>
        </is>
      </c>
      <c r="O1941" s="48" t="n">
        <v>43502.00625</v>
      </c>
      <c r="P1941" s="49" t="n">
        <v>43501</v>
      </c>
      <c r="Q1941" s="47" t="n">
        <v>1327</v>
      </c>
      <c r="R1941" s="47" t="inlineStr">
        <is>
          <t>No Video ID yet</t>
        </is>
      </c>
      <c r="S1941" s="49" t="n"/>
      <c r="T1941" s="49" t="n"/>
      <c r="U1941" s="47" t="inlineStr">
        <is>
          <t>Digital Meet &amp; Greet :: Today J dives into the Wizarding World of Harry Potter to discuss whether or not its most infamous founder, Salazar Slytherin, was evil or just misunderstood? (Spoilers.. he's not great)</t>
        </is>
      </c>
      <c r="V1941" s="47">
        <f>IF(AND(P1941&gt;=Calendar!$K$2,P1941&lt;EDATE(Calendar!$K$2,1),OR(Calendar!$K$4="*",N1941=Calendar!$K$4)),P1941*100+COUNTIFS($P$6:$P$3267,P1941,$Q$6:$Q$3267,"&lt;="&amp;Q1941,$N$6:$N$3267,Calendar!$K$4),"")</f>
        <v/>
      </c>
      <c r="W1941" s="47">
        <f>IF(AND(B1941=Queue!$C$4,OR(Queue!$K$4="*",N1941=Queue!$K$4)),Q1941,"")</f>
        <v/>
      </c>
    </row>
    <row r="1942">
      <c r="A1942" s="38">
        <f>IF(M1942="","",HYPERLINK("https://www.youtube.com/watch?v="&amp;M1942,"▶"))</f>
        <v/>
      </c>
      <c r="B1942" s="39">
        <f>IF(C1942&lt;&gt;"",C1942,IF(P1942&lt;=IFERROR(INDEX(tblChannels[Watched Through],MATCH(N1942,tblChannels[Channel ID],0)),0),"Watched","Unwatched"))</f>
        <v/>
      </c>
      <c r="C1942" s="40" t="n"/>
      <c r="D1942" s="41" t="n"/>
      <c r="E1942" s="42" t="n">
        <v>43500.71458333333</v>
      </c>
      <c r="F1942" s="53" t="inlineStr">
        <is>
          <t>Jonathan Carlin</t>
        </is>
      </c>
      <c r="G1942" t="inlineStr">
        <is>
          <t>THE MEGA CHRISTMAS VLOG</t>
        </is>
      </c>
      <c r="H1942" s="44" t="n">
        <v>0.01386574074074074</v>
      </c>
      <c r="I1942" s="45" t="n">
        <v>44310</v>
      </c>
      <c r="J1942" s="45" t="n">
        <v>1822</v>
      </c>
      <c r="K1942" s="45" t="n">
        <v>253</v>
      </c>
      <c r="L1942" s="46" t="n"/>
      <c r="M1942" s="47" t="n"/>
      <c r="N1942" s="47" t="inlineStr">
        <is>
          <t>UCYPKFe86e6nm4TVUYKLsFUQ</t>
        </is>
      </c>
      <c r="O1942" s="48" t="n">
        <v>43500.92291666667</v>
      </c>
      <c r="P1942" s="49" t="n">
        <v>43500</v>
      </c>
      <c r="Q1942" s="47" t="n">
        <v>1326</v>
      </c>
      <c r="R1942" s="47" t="inlineStr">
        <is>
          <t>No Video ID yet</t>
        </is>
      </c>
      <c r="S1942" s="49" t="n"/>
      <c r="T1942" s="49" t="n"/>
      <c r="U1942" s="47" t="inlineStr">
        <is>
          <t>J, Beth, Luke and the rest of the family head north for Christmas where Tyler has a BIG announcement...</t>
        </is>
      </c>
      <c r="V1942" s="47">
        <f>IF(AND(P1942&gt;=Calendar!$K$2,P1942&lt;EDATE(Calendar!$K$2,1),OR(Calendar!$K$4="*",N1942=Calendar!$K$4)),P1942*100+COUNTIFS($P$6:$P$3267,P1942,$Q$6:$Q$3267,"&lt;="&amp;Q1942,$N$6:$N$3267,Calendar!$K$4),"")</f>
        <v/>
      </c>
      <c r="W1942" s="47">
        <f>IF(AND(B1942=Queue!$C$4,OR(Queue!$K$4="*",N1942=Queue!$K$4)),Q1942,"")</f>
        <v/>
      </c>
    </row>
    <row r="1943">
      <c r="A1943" s="38">
        <f>IF(M1943="","",HYPERLINK("https://www.youtube.com/watch?v="&amp;M1943,"▶"))</f>
        <v/>
      </c>
      <c r="B1943" s="39">
        <f>IF(C1943&lt;&gt;"",C1943,IF(P1943&lt;=IFERROR(INDEX(tblChannels[Watched Through],MATCH(N1943,tblChannels[Channel ID],0)),0),"Watched","Unwatched"))</f>
        <v/>
      </c>
      <c r="C1943" s="40" t="n"/>
      <c r="D1943" s="41" t="n"/>
      <c r="E1943" s="42" t="n">
        <v>43500.62986111111</v>
      </c>
      <c r="F1943" s="52" t="inlineStr">
        <is>
          <t>Super Carlin Gaming</t>
        </is>
      </c>
      <c r="G1943" t="inlineStr">
        <is>
          <t>Keeping The Love Alive | Super Smash Bros #13</t>
        </is>
      </c>
      <c r="H1943" s="44" t="n">
        <v>0.00849537037037037</v>
      </c>
      <c r="I1943" s="45" t="n">
        <v>9471</v>
      </c>
      <c r="J1943" s="45" t="n">
        <v>432</v>
      </c>
      <c r="K1943" s="45" t="n">
        <v>110</v>
      </c>
      <c r="L1943" s="46" t="n"/>
      <c r="M1943" s="47" t="n"/>
      <c r="N1943" s="47" t="inlineStr">
        <is>
          <t>UCor_9jRnNNZVzTuQ92PKsaQ</t>
        </is>
      </c>
      <c r="O1943" s="48" t="n">
        <v>43500.83819444444</v>
      </c>
      <c r="P1943" s="49" t="n">
        <v>43500</v>
      </c>
      <c r="Q1943" s="47" t="n">
        <v>1325</v>
      </c>
      <c r="R1943" s="47" t="inlineStr">
        <is>
          <t>No Video ID yet</t>
        </is>
      </c>
      <c r="S1943" s="49" t="n"/>
      <c r="T1943" s="49" t="n"/>
      <c r="U1943" s="47" t="inlineStr">
        <is>
          <t>Alternate Title: Reignite Your Mustard The Mustard:</t>
        </is>
      </c>
      <c r="V1943" s="47">
        <f>IF(AND(P1943&gt;=Calendar!$K$2,P1943&lt;EDATE(Calendar!$K$2,1),OR(Calendar!$K$4="*",N1943=Calendar!$K$4)),P1943*100+COUNTIFS($P$6:$P$3267,P1943,$Q$6:$Q$3267,"&lt;="&amp;Q1943,$N$6:$N$3267,Calendar!$K$4),"")</f>
        <v/>
      </c>
      <c r="W1943" s="47">
        <f>IF(AND(B1943=Queue!$C$4,OR(Queue!$K$4="*",N1943=Queue!$K$4)),Q1943,"")</f>
        <v/>
      </c>
    </row>
    <row r="1944">
      <c r="A1944" s="38">
        <f>IF(M1944="","",HYPERLINK("https://www.youtube.com/watch?v="&amp;M1944,"▶"))</f>
        <v/>
      </c>
      <c r="B1944" s="39">
        <f>IF(C1944&lt;&gt;"",C1944,IF(P1944&lt;=IFERROR(INDEX(tblChannels[Watched Through],MATCH(N1944,tblChannels[Channel ID],0)),0),"Watched","Unwatched"))</f>
        <v/>
      </c>
      <c r="C1944" s="40" t="n"/>
      <c r="D1944" s="41" t="n"/>
      <c r="E1944" s="42" t="n">
        <v>43497.4375</v>
      </c>
      <c r="F1944" s="52" t="inlineStr">
        <is>
          <t>Super Carlin Gaming</t>
        </is>
      </c>
      <c r="G1944" t="inlineStr">
        <is>
          <t>Dropping Bowser Butts | Super Smash Bros #12</t>
        </is>
      </c>
      <c r="H1944" s="44" t="n">
        <v>0.009502314814814814</v>
      </c>
      <c r="I1944" s="45" t="n">
        <v>10309</v>
      </c>
      <c r="J1944" s="45" t="n">
        <v>431</v>
      </c>
      <c r="K1944" s="45" t="n">
        <v>74</v>
      </c>
      <c r="L1944" s="46" t="n"/>
      <c r="M1944" s="47" t="n"/>
      <c r="N1944" s="47" t="inlineStr">
        <is>
          <t>UCor_9jRnNNZVzTuQ92PKsaQ</t>
        </is>
      </c>
      <c r="O1944" s="48" t="n">
        <v>43497.64583333334</v>
      </c>
      <c r="P1944" s="49" t="n">
        <v>43497</v>
      </c>
      <c r="Q1944" s="47" t="n">
        <v>1324</v>
      </c>
      <c r="R1944" s="47" t="inlineStr">
        <is>
          <t>No Video ID yet</t>
        </is>
      </c>
      <c r="S1944" s="49" t="n"/>
      <c r="T1944" s="49" t="n"/>
      <c r="U1944" s="47" t="n"/>
      <c r="V1944" s="47">
        <f>IF(AND(P1944&gt;=Calendar!$K$2,P1944&lt;EDATE(Calendar!$K$2,1),OR(Calendar!$K$4="*",N1944=Calendar!$K$4)),P1944*100+COUNTIFS($P$6:$P$3267,P1944,$Q$6:$Q$3267,"&lt;="&amp;Q1944,$N$6:$N$3267,Calendar!$K$4),"")</f>
        <v/>
      </c>
      <c r="W1944" s="47">
        <f>IF(AND(B1944=Queue!$C$4,OR(Queue!$K$4="*",N1944=Queue!$K$4)),Q1944,"")</f>
        <v/>
      </c>
    </row>
    <row r="1945">
      <c r="A1945" s="38">
        <f>IF(M1945="","",HYPERLINK("https://www.youtube.com/watch?v="&amp;M1945,"▶"))</f>
        <v/>
      </c>
      <c r="B1945" s="39">
        <f>IF(C1945&lt;&gt;"",C1945,IF(P1945&lt;=IFERROR(INDEX(tblChannels[Watched Through],MATCH(N1945,tblChannels[Channel ID],0)),0),"Watched","Unwatched"))</f>
        <v/>
      </c>
      <c r="C1945" s="40" t="n"/>
      <c r="D1945" s="41" t="n"/>
      <c r="E1945" s="42" t="n">
        <v>43496.53055555555</v>
      </c>
      <c r="F1945" s="50" t="inlineStr">
        <is>
          <t>Super Carlin Brothers</t>
        </is>
      </c>
      <c r="G1945" t="inlineStr">
        <is>
          <t>J vs Ben: ULTIMATE Marauders Harry Potter Trivia Quiz</t>
        </is>
      </c>
      <c r="H1945" s="44" t="n">
        <v>0.0228125</v>
      </c>
      <c r="I1945" s="45" t="n">
        <v>837587</v>
      </c>
      <c r="J1945" s="45" t="n">
        <v>16380</v>
      </c>
      <c r="K1945" s="45" t="n">
        <v>2271</v>
      </c>
      <c r="L1945" s="46" t="n"/>
      <c r="M1945" s="47" t="n"/>
      <c r="N1945" s="47" t="inlineStr">
        <is>
          <t>UCKZo4N0lVPccBkSiuyVh4yg</t>
        </is>
      </c>
      <c r="O1945" s="48" t="n">
        <v>43496.73888888889</v>
      </c>
      <c r="P1945" s="49" t="n">
        <v>43496</v>
      </c>
      <c r="Q1945" s="47" t="n">
        <v>1323</v>
      </c>
      <c r="R1945" s="47" t="inlineStr">
        <is>
          <t>No Video ID yet</t>
        </is>
      </c>
      <c r="S1945" s="49" t="n"/>
      <c r="T1945" s="49" t="n"/>
      <c r="U1945" s="47" t="inlineStr">
        <is>
          <t>Today J and Ben face off in the ULTIMATE Marauders Harry Potter trivia quiz to find out who knows more about Moony, Wormtail, Padfoot and Prongs</t>
        </is>
      </c>
      <c r="V1945" s="47">
        <f>IF(AND(P1945&gt;=Calendar!$K$2,P1945&lt;EDATE(Calendar!$K$2,1),OR(Calendar!$K$4="*",N1945=Calendar!$K$4)),P1945*100+COUNTIFS($P$6:$P$3267,P1945,$Q$6:$Q$3267,"&lt;="&amp;Q1945,$N$6:$N$3267,Calendar!$K$4),"")</f>
        <v/>
      </c>
      <c r="W1945" s="47">
        <f>IF(AND(B1945=Queue!$C$4,OR(Queue!$K$4="*",N1945=Queue!$K$4)),Q1945,"")</f>
        <v/>
      </c>
    </row>
    <row r="1946">
      <c r="A1946" s="38">
        <f>IF(M1946="","",HYPERLINK("https://www.youtube.com/watch?v="&amp;M1946,"▶"))</f>
        <v/>
      </c>
      <c r="B1946" s="39">
        <f>IF(C1946&lt;&gt;"",C1946,IF(P1946&lt;=IFERROR(INDEX(tblChannels[Watched Through],MATCH(N1946,tblChannels[Channel ID],0)),0),"Watched","Unwatched"))</f>
        <v/>
      </c>
      <c r="C1946" s="40" t="n"/>
      <c r="D1946" s="41" t="n"/>
      <c r="E1946" s="42" t="n">
        <v>43495.4375</v>
      </c>
      <c r="F1946" s="52" t="inlineStr">
        <is>
          <t>Super Carlin Gaming</t>
        </is>
      </c>
      <c r="G1946" t="inlineStr">
        <is>
          <t>Struggling With My Favorite Subject | Super Smash Bros #11</t>
        </is>
      </c>
      <c r="H1946" s="44" t="n">
        <v>0.009363425925925926</v>
      </c>
      <c r="I1946" s="45" t="n">
        <v>9678</v>
      </c>
      <c r="J1946" s="45" t="n">
        <v>463</v>
      </c>
      <c r="K1946" s="45" t="n">
        <v>69</v>
      </c>
      <c r="L1946" s="46" t="n"/>
      <c r="M1946" s="47" t="n"/>
      <c r="N1946" s="47" t="inlineStr">
        <is>
          <t>UCor_9jRnNNZVzTuQ92PKsaQ</t>
        </is>
      </c>
      <c r="O1946" s="48" t="n">
        <v>43495.64583333334</v>
      </c>
      <c r="P1946" s="49" t="n">
        <v>43495</v>
      </c>
      <c r="Q1946" s="47" t="n">
        <v>1322</v>
      </c>
      <c r="R1946" s="47" t="inlineStr">
        <is>
          <t>No Video ID yet</t>
        </is>
      </c>
      <c r="S1946" s="49" t="n"/>
      <c r="T1946" s="49" t="n"/>
      <c r="U1946" s="47" t="n"/>
      <c r="V1946" s="47">
        <f>IF(AND(P1946&gt;=Calendar!$K$2,P1946&lt;EDATE(Calendar!$K$2,1),OR(Calendar!$K$4="*",N1946=Calendar!$K$4)),P1946*100+COUNTIFS($P$6:$P$3267,P1946,$Q$6:$Q$3267,"&lt;="&amp;Q1946,$N$6:$N$3267,Calendar!$K$4),"")</f>
        <v/>
      </c>
      <c r="W1946" s="47">
        <f>IF(AND(B1946=Queue!$C$4,OR(Queue!$K$4="*",N1946=Queue!$K$4)),Q1946,"")</f>
        <v/>
      </c>
    </row>
    <row r="1947">
      <c r="A1947" s="38">
        <f>IF(M1947="","",HYPERLINK("https://www.youtube.com/watch?v="&amp;M1947,"▶"))</f>
        <v/>
      </c>
      <c r="B1947" s="39">
        <f>IF(C1947&lt;&gt;"",C1947,IF(P1947&lt;=IFERROR(INDEX(tblChannels[Watched Through],MATCH(N1947,tblChannels[Channel ID],0)),0),"Watched","Unwatched"))</f>
        <v/>
      </c>
      <c r="C1947" s="40" t="n"/>
      <c r="D1947" s="41" t="n"/>
      <c r="E1947" s="42" t="n">
        <v>43494.7125</v>
      </c>
      <c r="F1947" s="50" t="inlineStr">
        <is>
          <t>Super Carlin Brothers</t>
        </is>
      </c>
      <c r="G1947" t="inlineStr">
        <is>
          <t>Could A Dementor Destroy A Horcrux? | Harry Potter Theory</t>
        </is>
      </c>
      <c r="H1947" s="44" t="n">
        <v>0.007175925925925926</v>
      </c>
      <c r="I1947" s="45" t="n">
        <v>964154</v>
      </c>
      <c r="J1947" s="45" t="n">
        <v>27720</v>
      </c>
      <c r="K1947" s="45" t="n">
        <v>3250</v>
      </c>
      <c r="L1947" s="46" t="n"/>
      <c r="M1947" s="47" t="n"/>
      <c r="N1947" s="47" t="inlineStr">
        <is>
          <t>UCKZo4N0lVPccBkSiuyVh4yg</t>
        </is>
      </c>
      <c r="O1947" s="48" t="n">
        <v>43494.92083333333</v>
      </c>
      <c r="P1947" s="49" t="n">
        <v>43494</v>
      </c>
      <c r="Q1947" s="47" t="n">
        <v>1321</v>
      </c>
      <c r="R1947" s="47" t="inlineStr">
        <is>
          <t>No Video ID yet</t>
        </is>
      </c>
      <c r="S1947" s="49" t="n"/>
      <c r="T1947" s="49" t="n"/>
      <c r="U1947" s="47" t="inlineStr">
        <is>
          <t>Today J dives into the Wizarding World of Harry Potter to try and answer the question: Could a Dementor Destroy A Horcrux?</t>
        </is>
      </c>
      <c r="V1947" s="47">
        <f>IF(AND(P1947&gt;=Calendar!$K$2,P1947&lt;EDATE(Calendar!$K$2,1),OR(Calendar!$K$4="*",N1947=Calendar!$K$4)),P1947*100+COUNTIFS($P$6:$P$3267,P1947,$Q$6:$Q$3267,"&lt;="&amp;Q1947,$N$6:$N$3267,Calendar!$K$4),"")</f>
        <v/>
      </c>
      <c r="W1947" s="47">
        <f>IF(AND(B1947=Queue!$C$4,OR(Queue!$K$4="*",N1947=Queue!$K$4)),Q1947,"")</f>
        <v/>
      </c>
    </row>
    <row r="1948">
      <c r="A1948" s="38">
        <f>IF(M1948="","",HYPERLINK("https://www.youtube.com/watch?v="&amp;M1948,"▶"))</f>
        <v/>
      </c>
      <c r="B1948" s="39">
        <f>IF(C1948&lt;&gt;"",C1948,IF(P1948&lt;=IFERROR(INDEX(tblChannels[Watched Through],MATCH(N1948,tblChannels[Channel ID],0)),0),"Watched","Unwatched"))</f>
        <v/>
      </c>
      <c r="C1948" s="40" t="n"/>
      <c r="D1948" s="41" t="n"/>
      <c r="E1948" s="42" t="n">
        <v>43493.5375</v>
      </c>
      <c r="F1948" s="52" t="inlineStr">
        <is>
          <t>Super Carlin Gaming</t>
        </is>
      </c>
      <c r="G1948" t="inlineStr">
        <is>
          <t>Am I the Leader? | Super Smash Bros #10</t>
        </is>
      </c>
      <c r="H1948" s="44" t="n">
        <v>0.0103587962962963</v>
      </c>
      <c r="I1948" s="45" t="n">
        <v>10641</v>
      </c>
      <c r="J1948" s="45" t="n">
        <v>470</v>
      </c>
      <c r="K1948" s="45" t="n">
        <v>77</v>
      </c>
      <c r="L1948" s="46" t="n"/>
      <c r="M1948" s="47" t="n"/>
      <c r="N1948" s="47" t="inlineStr">
        <is>
          <t>UCor_9jRnNNZVzTuQ92PKsaQ</t>
        </is>
      </c>
      <c r="O1948" s="48" t="n">
        <v>43493.74583333333</v>
      </c>
      <c r="P1948" s="49" t="n">
        <v>43493</v>
      </c>
      <c r="Q1948" s="47" t="n">
        <v>1320</v>
      </c>
      <c r="R1948" s="47" t="inlineStr">
        <is>
          <t>No Video ID yet</t>
        </is>
      </c>
      <c r="S1948" s="49" t="n"/>
      <c r="T1948" s="49" t="n"/>
      <c r="U1948" s="47" t="n"/>
      <c r="V1948" s="47">
        <f>IF(AND(P1948&gt;=Calendar!$K$2,P1948&lt;EDATE(Calendar!$K$2,1),OR(Calendar!$K$4="*",N1948=Calendar!$K$4)),P1948*100+COUNTIFS($P$6:$P$3267,P1948,$Q$6:$Q$3267,"&lt;="&amp;Q1948,$N$6:$N$3267,Calendar!$K$4),"")</f>
        <v/>
      </c>
      <c r="W1948" s="47">
        <f>IF(AND(B1948=Queue!$C$4,OR(Queue!$K$4="*",N1948=Queue!$K$4)),Q1948,"")</f>
        <v/>
      </c>
    </row>
    <row r="1949">
      <c r="A1949" s="38">
        <f>IF(M1949="","",HYPERLINK("https://www.youtube.com/watch?v="&amp;M1949,"▶"))</f>
        <v/>
      </c>
      <c r="B1949" s="39">
        <f>IF(C1949&lt;&gt;"",C1949,IF(P1949&lt;=IFERROR(INDEX(tblChannels[Watched Through],MATCH(N1949,tblChannels[Channel ID],0)),0),"Watched","Unwatched"))</f>
        <v/>
      </c>
      <c r="C1949" s="40" t="n"/>
      <c r="D1949" s="41" t="n"/>
      <c r="E1949" s="42" t="n">
        <v>43490.41666666666</v>
      </c>
      <c r="F1949" s="52" t="inlineStr">
        <is>
          <t>Super Carlin Gaming</t>
        </is>
      </c>
      <c r="G1949" t="inlineStr">
        <is>
          <t>I Wanna Change Schools! | Super Smash Bros #9</t>
        </is>
      </c>
      <c r="H1949" s="44" t="n">
        <v>0.01105324074074074</v>
      </c>
      <c r="I1949" s="45" t="n">
        <v>11503</v>
      </c>
      <c r="J1949" s="45" t="n">
        <v>484</v>
      </c>
      <c r="K1949" s="45" t="n">
        <v>101</v>
      </c>
      <c r="L1949" s="46" t="n"/>
      <c r="M1949" s="47" t="n"/>
      <c r="N1949" s="47" t="inlineStr">
        <is>
          <t>UCor_9jRnNNZVzTuQ92PKsaQ</t>
        </is>
      </c>
      <c r="O1949" s="48" t="n">
        <v>43490.625</v>
      </c>
      <c r="P1949" s="49" t="n">
        <v>43490</v>
      </c>
      <c r="Q1949" s="47" t="n">
        <v>1319</v>
      </c>
      <c r="R1949" s="47" t="inlineStr">
        <is>
          <t>No Video ID yet</t>
        </is>
      </c>
      <c r="S1949" s="49" t="n"/>
      <c r="T1949" s="49" t="n"/>
      <c r="U1949" s="47" t="n"/>
      <c r="V1949" s="47">
        <f>IF(AND(P1949&gt;=Calendar!$K$2,P1949&lt;EDATE(Calendar!$K$2,1),OR(Calendar!$K$4="*",N1949=Calendar!$K$4)),P1949*100+COUNTIFS($P$6:$P$3267,P1949,$Q$6:$Q$3267,"&lt;="&amp;Q1949,$N$6:$N$3267,Calendar!$K$4),"")</f>
        <v/>
      </c>
      <c r="W1949" s="47">
        <f>IF(AND(B1949=Queue!$C$4,OR(Queue!$K$4="*",N1949=Queue!$K$4)),Q1949,"")</f>
        <v/>
      </c>
    </row>
    <row r="1950">
      <c r="A1950" s="38">
        <f>IF(M1950="","",HYPERLINK("https://www.youtube.com/watch?v="&amp;M1950,"▶"))</f>
        <v/>
      </c>
      <c r="B1950" s="39">
        <f>IF(C1950&lt;&gt;"",C1950,IF(P1950&lt;=IFERROR(INDEX(tblChannels[Watched Through],MATCH(N1950,tblChannels[Channel ID],0)),0),"Watched","Unwatched"))</f>
        <v/>
      </c>
      <c r="C1950" s="40" t="n"/>
      <c r="D1950" s="41" t="n"/>
      <c r="E1950" s="42" t="n">
        <v>43489.82361111111</v>
      </c>
      <c r="F1950" s="50" t="inlineStr">
        <is>
          <t>Super Carlin Brothers</t>
        </is>
      </c>
      <c r="G1950" t="inlineStr">
        <is>
          <t>How Nick Fury Lost His Eye | Marvel Theory</t>
        </is>
      </c>
      <c r="H1950" s="44" t="n">
        <v>0.00832175925925926</v>
      </c>
      <c r="I1950" s="45" t="n">
        <v>376238</v>
      </c>
      <c r="J1950" s="45" t="n">
        <v>12443</v>
      </c>
      <c r="K1950" s="45" t="n">
        <v>1779</v>
      </c>
      <c r="L1950" s="46" t="n"/>
      <c r="M1950" s="47" t="n"/>
      <c r="N1950" s="47" t="inlineStr">
        <is>
          <t>UCKZo4N0lVPccBkSiuyVh4yg</t>
        </is>
      </c>
      <c r="O1950" s="48" t="n">
        <v>43490.03194444445</v>
      </c>
      <c r="P1950" s="49" t="n">
        <v>43489</v>
      </c>
      <c r="Q1950" s="47" t="n">
        <v>1318</v>
      </c>
      <c r="R1950" s="47" t="inlineStr">
        <is>
          <t>No Video ID yet</t>
        </is>
      </c>
      <c r="S1950" s="49" t="n"/>
      <c r="T1950" s="49" t="n"/>
      <c r="U1950" s="47" t="inlineStr">
        <is>
          <t>Our Angry Birds Episode :: Angry Birds on the Run Playlist :: Today Ben dives into the Marvel Cinematic Universe to discuss Captain Marvel and reveal the truth about her pet cat: Goose. Carlin Brothers Coffee: www.CarlinBrothersCoffee.com</t>
        </is>
      </c>
      <c r="V1950" s="47">
        <f>IF(AND(P1950&gt;=Calendar!$K$2,P1950&lt;EDATE(Calendar!$K$2,1),OR(Calendar!$K$4="*",N1950=Calendar!$K$4)),P1950*100+COUNTIFS($P$6:$P$3267,P1950,$Q$6:$Q$3267,"&lt;="&amp;Q1950,$N$6:$N$3267,Calendar!$K$4),"")</f>
        <v/>
      </c>
      <c r="W1950" s="47">
        <f>IF(AND(B1950=Queue!$C$4,OR(Queue!$K$4="*",N1950=Queue!$K$4)),Q1950,"")</f>
        <v/>
      </c>
    </row>
    <row r="1951">
      <c r="A1951" s="38">
        <f>IF(M1951="","",HYPERLINK("https://www.youtube.com/watch?v="&amp;M1951,"▶"))</f>
        <v/>
      </c>
      <c r="B1951" s="39">
        <f>IF(C1951&lt;&gt;"",C1951,IF(P1951&lt;=IFERROR(INDEX(tblChannels[Watched Through],MATCH(N1951,tblChannels[Channel ID],0)),0),"Watched","Unwatched"))</f>
        <v/>
      </c>
      <c r="C1951" s="40" t="n"/>
      <c r="D1951" s="41" t="n"/>
      <c r="E1951" s="42" t="n">
        <v>43488.43263888889</v>
      </c>
      <c r="F1951" s="52" t="inlineStr">
        <is>
          <t>Super Carlin Gaming</t>
        </is>
      </c>
      <c r="G1951" t="inlineStr">
        <is>
          <t>You're a Fake Fan | Super Smash Bros #8</t>
        </is>
      </c>
      <c r="H1951" s="44" t="n">
        <v>0.01126157407407407</v>
      </c>
      <c r="I1951" s="45" t="n">
        <v>12847</v>
      </c>
      <c r="J1951" s="45" t="n">
        <v>552</v>
      </c>
      <c r="K1951" s="45" t="n">
        <v>118</v>
      </c>
      <c r="L1951" s="46" t="n"/>
      <c r="M1951" s="47" t="n"/>
      <c r="N1951" s="47" t="inlineStr">
        <is>
          <t>UCor_9jRnNNZVzTuQ92PKsaQ</t>
        </is>
      </c>
      <c r="O1951" s="48" t="n">
        <v>43488.64097222222</v>
      </c>
      <c r="P1951" s="49" t="n">
        <v>43488</v>
      </c>
      <c r="Q1951" s="47" t="n">
        <v>1317</v>
      </c>
      <c r="R1951" s="47" t="inlineStr">
        <is>
          <t>No Video ID yet</t>
        </is>
      </c>
      <c r="S1951" s="49" t="n"/>
      <c r="T1951" s="49" t="n"/>
      <c r="U1951" s="47" t="n"/>
      <c r="V1951" s="47">
        <f>IF(AND(P1951&gt;=Calendar!$K$2,P1951&lt;EDATE(Calendar!$K$2,1),OR(Calendar!$K$4="*",N1951=Calendar!$K$4)),P1951*100+COUNTIFS($P$6:$P$3267,P1951,$Q$6:$Q$3267,"&lt;="&amp;Q1951,$N$6:$N$3267,Calendar!$K$4),"")</f>
        <v/>
      </c>
      <c r="W1951" s="47">
        <f>IF(AND(B1951=Queue!$C$4,OR(Queue!$K$4="*",N1951=Queue!$K$4)),Q1951,"")</f>
        <v/>
      </c>
    </row>
    <row r="1952">
      <c r="A1952" s="38">
        <f>IF(M1952="","",HYPERLINK("https://www.youtube.com/watch?v="&amp;M1952,"▶"))</f>
        <v/>
      </c>
      <c r="B1952" s="39">
        <f>IF(C1952&lt;&gt;"",C1952,IF(P1952&lt;=IFERROR(INDEX(tblChannels[Watched Through],MATCH(N1952,tblChannels[Channel ID],0)),0),"Watched","Unwatched"))</f>
        <v/>
      </c>
      <c r="C1952" s="40" t="n"/>
      <c r="D1952" s="41" t="n"/>
      <c r="E1952" s="42" t="n">
        <v>43488.42916666667</v>
      </c>
      <c r="F1952" s="53" t="inlineStr">
        <is>
          <t>Jonathan Carlin</t>
        </is>
      </c>
      <c r="G1952" t="inlineStr">
        <is>
          <t>Trying To Get A PERFECT Score on Buzz Lightyear Space Ranger Spin</t>
        </is>
      </c>
      <c r="H1952" s="44" t="n">
        <v>0.004224537037037037</v>
      </c>
      <c r="I1952" s="45" t="n">
        <v>30794</v>
      </c>
      <c r="J1952" s="45" t="n">
        <v>1535</v>
      </c>
      <c r="K1952" s="45" t="n">
        <v>69</v>
      </c>
      <c r="L1952" s="46" t="n"/>
      <c r="M1952" s="47" t="n"/>
      <c r="N1952" s="47" t="inlineStr">
        <is>
          <t>UCYPKFe86e6nm4TVUYKLsFUQ</t>
        </is>
      </c>
      <c r="O1952" s="48" t="n">
        <v>43488.6375</v>
      </c>
      <c r="P1952" s="49" t="n">
        <v>43488</v>
      </c>
      <c r="Q1952" s="47" t="n">
        <v>1316</v>
      </c>
      <c r="R1952" s="47" t="inlineStr">
        <is>
          <t>No Video ID yet</t>
        </is>
      </c>
      <c r="S1952" s="49" t="n"/>
      <c r="T1952" s="49" t="n"/>
      <c r="U1952" s="47" t="inlineStr">
        <is>
          <t>This video includes a paid partnership with Disney. #ad In this bonus behind the scenes episode, J and Ben discuss their recent trip to Walt Disney World and what it was like reliving their childhood, working with Disney and hunting down myths in the park</t>
        </is>
      </c>
      <c r="V1952" s="47">
        <f>IF(AND(P1952&gt;=Calendar!$K$2,P1952&lt;EDATE(Calendar!$K$2,1),OR(Calendar!$K$4="*",N1952=Calendar!$K$4)),P1952*100+COUNTIFS($P$6:$P$3267,P1952,$Q$6:$Q$3267,"&lt;="&amp;Q1952,$N$6:$N$3267,Calendar!$K$4),"")</f>
        <v/>
      </c>
      <c r="W1952" s="47">
        <f>IF(AND(B1952=Queue!$C$4,OR(Queue!$K$4="*",N1952=Queue!$K$4)),Q1952,"")</f>
        <v/>
      </c>
    </row>
    <row r="1953">
      <c r="A1953" s="38">
        <f>IF(M1953="","",HYPERLINK("https://www.youtube.com/watch?v="&amp;M1953,"▶"))</f>
        <v/>
      </c>
      <c r="B1953" s="39">
        <f>IF(C1953&lt;&gt;"",C1953,IF(P1953&lt;=IFERROR(INDEX(tblChannels[Watched Through],MATCH(N1953,tblChannels[Channel ID],0)),0),"Watched","Unwatched"))</f>
        <v/>
      </c>
      <c r="C1953" s="40" t="n"/>
      <c r="D1953" s="41" t="n"/>
      <c r="E1953" s="42" t="n">
        <v>43487.73680555556</v>
      </c>
      <c r="F1953" s="50" t="inlineStr">
        <is>
          <t>Super Carlin Brothers</t>
        </is>
      </c>
      <c r="G1953" t="inlineStr">
        <is>
          <t>Why Luna Is Actually Snape | Harry Potter Explained</t>
        </is>
      </c>
      <c r="H1953" s="44" t="n">
        <v>0.009062499999999999</v>
      </c>
      <c r="I1953" s="45" t="n">
        <v>1612178</v>
      </c>
      <c r="J1953" s="45" t="n">
        <v>49532</v>
      </c>
      <c r="K1953" s="45" t="n">
        <v>5377</v>
      </c>
      <c r="L1953" s="46" t="n"/>
      <c r="M1953" s="47" t="n"/>
      <c r="N1953" s="47" t="inlineStr">
        <is>
          <t>UCKZo4N0lVPccBkSiuyVh4yg</t>
        </is>
      </c>
      <c r="O1953" s="48" t="n">
        <v>43487.94513888889</v>
      </c>
      <c r="P1953" s="49" t="n">
        <v>43487</v>
      </c>
      <c r="Q1953" s="47" t="n">
        <v>1315</v>
      </c>
      <c r="R1953" s="47" t="inlineStr">
        <is>
          <t>No Video ID yet</t>
        </is>
      </c>
      <c r="S1953" s="49" t="n"/>
      <c r="T1953" s="49" t="n"/>
      <c r="U1953" s="47" t="inlineStr">
        <is>
          <t>Sign up for the SCB Newsletter :: Today J dives into the Wizarding World of Harry Potter to discuss how Luna Lovegood is actually Severus Snape... lets get weird y'all!</t>
        </is>
      </c>
      <c r="V1953" s="47">
        <f>IF(AND(P1953&gt;=Calendar!$K$2,P1953&lt;EDATE(Calendar!$K$2,1),OR(Calendar!$K$4="*",N1953=Calendar!$K$4)),P1953*100+COUNTIFS($P$6:$P$3267,P1953,$Q$6:$Q$3267,"&lt;="&amp;Q1953,$N$6:$N$3267,Calendar!$K$4),"")</f>
        <v/>
      </c>
      <c r="W1953" s="47">
        <f>IF(AND(B1953=Queue!$C$4,OR(Queue!$K$4="*",N1953=Queue!$K$4)),Q1953,"")</f>
        <v/>
      </c>
    </row>
    <row r="1954">
      <c r="A1954" s="38">
        <f>IF(M1954="","",HYPERLINK("https://www.youtube.com/watch?v="&amp;M1954,"▶"))</f>
        <v/>
      </c>
      <c r="B1954" s="39">
        <f>IF(C1954&lt;&gt;"",C1954,IF(P1954&lt;=IFERROR(INDEX(tblChannels[Watched Through],MATCH(N1954,tblChannels[Channel ID],0)),0),"Watched","Unwatched"))</f>
        <v/>
      </c>
      <c r="C1954" s="40" t="n"/>
      <c r="D1954" s="41" t="n"/>
      <c r="E1954" s="42" t="n">
        <v>43486.56527777778</v>
      </c>
      <c r="F1954" s="53" t="inlineStr">
        <is>
          <t>Jonathan Carlin</t>
        </is>
      </c>
      <c r="G1954" t="inlineStr">
        <is>
          <t>SNOW DAY!</t>
        </is>
      </c>
      <c r="H1954" s="44" t="n">
        <v>0.007361111111111111</v>
      </c>
      <c r="I1954" s="45" t="n">
        <v>31074</v>
      </c>
      <c r="J1954" s="45" t="n">
        <v>1597</v>
      </c>
      <c r="K1954" s="45" t="n">
        <v>194</v>
      </c>
      <c r="L1954" s="46" t="n"/>
      <c r="M1954" s="47" t="n"/>
      <c r="N1954" s="47" t="inlineStr">
        <is>
          <t>UCYPKFe86e6nm4TVUYKLsFUQ</t>
        </is>
      </c>
      <c r="O1954" s="48" t="n">
        <v>43486.77361111111</v>
      </c>
      <c r="P1954" s="49" t="n">
        <v>43486</v>
      </c>
      <c r="Q1954" s="47" t="n">
        <v>1314</v>
      </c>
      <c r="R1954" s="47" t="inlineStr">
        <is>
          <t>No Video ID yet</t>
        </is>
      </c>
      <c r="S1954" s="49" t="n"/>
      <c r="T1954" s="49" t="n"/>
      <c r="U1954" s="47" t="inlineStr">
        <is>
          <t>Its a SNOW DAY! Also Luke tries hot chocolate for the first time - You Are Welcome!</t>
        </is>
      </c>
      <c r="V1954" s="47">
        <f>IF(AND(P1954&gt;=Calendar!$K$2,P1954&lt;EDATE(Calendar!$K$2,1),OR(Calendar!$K$4="*",N1954=Calendar!$K$4)),P1954*100+COUNTIFS($P$6:$P$3267,P1954,$Q$6:$Q$3267,"&lt;="&amp;Q1954,$N$6:$N$3267,Calendar!$K$4),"")</f>
        <v/>
      </c>
      <c r="W1954" s="47">
        <f>IF(AND(B1954=Queue!$C$4,OR(Queue!$K$4="*",N1954=Queue!$K$4)),Q1954,"")</f>
        <v/>
      </c>
    </row>
    <row r="1955">
      <c r="A1955" s="38">
        <f>IF(M1955="","",HYPERLINK("https://www.youtube.com/watch?v="&amp;M1955,"▶"))</f>
        <v/>
      </c>
      <c r="B1955" s="39">
        <f>IF(C1955&lt;&gt;"",C1955,IF(P1955&lt;=IFERROR(INDEX(tblChannels[Watched Through],MATCH(N1955,tblChannels[Channel ID],0)),0),"Watched","Unwatched"))</f>
        <v/>
      </c>
      <c r="C1955" s="40" t="n"/>
      <c r="D1955" s="41" t="n"/>
      <c r="E1955" s="42" t="n">
        <v>43486.41944444444</v>
      </c>
      <c r="F1955" s="52" t="inlineStr">
        <is>
          <t>Super Carlin Gaming</t>
        </is>
      </c>
      <c r="G1955" t="inlineStr">
        <is>
          <t>Hurricane Ike Approaches | Super Smash Bros #7</t>
        </is>
      </c>
      <c r="H1955" s="44" t="n">
        <v>0.009895833333333333</v>
      </c>
      <c r="I1955" s="45" t="n">
        <v>13085</v>
      </c>
      <c r="J1955" s="45" t="n">
        <v>549</v>
      </c>
      <c r="K1955" s="45" t="n">
        <v>108</v>
      </c>
      <c r="L1955" s="46" t="n"/>
      <c r="M1955" s="47" t="n"/>
      <c r="N1955" s="47" t="inlineStr">
        <is>
          <t>UCor_9jRnNNZVzTuQ92PKsaQ</t>
        </is>
      </c>
      <c r="O1955" s="48" t="n">
        <v>43486.62777777778</v>
      </c>
      <c r="P1955" s="49" t="n">
        <v>43486</v>
      </c>
      <c r="Q1955" s="47" t="n">
        <v>1313</v>
      </c>
      <c r="R1955" s="47" t="inlineStr">
        <is>
          <t>No Video ID yet</t>
        </is>
      </c>
      <c r="S1955" s="49" t="n"/>
      <c r="T1955" s="49" t="n"/>
      <c r="U1955" s="47" t="inlineStr">
        <is>
          <t>Ben plays a new character, we learn the best time to ask someone to Prom and how to give a Best Man speech! Game Cube Controller ::</t>
        </is>
      </c>
      <c r="V1955" s="47">
        <f>IF(AND(P1955&gt;=Calendar!$K$2,P1955&lt;EDATE(Calendar!$K$2,1),OR(Calendar!$K$4="*",N1955=Calendar!$K$4)),P1955*100+COUNTIFS($P$6:$P$3267,P1955,$Q$6:$Q$3267,"&lt;="&amp;Q1955,$N$6:$N$3267,Calendar!$K$4),"")</f>
        <v/>
      </c>
      <c r="W1955" s="47">
        <f>IF(AND(B1955=Queue!$C$4,OR(Queue!$K$4="*",N1955=Queue!$K$4)),Q1955,"")</f>
        <v/>
      </c>
    </row>
    <row r="1956">
      <c r="A1956" s="38">
        <f>IF(M1956="","",HYPERLINK("https://www.youtube.com/watch?v="&amp;M1956,"▶"))</f>
        <v/>
      </c>
      <c r="B1956" s="39">
        <f>IF(C1956&lt;&gt;"",C1956,IF(P1956&lt;=IFERROR(INDEX(tblChannels[Watched Through],MATCH(N1956,tblChannels[Channel ID],0)),0),"Watched","Unwatched"))</f>
        <v/>
      </c>
      <c r="C1956" s="40" t="n"/>
      <c r="D1956" s="41" t="n"/>
      <c r="E1956" s="42" t="n">
        <v>43483.4375</v>
      </c>
      <c r="F1956" s="52" t="inlineStr">
        <is>
          <t>Super Carlin Gaming</t>
        </is>
      </c>
      <c r="G1956" t="inlineStr">
        <is>
          <t>Grades or Extracurriculars?  | Super Smash Bros #6</t>
        </is>
      </c>
      <c r="H1956" s="44" t="n">
        <v>0.01108796296296296</v>
      </c>
      <c r="I1956" s="45" t="n">
        <v>13699</v>
      </c>
      <c r="J1956" s="45" t="n">
        <v>547</v>
      </c>
      <c r="K1956" s="45" t="n">
        <v>92</v>
      </c>
      <c r="L1956" s="46" t="n"/>
      <c r="M1956" s="47" t="n"/>
      <c r="N1956" s="47" t="inlineStr">
        <is>
          <t>UCor_9jRnNNZVzTuQ92PKsaQ</t>
        </is>
      </c>
      <c r="O1956" s="48" t="n">
        <v>43483.64583333334</v>
      </c>
      <c r="P1956" s="49" t="n">
        <v>43483</v>
      </c>
      <c r="Q1956" s="47" t="n">
        <v>1312</v>
      </c>
      <c r="R1956" s="47" t="inlineStr">
        <is>
          <t>No Video ID yet</t>
        </is>
      </c>
      <c r="S1956" s="49" t="n"/>
      <c r="T1956" s="49" t="n"/>
      <c r="U1956" s="47" t="n"/>
      <c r="V1956" s="47">
        <f>IF(AND(P1956&gt;=Calendar!$K$2,P1956&lt;EDATE(Calendar!$K$2,1),OR(Calendar!$K$4="*",N1956=Calendar!$K$4)),P1956*100+COUNTIFS($P$6:$P$3267,P1956,$Q$6:$Q$3267,"&lt;="&amp;Q1956,$N$6:$N$3267,Calendar!$K$4),"")</f>
        <v/>
      </c>
      <c r="W1956" s="47">
        <f>IF(AND(B1956=Queue!$C$4,OR(Queue!$K$4="*",N1956=Queue!$K$4)),Q1956,"")</f>
        <v/>
      </c>
    </row>
    <row r="1957">
      <c r="A1957" s="38">
        <f>IF(M1957="","",HYPERLINK("https://www.youtube.com/watch?v="&amp;M1957,"▶"))</f>
        <v/>
      </c>
      <c r="B1957" s="39">
        <f>IF(C1957&lt;&gt;"",C1957,IF(P1957&lt;=IFERROR(INDEX(tblChannels[Watched Through],MATCH(N1957,tblChannels[Channel ID],0)),0),"Watched","Unwatched"))</f>
        <v/>
      </c>
      <c r="C1957" s="40" t="n"/>
      <c r="D1957" s="41" t="n"/>
      <c r="E1957" s="42" t="n">
        <v>43482.76666666667</v>
      </c>
      <c r="F1957" s="50" t="inlineStr">
        <is>
          <t>Super Carlin Brothers</t>
        </is>
      </c>
      <c r="G1957" t="inlineStr">
        <is>
          <t>Mysterio: Hero or Villain? | Spider-Man Far From Home</t>
        </is>
      </c>
      <c r="H1957" s="44" t="n">
        <v>0.008796296296296297</v>
      </c>
      <c r="I1957" s="45" t="n">
        <v>427848</v>
      </c>
      <c r="J1957" s="45" t="n">
        <v>13437</v>
      </c>
      <c r="K1957" s="45" t="n">
        <v>2135</v>
      </c>
      <c r="L1957" s="46" t="n"/>
      <c r="M1957" s="47" t="n"/>
      <c r="N1957" s="47" t="inlineStr">
        <is>
          <t>UCKZo4N0lVPccBkSiuyVh4yg</t>
        </is>
      </c>
      <c r="O1957" s="48" t="n">
        <v>43482.975</v>
      </c>
      <c r="P1957" s="49" t="n">
        <v>43482</v>
      </c>
      <c r="Q1957" s="47" t="n">
        <v>1311</v>
      </c>
      <c r="R1957" s="47" t="inlineStr">
        <is>
          <t>No Video ID yet</t>
        </is>
      </c>
      <c r="S1957" s="49" t="n"/>
      <c r="T1957" s="49" t="n"/>
      <c r="U1957" s="47" t="inlineStr">
        <is>
          <t>Cold Brew Coffee :: Full Interview with Tom, Jake &amp; Jacob :: Today Ben dives into the Marvel Cinematic Universe to discuss the recently released trailer for Spider-Man Far From Home and its intriguing new character Mysterio (Jake Gyllenhaal). Is he friend? Foe? Or just a decoy…</t>
        </is>
      </c>
      <c r="V1957" s="47">
        <f>IF(AND(P1957&gt;=Calendar!$K$2,P1957&lt;EDATE(Calendar!$K$2,1),OR(Calendar!$K$4="*",N1957=Calendar!$K$4)),P1957*100+COUNTIFS($P$6:$P$3267,P1957,$Q$6:$Q$3267,"&lt;="&amp;Q1957,$N$6:$N$3267,Calendar!$K$4),"")</f>
        <v/>
      </c>
      <c r="W1957" s="47">
        <f>IF(AND(B1957=Queue!$C$4,OR(Queue!$K$4="*",N1957=Queue!$K$4)),Q1957,"")</f>
        <v/>
      </c>
    </row>
    <row r="1958">
      <c r="A1958" s="38">
        <f>IF(M1958="","",HYPERLINK("https://www.youtube.com/watch?v="&amp;M1958,"▶"))</f>
        <v/>
      </c>
      <c r="B1958" s="39">
        <f>IF(C1958&lt;&gt;"",C1958,IF(P1958&lt;=IFERROR(INDEX(tblChannels[Watched Through],MATCH(N1958,tblChannels[Channel ID],0)),0),"Watched","Unwatched"))</f>
        <v/>
      </c>
      <c r="C1958" s="40" t="n"/>
      <c r="D1958" s="41" t="n"/>
      <c r="E1958" s="42" t="n">
        <v>43481.61527777778</v>
      </c>
      <c r="F1958" s="52" t="inlineStr">
        <is>
          <t>Super Carlin Gaming</t>
        </is>
      </c>
      <c r="G1958" t="inlineStr">
        <is>
          <t>When to Start Dating | Super Smash Bros #5</t>
        </is>
      </c>
      <c r="H1958" s="44" t="n">
        <v>0.0127662037037037</v>
      </c>
      <c r="I1958" s="45" t="n">
        <v>17319</v>
      </c>
      <c r="J1958" s="45" t="n">
        <v>689</v>
      </c>
      <c r="K1958" s="45" t="n">
        <v>157</v>
      </c>
      <c r="L1958" s="46" t="n"/>
      <c r="M1958" s="47" t="n"/>
      <c r="N1958" s="47" t="inlineStr">
        <is>
          <t>UCor_9jRnNNZVzTuQ92PKsaQ</t>
        </is>
      </c>
      <c r="O1958" s="48" t="n">
        <v>43481.82361111111</v>
      </c>
      <c r="P1958" s="49" t="n">
        <v>43481</v>
      </c>
      <c r="Q1958" s="47" t="n">
        <v>1310</v>
      </c>
      <c r="R1958" s="47" t="inlineStr">
        <is>
          <t>No Video ID yet</t>
        </is>
      </c>
      <c r="S1958" s="49" t="n"/>
      <c r="T1958" s="49" t="n"/>
      <c r="U1958" s="47" t="inlineStr">
        <is>
          <t>Switch Game Cube Controller :: Super Smash Brothers Ultimate ::</t>
        </is>
      </c>
      <c r="V1958" s="47">
        <f>IF(AND(P1958&gt;=Calendar!$K$2,P1958&lt;EDATE(Calendar!$K$2,1),OR(Calendar!$K$4="*",N1958=Calendar!$K$4)),P1958*100+COUNTIFS($P$6:$P$3267,P1958,$Q$6:$Q$3267,"&lt;="&amp;Q1958,$N$6:$N$3267,Calendar!$K$4),"")</f>
        <v/>
      </c>
      <c r="W1958" s="47">
        <f>IF(AND(B1958=Queue!$C$4,OR(Queue!$K$4="*",N1958=Queue!$K$4)),Q1958,"")</f>
        <v/>
      </c>
    </row>
    <row r="1959">
      <c r="A1959" s="38">
        <f>IF(M1959="","",HYPERLINK("https://www.youtube.com/watch?v="&amp;M1959,"▶"))</f>
        <v/>
      </c>
      <c r="B1959" s="39">
        <f>IF(C1959&lt;&gt;"",C1959,IF(P1959&lt;=IFERROR(INDEX(tblChannels[Watched Through],MATCH(N1959,tblChannels[Channel ID],0)),0),"Watched","Unwatched"))</f>
        <v/>
      </c>
      <c r="C1959" s="40" t="n"/>
      <c r="D1959" s="41" t="n"/>
      <c r="E1959" s="42" t="n">
        <v>43480.75833333333</v>
      </c>
      <c r="F1959" s="50" t="inlineStr">
        <is>
          <t>Super Carlin Brothers</t>
        </is>
      </c>
      <c r="G1959" t="inlineStr">
        <is>
          <t>The Truth About The Wolves In Beauty and the Beast | Disney Theory</t>
        </is>
      </c>
      <c r="H1959" s="44" t="n">
        <v>0.007256944444444444</v>
      </c>
      <c r="I1959" s="45" t="n">
        <v>609203</v>
      </c>
      <c r="J1959" s="45" t="n">
        <v>15143</v>
      </c>
      <c r="K1959" s="45" t="n">
        <v>1460</v>
      </c>
      <c r="L1959" s="46" t="n"/>
      <c r="M1959" s="47" t="n"/>
      <c r="N1959" s="47" t="inlineStr">
        <is>
          <t>UCKZo4N0lVPccBkSiuyVh4yg</t>
        </is>
      </c>
      <c r="O1959" s="48" t="n">
        <v>43480.96666666667</v>
      </c>
      <c r="P1959" s="49" t="n">
        <v>43480</v>
      </c>
      <c r="Q1959" s="47" t="n">
        <v>1309</v>
      </c>
      <c r="R1959" s="47" t="inlineStr">
        <is>
          <t>No Video ID yet</t>
        </is>
      </c>
      <c r="S1959" s="49" t="n"/>
      <c r="T1959" s="49" t="n"/>
      <c r="U1959" s="47" t="inlineStr">
        <is>
          <t>Special Thanks to Pickles =D Today J dives into the world of Disney’s Beauty and the Beast to try and get to the bottom of one of the last unresolved questions of the movie: What is the deal with the wolves? Were they once human?</t>
        </is>
      </c>
      <c r="V1959" s="47">
        <f>IF(AND(P1959&gt;=Calendar!$K$2,P1959&lt;EDATE(Calendar!$K$2,1),OR(Calendar!$K$4="*",N1959=Calendar!$K$4)),P1959*100+COUNTIFS($P$6:$P$3267,P1959,$Q$6:$Q$3267,"&lt;="&amp;Q1959,$N$6:$N$3267,Calendar!$K$4),"")</f>
        <v/>
      </c>
      <c r="W1959" s="47">
        <f>IF(AND(B1959=Queue!$C$4,OR(Queue!$K$4="*",N1959=Queue!$K$4)),Q1959,"")</f>
        <v/>
      </c>
    </row>
    <row r="1960">
      <c r="A1960" s="38">
        <f>IF(M1960="","",HYPERLINK("https://www.youtube.com/watch?v="&amp;M1960,"▶"))</f>
        <v/>
      </c>
      <c r="B1960" s="39">
        <f>IF(C1960&lt;&gt;"",C1960,IF(P1960&lt;=IFERROR(INDEX(tblChannels[Watched Through],MATCH(N1960,tblChannels[Channel ID],0)),0),"Watched","Unwatched"))</f>
        <v/>
      </c>
      <c r="C1960" s="40" t="n"/>
      <c r="D1960" s="41" t="n"/>
      <c r="E1960" s="42" t="n">
        <v>43479.47013888889</v>
      </c>
      <c r="F1960" s="53" t="inlineStr">
        <is>
          <t>Jonathan Carlin</t>
        </is>
      </c>
      <c r="G1960" t="inlineStr">
        <is>
          <t>Our Engagement Story - Twelve-O-Five Day!</t>
        </is>
      </c>
      <c r="H1960" s="44" t="n">
        <v>0.00568287037037037</v>
      </c>
      <c r="I1960" s="45" t="n">
        <v>35978</v>
      </c>
      <c r="J1960" s="45" t="n">
        <v>1770</v>
      </c>
      <c r="K1960" s="45" t="n">
        <v>149</v>
      </c>
      <c r="L1960" s="46" t="n"/>
      <c r="M1960" s="47" t="n"/>
      <c r="N1960" s="47" t="inlineStr">
        <is>
          <t>UCYPKFe86e6nm4TVUYKLsFUQ</t>
        </is>
      </c>
      <c r="O1960" s="48" t="n">
        <v>43479.67847222222</v>
      </c>
      <c r="P1960" s="49" t="n">
        <v>43479</v>
      </c>
      <c r="Q1960" s="47" t="n">
        <v>1308</v>
      </c>
      <c r="R1960" s="47" t="inlineStr">
        <is>
          <t>No Video ID yet</t>
        </is>
      </c>
      <c r="S1960" s="49" t="n"/>
      <c r="T1960" s="49" t="n"/>
      <c r="U1960" s="47" t="inlineStr">
        <is>
          <t>This week J and the SCB team recover from the meetup and the rest of the Carlin clan celebrate 12/05, the day J and Beth got engaged!</t>
        </is>
      </c>
      <c r="V1960" s="47">
        <f>IF(AND(P1960&gt;=Calendar!$K$2,P1960&lt;EDATE(Calendar!$K$2,1),OR(Calendar!$K$4="*",N1960=Calendar!$K$4)),P1960*100+COUNTIFS($P$6:$P$3267,P1960,$Q$6:$Q$3267,"&lt;="&amp;Q1960,$N$6:$N$3267,Calendar!$K$4),"")</f>
        <v/>
      </c>
      <c r="W1960" s="47">
        <f>IF(AND(B1960=Queue!$C$4,OR(Queue!$K$4="*",N1960=Queue!$K$4)),Q1960,"")</f>
        <v/>
      </c>
    </row>
    <row r="1961">
      <c r="A1961" s="38">
        <f>IF(M1961="","",HYPERLINK("https://www.youtube.com/watch?v="&amp;M1961,"▶"))</f>
        <v/>
      </c>
      <c r="B1961" s="39">
        <f>IF(C1961&lt;&gt;"",C1961,IF(P1961&lt;=IFERROR(INDEX(tblChannels[Watched Through],MATCH(N1961,tblChannels[Channel ID],0)),0),"Watched","Unwatched"))</f>
        <v/>
      </c>
      <c r="C1961" s="40" t="n"/>
      <c r="D1961" s="41" t="n"/>
      <c r="E1961" s="42" t="n">
        <v>43479.4375</v>
      </c>
      <c r="F1961" s="52" t="inlineStr">
        <is>
          <t>Super Carlin Gaming</t>
        </is>
      </c>
      <c r="G1961" t="inlineStr">
        <is>
          <t>Switching Electives | Super Smash Bros #4</t>
        </is>
      </c>
      <c r="H1961" s="44" t="n">
        <v>0.01239583333333333</v>
      </c>
      <c r="I1961" s="45" t="n">
        <v>18151</v>
      </c>
      <c r="J1961" s="45" t="n">
        <v>697</v>
      </c>
      <c r="K1961" s="45" t="n">
        <v>290</v>
      </c>
      <c r="L1961" s="46" t="n"/>
      <c r="M1961" s="47" t="n"/>
      <c r="N1961" s="47" t="inlineStr">
        <is>
          <t>UCor_9jRnNNZVzTuQ92PKsaQ</t>
        </is>
      </c>
      <c r="O1961" s="48" t="n">
        <v>43479.64583333334</v>
      </c>
      <c r="P1961" s="49" t="n">
        <v>43479</v>
      </c>
      <c r="Q1961" s="47" t="n">
        <v>1307</v>
      </c>
      <c r="R1961" s="47" t="inlineStr">
        <is>
          <t>No Video ID yet</t>
        </is>
      </c>
      <c r="S1961" s="49" t="n"/>
      <c r="T1961" s="49" t="n"/>
      <c r="U1961" s="47" t="n"/>
      <c r="V1961" s="47">
        <f>IF(AND(P1961&gt;=Calendar!$K$2,P1961&lt;EDATE(Calendar!$K$2,1),OR(Calendar!$K$4="*",N1961=Calendar!$K$4)),P1961*100+COUNTIFS($P$6:$P$3267,P1961,$Q$6:$Q$3267,"&lt;="&amp;Q1961,$N$6:$N$3267,Calendar!$K$4),"")</f>
        <v/>
      </c>
      <c r="W1961" s="47">
        <f>IF(AND(B1961=Queue!$C$4,OR(Queue!$K$4="*",N1961=Queue!$K$4)),Q1961,"")</f>
        <v/>
      </c>
    </row>
    <row r="1962">
      <c r="A1962" s="38">
        <f>IF(M1962="","",HYPERLINK("https://www.youtube.com/watch?v="&amp;M1962,"▶"))</f>
        <v/>
      </c>
      <c r="B1962" s="39">
        <f>IF(C1962&lt;&gt;"",C1962,IF(P1962&lt;=IFERROR(INDEX(tblChannels[Watched Through],MATCH(N1962,tblChannels[Channel ID],0)),0),"Watched","Unwatched"))</f>
        <v/>
      </c>
      <c r="C1962" s="40" t="n"/>
      <c r="D1962" s="41" t="n"/>
      <c r="E1962" s="42" t="n">
        <v>43475.67986111111</v>
      </c>
      <c r="F1962" s="50" t="inlineStr">
        <is>
          <t>Super Carlin Brothers</t>
        </is>
      </c>
      <c r="G1962" t="inlineStr">
        <is>
          <t>J vs Ben: ULTIMATE Harry Potter DARK ARTS Quiz</t>
        </is>
      </c>
      <c r="H1962" s="44" t="n">
        <v>0.02240740740740741</v>
      </c>
      <c r="I1962" s="45" t="n">
        <v>1014968</v>
      </c>
      <c r="J1962" s="45" t="n">
        <v>19209</v>
      </c>
      <c r="K1962" s="45" t="n">
        <v>3246</v>
      </c>
      <c r="L1962" s="46" t="n"/>
      <c r="M1962" s="47" t="n"/>
      <c r="N1962" s="47" t="inlineStr">
        <is>
          <t>UCKZo4N0lVPccBkSiuyVh4yg</t>
        </is>
      </c>
      <c r="O1962" s="48" t="n">
        <v>43475.88819444444</v>
      </c>
      <c r="P1962" s="49" t="n">
        <v>43475</v>
      </c>
      <c r="Q1962" s="47" t="n">
        <v>1306</v>
      </c>
      <c r="R1962" s="47" t="inlineStr">
        <is>
          <t>No Video ID yet</t>
        </is>
      </c>
      <c r="S1962" s="49" t="n"/>
      <c r="T1962" s="49" t="n"/>
      <c r="U1962" s="47" t="inlineStr">
        <is>
          <t>Go to or text SCB to 500-500 to get a free book, 2 free Audible Originals, and a 30 day free trial! Today J and Ben face off in the ultimate Pottermore Harry Potter Dark Arts Trivia Quiz to see who is the master of the dark arts! Play along with us:</t>
        </is>
      </c>
      <c r="V1962" s="47">
        <f>IF(AND(P1962&gt;=Calendar!$K$2,P1962&lt;EDATE(Calendar!$K$2,1),OR(Calendar!$K$4="*",N1962=Calendar!$K$4)),P1962*100+COUNTIFS($P$6:$P$3267,P1962,$Q$6:$Q$3267,"&lt;="&amp;Q1962,$N$6:$N$3267,Calendar!$K$4),"")</f>
        <v/>
      </c>
      <c r="W1962" s="47">
        <f>IF(AND(B1962=Queue!$C$4,OR(Queue!$K$4="*",N1962=Queue!$K$4)),Q1962,"")</f>
        <v/>
      </c>
    </row>
    <row r="1963">
      <c r="A1963" s="38">
        <f>IF(M1963="","",HYPERLINK("https://www.youtube.com/watch?v="&amp;M1963,"▶"))</f>
        <v/>
      </c>
      <c r="B1963" s="39">
        <f>IF(C1963&lt;&gt;"",C1963,IF(P1963&lt;=IFERROR(INDEX(tblChannels[Watched Through],MATCH(N1963,tblChannels[Channel ID],0)),0),"Watched","Unwatched"))</f>
        <v/>
      </c>
      <c r="C1963" s="40" t="n"/>
      <c r="D1963" s="41" t="n"/>
      <c r="E1963" s="42" t="n">
        <v>43474.4375</v>
      </c>
      <c r="F1963" s="52" t="inlineStr">
        <is>
          <t>Super Carlin Gaming</t>
        </is>
      </c>
      <c r="G1963" t="inlineStr">
        <is>
          <t>Personality Types? | Super Smash Bros #3</t>
        </is>
      </c>
      <c r="H1963" s="44" t="n">
        <v>0.01071759259259259</v>
      </c>
      <c r="I1963" s="45" t="n">
        <v>20928</v>
      </c>
      <c r="J1963" s="45" t="n">
        <v>825</v>
      </c>
      <c r="K1963" s="45" t="n">
        <v>182</v>
      </c>
      <c r="L1963" s="46" t="n"/>
      <c r="M1963" s="47" t="n"/>
      <c r="N1963" s="47" t="inlineStr">
        <is>
          <t>UCor_9jRnNNZVzTuQ92PKsaQ</t>
        </is>
      </c>
      <c r="O1963" s="48" t="n">
        <v>43474.64583333334</v>
      </c>
      <c r="P1963" s="49" t="n">
        <v>43474</v>
      </c>
      <c r="Q1963" s="47" t="n">
        <v>1305</v>
      </c>
      <c r="R1963" s="47" t="inlineStr">
        <is>
          <t>No Video ID yet</t>
        </is>
      </c>
      <c r="S1963" s="49" t="n"/>
      <c r="T1963" s="49" t="n"/>
      <c r="U1963" s="47" t="n"/>
      <c r="V1963" s="47">
        <f>IF(AND(P1963&gt;=Calendar!$K$2,P1963&lt;EDATE(Calendar!$K$2,1),OR(Calendar!$K$4="*",N1963=Calendar!$K$4)),P1963*100+COUNTIFS($P$6:$P$3267,P1963,$Q$6:$Q$3267,"&lt;="&amp;Q1963,$N$6:$N$3267,Calendar!$K$4),"")</f>
        <v/>
      </c>
      <c r="W1963" s="47">
        <f>IF(AND(B1963=Queue!$C$4,OR(Queue!$K$4="*",N1963=Queue!$K$4)),Q1963,"")</f>
        <v/>
      </c>
    </row>
    <row r="1964">
      <c r="A1964" s="38">
        <f>IF(M1964="","",HYPERLINK("https://www.youtube.com/watch?v="&amp;M1964,"▶"))</f>
        <v/>
      </c>
      <c r="B1964" s="39">
        <f>IF(C1964&lt;&gt;"",C1964,IF(P1964&lt;=IFERROR(INDEX(tblChannels[Watched Through],MATCH(N1964,tblChannels[Channel ID],0)),0),"Watched","Unwatched"))</f>
        <v/>
      </c>
      <c r="C1964" s="40" t="n"/>
      <c r="D1964" s="41" t="n"/>
      <c r="E1964" s="42" t="n">
        <v>43474.4375</v>
      </c>
      <c r="F1964" s="52" t="inlineStr">
        <is>
          <t>Super Carlin Gaming</t>
        </is>
      </c>
      <c r="G1964" t="inlineStr">
        <is>
          <t>Best Man Problems | Super Smash Bros #2</t>
        </is>
      </c>
      <c r="H1964" s="44" t="n">
        <v>0.0102662037037037</v>
      </c>
      <c r="I1964" s="45" t="n">
        <v>23380</v>
      </c>
      <c r="J1964" s="45" t="n">
        <v>782</v>
      </c>
      <c r="K1964" s="45" t="n">
        <v>69</v>
      </c>
      <c r="L1964" s="46" t="n"/>
      <c r="M1964" s="47" t="n"/>
      <c r="N1964" s="47" t="inlineStr">
        <is>
          <t>UCor_9jRnNNZVzTuQ92PKsaQ</t>
        </is>
      </c>
      <c r="O1964" s="48" t="n">
        <v>43474.64583333334</v>
      </c>
      <c r="P1964" s="49" t="n">
        <v>43474</v>
      </c>
      <c r="Q1964" s="47" t="n">
        <v>1304</v>
      </c>
      <c r="R1964" s="47" t="inlineStr">
        <is>
          <t>No Video ID yet</t>
        </is>
      </c>
      <c r="S1964" s="49" t="n"/>
      <c r="T1964" s="49" t="n"/>
      <c r="U1964" s="47" t="n"/>
      <c r="V1964" s="47">
        <f>IF(AND(P1964&gt;=Calendar!$K$2,P1964&lt;EDATE(Calendar!$K$2,1),OR(Calendar!$K$4="*",N1964=Calendar!$K$4)),P1964*100+COUNTIFS($P$6:$P$3267,P1964,$Q$6:$Q$3267,"&lt;="&amp;Q1964,$N$6:$N$3267,Calendar!$K$4),"")</f>
        <v/>
      </c>
      <c r="W1964" s="47">
        <f>IF(AND(B1964=Queue!$C$4,OR(Queue!$K$4="*",N1964=Queue!$K$4)),Q1964,"")</f>
        <v/>
      </c>
    </row>
    <row r="1965">
      <c r="A1965" s="38">
        <f>IF(M1965="","",HYPERLINK("https://www.youtube.com/watch?v="&amp;M1965,"▶"))</f>
        <v/>
      </c>
      <c r="B1965" s="39">
        <f>IF(C1965&lt;&gt;"",C1965,IF(P1965&lt;=IFERROR(INDEX(tblChannels[Watched Through],MATCH(N1965,tblChannels[Channel ID],0)),0),"Watched","Unwatched"))</f>
        <v/>
      </c>
      <c r="C1965" s="40" t="n"/>
      <c r="D1965" s="41" t="n"/>
      <c r="E1965" s="42" t="n">
        <v>43473.79305555556</v>
      </c>
      <c r="F1965" s="50" t="inlineStr">
        <is>
          <t>Super Carlin Brothers</t>
        </is>
      </c>
      <c r="G1965" t="inlineStr">
        <is>
          <t>Why Was Dumbledore Teaching Defense Against The Dark Arts? | Harry Potter Theory</t>
        </is>
      </c>
      <c r="H1965" s="44" t="n">
        <v>0.007974537037037037</v>
      </c>
      <c r="I1965" s="45" t="n">
        <v>1234011</v>
      </c>
      <c r="J1965" s="45" t="n">
        <v>31905</v>
      </c>
      <c r="K1965" s="45" t="n">
        <v>2942</v>
      </c>
      <c r="L1965" s="46" t="n"/>
      <c r="M1965" s="47" t="n"/>
      <c r="N1965" s="47" t="inlineStr">
        <is>
          <t>UCKZo4N0lVPccBkSiuyVh4yg</t>
        </is>
      </c>
      <c r="O1965" s="48" t="n">
        <v>43474.00138888889</v>
      </c>
      <c r="P1965" s="49" t="n">
        <v>43473</v>
      </c>
      <c r="Q1965" s="47" t="n">
        <v>1303</v>
      </c>
      <c r="R1965" s="47" t="inlineStr">
        <is>
          <t>No Video ID yet</t>
        </is>
      </c>
      <c r="S1965" s="49" t="n"/>
      <c r="T1965" s="49" t="n"/>
      <c r="U1965" s="47" t="inlineStr">
        <is>
          <t>Today J dives into the Wizarding World of Harry Potter to try and answer one of the most common questions from Fantastic Beasts: The Crimes of Grindelwald: Why is Dumbledore teaching Defense Against the Dark Arts?</t>
        </is>
      </c>
      <c r="V1965" s="47">
        <f>IF(AND(P1965&gt;=Calendar!$K$2,P1965&lt;EDATE(Calendar!$K$2,1),OR(Calendar!$K$4="*",N1965=Calendar!$K$4)),P1965*100+COUNTIFS($P$6:$P$3267,P1965,$Q$6:$Q$3267,"&lt;="&amp;Q1965,$N$6:$N$3267,Calendar!$K$4),"")</f>
        <v/>
      </c>
      <c r="W1965" s="47">
        <f>IF(AND(B1965=Queue!$C$4,OR(Queue!$K$4="*",N1965=Queue!$K$4)),Q1965,"")</f>
        <v/>
      </c>
    </row>
    <row r="1966">
      <c r="A1966" s="38">
        <f>IF(M1966="","",HYPERLINK("https://www.youtube.com/watch?v="&amp;M1966,"▶"))</f>
        <v/>
      </c>
      <c r="B1966" s="39">
        <f>IF(C1966&lt;&gt;"",C1966,IF(P1966&lt;=IFERROR(INDEX(tblChannels[Watched Through],MATCH(N1966,tblChannels[Channel ID],0)),0),"Watched","Unwatched"))</f>
        <v/>
      </c>
      <c r="C1966" s="40" t="n"/>
      <c r="D1966" s="41" t="n"/>
      <c r="E1966" s="42" t="n">
        <v>43472.77569444444</v>
      </c>
      <c r="F1966" s="53" t="inlineStr">
        <is>
          <t>Jonathan Carlin</t>
        </is>
      </c>
      <c r="G1966" t="inlineStr">
        <is>
          <t>CRIMES OF GRINDELWALD ORLANDO MEET UP</t>
        </is>
      </c>
      <c r="H1966" s="44" t="n">
        <v>0.01019675925925926</v>
      </c>
      <c r="I1966" s="45" t="n">
        <v>28825</v>
      </c>
      <c r="J1966" s="45" t="n">
        <v>1569</v>
      </c>
      <c r="K1966" s="45" t="n">
        <v>224</v>
      </c>
      <c r="L1966" s="46" t="n"/>
      <c r="M1966" s="47" t="n"/>
      <c r="N1966" s="47" t="inlineStr">
        <is>
          <t>UCYPKFe86e6nm4TVUYKLsFUQ</t>
        </is>
      </c>
      <c r="O1966" s="48" t="n">
        <v>43472.98402777778</v>
      </c>
      <c r="P1966" s="49" t="n">
        <v>43472</v>
      </c>
      <c r="Q1966" s="47" t="n">
        <v>1302</v>
      </c>
      <c r="R1966" s="47" t="inlineStr">
        <is>
          <t>No Video ID yet</t>
        </is>
      </c>
      <c r="S1966" s="49" t="n"/>
      <c r="T1966" s="49" t="n"/>
      <c r="U1966" s="47" t="inlineStr">
        <is>
          <t>This week the SCB crew heads to Orlando to see Crimes of Grindelwald and meet up with viewers! Special thanks to all of our amazing volunteers who totally made this event happen and made everything flow so smoothly!</t>
        </is>
      </c>
      <c r="V1966" s="47">
        <f>IF(AND(P1966&gt;=Calendar!$K$2,P1966&lt;EDATE(Calendar!$K$2,1),OR(Calendar!$K$4="*",N1966=Calendar!$K$4)),P1966*100+COUNTIFS($P$6:$P$3267,P1966,$Q$6:$Q$3267,"&lt;="&amp;Q1966,$N$6:$N$3267,Calendar!$K$4),"")</f>
        <v/>
      </c>
      <c r="W1966" s="47">
        <f>IF(AND(B1966=Queue!$C$4,OR(Queue!$K$4="*",N1966=Queue!$K$4)),Q1966,"")</f>
        <v/>
      </c>
    </row>
    <row r="1967">
      <c r="A1967" s="38">
        <f>IF(M1967="","",HYPERLINK("https://www.youtube.com/watch?v="&amp;M1967,"▶"))</f>
        <v/>
      </c>
      <c r="B1967" s="39">
        <f>IF(C1967&lt;&gt;"",C1967,IF(P1967&lt;=IFERROR(INDEX(tblChannels[Watched Through],MATCH(N1967,tblChannels[Channel ID],0)),0),"Watched","Unwatched"))</f>
        <v/>
      </c>
      <c r="C1967" s="40" t="n"/>
      <c r="D1967" s="41" t="n"/>
      <c r="E1967" s="42" t="n">
        <v>43472.69097222222</v>
      </c>
      <c r="F1967" s="52" t="inlineStr">
        <is>
          <t>Super Carlin Gaming</t>
        </is>
      </c>
      <c r="G1967" t="inlineStr">
        <is>
          <t>A NEW CHALLENGER APPROACHES | Smash Bros #1</t>
        </is>
      </c>
      <c r="H1967" s="44" t="n">
        <v>0.01454861111111111</v>
      </c>
      <c r="I1967" s="45" t="n">
        <v>67416</v>
      </c>
      <c r="J1967" s="45" t="n">
        <v>1930</v>
      </c>
      <c r="K1967" s="45" t="n">
        <v>279</v>
      </c>
      <c r="L1967" s="46" t="n"/>
      <c r="M1967" s="47" t="n"/>
      <c r="N1967" s="47" t="inlineStr">
        <is>
          <t>UCor_9jRnNNZVzTuQ92PKsaQ</t>
        </is>
      </c>
      <c r="O1967" s="48" t="n">
        <v>43472.89930555555</v>
      </c>
      <c r="P1967" s="49" t="n">
        <v>43472</v>
      </c>
      <c r="Q1967" s="47" t="n">
        <v>1301</v>
      </c>
      <c r="R1967" s="47" t="inlineStr">
        <is>
          <t>No Video ID yet</t>
        </is>
      </c>
      <c r="S1967" s="49" t="n"/>
      <c r="T1967" s="49" t="n"/>
      <c r="U1967" s="47" t="inlineStr">
        <is>
          <t>It's us. We are the new challenger.</t>
        </is>
      </c>
      <c r="V1967" s="47">
        <f>IF(AND(P1967&gt;=Calendar!$K$2,P1967&lt;EDATE(Calendar!$K$2,1),OR(Calendar!$K$4="*",N1967=Calendar!$K$4)),P1967*100+COUNTIFS($P$6:$P$3267,P1967,$Q$6:$Q$3267,"&lt;="&amp;Q1967,$N$6:$N$3267,Calendar!$K$4),"")</f>
        <v/>
      </c>
      <c r="W1967" s="47">
        <f>IF(AND(B1967=Queue!$C$4,OR(Queue!$K$4="*",N1967=Queue!$K$4)),Q1967,"")</f>
        <v/>
      </c>
    </row>
    <row r="1968">
      <c r="A1968" s="38">
        <f>IF(M1968="","",HYPERLINK("https://www.youtube.com/watch?v="&amp;M1968,"▶"))</f>
        <v/>
      </c>
      <c r="B1968" s="39">
        <f>IF(C1968&lt;&gt;"",C1968,IF(P1968&lt;=IFERROR(INDEX(tblChannels[Watched Through],MATCH(N1968,tblChannels[Channel ID],0)),0),"Watched","Unwatched"))</f>
        <v/>
      </c>
      <c r="C1968" s="40" t="n"/>
      <c r="D1968" s="41" t="n"/>
      <c r="E1968" s="42" t="n">
        <v>43468.84583333333</v>
      </c>
      <c r="F1968" s="50" t="inlineStr">
        <is>
          <t>Super Carlin Brothers</t>
        </is>
      </c>
      <c r="G1968" t="inlineStr">
        <is>
          <t>Which Infinity Stone Is Each Avenger?</t>
        </is>
      </c>
      <c r="H1968" s="44" t="n">
        <v>0.008564814814814815</v>
      </c>
      <c r="I1968" s="45" t="n">
        <v>1150453</v>
      </c>
      <c r="J1968" s="45" t="n">
        <v>34677</v>
      </c>
      <c r="K1968" s="45" t="n">
        <v>5468</v>
      </c>
      <c r="L1968" s="46" t="n"/>
      <c r="M1968" s="47" t="n"/>
      <c r="N1968" s="47" t="inlineStr">
        <is>
          <t>UCKZo4N0lVPccBkSiuyVh4yg</t>
        </is>
      </c>
      <c r="O1968" s="48" t="n">
        <v>43469.05416666667</v>
      </c>
      <c r="P1968" s="49" t="n">
        <v>43468</v>
      </c>
      <c r="Q1968" s="47" t="n">
        <v>1300</v>
      </c>
      <c r="R1968" s="47" t="inlineStr">
        <is>
          <t>No Video ID yet</t>
        </is>
      </c>
      <c r="S1968" s="49" t="n"/>
      <c r="T1968" s="49" t="n"/>
      <c r="U1968" s="47" t="inlineStr">
        <is>
          <t>Today Ben dives into the Marvel Cinematic Universe to discuss how the original six Avengers may be the key to defeating Thanos in Avengers: End Game and determines which infinity stone each one of them represents.</t>
        </is>
      </c>
      <c r="V1968" s="47">
        <f>IF(AND(P1968&gt;=Calendar!$K$2,P1968&lt;EDATE(Calendar!$K$2,1),OR(Calendar!$K$4="*",N1968=Calendar!$K$4)),P1968*100+COUNTIFS($P$6:$P$3267,P1968,$Q$6:$Q$3267,"&lt;="&amp;Q1968,$N$6:$N$3267,Calendar!$K$4),"")</f>
        <v/>
      </c>
      <c r="W1968" s="47">
        <f>IF(AND(B1968=Queue!$C$4,OR(Queue!$K$4="*",N1968=Queue!$K$4)),Q1968,"")</f>
        <v/>
      </c>
    </row>
    <row r="1969">
      <c r="A1969" s="38">
        <f>IF(M1969="","",HYPERLINK("https://www.youtube.com/watch?v="&amp;M1969,"▶"))</f>
        <v/>
      </c>
      <c r="B1969" s="39">
        <f>IF(C1969&lt;&gt;"",C1969,IF(P1969&lt;=IFERROR(INDEX(tblChannels[Watched Through],MATCH(N1969,tblChannels[Channel ID],0)),0),"Watched","Unwatched"))</f>
        <v/>
      </c>
      <c r="C1969" s="40" t="n"/>
      <c r="D1969" s="41" t="n"/>
      <c r="E1969" s="42" t="n">
        <v>43467.79861111111</v>
      </c>
      <c r="F1969" s="50" t="inlineStr">
        <is>
          <t>Super Carlin Brothers</t>
        </is>
      </c>
      <c r="G1969" t="inlineStr">
        <is>
          <t>Why Voldemort Looks Like A Snake | Harry Potter Theory</t>
        </is>
      </c>
      <c r="H1969" s="44" t="n">
        <v>0.008078703703703704</v>
      </c>
      <c r="I1969" s="45" t="n">
        <v>966420</v>
      </c>
      <c r="J1969" s="45" t="n">
        <v>28521</v>
      </c>
      <c r="K1969" s="45" t="n">
        <v>3167</v>
      </c>
      <c r="L1969" s="46" t="n"/>
      <c r="M1969" s="47" t="n"/>
      <c r="N1969" s="47" t="inlineStr">
        <is>
          <t>UCKZo4N0lVPccBkSiuyVh4yg</t>
        </is>
      </c>
      <c r="O1969" s="48" t="n">
        <v>43468.00694444445</v>
      </c>
      <c r="P1969" s="49" t="n">
        <v>43467</v>
      </c>
      <c r="Q1969" s="47" t="n">
        <v>1299</v>
      </c>
      <c r="R1969" s="47" t="inlineStr">
        <is>
          <t>No Video ID yet</t>
        </is>
      </c>
      <c r="S1969" s="49" t="n"/>
      <c r="T1969" s="49" t="n"/>
      <c r="U1969" s="47" t="inlineStr">
        <is>
          <t>Today J dives into the Wizarding world of Harry Potter to try and figure out how and why Voldemort gained his snake like appearance!</t>
        </is>
      </c>
      <c r="V1969" s="47">
        <f>IF(AND(P1969&gt;=Calendar!$K$2,P1969&lt;EDATE(Calendar!$K$2,1),OR(Calendar!$K$4="*",N1969=Calendar!$K$4)),P1969*100+COUNTIFS($P$6:$P$3267,P1969,$Q$6:$Q$3267,"&lt;="&amp;Q1969,$N$6:$N$3267,Calendar!$K$4),"")</f>
        <v/>
      </c>
      <c r="W1969" s="47">
        <f>IF(AND(B1969=Queue!$C$4,OR(Queue!$K$4="*",N1969=Queue!$K$4)),Q1969,"")</f>
        <v/>
      </c>
    </row>
    <row r="1970">
      <c r="A1970" s="38">
        <f>IF(M1970="","",HYPERLINK("https://www.youtube.com/watch?v="&amp;M1970,"▶"))</f>
        <v/>
      </c>
      <c r="B1970" s="39">
        <f>IF(C1970&lt;&gt;"",C1970,IF(P1970&lt;=IFERROR(INDEX(tblChannels[Watched Through],MATCH(N1970,tblChannels[Channel ID],0)),0),"Watched","Unwatched"))</f>
        <v/>
      </c>
      <c r="C1970" s="40" t="n"/>
      <c r="D1970" s="41" t="n"/>
      <c r="E1970" s="42" t="n">
        <v>43465.47013888889</v>
      </c>
      <c r="F1970" s="53" t="inlineStr">
        <is>
          <t>Jonathan Carlin</t>
        </is>
      </c>
      <c r="G1970" t="inlineStr">
        <is>
          <t>LUKE'S FIRST BIRTHDAY!</t>
        </is>
      </c>
      <c r="H1970" s="44" t="n">
        <v>0.008958333333333334</v>
      </c>
      <c r="I1970" s="45" t="n">
        <v>42783</v>
      </c>
      <c r="J1970" s="45" t="n">
        <v>2378</v>
      </c>
      <c r="K1970" s="45" t="n">
        <v>368</v>
      </c>
      <c r="L1970" s="46" t="n"/>
      <c r="M1970" s="47" t="n"/>
      <c r="N1970" s="47" t="inlineStr">
        <is>
          <t>UCYPKFe86e6nm4TVUYKLsFUQ</t>
        </is>
      </c>
      <c r="O1970" s="48" t="n">
        <v>43465.67847222222</v>
      </c>
      <c r="P1970" s="49" t="n">
        <v>43465</v>
      </c>
      <c r="Q1970" s="47" t="n">
        <v>1298</v>
      </c>
      <c r="R1970" s="47" t="inlineStr">
        <is>
          <t>No Video ID yet</t>
        </is>
      </c>
      <c r="S1970" s="49" t="n"/>
      <c r="T1970" s="49" t="n"/>
      <c r="U1970" s="47" t="inlineStr">
        <is>
          <t>This week the Carlin clan celebrates Thanksgiving a few times and Luke celebrates his first birthday!</t>
        </is>
      </c>
      <c r="V1970" s="47">
        <f>IF(AND(P1970&gt;=Calendar!$K$2,P1970&lt;EDATE(Calendar!$K$2,1),OR(Calendar!$K$4="*",N1970=Calendar!$K$4)),P1970*100+COUNTIFS($P$6:$P$3267,P1970,$Q$6:$Q$3267,"&lt;="&amp;Q1970,$N$6:$N$3267,Calendar!$K$4),"")</f>
        <v/>
      </c>
      <c r="W1970" s="47">
        <f>IF(AND(B1970=Queue!$C$4,OR(Queue!$K$4="*",N1970=Queue!$K$4)),Q1970,"")</f>
        <v/>
      </c>
    </row>
    <row r="1971">
      <c r="A1971" s="38">
        <f>IF(M1971="","",HYPERLINK("https://www.youtube.com/watch?v="&amp;M1971,"▶"))</f>
        <v/>
      </c>
      <c r="B1971" s="39">
        <f>IF(C1971&lt;&gt;"",C1971,IF(P1971&lt;=IFERROR(INDEX(tblChannels[Watched Through],MATCH(N1971,tblChannels[Channel ID],0)),0),"Watched","Unwatched"))</f>
        <v/>
      </c>
      <c r="C1971" s="40" t="n"/>
      <c r="D1971" s="41" t="n"/>
      <c r="E1971" s="42" t="n">
        <v>43459.54166666666</v>
      </c>
      <c r="F1971" s="50" t="inlineStr">
        <is>
          <t>Super Carlin Brothers</t>
        </is>
      </c>
      <c r="G1971" t="inlineStr">
        <is>
          <t>J vs Ben: TAKING THE POTTERMORE SORTING QUIZ!</t>
        </is>
      </c>
      <c r="H1971" s="44" t="n">
        <v>0.01511574074074074</v>
      </c>
      <c r="I1971" s="45" t="n">
        <v>1181411</v>
      </c>
      <c r="J1971" s="45" t="n">
        <v>30307</v>
      </c>
      <c r="K1971" s="45" t="n">
        <v>11257</v>
      </c>
      <c r="L1971" s="46" t="n"/>
      <c r="M1971" s="47" t="n"/>
      <c r="N1971" s="47" t="inlineStr">
        <is>
          <t>UCKZo4N0lVPccBkSiuyVh4yg</t>
        </is>
      </c>
      <c r="O1971" s="48" t="n">
        <v>43459.75</v>
      </c>
      <c r="P1971" s="49" t="n">
        <v>43459</v>
      </c>
      <c r="Q1971" s="47" t="n">
        <v>1297</v>
      </c>
      <c r="R1971" s="47" t="inlineStr">
        <is>
          <t>No Video ID yet</t>
        </is>
      </c>
      <c r="S1971" s="49" t="n"/>
      <c r="T1971" s="49" t="n"/>
      <c r="U1971" s="47" t="inlineStr">
        <is>
          <t>Today J and Ben take on the Official Pottermore Hogwarts Sorting Quiz to find out which house they belong in! Will it be Slytherin? Gryffindor? Ravenclaw? .......... Hufflepuff???? Find your house here ::</t>
        </is>
      </c>
      <c r="V1971" s="47">
        <f>IF(AND(P1971&gt;=Calendar!$K$2,P1971&lt;EDATE(Calendar!$K$2,1),OR(Calendar!$K$4="*",N1971=Calendar!$K$4)),P1971*100+COUNTIFS($P$6:$P$3267,P1971,$Q$6:$Q$3267,"&lt;="&amp;Q1971,$N$6:$N$3267,Calendar!$K$4),"")</f>
        <v/>
      </c>
      <c r="W1971" s="47">
        <f>IF(AND(B1971=Queue!$C$4,OR(Queue!$K$4="*",N1971=Queue!$K$4)),Q1971,"")</f>
        <v/>
      </c>
    </row>
    <row r="1972">
      <c r="A1972" s="38">
        <f>IF(M1972="","",HYPERLINK("https://www.youtube.com/watch?v="&amp;M1972,"▶"))</f>
        <v/>
      </c>
      <c r="B1972" s="39">
        <f>IF(C1972&lt;&gt;"",C1972,IF(P1972&lt;=IFERROR(INDEX(tblChannels[Watched Through],MATCH(N1972,tblChannels[Channel ID],0)),0),"Watched","Unwatched"))</f>
        <v/>
      </c>
      <c r="C1972" s="40" t="n"/>
      <c r="D1972" s="41" t="n"/>
      <c r="E1972" s="42" t="n">
        <v>43458.41666666666</v>
      </c>
      <c r="F1972" s="53" t="inlineStr">
        <is>
          <t>Jonathan Carlin</t>
        </is>
      </c>
      <c r="G1972" t="inlineStr">
        <is>
          <t>LUKE CONQUERS THE STAIRS!</t>
        </is>
      </c>
      <c r="H1972" s="44" t="n">
        <v>0.007152777777777778</v>
      </c>
      <c r="I1972" s="45" t="n">
        <v>34258</v>
      </c>
      <c r="J1972" s="45" t="n">
        <v>1765</v>
      </c>
      <c r="K1972" s="45" t="n">
        <v>230</v>
      </c>
      <c r="L1972" s="46" t="n"/>
      <c r="M1972" s="47" t="n"/>
      <c r="N1972" s="47" t="inlineStr">
        <is>
          <t>UCYPKFe86e6nm4TVUYKLsFUQ</t>
        </is>
      </c>
      <c r="O1972" s="48" t="n">
        <v>43458.625</v>
      </c>
      <c r="P1972" s="49" t="n">
        <v>43458</v>
      </c>
      <c r="Q1972" s="47" t="n">
        <v>1296</v>
      </c>
      <c r="R1972" s="47" t="inlineStr">
        <is>
          <t>No Video ID yet</t>
        </is>
      </c>
      <c r="S1972" s="49" t="n"/>
      <c r="T1972" s="49" t="n"/>
      <c r="U1972" s="47" t="inlineStr">
        <is>
          <t>This week Luke learns to climb the stairs and J and Beth contemplate what this means for their future.. also Roanoke experiences just the worst weather</t>
        </is>
      </c>
      <c r="V1972" s="47">
        <f>IF(AND(P1972&gt;=Calendar!$K$2,P1972&lt;EDATE(Calendar!$K$2,1),OR(Calendar!$K$4="*",N1972=Calendar!$K$4)),P1972*100+COUNTIFS($P$6:$P$3267,P1972,$Q$6:$Q$3267,"&lt;="&amp;Q1972,$N$6:$N$3267,Calendar!$K$4),"")</f>
        <v/>
      </c>
      <c r="W1972" s="47">
        <f>IF(AND(B1972=Queue!$C$4,OR(Queue!$K$4="*",N1972=Queue!$K$4)),Q1972,"")</f>
        <v/>
      </c>
    </row>
    <row r="1973">
      <c r="A1973" s="38">
        <f>IF(M1973="","",HYPERLINK("https://www.youtube.com/watch?v="&amp;M1973,"▶"))</f>
        <v/>
      </c>
      <c r="B1973" s="39">
        <f>IF(C1973&lt;&gt;"",C1973,IF(P1973&lt;=IFERROR(INDEX(tblChannels[Watched Through],MATCH(N1973,tblChannels[Channel ID],0)),0),"Watched","Unwatched"))</f>
        <v/>
      </c>
      <c r="C1973" s="40" t="n"/>
      <c r="D1973" s="41" t="n"/>
      <c r="E1973" s="42" t="n">
        <v>43455.4375</v>
      </c>
      <c r="F1973" s="52" t="inlineStr">
        <is>
          <t>Super Carlin Gaming</t>
        </is>
      </c>
      <c r="G1973" t="inlineStr">
        <is>
          <t>My Friends Don't Get My Humor! | Rocket League #81</t>
        </is>
      </c>
      <c r="H1973" s="44" t="n">
        <v>0.01351851851851852</v>
      </c>
      <c r="I1973" s="45" t="n">
        <v>5492</v>
      </c>
      <c r="J1973" s="45" t="n">
        <v>211</v>
      </c>
      <c r="K1973" s="45" t="n">
        <v>45</v>
      </c>
      <c r="L1973" s="46" t="n"/>
      <c r="M1973" s="47" t="n"/>
      <c r="N1973" s="47" t="inlineStr">
        <is>
          <t>UCor_9jRnNNZVzTuQ92PKsaQ</t>
        </is>
      </c>
      <c r="O1973" s="48" t="n">
        <v>43455.64583333334</v>
      </c>
      <c r="P1973" s="49" t="n">
        <v>43455</v>
      </c>
      <c r="Q1973" s="47" t="n">
        <v>1295</v>
      </c>
      <c r="R1973" s="47" t="inlineStr">
        <is>
          <t>No Video ID yet</t>
        </is>
      </c>
      <c r="S1973" s="49" t="n"/>
      <c r="T1973" s="49" t="n"/>
      <c r="U1973" s="47" t="inlineStr">
        <is>
          <t>J, Ben, &amp; DK enter the Rocket League Coliseum as the Chudley Cannons and try and win their way to the league championship!</t>
        </is>
      </c>
      <c r="V1973" s="47">
        <f>IF(AND(P1973&gt;=Calendar!$K$2,P1973&lt;EDATE(Calendar!$K$2,1),OR(Calendar!$K$4="*",N1973=Calendar!$K$4)),P1973*100+COUNTIFS($P$6:$P$3267,P1973,$Q$6:$Q$3267,"&lt;="&amp;Q1973,$N$6:$N$3267,Calendar!$K$4),"")</f>
        <v/>
      </c>
      <c r="W1973" s="47">
        <f>IF(AND(B1973=Queue!$C$4,OR(Queue!$K$4="*",N1973=Queue!$K$4)),Q1973,"")</f>
        <v/>
      </c>
    </row>
    <row r="1974">
      <c r="A1974" s="38">
        <f>IF(M1974="","",HYPERLINK("https://www.youtube.com/watch?v="&amp;M1974,"▶"))</f>
        <v/>
      </c>
      <c r="B1974" s="39">
        <f>IF(C1974&lt;&gt;"",C1974,IF(P1974&lt;=IFERROR(INDEX(tblChannels[Watched Through],MATCH(N1974,tblChannels[Channel ID],0)),0),"Watched","Unwatched"))</f>
        <v/>
      </c>
      <c r="C1974" s="40" t="n"/>
      <c r="D1974" s="41" t="n"/>
      <c r="E1974" s="42" t="n">
        <v>43454.69722222222</v>
      </c>
      <c r="F1974" s="50" t="inlineStr">
        <is>
          <t>Super Carlin Brothers</t>
        </is>
      </c>
      <c r="G1974" t="inlineStr">
        <is>
          <t>J vs Ben: EXTRA LARGE Harry Potter Christmas Quiz</t>
        </is>
      </c>
      <c r="H1974" s="44" t="n">
        <v>0.02518518518518519</v>
      </c>
      <c r="I1974" s="45" t="n">
        <v>922171</v>
      </c>
      <c r="J1974" s="45" t="n">
        <v>16579</v>
      </c>
      <c r="K1974" s="45" t="n">
        <v>1802</v>
      </c>
      <c r="L1974" s="46" t="n"/>
      <c r="M1974" s="47" t="n"/>
      <c r="N1974" s="47" t="inlineStr">
        <is>
          <t>UCKZo4N0lVPccBkSiuyVh4yg</t>
        </is>
      </c>
      <c r="O1974" s="48" t="n">
        <v>43454.90555555555</v>
      </c>
      <c r="P1974" s="49" t="n">
        <v>43454</v>
      </c>
      <c r="Q1974" s="47" t="n">
        <v>1294</v>
      </c>
      <c r="R1974" s="47" t="inlineStr">
        <is>
          <t>No Video ID yet</t>
        </is>
      </c>
      <c r="S1974" s="49" t="n"/>
      <c r="T1974" s="49" t="n"/>
      <c r="U1974" s="47" t="inlineStr">
        <is>
          <t>Today J and Ben dive into the Wizarding World of Harry Potter to test who knows more about Harry's Christmas Adventures as they take on The Even Bigger bumper Christmas Quiz on Pottermore!</t>
        </is>
      </c>
      <c r="V1974" s="47">
        <f>IF(AND(P1974&gt;=Calendar!$K$2,P1974&lt;EDATE(Calendar!$K$2,1),OR(Calendar!$K$4="*",N1974=Calendar!$K$4)),P1974*100+COUNTIFS($P$6:$P$3267,P1974,$Q$6:$Q$3267,"&lt;="&amp;Q1974,$N$6:$N$3267,Calendar!$K$4),"")</f>
        <v/>
      </c>
      <c r="W1974" s="47">
        <f>IF(AND(B1974=Queue!$C$4,OR(Queue!$K$4="*",N1974=Queue!$K$4)),Q1974,"")</f>
        <v/>
      </c>
    </row>
    <row r="1975">
      <c r="A1975" s="38">
        <f>IF(M1975="","",HYPERLINK("https://www.youtube.com/watch?v="&amp;M1975,"▶"))</f>
        <v/>
      </c>
      <c r="B1975" s="39">
        <f>IF(C1975&lt;&gt;"",C1975,IF(P1975&lt;=IFERROR(INDEX(tblChannels[Watched Through],MATCH(N1975,tblChannels[Channel ID],0)),0),"Watched","Unwatched"))</f>
        <v/>
      </c>
      <c r="C1975" s="40" t="n"/>
      <c r="D1975" s="41" t="n"/>
      <c r="E1975" s="42" t="n">
        <v>43454.61527777778</v>
      </c>
      <c r="F1975" s="52" t="inlineStr">
        <is>
          <t>Super Carlin Gaming</t>
        </is>
      </c>
      <c r="G1975" t="inlineStr">
        <is>
          <t>Roommate Troubles | Rocket League #80</t>
        </is>
      </c>
      <c r="H1975" s="44" t="n">
        <v>0.01321759259259259</v>
      </c>
      <c r="I1975" s="45" t="n">
        <v>3239</v>
      </c>
      <c r="J1975" s="45" t="n">
        <v>157</v>
      </c>
      <c r="K1975" s="45" t="n">
        <v>32</v>
      </c>
      <c r="L1975" s="46" t="n"/>
      <c r="M1975" s="47" t="n"/>
      <c r="N1975" s="47" t="inlineStr">
        <is>
          <t>UCor_9jRnNNZVzTuQ92PKsaQ</t>
        </is>
      </c>
      <c r="O1975" s="48" t="n">
        <v>43454.82361111111</v>
      </c>
      <c r="P1975" s="49" t="n">
        <v>43454</v>
      </c>
      <c r="Q1975" s="47" t="n">
        <v>1293</v>
      </c>
      <c r="R1975" s="47" t="inlineStr">
        <is>
          <t>No Video ID yet</t>
        </is>
      </c>
      <c r="S1975" s="49" t="n"/>
      <c r="T1975" s="49" t="n"/>
      <c r="U1975" s="47" t="inlineStr">
        <is>
          <t>J, Ben, &amp; DK enter the Rocket League Coliseum as the Chudley Cannons and try and win their way to the league championship!</t>
        </is>
      </c>
      <c r="V1975" s="47">
        <f>IF(AND(P1975&gt;=Calendar!$K$2,P1975&lt;EDATE(Calendar!$K$2,1),OR(Calendar!$K$4="*",N1975=Calendar!$K$4)),P1975*100+COUNTIFS($P$6:$P$3267,P1975,$Q$6:$Q$3267,"&lt;="&amp;Q1975,$N$6:$N$3267,Calendar!$K$4),"")</f>
        <v/>
      </c>
      <c r="W1975" s="47">
        <f>IF(AND(B1975=Queue!$C$4,OR(Queue!$K$4="*",N1975=Queue!$K$4)),Q1975,"")</f>
        <v/>
      </c>
    </row>
    <row r="1976">
      <c r="A1976" s="38">
        <f>IF(M1976="","",HYPERLINK("https://www.youtube.com/watch?v="&amp;M1976,"▶"))</f>
        <v/>
      </c>
      <c r="B1976" s="39">
        <f>IF(C1976&lt;&gt;"",C1976,IF(P1976&lt;=IFERROR(INDEX(tblChannels[Watched Through],MATCH(N1976,tblChannels[Channel ID],0)),0),"Watched","Unwatched"))</f>
        <v/>
      </c>
      <c r="C1976" s="40" t="n"/>
      <c r="D1976" s="41" t="n"/>
      <c r="E1976" s="42" t="n">
        <v>43452.89097222222</v>
      </c>
      <c r="F1976" s="50" t="inlineStr">
        <is>
          <t>Super Carlin Brothers</t>
        </is>
      </c>
      <c r="G1976" t="inlineStr">
        <is>
          <t>Is ‘Into The Spiderverse’ The Best Spider-Man Movie? | SPOILER REVIEW</t>
        </is>
      </c>
      <c r="H1976" s="44" t="n">
        <v>0.03049768518518519</v>
      </c>
      <c r="I1976" s="45" t="n">
        <v>253205</v>
      </c>
      <c r="J1976" s="45" t="n">
        <v>7397</v>
      </c>
      <c r="K1976" s="45" t="n">
        <v>1957</v>
      </c>
      <c r="L1976" s="46" t="n"/>
      <c r="M1976" s="47" t="n"/>
      <c r="N1976" s="47" t="inlineStr">
        <is>
          <t>UCKZo4N0lVPccBkSiuyVh4yg</t>
        </is>
      </c>
      <c r="O1976" s="48" t="n">
        <v>43453.09930555556</v>
      </c>
      <c r="P1976" s="49" t="n">
        <v>43452</v>
      </c>
      <c r="Q1976" s="47" t="n">
        <v>1292</v>
      </c>
      <c r="R1976" s="47" t="inlineStr">
        <is>
          <t>No Video ID yet</t>
        </is>
      </c>
      <c r="S1976" s="49" t="n"/>
      <c r="T1976" s="49" t="n"/>
      <c r="U1976" s="47" t="inlineStr">
        <is>
          <t>Get 20% Off your Loot Crate order at :: Promo Code: CARLIN Today J and Ben dive into Marvel’s Spiderverse to give their full spoiler review of “Spider-Man Into The Spiderverse,” and determine if it is in fact the best Spider-Man movie of them all!</t>
        </is>
      </c>
      <c r="V1976" s="47">
        <f>IF(AND(P1976&gt;=Calendar!$K$2,P1976&lt;EDATE(Calendar!$K$2,1),OR(Calendar!$K$4="*",N1976=Calendar!$K$4)),P1976*100+COUNTIFS($P$6:$P$3267,P1976,$Q$6:$Q$3267,"&lt;="&amp;Q1976,$N$6:$N$3267,Calendar!$K$4),"")</f>
        <v/>
      </c>
      <c r="W1976" s="47">
        <f>IF(AND(B1976=Queue!$C$4,OR(Queue!$K$4="*",N1976=Queue!$K$4)),Q1976,"")</f>
        <v/>
      </c>
    </row>
    <row r="1977">
      <c r="A1977" s="38">
        <f>IF(M1977="","",HYPERLINK("https://www.youtube.com/watch?v="&amp;M1977,"▶"))</f>
        <v/>
      </c>
      <c r="B1977" s="39">
        <f>IF(C1977&lt;&gt;"",C1977,IF(P1977&lt;=IFERROR(INDEX(tblChannels[Watched Through],MATCH(N1977,tblChannels[Channel ID],0)),0),"Watched","Unwatched"))</f>
        <v/>
      </c>
      <c r="C1977" s="40" t="n"/>
      <c r="D1977" s="41" t="n"/>
      <c r="E1977" s="42" t="n">
        <v>43451.65138888889</v>
      </c>
      <c r="F1977" s="53" t="inlineStr">
        <is>
          <t>Jonathan Carlin</t>
        </is>
      </c>
      <c r="G1977" t="inlineStr">
        <is>
          <t>Driving 12 Hours In The Rain With A Baby..</t>
        </is>
      </c>
      <c r="H1977" s="44" t="n">
        <v>0.006736111111111111</v>
      </c>
      <c r="I1977" s="45" t="n">
        <v>31998</v>
      </c>
      <c r="J1977" s="45" t="n">
        <v>1693</v>
      </c>
      <c r="K1977" s="45" t="n">
        <v>174</v>
      </c>
      <c r="L1977" s="46" t="n"/>
      <c r="M1977" s="47" t="n"/>
      <c r="N1977" s="47" t="inlineStr">
        <is>
          <t>UCYPKFe86e6nm4TVUYKLsFUQ</t>
        </is>
      </c>
      <c r="O1977" s="48" t="n">
        <v>43451.85972222222</v>
      </c>
      <c r="P1977" s="49" t="n">
        <v>43451</v>
      </c>
      <c r="Q1977" s="47" t="n">
        <v>1291</v>
      </c>
      <c r="R1977" s="47" t="inlineStr">
        <is>
          <t>No Video ID yet</t>
        </is>
      </c>
      <c r="S1977" s="49" t="n"/>
      <c r="T1977" s="49" t="n"/>
      <c r="U1977" s="47" t="inlineStr">
        <is>
          <t>This week J, Beth and Luke head up to to New York for J's Grandma's 80th birthday.. it ends up being a VERY long car ride</t>
        </is>
      </c>
      <c r="V1977" s="47">
        <f>IF(AND(P1977&gt;=Calendar!$K$2,P1977&lt;EDATE(Calendar!$K$2,1),OR(Calendar!$K$4="*",N1977=Calendar!$K$4)),P1977*100+COUNTIFS($P$6:$P$3267,P1977,$Q$6:$Q$3267,"&lt;="&amp;Q1977,$N$6:$N$3267,Calendar!$K$4),"")</f>
        <v/>
      </c>
      <c r="W1977" s="47">
        <f>IF(AND(B1977=Queue!$C$4,OR(Queue!$K$4="*",N1977=Queue!$K$4)),Q1977,"")</f>
        <v/>
      </c>
    </row>
    <row r="1978">
      <c r="A1978" s="38">
        <f>IF(M1978="","",HYPERLINK("https://www.youtube.com/watch?v="&amp;M1978,"▶"))</f>
        <v/>
      </c>
      <c r="B1978" s="39">
        <f>IF(C1978&lt;&gt;"",C1978,IF(P1978&lt;=IFERROR(INDEX(tblChannels[Watched Through],MATCH(N1978,tblChannels[Channel ID],0)),0),"Watched","Unwatched"))</f>
        <v/>
      </c>
      <c r="C1978" s="40" t="n"/>
      <c r="D1978" s="41" t="n"/>
      <c r="E1978" s="42" t="n">
        <v>43450.54166666666</v>
      </c>
      <c r="F1978" s="50" t="inlineStr">
        <is>
          <t>Super Carlin Brothers</t>
        </is>
      </c>
      <c r="G1978" t="inlineStr">
        <is>
          <t>Why Venom Is Actually A Butterfly</t>
        </is>
      </c>
      <c r="H1978" s="44" t="n">
        <v>0.006747685185185186</v>
      </c>
      <c r="I1978" s="45" t="n">
        <v>226423</v>
      </c>
      <c r="J1978" s="45" t="n">
        <v>9472</v>
      </c>
      <c r="K1978" s="45" t="n">
        <v>1442</v>
      </c>
      <c r="L1978" s="46" t="n"/>
      <c r="M1978" s="47" t="n"/>
      <c r="N1978" s="47" t="inlineStr">
        <is>
          <t>UCKZo4N0lVPccBkSiuyVh4yg</t>
        </is>
      </c>
      <c r="O1978" s="48" t="n">
        <v>43450.75</v>
      </c>
      <c r="P1978" s="49" t="n">
        <v>43450</v>
      </c>
      <c r="Q1978" s="47" t="n">
        <v>1290</v>
      </c>
      <c r="R1978" s="47" t="inlineStr">
        <is>
          <t>No Video ID yet</t>
        </is>
      </c>
      <c r="S1978" s="49" t="n"/>
      <c r="T1978" s="49" t="n"/>
      <c r="U1978" s="47" t="inlineStr">
        <is>
          <t>Sponsored by Venom, now on Digital: Coming to Blu-rayTM and DVD December 18th! Today J dives into the world of Sony's Venom to answer how Venom's powers work and why he is actually just the worlds edgiest butterfly.</t>
        </is>
      </c>
      <c r="V1978" s="47">
        <f>IF(AND(P1978&gt;=Calendar!$K$2,P1978&lt;EDATE(Calendar!$K$2,1),OR(Calendar!$K$4="*",N1978=Calendar!$K$4)),P1978*100+COUNTIFS($P$6:$P$3267,P1978,$Q$6:$Q$3267,"&lt;="&amp;Q1978,$N$6:$N$3267,Calendar!$K$4),"")</f>
        <v/>
      </c>
      <c r="W1978" s="47">
        <f>IF(AND(B1978=Queue!$C$4,OR(Queue!$K$4="*",N1978=Queue!$K$4)),Q1978,"")</f>
        <v/>
      </c>
    </row>
    <row r="1979">
      <c r="A1979" s="38">
        <f>IF(M1979="","",HYPERLINK("https://www.youtube.com/watch?v="&amp;M1979,"▶"))</f>
        <v/>
      </c>
      <c r="B1979" s="39">
        <f>IF(C1979&lt;&gt;"",C1979,IF(P1979&lt;=IFERROR(INDEX(tblChannels[Watched Through],MATCH(N1979,tblChannels[Channel ID],0)),0),"Watched","Unwatched"))</f>
        <v/>
      </c>
      <c r="C1979" s="40" t="n"/>
      <c r="D1979" s="41" t="n"/>
      <c r="E1979" s="42" t="n">
        <v>43447.72708333333</v>
      </c>
      <c r="F1979" s="50" t="inlineStr">
        <is>
          <t>Super Carlin Brothers</t>
        </is>
      </c>
      <c r="G1979" t="inlineStr">
        <is>
          <t>J vs Ben: ULTIMATE Harry Potter MOVIE Trivia Quiz</t>
        </is>
      </c>
      <c r="H1979" s="44" t="n">
        <v>0.01668981481481481</v>
      </c>
      <c r="I1979" s="45" t="n">
        <v>869155</v>
      </c>
      <c r="J1979" s="45" t="n">
        <v>20184</v>
      </c>
      <c r="K1979" s="45" t="n">
        <v>3694</v>
      </c>
      <c r="L1979" s="46" t="n"/>
      <c r="M1979" s="47" t="n"/>
      <c r="N1979" s="47" t="inlineStr">
        <is>
          <t>UCKZo4N0lVPccBkSiuyVh4yg</t>
        </is>
      </c>
      <c r="O1979" s="48" t="n">
        <v>43447.93541666667</v>
      </c>
      <c r="P1979" s="49" t="n">
        <v>43447</v>
      </c>
      <c r="Q1979" s="47" t="n">
        <v>1289</v>
      </c>
      <c r="R1979" s="47" t="inlineStr">
        <is>
          <t>No Video ID yet</t>
        </is>
      </c>
      <c r="S1979" s="49" t="n"/>
      <c r="T1979" s="49" t="n"/>
      <c r="U1979" s="47" t="inlineStr">
        <is>
          <t>Get 15% off your Vincero Watch! :: Play along with us! - Today J and Ben face off in the ultimate Harry Potter film binge trivia quiz to find out who knows the Harry Potter movies the best!</t>
        </is>
      </c>
      <c r="V1979" s="47">
        <f>IF(AND(P1979&gt;=Calendar!$K$2,P1979&lt;EDATE(Calendar!$K$2,1),OR(Calendar!$K$4="*",N1979=Calendar!$K$4)),P1979*100+COUNTIFS($P$6:$P$3267,P1979,$Q$6:$Q$3267,"&lt;="&amp;Q1979,$N$6:$N$3267,Calendar!$K$4),"")</f>
        <v/>
      </c>
      <c r="W1979" s="47">
        <f>IF(AND(B1979=Queue!$C$4,OR(Queue!$K$4="*",N1979=Queue!$K$4)),Q1979,"")</f>
        <v/>
      </c>
    </row>
    <row r="1980">
      <c r="A1980" s="38">
        <f>IF(M1980="","",HYPERLINK("https://www.youtube.com/watch?v="&amp;M1980,"▶"))</f>
        <v/>
      </c>
      <c r="B1980" s="39">
        <f>IF(C1980&lt;&gt;"",C1980,IF(P1980&lt;=IFERROR(INDEX(tblChannels[Watched Through],MATCH(N1980,tblChannels[Channel ID],0)),0),"Watched","Unwatched"))</f>
        <v/>
      </c>
      <c r="C1980" s="40" t="n"/>
      <c r="D1980" s="41" t="n"/>
      <c r="E1980" s="42" t="n">
        <v>43445.66319444445</v>
      </c>
      <c r="F1980" s="50" t="inlineStr">
        <is>
          <t>Super Carlin Brothers</t>
        </is>
      </c>
      <c r="G1980" t="inlineStr">
        <is>
          <t>Who Did Leta Say "I Love You" To? | Fantastic Beasts Theory</t>
        </is>
      </c>
      <c r="H1980" s="44" t="n">
        <v>0.01001157407407407</v>
      </c>
      <c r="I1980" s="45" t="n">
        <v>621910</v>
      </c>
      <c r="J1980" s="45" t="n">
        <v>20176</v>
      </c>
      <c r="K1980" s="45" t="n">
        <v>2349</v>
      </c>
      <c r="L1980" s="46" t="n"/>
      <c r="M1980" s="47" t="n"/>
      <c r="N1980" s="47" t="inlineStr">
        <is>
          <t>UCKZo4N0lVPccBkSiuyVh4yg</t>
        </is>
      </c>
      <c r="O1980" s="48" t="n">
        <v>43445.87152777778</v>
      </c>
      <c r="P1980" s="49" t="n">
        <v>43445</v>
      </c>
      <c r="Q1980" s="47" t="n">
        <v>1288</v>
      </c>
      <c r="R1980" s="47" t="inlineStr">
        <is>
          <t>No Video ID yet</t>
        </is>
      </c>
      <c r="S1980" s="49" t="n"/>
      <c r="T1980" s="49" t="n"/>
      <c r="U1980" s="47" t="inlineStr">
        <is>
          <t>Check out the Harry Potter Kano Coding Kit at to find out more, and get an extra 20% off from the $79.95 offer, by using the code FRIEND20. This video is sponsored by Kano. Today J dives into the Wizarding World of Harry Potter to discuss a new theory about one of the biggest questions from Fantastic Beasts The Crimes of Grindelwald: Who did Leta say “I love you” to before she died, and what ramifications that act may have moving forward.</t>
        </is>
      </c>
      <c r="V1980" s="47">
        <f>IF(AND(P1980&gt;=Calendar!$K$2,P1980&lt;EDATE(Calendar!$K$2,1),OR(Calendar!$K$4="*",N1980=Calendar!$K$4)),P1980*100+COUNTIFS($P$6:$P$3267,P1980,$Q$6:$Q$3267,"&lt;="&amp;Q1980,$N$6:$N$3267,Calendar!$K$4),"")</f>
        <v/>
      </c>
      <c r="W1980" s="47">
        <f>IF(AND(B1980=Queue!$C$4,OR(Queue!$K$4="*",N1980=Queue!$K$4)),Q1980,"")</f>
        <v/>
      </c>
    </row>
    <row r="1981">
      <c r="A1981" s="38">
        <f>IF(M1981="","",HYPERLINK("https://www.youtube.com/watch?v="&amp;M1981,"▶"))</f>
        <v/>
      </c>
      <c r="B1981" s="39">
        <f>IF(C1981&lt;&gt;"",C1981,IF(P1981&lt;=IFERROR(INDEX(tblChannels[Watched Through],MATCH(N1981,tblChannels[Channel ID],0)),0),"Watched","Unwatched"))</f>
        <v/>
      </c>
      <c r="C1981" s="40" t="n"/>
      <c r="D1981" s="41" t="n"/>
      <c r="E1981" s="42" t="n">
        <v>43444.74305555555</v>
      </c>
      <c r="F1981" s="53" t="inlineStr">
        <is>
          <t>Jonathan Carlin</t>
        </is>
      </c>
      <c r="G1981" t="inlineStr">
        <is>
          <t>LUKE LEARNS TO WAVE!</t>
        </is>
      </c>
      <c r="H1981" s="44" t="n">
        <v>0.007222222222222222</v>
      </c>
      <c r="I1981" s="45" t="n">
        <v>31054</v>
      </c>
      <c r="J1981" s="45" t="n">
        <v>1729</v>
      </c>
      <c r="K1981" s="45" t="n">
        <v>159</v>
      </c>
      <c r="L1981" s="46" t="n"/>
      <c r="M1981" s="47" t="n"/>
      <c r="N1981" s="47" t="inlineStr">
        <is>
          <t>UCYPKFe86e6nm4TVUYKLsFUQ</t>
        </is>
      </c>
      <c r="O1981" s="48" t="n">
        <v>43444.95138888889</v>
      </c>
      <c r="P1981" s="49" t="n">
        <v>43444</v>
      </c>
      <c r="Q1981" s="47" t="n">
        <v>1287</v>
      </c>
      <c r="R1981" s="47" t="inlineStr">
        <is>
          <t>No Video ID yet</t>
        </is>
      </c>
      <c r="S1981" s="49" t="n"/>
      <c r="T1981" s="49" t="n"/>
      <c r="U1981" s="47" t="inlineStr">
        <is>
          <t>This week Luke learns to wave, Ben struggles with giving out Halloween Candy, we see Crimes of Grindelwald early and Beth convinces J to try a charcoal face mask!</t>
        </is>
      </c>
      <c r="V1981" s="47">
        <f>IF(AND(P1981&gt;=Calendar!$K$2,P1981&lt;EDATE(Calendar!$K$2,1),OR(Calendar!$K$4="*",N1981=Calendar!$K$4)),P1981*100+COUNTIFS($P$6:$P$3267,P1981,$Q$6:$Q$3267,"&lt;="&amp;Q1981,$N$6:$N$3267,Calendar!$K$4),"")</f>
        <v/>
      </c>
      <c r="W1981" s="47">
        <f>IF(AND(B1981=Queue!$C$4,OR(Queue!$K$4="*",N1981=Queue!$K$4)),Q1981,"")</f>
        <v/>
      </c>
    </row>
    <row r="1982">
      <c r="A1982" s="38">
        <f>IF(M1982="","",HYPERLINK("https://www.youtube.com/watch?v="&amp;M1982,"▶"))</f>
        <v/>
      </c>
      <c r="B1982" s="39">
        <f>IF(C1982&lt;&gt;"",C1982,IF(P1982&lt;=IFERROR(INDEX(tblChannels[Watched Through],MATCH(N1982,tblChannels[Channel ID],0)),0),"Watched","Unwatched"))</f>
        <v/>
      </c>
      <c r="C1982" s="40" t="n"/>
      <c r="D1982" s="41" t="n"/>
      <c r="E1982" s="42" t="n">
        <v>43440.6875</v>
      </c>
      <c r="F1982" s="50" t="inlineStr">
        <is>
          <t>Super Carlin Brothers</t>
        </is>
      </c>
      <c r="G1982" t="inlineStr">
        <is>
          <t>Did The Blood Pact Kill Ariana? | Fantastic Beasts Theory</t>
        </is>
      </c>
      <c r="H1982" s="44" t="n">
        <v>0.008472222222222223</v>
      </c>
      <c r="I1982" s="45" t="n">
        <v>538953</v>
      </c>
      <c r="J1982" s="45" t="n">
        <v>18360</v>
      </c>
      <c r="K1982" s="45" t="n">
        <v>1381</v>
      </c>
      <c r="L1982" s="46" t="n"/>
      <c r="M1982" s="47" t="n"/>
      <c r="N1982" s="47" t="inlineStr">
        <is>
          <t>UCKZo4N0lVPccBkSiuyVh4yg</t>
        </is>
      </c>
      <c r="O1982" s="48" t="n">
        <v>43440.89583333334</v>
      </c>
      <c r="P1982" s="49" t="n">
        <v>43440</v>
      </c>
      <c r="Q1982" s="47" t="n">
        <v>1286</v>
      </c>
      <c r="R1982" s="47" t="inlineStr">
        <is>
          <t>No Video ID yet</t>
        </is>
      </c>
      <c r="S1982" s="49" t="n"/>
      <c r="T1982" s="49" t="n"/>
      <c r="U1982" s="47" t="inlineStr">
        <is>
          <t>Go to or text SCB to 500500 to get 3 months of Audible for just $6.95 a month. Today Ben dives into the Wizarding World of Harry Potter to discuss a brand new Fantastic Beasts Theory - Did the Blood pact created by Dumbledore and Grindelwald ultimately kill Albus's little sister Ariana?</t>
        </is>
      </c>
      <c r="V1982" s="47">
        <f>IF(AND(P1982&gt;=Calendar!$K$2,P1982&lt;EDATE(Calendar!$K$2,1),OR(Calendar!$K$4="*",N1982=Calendar!$K$4)),P1982*100+COUNTIFS($P$6:$P$3267,P1982,$Q$6:$Q$3267,"&lt;="&amp;Q1982,$N$6:$N$3267,Calendar!$K$4),"")</f>
        <v/>
      </c>
      <c r="W1982" s="47">
        <f>IF(AND(B1982=Queue!$C$4,OR(Queue!$K$4="*",N1982=Queue!$K$4)),Q1982,"")</f>
        <v/>
      </c>
    </row>
    <row r="1983">
      <c r="A1983" s="38">
        <f>IF(M1983="","",HYPERLINK("https://www.youtube.com/watch?v="&amp;M1983,"▶"))</f>
        <v/>
      </c>
      <c r="B1983" s="39">
        <f>IF(C1983&lt;&gt;"",C1983,IF(P1983&lt;=IFERROR(INDEX(tblChannels[Watched Through],MATCH(N1983,tblChannels[Channel ID],0)),0),"Watched","Unwatched"))</f>
        <v/>
      </c>
      <c r="C1983" s="40" t="n"/>
      <c r="D1983" s="41" t="n"/>
      <c r="E1983" s="42" t="n">
        <v>43439.41388888889</v>
      </c>
      <c r="F1983" s="52" t="inlineStr">
        <is>
          <t>Super Carlin Gaming</t>
        </is>
      </c>
      <c r="G1983" t="inlineStr">
        <is>
          <t>Boom Boom Boom | Rocket League #79</t>
        </is>
      </c>
      <c r="H1983" s="44" t="n">
        <v>0.01423611111111111</v>
      </c>
      <c r="I1983" s="45" t="n">
        <v>3778</v>
      </c>
      <c r="J1983" s="45" t="n">
        <v>243</v>
      </c>
      <c r="K1983" s="45" t="n">
        <v>68</v>
      </c>
      <c r="L1983" s="46" t="n"/>
      <c r="M1983" s="47" t="n"/>
      <c r="N1983" s="47" t="inlineStr">
        <is>
          <t>UCor_9jRnNNZVzTuQ92PKsaQ</t>
        </is>
      </c>
      <c r="O1983" s="48" t="n">
        <v>43439.62222222222</v>
      </c>
      <c r="P1983" s="49" t="n">
        <v>43439</v>
      </c>
      <c r="Q1983" s="47" t="n">
        <v>1285</v>
      </c>
      <c r="R1983" s="47" t="inlineStr">
        <is>
          <t>No Video ID yet</t>
        </is>
      </c>
      <c r="S1983" s="49" t="n"/>
      <c r="T1983" s="49" t="n"/>
      <c r="U1983" s="47" t="inlineStr">
        <is>
          <t>J, Ben, &amp; DK enter the Rocket League Coliseum as the Chudley Cannons and try and win their way to the league championship!</t>
        </is>
      </c>
      <c r="V1983" s="47">
        <f>IF(AND(P1983&gt;=Calendar!$K$2,P1983&lt;EDATE(Calendar!$K$2,1),OR(Calendar!$K$4="*",N1983=Calendar!$K$4)),P1983*100+COUNTIFS($P$6:$P$3267,P1983,$Q$6:$Q$3267,"&lt;="&amp;Q1983,$N$6:$N$3267,Calendar!$K$4),"")</f>
        <v/>
      </c>
      <c r="W1983" s="47">
        <f>IF(AND(B1983=Queue!$C$4,OR(Queue!$K$4="*",N1983=Queue!$K$4)),Q1983,"")</f>
        <v/>
      </c>
    </row>
    <row r="1984">
      <c r="A1984" s="38">
        <f>IF(M1984="","",HYPERLINK("https://www.youtube.com/watch?v="&amp;M1984,"▶"))</f>
        <v/>
      </c>
      <c r="B1984" s="39">
        <f>IF(C1984&lt;&gt;"",C1984,IF(P1984&lt;=IFERROR(INDEX(tblChannels[Watched Through],MATCH(N1984,tblChannels[Channel ID],0)),0),"Watched","Unwatched"))</f>
        <v/>
      </c>
      <c r="C1984" s="40" t="n"/>
      <c r="D1984" s="41" t="n"/>
      <c r="E1984" s="42" t="n">
        <v>43438.75138888889</v>
      </c>
      <c r="F1984" s="50" t="inlineStr">
        <is>
          <t>Super Carlin Brothers</t>
        </is>
      </c>
      <c r="G1984" t="inlineStr">
        <is>
          <t>Top 6 Walt Disney World Myths</t>
        </is>
      </c>
      <c r="H1984" s="44" t="n">
        <v>0.007094907407407407</v>
      </c>
      <c r="I1984" s="45" t="n">
        <v>996248</v>
      </c>
      <c r="J1984" s="45" t="n">
        <v>26061</v>
      </c>
      <c r="K1984" s="45" t="n">
        <v>2266</v>
      </c>
      <c r="L1984" s="46" t="n"/>
      <c r="M1984" s="47" t="n"/>
      <c r="N1984" s="47" t="inlineStr">
        <is>
          <t>UCKZo4N0lVPccBkSiuyVh4yg</t>
        </is>
      </c>
      <c r="O1984" s="48" t="n">
        <v>43438.95972222222</v>
      </c>
      <c r="P1984" s="49" t="n">
        <v>43438</v>
      </c>
      <c r="Q1984" s="47" t="n">
        <v>1284</v>
      </c>
      <c r="R1984" s="47" t="inlineStr">
        <is>
          <t>No Video ID yet</t>
        </is>
      </c>
      <c r="S1984" s="49" t="n"/>
      <c r="T1984" s="49" t="n"/>
      <c r="U1984" s="47" t="inlineStr">
        <is>
          <t>This video includes a paid partnership with Disney. #ad Best Day Ever Instagram :: Today J and Ben head to Walt Disney World to test some of the biggest myths about the park! Is there a secret ring in the pavement outside Haunted Mansion? Can you get a perfect score on Buzz Lightyear's Space Ranger Spin? Did it take an act of Congress to get the Presidential Seal in the Hall of Presidents?</t>
        </is>
      </c>
      <c r="V1984" s="47">
        <f>IF(AND(P1984&gt;=Calendar!$K$2,P1984&lt;EDATE(Calendar!$K$2,1),OR(Calendar!$K$4="*",N1984=Calendar!$K$4)),P1984*100+COUNTIFS($P$6:$P$3267,P1984,$Q$6:$Q$3267,"&lt;="&amp;Q1984,$N$6:$N$3267,Calendar!$K$4),"")</f>
        <v/>
      </c>
      <c r="W1984" s="47">
        <f>IF(AND(B1984=Queue!$C$4,OR(Queue!$K$4="*",N1984=Queue!$K$4)),Q1984,"")</f>
        <v/>
      </c>
    </row>
    <row r="1985">
      <c r="A1985" s="38">
        <f>IF(M1985="","",HYPERLINK("https://www.youtube.com/watch?v="&amp;M1985,"▶"))</f>
        <v/>
      </c>
      <c r="B1985" s="39">
        <f>IF(C1985&lt;&gt;"",C1985,IF(P1985&lt;=IFERROR(INDEX(tblChannels[Watched Through],MATCH(N1985,tblChannels[Channel ID],0)),0),"Watched","Unwatched"))</f>
        <v/>
      </c>
      <c r="C1985" s="40" t="n"/>
      <c r="D1985" s="41" t="n"/>
      <c r="E1985" s="42" t="n">
        <v>43437.4375</v>
      </c>
      <c r="F1985" s="52" t="inlineStr">
        <is>
          <t>Super Carlin Gaming</t>
        </is>
      </c>
      <c r="G1985" t="inlineStr">
        <is>
          <t>Am I Clingy? | Rocket League #78</t>
        </is>
      </c>
      <c r="H1985" s="44" t="n">
        <v>0.01424768518518518</v>
      </c>
      <c r="I1985" s="45" t="n">
        <v>3306</v>
      </c>
      <c r="J1985" s="45" t="n">
        <v>186</v>
      </c>
      <c r="K1985" s="45" t="n">
        <v>40</v>
      </c>
      <c r="L1985" s="46" t="n"/>
      <c r="M1985" s="47" t="n"/>
      <c r="N1985" s="47" t="inlineStr">
        <is>
          <t>UCor_9jRnNNZVzTuQ92PKsaQ</t>
        </is>
      </c>
      <c r="O1985" s="48" t="n">
        <v>43437.64583333334</v>
      </c>
      <c r="P1985" s="49" t="n">
        <v>43437</v>
      </c>
      <c r="Q1985" s="47" t="n">
        <v>1283</v>
      </c>
      <c r="R1985" s="47" t="inlineStr">
        <is>
          <t>No Video ID yet</t>
        </is>
      </c>
      <c r="S1985" s="49" t="n"/>
      <c r="T1985" s="49" t="n"/>
      <c r="U1985" s="47" t="inlineStr">
        <is>
          <t>J, Ben, &amp; DK enter the Rocket League Coliseum as the Chudley Cannons and try and win their way to the league championship!</t>
        </is>
      </c>
      <c r="V1985" s="47">
        <f>IF(AND(P1985&gt;=Calendar!$K$2,P1985&lt;EDATE(Calendar!$K$2,1),OR(Calendar!$K$4="*",N1985=Calendar!$K$4)),P1985*100+COUNTIFS($P$6:$P$3267,P1985,$Q$6:$Q$3267,"&lt;="&amp;Q1985,$N$6:$N$3267,Calendar!$K$4),"")</f>
        <v/>
      </c>
      <c r="W1985" s="47">
        <f>IF(AND(B1985=Queue!$C$4,OR(Queue!$K$4="*",N1985=Queue!$K$4)),Q1985,"")</f>
        <v/>
      </c>
    </row>
    <row r="1986">
      <c r="A1986" s="38">
        <f>IF(M1986="","",HYPERLINK("https://www.youtube.com/watch?v="&amp;M1986,"▶"))</f>
        <v/>
      </c>
      <c r="B1986" s="39">
        <f>IF(C1986&lt;&gt;"",C1986,IF(P1986&lt;=IFERROR(INDEX(tblChannels[Watched Through],MATCH(N1986,tblChannels[Channel ID],0)),0),"Watched","Unwatched"))</f>
        <v/>
      </c>
      <c r="C1986" s="40" t="n"/>
      <c r="D1986" s="41" t="n"/>
      <c r="E1986" s="42" t="n">
        <v>43434.5</v>
      </c>
      <c r="F1986" s="50" t="inlineStr">
        <is>
          <t>Super Carlin Brothers</t>
        </is>
      </c>
      <c r="G1986" t="inlineStr">
        <is>
          <t>WERE GIVING AWAY A LEGO HOGWARTS CASTLE!</t>
        </is>
      </c>
      <c r="H1986" s="44" t="n">
        <v>0.002789351851851852</v>
      </c>
      <c r="I1986" s="45" t="n">
        <v>57185</v>
      </c>
      <c r="J1986" s="45" t="n">
        <v>3735</v>
      </c>
      <c r="K1986" s="45" t="n">
        <v>647</v>
      </c>
      <c r="L1986" s="46" t="n"/>
      <c r="M1986" s="47" t="n"/>
      <c r="N1986" s="47" t="inlineStr">
        <is>
          <t>UCKZo4N0lVPccBkSiuyVh4yg</t>
        </is>
      </c>
      <c r="O1986" s="48" t="n">
        <v>43434.70833333334</v>
      </c>
      <c r="P1986" s="49" t="n">
        <v>43434</v>
      </c>
      <c r="Q1986" s="47" t="n">
        <v>1282</v>
      </c>
      <c r="R1986" s="47" t="inlineStr">
        <is>
          <t>No Video ID yet</t>
        </is>
      </c>
      <c r="S1986" s="49" t="n"/>
      <c r="T1986" s="49" t="n"/>
      <c r="U1986" s="47" t="inlineStr">
        <is>
          <t>Get up to 20 extra Grand Prize entires :: Support LUMOS on our GoFundMe page :: Instagrams:</t>
        </is>
      </c>
      <c r="V1986" s="47">
        <f>IF(AND(P1986&gt;=Calendar!$K$2,P1986&lt;EDATE(Calendar!$K$2,1),OR(Calendar!$K$4="*",N1986=Calendar!$K$4)),P1986*100+COUNTIFS($P$6:$P$3267,P1986,$Q$6:$Q$3267,"&lt;="&amp;Q1986,$N$6:$N$3267,Calendar!$K$4),"")</f>
        <v/>
      </c>
      <c r="W1986" s="47">
        <f>IF(AND(B1986=Queue!$C$4,OR(Queue!$K$4="*",N1986=Queue!$K$4)),Q1986,"")</f>
        <v/>
      </c>
    </row>
    <row r="1987">
      <c r="A1987" s="38">
        <f>IF(M1987="","",HYPERLINK("https://www.youtube.com/watch?v="&amp;M1987,"▶"))</f>
        <v/>
      </c>
      <c r="B1987" s="39">
        <f>IF(C1987&lt;&gt;"",C1987,IF(P1987&lt;=IFERROR(INDEX(tblChannels[Watched Through],MATCH(N1987,tblChannels[Channel ID],0)),0),"Watched","Unwatched"))</f>
        <v/>
      </c>
      <c r="C1987" s="40" t="n"/>
      <c r="D1987" s="41" t="n"/>
      <c r="E1987" s="42" t="n">
        <v>43434.4375</v>
      </c>
      <c r="F1987" s="52" t="inlineStr">
        <is>
          <t>Super Carlin Gaming</t>
        </is>
      </c>
      <c r="G1987" t="inlineStr">
        <is>
          <t>Insufferable Know-It-All | Rocket League #77</t>
        </is>
      </c>
      <c r="H1987" s="44" t="n">
        <v>0.01549768518518519</v>
      </c>
      <c r="I1987" s="45" t="n">
        <v>3252</v>
      </c>
      <c r="J1987" s="45" t="n">
        <v>166</v>
      </c>
      <c r="K1987" s="45" t="n">
        <v>48</v>
      </c>
      <c r="L1987" s="46" t="n"/>
      <c r="M1987" s="47" t="n"/>
      <c r="N1987" s="47" t="inlineStr">
        <is>
          <t>UCor_9jRnNNZVzTuQ92PKsaQ</t>
        </is>
      </c>
      <c r="O1987" s="48" t="n">
        <v>43434.64583333334</v>
      </c>
      <c r="P1987" s="49" t="n">
        <v>43434</v>
      </c>
      <c r="Q1987" s="47" t="n">
        <v>1281</v>
      </c>
      <c r="R1987" s="47" t="inlineStr">
        <is>
          <t>No Video ID yet</t>
        </is>
      </c>
      <c r="S1987" s="49" t="n"/>
      <c r="T1987" s="49" t="n"/>
      <c r="U1987" s="47" t="inlineStr">
        <is>
          <t>J, Ben, &amp; DK enter the Rocket League Coliseum as the Chudley Cannons and try and win their way to the league championship!</t>
        </is>
      </c>
      <c r="V1987" s="47">
        <f>IF(AND(P1987&gt;=Calendar!$K$2,P1987&lt;EDATE(Calendar!$K$2,1),OR(Calendar!$K$4="*",N1987=Calendar!$K$4)),P1987*100+COUNTIFS($P$6:$P$3267,P1987,$Q$6:$Q$3267,"&lt;="&amp;Q1987,$N$6:$N$3267,Calendar!$K$4),"")</f>
        <v/>
      </c>
      <c r="W1987" s="47">
        <f>IF(AND(B1987=Queue!$C$4,OR(Queue!$K$4="*",N1987=Queue!$K$4)),Q1987,"")</f>
        <v/>
      </c>
    </row>
    <row r="1988">
      <c r="A1988" s="38">
        <f>IF(M1988="","",HYPERLINK("https://www.youtube.com/watch?v="&amp;M1988,"▶"))</f>
        <v/>
      </c>
      <c r="B1988" s="39">
        <f>IF(C1988&lt;&gt;"",C1988,IF(P1988&lt;=IFERROR(INDEX(tblChannels[Watched Through],MATCH(N1988,tblChannels[Channel ID],0)),0),"Watched","Unwatched"))</f>
        <v/>
      </c>
      <c r="C1988" s="40" t="n"/>
      <c r="D1988" s="41" t="n"/>
      <c r="E1988" s="42" t="n">
        <v>43433.83263888889</v>
      </c>
      <c r="F1988" s="50" t="inlineStr">
        <is>
          <t>Super Carlin Brothers</t>
        </is>
      </c>
      <c r="G1988" t="inlineStr">
        <is>
          <t>Dumbledore's Dark Twin: Aurelius Explained | Fantastic Beasts Theory</t>
        </is>
      </c>
      <c r="H1988" s="44" t="n">
        <v>0.01125</v>
      </c>
      <c r="I1988" s="45" t="n">
        <v>1045829</v>
      </c>
      <c r="J1988" s="45" t="n">
        <v>34484</v>
      </c>
      <c r="K1988" s="45" t="n">
        <v>6464</v>
      </c>
      <c r="L1988" s="46" t="n"/>
      <c r="M1988" s="47" t="n"/>
      <c r="N1988" s="47" t="inlineStr">
        <is>
          <t>UCKZo4N0lVPccBkSiuyVh4yg</t>
        </is>
      </c>
      <c r="O1988" s="48" t="n">
        <v>43434.04097222222</v>
      </c>
      <c r="P1988" s="49" t="n">
        <v>43433</v>
      </c>
      <c r="Q1988" s="47" t="n">
        <v>1280</v>
      </c>
      <c r="R1988" s="47" t="inlineStr">
        <is>
          <t>No Video ID yet</t>
        </is>
      </c>
      <c r="S1988" s="49" t="n"/>
      <c r="T1988" s="49" t="n"/>
      <c r="U1988" s="47" t="inlineStr">
        <is>
          <t>Today Ben dives into the Wizarding World of Harry Potter to discuss the biggest question on all of our minds after seeing Fantastic Beasts the Crimes of Grindelwald - What is Credence's true identity! Does Dumbledore have a dark twin!?</t>
        </is>
      </c>
      <c r="V1988" s="47">
        <f>IF(AND(P1988&gt;=Calendar!$K$2,P1988&lt;EDATE(Calendar!$K$2,1),OR(Calendar!$K$4="*",N1988=Calendar!$K$4)),P1988*100+COUNTIFS($P$6:$P$3267,P1988,$Q$6:$Q$3267,"&lt;="&amp;Q1988,$N$6:$N$3267,Calendar!$K$4),"")</f>
        <v/>
      </c>
      <c r="W1988" s="47">
        <f>IF(AND(B1988=Queue!$C$4,OR(Queue!$K$4="*",N1988=Queue!$K$4)),Q1988,"")</f>
        <v/>
      </c>
    </row>
    <row r="1989">
      <c r="A1989" s="38">
        <f>IF(M1989="","",HYPERLINK("https://www.youtube.com/watch?v="&amp;M1989,"▶"))</f>
        <v/>
      </c>
      <c r="B1989" s="39">
        <f>IF(C1989&lt;&gt;"",C1989,IF(P1989&lt;=IFERROR(INDEX(tblChannels[Watched Through],MATCH(N1989,tblChannels[Channel ID],0)),0),"Watched","Unwatched"))</f>
        <v/>
      </c>
      <c r="C1989" s="40" t="n"/>
      <c r="D1989" s="41" t="n"/>
      <c r="E1989" s="42" t="n">
        <v>43432.62986111111</v>
      </c>
      <c r="F1989" s="52" t="inlineStr">
        <is>
          <t>Super Carlin Gaming</t>
        </is>
      </c>
      <c r="G1989" t="inlineStr">
        <is>
          <t>Dealing with Senioritis | Rocket League #76</t>
        </is>
      </c>
      <c r="H1989" s="44" t="n">
        <v>0.01533564814814815</v>
      </c>
      <c r="I1989" s="45" t="n">
        <v>2828</v>
      </c>
      <c r="J1989" s="45" t="n">
        <v>171</v>
      </c>
      <c r="K1989" s="45" t="n">
        <v>47</v>
      </c>
      <c r="L1989" s="46" t="n"/>
      <c r="M1989" s="47" t="n"/>
      <c r="N1989" s="47" t="inlineStr">
        <is>
          <t>UCor_9jRnNNZVzTuQ92PKsaQ</t>
        </is>
      </c>
      <c r="O1989" s="48" t="n">
        <v>43432.83819444444</v>
      </c>
      <c r="P1989" s="49" t="n">
        <v>43432</v>
      </c>
      <c r="Q1989" s="47" t="n">
        <v>1279</v>
      </c>
      <c r="R1989" s="47" t="inlineStr">
        <is>
          <t>No Video ID yet</t>
        </is>
      </c>
      <c r="S1989" s="49" t="n"/>
      <c r="T1989" s="49" t="n"/>
      <c r="U1989" s="47" t="inlineStr">
        <is>
          <t>The 'Kuub' game: J, Ben, &amp; DK enter the Rocket League Coliseum as the Chudley Cannons and try and win their way to the league championship!</t>
        </is>
      </c>
      <c r="V1989" s="47">
        <f>IF(AND(P1989&gt;=Calendar!$K$2,P1989&lt;EDATE(Calendar!$K$2,1),OR(Calendar!$K$4="*",N1989=Calendar!$K$4)),P1989*100+COUNTIFS($P$6:$P$3267,P1989,$Q$6:$Q$3267,"&lt;="&amp;Q1989,$N$6:$N$3267,Calendar!$K$4),"")</f>
        <v/>
      </c>
      <c r="W1989" s="47">
        <f>IF(AND(B1989=Queue!$C$4,OR(Queue!$K$4="*",N1989=Queue!$K$4)),Q1989,"")</f>
        <v/>
      </c>
    </row>
    <row r="1990">
      <c r="A1990" s="38">
        <f>IF(M1990="","",HYPERLINK("https://www.youtube.com/watch?v="&amp;M1990,"▶"))</f>
        <v/>
      </c>
      <c r="B1990" s="39">
        <f>IF(C1990&lt;&gt;"",C1990,IF(P1990&lt;=IFERROR(INDEX(tblChannels[Watched Through],MATCH(N1990,tblChannels[Channel ID],0)),0),"Watched","Unwatched"))</f>
        <v/>
      </c>
      <c r="C1990" s="40" t="n"/>
      <c r="D1990" s="41" t="n"/>
      <c r="E1990" s="42" t="n">
        <v>43431.74027777778</v>
      </c>
      <c r="F1990" s="50" t="inlineStr">
        <is>
          <t>Super Carlin Brothers</t>
        </is>
      </c>
      <c r="G1990" t="inlineStr">
        <is>
          <t>The TRUTH About Professor McGonagall | Fantastic Beasts Theory</t>
        </is>
      </c>
      <c r="H1990" s="44" t="n">
        <v>0.01061342592592593</v>
      </c>
      <c r="I1990" s="45" t="n">
        <v>1234632</v>
      </c>
      <c r="J1990" s="45" t="n">
        <v>36004</v>
      </c>
      <c r="K1990" s="45" t="n">
        <v>6785</v>
      </c>
      <c r="L1990" s="46" t="n"/>
      <c r="M1990" s="47" t="n"/>
      <c r="N1990" s="47" t="inlineStr">
        <is>
          <t>UCKZo4N0lVPccBkSiuyVh4yg</t>
        </is>
      </c>
      <c r="O1990" s="48" t="n">
        <v>43431.94861111111</v>
      </c>
      <c r="P1990" s="49" t="n">
        <v>43431</v>
      </c>
      <c r="Q1990" s="47" t="n">
        <v>1278</v>
      </c>
      <c r="R1990" s="47" t="inlineStr">
        <is>
          <t>No Video ID yet</t>
        </is>
      </c>
      <c r="S1990" s="49" t="n"/>
      <c r="T1990" s="49" t="n"/>
      <c r="U1990" s="47" t="inlineStr">
        <is>
          <t>Get 20% Off your Loot Crate order at :: Promo Code: CARLIN Today J dives into the Wizarding World of Harry Potter to discuss the origins of Professor McGonagall and how on Earth she was even able to appear in Fantastic Beasts The Crimes of Grindelwald when she shouldnt even be born yet!</t>
        </is>
      </c>
      <c r="V1990" s="47">
        <f>IF(AND(P1990&gt;=Calendar!$K$2,P1990&lt;EDATE(Calendar!$K$2,1),OR(Calendar!$K$4="*",N1990=Calendar!$K$4)),P1990*100+COUNTIFS($P$6:$P$3267,P1990,$Q$6:$Q$3267,"&lt;="&amp;Q1990,$N$6:$N$3267,Calendar!$K$4),"")</f>
        <v/>
      </c>
      <c r="W1990" s="47">
        <f>IF(AND(B1990=Queue!$C$4,OR(Queue!$K$4="*",N1990=Queue!$K$4)),Q1990,"")</f>
        <v/>
      </c>
    </row>
    <row r="1991">
      <c r="A1991" s="38">
        <f>IF(M1991="","",HYPERLINK("https://www.youtube.com/watch?v="&amp;M1991,"▶"))</f>
        <v/>
      </c>
      <c r="B1991" s="39">
        <f>IF(C1991&lt;&gt;"",C1991,IF(P1991&lt;=IFERROR(INDEX(tblChannels[Watched Through],MATCH(N1991,tblChannels[Channel ID],0)),0),"Watched","Unwatched"))</f>
        <v/>
      </c>
      <c r="C1991" s="40" t="n"/>
      <c r="D1991" s="41" t="n"/>
      <c r="E1991" s="42" t="n">
        <v>43430.62430555555</v>
      </c>
      <c r="F1991" s="52" t="inlineStr">
        <is>
          <t>Super Carlin Gaming</t>
        </is>
      </c>
      <c r="G1991" t="inlineStr">
        <is>
          <t>Starting Self-Employment | Rocket League #75</t>
        </is>
      </c>
      <c r="H1991" s="44" t="n">
        <v>0.01399305555555556</v>
      </c>
      <c r="I1991" s="45" t="n">
        <v>2714</v>
      </c>
      <c r="J1991" s="45" t="n">
        <v>173</v>
      </c>
      <c r="K1991" s="45" t="n">
        <v>44</v>
      </c>
      <c r="L1991" s="46" t="n"/>
      <c r="M1991" s="47" t="n"/>
      <c r="N1991" s="47" t="inlineStr">
        <is>
          <t>UCor_9jRnNNZVzTuQ92PKsaQ</t>
        </is>
      </c>
      <c r="O1991" s="48" t="n">
        <v>43430.83263888889</v>
      </c>
      <c r="P1991" s="49" t="n">
        <v>43430</v>
      </c>
      <c r="Q1991" s="47" t="n">
        <v>1277</v>
      </c>
      <c r="R1991" s="47" t="inlineStr">
        <is>
          <t>No Video ID yet</t>
        </is>
      </c>
      <c r="S1991" s="49" t="n"/>
      <c r="T1991" s="49" t="n"/>
      <c r="U1991" s="47" t="inlineStr">
        <is>
          <t>J, Ben, &amp; DK enter the Rocket League Coliseum as the Chudley Cannons and try and win their way to the league championship!</t>
        </is>
      </c>
      <c r="V1991" s="47">
        <f>IF(AND(P1991&gt;=Calendar!$K$2,P1991&lt;EDATE(Calendar!$K$2,1),OR(Calendar!$K$4="*",N1991=Calendar!$K$4)),P1991*100+COUNTIFS($P$6:$P$3267,P1991,$Q$6:$Q$3267,"&lt;="&amp;Q1991,$N$6:$N$3267,Calendar!$K$4),"")</f>
        <v/>
      </c>
      <c r="W1991" s="47">
        <f>IF(AND(B1991=Queue!$C$4,OR(Queue!$K$4="*",N1991=Queue!$K$4)),Q1991,"")</f>
        <v/>
      </c>
    </row>
    <row r="1992">
      <c r="A1992" s="38">
        <f>IF(M1992="","",HYPERLINK("https://www.youtube.com/watch?v="&amp;M1992,"▶"))</f>
        <v/>
      </c>
      <c r="B1992" s="39">
        <f>IF(C1992&lt;&gt;"",C1992,IF(P1992&lt;=IFERROR(INDEX(tblChannels[Watched Through],MATCH(N1992,tblChannels[Channel ID],0)),0),"Watched","Unwatched"))</f>
        <v/>
      </c>
      <c r="C1992" s="40" t="n"/>
      <c r="D1992" s="41" t="n"/>
      <c r="E1992" s="42" t="n">
        <v>43430.43263888889</v>
      </c>
      <c r="F1992" s="53" t="inlineStr">
        <is>
          <t>Jonathan Carlin</t>
        </is>
      </c>
      <c r="G1992" t="inlineStr">
        <is>
          <t>BEN TURNS 29!</t>
        </is>
      </c>
      <c r="H1992" s="44" t="n">
        <v>0.008414351851851852</v>
      </c>
      <c r="I1992" s="45" t="n">
        <v>53648</v>
      </c>
      <c r="J1992" s="45" t="n">
        <v>2362</v>
      </c>
      <c r="K1992" s="45" t="n">
        <v>298</v>
      </c>
      <c r="L1992" s="46" t="n"/>
      <c r="M1992" s="47" t="n"/>
      <c r="N1992" s="47" t="inlineStr">
        <is>
          <t>UCYPKFe86e6nm4TVUYKLsFUQ</t>
        </is>
      </c>
      <c r="O1992" s="48" t="n">
        <v>43430.64097222222</v>
      </c>
      <c r="P1992" s="49" t="n">
        <v>43430</v>
      </c>
      <c r="Q1992" s="47" t="n">
        <v>1276</v>
      </c>
      <c r="R1992" s="47" t="inlineStr">
        <is>
          <t>No Video ID yet</t>
        </is>
      </c>
      <c r="S1992" s="49" t="n"/>
      <c r="T1992" s="49" t="n"/>
      <c r="U1992" s="47" t="inlineStr">
        <is>
          <t>This week J and the rest of the fam try and recharge their batteries, but are met with LOTS to do including Ben's Birthday, Halloween Parties and Pumpkin painting parties!</t>
        </is>
      </c>
      <c r="V1992" s="47">
        <f>IF(AND(P1992&gt;=Calendar!$K$2,P1992&lt;EDATE(Calendar!$K$2,1),OR(Calendar!$K$4="*",N1992=Calendar!$K$4)),P1992*100+COUNTIFS($P$6:$P$3267,P1992,$Q$6:$Q$3267,"&lt;="&amp;Q1992,$N$6:$N$3267,Calendar!$K$4),"")</f>
        <v/>
      </c>
      <c r="W1992" s="47">
        <f>IF(AND(B1992=Queue!$C$4,OR(Queue!$K$4="*",N1992=Queue!$K$4)),Q1992,"")</f>
        <v/>
      </c>
    </row>
    <row r="1993">
      <c r="A1993" s="38">
        <f>IF(M1993="","",HYPERLINK("https://www.youtube.com/watch?v="&amp;M1993,"▶"))</f>
        <v/>
      </c>
      <c r="B1993" s="39">
        <f>IF(C1993&lt;&gt;"",C1993,IF(P1993&lt;=IFERROR(INDEX(tblChannels[Watched Through],MATCH(N1993,tblChannels[Channel ID],0)),0),"Watched","Unwatched"))</f>
        <v/>
      </c>
      <c r="C1993" s="40" t="n"/>
      <c r="D1993" s="41" t="n"/>
      <c r="E1993" s="42" t="n">
        <v>43426.54166666666</v>
      </c>
      <c r="F1993" s="50" t="inlineStr">
        <is>
          <t>Super Carlin Brothers</t>
        </is>
      </c>
      <c r="G1993" t="inlineStr">
        <is>
          <t>J vs Ben: MOST Expensive Harry Potter Merch | GAME</t>
        </is>
      </c>
      <c r="H1993" s="44" t="n">
        <v>0.01891203703703704</v>
      </c>
      <c r="I1993" s="45" t="n">
        <v>815854</v>
      </c>
      <c r="J1993" s="45" t="n">
        <v>18732</v>
      </c>
      <c r="K1993" s="45" t="n">
        <v>2244</v>
      </c>
      <c r="L1993" s="46" t="n"/>
      <c r="M1993" s="47" t="n"/>
      <c r="N1993" s="47" t="inlineStr">
        <is>
          <t>UCKZo4N0lVPccBkSiuyVh4yg</t>
        </is>
      </c>
      <c r="O1993" s="48" t="n">
        <v>43426.75</v>
      </c>
      <c r="P1993" s="49" t="n">
        <v>43426</v>
      </c>
      <c r="Q1993" s="47" t="n">
        <v>1275</v>
      </c>
      <c r="R1993" s="47" t="inlineStr">
        <is>
          <t>No Video ID yet</t>
        </is>
      </c>
      <c r="S1993" s="49" t="n"/>
      <c r="T1993" s="49" t="n"/>
      <c r="U1993" s="47" t="inlineStr">
        <is>
          <t>Happy Thanksgiving! Today J and Ben Face off and try to guess the exact price of various Harry Potter merch. Feel free to play along with us and see if you can out score us!</t>
        </is>
      </c>
      <c r="V1993" s="47">
        <f>IF(AND(P1993&gt;=Calendar!$K$2,P1993&lt;EDATE(Calendar!$K$2,1),OR(Calendar!$K$4="*",N1993=Calendar!$K$4)),P1993*100+COUNTIFS($P$6:$P$3267,P1993,$Q$6:$Q$3267,"&lt;="&amp;Q1993,$N$6:$N$3267,Calendar!$K$4),"")</f>
        <v/>
      </c>
      <c r="W1993" s="47">
        <f>IF(AND(B1993=Queue!$C$4,OR(Queue!$K$4="*",N1993=Queue!$K$4)),Q1993,"")</f>
        <v/>
      </c>
    </row>
    <row r="1994">
      <c r="A1994" s="38">
        <f>IF(M1994="","",HYPERLINK("https://www.youtube.com/watch?v="&amp;M1994,"▶"))</f>
        <v/>
      </c>
      <c r="B1994" s="39">
        <f>IF(C1994&lt;&gt;"",C1994,IF(P1994&lt;=IFERROR(INDEX(tblChannels[Watched Through],MATCH(N1994,tblChannels[Channel ID],0)),0),"Watched","Unwatched"))</f>
        <v/>
      </c>
      <c r="C1994" s="40" t="n"/>
      <c r="D1994" s="41" t="n"/>
      <c r="E1994" s="42" t="n">
        <v>43424.73194444444</v>
      </c>
      <c r="F1994" s="50" t="inlineStr">
        <is>
          <t>Super Carlin Brothers</t>
        </is>
      </c>
      <c r="G1994" t="inlineStr">
        <is>
          <t>Fantastic Beasts: Crimes Of Grindelwald Spoiler REVIEW</t>
        </is>
      </c>
      <c r="H1994" s="44" t="n">
        <v>0.04378472222222222</v>
      </c>
      <c r="I1994" s="45" t="n">
        <v>1383936</v>
      </c>
      <c r="J1994" s="45" t="n">
        <v>27726</v>
      </c>
      <c r="K1994" s="45" t="n">
        <v>9526</v>
      </c>
      <c r="L1994" s="46" t="n"/>
      <c r="M1994" s="47" t="n"/>
      <c r="N1994" s="47" t="inlineStr">
        <is>
          <t>UCKZo4N0lVPccBkSiuyVh4yg</t>
        </is>
      </c>
      <c r="O1994" s="48" t="n">
        <v>43424.94027777778</v>
      </c>
      <c r="P1994" s="49" t="n">
        <v>43424</v>
      </c>
      <c r="Q1994" s="47" t="n">
        <v>1274</v>
      </c>
      <c r="R1994" s="47" t="inlineStr">
        <is>
          <t>No Video ID yet</t>
        </is>
      </c>
      <c r="S1994" s="49" t="n"/>
      <c r="T1994" s="49" t="n"/>
      <c r="U1994" s="47" t="inlineStr">
        <is>
          <t>Vincero's EPIC Pre-Black Friday SALE :: Today J and Ben dive DEEP into the world of Fantastic Beasts: The Crimes of Grindelwald to give their full SPOILER Review of the movie. Have you seen it? What did you think??</t>
        </is>
      </c>
      <c r="V1994" s="47">
        <f>IF(AND(P1994&gt;=Calendar!$K$2,P1994&lt;EDATE(Calendar!$K$2,1),OR(Calendar!$K$4="*",N1994=Calendar!$K$4)),P1994*100+COUNTIFS($P$6:$P$3267,P1994,$Q$6:$Q$3267,"&lt;="&amp;Q1994,$N$6:$N$3267,Calendar!$K$4),"")</f>
        <v/>
      </c>
      <c r="W1994" s="47">
        <f>IF(AND(B1994=Queue!$C$4,OR(Queue!$K$4="*",N1994=Queue!$K$4)),Q1994,"")</f>
        <v/>
      </c>
    </row>
    <row r="1995">
      <c r="A1995" s="38">
        <f>IF(M1995="","",HYPERLINK("https://www.youtube.com/watch?v="&amp;M1995,"▶"))</f>
        <v/>
      </c>
      <c r="B1995" s="39">
        <f>IF(C1995&lt;&gt;"",C1995,IF(P1995&lt;=IFERROR(INDEX(tblChannels[Watched Through],MATCH(N1995,tblChannels[Channel ID],0)),0),"Watched","Unwatched"))</f>
        <v/>
      </c>
      <c r="C1995" s="40" t="n"/>
      <c r="D1995" s="41" t="n"/>
      <c r="E1995" s="42" t="n">
        <v>43423.58333333334</v>
      </c>
      <c r="F1995" s="53" t="inlineStr">
        <is>
          <t>Jonathan Carlin</t>
        </is>
      </c>
      <c r="G1995" t="inlineStr">
        <is>
          <t>SURVIVING A 12 HOUR TWITCH STREAM</t>
        </is>
      </c>
      <c r="H1995" s="44" t="n">
        <v>0.00681712962962963</v>
      </c>
      <c r="I1995" s="45" t="n">
        <v>29106</v>
      </c>
      <c r="J1995" s="45" t="n">
        <v>1463</v>
      </c>
      <c r="K1995" s="45" t="n">
        <v>155</v>
      </c>
      <c r="L1995" s="46" t="n"/>
      <c r="M1995" s="47" t="n"/>
      <c r="N1995" s="47" t="inlineStr">
        <is>
          <t>UCYPKFe86e6nm4TVUYKLsFUQ</t>
        </is>
      </c>
      <c r="O1995" s="48" t="n">
        <v>43423.79166666666</v>
      </c>
      <c r="P1995" s="49" t="n">
        <v>43423</v>
      </c>
      <c r="Q1995" s="47" t="n">
        <v>1273</v>
      </c>
      <c r="R1995" s="47" t="inlineStr">
        <is>
          <t>No Video ID yet</t>
        </is>
      </c>
      <c r="S1995" s="49" t="n"/>
      <c r="T1995" s="49" t="n"/>
      <c r="U1995" s="47" t="inlineStr">
        <is>
          <t>This week J and Ben are very busy with various projects, including an Angry Birds Voice over, recording an episode of Fantastic Geeks and Where to Find Them and enduring a 12 Hour Twitch Stream! Twitch :: Twitch.TV/SuperCarlinBrothers Fantastic Geeks &amp; Where To Find Them :: Angry Birds VO ::</t>
        </is>
      </c>
      <c r="V1995" s="47">
        <f>IF(AND(P1995&gt;=Calendar!$K$2,P1995&lt;EDATE(Calendar!$K$2,1),OR(Calendar!$K$4="*",N1995=Calendar!$K$4)),P1995*100+COUNTIFS($P$6:$P$3267,P1995,$Q$6:$Q$3267,"&lt;="&amp;Q1995,$N$6:$N$3267,Calendar!$K$4),"")</f>
        <v/>
      </c>
      <c r="W1995" s="47">
        <f>IF(AND(B1995=Queue!$C$4,OR(Queue!$K$4="*",N1995=Queue!$K$4)),Q1995,"")</f>
        <v/>
      </c>
    </row>
    <row r="1996">
      <c r="A1996" s="38">
        <f>IF(M1996="","",HYPERLINK("https://www.youtube.com/watch?v="&amp;M1996,"▶"))</f>
        <v/>
      </c>
      <c r="B1996" s="39">
        <f>IF(C1996&lt;&gt;"",C1996,IF(P1996&lt;=IFERROR(INDEX(tblChannels[Watched Through],MATCH(N1996,tblChannels[Channel ID],0)),0),"Watched","Unwatched"))</f>
        <v/>
      </c>
      <c r="C1996" s="40" t="n"/>
      <c r="D1996" s="41" t="n"/>
      <c r="E1996" s="42" t="n">
        <v>43420.4375</v>
      </c>
      <c r="F1996" s="52" t="inlineStr">
        <is>
          <t>Super Carlin Gaming</t>
        </is>
      </c>
      <c r="G1996" t="inlineStr">
        <is>
          <t>Singing Confidently | Rocket League #74</t>
        </is>
      </c>
      <c r="H1996" s="44" t="n">
        <v>0.01467592592592593</v>
      </c>
      <c r="I1996" s="45" t="n">
        <v>3273</v>
      </c>
      <c r="J1996" s="45" t="n">
        <v>164</v>
      </c>
      <c r="K1996" s="45" t="n">
        <v>58</v>
      </c>
      <c r="L1996" s="46" t="n"/>
      <c r="M1996" s="47" t="n"/>
      <c r="N1996" s="47" t="inlineStr">
        <is>
          <t>UCor_9jRnNNZVzTuQ92PKsaQ</t>
        </is>
      </c>
      <c r="O1996" s="48" t="n">
        <v>43420.64583333334</v>
      </c>
      <c r="P1996" s="49" t="n">
        <v>43420</v>
      </c>
      <c r="Q1996" s="47" t="n">
        <v>1272</v>
      </c>
      <c r="R1996" s="47" t="inlineStr">
        <is>
          <t>No Video ID yet</t>
        </is>
      </c>
      <c r="S1996" s="49" t="n"/>
      <c r="T1996" s="49" t="n"/>
      <c r="U1996" s="47" t="inlineStr">
        <is>
          <t>J, Ben, &amp; DK enter the Rocket League Coliseum as the Chudley Cannons and try and win their way to the league championship!</t>
        </is>
      </c>
      <c r="V1996" s="47">
        <f>IF(AND(P1996&gt;=Calendar!$K$2,P1996&lt;EDATE(Calendar!$K$2,1),OR(Calendar!$K$4="*",N1996=Calendar!$K$4)),P1996*100+COUNTIFS($P$6:$P$3267,P1996,$Q$6:$Q$3267,"&lt;="&amp;Q1996,$N$6:$N$3267,Calendar!$K$4),"")</f>
        <v/>
      </c>
      <c r="W1996" s="47">
        <f>IF(AND(B1996=Queue!$C$4,OR(Queue!$K$4="*",N1996=Queue!$K$4)),Q1996,"")</f>
        <v/>
      </c>
    </row>
    <row r="1997">
      <c r="A1997" s="38">
        <f>IF(M1997="","",HYPERLINK("https://www.youtube.com/watch?v="&amp;M1997,"▶"))</f>
        <v/>
      </c>
      <c r="B1997" s="39">
        <f>IF(C1997&lt;&gt;"",C1997,IF(P1997&lt;=IFERROR(INDEX(tblChannels[Watched Through],MATCH(N1997,tblChannels[Channel ID],0)),0),"Watched","Unwatched"))</f>
        <v/>
      </c>
      <c r="C1997" s="40" t="n"/>
      <c r="D1997" s="41" t="n"/>
      <c r="E1997" s="42" t="n">
        <v>43419.68402777778</v>
      </c>
      <c r="F1997" s="50" t="inlineStr">
        <is>
          <t>Super Carlin Brothers</t>
        </is>
      </c>
      <c r="G1997" t="inlineStr">
        <is>
          <t>J vs Ben: ULTIMATE Fantastic Beasts Quiz</t>
        </is>
      </c>
      <c r="H1997" s="44" t="n">
        <v>0.02246527777777778</v>
      </c>
      <c r="I1997" s="45" t="n">
        <v>553725</v>
      </c>
      <c r="J1997" s="45" t="n">
        <v>12427</v>
      </c>
      <c r="K1997" s="45" t="n">
        <v>1752</v>
      </c>
      <c r="L1997" s="46" t="n"/>
      <c r="M1997" s="47" t="n"/>
      <c r="N1997" s="47" t="inlineStr">
        <is>
          <t>UCKZo4N0lVPccBkSiuyVh4yg</t>
        </is>
      </c>
      <c r="O1997" s="48" t="n">
        <v>43419.89236111111</v>
      </c>
      <c r="P1997" s="49" t="n">
        <v>43419</v>
      </c>
      <c r="Q1997" s="47" t="n">
        <v>1271</v>
      </c>
      <c r="R1997" s="47" t="inlineStr">
        <is>
          <t>No Video ID yet</t>
        </is>
      </c>
      <c r="S1997" s="49" t="n"/>
      <c r="T1997" s="49" t="n"/>
      <c r="U1997" s="47" t="inlineStr">
        <is>
          <t>Play along with us! :: Today J and Ben face off in the ultimate Fantastic Beasts quiz to find out who knows more about the Wizarding Worlds and all of the amazingly magical creatures in it! Also sorry for the sound quality, we had some technical issues with our mic's that DK was able to spin has magic on but it still may sound a lil different than usual - Hope you enjoy!</t>
        </is>
      </c>
      <c r="V1997" s="47">
        <f>IF(AND(P1997&gt;=Calendar!$K$2,P1997&lt;EDATE(Calendar!$K$2,1),OR(Calendar!$K$4="*",N1997=Calendar!$K$4)),P1997*100+COUNTIFS($P$6:$P$3267,P1997,$Q$6:$Q$3267,"&lt;="&amp;Q1997,$N$6:$N$3267,Calendar!$K$4),"")</f>
        <v/>
      </c>
      <c r="W1997" s="47">
        <f>IF(AND(B1997=Queue!$C$4,OR(Queue!$K$4="*",N1997=Queue!$K$4)),Q1997,"")</f>
        <v/>
      </c>
    </row>
    <row r="1998">
      <c r="A1998" s="38">
        <f>IF(M1998="","",HYPERLINK("https://www.youtube.com/watch?v="&amp;M1998,"▶"))</f>
        <v/>
      </c>
      <c r="B1998" s="39">
        <f>IF(C1998&lt;&gt;"",C1998,IF(P1998&lt;=IFERROR(INDEX(tblChannels[Watched Through],MATCH(N1998,tblChannels[Channel ID],0)),0),"Watched","Unwatched"))</f>
        <v/>
      </c>
      <c r="C1998" s="40" t="n"/>
      <c r="D1998" s="41" t="n"/>
      <c r="E1998" s="42" t="n">
        <v>43418.4375</v>
      </c>
      <c r="F1998" s="52" t="inlineStr">
        <is>
          <t>Super Carlin Gaming</t>
        </is>
      </c>
      <c r="G1998" t="inlineStr">
        <is>
          <t>More Girly Than Me? | Rocket League #73</t>
        </is>
      </c>
      <c r="H1998" s="44" t="n">
        <v>0.01319444444444444</v>
      </c>
      <c r="I1998" s="45" t="n">
        <v>3019</v>
      </c>
      <c r="J1998" s="45" t="n">
        <v>173</v>
      </c>
      <c r="K1998" s="45" t="n">
        <v>53</v>
      </c>
      <c r="L1998" s="46" t="n"/>
      <c r="M1998" s="47" t="n"/>
      <c r="N1998" s="47" t="inlineStr">
        <is>
          <t>UCor_9jRnNNZVzTuQ92PKsaQ</t>
        </is>
      </c>
      <c r="O1998" s="48" t="n">
        <v>43418.64583333334</v>
      </c>
      <c r="P1998" s="49" t="n">
        <v>43418</v>
      </c>
      <c r="Q1998" s="47" t="n">
        <v>1270</v>
      </c>
      <c r="R1998" s="47" t="inlineStr">
        <is>
          <t>No Video ID yet</t>
        </is>
      </c>
      <c r="S1998" s="49" t="n"/>
      <c r="T1998" s="49" t="n"/>
      <c r="U1998" s="47" t="inlineStr">
        <is>
          <t>J, Ben, &amp; DK enter the Rocket League Coliseum as the Chudley Cannons and try and win their way to the league championship!</t>
        </is>
      </c>
      <c r="V1998" s="47">
        <f>IF(AND(P1998&gt;=Calendar!$K$2,P1998&lt;EDATE(Calendar!$K$2,1),OR(Calendar!$K$4="*",N1998=Calendar!$K$4)),P1998*100+COUNTIFS($P$6:$P$3267,P1998,$Q$6:$Q$3267,"&lt;="&amp;Q1998,$N$6:$N$3267,Calendar!$K$4),"")</f>
        <v/>
      </c>
      <c r="W1998" s="47">
        <f>IF(AND(B1998=Queue!$C$4,OR(Queue!$K$4="*",N1998=Queue!$K$4)),Q1998,"")</f>
        <v/>
      </c>
    </row>
    <row r="1999">
      <c r="A1999" s="38">
        <f>IF(M1999="","",HYPERLINK("https://www.youtube.com/watch?v="&amp;M1999,"▶"))</f>
        <v/>
      </c>
      <c r="B1999" s="39">
        <f>IF(C1999&lt;&gt;"",C1999,IF(P1999&lt;=IFERROR(INDEX(tblChannels[Watched Through],MATCH(N1999,tblChannels[Channel ID],0)),0),"Watched","Unwatched"))</f>
        <v/>
      </c>
      <c r="C1999" s="40" t="n"/>
      <c r="D1999" s="41" t="n"/>
      <c r="E1999" s="42" t="n">
        <v>43417.81180555555</v>
      </c>
      <c r="F1999" s="50" t="inlineStr">
        <is>
          <t>Super Carlin Brothers</t>
        </is>
      </c>
      <c r="G1999" t="inlineStr">
        <is>
          <t>How Is Forky Alive? | Toy Story 4</t>
        </is>
      </c>
      <c r="H1999" s="44" t="n">
        <v>0.008483796296296297</v>
      </c>
      <c r="I1999" s="45" t="n">
        <v>1066805</v>
      </c>
      <c r="J1999" s="45" t="n">
        <v>28690</v>
      </c>
      <c r="K1999" s="45" t="n">
        <v>4462</v>
      </c>
      <c r="L1999" s="46" t="n"/>
      <c r="M1999" s="47" t="n"/>
      <c r="N1999" s="47" t="inlineStr">
        <is>
          <t>UCKZo4N0lVPccBkSiuyVh4yg</t>
        </is>
      </c>
      <c r="O1999" s="48" t="n">
        <v>43418.02013888889</v>
      </c>
      <c r="P1999" s="49" t="n">
        <v>43417</v>
      </c>
      <c r="Q1999" s="47" t="n">
        <v>1269</v>
      </c>
      <c r="R1999" s="47" t="inlineStr">
        <is>
          <t>No Video ID yet</t>
        </is>
      </c>
      <c r="S1999" s="49" t="n"/>
      <c r="T1999" s="49" t="n"/>
      <c r="U1999" s="47" t="inlineStr">
        <is>
          <t>Googly Eyes: Get Your Carlin Brothers Coffee TODAY: CarlinBrothersCoffee.com Today J dives into the world of Pixar’s Toy Story 4 to discuss the latest teaser trailer and find out how the newest character “Forky” is able to come to life despite just being a spork AND if he has any connections to the toys previous owner..</t>
        </is>
      </c>
      <c r="V1999" s="47">
        <f>IF(AND(P1999&gt;=Calendar!$K$2,P1999&lt;EDATE(Calendar!$K$2,1),OR(Calendar!$K$4="*",N1999=Calendar!$K$4)),P1999*100+COUNTIFS($P$6:$P$3267,P1999,$Q$6:$Q$3267,"&lt;="&amp;Q1999,$N$6:$N$3267,Calendar!$K$4),"")</f>
        <v/>
      </c>
      <c r="W1999" s="47">
        <f>IF(AND(B1999=Queue!$C$4,OR(Queue!$K$4="*",N1999=Queue!$K$4)),Q1999,"")</f>
        <v/>
      </c>
    </row>
    <row r="2000">
      <c r="A2000" s="38">
        <f>IF(M2000="","",HYPERLINK("https://www.youtube.com/watch?v="&amp;M2000,"▶"))</f>
        <v/>
      </c>
      <c r="B2000" s="39">
        <f>IF(C2000&lt;&gt;"",C2000,IF(P2000&lt;=IFERROR(INDEX(tblChannels[Watched Through],MATCH(N2000,tblChannels[Channel ID],0)),0),"Watched","Unwatched"))</f>
        <v/>
      </c>
      <c r="C2000" s="40" t="n"/>
      <c r="D2000" s="41" t="n"/>
      <c r="E2000" s="42" t="n">
        <v>43417.57847222222</v>
      </c>
      <c r="F2000" s="53" t="inlineStr">
        <is>
          <t>Jonathan Carlin</t>
        </is>
      </c>
      <c r="G2000" t="inlineStr">
        <is>
          <t>BEER MILE 2!</t>
        </is>
      </c>
      <c r="H2000" s="44" t="n">
        <v>0.004722222222222222</v>
      </c>
      <c r="I2000" s="45" t="n">
        <v>19732</v>
      </c>
      <c r="J2000" s="45" t="n">
        <v>1201</v>
      </c>
      <c r="K2000" s="45" t="n">
        <v>108</v>
      </c>
      <c r="L2000" s="46" t="n"/>
      <c r="M2000" s="47" t="n"/>
      <c r="N2000" s="47" t="inlineStr">
        <is>
          <t>UCYPKFe86e6nm4TVUYKLsFUQ</t>
        </is>
      </c>
      <c r="O2000" s="48" t="n">
        <v>43417.78680555556</v>
      </c>
      <c r="P2000" s="49" t="n">
        <v>43417</v>
      </c>
      <c r="Q2000" s="47" t="n">
        <v>1268</v>
      </c>
      <c r="R2000" s="47" t="inlineStr">
        <is>
          <t>No Video ID yet</t>
        </is>
      </c>
      <c r="S2000" s="49" t="n"/>
      <c r="T2000" s="49" t="n"/>
      <c r="U2000" s="47" t="inlineStr">
        <is>
          <t>Has it been a whole year already?? YES - This week J and the Beer Mile crew return to Go Fest to race for the title - Can they win?! Also Roanoke suffers some heavy rain and Ben hangs on stuff.</t>
        </is>
      </c>
      <c r="V2000" s="47">
        <f>IF(AND(P2000&gt;=Calendar!$K$2,P2000&lt;EDATE(Calendar!$K$2,1),OR(Calendar!$K$4="*",N2000=Calendar!$K$4)),P2000*100+COUNTIFS($P$6:$P$3267,P2000,$Q$6:$Q$3267,"&lt;="&amp;Q2000,$N$6:$N$3267,Calendar!$K$4),"")</f>
        <v/>
      </c>
      <c r="W2000" s="47">
        <f>IF(AND(B2000=Queue!$C$4,OR(Queue!$K$4="*",N2000=Queue!$K$4)),Q2000,"")</f>
        <v/>
      </c>
    </row>
    <row r="2001">
      <c r="A2001" s="38">
        <f>IF(M2001="","",HYPERLINK("https://www.youtube.com/watch?v="&amp;M2001,"▶"))</f>
        <v/>
      </c>
      <c r="B2001" s="39">
        <f>IF(C2001&lt;&gt;"",C2001,IF(P2001&lt;=IFERROR(INDEX(tblChannels[Watched Through],MATCH(N2001,tblChannels[Channel ID],0)),0),"Watched","Unwatched"))</f>
        <v/>
      </c>
      <c r="C2001" s="40" t="n"/>
      <c r="D2001" s="41" t="n"/>
      <c r="E2001" s="42" t="n">
        <v>43416.67430555556</v>
      </c>
      <c r="F2001" s="52" t="inlineStr">
        <is>
          <t>Super Carlin Gaming</t>
        </is>
      </c>
      <c r="G2001" t="inlineStr">
        <is>
          <t>Taking a Gap Year? | Rocket League #72</t>
        </is>
      </c>
      <c r="H2001" s="44" t="n">
        <v>0.01243055555555556</v>
      </c>
      <c r="I2001" s="45" t="n">
        <v>2932</v>
      </c>
      <c r="J2001" s="45" t="n">
        <v>146</v>
      </c>
      <c r="K2001" s="45" t="n">
        <v>68</v>
      </c>
      <c r="L2001" s="46" t="n"/>
      <c r="M2001" s="47" t="n"/>
      <c r="N2001" s="47" t="inlineStr">
        <is>
          <t>UCor_9jRnNNZVzTuQ92PKsaQ</t>
        </is>
      </c>
      <c r="O2001" s="48" t="n">
        <v>43416.88263888889</v>
      </c>
      <c r="P2001" s="49" t="n">
        <v>43416</v>
      </c>
      <c r="Q2001" s="47" t="n">
        <v>1267</v>
      </c>
      <c r="R2001" s="47" t="inlineStr">
        <is>
          <t>No Video ID yet</t>
        </is>
      </c>
      <c r="S2001" s="49" t="n"/>
      <c r="T2001" s="49" t="n"/>
      <c r="U2001" s="47" t="inlineStr">
        <is>
          <t>J, Ben, &amp; DK enter the Rocket League Coliseum as the Chudley Cannons and try and win their way to the league championship!</t>
        </is>
      </c>
      <c r="V2001" s="47">
        <f>IF(AND(P2001&gt;=Calendar!$K$2,P2001&lt;EDATE(Calendar!$K$2,1),OR(Calendar!$K$4="*",N2001=Calendar!$K$4)),P2001*100+COUNTIFS($P$6:$P$3267,P2001,$Q$6:$Q$3267,"&lt;="&amp;Q2001,$N$6:$N$3267,Calendar!$K$4),"")</f>
        <v/>
      </c>
      <c r="W2001" s="47">
        <f>IF(AND(B2001=Queue!$C$4,OR(Queue!$K$4="*",N2001=Queue!$K$4)),Q2001,"")</f>
        <v/>
      </c>
    </row>
    <row r="2002">
      <c r="A2002" s="38">
        <f>IF(M2002="","",HYPERLINK("https://www.youtube.com/watch?v="&amp;M2002,"▶"))</f>
        <v/>
      </c>
      <c r="B2002" s="39">
        <f>IF(C2002&lt;&gt;"",C2002,IF(P2002&lt;=IFERROR(INDEX(tblChannels[Watched Through],MATCH(N2002,tblChannels[Channel ID],0)),0),"Watched","Unwatched"))</f>
        <v/>
      </c>
      <c r="C2002" s="40" t="n"/>
      <c r="D2002" s="41" t="n"/>
      <c r="E2002" s="42" t="n">
        <v>43413.4375</v>
      </c>
      <c r="F2002" s="52" t="inlineStr">
        <is>
          <t>Super Carlin Gaming</t>
        </is>
      </c>
      <c r="G2002" t="inlineStr">
        <is>
          <t>How to Delegate? | Rocket League #71</t>
        </is>
      </c>
      <c r="H2002" s="44" t="n">
        <v>0.0124537037037037</v>
      </c>
      <c r="I2002" s="45" t="n">
        <v>2902</v>
      </c>
      <c r="J2002" s="45" t="n">
        <v>157</v>
      </c>
      <c r="K2002" s="45" t="n">
        <v>64</v>
      </c>
      <c r="L2002" s="46" t="n"/>
      <c r="M2002" s="47" t="n"/>
      <c r="N2002" s="47" t="inlineStr">
        <is>
          <t>UCor_9jRnNNZVzTuQ92PKsaQ</t>
        </is>
      </c>
      <c r="O2002" s="48" t="n">
        <v>43413.64583333334</v>
      </c>
      <c r="P2002" s="49" t="n">
        <v>43413</v>
      </c>
      <c r="Q2002" s="47" t="n">
        <v>1266</v>
      </c>
      <c r="R2002" s="47" t="inlineStr">
        <is>
          <t>No Video ID yet</t>
        </is>
      </c>
      <c r="S2002" s="49" t="n"/>
      <c r="T2002" s="49" t="n"/>
      <c r="U2002" s="47" t="inlineStr">
        <is>
          <t>J, Ben, &amp; DK enter the Rocket League Coliseum as the Chudley Cannons and try and win their way to the league championship!</t>
        </is>
      </c>
      <c r="V2002" s="47">
        <f>IF(AND(P2002&gt;=Calendar!$K$2,P2002&lt;EDATE(Calendar!$K$2,1),OR(Calendar!$K$4="*",N2002=Calendar!$K$4)),P2002*100+COUNTIFS($P$6:$P$3267,P2002,$Q$6:$Q$3267,"&lt;="&amp;Q2002,$N$6:$N$3267,Calendar!$K$4),"")</f>
        <v/>
      </c>
      <c r="W2002" s="47">
        <f>IF(AND(B2002=Queue!$C$4,OR(Queue!$K$4="*",N2002=Queue!$K$4)),Q2002,"")</f>
        <v/>
      </c>
    </row>
    <row r="2003">
      <c r="A2003" s="38">
        <f>IF(M2003="","",HYPERLINK("https://www.youtube.com/watch?v="&amp;M2003,"▶"))</f>
        <v/>
      </c>
      <c r="B2003" s="39">
        <f>IF(C2003&lt;&gt;"",C2003,IF(P2003&lt;=IFERROR(INDEX(tblChannels[Watched Through],MATCH(N2003,tblChannels[Channel ID],0)),0),"Watched","Unwatched"))</f>
        <v/>
      </c>
      <c r="C2003" s="40" t="n"/>
      <c r="D2003" s="41" t="n"/>
      <c r="E2003" s="42" t="n">
        <v>43412.82222222222</v>
      </c>
      <c r="F2003" s="50" t="inlineStr">
        <is>
          <t>Super Carlin Brothers</t>
        </is>
      </c>
      <c r="G2003" t="inlineStr">
        <is>
          <t>Is It Too Soon To Reboot Shrek?</t>
        </is>
      </c>
      <c r="H2003" s="44" t="n">
        <v>0.008715277777777778</v>
      </c>
      <c r="I2003" s="45" t="n">
        <v>535216</v>
      </c>
      <c r="J2003" s="45" t="n">
        <v>18411</v>
      </c>
      <c r="K2003" s="45" t="n">
        <v>3695</v>
      </c>
      <c r="L2003" s="46" t="n"/>
      <c r="M2003" s="47" t="n"/>
      <c r="N2003" s="47" t="inlineStr">
        <is>
          <t>UCKZo4N0lVPccBkSiuyVh4yg</t>
        </is>
      </c>
      <c r="O2003" s="48" t="n">
        <v>43413.03055555555</v>
      </c>
      <c r="P2003" s="49" t="n">
        <v>43412</v>
      </c>
      <c r="Q2003" s="47" t="n">
        <v>1265</v>
      </c>
      <c r="R2003" s="47" t="inlineStr">
        <is>
          <t>No Video ID yet</t>
        </is>
      </c>
      <c r="S2003" s="49" t="n"/>
      <c r="T2003" s="49" t="n"/>
      <c r="U2003" s="47" t="inlineStr">
        <is>
          <t>Today Ben dives into the world of Dreamworks and Illuminations Studios to discuss whether or not Shrek, should get rebooted. Parent's Guide to Discord:</t>
        </is>
      </c>
      <c r="V2003" s="47">
        <f>IF(AND(P2003&gt;=Calendar!$K$2,P2003&lt;EDATE(Calendar!$K$2,1),OR(Calendar!$K$4="*",N2003=Calendar!$K$4)),P2003*100+COUNTIFS($P$6:$P$3267,P2003,$Q$6:$Q$3267,"&lt;="&amp;Q2003,$N$6:$N$3267,Calendar!$K$4),"")</f>
        <v/>
      </c>
      <c r="W2003" s="47">
        <f>IF(AND(B2003=Queue!$C$4,OR(Queue!$K$4="*",N2003=Queue!$K$4)),Q2003,"")</f>
        <v/>
      </c>
    </row>
    <row r="2004">
      <c r="A2004" s="38">
        <f>IF(M2004="","",HYPERLINK("https://www.youtube.com/watch?v="&amp;M2004,"▶"))</f>
        <v/>
      </c>
      <c r="B2004" s="39">
        <f>IF(C2004&lt;&gt;"",C2004,IF(P2004&lt;=IFERROR(INDEX(tblChannels[Watched Through],MATCH(N2004,tblChannels[Channel ID],0)),0),"Watched","Unwatched"))</f>
        <v/>
      </c>
      <c r="C2004" s="40" t="n"/>
      <c r="D2004" s="41" t="n"/>
      <c r="E2004" s="42" t="n">
        <v>43411.71111111111</v>
      </c>
      <c r="F2004" s="52" t="inlineStr">
        <is>
          <t>Super Carlin Gaming</t>
        </is>
      </c>
      <c r="G2004" t="inlineStr">
        <is>
          <t>What to Do with a Frenemy | Rocket League #70</t>
        </is>
      </c>
      <c r="H2004" s="44" t="n">
        <v>0.0147337962962963</v>
      </c>
      <c r="I2004" s="45" t="n">
        <v>3145</v>
      </c>
      <c r="J2004" s="45" t="n">
        <v>173</v>
      </c>
      <c r="K2004" s="45" t="n">
        <v>63</v>
      </c>
      <c r="L2004" s="46" t="n"/>
      <c r="M2004" s="47" t="n"/>
      <c r="N2004" s="47" t="inlineStr">
        <is>
          <t>UCor_9jRnNNZVzTuQ92PKsaQ</t>
        </is>
      </c>
      <c r="O2004" s="48" t="n">
        <v>43411.91944444444</v>
      </c>
      <c r="P2004" s="49" t="n">
        <v>43411</v>
      </c>
      <c r="Q2004" s="47" t="n">
        <v>1264</v>
      </c>
      <c r="R2004" s="47" t="inlineStr">
        <is>
          <t>No Video ID yet</t>
        </is>
      </c>
      <c r="S2004" s="49" t="n"/>
      <c r="T2004" s="49" t="n"/>
      <c r="U2004" s="47" t="inlineStr">
        <is>
          <t>J, Ben, &amp; DK enter the Rocket League Coliseum as the Chudley Cannons and try and win their way to the league championship!</t>
        </is>
      </c>
      <c r="V2004" s="47">
        <f>IF(AND(P2004&gt;=Calendar!$K$2,P2004&lt;EDATE(Calendar!$K$2,1),OR(Calendar!$K$4="*",N2004=Calendar!$K$4)),P2004*100+COUNTIFS($P$6:$P$3267,P2004,$Q$6:$Q$3267,"&lt;="&amp;Q2004,$N$6:$N$3267,Calendar!$K$4),"")</f>
        <v/>
      </c>
      <c r="W2004" s="47">
        <f>IF(AND(B2004=Queue!$C$4,OR(Queue!$K$4="*",N2004=Queue!$K$4)),Q2004,"")</f>
        <v/>
      </c>
    </row>
    <row r="2005">
      <c r="A2005" s="38">
        <f>IF(M2005="","",HYPERLINK("https://www.youtube.com/watch?v="&amp;M2005,"▶"))</f>
        <v/>
      </c>
      <c r="B2005" s="39">
        <f>IF(C2005&lt;&gt;"",C2005,IF(P2005&lt;=IFERROR(INDEX(tblChannels[Watched Through],MATCH(N2005,tblChannels[Channel ID],0)),0),"Watched","Unwatched"))</f>
        <v/>
      </c>
      <c r="C2005" s="40" t="n"/>
      <c r="D2005" s="41" t="n"/>
      <c r="E2005" s="42" t="n">
        <v>43410.76041666666</v>
      </c>
      <c r="F2005" s="50" t="inlineStr">
        <is>
          <t>Super Carlin Brothers</t>
        </is>
      </c>
      <c r="G2005" t="inlineStr">
        <is>
          <t>Top 10 Predictions For Fantastic Beasts: The Crimes Of Grindelwald</t>
        </is>
      </c>
      <c r="H2005" s="44" t="n">
        <v>0.009282407407407408</v>
      </c>
      <c r="I2005" s="45" t="n">
        <v>641414</v>
      </c>
      <c r="J2005" s="45" t="n">
        <v>18408</v>
      </c>
      <c r="K2005" s="45" t="n">
        <v>2987</v>
      </c>
      <c r="L2005" s="46" t="n"/>
      <c r="M2005" s="47" t="n"/>
      <c r="N2005" s="47" t="inlineStr">
        <is>
          <t>UCKZo4N0lVPccBkSiuyVh4yg</t>
        </is>
      </c>
      <c r="O2005" s="48" t="n">
        <v>43410.96875</v>
      </c>
      <c r="P2005" s="49" t="n">
        <v>43410</v>
      </c>
      <c r="Q2005" s="47" t="n">
        <v>1263</v>
      </c>
      <c r="R2005" s="47" t="inlineStr">
        <is>
          <t>No Video ID yet</t>
        </is>
      </c>
      <c r="S2005" s="49" t="n"/>
      <c r="T2005" s="49" t="n"/>
      <c r="U2005" s="47" t="inlineStr">
        <is>
          <t>SCB MEET UP! Come See Fantastic Beasts with us in Orlando on Dec. 1, 2018!! Today J dives into the Wizarding World of Harry Potter to give our final predictions for every easter egg, plot twist and surprise character we think might show up Fantastic Beasts The Crimes of Grindelwald.</t>
        </is>
      </c>
      <c r="V2005" s="47">
        <f>IF(AND(P2005&gt;=Calendar!$K$2,P2005&lt;EDATE(Calendar!$K$2,1),OR(Calendar!$K$4="*",N2005=Calendar!$K$4)),P2005*100+COUNTIFS($P$6:$P$3267,P2005,$Q$6:$Q$3267,"&lt;="&amp;Q2005,$N$6:$N$3267,Calendar!$K$4),"")</f>
        <v/>
      </c>
      <c r="W2005" s="47">
        <f>IF(AND(B2005=Queue!$C$4,OR(Queue!$K$4="*",N2005=Queue!$K$4)),Q2005,"")</f>
        <v/>
      </c>
    </row>
    <row r="2006">
      <c r="A2006" s="38">
        <f>IF(M2006="","",HYPERLINK("https://www.youtube.com/watch?v="&amp;M2006,"▶"))</f>
        <v/>
      </c>
      <c r="B2006" s="39">
        <f>IF(C2006&lt;&gt;"",C2006,IF(P2006&lt;=IFERROR(INDEX(tblChannels[Watched Through],MATCH(N2006,tblChannels[Channel ID],0)),0),"Watched","Unwatched"))</f>
        <v/>
      </c>
      <c r="C2006" s="40" t="n"/>
      <c r="D2006" s="41" t="n"/>
      <c r="E2006" s="42" t="n">
        <v>43409.62638888889</v>
      </c>
      <c r="F2006" s="52" t="inlineStr">
        <is>
          <t>Super Carlin Gaming</t>
        </is>
      </c>
      <c r="G2006" t="inlineStr">
        <is>
          <t>Theatre vs. Archery | Rocket League #69</t>
        </is>
      </c>
      <c r="H2006" s="44" t="n">
        <v>0.01305555555555556</v>
      </c>
      <c r="I2006" s="45" t="n">
        <v>3130</v>
      </c>
      <c r="J2006" s="45" t="n">
        <v>173</v>
      </c>
      <c r="K2006" s="45" t="n">
        <v>63</v>
      </c>
      <c r="L2006" s="46" t="n"/>
      <c r="M2006" s="47" t="n"/>
      <c r="N2006" s="47" t="inlineStr">
        <is>
          <t>UCor_9jRnNNZVzTuQ92PKsaQ</t>
        </is>
      </c>
      <c r="O2006" s="48" t="n">
        <v>43409.83472222222</v>
      </c>
      <c r="P2006" s="49" t="n">
        <v>43409</v>
      </c>
      <c r="Q2006" s="47" t="n">
        <v>1262</v>
      </c>
      <c r="R2006" s="47" t="inlineStr">
        <is>
          <t>No Video ID yet</t>
        </is>
      </c>
      <c r="S2006" s="49" t="n"/>
      <c r="T2006" s="49" t="n"/>
      <c r="U2006" s="47" t="inlineStr">
        <is>
          <t>J, Ben, &amp; DK enter the Rocket League Coliseum as the Chudley Cannons and try and win their way to the league championship!</t>
        </is>
      </c>
      <c r="V2006" s="47">
        <f>IF(AND(P2006&gt;=Calendar!$K$2,P2006&lt;EDATE(Calendar!$K$2,1),OR(Calendar!$K$4="*",N2006=Calendar!$K$4)),P2006*100+COUNTIFS($P$6:$P$3267,P2006,$Q$6:$Q$3267,"&lt;="&amp;Q2006,$N$6:$N$3267,Calendar!$K$4),"")</f>
        <v/>
      </c>
      <c r="W2006" s="47">
        <f>IF(AND(B2006=Queue!$C$4,OR(Queue!$K$4="*",N2006=Queue!$K$4)),Q2006,"")</f>
        <v/>
      </c>
    </row>
    <row r="2007">
      <c r="A2007" s="38">
        <f>IF(M2007="","",HYPERLINK("https://www.youtube.com/watch?v="&amp;M2007,"▶"))</f>
        <v/>
      </c>
      <c r="B2007" s="39">
        <f>IF(C2007&lt;&gt;"",C2007,IF(P2007&lt;=IFERROR(INDEX(tblChannels[Watched Through],MATCH(N2007,tblChannels[Channel ID],0)),0),"Watched","Unwatched"))</f>
        <v/>
      </c>
      <c r="C2007" s="40" t="n"/>
      <c r="D2007" s="41" t="n"/>
      <c r="E2007" s="42" t="n">
        <v>43409.59791666667</v>
      </c>
      <c r="F2007" s="53" t="inlineStr">
        <is>
          <t>Jonathan Carlin</t>
        </is>
      </c>
      <c r="G2007" t="inlineStr">
        <is>
          <t>SURVIVING THE DISNEY HANGOVER</t>
        </is>
      </c>
      <c r="H2007" s="44" t="n">
        <v>0.008958333333333334</v>
      </c>
      <c r="I2007" s="45" t="n">
        <v>50995</v>
      </c>
      <c r="J2007" s="45" t="n">
        <v>2303</v>
      </c>
      <c r="K2007" s="45" t="n">
        <v>306</v>
      </c>
      <c r="L2007" s="46" t="n"/>
      <c r="M2007" s="47" t="n"/>
      <c r="N2007" s="47" t="inlineStr">
        <is>
          <t>UCYPKFe86e6nm4TVUYKLsFUQ</t>
        </is>
      </c>
      <c r="O2007" s="48" t="n">
        <v>43409.80625</v>
      </c>
      <c r="P2007" s="49" t="n">
        <v>43409</v>
      </c>
      <c r="Q2007" s="47" t="n">
        <v>1261</v>
      </c>
      <c r="R2007" s="47" t="inlineStr">
        <is>
          <t>No Video ID yet</t>
        </is>
      </c>
      <c r="S2007" s="49" t="n"/>
      <c r="T2007" s="49" t="n"/>
      <c r="U2007" s="47" t="inlineStr">
        <is>
          <t>Can you guess what last weeks unreleased episode is about?! This week we all struggle to survive the Disney Hangover, and J and Luke build a nearly indestructible BLANKET FORT! Also the Hokies take on Notre Dame</t>
        </is>
      </c>
      <c r="V2007" s="47">
        <f>IF(AND(P2007&gt;=Calendar!$K$2,P2007&lt;EDATE(Calendar!$K$2,1),OR(Calendar!$K$4="*",N2007=Calendar!$K$4)),P2007*100+COUNTIFS($P$6:$P$3267,P2007,$Q$6:$Q$3267,"&lt;="&amp;Q2007,$N$6:$N$3267,Calendar!$K$4),"")</f>
        <v/>
      </c>
      <c r="W2007" s="47">
        <f>IF(AND(B2007=Queue!$C$4,OR(Queue!$K$4="*",N2007=Queue!$K$4)),Q2007,"")</f>
        <v/>
      </c>
    </row>
    <row r="2008">
      <c r="A2008" s="38">
        <f>IF(M2008="","",HYPERLINK("https://www.youtube.com/watch?v="&amp;M2008,"▶"))</f>
        <v/>
      </c>
      <c r="B2008" s="39">
        <f>IF(C2008&lt;&gt;"",C2008,IF(P2008&lt;=IFERROR(INDEX(tblChannels[Watched Through],MATCH(N2008,tblChannels[Channel ID],0)),0),"Watched","Unwatched"))</f>
        <v/>
      </c>
      <c r="C2008" s="40" t="n"/>
      <c r="D2008" s="41" t="n"/>
      <c r="E2008" s="42" t="n">
        <v>43405.75763888889</v>
      </c>
      <c r="F2008" s="50" t="inlineStr">
        <is>
          <t>Super Carlin Brothers</t>
        </is>
      </c>
      <c r="G2008" t="inlineStr">
        <is>
          <t>Is Iron Man's Daughter The Next Captain America? | Avengers Theory</t>
        </is>
      </c>
      <c r="H2008" s="44" t="n">
        <v>0.009722222222222222</v>
      </c>
      <c r="I2008" s="45" t="n">
        <v>456367</v>
      </c>
      <c r="J2008" s="45" t="n">
        <v>15472</v>
      </c>
      <c r="K2008" s="45" t="n">
        <v>4002</v>
      </c>
      <c r="L2008" s="46" t="n"/>
      <c r="M2008" s="47" t="n"/>
      <c r="N2008" s="47" t="inlineStr">
        <is>
          <t>UCKZo4N0lVPccBkSiuyVh4yg</t>
        </is>
      </c>
      <c r="O2008" s="48" t="n">
        <v>43405.92430555556</v>
      </c>
      <c r="P2008" s="49" t="n">
        <v>43405</v>
      </c>
      <c r="Q2008" s="47" t="n">
        <v>1260</v>
      </c>
      <c r="R2008" s="47" t="inlineStr">
        <is>
          <t>No Video ID yet</t>
        </is>
      </c>
      <c r="S2008" s="49" t="n"/>
      <c r="T2008" s="49" t="n"/>
      <c r="U2008" s="47" t="inlineStr">
        <is>
          <t>Get 20% Off your Loot Crate order at :: Promo Code: CARLIN Today Ben dives into the Marvel Cinematic Universe to discuss what might happen to Captain America in the upcoming Avengers 4 and who might take up the mantle if something should happen to The First Avenger.</t>
        </is>
      </c>
      <c r="V2008" s="47">
        <f>IF(AND(P2008&gt;=Calendar!$K$2,P2008&lt;EDATE(Calendar!$K$2,1),OR(Calendar!$K$4="*",N2008=Calendar!$K$4)),P2008*100+COUNTIFS($P$6:$P$3267,P2008,$Q$6:$Q$3267,"&lt;="&amp;Q2008,$N$6:$N$3267,Calendar!$K$4),"")</f>
        <v/>
      </c>
      <c r="W2008" s="47">
        <f>IF(AND(B2008=Queue!$C$4,OR(Queue!$K$4="*",N2008=Queue!$K$4)),Q2008,"")</f>
        <v/>
      </c>
    </row>
    <row r="2009">
      <c r="A2009" s="38">
        <f>IF(M2009="","",HYPERLINK("https://www.youtube.com/watch?v="&amp;M2009,"▶"))</f>
        <v/>
      </c>
      <c r="B2009" s="39">
        <f>IF(C2009&lt;&gt;"",C2009,IF(P2009&lt;=IFERROR(INDEX(tblChannels[Watched Through],MATCH(N2009,tblChannels[Channel ID],0)),0),"Watched","Unwatched"))</f>
        <v/>
      </c>
      <c r="C2009" s="40" t="n"/>
      <c r="D2009" s="41" t="n"/>
      <c r="E2009" s="42" t="n">
        <v>43403.94444444445</v>
      </c>
      <c r="F2009" s="50" t="inlineStr">
        <is>
          <t>Super Carlin Brothers</t>
        </is>
      </c>
      <c r="G2009" t="inlineStr">
        <is>
          <t>The COMPLETE Pixar Theory</t>
        </is>
      </c>
      <c r="H2009" s="44" t="n">
        <v>0.01811342592592593</v>
      </c>
      <c r="I2009" s="45" t="n">
        <v>6925576</v>
      </c>
      <c r="J2009" s="45" t="n">
        <v>171299</v>
      </c>
      <c r="K2009" s="45" t="n">
        <v>12556</v>
      </c>
      <c r="L2009" s="46" t="n"/>
      <c r="M2009" s="47" t="n"/>
      <c r="N2009" s="47" t="inlineStr">
        <is>
          <t>UCKZo4N0lVPccBkSiuyVh4yg</t>
        </is>
      </c>
      <c r="O2009" s="48" t="n">
        <v>43404.11111111111</v>
      </c>
      <c r="P2009" s="49" t="n">
        <v>43403</v>
      </c>
      <c r="Q2009" s="47" t="n">
        <v>1259</v>
      </c>
      <c r="R2009" s="47" t="inlineStr">
        <is>
          <t>No Video ID yet</t>
        </is>
      </c>
      <c r="S2009" s="49" t="n"/>
      <c r="T2009" s="49" t="n"/>
      <c r="U2009" s="47" t="inlineStr">
        <is>
          <t>Today J dives deep into the world of Pixar to update the Theory that started in all: The Pixar Theory! What is the full story? Why does it exist? From Toy Story through Incredibles 2, we’ve got you covered! Jon Negroni’s Full Theory ::</t>
        </is>
      </c>
      <c r="V2009" s="47">
        <f>IF(AND(P2009&gt;=Calendar!$K$2,P2009&lt;EDATE(Calendar!$K$2,1),OR(Calendar!$K$4="*",N2009=Calendar!$K$4)),P2009*100+COUNTIFS($P$6:$P$3267,P2009,$Q$6:$Q$3267,"&lt;="&amp;Q2009,$N$6:$N$3267,Calendar!$K$4),"")</f>
        <v/>
      </c>
      <c r="W2009" s="47">
        <f>IF(AND(B2009=Queue!$C$4,OR(Queue!$K$4="*",N2009=Queue!$K$4)),Q2009,"")</f>
        <v/>
      </c>
    </row>
    <row r="2010">
      <c r="A2010" s="38">
        <f>IF(M2010="","",HYPERLINK("https://www.youtube.com/watch?v="&amp;M2010,"▶"))</f>
        <v/>
      </c>
      <c r="B2010" s="39">
        <f>IF(C2010&lt;&gt;"",C2010,IF(P2010&lt;=IFERROR(INDEX(tblChannels[Watched Through],MATCH(N2010,tblChannels[Channel ID],0)),0),"Watched","Unwatched"))</f>
        <v/>
      </c>
      <c r="C2010" s="40" t="n"/>
      <c r="D2010" s="41" t="n"/>
      <c r="E2010" s="42" t="n">
        <v>43399.4375</v>
      </c>
      <c r="F2010" s="52" t="inlineStr">
        <is>
          <t>Super Carlin Gaming</t>
        </is>
      </c>
      <c r="G2010" t="inlineStr">
        <is>
          <t>STOP PROCRASTINATING! | Rocket League #68</t>
        </is>
      </c>
      <c r="H2010" s="44" t="n">
        <v>0.01306712962962963</v>
      </c>
      <c r="I2010" s="45" t="n">
        <v>3564</v>
      </c>
      <c r="J2010" s="45" t="n">
        <v>193</v>
      </c>
      <c r="K2010" s="45" t="n">
        <v>66</v>
      </c>
      <c r="L2010" s="46" t="n"/>
      <c r="M2010" s="47" t="n"/>
      <c r="N2010" s="47" t="inlineStr">
        <is>
          <t>UCor_9jRnNNZVzTuQ92PKsaQ</t>
        </is>
      </c>
      <c r="O2010" s="48" t="n">
        <v>43399.60416666666</v>
      </c>
      <c r="P2010" s="49" t="n">
        <v>43399</v>
      </c>
      <c r="Q2010" s="47" t="n">
        <v>1258</v>
      </c>
      <c r="R2010" s="47" t="inlineStr">
        <is>
          <t>No Video ID yet</t>
        </is>
      </c>
      <c r="S2010" s="49" t="n"/>
      <c r="T2010" s="49" t="n"/>
      <c r="U2010" s="47" t="inlineStr">
        <is>
          <t>Connor's Channel: J, Ben, &amp; DK enter the Rocket League Coliseum as the Chudley Cannons and try and win their way to the league championship!</t>
        </is>
      </c>
      <c r="V2010" s="47">
        <f>IF(AND(P2010&gt;=Calendar!$K$2,P2010&lt;EDATE(Calendar!$K$2,1),OR(Calendar!$K$4="*",N2010=Calendar!$K$4)),P2010*100+COUNTIFS($P$6:$P$3267,P2010,$Q$6:$Q$3267,"&lt;="&amp;Q2010,$N$6:$N$3267,Calendar!$K$4),"")</f>
        <v/>
      </c>
      <c r="W2010" s="47">
        <f>IF(AND(B2010=Queue!$C$4,OR(Queue!$K$4="*",N2010=Queue!$K$4)),Q2010,"")</f>
        <v/>
      </c>
    </row>
    <row r="2011">
      <c r="A2011" s="38">
        <f>IF(M2011="","",HYPERLINK("https://www.youtube.com/watch?v="&amp;M2011,"▶"))</f>
        <v/>
      </c>
      <c r="B2011" s="39">
        <f>IF(C2011&lt;&gt;"",C2011,IF(P2011&lt;=IFERROR(INDEX(tblChannels[Watched Through],MATCH(N2011,tblChannels[Channel ID],0)),0),"Watched","Unwatched"))</f>
        <v/>
      </c>
      <c r="C2011" s="40" t="n"/>
      <c r="D2011" s="41" t="n"/>
      <c r="E2011" s="42" t="n">
        <v>43398.57152777778</v>
      </c>
      <c r="F2011" s="50" t="inlineStr">
        <is>
          <t>Super Carlin Brothers</t>
        </is>
      </c>
      <c r="G2011" t="inlineStr">
        <is>
          <t>Pixar Fast Facts: Incredibles 2</t>
        </is>
      </c>
      <c r="H2011" s="44" t="n">
        <v>0.005347222222222222</v>
      </c>
      <c r="I2011" s="45" t="n">
        <v>956527</v>
      </c>
      <c r="J2011" s="45" t="n">
        <v>24657</v>
      </c>
      <c r="K2011" s="45" t="n">
        <v>1863</v>
      </c>
      <c r="L2011" s="46" t="n"/>
      <c r="M2011" s="47" t="n"/>
      <c r="N2011" s="47" t="inlineStr">
        <is>
          <t>UCKZo4N0lVPccBkSiuyVh4yg</t>
        </is>
      </c>
      <c r="O2011" s="48" t="n">
        <v>43398.73819444444</v>
      </c>
      <c r="P2011" s="49" t="n">
        <v>43398</v>
      </c>
      <c r="Q2011" s="47" t="n">
        <v>1257</v>
      </c>
      <c r="R2011" s="47" t="inlineStr">
        <is>
          <t>No Video ID yet</t>
        </is>
      </c>
      <c r="S2011" s="49" t="n"/>
      <c r="T2011" s="49" t="n"/>
      <c r="U2011" s="47" t="inlineStr">
        <is>
          <t>SCB Orlando Meet-Up! :: Today Ben dives into the world of Pixar's Incredibles 2 to uncover every Easter Egg and random fact we could find about the movie!</t>
        </is>
      </c>
      <c r="V2011" s="47">
        <f>IF(AND(P2011&gt;=Calendar!$K$2,P2011&lt;EDATE(Calendar!$K$2,1),OR(Calendar!$K$4="*",N2011=Calendar!$K$4)),P2011*100+COUNTIFS($P$6:$P$3267,P2011,$Q$6:$Q$3267,"&lt;="&amp;Q2011,$N$6:$N$3267,Calendar!$K$4),"")</f>
        <v/>
      </c>
      <c r="W2011" s="47">
        <f>IF(AND(B2011=Queue!$C$4,OR(Queue!$K$4="*",N2011=Queue!$K$4)),Q2011,"")</f>
        <v/>
      </c>
    </row>
    <row r="2012">
      <c r="A2012" s="38">
        <f>IF(M2012="","",HYPERLINK("https://www.youtube.com/watch?v="&amp;M2012,"▶"))</f>
        <v/>
      </c>
      <c r="B2012" s="39">
        <f>IF(C2012&lt;&gt;"",C2012,IF(P2012&lt;=IFERROR(INDEX(tblChannels[Watched Through],MATCH(N2012,tblChannels[Channel ID],0)),0),"Watched","Unwatched"))</f>
        <v/>
      </c>
      <c r="C2012" s="40" t="n"/>
      <c r="D2012" s="41" t="n"/>
      <c r="E2012" s="42" t="n">
        <v>43397.45694444444</v>
      </c>
      <c r="F2012" s="52" t="inlineStr">
        <is>
          <t>Super Carlin Gaming</t>
        </is>
      </c>
      <c r="G2012" t="inlineStr">
        <is>
          <t>Starting a Club? | Rocket League #67</t>
        </is>
      </c>
      <c r="H2012" s="44" t="n">
        <v>0.01520833333333333</v>
      </c>
      <c r="I2012" s="45" t="n">
        <v>3439</v>
      </c>
      <c r="J2012" s="45" t="n">
        <v>198</v>
      </c>
      <c r="K2012" s="45" t="n">
        <v>52</v>
      </c>
      <c r="L2012" s="46" t="n"/>
      <c r="M2012" s="47" t="n"/>
      <c r="N2012" s="47" t="inlineStr">
        <is>
          <t>UCor_9jRnNNZVzTuQ92PKsaQ</t>
        </is>
      </c>
      <c r="O2012" s="48" t="n">
        <v>43397.62361111111</v>
      </c>
      <c r="P2012" s="49" t="n">
        <v>43397</v>
      </c>
      <c r="Q2012" s="47" t="n">
        <v>1256</v>
      </c>
      <c r="R2012" s="47" t="inlineStr">
        <is>
          <t>No Video ID yet</t>
        </is>
      </c>
      <c r="S2012" s="49" t="n"/>
      <c r="T2012" s="49" t="n"/>
      <c r="U2012" s="47" t="inlineStr">
        <is>
          <t>J, Ben, &amp; DK enter the Rocket League Coliseum as the Chudley Cannons and try and win their way to the league championship!</t>
        </is>
      </c>
      <c r="V2012" s="47">
        <f>IF(AND(P2012&gt;=Calendar!$K$2,P2012&lt;EDATE(Calendar!$K$2,1),OR(Calendar!$K$4="*",N2012=Calendar!$K$4)),P2012*100+COUNTIFS($P$6:$P$3267,P2012,$Q$6:$Q$3267,"&lt;="&amp;Q2012,$N$6:$N$3267,Calendar!$K$4),"")</f>
        <v/>
      </c>
      <c r="W2012" s="47">
        <f>IF(AND(B2012=Queue!$C$4,OR(Queue!$K$4="*",N2012=Queue!$K$4)),Q2012,"")</f>
        <v/>
      </c>
    </row>
    <row r="2013">
      <c r="A2013" s="38">
        <f>IF(M2013="","",HYPERLINK("https://www.youtube.com/watch?v="&amp;M2013,"▶"))</f>
        <v/>
      </c>
      <c r="B2013" s="39">
        <f>IF(C2013&lt;&gt;"",C2013,IF(P2013&lt;=IFERROR(INDEX(tblChannels[Watched Through],MATCH(N2013,tblChannels[Channel ID],0)),0),"Watched","Unwatched"))</f>
        <v/>
      </c>
      <c r="C2013" s="40" t="n"/>
      <c r="D2013" s="41" t="n"/>
      <c r="E2013" s="42" t="n">
        <v>43396.81388888889</v>
      </c>
      <c r="F2013" s="50" t="inlineStr">
        <is>
          <t>Super Carlin Brothers</t>
        </is>
      </c>
      <c r="G2013" t="inlineStr">
        <is>
          <t>The Incredibles Are Living In Syndrome's House | Pixar Theory</t>
        </is>
      </c>
      <c r="H2013" s="44" t="n">
        <v>0.007210648148148148</v>
      </c>
      <c r="I2013" s="45" t="n">
        <v>1628784</v>
      </c>
      <c r="J2013" s="45" t="n">
        <v>41790</v>
      </c>
      <c r="K2013" s="45" t="n">
        <v>3096</v>
      </c>
      <c r="L2013" s="46" t="n"/>
      <c r="M2013" s="47" t="n"/>
      <c r="N2013" s="47" t="inlineStr">
        <is>
          <t>UCKZo4N0lVPccBkSiuyVh4yg</t>
        </is>
      </c>
      <c r="O2013" s="48" t="n">
        <v>43396.98055555556</v>
      </c>
      <c r="P2013" s="49" t="n">
        <v>43396</v>
      </c>
      <c r="Q2013" s="47" t="n">
        <v>1255</v>
      </c>
      <c r="R2013" s="47" t="inlineStr">
        <is>
          <t>No Video ID yet</t>
        </is>
      </c>
      <c r="S2013" s="49" t="n"/>
      <c r="T2013" s="49" t="n"/>
      <c r="U2013" s="47" t="inlineStr">
        <is>
          <t>SCB Orlando Meet-Up! :: Today J dives into the world of Disney Pixar's Incredibles 2</t>
        </is>
      </c>
      <c r="V2013" s="47">
        <f>IF(AND(P2013&gt;=Calendar!$K$2,P2013&lt;EDATE(Calendar!$K$2,1),OR(Calendar!$K$4="*",N2013=Calendar!$K$4)),P2013*100+COUNTIFS($P$6:$P$3267,P2013,$Q$6:$Q$3267,"&lt;="&amp;Q2013,$N$6:$N$3267,Calendar!$K$4),"")</f>
        <v/>
      </c>
      <c r="W2013" s="47">
        <f>IF(AND(B2013=Queue!$C$4,OR(Queue!$K$4="*",N2013=Queue!$K$4)),Q2013,"")</f>
        <v/>
      </c>
    </row>
    <row r="2014">
      <c r="A2014" s="38">
        <f>IF(M2014="","",HYPERLINK("https://www.youtube.com/watch?v="&amp;M2014,"▶"))</f>
        <v/>
      </c>
      <c r="B2014" s="39">
        <f>IF(C2014&lt;&gt;"",C2014,IF(P2014&lt;=IFERROR(INDEX(tblChannels[Watched Through],MATCH(N2014,tblChannels[Channel ID],0)),0),"Watched","Unwatched"))</f>
        <v/>
      </c>
      <c r="C2014" s="40" t="n"/>
      <c r="D2014" s="41" t="n"/>
      <c r="E2014" s="42" t="n">
        <v>43395.66319444445</v>
      </c>
      <c r="F2014" s="52" t="inlineStr">
        <is>
          <t>Super Carlin Gaming</t>
        </is>
      </c>
      <c r="G2014" t="inlineStr">
        <is>
          <t>Is Living With Parents Bad? | Rocket League #66</t>
        </is>
      </c>
      <c r="H2014" s="44" t="n">
        <v>0.01210648148148148</v>
      </c>
      <c r="I2014" s="45" t="n">
        <v>3619</v>
      </c>
      <c r="J2014" s="45" t="n">
        <v>208</v>
      </c>
      <c r="K2014" s="45" t="n">
        <v>31</v>
      </c>
      <c r="L2014" s="46" t="n"/>
      <c r="M2014" s="47" t="n"/>
      <c r="N2014" s="47" t="inlineStr">
        <is>
          <t>UCor_9jRnNNZVzTuQ92PKsaQ</t>
        </is>
      </c>
      <c r="O2014" s="48" t="n">
        <v>43395.82986111111</v>
      </c>
      <c r="P2014" s="49" t="n">
        <v>43395</v>
      </c>
      <c r="Q2014" s="47" t="n">
        <v>1254</v>
      </c>
      <c r="R2014" s="47" t="inlineStr">
        <is>
          <t>No Video ID yet</t>
        </is>
      </c>
      <c r="S2014" s="49" t="n"/>
      <c r="T2014" s="49" t="n"/>
      <c r="U2014" s="47" t="inlineStr">
        <is>
          <t>J, Ben, &amp; DK enter the Rocket League Coliseum as the Chudley Cannons and try and win their way to the league championship!</t>
        </is>
      </c>
      <c r="V2014" s="47">
        <f>IF(AND(P2014&gt;=Calendar!$K$2,P2014&lt;EDATE(Calendar!$K$2,1),OR(Calendar!$K$4="*",N2014=Calendar!$K$4)),P2014*100+COUNTIFS($P$6:$P$3267,P2014,$Q$6:$Q$3267,"&lt;="&amp;Q2014,$N$6:$N$3267,Calendar!$K$4),"")</f>
        <v/>
      </c>
      <c r="W2014" s="47">
        <f>IF(AND(B2014=Queue!$C$4,OR(Queue!$K$4="*",N2014=Queue!$K$4)),Q2014,"")</f>
        <v/>
      </c>
    </row>
    <row r="2015">
      <c r="A2015" s="38">
        <f>IF(M2015="","",HYPERLINK("https://www.youtube.com/watch?v="&amp;M2015,"▶"))</f>
        <v/>
      </c>
      <c r="B2015" s="39">
        <f>IF(C2015&lt;&gt;"",C2015,IF(P2015&lt;=IFERROR(INDEX(tblChannels[Watched Through],MATCH(N2015,tblChannels[Channel ID],0)),0),"Watched","Unwatched"))</f>
        <v/>
      </c>
      <c r="C2015" s="40" t="n"/>
      <c r="D2015" s="41" t="n"/>
      <c r="E2015" s="42" t="n">
        <v>43395.43541666667</v>
      </c>
      <c r="F2015" s="53" t="inlineStr">
        <is>
          <t>Jonathan Carlin</t>
        </is>
      </c>
      <c r="G2015" t="inlineStr">
        <is>
          <t>WE MET JK ROWLING! | New York Harry Potter Adventure</t>
        </is>
      </c>
      <c r="H2015" s="44" t="n">
        <v>0.01082175925925926</v>
      </c>
      <c r="I2015" s="45" t="n">
        <v>213376</v>
      </c>
      <c r="J2015" s="45" t="n">
        <v>8102</v>
      </c>
      <c r="K2015" s="45" t="n">
        <v>1115</v>
      </c>
      <c r="L2015" s="46" t="n"/>
      <c r="M2015" s="47" t="n"/>
      <c r="N2015" s="47" t="inlineStr">
        <is>
          <t>UCYPKFe86e6nm4TVUYKLsFUQ</t>
        </is>
      </c>
      <c r="O2015" s="48" t="n">
        <v>43395.60208333333</v>
      </c>
      <c r="P2015" s="49" t="n">
        <v>43395</v>
      </c>
      <c r="Q2015" s="47" t="n">
        <v>1253</v>
      </c>
      <c r="R2015" s="47" t="inlineStr">
        <is>
          <t>No Video ID yet</t>
        </is>
      </c>
      <c r="S2015" s="49" t="n"/>
      <c r="T2015" s="49" t="n"/>
      <c r="U2015" s="47" t="inlineStr">
        <is>
          <t>This week J and Ben take to NYC for a VIP Fantastic Beasts Crimes of Grindelwald Fan Event - We get to see The Cursed Child, meet some of the cast of the movie AND TAKE A PICTURE WITH JK ROWLING! Thanks so much Warner Bros for making this happen!</t>
        </is>
      </c>
      <c r="V2015" s="47">
        <f>IF(AND(P2015&gt;=Calendar!$K$2,P2015&lt;EDATE(Calendar!$K$2,1),OR(Calendar!$K$4="*",N2015=Calendar!$K$4)),P2015*100+COUNTIFS($P$6:$P$3267,P2015,$Q$6:$Q$3267,"&lt;="&amp;Q2015,$N$6:$N$3267,Calendar!$K$4),"")</f>
        <v/>
      </c>
      <c r="W2015" s="47">
        <f>IF(AND(B2015=Queue!$C$4,OR(Queue!$K$4="*",N2015=Queue!$K$4)),Q2015,"")</f>
        <v/>
      </c>
    </row>
    <row r="2016">
      <c r="A2016" s="38">
        <f>IF(M2016="","",HYPERLINK("https://www.youtube.com/watch?v="&amp;M2016,"▶"))</f>
        <v/>
      </c>
      <c r="B2016" s="39">
        <f>IF(C2016&lt;&gt;"",C2016,IF(P2016&lt;=IFERROR(INDEX(tblChannels[Watched Through],MATCH(N2016,tblChannels[Channel ID],0)),0),"Watched","Unwatched"))</f>
        <v/>
      </c>
      <c r="C2016" s="40" t="n"/>
      <c r="D2016" s="41" t="n"/>
      <c r="E2016" s="42" t="n">
        <v>43391.71805555555</v>
      </c>
      <c r="F2016" s="50" t="inlineStr">
        <is>
          <t>Super Carlin Brothers</t>
        </is>
      </c>
      <c r="G2016" t="inlineStr">
        <is>
          <t>J vs Ben: ULTIMATE Harry Potter Halloween Quiz</t>
        </is>
      </c>
      <c r="H2016" s="44" t="n">
        <v>0.02104166666666667</v>
      </c>
      <c r="I2016" s="45" t="n">
        <v>694889</v>
      </c>
      <c r="J2016" s="45" t="n">
        <v>14760</v>
      </c>
      <c r="K2016" s="45" t="n">
        <v>1965</v>
      </c>
      <c r="L2016" s="46" t="n"/>
      <c r="M2016" s="47" t="n"/>
      <c r="N2016" s="47" t="inlineStr">
        <is>
          <t>UCKZo4N0lVPccBkSiuyVh4yg</t>
        </is>
      </c>
      <c r="O2016" s="48" t="n">
        <v>43391.88472222222</v>
      </c>
      <c r="P2016" s="49" t="n">
        <v>43391</v>
      </c>
      <c r="Q2016" s="47" t="n">
        <v>1252</v>
      </c>
      <c r="R2016" s="47" t="inlineStr">
        <is>
          <t>No Video ID yet</t>
        </is>
      </c>
      <c r="S2016" s="49" t="n"/>
      <c r="T2016" s="49" t="n"/>
      <c r="U2016" s="47" t="inlineStr">
        <is>
          <t>Play along with us! :: Today J and Ben face off in the ultimate Harry Potter Halloween quiz to find out who knows more about one of the Wizarding Worlds most famous holidays!</t>
        </is>
      </c>
      <c r="V2016" s="47">
        <f>IF(AND(P2016&gt;=Calendar!$K$2,P2016&lt;EDATE(Calendar!$K$2,1),OR(Calendar!$K$4="*",N2016=Calendar!$K$4)),P2016*100+COUNTIFS($P$6:$P$3267,P2016,$Q$6:$Q$3267,"&lt;="&amp;Q2016,$N$6:$N$3267,Calendar!$K$4),"")</f>
        <v/>
      </c>
      <c r="W2016" s="47">
        <f>IF(AND(B2016=Queue!$C$4,OR(Queue!$K$4="*",N2016=Queue!$K$4)),Q2016,"")</f>
        <v/>
      </c>
    </row>
    <row r="2017">
      <c r="A2017" s="38">
        <f>IF(M2017="","",HYPERLINK("https://www.youtube.com/watch?v="&amp;M2017,"▶"))</f>
        <v/>
      </c>
      <c r="B2017" s="39">
        <f>IF(C2017&lt;&gt;"",C2017,IF(P2017&lt;=IFERROR(INDEX(tblChannels[Watched Through],MATCH(N2017,tblChannels[Channel ID],0)),0),"Watched","Unwatched"))</f>
        <v/>
      </c>
      <c r="C2017" s="40" t="n"/>
      <c r="D2017" s="41" t="n"/>
      <c r="E2017" s="42" t="n">
        <v>43390.42361111111</v>
      </c>
      <c r="F2017" s="52" t="inlineStr">
        <is>
          <t>Super Carlin Gaming</t>
        </is>
      </c>
      <c r="G2017" t="inlineStr">
        <is>
          <t>Wanting To Get Athletic | Rocket League #65</t>
        </is>
      </c>
      <c r="H2017" s="44" t="n">
        <v>0.008668981481481481</v>
      </c>
      <c r="I2017" s="45" t="n">
        <v>3519</v>
      </c>
      <c r="J2017" s="45" t="n">
        <v>198</v>
      </c>
      <c r="K2017" s="45" t="n">
        <v>53</v>
      </c>
      <c r="L2017" s="46" t="n"/>
      <c r="M2017" s="47" t="n"/>
      <c r="N2017" s="47" t="inlineStr">
        <is>
          <t>UCor_9jRnNNZVzTuQ92PKsaQ</t>
        </is>
      </c>
      <c r="O2017" s="48" t="n">
        <v>43390.59027777778</v>
      </c>
      <c r="P2017" s="49" t="n">
        <v>43390</v>
      </c>
      <c r="Q2017" s="47" t="n">
        <v>1251</v>
      </c>
      <c r="R2017" s="47" t="inlineStr">
        <is>
          <t>No Video ID yet</t>
        </is>
      </c>
      <c r="S2017" s="49" t="n"/>
      <c r="T2017" s="49" t="n"/>
      <c r="U2017" s="47" t="inlineStr">
        <is>
          <t>We're launching our TWITCH CHANNEL on Friday! We're going to be streaming ALL DAY on Friday! J, Ben, &amp; DK enter the Rocket League Coliseum as the Chudley Cannons and try to WIN THE LEAGUE CHAMPIONSHIP!</t>
        </is>
      </c>
      <c r="V2017" s="47">
        <f>IF(AND(P2017&gt;=Calendar!$K$2,P2017&lt;EDATE(Calendar!$K$2,1),OR(Calendar!$K$4="*",N2017=Calendar!$K$4)),P2017*100+COUNTIFS($P$6:$P$3267,P2017,$Q$6:$Q$3267,"&lt;="&amp;Q2017,$N$6:$N$3267,Calendar!$K$4),"")</f>
        <v/>
      </c>
      <c r="W2017" s="47">
        <f>IF(AND(B2017=Queue!$C$4,OR(Queue!$K$4="*",N2017=Queue!$K$4)),Q2017,"")</f>
        <v/>
      </c>
    </row>
    <row r="2018">
      <c r="A2018" s="38">
        <f>IF(M2018="","",HYPERLINK("https://www.youtube.com/watch?v="&amp;M2018,"▶"))</f>
        <v/>
      </c>
      <c r="B2018" s="39">
        <f>IF(C2018&lt;&gt;"",C2018,IF(P2018&lt;=IFERROR(INDEX(tblChannels[Watched Through],MATCH(N2018,tblChannels[Channel ID],0)),0),"Watched","Unwatched"))</f>
        <v/>
      </c>
      <c r="C2018" s="40" t="n"/>
      <c r="D2018" s="41" t="n"/>
      <c r="E2018" s="42" t="n">
        <v>43389.82986111111</v>
      </c>
      <c r="F2018" s="50" t="inlineStr">
        <is>
          <t>Super Carlin Brothers</t>
        </is>
      </c>
      <c r="G2018" t="inlineStr">
        <is>
          <t>Is Grindelwald Credence’s Father? | Fantastic Beasts Theory</t>
        </is>
      </c>
      <c r="H2018" s="44" t="n">
        <v>0.008298611111111111</v>
      </c>
      <c r="I2018" s="45" t="n">
        <v>522383</v>
      </c>
      <c r="J2018" s="45" t="n">
        <v>15954</v>
      </c>
      <c r="K2018" s="45" t="n">
        <v>1874</v>
      </c>
      <c r="L2018" s="46" t="n"/>
      <c r="M2018" s="47" t="n"/>
      <c r="N2018" s="47" t="inlineStr">
        <is>
          <t>UCKZo4N0lVPccBkSiuyVh4yg</t>
        </is>
      </c>
      <c r="O2018" s="48" t="n">
        <v>43389.99652777778</v>
      </c>
      <c r="P2018" s="49" t="n">
        <v>43389</v>
      </c>
      <c r="Q2018" s="47" t="n">
        <v>1250</v>
      </c>
      <c r="R2018" s="47" t="inlineStr">
        <is>
          <t>No Video ID yet</t>
        </is>
      </c>
      <c r="S2018" s="49" t="n"/>
      <c r="T2018" s="49" t="n"/>
      <c r="U2018" s="47" t="inlineStr">
        <is>
          <t>Join Us for our 12 Hour Live Stream THIS Friday! :: SCB Orlando Meet-Up! :: Today J dives into the Wizarding World of Harry Potter to try and figure out one of the biggest mysteries in Fantastic Beasts: Crimes of Grindelwald - Who is Credence’s Father?</t>
        </is>
      </c>
      <c r="V2018" s="47">
        <f>IF(AND(P2018&gt;=Calendar!$K$2,P2018&lt;EDATE(Calendar!$K$2,1),OR(Calendar!$K$4="*",N2018=Calendar!$K$4)),P2018*100+COUNTIFS($P$6:$P$3267,P2018,$Q$6:$Q$3267,"&lt;="&amp;Q2018,$N$6:$N$3267,Calendar!$K$4),"")</f>
        <v/>
      </c>
      <c r="W2018" s="47">
        <f>IF(AND(B2018=Queue!$C$4,OR(Queue!$K$4="*",N2018=Queue!$K$4)),Q2018,"")</f>
        <v/>
      </c>
    </row>
    <row r="2019">
      <c r="A2019" s="38">
        <f>IF(M2019="","",HYPERLINK("https://www.youtube.com/watch?v="&amp;M2019,"▶"))</f>
        <v/>
      </c>
      <c r="B2019" s="39">
        <f>IF(C2019&lt;&gt;"",C2019,IF(P2019&lt;=IFERROR(INDEX(tblChannels[Watched Through],MATCH(N2019,tblChannels[Channel ID],0)),0),"Watched","Unwatched"))</f>
        <v/>
      </c>
      <c r="C2019" s="40" t="n"/>
      <c r="D2019" s="41" t="n"/>
      <c r="E2019" s="42" t="n">
        <v>43388.45486111111</v>
      </c>
      <c r="F2019" s="53" t="inlineStr">
        <is>
          <t>Jonathan Carlin</t>
        </is>
      </c>
      <c r="G2019" t="inlineStr">
        <is>
          <t>Preparing For HURRICANE Florence</t>
        </is>
      </c>
      <c r="H2019" s="44" t="n">
        <v>0.007546296296296297</v>
      </c>
      <c r="I2019" s="45" t="n">
        <v>41902</v>
      </c>
      <c r="J2019" s="45" t="n">
        <v>1835</v>
      </c>
      <c r="K2019" s="45" t="n">
        <v>480</v>
      </c>
      <c r="L2019" s="46" t="n"/>
      <c r="M2019" s="47" t="n"/>
      <c r="N2019" s="47" t="inlineStr">
        <is>
          <t>UCYPKFe86e6nm4TVUYKLsFUQ</t>
        </is>
      </c>
      <c r="O2019" s="48" t="n">
        <v>43388.62152777778</v>
      </c>
      <c r="P2019" s="49" t="n">
        <v>43388</v>
      </c>
      <c r="Q2019" s="47" t="n">
        <v>1249</v>
      </c>
      <c r="R2019" s="47" t="inlineStr">
        <is>
          <t>No Video ID yet</t>
        </is>
      </c>
      <c r="S2019" s="49" t="n"/>
      <c r="T2019" s="49" t="n"/>
      <c r="U2019" s="47" t="inlineStr">
        <is>
          <t>This week Roanoke is in a frenzied state as we anxiously await the arrival of Hurricane Florence, also Luke gets a little better at crawling!</t>
        </is>
      </c>
      <c r="V2019" s="47">
        <f>IF(AND(P2019&gt;=Calendar!$K$2,P2019&lt;EDATE(Calendar!$K$2,1),OR(Calendar!$K$4="*",N2019=Calendar!$K$4)),P2019*100+COUNTIFS($P$6:$P$3267,P2019,$Q$6:$Q$3267,"&lt;="&amp;Q2019,$N$6:$N$3267,Calendar!$K$4),"")</f>
        <v/>
      </c>
      <c r="W2019" s="47">
        <f>IF(AND(B2019=Queue!$C$4,OR(Queue!$K$4="*",N2019=Queue!$K$4)),Q2019,"")</f>
        <v/>
      </c>
    </row>
    <row r="2020">
      <c r="A2020" s="38">
        <f>IF(M2020="","",HYPERLINK("https://www.youtube.com/watch?v="&amp;M2020,"▶"))</f>
        <v/>
      </c>
      <c r="B2020" s="39">
        <f>IF(C2020&lt;&gt;"",C2020,IF(P2020&lt;=IFERROR(INDEX(tblChannels[Watched Through],MATCH(N2020,tblChannels[Channel ID],0)),0),"Watched","Unwatched"))</f>
        <v/>
      </c>
      <c r="C2020" s="40" t="n"/>
      <c r="D2020" s="41" t="n"/>
      <c r="E2020" s="42" t="n">
        <v>43388.45208333333</v>
      </c>
      <c r="F2020" s="52" t="inlineStr">
        <is>
          <t>Super Carlin Gaming</t>
        </is>
      </c>
      <c r="G2020" t="inlineStr">
        <is>
          <t>Buying a House | Rocket League #64</t>
        </is>
      </c>
      <c r="H2020" s="44" t="n">
        <v>0.01603009259259259</v>
      </c>
      <c r="I2020" s="45" t="n">
        <v>4023</v>
      </c>
      <c r="J2020" s="45" t="n">
        <v>241</v>
      </c>
      <c r="K2020" s="45" t="n">
        <v>42</v>
      </c>
      <c r="L2020" s="46" t="n"/>
      <c r="M2020" s="47" t="n"/>
      <c r="N2020" s="47" t="inlineStr">
        <is>
          <t>UCor_9jRnNNZVzTuQ92PKsaQ</t>
        </is>
      </c>
      <c r="O2020" s="48" t="n">
        <v>43388.61875</v>
      </c>
      <c r="P2020" s="49" t="n">
        <v>43388</v>
      </c>
      <c r="Q2020" s="47" t="n">
        <v>1248</v>
      </c>
      <c r="R2020" s="47" t="inlineStr">
        <is>
          <t>No Video ID yet</t>
        </is>
      </c>
      <c r="S2020" s="49" t="n"/>
      <c r="T2020" s="49" t="n"/>
      <c r="U2020" s="47" t="inlineStr">
        <is>
          <t>J, Ben, &amp; DK enter the Rocket League Coliseum as the Chudley Cannons and try and win their way to the league championship!</t>
        </is>
      </c>
      <c r="V2020" s="47">
        <f>IF(AND(P2020&gt;=Calendar!$K$2,P2020&lt;EDATE(Calendar!$K$2,1),OR(Calendar!$K$4="*",N2020=Calendar!$K$4)),P2020*100+COUNTIFS($P$6:$P$3267,P2020,$Q$6:$Q$3267,"&lt;="&amp;Q2020,$N$6:$N$3267,Calendar!$K$4),"")</f>
        <v/>
      </c>
      <c r="W2020" s="47">
        <f>IF(AND(B2020=Queue!$C$4,OR(Queue!$K$4="*",N2020=Queue!$K$4)),Q2020,"")</f>
        <v/>
      </c>
    </row>
    <row r="2021">
      <c r="A2021" s="38">
        <f>IF(M2021="","",HYPERLINK("https://www.youtube.com/watch?v="&amp;M2021,"▶"))</f>
        <v/>
      </c>
      <c r="B2021" s="39">
        <f>IF(C2021&lt;&gt;"",C2021,IF(P2021&lt;=IFERROR(INDEX(tblChannels[Watched Through],MATCH(N2021,tblChannels[Channel ID],0)),0),"Watched","Unwatched"))</f>
        <v/>
      </c>
      <c r="C2021" s="40" t="n"/>
      <c r="D2021" s="41" t="n"/>
      <c r="E2021" s="42" t="n">
        <v>43385.68402777778</v>
      </c>
      <c r="F2021" s="50" t="inlineStr">
        <is>
          <t>Super Carlin Brothers</t>
        </is>
      </c>
      <c r="G2021" t="inlineStr">
        <is>
          <t>Why Dumbledore Can't Move Against Grindelwald | Fantastic Beasts Theory</t>
        </is>
      </c>
      <c r="H2021" s="44" t="n">
        <v>0.008900462962962962</v>
      </c>
      <c r="I2021" s="45" t="n">
        <v>1151374</v>
      </c>
      <c r="J2021" s="45" t="n">
        <v>29101</v>
      </c>
      <c r="K2021" s="45" t="n">
        <v>3315</v>
      </c>
      <c r="L2021" s="46" t="n"/>
      <c r="M2021" s="47" t="n"/>
      <c r="N2021" s="47" t="inlineStr">
        <is>
          <t>UCKZo4N0lVPccBkSiuyVh4yg</t>
        </is>
      </c>
      <c r="O2021" s="48" t="n">
        <v>43385.85069444445</v>
      </c>
      <c r="P2021" s="49" t="n">
        <v>43385</v>
      </c>
      <c r="Q2021" s="47" t="n">
        <v>1247</v>
      </c>
      <c r="R2021" s="47" t="inlineStr">
        <is>
          <t>No Video ID yet</t>
        </is>
      </c>
      <c r="S2021" s="49" t="n"/>
      <c r="T2021" s="49" t="n"/>
      <c r="U2021" s="47" t="inlineStr">
        <is>
          <t>SCB Orlando Meet-Up! Presale :: Today Ben dives into the Wizarding World of Harry Potter to discuss Fantastic Beasts: The Crimes of Grindelwald and try and determine why Dumbledore can’t move against Grindelwald and instead needs Newt to do it for him</t>
        </is>
      </c>
      <c r="V2021" s="47">
        <f>IF(AND(P2021&gt;=Calendar!$K$2,P2021&lt;EDATE(Calendar!$K$2,1),OR(Calendar!$K$4="*",N2021=Calendar!$K$4)),P2021*100+COUNTIFS($P$6:$P$3267,P2021,$Q$6:$Q$3267,"&lt;="&amp;Q2021,$N$6:$N$3267,Calendar!$K$4),"")</f>
        <v/>
      </c>
      <c r="W2021" s="47">
        <f>IF(AND(B2021=Queue!$C$4,OR(Queue!$K$4="*",N2021=Queue!$K$4)),Q2021,"")</f>
        <v/>
      </c>
    </row>
    <row r="2022">
      <c r="A2022" s="38">
        <f>IF(M2022="","",HYPERLINK("https://www.youtube.com/watch?v="&amp;M2022,"▶"))</f>
        <v/>
      </c>
      <c r="B2022" s="39">
        <f>IF(C2022&lt;&gt;"",C2022,IF(P2022&lt;=IFERROR(INDEX(tblChannels[Watched Through],MATCH(N2022,tblChannels[Channel ID],0)),0),"Watched","Unwatched"))</f>
        <v/>
      </c>
      <c r="C2022" s="40" t="n"/>
      <c r="D2022" s="41" t="n"/>
      <c r="E2022" s="42" t="n">
        <v>43385.4375</v>
      </c>
      <c r="F2022" s="52" t="inlineStr">
        <is>
          <t>Super Carlin Gaming</t>
        </is>
      </c>
      <c r="G2022" t="inlineStr">
        <is>
          <t>Which Two Disney Heroes Are You?  | Rocket League #63</t>
        </is>
      </c>
      <c r="H2022" s="44" t="n">
        <v>0.0124537037037037</v>
      </c>
      <c r="I2022" s="45" t="n">
        <v>3890</v>
      </c>
      <c r="J2022" s="45" t="n">
        <v>247</v>
      </c>
      <c r="K2022" s="45" t="n">
        <v>66</v>
      </c>
      <c r="L2022" s="46" t="n"/>
      <c r="M2022" s="47" t="n"/>
      <c r="N2022" s="47" t="inlineStr">
        <is>
          <t>UCor_9jRnNNZVzTuQ92PKsaQ</t>
        </is>
      </c>
      <c r="O2022" s="48" t="n">
        <v>43385.60416666666</v>
      </c>
      <c r="P2022" s="49" t="n">
        <v>43385</v>
      </c>
      <c r="Q2022" s="47" t="n">
        <v>1246</v>
      </c>
      <c r="R2022" s="47" t="inlineStr">
        <is>
          <t>No Video ID yet</t>
        </is>
      </c>
      <c r="S2022" s="49" t="n"/>
      <c r="T2022" s="49" t="n"/>
      <c r="U2022" s="47" t="inlineStr">
        <is>
          <t>Take the quiz: J, Ben, &amp; DK enter the Rocket League Coliseum as the Chudley Cannons and try and win their way to the league championship!</t>
        </is>
      </c>
      <c r="V2022" s="47">
        <f>IF(AND(P2022&gt;=Calendar!$K$2,P2022&lt;EDATE(Calendar!$K$2,1),OR(Calendar!$K$4="*",N2022=Calendar!$K$4)),P2022*100+COUNTIFS($P$6:$P$3267,P2022,$Q$6:$Q$3267,"&lt;="&amp;Q2022,$N$6:$N$3267,Calendar!$K$4),"")</f>
        <v/>
      </c>
      <c r="W2022" s="47">
        <f>IF(AND(B2022=Queue!$C$4,OR(Queue!$K$4="*",N2022=Queue!$K$4)),Q2022,"")</f>
        <v/>
      </c>
    </row>
    <row r="2023">
      <c r="A2023" s="38">
        <f>IF(M2023="","",HYPERLINK("https://www.youtube.com/watch?v="&amp;M2023,"▶"))</f>
        <v/>
      </c>
      <c r="B2023" s="39">
        <f>IF(C2023&lt;&gt;"",C2023,IF(P2023&lt;=IFERROR(INDEX(tblChannels[Watched Through],MATCH(N2023,tblChannels[Channel ID],0)),0),"Watched","Unwatched"))</f>
        <v/>
      </c>
      <c r="C2023" s="40" t="n"/>
      <c r="D2023" s="41" t="n"/>
      <c r="E2023" s="42" t="n">
        <v>43383.71736111111</v>
      </c>
      <c r="F2023" s="52" t="inlineStr">
        <is>
          <t>Super Carlin Gaming</t>
        </is>
      </c>
      <c r="G2023" t="inlineStr">
        <is>
          <t>Online Dating | Rocket League #62</t>
        </is>
      </c>
      <c r="H2023" s="44" t="n">
        <v>0.0133912037037037</v>
      </c>
      <c r="I2023" s="45" t="n">
        <v>3630</v>
      </c>
      <c r="J2023" s="45" t="n">
        <v>209</v>
      </c>
      <c r="K2023" s="45" t="n">
        <v>48</v>
      </c>
      <c r="L2023" s="46" t="n"/>
      <c r="M2023" s="47" t="n"/>
      <c r="N2023" s="47" t="inlineStr">
        <is>
          <t>UCor_9jRnNNZVzTuQ92PKsaQ</t>
        </is>
      </c>
      <c r="O2023" s="48" t="n">
        <v>43383.88402777778</v>
      </c>
      <c r="P2023" s="49" t="n">
        <v>43383</v>
      </c>
      <c r="Q2023" s="47" t="n">
        <v>1245</v>
      </c>
      <c r="R2023" s="47" t="inlineStr">
        <is>
          <t>No Video ID yet</t>
        </is>
      </c>
      <c r="S2023" s="49" t="n"/>
      <c r="T2023" s="49" t="n"/>
      <c r="U2023" s="47" t="inlineStr">
        <is>
          <t>J, Ben, &amp; DK enter the Rocket League Coliseum as the Chudley Cannons and try and win their way to the league championship!</t>
        </is>
      </c>
      <c r="V2023" s="47">
        <f>IF(AND(P2023&gt;=Calendar!$K$2,P2023&lt;EDATE(Calendar!$K$2,1),OR(Calendar!$K$4="*",N2023=Calendar!$K$4)),P2023*100+COUNTIFS($P$6:$P$3267,P2023,$Q$6:$Q$3267,"&lt;="&amp;Q2023,$N$6:$N$3267,Calendar!$K$4),"")</f>
        <v/>
      </c>
      <c r="W2023" s="47">
        <f>IF(AND(B2023=Queue!$C$4,OR(Queue!$K$4="*",N2023=Queue!$K$4)),Q2023,"")</f>
        <v/>
      </c>
    </row>
    <row r="2024">
      <c r="A2024" s="38">
        <f>IF(M2024="","",HYPERLINK("https://www.youtube.com/watch?v="&amp;M2024,"▶"))</f>
        <v/>
      </c>
      <c r="B2024" s="39">
        <f>IF(C2024&lt;&gt;"",C2024,IF(P2024&lt;=IFERROR(INDEX(tblChannels[Watched Through],MATCH(N2024,tblChannels[Channel ID],0)),0),"Watched","Unwatched"))</f>
        <v/>
      </c>
      <c r="C2024" s="40" t="n"/>
      <c r="D2024" s="41" t="n"/>
      <c r="E2024" s="42" t="n">
        <v>43382.71805555555</v>
      </c>
      <c r="F2024" s="50" t="inlineStr">
        <is>
          <t>Super Carlin Brothers</t>
        </is>
      </c>
      <c r="G2024" t="inlineStr">
        <is>
          <t>What Is The Deal With Filch and Mrs Norris? | Harry Potter Explained</t>
        </is>
      </c>
      <c r="H2024" s="44" t="n">
        <v>0.007800925925925926</v>
      </c>
      <c r="I2024" s="45" t="n">
        <v>897188</v>
      </c>
      <c r="J2024" s="45" t="n">
        <v>23909</v>
      </c>
      <c r="K2024" s="45" t="n">
        <v>2899</v>
      </c>
      <c r="L2024" s="46" t="n"/>
      <c r="M2024" s="47" t="n"/>
      <c r="N2024" s="47" t="inlineStr">
        <is>
          <t>UCKZo4N0lVPccBkSiuyVh4yg</t>
        </is>
      </c>
      <c r="O2024" s="48" t="n">
        <v>43382.88472222222</v>
      </c>
      <c r="P2024" s="49" t="n">
        <v>43382</v>
      </c>
      <c r="Q2024" s="47" t="n">
        <v>1244</v>
      </c>
      <c r="R2024" s="47" t="inlineStr">
        <is>
          <t>No Video ID yet</t>
        </is>
      </c>
      <c r="S2024" s="49" t="n"/>
      <c r="T2024" s="49" t="n"/>
      <c r="U2024" s="47" t="inlineStr">
        <is>
          <t>Today J dives into the wizarding world of Harry Potter to discuss everyones least favorite grounds keeper Argus Filch and his cat Mrs. Norris and if she was ever a Maledictus.</t>
        </is>
      </c>
      <c r="V2024" s="47">
        <f>IF(AND(P2024&gt;=Calendar!$K$2,P2024&lt;EDATE(Calendar!$K$2,1),OR(Calendar!$K$4="*",N2024=Calendar!$K$4)),P2024*100+COUNTIFS($P$6:$P$3267,P2024,$Q$6:$Q$3267,"&lt;="&amp;Q2024,$N$6:$N$3267,Calendar!$K$4),"")</f>
        <v/>
      </c>
      <c r="W2024" s="47">
        <f>IF(AND(B2024=Queue!$C$4,OR(Queue!$K$4="*",N2024=Queue!$K$4)),Q2024,"")</f>
        <v/>
      </c>
    </row>
    <row r="2025">
      <c r="A2025" s="38">
        <f>IF(M2025="","",HYPERLINK("https://www.youtube.com/watch?v="&amp;M2025,"▶"))</f>
        <v/>
      </c>
      <c r="B2025" s="39">
        <f>IF(C2025&lt;&gt;"",C2025,IF(P2025&lt;=IFERROR(INDEX(tblChannels[Watched Through],MATCH(N2025,tblChannels[Channel ID],0)),0),"Watched","Unwatched"))</f>
        <v/>
      </c>
      <c r="C2025" s="40" t="n"/>
      <c r="D2025" s="41" t="n"/>
      <c r="E2025" s="42" t="n">
        <v>43381.48402777778</v>
      </c>
      <c r="F2025" s="52" t="inlineStr">
        <is>
          <t>Super Carlin Gaming</t>
        </is>
      </c>
      <c r="G2025" t="inlineStr">
        <is>
          <t>Too Much Time With Girlfriend!? | Rocket League #61</t>
        </is>
      </c>
      <c r="H2025" s="44" t="n">
        <v>0.01516203703703704</v>
      </c>
      <c r="I2025" s="45" t="n">
        <v>3896</v>
      </c>
      <c r="J2025" s="45" t="n">
        <v>225</v>
      </c>
      <c r="K2025" s="45" t="n">
        <v>35</v>
      </c>
      <c r="L2025" s="46" t="n"/>
      <c r="M2025" s="47" t="n"/>
      <c r="N2025" s="47" t="inlineStr">
        <is>
          <t>UCor_9jRnNNZVzTuQ92PKsaQ</t>
        </is>
      </c>
      <c r="O2025" s="48" t="n">
        <v>43381.65069444444</v>
      </c>
      <c r="P2025" s="49" t="n">
        <v>43381</v>
      </c>
      <c r="Q2025" s="47" t="n">
        <v>1243</v>
      </c>
      <c r="R2025" s="47" t="inlineStr">
        <is>
          <t>No Video ID yet</t>
        </is>
      </c>
      <c r="S2025" s="49" t="n"/>
      <c r="T2025" s="49" t="n"/>
      <c r="U2025" s="47" t="inlineStr">
        <is>
          <t>Check out Walks in your area!</t>
        </is>
      </c>
      <c r="V2025" s="47">
        <f>IF(AND(P2025&gt;=Calendar!$K$2,P2025&lt;EDATE(Calendar!$K$2,1),OR(Calendar!$K$4="*",N2025=Calendar!$K$4)),P2025*100+COUNTIFS($P$6:$P$3267,P2025,$Q$6:$Q$3267,"&lt;="&amp;Q2025,$N$6:$N$3267,Calendar!$K$4),"")</f>
        <v/>
      </c>
      <c r="W2025" s="47">
        <f>IF(AND(B2025=Queue!$C$4,OR(Queue!$K$4="*",N2025=Queue!$K$4)),Q2025,"")</f>
        <v/>
      </c>
    </row>
    <row r="2026">
      <c r="A2026" s="38">
        <f>IF(M2026="","",HYPERLINK("https://www.youtube.com/watch?v="&amp;M2026,"▶"))</f>
        <v/>
      </c>
      <c r="B2026" s="39">
        <f>IF(C2026&lt;&gt;"",C2026,IF(P2026&lt;=IFERROR(INDEX(tblChannels[Watched Through],MATCH(N2026,tblChannels[Channel ID],0)),0),"Watched","Unwatched"))</f>
        <v/>
      </c>
      <c r="C2026" s="40" t="n"/>
      <c r="D2026" s="41" t="n"/>
      <c r="E2026" s="42" t="n">
        <v>43381.44722222222</v>
      </c>
      <c r="F2026" s="53" t="inlineStr">
        <is>
          <t>Jonathan Carlin</t>
        </is>
      </c>
      <c r="G2026" t="inlineStr">
        <is>
          <t>Luke's First Football Game!</t>
        </is>
      </c>
      <c r="H2026" s="44" t="n">
        <v>0.006354166666666667</v>
      </c>
      <c r="I2026" s="45" t="n">
        <v>29209</v>
      </c>
      <c r="J2026" s="45" t="n">
        <v>1457</v>
      </c>
      <c r="K2026" s="45" t="n">
        <v>227</v>
      </c>
      <c r="L2026" s="46" t="n"/>
      <c r="M2026" s="47" t="n"/>
      <c r="N2026" s="47" t="inlineStr">
        <is>
          <t>UCYPKFe86e6nm4TVUYKLsFUQ</t>
        </is>
      </c>
      <c r="O2026" s="48" t="n">
        <v>43381.61388888889</v>
      </c>
      <c r="P2026" s="49" t="n">
        <v>43381</v>
      </c>
      <c r="Q2026" s="47" t="n">
        <v>1242</v>
      </c>
      <c r="R2026" s="47" t="inlineStr">
        <is>
          <t>No Video ID yet</t>
        </is>
      </c>
      <c r="S2026" s="49" t="n"/>
      <c r="T2026" s="49" t="n"/>
      <c r="U2026" s="47" t="inlineStr">
        <is>
          <t>This week College Football returns, the fridge "breaks" and Luke and Beth go to physical therapy! Also to be clear Beth and I are NOT expecting another child - Our friends Ross and Emily are =D</t>
        </is>
      </c>
      <c r="V2026" s="47">
        <f>IF(AND(P2026&gt;=Calendar!$K$2,P2026&lt;EDATE(Calendar!$K$2,1),OR(Calendar!$K$4="*",N2026=Calendar!$K$4)),P2026*100+COUNTIFS($P$6:$P$3267,P2026,$Q$6:$Q$3267,"&lt;="&amp;Q2026,$N$6:$N$3267,Calendar!$K$4),"")</f>
        <v/>
      </c>
      <c r="W2026" s="47">
        <f>IF(AND(B2026=Queue!$C$4,OR(Queue!$K$4="*",N2026=Queue!$K$4)),Q2026,"")</f>
        <v/>
      </c>
    </row>
    <row r="2027">
      <c r="A2027" s="38">
        <f>IF(M2027="","",HYPERLINK("https://www.youtube.com/watch?v="&amp;M2027,"▶"))</f>
        <v/>
      </c>
      <c r="B2027" s="39">
        <f>IF(C2027&lt;&gt;"",C2027,IF(P2027&lt;=IFERROR(INDEX(tblChannels[Watched Through],MATCH(N2027,tblChannels[Channel ID],0)),0),"Watched","Unwatched"))</f>
        <v/>
      </c>
      <c r="C2027" s="40" t="n"/>
      <c r="D2027" s="41" t="n"/>
      <c r="E2027" s="42" t="n">
        <v>43378.55902777778</v>
      </c>
      <c r="F2027" s="52" t="inlineStr">
        <is>
          <t>Super Carlin Gaming</t>
        </is>
      </c>
      <c r="G2027" t="inlineStr">
        <is>
          <t>I Have a Job Offer, But... | Rocket League #60</t>
        </is>
      </c>
      <c r="H2027" s="44" t="n">
        <v>0.01476851851851852</v>
      </c>
      <c r="I2027" s="45" t="n">
        <v>4162</v>
      </c>
      <c r="J2027" s="45" t="n">
        <v>206</v>
      </c>
      <c r="K2027" s="45" t="n">
        <v>63</v>
      </c>
      <c r="L2027" s="46" t="n"/>
      <c r="M2027" s="47" t="n"/>
      <c r="N2027" s="47" t="inlineStr">
        <is>
          <t>UCor_9jRnNNZVzTuQ92PKsaQ</t>
        </is>
      </c>
      <c r="O2027" s="48" t="n">
        <v>43378.72569444445</v>
      </c>
      <c r="P2027" s="49" t="n">
        <v>43378</v>
      </c>
      <c r="Q2027" s="47" t="n">
        <v>1241</v>
      </c>
      <c r="R2027" s="47" t="inlineStr">
        <is>
          <t>No Video ID yet</t>
        </is>
      </c>
      <c r="S2027" s="49" t="n"/>
      <c r="T2027" s="49" t="n"/>
      <c r="U2027" s="47" t="n"/>
      <c r="V2027" s="47">
        <f>IF(AND(P2027&gt;=Calendar!$K$2,P2027&lt;EDATE(Calendar!$K$2,1),OR(Calendar!$K$4="*",N2027=Calendar!$K$4)),P2027*100+COUNTIFS($P$6:$P$3267,P2027,$Q$6:$Q$3267,"&lt;="&amp;Q2027,$N$6:$N$3267,Calendar!$K$4),"")</f>
        <v/>
      </c>
      <c r="W2027" s="47">
        <f>IF(AND(B2027=Queue!$C$4,OR(Queue!$K$4="*",N2027=Queue!$K$4)),Q2027,"")</f>
        <v/>
      </c>
    </row>
    <row r="2028">
      <c r="A2028" s="38">
        <f>IF(M2028="","",HYPERLINK("https://www.youtube.com/watch?v="&amp;M2028,"▶"))</f>
        <v/>
      </c>
      <c r="B2028" s="39">
        <f>IF(C2028&lt;&gt;"",C2028,IF(P2028&lt;=IFERROR(INDEX(tblChannels[Watched Through],MATCH(N2028,tblChannels[Channel ID],0)),0),"Watched","Unwatched"))</f>
        <v/>
      </c>
      <c r="C2028" s="40" t="n"/>
      <c r="D2028" s="41" t="n"/>
      <c r="E2028" s="42" t="n">
        <v>43377.74791666667</v>
      </c>
      <c r="F2028" s="50" t="inlineStr">
        <is>
          <t>Super Carlin Brothers</t>
        </is>
      </c>
      <c r="G2028" t="inlineStr">
        <is>
          <t>Most Expensive Things At Disney | GAME</t>
        </is>
      </c>
      <c r="H2028" s="44" t="n">
        <v>0.02646990740740741</v>
      </c>
      <c r="I2028" s="45" t="n">
        <v>631932</v>
      </c>
      <c r="J2028" s="45" t="n">
        <v>14995</v>
      </c>
      <c r="K2028" s="45" t="n">
        <v>2187</v>
      </c>
      <c r="L2028" s="46" t="n"/>
      <c r="M2028" s="47" t="n"/>
      <c r="N2028" s="47" t="inlineStr">
        <is>
          <t>UCKZo4N0lVPccBkSiuyVh4yg</t>
        </is>
      </c>
      <c r="O2028" s="48" t="n">
        <v>43377.91458333333</v>
      </c>
      <c r="P2028" s="49" t="n">
        <v>43377</v>
      </c>
      <c r="Q2028" s="47" t="n">
        <v>1240</v>
      </c>
      <c r="R2028" s="47" t="inlineStr">
        <is>
          <t>No Video ID yet</t>
        </is>
      </c>
      <c r="S2028" s="49" t="n"/>
      <c r="T2028" s="49" t="n"/>
      <c r="U2028" s="47" t="inlineStr">
        <is>
          <t>Get 15% off your Vincero Watch order with Promo Code: SCB VinceroWatches :: Today J and Ben Face off and try to guess the exact price of various Disney, Pixar, Marvel and Star Wars items available at ShopDisney.com. Feel free to play along with us and see if you can out score us!</t>
        </is>
      </c>
      <c r="V2028" s="47">
        <f>IF(AND(P2028&gt;=Calendar!$K$2,P2028&lt;EDATE(Calendar!$K$2,1),OR(Calendar!$K$4="*",N2028=Calendar!$K$4)),P2028*100+COUNTIFS($P$6:$P$3267,P2028,$Q$6:$Q$3267,"&lt;="&amp;Q2028,$N$6:$N$3267,Calendar!$K$4),"")</f>
        <v/>
      </c>
      <c r="W2028" s="47">
        <f>IF(AND(B2028=Queue!$C$4,OR(Queue!$K$4="*",N2028=Queue!$K$4)),Q2028,"")</f>
        <v/>
      </c>
    </row>
    <row r="2029">
      <c r="A2029" s="38">
        <f>IF(M2029="","",HYPERLINK("https://www.youtube.com/watch?v="&amp;M2029,"▶"))</f>
        <v/>
      </c>
      <c r="B2029" s="39">
        <f>IF(C2029&lt;&gt;"",C2029,IF(P2029&lt;=IFERROR(INDEX(tblChannels[Watched Through],MATCH(N2029,tblChannels[Channel ID],0)),0),"Watched","Unwatched"))</f>
        <v/>
      </c>
      <c r="C2029" s="40" t="n"/>
      <c r="D2029" s="41" t="n"/>
      <c r="E2029" s="42" t="n">
        <v>43376.74166666667</v>
      </c>
      <c r="F2029" s="52" t="inlineStr">
        <is>
          <t>Super Carlin Gaming</t>
        </is>
      </c>
      <c r="G2029" t="inlineStr">
        <is>
          <t>LIVE! Rocket League - J  and Ben vs THE WORLD</t>
        </is>
      </c>
      <c r="H2029" s="44" t="n">
        <v>0.02533564814814815</v>
      </c>
      <c r="I2029" s="45" t="n">
        <v>2278</v>
      </c>
      <c r="J2029" s="45" t="n">
        <v>80</v>
      </c>
      <c r="K2029" s="45" t="n">
        <v>14</v>
      </c>
      <c r="L2029" s="46" t="n"/>
      <c r="M2029" s="47" t="n"/>
      <c r="N2029" s="47" t="inlineStr">
        <is>
          <t>UCor_9jRnNNZVzTuQ92PKsaQ</t>
        </is>
      </c>
      <c r="O2029" s="48" t="n">
        <v>43376.90833333333</v>
      </c>
      <c r="P2029" s="49" t="n">
        <v>43376</v>
      </c>
      <c r="Q2029" s="47" t="n">
        <v>1239</v>
      </c>
      <c r="R2029" s="47" t="inlineStr">
        <is>
          <t>No Video ID yet</t>
        </is>
      </c>
      <c r="S2029" s="49" t="n"/>
      <c r="T2029" s="49" t="n"/>
      <c r="U2029" s="47" t="inlineStr">
        <is>
          <t>J and Ben go online to take on real opponents and answer your questions! J on twitter: Ben on Twitter: DK STREAMS ON TWITCH: Jordan on YOUTUBE:</t>
        </is>
      </c>
      <c r="V2029" s="47">
        <f>IF(AND(P2029&gt;=Calendar!$K$2,P2029&lt;EDATE(Calendar!$K$2,1),OR(Calendar!$K$4="*",N2029=Calendar!$K$4)),P2029*100+COUNTIFS($P$6:$P$3267,P2029,$Q$6:$Q$3267,"&lt;="&amp;Q2029,$N$6:$N$3267,Calendar!$K$4),"")</f>
        <v/>
      </c>
      <c r="W2029" s="47">
        <f>IF(AND(B2029=Queue!$C$4,OR(Queue!$K$4="*",N2029=Queue!$K$4)),Q2029,"")</f>
        <v/>
      </c>
    </row>
    <row r="2030">
      <c r="A2030" s="38">
        <f>IF(M2030="","",HYPERLINK("https://www.youtube.com/watch?v="&amp;M2030,"▶"))</f>
        <v/>
      </c>
      <c r="B2030" s="39">
        <f>IF(C2030&lt;&gt;"",C2030,IF(P2030&lt;=IFERROR(INDEX(tblChannels[Watched Through],MATCH(N2030,tblChannels[Channel ID],0)),0),"Watched","Unwatched"))</f>
        <v/>
      </c>
      <c r="C2030" s="40" t="n"/>
      <c r="D2030" s="41" t="n"/>
      <c r="E2030" s="42" t="n">
        <v>43376.68888888889</v>
      </c>
      <c r="F2030" s="52" t="inlineStr">
        <is>
          <t>Super Carlin Gaming</t>
        </is>
      </c>
      <c r="G2030" t="inlineStr">
        <is>
          <t>LIVE! Rocket League - J  and Ben vs THE WORLD</t>
        </is>
      </c>
      <c r="H2030" s="44" t="n">
        <v>0.01150462962962963</v>
      </c>
      <c r="I2030" s="45" t="n">
        <v>2207</v>
      </c>
      <c r="J2030" s="45" t="n">
        <v>85</v>
      </c>
      <c r="K2030" s="45" t="n">
        <v>6</v>
      </c>
      <c r="L2030" s="46" t="n"/>
      <c r="M2030" s="47" t="n"/>
      <c r="N2030" s="47" t="inlineStr">
        <is>
          <t>UCor_9jRnNNZVzTuQ92PKsaQ</t>
        </is>
      </c>
      <c r="O2030" s="48" t="n">
        <v>43376.85555555556</v>
      </c>
      <c r="P2030" s="49" t="n">
        <v>43376</v>
      </c>
      <c r="Q2030" s="47" t="n">
        <v>1238</v>
      </c>
      <c r="R2030" s="47" t="inlineStr">
        <is>
          <t>No Video ID yet</t>
        </is>
      </c>
      <c r="S2030" s="49" t="n"/>
      <c r="T2030" s="49" t="n"/>
      <c r="U2030" s="47" t="inlineStr">
        <is>
          <t>J and Ben go online to take on real opponents and answer your questions! J on twitter: Ben on Twitter: DK STREAMS ON TWITCH: Jordan on YOUTUBE:</t>
        </is>
      </c>
      <c r="V2030" s="47">
        <f>IF(AND(P2030&gt;=Calendar!$K$2,P2030&lt;EDATE(Calendar!$K$2,1),OR(Calendar!$K$4="*",N2030=Calendar!$K$4)),P2030*100+COUNTIFS($P$6:$P$3267,P2030,$Q$6:$Q$3267,"&lt;="&amp;Q2030,$N$6:$N$3267,Calendar!$K$4),"")</f>
        <v/>
      </c>
      <c r="W2030" s="47">
        <f>IF(AND(B2030=Queue!$C$4,OR(Queue!$K$4="*",N2030=Queue!$K$4)),Q2030,"")</f>
        <v/>
      </c>
    </row>
    <row r="2031">
      <c r="A2031" s="38">
        <f>IF(M2031="","",HYPERLINK("https://www.youtube.com/watch?v="&amp;M2031,"▶"))</f>
        <v/>
      </c>
      <c r="B2031" s="39">
        <f>IF(C2031&lt;&gt;"",C2031,IF(P2031&lt;=IFERROR(INDEX(tblChannels[Watched Through],MATCH(N2031,tblChannels[Channel ID],0)),0),"Watched","Unwatched"))</f>
        <v/>
      </c>
      <c r="C2031" s="40" t="n"/>
      <c r="D2031" s="41" t="n"/>
      <c r="E2031" s="42" t="n">
        <v>43375.68402777778</v>
      </c>
      <c r="F2031" s="50" t="inlineStr">
        <is>
          <t>Super Carlin Brothers</t>
        </is>
      </c>
      <c r="G2031" t="inlineStr">
        <is>
          <t>Will Hela and Thanos Team Up? | Infinity War Theory</t>
        </is>
      </c>
      <c r="H2031" s="44" t="n">
        <v>0.008958333333333334</v>
      </c>
      <c r="I2031" s="45" t="n">
        <v>464684</v>
      </c>
      <c r="J2031" s="45" t="n">
        <v>13305</v>
      </c>
      <c r="K2031" s="45" t="n">
        <v>1545</v>
      </c>
      <c r="L2031" s="46" t="n"/>
      <c r="M2031" s="47" t="n"/>
      <c r="N2031" s="47" t="inlineStr">
        <is>
          <t>UCKZo4N0lVPccBkSiuyVh4yg</t>
        </is>
      </c>
      <c r="O2031" s="48" t="n">
        <v>43375.85069444445</v>
      </c>
      <c r="P2031" s="49" t="n">
        <v>43375</v>
      </c>
      <c r="Q2031" s="47" t="n">
        <v>1237</v>
      </c>
      <c r="R2031" s="47" t="inlineStr">
        <is>
          <t>No Video ID yet</t>
        </is>
      </c>
      <c r="S2031" s="49" t="n"/>
      <c r="T2031" s="49" t="n"/>
      <c r="U2031" s="47" t="inlineStr">
        <is>
          <t>Today J dives into the Marvel Cinematic Universe to discuss what Thanos will be getting up to in Infinity War and if he has a possible love interest in the Goddess of Death herself: Hela. Pre-Order your Coffee or Tea Today ::</t>
        </is>
      </c>
      <c r="V2031" s="47">
        <f>IF(AND(P2031&gt;=Calendar!$K$2,P2031&lt;EDATE(Calendar!$K$2,1),OR(Calendar!$K$4="*",N2031=Calendar!$K$4)),P2031*100+COUNTIFS($P$6:$P$3267,P2031,$Q$6:$Q$3267,"&lt;="&amp;Q2031,$N$6:$N$3267,Calendar!$K$4),"")</f>
        <v/>
      </c>
      <c r="W2031" s="47">
        <f>IF(AND(B2031=Queue!$C$4,OR(Queue!$K$4="*",N2031=Queue!$K$4)),Q2031,"")</f>
        <v/>
      </c>
    </row>
    <row r="2032">
      <c r="A2032" s="38">
        <f>IF(M2032="","",HYPERLINK("https://www.youtube.com/watch?v="&amp;M2032,"▶"))</f>
        <v/>
      </c>
      <c r="B2032" s="39">
        <f>IF(C2032&lt;&gt;"",C2032,IF(P2032&lt;=IFERROR(INDEX(tblChannels[Watched Through],MATCH(N2032,tblChannels[Channel ID],0)),0),"Watched","Unwatched"))</f>
        <v/>
      </c>
      <c r="C2032" s="40" t="n"/>
      <c r="D2032" s="41" t="n"/>
      <c r="E2032" s="42" t="n">
        <v>43374.73819444444</v>
      </c>
      <c r="F2032" s="53" t="inlineStr">
        <is>
          <t>Jonathan Carlin</t>
        </is>
      </c>
      <c r="G2032" t="inlineStr">
        <is>
          <t>The Coffee Table Conundrum</t>
        </is>
      </c>
      <c r="H2032" s="44" t="n">
        <v>0.005960648148148148</v>
      </c>
      <c r="I2032" s="45" t="n">
        <v>32871</v>
      </c>
      <c r="J2032" s="45" t="n">
        <v>1810</v>
      </c>
      <c r="K2032" s="45" t="n">
        <v>388</v>
      </c>
      <c r="L2032" s="46" t="n"/>
      <c r="M2032" s="47" t="n"/>
      <c r="N2032" s="47" t="inlineStr">
        <is>
          <t>UCYPKFe86e6nm4TVUYKLsFUQ</t>
        </is>
      </c>
      <c r="O2032" s="48" t="n">
        <v>43374.90486111111</v>
      </c>
      <c r="P2032" s="49" t="n">
        <v>43374</v>
      </c>
      <c r="Q2032" s="47" t="n">
        <v>1236</v>
      </c>
      <c r="R2032" s="47" t="inlineStr">
        <is>
          <t>No Video ID yet</t>
        </is>
      </c>
      <c r="S2032" s="49" t="n"/>
      <c r="T2032" s="49" t="n"/>
      <c r="U2032" s="47" t="inlineStr">
        <is>
          <t>Pre-Order your Coffee or Tea TODAY :: This week, J and Ben get on the trending list, Luke tries out some crawling and we try life without a coffee table</t>
        </is>
      </c>
      <c r="V2032" s="47">
        <f>IF(AND(P2032&gt;=Calendar!$K$2,P2032&lt;EDATE(Calendar!$K$2,1),OR(Calendar!$K$4="*",N2032=Calendar!$K$4)),P2032*100+COUNTIFS($P$6:$P$3267,P2032,$Q$6:$Q$3267,"&lt;="&amp;Q2032,$N$6:$N$3267,Calendar!$K$4),"")</f>
        <v/>
      </c>
      <c r="W2032" s="47">
        <f>IF(AND(B2032=Queue!$C$4,OR(Queue!$K$4="*",N2032=Queue!$K$4)),Q2032,"")</f>
        <v/>
      </c>
    </row>
    <row r="2033">
      <c r="A2033" s="38">
        <f>IF(M2033="","",HYPERLINK("https://www.youtube.com/watch?v="&amp;M2033,"▶"))</f>
        <v/>
      </c>
      <c r="B2033" s="39">
        <f>IF(C2033&lt;&gt;"",C2033,IF(P2033&lt;=IFERROR(INDEX(tblChannels[Watched Through],MATCH(N2033,tblChannels[Channel ID],0)),0),"Watched","Unwatched"))</f>
        <v/>
      </c>
      <c r="C2033" s="40" t="n"/>
      <c r="D2033" s="41" t="n"/>
      <c r="E2033" s="42" t="n">
        <v>43370.5</v>
      </c>
      <c r="F2033" s="50" t="inlineStr">
        <is>
          <t>Super Carlin Brothers</t>
        </is>
      </c>
      <c r="G2033" t="inlineStr">
        <is>
          <t>J vs Ben: HARDEST Forbidden Forest Trivia Quiz EVER</t>
        </is>
      </c>
      <c r="H2033" s="44" t="n">
        <v>0.01806712962962963</v>
      </c>
      <c r="I2033" s="45" t="n">
        <v>605932</v>
      </c>
      <c r="J2033" s="45" t="n">
        <v>14458</v>
      </c>
      <c r="K2033" s="45" t="n">
        <v>2158</v>
      </c>
      <c r="L2033" s="46" t="n"/>
      <c r="M2033" s="47" t="n"/>
      <c r="N2033" s="47" t="inlineStr">
        <is>
          <t>UCKZo4N0lVPccBkSiuyVh4yg</t>
        </is>
      </c>
      <c r="O2033" s="48" t="n">
        <v>43370.66666666666</v>
      </c>
      <c r="P2033" s="49" t="n">
        <v>43370</v>
      </c>
      <c r="Q2033" s="47" t="n">
        <v>1235</v>
      </c>
      <c r="R2033" s="47" t="inlineStr">
        <is>
          <t>No Video ID yet</t>
        </is>
      </c>
      <c r="S2033" s="49" t="n"/>
      <c r="T2033" s="49" t="n"/>
      <c r="U2033" s="47" t="inlineStr">
        <is>
          <t>Today J and Ben face off once more in the Wizarding World of Harry Potter to find out who knows more about Hogwarts famous Forbidden Forest!</t>
        </is>
      </c>
      <c r="V2033" s="47">
        <f>IF(AND(P2033&gt;=Calendar!$K$2,P2033&lt;EDATE(Calendar!$K$2,1),OR(Calendar!$K$4="*",N2033=Calendar!$K$4)),P2033*100+COUNTIFS($P$6:$P$3267,P2033,$Q$6:$Q$3267,"&lt;="&amp;Q2033,$N$6:$N$3267,Calendar!$K$4),"")</f>
        <v/>
      </c>
      <c r="W2033" s="47">
        <f>IF(AND(B2033=Queue!$C$4,OR(Queue!$K$4="*",N2033=Queue!$K$4)),Q2033,"")</f>
        <v/>
      </c>
    </row>
    <row r="2034">
      <c r="A2034" s="38">
        <f>IF(M2034="","",HYPERLINK("https://www.youtube.com/watch?v="&amp;M2034,"▶"))</f>
        <v/>
      </c>
      <c r="B2034" s="39">
        <f>IF(C2034&lt;&gt;"",C2034,IF(P2034&lt;=IFERROR(INDEX(tblChannels[Watched Through],MATCH(N2034,tblChannels[Channel ID],0)),0),"Watched","Unwatched"))</f>
        <v/>
      </c>
      <c r="C2034" s="40" t="n"/>
      <c r="D2034" s="41" t="n"/>
      <c r="E2034" s="42" t="n">
        <v>43368.84097222222</v>
      </c>
      <c r="F2034" s="50" t="inlineStr">
        <is>
          <t>Super Carlin Brothers</t>
        </is>
      </c>
      <c r="G2034" t="inlineStr">
        <is>
          <t>Luna Lovegood Is A Maledictus | Harry Potter Theory</t>
        </is>
      </c>
      <c r="H2034" s="44" t="n">
        <v>0.006157407407407407</v>
      </c>
      <c r="I2034" s="45" t="n">
        <v>1426532</v>
      </c>
      <c r="J2034" s="45" t="n">
        <v>42317</v>
      </c>
      <c r="K2034" s="45" t="n">
        <v>5226</v>
      </c>
      <c r="L2034" s="46" t="n"/>
      <c r="M2034" s="47" t="n"/>
      <c r="N2034" s="47" t="inlineStr">
        <is>
          <t>UCKZo4N0lVPccBkSiuyVh4yg</t>
        </is>
      </c>
      <c r="O2034" s="48" t="n">
        <v>43369.00763888889</v>
      </c>
      <c r="P2034" s="49" t="n">
        <v>43368</v>
      </c>
      <c r="Q2034" s="47" t="n">
        <v>1234</v>
      </c>
      <c r="R2034" s="47" t="inlineStr">
        <is>
          <t>No Video ID yet</t>
        </is>
      </c>
      <c r="S2034" s="49" t="n"/>
      <c r="T2034" s="49" t="n"/>
      <c r="U2034" s="47" t="inlineStr">
        <is>
          <t>Today J dives into the Wizarding World of Harry Potter to decide if everyone's favorite Ravenclaw, Luna Lovegood, is actually a Maledictus and if so, what animal she might become! Pre-Order your Coffee or Tea TODAY ::</t>
        </is>
      </c>
      <c r="V2034" s="47">
        <f>IF(AND(P2034&gt;=Calendar!$K$2,P2034&lt;EDATE(Calendar!$K$2,1),OR(Calendar!$K$4="*",N2034=Calendar!$K$4)),P2034*100+COUNTIFS($P$6:$P$3267,P2034,$Q$6:$Q$3267,"&lt;="&amp;Q2034,$N$6:$N$3267,Calendar!$K$4),"")</f>
        <v/>
      </c>
      <c r="W2034" s="47">
        <f>IF(AND(B2034=Queue!$C$4,OR(Queue!$K$4="*",N2034=Queue!$K$4)),Q2034,"")</f>
        <v/>
      </c>
    </row>
    <row r="2035">
      <c r="A2035" s="38">
        <f>IF(M2035="","",HYPERLINK("https://www.youtube.com/watch?v="&amp;M2035,"▶"))</f>
        <v/>
      </c>
      <c r="B2035" s="39">
        <f>IF(C2035&lt;&gt;"",C2035,IF(P2035&lt;=IFERROR(INDEX(tblChannels[Watched Through],MATCH(N2035,tblChannels[Channel ID],0)),0),"Watched","Unwatched"))</f>
        <v/>
      </c>
      <c r="C2035" s="40" t="n"/>
      <c r="D2035" s="41" t="n"/>
      <c r="E2035" s="42" t="n">
        <v>43365.5</v>
      </c>
      <c r="F2035" s="53" t="inlineStr">
        <is>
          <t>Jonathan Carlin</t>
        </is>
      </c>
      <c r="G2035" t="inlineStr">
        <is>
          <t>CARLIN BROTHERS COFFEE</t>
        </is>
      </c>
      <c r="H2035" s="44" t="n">
        <v>0.005138888888888889</v>
      </c>
      <c r="I2035" s="45" t="n">
        <v>32182</v>
      </c>
      <c r="J2035" s="45" t="n">
        <v>1851</v>
      </c>
      <c r="K2035" s="45" t="n">
        <v>251</v>
      </c>
      <c r="L2035" s="46" t="n"/>
      <c r="M2035" s="47" t="n"/>
      <c r="N2035" s="47" t="inlineStr">
        <is>
          <t>UCYPKFe86e6nm4TVUYKLsFUQ</t>
        </is>
      </c>
      <c r="O2035" s="48" t="n">
        <v>43365.66666666666</v>
      </c>
      <c r="P2035" s="49" t="n">
        <v>43365</v>
      </c>
      <c r="Q2035" s="47" t="n">
        <v>1233</v>
      </c>
      <c r="R2035" s="47" t="inlineStr">
        <is>
          <t>No Video ID yet</t>
        </is>
      </c>
      <c r="S2035" s="49" t="n"/>
      <c r="T2035" s="49" t="n"/>
      <c r="U2035" s="47" t="inlineStr">
        <is>
          <t>Pre-Order your Coffee or Tea TODAY :: Guys! We are starting our own Coffee Company!!!!!!!!!</t>
        </is>
      </c>
      <c r="V2035" s="47">
        <f>IF(AND(P2035&gt;=Calendar!$K$2,P2035&lt;EDATE(Calendar!$K$2,1),OR(Calendar!$K$4="*",N2035=Calendar!$K$4)),P2035*100+COUNTIFS($P$6:$P$3267,P2035,$Q$6:$Q$3267,"&lt;="&amp;Q2035,$N$6:$N$3267,Calendar!$K$4),"")</f>
        <v/>
      </c>
      <c r="W2035" s="47">
        <f>IF(AND(B2035=Queue!$C$4,OR(Queue!$K$4="*",N2035=Queue!$K$4)),Q2035,"")</f>
        <v/>
      </c>
    </row>
    <row r="2036">
      <c r="A2036" s="38">
        <f>IF(M2036="","",HYPERLINK("https://www.youtube.com/watch?v="&amp;M2036,"▶"))</f>
        <v/>
      </c>
      <c r="B2036" s="39">
        <f>IF(C2036&lt;&gt;"",C2036,IF(P2036&lt;=IFERROR(INDEX(tblChannels[Watched Through],MATCH(N2036,tblChannels[Channel ID],0)),0),"Watched","Unwatched"))</f>
        <v/>
      </c>
      <c r="C2036" s="40" t="n"/>
      <c r="D2036" s="41" t="n"/>
      <c r="E2036" s="42" t="n">
        <v>43365.49861111111</v>
      </c>
      <c r="F2036" s="50" t="inlineStr">
        <is>
          <t>Super Carlin Brothers</t>
        </is>
      </c>
      <c r="G2036" t="inlineStr">
        <is>
          <t>THE BIG ANNOUNCEMENT!</t>
        </is>
      </c>
      <c r="H2036" s="44" t="n">
        <v>0.003171296296296296</v>
      </c>
      <c r="I2036" s="45" t="n">
        <v>287492</v>
      </c>
      <c r="J2036" s="45" t="n">
        <v>16728</v>
      </c>
      <c r="K2036" s="45" t="n">
        <v>2900</v>
      </c>
      <c r="L2036" s="46" t="n"/>
      <c r="M2036" s="47" t="n"/>
      <c r="N2036" s="47" t="inlineStr">
        <is>
          <t>UCKZo4N0lVPccBkSiuyVh4yg</t>
        </is>
      </c>
      <c r="O2036" s="48" t="n">
        <v>43365.66527777778</v>
      </c>
      <c r="P2036" s="49" t="n">
        <v>43365</v>
      </c>
      <c r="Q2036" s="47" t="n">
        <v>1232</v>
      </c>
      <c r="R2036" s="47" t="inlineStr">
        <is>
          <t>No Video ID yet</t>
        </is>
      </c>
      <c r="S2036" s="49" t="n"/>
      <c r="T2036" s="49" t="n"/>
      <c r="U2036" s="47" t="inlineStr">
        <is>
          <t>Pre-Order your Coffee or Tea TODAY :: Follow Carlin Brothers Coffee Social Accounts! Facebook :: Twitter :: Instagram ::</t>
        </is>
      </c>
      <c r="V2036" s="47">
        <f>IF(AND(P2036&gt;=Calendar!$K$2,P2036&lt;EDATE(Calendar!$K$2,1),OR(Calendar!$K$4="*",N2036=Calendar!$K$4)),P2036*100+COUNTIFS($P$6:$P$3267,P2036,$Q$6:$Q$3267,"&lt;="&amp;Q2036,$N$6:$N$3267,Calendar!$K$4),"")</f>
        <v/>
      </c>
      <c r="W2036" s="47">
        <f>IF(AND(B2036=Queue!$C$4,OR(Queue!$K$4="*",N2036=Queue!$K$4)),Q2036,"")</f>
        <v/>
      </c>
    </row>
    <row r="2037">
      <c r="A2037" s="38">
        <f>IF(M2037="","",HYPERLINK("https://www.youtube.com/watch?v="&amp;M2037,"▶"))</f>
        <v/>
      </c>
      <c r="B2037" s="39">
        <f>IF(C2037&lt;&gt;"",C2037,IF(P2037&lt;=IFERROR(INDEX(tblChannels[Watched Through],MATCH(N2037,tblChannels[Channel ID],0)),0),"Watched","Unwatched"))</f>
        <v/>
      </c>
      <c r="C2037" s="40" t="n"/>
      <c r="D2037" s="41" t="n"/>
      <c r="E2037" s="42" t="n">
        <v>43364.4375</v>
      </c>
      <c r="F2037" s="52" t="inlineStr">
        <is>
          <t>Super Carlin Gaming</t>
        </is>
      </c>
      <c r="G2037" t="inlineStr">
        <is>
          <t>Which Infinity Stone Are You? | Rocket League #59</t>
        </is>
      </c>
      <c r="H2037" s="44" t="n">
        <v>0.01645833333333333</v>
      </c>
      <c r="I2037" s="45" t="n">
        <v>5006</v>
      </c>
      <c r="J2037" s="45" t="n">
        <v>231</v>
      </c>
      <c r="K2037" s="45" t="n">
        <v>89</v>
      </c>
      <c r="L2037" s="46" t="n"/>
      <c r="M2037" s="47" t="n"/>
      <c r="N2037" s="47" t="inlineStr">
        <is>
          <t>UCor_9jRnNNZVzTuQ92PKsaQ</t>
        </is>
      </c>
      <c r="O2037" s="48" t="n">
        <v>43364.60416666666</v>
      </c>
      <c r="P2037" s="49" t="n">
        <v>43364</v>
      </c>
      <c r="Q2037" s="47" t="n">
        <v>1231</v>
      </c>
      <c r="R2037" s="47" t="inlineStr">
        <is>
          <t>No Video ID yet</t>
        </is>
      </c>
      <c r="S2037" s="49" t="n"/>
      <c r="T2037" s="49" t="n"/>
      <c r="U2037" s="47" t="inlineStr">
        <is>
          <t>Which Infinity Stone are you ::</t>
        </is>
      </c>
      <c r="V2037" s="47">
        <f>IF(AND(P2037&gt;=Calendar!$K$2,P2037&lt;EDATE(Calendar!$K$2,1),OR(Calendar!$K$4="*",N2037=Calendar!$K$4)),P2037*100+COUNTIFS($P$6:$P$3267,P2037,$Q$6:$Q$3267,"&lt;="&amp;Q2037,$N$6:$N$3267,Calendar!$K$4),"")</f>
        <v/>
      </c>
      <c r="W2037" s="47">
        <f>IF(AND(B2037=Queue!$C$4,OR(Queue!$K$4="*",N2037=Queue!$K$4)),Q2037,"")</f>
        <v/>
      </c>
    </row>
    <row r="2038">
      <c r="A2038" s="38">
        <f>IF(M2038="","",HYPERLINK("https://www.youtube.com/watch?v="&amp;M2038,"▶"))</f>
        <v/>
      </c>
      <c r="B2038" s="39">
        <f>IF(C2038&lt;&gt;"",C2038,IF(P2038&lt;=IFERROR(INDEX(tblChannels[Watched Through],MATCH(N2038,tblChannels[Channel ID],0)),0),"Watched","Unwatched"))</f>
        <v/>
      </c>
      <c r="C2038" s="40" t="n"/>
      <c r="D2038" s="41" t="n"/>
      <c r="E2038" s="42" t="n">
        <v>43363.74305555555</v>
      </c>
      <c r="F2038" s="50" t="inlineStr">
        <is>
          <t>Super Carlin Brothers</t>
        </is>
      </c>
      <c r="G2038" t="inlineStr">
        <is>
          <t>Top 10 Reasons Why Scar Is The Best Disney Villain EVER</t>
        </is>
      </c>
      <c r="H2038" s="44" t="n">
        <v>0.008900462962962962</v>
      </c>
      <c r="I2038" s="45" t="n">
        <v>1204502</v>
      </c>
      <c r="J2038" s="45" t="n">
        <v>24452</v>
      </c>
      <c r="K2038" s="45" t="n">
        <v>3817</v>
      </c>
      <c r="L2038" s="46" t="n"/>
      <c r="M2038" s="47" t="n"/>
      <c r="N2038" s="47" t="inlineStr">
        <is>
          <t>UCKZo4N0lVPccBkSiuyVh4yg</t>
        </is>
      </c>
      <c r="O2038" s="48" t="n">
        <v>43363.90972222222</v>
      </c>
      <c r="P2038" s="49" t="n">
        <v>43363</v>
      </c>
      <c r="Q2038" s="47" t="n">
        <v>1230</v>
      </c>
      <c r="R2038" s="47" t="inlineStr">
        <is>
          <t>No Video ID yet</t>
        </is>
      </c>
      <c r="S2038" s="49" t="n"/>
      <c r="T2038" s="49" t="n"/>
      <c r="U2038" s="47" t="inlineStr">
        <is>
          <t>YouTube Is My Playground Gear :: You guys have been voting for a few weeks over on Twitter on who the Greatest Disney Villain of all time is and today we are counting down the Top 10 Reason why our champion SCAR is the best of them all! Thanks to Kayla Stith for her excellent Lion King art ::</t>
        </is>
      </c>
      <c r="V2038" s="47">
        <f>IF(AND(P2038&gt;=Calendar!$K$2,P2038&lt;EDATE(Calendar!$K$2,1),OR(Calendar!$K$4="*",N2038=Calendar!$K$4)),P2038*100+COUNTIFS($P$6:$P$3267,P2038,$Q$6:$Q$3267,"&lt;="&amp;Q2038,$N$6:$N$3267,Calendar!$K$4),"")</f>
        <v/>
      </c>
      <c r="W2038" s="47">
        <f>IF(AND(B2038=Queue!$C$4,OR(Queue!$K$4="*",N2038=Queue!$K$4)),Q2038,"")</f>
        <v/>
      </c>
    </row>
    <row r="2039">
      <c r="A2039" s="38">
        <f>IF(M2039="","",HYPERLINK("https://www.youtube.com/watch?v="&amp;M2039,"▶"))</f>
        <v/>
      </c>
      <c r="B2039" s="39">
        <f>IF(C2039&lt;&gt;"",C2039,IF(P2039&lt;=IFERROR(INDEX(tblChannels[Watched Through],MATCH(N2039,tblChannels[Channel ID],0)),0),"Watched","Unwatched"))</f>
        <v/>
      </c>
      <c r="C2039" s="40" t="n"/>
      <c r="D2039" s="41" t="n"/>
      <c r="E2039" s="42" t="n">
        <v>43362.33333333334</v>
      </c>
      <c r="F2039" s="52" t="inlineStr">
        <is>
          <t>Super Carlin Gaming</t>
        </is>
      </c>
      <c r="G2039" t="inlineStr">
        <is>
          <t>The Promposal | Rocket League #58</t>
        </is>
      </c>
      <c r="H2039" s="44" t="n">
        <v>0.01493055555555556</v>
      </c>
      <c r="I2039" s="45" t="n">
        <v>4029</v>
      </c>
      <c r="J2039" s="45" t="n">
        <v>244</v>
      </c>
      <c r="K2039" s="45" t="n">
        <v>82</v>
      </c>
      <c r="L2039" s="46" t="n"/>
      <c r="M2039" s="47" t="n"/>
      <c r="N2039" s="47" t="inlineStr">
        <is>
          <t>UCor_9jRnNNZVzTuQ92PKsaQ</t>
        </is>
      </c>
      <c r="O2039" s="48" t="n">
        <v>43362.5</v>
      </c>
      <c r="P2039" s="49" t="n">
        <v>43362</v>
      </c>
      <c r="Q2039" s="47" t="n">
        <v>1229</v>
      </c>
      <c r="R2039" s="47" t="inlineStr">
        <is>
          <t>No Video ID yet</t>
        </is>
      </c>
      <c r="S2039" s="49" t="n"/>
      <c r="T2039" s="49" t="n"/>
      <c r="U2039" s="47" t="inlineStr">
        <is>
          <t>The Posters are available at !</t>
        </is>
      </c>
      <c r="V2039" s="47">
        <f>IF(AND(P2039&gt;=Calendar!$K$2,P2039&lt;EDATE(Calendar!$K$2,1),OR(Calendar!$K$4="*",N2039=Calendar!$K$4)),P2039*100+COUNTIFS($P$6:$P$3267,P2039,$Q$6:$Q$3267,"&lt;="&amp;Q2039,$N$6:$N$3267,Calendar!$K$4),"")</f>
        <v/>
      </c>
      <c r="W2039" s="47">
        <f>IF(AND(B2039=Queue!$C$4,OR(Queue!$K$4="*",N2039=Queue!$K$4)),Q2039,"")</f>
        <v/>
      </c>
    </row>
    <row r="2040">
      <c r="A2040" s="38">
        <f>IF(M2040="","",HYPERLINK("https://www.youtube.com/watch?v="&amp;M2040,"▶"))</f>
        <v/>
      </c>
      <c r="B2040" s="39">
        <f>IF(C2040&lt;&gt;"",C2040,IF(P2040&lt;=IFERROR(INDEX(tblChannels[Watched Through],MATCH(N2040,tblChannels[Channel ID],0)),0),"Watched","Unwatched"))</f>
        <v/>
      </c>
      <c r="C2040" s="40" t="n"/>
      <c r="D2040" s="41" t="n"/>
      <c r="E2040" s="42" t="n">
        <v>43361.75138888889</v>
      </c>
      <c r="F2040" s="50" t="inlineStr">
        <is>
          <t>Super Carlin Brothers</t>
        </is>
      </c>
      <c r="G2040" t="inlineStr">
        <is>
          <t>The Truth About Truth Potion | Harry Potter Explained</t>
        </is>
      </c>
      <c r="H2040" s="44" t="n">
        <v>0.007951388888888888</v>
      </c>
      <c r="I2040" s="45" t="n">
        <v>1353523</v>
      </c>
      <c r="J2040" s="45" t="n">
        <v>34282</v>
      </c>
      <c r="K2040" s="45" t="n">
        <v>2884</v>
      </c>
      <c r="L2040" s="46" t="n"/>
      <c r="M2040" s="47" t="n"/>
      <c r="N2040" s="47" t="inlineStr">
        <is>
          <t>UCKZo4N0lVPccBkSiuyVh4yg</t>
        </is>
      </c>
      <c r="O2040" s="48" t="n">
        <v>43361.91805555556</v>
      </c>
      <c r="P2040" s="49" t="n">
        <v>43361</v>
      </c>
      <c r="Q2040" s="47" t="n">
        <v>1228</v>
      </c>
      <c r="R2040" s="47" t="inlineStr">
        <is>
          <t>No Video ID yet</t>
        </is>
      </c>
      <c r="S2040" s="49" t="n"/>
      <c r="T2040" s="49" t="n"/>
      <c r="U2040" s="47" t="inlineStr">
        <is>
          <t>Today J dives into the Wizarding World of Harry Potter to discuss one of the most underused and most powerful potions out there: Veritaserum aka : Truth Serum. Special Thanks to these Patrons :: Adam Williams, Adele Grafen, AgVoss, Bernard Plourde, Birk Ljungfeldt, Cynthia Boyd, Dan, Emily Abraham, Fiona Martin, Hillary Reist, Jennifer, Jimmy McGowan, Joy Spears, Kat Waterflame, Kristhell Lopez, Lasse Buan, Laura van den Hooff, Maddie D, Maelstrym, Miranda Vasquez, Natalie Masucci, Qui Le, Samantha bransdorf, Sandra, Sarah E McCartney, Sydney Hank, Vinnie Nicotra</t>
        </is>
      </c>
      <c r="V2040" s="47">
        <f>IF(AND(P2040&gt;=Calendar!$K$2,P2040&lt;EDATE(Calendar!$K$2,1),OR(Calendar!$K$4="*",N2040=Calendar!$K$4)),P2040*100+COUNTIFS($P$6:$P$3267,P2040,$Q$6:$Q$3267,"&lt;="&amp;Q2040,$N$6:$N$3267,Calendar!$K$4),"")</f>
        <v/>
      </c>
      <c r="W2040" s="47">
        <f>IF(AND(B2040=Queue!$C$4,OR(Queue!$K$4="*",N2040=Queue!$K$4)),Q2040,"")</f>
        <v/>
      </c>
    </row>
    <row r="2041">
      <c r="A2041" s="38">
        <f>IF(M2041="","",HYPERLINK("https://www.youtube.com/watch?v="&amp;M2041,"▶"))</f>
        <v/>
      </c>
      <c r="B2041" s="39">
        <f>IF(C2041&lt;&gt;"",C2041,IF(P2041&lt;=IFERROR(INDEX(tblChannels[Watched Through],MATCH(N2041,tblChannels[Channel ID],0)),0),"Watched","Unwatched"))</f>
        <v/>
      </c>
      <c r="C2041" s="40" t="n"/>
      <c r="D2041" s="41" t="n"/>
      <c r="E2041" s="42" t="n">
        <v>43360.4375</v>
      </c>
      <c r="F2041" s="52" t="inlineStr">
        <is>
          <t>Super Carlin Gaming</t>
        </is>
      </c>
      <c r="G2041" t="inlineStr">
        <is>
          <t>What If You Had Extra Money? | Rocket League #57</t>
        </is>
      </c>
      <c r="H2041" s="44" t="n">
        <v>0.01503472222222222</v>
      </c>
      <c r="I2041" s="45" t="n">
        <v>4542</v>
      </c>
      <c r="J2041" s="45" t="n">
        <v>210</v>
      </c>
      <c r="K2041" s="45" t="n">
        <v>68</v>
      </c>
      <c r="L2041" s="46" t="n"/>
      <c r="M2041" s="47" t="n"/>
      <c r="N2041" s="47" t="inlineStr">
        <is>
          <t>UCor_9jRnNNZVzTuQ92PKsaQ</t>
        </is>
      </c>
      <c r="O2041" s="48" t="n">
        <v>43360.60416666666</v>
      </c>
      <c r="P2041" s="49" t="n">
        <v>43360</v>
      </c>
      <c r="Q2041" s="47" t="n">
        <v>1227</v>
      </c>
      <c r="R2041" s="47" t="inlineStr">
        <is>
          <t>No Video ID yet</t>
        </is>
      </c>
      <c r="S2041" s="49" t="n"/>
      <c r="T2041" s="49" t="n"/>
      <c r="U2041" s="47" t="inlineStr">
        <is>
          <t>Get the "YouTube Is My Playground" hoodie at www.supercarlinbrothers.store</t>
        </is>
      </c>
      <c r="V2041" s="47">
        <f>IF(AND(P2041&gt;=Calendar!$K$2,P2041&lt;EDATE(Calendar!$K$2,1),OR(Calendar!$K$4="*",N2041=Calendar!$K$4)),P2041*100+COUNTIFS($P$6:$P$3267,P2041,$Q$6:$Q$3267,"&lt;="&amp;Q2041,$N$6:$N$3267,Calendar!$K$4),"")</f>
        <v/>
      </c>
      <c r="W2041" s="47">
        <f>IF(AND(B2041=Queue!$C$4,OR(Queue!$K$4="*",N2041=Queue!$K$4)),Q2041,"")</f>
        <v/>
      </c>
    </row>
    <row r="2042">
      <c r="A2042" s="38">
        <f>IF(M2042="","",HYPERLINK("https://www.youtube.com/watch?v="&amp;M2042,"▶"))</f>
        <v/>
      </c>
      <c r="B2042" s="39">
        <f>IF(C2042&lt;&gt;"",C2042,IF(P2042&lt;=IFERROR(INDEX(tblChannels[Watched Through],MATCH(N2042,tblChannels[Channel ID],0)),0),"Watched","Unwatched"))</f>
        <v/>
      </c>
      <c r="C2042" s="40" t="n"/>
      <c r="D2042" s="41" t="n"/>
      <c r="E2042" s="42" t="n">
        <v>43360.41666666666</v>
      </c>
      <c r="F2042" s="53" t="inlineStr">
        <is>
          <t>Jonathan Carlin</t>
        </is>
      </c>
      <c r="G2042" t="inlineStr">
        <is>
          <t>BEN IS A POPCORN PIRATE</t>
        </is>
      </c>
      <c r="H2042" s="44" t="n">
        <v>0.008460648148148148</v>
      </c>
      <c r="I2042" s="45" t="n">
        <v>49170</v>
      </c>
      <c r="J2042" s="45" t="n">
        <v>1963</v>
      </c>
      <c r="K2042" s="45" t="n">
        <v>218</v>
      </c>
      <c r="L2042" s="46" t="n"/>
      <c r="M2042" s="47" t="n"/>
      <c r="N2042" s="47" t="inlineStr">
        <is>
          <t>UCYPKFe86e6nm4TVUYKLsFUQ</t>
        </is>
      </c>
      <c r="O2042" s="48" t="n">
        <v>43360.58333333334</v>
      </c>
      <c r="P2042" s="49" t="n">
        <v>43360</v>
      </c>
      <c r="Q2042" s="47" t="n">
        <v>1226</v>
      </c>
      <c r="R2042" s="47" t="inlineStr">
        <is>
          <t>No Video ID yet</t>
        </is>
      </c>
      <c r="S2042" s="49" t="n"/>
      <c r="T2042" s="49" t="n"/>
      <c r="U2042" s="47" t="inlineStr">
        <is>
          <t>This week J, Beth and Luke get a new rug for Luke to play on, and Ben scores a massive popcorn booty! Bacon and Eggs ::</t>
        </is>
      </c>
      <c r="V2042" s="47">
        <f>IF(AND(P2042&gt;=Calendar!$K$2,P2042&lt;EDATE(Calendar!$K$2,1),OR(Calendar!$K$4="*",N2042=Calendar!$K$4)),P2042*100+COUNTIFS($P$6:$P$3267,P2042,$Q$6:$Q$3267,"&lt;="&amp;Q2042,$N$6:$N$3267,Calendar!$K$4),"")</f>
        <v/>
      </c>
      <c r="W2042" s="47">
        <f>IF(AND(B2042=Queue!$C$4,OR(Queue!$K$4="*",N2042=Queue!$K$4)),Q2042,"")</f>
        <v/>
      </c>
    </row>
    <row r="2043">
      <c r="A2043" s="38">
        <f>IF(M2043="","",HYPERLINK("https://www.youtube.com/watch?v="&amp;M2043,"▶"))</f>
        <v/>
      </c>
      <c r="B2043" s="39">
        <f>IF(C2043&lt;&gt;"",C2043,IF(P2043&lt;=IFERROR(INDEX(tblChannels[Watched Through],MATCH(N2043,tblChannels[Channel ID],0)),0),"Watched","Unwatched"))</f>
        <v/>
      </c>
      <c r="C2043" s="40" t="n"/>
      <c r="D2043" s="41" t="n"/>
      <c r="E2043" s="42" t="n">
        <v>43358.79097222222</v>
      </c>
      <c r="F2043" s="52" t="inlineStr">
        <is>
          <t>Super Carlin Gaming</t>
        </is>
      </c>
      <c r="G2043" t="inlineStr">
        <is>
          <t>LIVE! Rocket League - J vs THE WORLD</t>
        </is>
      </c>
      <c r="H2043" s="44" t="n">
        <v>0.06429398148148148</v>
      </c>
      <c r="I2043" s="45" t="n">
        <v>2294</v>
      </c>
      <c r="J2043" s="45" t="n">
        <v>117</v>
      </c>
      <c r="K2043" s="45" t="n">
        <v>9</v>
      </c>
      <c r="L2043" s="46" t="n"/>
      <c r="M2043" s="47" t="n"/>
      <c r="N2043" s="47" t="inlineStr">
        <is>
          <t>UCor_9jRnNNZVzTuQ92PKsaQ</t>
        </is>
      </c>
      <c r="O2043" s="48" t="n">
        <v>43358.95763888889</v>
      </c>
      <c r="P2043" s="49" t="n">
        <v>43358</v>
      </c>
      <c r="Q2043" s="47" t="n">
        <v>1225</v>
      </c>
      <c r="R2043" s="47" t="inlineStr">
        <is>
          <t>No Video ID yet</t>
        </is>
      </c>
      <c r="S2043" s="49" t="n"/>
      <c r="T2043" s="49" t="n"/>
      <c r="U2043" s="47" t="inlineStr">
        <is>
          <t>Support the stream: Join The Discord! J on twitter: Ben on Twitter: DK STREAMS ON TWITCH: Jordan on YOUTUBE:</t>
        </is>
      </c>
      <c r="V2043" s="47">
        <f>IF(AND(P2043&gt;=Calendar!$K$2,P2043&lt;EDATE(Calendar!$K$2,1),OR(Calendar!$K$4="*",N2043=Calendar!$K$4)),P2043*100+COUNTIFS($P$6:$P$3267,P2043,$Q$6:$Q$3267,"&lt;="&amp;Q2043,$N$6:$N$3267,Calendar!$K$4),"")</f>
        <v/>
      </c>
      <c r="W2043" s="47">
        <f>IF(AND(B2043=Queue!$C$4,OR(Queue!$K$4="*",N2043=Queue!$K$4)),Q2043,"")</f>
        <v/>
      </c>
    </row>
    <row r="2044">
      <c r="A2044" s="38">
        <f>IF(M2044="","",HYPERLINK("https://www.youtube.com/watch?v="&amp;M2044,"▶"))</f>
        <v/>
      </c>
      <c r="B2044" s="39">
        <f>IF(C2044&lt;&gt;"",C2044,IF(P2044&lt;=IFERROR(INDEX(tblChannels[Watched Through],MATCH(N2044,tblChannels[Channel ID],0)),0),"Watched","Unwatched"))</f>
        <v/>
      </c>
      <c r="C2044" s="40" t="n"/>
      <c r="D2044" s="41" t="n"/>
      <c r="E2044" s="42" t="n">
        <v>43357.57361111111</v>
      </c>
      <c r="F2044" s="52" t="inlineStr">
        <is>
          <t>Super Carlin Gaming</t>
        </is>
      </c>
      <c r="G2044" t="inlineStr">
        <is>
          <t>Which Pixar Character Are You? | Rocket League #56</t>
        </is>
      </c>
      <c r="H2044" s="44" t="n">
        <v>0.01292824074074074</v>
      </c>
      <c r="I2044" s="45" t="n">
        <v>4428</v>
      </c>
      <c r="J2044" s="45" t="n">
        <v>206</v>
      </c>
      <c r="K2044" s="45" t="n">
        <v>82</v>
      </c>
      <c r="L2044" s="46" t="n"/>
      <c r="M2044" s="47" t="n"/>
      <c r="N2044" s="47" t="inlineStr">
        <is>
          <t>UCor_9jRnNNZVzTuQ92PKsaQ</t>
        </is>
      </c>
      <c r="O2044" s="48" t="n">
        <v>43357.74027777778</v>
      </c>
      <c r="P2044" s="49" t="n">
        <v>43357</v>
      </c>
      <c r="Q2044" s="47" t="n">
        <v>1224</v>
      </c>
      <c r="R2044" s="47" t="inlineStr">
        <is>
          <t>No Video ID yet</t>
        </is>
      </c>
      <c r="S2044" s="49" t="n"/>
      <c r="T2044" s="49" t="n"/>
      <c r="U2044" s="47" t="inlineStr">
        <is>
          <t>Find out which Pixar Character you are:</t>
        </is>
      </c>
      <c r="V2044" s="47">
        <f>IF(AND(P2044&gt;=Calendar!$K$2,P2044&lt;EDATE(Calendar!$K$2,1),OR(Calendar!$K$4="*",N2044=Calendar!$K$4)),P2044*100+COUNTIFS($P$6:$P$3267,P2044,$Q$6:$Q$3267,"&lt;="&amp;Q2044,$N$6:$N$3267,Calendar!$K$4),"")</f>
        <v/>
      </c>
      <c r="W2044" s="47">
        <f>IF(AND(B2044=Queue!$C$4,OR(Queue!$K$4="*",N2044=Queue!$K$4)),Q2044,"")</f>
        <v/>
      </c>
    </row>
    <row r="2045">
      <c r="A2045" s="38">
        <f>IF(M2045="","",HYPERLINK("https://www.youtube.com/watch?v="&amp;M2045,"▶"))</f>
        <v/>
      </c>
      <c r="B2045" s="39">
        <f>IF(C2045&lt;&gt;"",C2045,IF(P2045&lt;=IFERROR(INDEX(tblChannels[Watched Through],MATCH(N2045,tblChannels[Channel ID],0)),0),"Watched","Unwatched"))</f>
        <v/>
      </c>
      <c r="C2045" s="40" t="n"/>
      <c r="D2045" s="41" t="n"/>
      <c r="E2045" s="42" t="n">
        <v>43356.75069444445</v>
      </c>
      <c r="F2045" s="50" t="inlineStr">
        <is>
          <t>Super Carlin Brothers</t>
        </is>
      </c>
      <c r="G2045" t="inlineStr">
        <is>
          <t>How Strong Is Thanos Without The Infinity Gauntlet?</t>
        </is>
      </c>
      <c r="H2045" s="44" t="n">
        <v>0.009548611111111112</v>
      </c>
      <c r="I2045" s="45" t="n">
        <v>1304711</v>
      </c>
      <c r="J2045" s="45" t="n">
        <v>26542</v>
      </c>
      <c r="K2045" s="45" t="n">
        <v>3880</v>
      </c>
      <c r="L2045" s="46" t="n"/>
      <c r="M2045" s="47" t="n"/>
      <c r="N2045" s="47" t="inlineStr">
        <is>
          <t>UCKZo4N0lVPccBkSiuyVh4yg</t>
        </is>
      </c>
      <c r="O2045" s="48" t="n">
        <v>43356.91736111111</v>
      </c>
      <c r="P2045" s="49" t="n">
        <v>43356</v>
      </c>
      <c r="Q2045" s="47" t="n">
        <v>1223</v>
      </c>
      <c r="R2045" s="47" t="inlineStr">
        <is>
          <t>No Video ID yet</t>
        </is>
      </c>
      <c r="S2045" s="49" t="n"/>
      <c r="T2045" s="49" t="n"/>
      <c r="U2045" s="47" t="inlineStr">
        <is>
          <t>Use our link or text code scb to 500-500 to get a free book and 30-day free trial. Today Ben dives into the Marvel Cinematic Universe to discuss Infinity War and find out how strong Thanos is without his precious Infinity Gauntlet.</t>
        </is>
      </c>
      <c r="V2045" s="47">
        <f>IF(AND(P2045&gt;=Calendar!$K$2,P2045&lt;EDATE(Calendar!$K$2,1),OR(Calendar!$K$4="*",N2045=Calendar!$K$4)),P2045*100+COUNTIFS($P$6:$P$3267,P2045,$Q$6:$Q$3267,"&lt;="&amp;Q2045,$N$6:$N$3267,Calendar!$K$4),"")</f>
        <v/>
      </c>
      <c r="W2045" s="47">
        <f>IF(AND(B2045=Queue!$C$4,OR(Queue!$K$4="*",N2045=Queue!$K$4)),Q2045,"")</f>
        <v/>
      </c>
    </row>
    <row r="2046">
      <c r="A2046" s="38">
        <f>IF(M2046="","",HYPERLINK("https://www.youtube.com/watch?v="&amp;M2046,"▶"))</f>
        <v/>
      </c>
      <c r="B2046" s="39">
        <f>IF(C2046&lt;&gt;"",C2046,IF(P2046&lt;=IFERROR(INDEX(tblChannels[Watched Through],MATCH(N2046,tblChannels[Channel ID],0)),0),"Watched","Unwatched"))</f>
        <v/>
      </c>
      <c r="C2046" s="40" t="n"/>
      <c r="D2046" s="41" t="n"/>
      <c r="E2046" s="42" t="n">
        <v>43356.64097222222</v>
      </c>
      <c r="F2046" s="52" t="inlineStr">
        <is>
          <t>Super Carlin Gaming</t>
        </is>
      </c>
      <c r="G2046" t="inlineStr">
        <is>
          <t>How To Be A Wingman | Rocket League #55</t>
        </is>
      </c>
      <c r="H2046" s="44" t="n">
        <v>0.01539351851851852</v>
      </c>
      <c r="I2046" s="45" t="n">
        <v>4237</v>
      </c>
      <c r="J2046" s="45" t="n">
        <v>203</v>
      </c>
      <c r="K2046" s="45" t="n">
        <v>74</v>
      </c>
      <c r="L2046" s="46" t="n"/>
      <c r="M2046" s="47" t="n"/>
      <c r="N2046" s="47" t="inlineStr">
        <is>
          <t>UCor_9jRnNNZVzTuQ92PKsaQ</t>
        </is>
      </c>
      <c r="O2046" s="48" t="n">
        <v>43356.80763888889</v>
      </c>
      <c r="P2046" s="49" t="n">
        <v>43356</v>
      </c>
      <c r="Q2046" s="47" t="n">
        <v>1222</v>
      </c>
      <c r="R2046" s="47" t="inlineStr">
        <is>
          <t>No Video ID yet</t>
        </is>
      </c>
      <c r="S2046" s="49" t="n"/>
      <c r="T2046" s="49" t="n"/>
      <c r="U2046" s="47" t="n"/>
      <c r="V2046" s="47">
        <f>IF(AND(P2046&gt;=Calendar!$K$2,P2046&lt;EDATE(Calendar!$K$2,1),OR(Calendar!$K$4="*",N2046=Calendar!$K$4)),P2046*100+COUNTIFS($P$6:$P$3267,P2046,$Q$6:$Q$3267,"&lt;="&amp;Q2046,$N$6:$N$3267,Calendar!$K$4),"")</f>
        <v/>
      </c>
      <c r="W2046" s="47">
        <f>IF(AND(B2046=Queue!$C$4,OR(Queue!$K$4="*",N2046=Queue!$K$4)),Q2046,"")</f>
        <v/>
      </c>
    </row>
    <row r="2047">
      <c r="A2047" s="38">
        <f>IF(M2047="","",HYPERLINK("https://www.youtube.com/watch?v="&amp;M2047,"▶"))</f>
        <v/>
      </c>
      <c r="B2047" s="39">
        <f>IF(C2047&lt;&gt;"",C2047,IF(P2047&lt;=IFERROR(INDEX(tblChannels[Watched Through],MATCH(N2047,tblChannels[Channel ID],0)),0),"Watched","Unwatched"))</f>
        <v/>
      </c>
      <c r="C2047" s="40" t="n"/>
      <c r="D2047" s="41" t="n"/>
      <c r="E2047" s="42" t="n">
        <v>43354.67847222222</v>
      </c>
      <c r="F2047" s="50" t="inlineStr">
        <is>
          <t>Super Carlin Brothers</t>
        </is>
      </c>
      <c r="G2047" t="inlineStr">
        <is>
          <t>J vs Ben: HARDEST Lord Voldemort Quiz EVER</t>
        </is>
      </c>
      <c r="H2047" s="44" t="n">
        <v>0.02032407407407407</v>
      </c>
      <c r="I2047" s="45" t="n">
        <v>1584173</v>
      </c>
      <c r="J2047" s="45" t="n">
        <v>24972</v>
      </c>
      <c r="K2047" s="45" t="n">
        <v>3938</v>
      </c>
      <c r="L2047" s="46" t="n"/>
      <c r="M2047" s="47" t="n"/>
      <c r="N2047" s="47" t="inlineStr">
        <is>
          <t>UCKZo4N0lVPccBkSiuyVh4yg</t>
        </is>
      </c>
      <c r="O2047" s="48" t="n">
        <v>43354.84513888889</v>
      </c>
      <c r="P2047" s="49" t="n">
        <v>43354</v>
      </c>
      <c r="Q2047" s="47" t="n">
        <v>1221</v>
      </c>
      <c r="R2047" s="47" t="inlineStr">
        <is>
          <t>No Video ID yet</t>
        </is>
      </c>
      <c r="S2047" s="49" t="n"/>
      <c r="T2047" s="49" t="n"/>
      <c r="U2047" s="47" t="inlineStr">
        <is>
          <t>Play along with us! :: This one is a doozy! Today J and Ben face off in to see who has more knowledge of Harry Potter and the Wizarding world as they take on Pottermore's Ultimate Lord Voldemort Trivia Quiz</t>
        </is>
      </c>
      <c r="V2047" s="47">
        <f>IF(AND(P2047&gt;=Calendar!$K$2,P2047&lt;EDATE(Calendar!$K$2,1),OR(Calendar!$K$4="*",N2047=Calendar!$K$4)),P2047*100+COUNTIFS($P$6:$P$3267,P2047,$Q$6:$Q$3267,"&lt;="&amp;Q2047,$N$6:$N$3267,Calendar!$K$4),"")</f>
        <v/>
      </c>
      <c r="W2047" s="47">
        <f>IF(AND(B2047=Queue!$C$4,OR(Queue!$K$4="*",N2047=Queue!$K$4)),Q2047,"")</f>
        <v/>
      </c>
    </row>
    <row r="2048">
      <c r="A2048" s="38">
        <f>IF(M2048="","",HYPERLINK("https://www.youtube.com/watch?v="&amp;M2048,"▶"))</f>
        <v/>
      </c>
      <c r="B2048" s="39">
        <f>IF(C2048&lt;&gt;"",C2048,IF(P2048&lt;=IFERROR(INDEX(tblChannels[Watched Through],MATCH(N2048,tblChannels[Channel ID],0)),0),"Watched","Unwatched"))</f>
        <v/>
      </c>
      <c r="C2048" s="40" t="n"/>
      <c r="D2048" s="41" t="n"/>
      <c r="E2048" s="42" t="n">
        <v>43354.43888888889</v>
      </c>
      <c r="F2048" s="52" t="inlineStr">
        <is>
          <t>Super Carlin Gaming</t>
        </is>
      </c>
      <c r="G2048" t="inlineStr">
        <is>
          <t>Friends using you for your stuff | Rocket League #54</t>
        </is>
      </c>
      <c r="H2048" s="44" t="n">
        <v>0.0156712962962963</v>
      </c>
      <c r="I2048" s="45" t="n">
        <v>4705</v>
      </c>
      <c r="J2048" s="45" t="n">
        <v>282</v>
      </c>
      <c r="K2048" s="45" t="n">
        <v>47</v>
      </c>
      <c r="L2048" s="46" t="n"/>
      <c r="M2048" s="47" t="n"/>
      <c r="N2048" s="47" t="inlineStr">
        <is>
          <t>UCor_9jRnNNZVzTuQ92PKsaQ</t>
        </is>
      </c>
      <c r="O2048" s="48" t="n">
        <v>43354.60555555556</v>
      </c>
      <c r="P2048" s="49" t="n">
        <v>43354</v>
      </c>
      <c r="Q2048" s="47" t="n">
        <v>1220</v>
      </c>
      <c r="R2048" s="47" t="inlineStr">
        <is>
          <t>No Video ID yet</t>
        </is>
      </c>
      <c r="S2048" s="49" t="n"/>
      <c r="T2048" s="49" t="n"/>
      <c r="U2048" s="47" t="inlineStr">
        <is>
          <t>If you're looking for the lost episodes, you can find them here:</t>
        </is>
      </c>
      <c r="V2048" s="47">
        <f>IF(AND(P2048&gt;=Calendar!$K$2,P2048&lt;EDATE(Calendar!$K$2,1),OR(Calendar!$K$4="*",N2048=Calendar!$K$4)),P2048*100+COUNTIFS($P$6:$P$3267,P2048,$Q$6:$Q$3267,"&lt;="&amp;Q2048,$N$6:$N$3267,Calendar!$K$4),"")</f>
        <v/>
      </c>
      <c r="W2048" s="47">
        <f>IF(AND(B2048=Queue!$C$4,OR(Queue!$K$4="*",N2048=Queue!$K$4)),Q2048,"")</f>
        <v/>
      </c>
    </row>
    <row r="2049">
      <c r="A2049" s="38">
        <f>IF(M2049="","",HYPERLINK("https://www.youtube.com/watch?v="&amp;M2049,"▶"))</f>
        <v/>
      </c>
      <c r="B2049" s="39">
        <f>IF(C2049&lt;&gt;"",C2049,IF(P2049&lt;=IFERROR(INDEX(tblChannels[Watched Through],MATCH(N2049,tblChannels[Channel ID],0)),0),"Watched","Unwatched"))</f>
        <v/>
      </c>
      <c r="C2049" s="40" t="n"/>
      <c r="D2049" s="41" t="n"/>
      <c r="E2049" s="42" t="n">
        <v>43353.66180555556</v>
      </c>
      <c r="F2049" s="53" t="inlineStr">
        <is>
          <t>Jonathan Carlin</t>
        </is>
      </c>
      <c r="G2049" t="inlineStr">
        <is>
          <t>GARDEN WARFARE</t>
        </is>
      </c>
      <c r="H2049" s="44" t="n">
        <v>0.006527777777777778</v>
      </c>
      <c r="I2049" s="45" t="n">
        <v>36136</v>
      </c>
      <c r="J2049" s="45" t="n">
        <v>1776</v>
      </c>
      <c r="K2049" s="45" t="n">
        <v>279</v>
      </c>
      <c r="L2049" s="46" t="n"/>
      <c r="M2049" s="47" t="n"/>
      <c r="N2049" s="47" t="inlineStr">
        <is>
          <t>UCYPKFe86e6nm4TVUYKLsFUQ</t>
        </is>
      </c>
      <c r="O2049" s="48" t="n">
        <v>43353.82847222222</v>
      </c>
      <c r="P2049" s="49" t="n">
        <v>43353</v>
      </c>
      <c r="Q2049" s="47" t="n">
        <v>1219</v>
      </c>
      <c r="R2049" s="47" t="inlineStr">
        <is>
          <t>No Video ID yet</t>
        </is>
      </c>
      <c r="S2049" s="49" t="n"/>
      <c r="T2049" s="49" t="n"/>
      <c r="U2049" s="47" t="inlineStr">
        <is>
          <t>This week J and Ben take on a terrible foe: THE YARD - It's complete and utter Garden Warfare, and yes the yard fights back. Meanwhile Beth decides to declutter the house, makes cookies and deals with someone blocking her on instagram Run Fast Eat Slow :: A Simplified Life ::</t>
        </is>
      </c>
      <c r="V2049" s="47">
        <f>IF(AND(P2049&gt;=Calendar!$K$2,P2049&lt;EDATE(Calendar!$K$2,1),OR(Calendar!$K$4="*",N2049=Calendar!$K$4)),P2049*100+COUNTIFS($P$6:$P$3267,P2049,$Q$6:$Q$3267,"&lt;="&amp;Q2049,$N$6:$N$3267,Calendar!$K$4),"")</f>
        <v/>
      </c>
      <c r="W2049" s="47">
        <f>IF(AND(B2049=Queue!$C$4,OR(Queue!$K$4="*",N2049=Queue!$K$4)),Q2049,"")</f>
        <v/>
      </c>
    </row>
    <row r="2050">
      <c r="A2050" s="38">
        <f>IF(M2050="","",HYPERLINK("https://www.youtube.com/watch?v="&amp;M2050,"▶"))</f>
        <v/>
      </c>
      <c r="B2050" s="39">
        <f>IF(C2050&lt;&gt;"",C2050,IF(P2050&lt;=IFERROR(INDEX(tblChannels[Watched Through],MATCH(N2050,tblChannels[Channel ID],0)),0),"Watched","Unwatched"))</f>
        <v/>
      </c>
      <c r="C2050" s="40" t="n"/>
      <c r="D2050" s="41" t="n"/>
      <c r="E2050" s="42" t="n">
        <v>43350.4375</v>
      </c>
      <c r="F2050" s="52" t="inlineStr">
        <is>
          <t>Super Carlin Gaming</t>
        </is>
      </c>
      <c r="G2050" t="inlineStr">
        <is>
          <t>Which Disney Princess is Your Soul Mate? | Rocket League #51</t>
        </is>
      </c>
      <c r="H2050" s="44" t="n">
        <v>0.01452546296296296</v>
      </c>
      <c r="I2050" s="45" t="n">
        <v>5588</v>
      </c>
      <c r="J2050" s="45" t="n">
        <v>259</v>
      </c>
      <c r="K2050" s="45" t="n">
        <v>69</v>
      </c>
      <c r="L2050" s="46" t="n"/>
      <c r="M2050" s="47" t="n"/>
      <c r="N2050" s="47" t="inlineStr">
        <is>
          <t>UCor_9jRnNNZVzTuQ92PKsaQ</t>
        </is>
      </c>
      <c r="O2050" s="48" t="n">
        <v>43350.60416666666</v>
      </c>
      <c r="P2050" s="49" t="n">
        <v>43350</v>
      </c>
      <c r="Q2050" s="47" t="n">
        <v>1218</v>
      </c>
      <c r="R2050" s="47" t="inlineStr">
        <is>
          <t>No Video ID yet</t>
        </is>
      </c>
      <c r="S2050" s="49" t="n"/>
      <c r="T2050" s="49" t="n"/>
      <c r="U2050" s="47" t="n"/>
      <c r="V2050" s="47">
        <f>IF(AND(P2050&gt;=Calendar!$K$2,P2050&lt;EDATE(Calendar!$K$2,1),OR(Calendar!$K$4="*",N2050=Calendar!$K$4)),P2050*100+COUNTIFS($P$6:$P$3267,P2050,$Q$6:$Q$3267,"&lt;="&amp;Q2050,$N$6:$N$3267,Calendar!$K$4),"")</f>
        <v/>
      </c>
      <c r="W2050" s="47">
        <f>IF(AND(B2050=Queue!$C$4,OR(Queue!$K$4="*",N2050=Queue!$K$4)),Q2050,"")</f>
        <v/>
      </c>
    </row>
    <row r="2051">
      <c r="A2051" s="38">
        <f>IF(M2051="","",HYPERLINK("https://www.youtube.com/watch?v="&amp;M2051,"▶"))</f>
        <v/>
      </c>
      <c r="B2051" s="39">
        <f>IF(C2051&lt;&gt;"",C2051,IF(P2051&lt;=IFERROR(INDEX(tblChannels[Watched Through],MATCH(N2051,tblChannels[Channel ID],0)),0),"Watched","Unwatched"))</f>
        <v/>
      </c>
      <c r="C2051" s="40" t="n"/>
      <c r="D2051" s="41" t="n"/>
      <c r="E2051" s="42" t="n">
        <v>43349.73819444444</v>
      </c>
      <c r="F2051" s="50" t="inlineStr">
        <is>
          <t>Super Carlin Brothers</t>
        </is>
      </c>
      <c r="G2051" t="inlineStr">
        <is>
          <t>In Defense Of Star Lord</t>
        </is>
      </c>
      <c r="H2051" s="44" t="n">
        <v>0.007766203703703704</v>
      </c>
      <c r="I2051" s="45" t="n">
        <v>937496</v>
      </c>
      <c r="J2051" s="45" t="n">
        <v>28191</v>
      </c>
      <c r="K2051" s="45" t="n">
        <v>5032</v>
      </c>
      <c r="L2051" s="46" t="n"/>
      <c r="M2051" s="47" t="n"/>
      <c r="N2051" s="47" t="inlineStr">
        <is>
          <t>UCKZo4N0lVPccBkSiuyVh4yg</t>
        </is>
      </c>
      <c r="O2051" s="48" t="n">
        <v>43349.90486111111</v>
      </c>
      <c r="P2051" s="49" t="n">
        <v>43349</v>
      </c>
      <c r="Q2051" s="47" t="n">
        <v>1217</v>
      </c>
      <c r="R2051" s="47" t="inlineStr">
        <is>
          <t>No Video ID yet</t>
        </is>
      </c>
      <c r="S2051" s="49" t="n"/>
      <c r="T2051" s="49" t="n"/>
      <c r="U2051" s="47" t="inlineStr">
        <is>
          <t>Sign up here: - Affordable private online counseling with licensed therapists at your fingertips! If you are in a crisis or someone you know is in danger, seek immediate help here Tweet Chris Pratt @PrattPrattPratt this video and let him know we have his back! Today Ben dives into the Marvel Cinematic Universe to discuss maybe the most controversial scene in all of Infinity War - The moment Iron Man, Doctor Strange, Spiderman and the Guardians have Thanos nearly defeated, when all of a sudden Star Lord punches him in the face. Oops.</t>
        </is>
      </c>
      <c r="V2051" s="47">
        <f>IF(AND(P2051&gt;=Calendar!$K$2,P2051&lt;EDATE(Calendar!$K$2,1),OR(Calendar!$K$4="*",N2051=Calendar!$K$4)),P2051*100+COUNTIFS($P$6:$P$3267,P2051,$Q$6:$Q$3267,"&lt;="&amp;Q2051,$N$6:$N$3267,Calendar!$K$4),"")</f>
        <v/>
      </c>
      <c r="W2051" s="47">
        <f>IF(AND(B2051=Queue!$C$4,OR(Queue!$K$4="*",N2051=Queue!$K$4)),Q2051,"")</f>
        <v/>
      </c>
    </row>
    <row r="2052">
      <c r="A2052" s="38">
        <f>IF(M2052="","",HYPERLINK("https://www.youtube.com/watch?v="&amp;M2052,"▶"))</f>
        <v/>
      </c>
      <c r="B2052" s="39">
        <f>IF(C2052&lt;&gt;"",C2052,IF(P2052&lt;=IFERROR(INDEX(tblChannels[Watched Through],MATCH(N2052,tblChannels[Channel ID],0)),0),"Watched","Unwatched"))</f>
        <v/>
      </c>
      <c r="C2052" s="40" t="n"/>
      <c r="D2052" s="41" t="n"/>
      <c r="E2052" s="42" t="n">
        <v>43348.4375</v>
      </c>
      <c r="F2052" s="52" t="inlineStr">
        <is>
          <t>Super Carlin Gaming</t>
        </is>
      </c>
      <c r="G2052" t="inlineStr">
        <is>
          <t>When Should You Get Engaged? | Rocket League #50</t>
        </is>
      </c>
      <c r="H2052" s="44" t="n">
        <v>0.01461805555555556</v>
      </c>
      <c r="I2052" s="45" t="n">
        <v>4924</v>
      </c>
      <c r="J2052" s="45" t="n">
        <v>230</v>
      </c>
      <c r="K2052" s="45" t="n">
        <v>41</v>
      </c>
      <c r="L2052" s="46" t="n"/>
      <c r="M2052" s="47" t="n"/>
      <c r="N2052" s="47" t="inlineStr">
        <is>
          <t>UCor_9jRnNNZVzTuQ92PKsaQ</t>
        </is>
      </c>
      <c r="O2052" s="48" t="n">
        <v>43348.60416666666</v>
      </c>
      <c r="P2052" s="49" t="n">
        <v>43348</v>
      </c>
      <c r="Q2052" s="47" t="n">
        <v>1216</v>
      </c>
      <c r="R2052" s="47" t="inlineStr">
        <is>
          <t>No Video ID yet</t>
        </is>
      </c>
      <c r="S2052" s="49" t="n"/>
      <c r="T2052" s="49" t="n"/>
      <c r="U2052" s="47" t="inlineStr">
        <is>
          <t>Get your very own stainless steel straws here: J, Ben and Team Skywater enter the Rocket League Coliseum and try and win their way to the league championship and answer one of lifes biggest questions - When should you get engaged?</t>
        </is>
      </c>
      <c r="V2052" s="47">
        <f>IF(AND(P2052&gt;=Calendar!$K$2,P2052&lt;EDATE(Calendar!$K$2,1),OR(Calendar!$K$4="*",N2052=Calendar!$K$4)),P2052*100+COUNTIFS($P$6:$P$3267,P2052,$Q$6:$Q$3267,"&lt;="&amp;Q2052,$N$6:$N$3267,Calendar!$K$4),"")</f>
        <v/>
      </c>
      <c r="W2052" s="47">
        <f>IF(AND(B2052=Queue!$C$4,OR(Queue!$K$4="*",N2052=Queue!$K$4)),Q2052,"")</f>
        <v/>
      </c>
    </row>
    <row r="2053">
      <c r="A2053" s="38">
        <f>IF(M2053="","",HYPERLINK("https://www.youtube.com/watch?v="&amp;M2053,"▶"))</f>
        <v/>
      </c>
      <c r="B2053" s="39">
        <f>IF(C2053&lt;&gt;"",C2053,IF(P2053&lt;=IFERROR(INDEX(tblChannels[Watched Through],MATCH(N2053,tblChannels[Channel ID],0)),0),"Watched","Unwatched"))</f>
        <v/>
      </c>
      <c r="C2053" s="40" t="n"/>
      <c r="D2053" s="41" t="n"/>
      <c r="E2053" s="42" t="n">
        <v>43347.75277777778</v>
      </c>
      <c r="F2053" s="50" t="inlineStr">
        <is>
          <t>Super Carlin Brothers</t>
        </is>
      </c>
      <c r="G2053" t="inlineStr">
        <is>
          <t>Did The Snap Kill Thanos? | Infinity War Theory</t>
        </is>
      </c>
      <c r="H2053" s="44" t="n">
        <v>0.007731481481481482</v>
      </c>
      <c r="I2053" s="45" t="n">
        <v>1349011</v>
      </c>
      <c r="J2053" s="45" t="n">
        <v>32310</v>
      </c>
      <c r="K2053" s="45" t="n">
        <v>5473</v>
      </c>
      <c r="L2053" s="46" t="n"/>
      <c r="M2053" s="47" t="n"/>
      <c r="N2053" s="47" t="inlineStr">
        <is>
          <t>UCKZo4N0lVPccBkSiuyVh4yg</t>
        </is>
      </c>
      <c r="O2053" s="48" t="n">
        <v>43347.91944444444</v>
      </c>
      <c r="P2053" s="49" t="n">
        <v>43347</v>
      </c>
      <c r="Q2053" s="47" t="n">
        <v>1215</v>
      </c>
      <c r="R2053" s="47" t="inlineStr">
        <is>
          <t>No Video ID yet</t>
        </is>
      </c>
      <c r="S2053" s="49" t="n"/>
      <c r="T2053" s="49" t="n"/>
      <c r="U2053" s="47" t="inlineStr">
        <is>
          <t>J's Vlog :: Today J dives into the World of the Marvel Cinematic Universe to discuss how the Soul Stone works and whether or not Thanos was impaled by his own snap, and if so how he managed to come back.</t>
        </is>
      </c>
      <c r="V2053" s="47">
        <f>IF(AND(P2053&gt;=Calendar!$K$2,P2053&lt;EDATE(Calendar!$K$2,1),OR(Calendar!$K$4="*",N2053=Calendar!$K$4)),P2053*100+COUNTIFS($P$6:$P$3267,P2053,$Q$6:$Q$3267,"&lt;="&amp;Q2053,$N$6:$N$3267,Calendar!$K$4),"")</f>
        <v/>
      </c>
      <c r="W2053" s="47">
        <f>IF(AND(B2053=Queue!$C$4,OR(Queue!$K$4="*",N2053=Queue!$K$4)),Q2053,"")</f>
        <v/>
      </c>
    </row>
    <row r="2054">
      <c r="A2054" s="38">
        <f>IF(M2054="","",HYPERLINK("https://www.youtube.com/watch?v="&amp;M2054,"▶"))</f>
        <v/>
      </c>
      <c r="B2054" s="39">
        <f>IF(C2054&lt;&gt;"",C2054,IF(P2054&lt;=IFERROR(INDEX(tblChannels[Watched Through],MATCH(N2054,tblChannels[Channel ID],0)),0),"Watched","Unwatched"))</f>
        <v/>
      </c>
      <c r="C2054" s="40" t="n"/>
      <c r="D2054" s="41" t="n"/>
      <c r="E2054" s="42" t="n">
        <v>43346.65069444444</v>
      </c>
      <c r="F2054" s="53" t="inlineStr">
        <is>
          <t>Jonathan Carlin</t>
        </is>
      </c>
      <c r="G2054" t="inlineStr">
        <is>
          <t>NEW YORK CITY FROZEN ADVENTURE</t>
        </is>
      </c>
      <c r="H2054" s="44" t="n">
        <v>0.010625</v>
      </c>
      <c r="I2054" s="45" t="n">
        <v>35769</v>
      </c>
      <c r="J2054" s="45" t="n">
        <v>1773</v>
      </c>
      <c r="K2054" s="45" t="n">
        <v>327</v>
      </c>
      <c r="L2054" s="46" t="n"/>
      <c r="M2054" s="47" t="n"/>
      <c r="N2054" s="47" t="inlineStr">
        <is>
          <t>UCYPKFe86e6nm4TVUYKLsFUQ</t>
        </is>
      </c>
      <c r="O2054" s="48" t="n">
        <v>43346.81736111111</v>
      </c>
      <c r="P2054" s="49" t="n">
        <v>43346</v>
      </c>
      <c r="Q2054" s="47" t="n">
        <v>1214</v>
      </c>
      <c r="R2054" s="47" t="inlineStr">
        <is>
          <t>No Video ID yet</t>
        </is>
      </c>
      <c r="S2054" s="49" t="n"/>
      <c r="T2054" s="49" t="n"/>
      <c r="U2054" s="47" t="inlineStr">
        <is>
          <t>This week J and Beth take off to NYC to celebrate Beth's 30th Birthday and see Frozen on Broadway - also we eat like everything</t>
        </is>
      </c>
      <c r="V2054" s="47">
        <f>IF(AND(P2054&gt;=Calendar!$K$2,P2054&lt;EDATE(Calendar!$K$2,1),OR(Calendar!$K$4="*",N2054=Calendar!$K$4)),P2054*100+COUNTIFS($P$6:$P$3267,P2054,$Q$6:$Q$3267,"&lt;="&amp;Q2054,$N$6:$N$3267,Calendar!$K$4),"")</f>
        <v/>
      </c>
      <c r="W2054" s="47">
        <f>IF(AND(B2054=Queue!$C$4,OR(Queue!$K$4="*",N2054=Queue!$K$4)),Q2054,"")</f>
        <v/>
      </c>
    </row>
    <row r="2055">
      <c r="A2055" s="38">
        <f>IF(M2055="","",HYPERLINK("https://www.youtube.com/watch?v="&amp;M2055,"▶"))</f>
        <v/>
      </c>
      <c r="B2055" s="39">
        <f>IF(C2055&lt;&gt;"",C2055,IF(P2055&lt;=IFERROR(INDEX(tblChannels[Watched Through],MATCH(N2055,tblChannels[Channel ID],0)),0),"Watched","Unwatched"))</f>
        <v/>
      </c>
      <c r="C2055" s="40" t="n"/>
      <c r="D2055" s="41" t="n"/>
      <c r="E2055" s="42" t="n">
        <v>43346.4375</v>
      </c>
      <c r="F2055" s="52" t="inlineStr">
        <is>
          <t>Super Carlin Gaming</t>
        </is>
      </c>
      <c r="G2055" t="inlineStr">
        <is>
          <t>Picking a Major | Rocket League #49</t>
        </is>
      </c>
      <c r="H2055" s="44" t="n">
        <v>0.01443287037037037</v>
      </c>
      <c r="I2055" s="45" t="n">
        <v>4659</v>
      </c>
      <c r="J2055" s="45" t="n">
        <v>255</v>
      </c>
      <c r="K2055" s="45" t="n">
        <v>70</v>
      </c>
      <c r="L2055" s="46" t="n"/>
      <c r="M2055" s="47" t="n"/>
      <c r="N2055" s="47" t="inlineStr">
        <is>
          <t>UCor_9jRnNNZVzTuQ92PKsaQ</t>
        </is>
      </c>
      <c r="O2055" s="48" t="n">
        <v>43346.60416666666</v>
      </c>
      <c r="P2055" s="49" t="n">
        <v>43346</v>
      </c>
      <c r="Q2055" s="47" t="n">
        <v>1213</v>
      </c>
      <c r="R2055" s="47" t="inlineStr">
        <is>
          <t>No Video ID yet</t>
        </is>
      </c>
      <c r="S2055" s="49" t="n"/>
      <c r="T2055" s="49" t="n"/>
      <c r="U2055" s="47" t="n"/>
      <c r="V2055" s="47">
        <f>IF(AND(P2055&gt;=Calendar!$K$2,P2055&lt;EDATE(Calendar!$K$2,1),OR(Calendar!$K$4="*",N2055=Calendar!$K$4)),P2055*100+COUNTIFS($P$6:$P$3267,P2055,$Q$6:$Q$3267,"&lt;="&amp;Q2055,$N$6:$N$3267,Calendar!$K$4),"")</f>
        <v/>
      </c>
      <c r="W2055" s="47">
        <f>IF(AND(B2055=Queue!$C$4,OR(Queue!$K$4="*",N2055=Queue!$K$4)),Q2055,"")</f>
        <v/>
      </c>
    </row>
    <row r="2056">
      <c r="A2056" s="38">
        <f>IF(M2056="","",HYPERLINK("https://www.youtube.com/watch?v="&amp;M2056,"▶"))</f>
        <v/>
      </c>
      <c r="B2056" s="39">
        <f>IF(C2056&lt;&gt;"",C2056,IF(P2056&lt;=IFERROR(INDEX(tblChannels[Watched Through],MATCH(N2056,tblChannels[Channel ID],0)),0),"Watched","Unwatched"))</f>
        <v/>
      </c>
      <c r="C2056" s="40" t="n"/>
      <c r="D2056" s="41" t="n"/>
      <c r="E2056" s="42" t="n">
        <v>43343.60416666666</v>
      </c>
      <c r="F2056" s="52" t="inlineStr">
        <is>
          <t>Super Carlin Gaming</t>
        </is>
      </c>
      <c r="G2056" t="inlineStr">
        <is>
          <t>Which Disney Princess Are You? | Rocket League #48</t>
        </is>
      </c>
      <c r="H2056" s="44" t="n">
        <v>0.01362268518518519</v>
      </c>
      <c r="I2056" s="45" t="n">
        <v>4911</v>
      </c>
      <c r="J2056" s="45" t="n">
        <v>250</v>
      </c>
      <c r="K2056" s="45" t="n">
        <v>65</v>
      </c>
      <c r="L2056" s="46" t="n"/>
      <c r="M2056" s="47" t="n"/>
      <c r="N2056" s="47" t="inlineStr">
        <is>
          <t>UCor_9jRnNNZVzTuQ92PKsaQ</t>
        </is>
      </c>
      <c r="O2056" s="48" t="n">
        <v>43343.77083333334</v>
      </c>
      <c r="P2056" s="49" t="n">
        <v>43343</v>
      </c>
      <c r="Q2056" s="47" t="n">
        <v>1212</v>
      </c>
      <c r="R2056" s="47" t="inlineStr">
        <is>
          <t>No Video ID yet</t>
        </is>
      </c>
      <c r="S2056" s="49" t="n"/>
      <c r="T2056" s="49" t="n"/>
      <c r="U2056" s="47" t="inlineStr">
        <is>
          <t>Which Disney Princess are you!</t>
        </is>
      </c>
      <c r="V2056" s="47">
        <f>IF(AND(P2056&gt;=Calendar!$K$2,P2056&lt;EDATE(Calendar!$K$2,1),OR(Calendar!$K$4="*",N2056=Calendar!$K$4)),P2056*100+COUNTIFS($P$6:$P$3267,P2056,$Q$6:$Q$3267,"&lt;="&amp;Q2056,$N$6:$N$3267,Calendar!$K$4),"")</f>
        <v/>
      </c>
      <c r="W2056" s="47">
        <f>IF(AND(B2056=Queue!$C$4,OR(Queue!$K$4="*",N2056=Queue!$K$4)),Q2056,"")</f>
        <v/>
      </c>
    </row>
    <row r="2057">
      <c r="A2057" s="38">
        <f>IF(M2057="","",HYPERLINK("https://www.youtube.com/watch?v="&amp;M2057,"▶"))</f>
        <v/>
      </c>
      <c r="B2057" s="39">
        <f>IF(C2057&lt;&gt;"",C2057,IF(P2057&lt;=IFERROR(INDEX(tblChannels[Watched Through],MATCH(N2057,tblChannels[Channel ID],0)),0),"Watched","Unwatched"))</f>
        <v/>
      </c>
      <c r="C2057" s="40" t="n"/>
      <c r="D2057" s="41" t="n"/>
      <c r="E2057" s="42" t="n">
        <v>43342.84027777778</v>
      </c>
      <c r="F2057" s="50" t="inlineStr">
        <is>
          <t>Super Carlin Brothers</t>
        </is>
      </c>
      <c r="G2057" t="inlineStr">
        <is>
          <t>The TRUTH About Thor's New Eye | Infinity War Theory</t>
        </is>
      </c>
      <c r="H2057" s="44" t="n">
        <v>0.008043981481481482</v>
      </c>
      <c r="I2057" s="45" t="n">
        <v>3634341</v>
      </c>
      <c r="J2057" s="45" t="n">
        <v>49408</v>
      </c>
      <c r="K2057" s="45" t="n">
        <v>9174</v>
      </c>
      <c r="L2057" s="46" t="n"/>
      <c r="M2057" s="47" t="n"/>
      <c r="N2057" s="47" t="inlineStr">
        <is>
          <t>UCKZo4N0lVPccBkSiuyVh4yg</t>
        </is>
      </c>
      <c r="O2057" s="48" t="n">
        <v>43343.00694444445</v>
      </c>
      <c r="P2057" s="49" t="n">
        <v>43342</v>
      </c>
      <c r="Q2057" s="47" t="n">
        <v>1211</v>
      </c>
      <c r="R2057" s="47" t="inlineStr">
        <is>
          <t>No Video ID yet</t>
        </is>
      </c>
      <c r="S2057" s="49" t="n"/>
      <c r="T2057" s="49" t="n"/>
      <c r="U2057" s="47" t="inlineStr">
        <is>
          <t>Take the SCB Survey! Today Ben dives into the Marvel Cinematic Universe to try and uncover the TRUTH about Thor’s new eye and what powers it may possess!</t>
        </is>
      </c>
      <c r="V2057" s="47">
        <f>IF(AND(P2057&gt;=Calendar!$K$2,P2057&lt;EDATE(Calendar!$K$2,1),OR(Calendar!$K$4="*",N2057=Calendar!$K$4)),P2057*100+COUNTIFS($P$6:$P$3267,P2057,$Q$6:$Q$3267,"&lt;="&amp;Q2057,$N$6:$N$3267,Calendar!$K$4),"")</f>
        <v/>
      </c>
      <c r="W2057" s="47">
        <f>IF(AND(B2057=Queue!$C$4,OR(Queue!$K$4="*",N2057=Queue!$K$4)),Q2057,"")</f>
        <v/>
      </c>
    </row>
    <row r="2058">
      <c r="A2058" s="38">
        <f>IF(M2058="","",HYPERLINK("https://www.youtube.com/watch?v="&amp;M2058,"▶"))</f>
        <v/>
      </c>
      <c r="B2058" s="39">
        <f>IF(C2058&lt;&gt;"",C2058,IF(P2058&lt;=IFERROR(INDEX(tblChannels[Watched Through],MATCH(N2058,tblChannels[Channel ID],0)),0),"Watched","Unwatched"))</f>
        <v/>
      </c>
      <c r="C2058" s="40" t="n"/>
      <c r="D2058" s="41" t="n"/>
      <c r="E2058" s="42" t="n">
        <v>43341.4375</v>
      </c>
      <c r="F2058" s="52" t="inlineStr">
        <is>
          <t>Super Carlin Gaming</t>
        </is>
      </c>
      <c r="G2058" t="inlineStr">
        <is>
          <t>Handily Handedly | Rocket League #47</t>
        </is>
      </c>
      <c r="H2058" s="44" t="n">
        <v>0.01450231481481482</v>
      </c>
      <c r="I2058" s="45" t="n">
        <v>4666</v>
      </c>
      <c r="J2058" s="45" t="n">
        <v>241</v>
      </c>
      <c r="K2058" s="45" t="n">
        <v>86</v>
      </c>
      <c r="L2058" s="46" t="n"/>
      <c r="M2058" s="47" t="n"/>
      <c r="N2058" s="47" t="inlineStr">
        <is>
          <t>UCor_9jRnNNZVzTuQ92PKsaQ</t>
        </is>
      </c>
      <c r="O2058" s="48" t="n">
        <v>43341.60416666666</v>
      </c>
      <c r="P2058" s="49" t="n">
        <v>43341</v>
      </c>
      <c r="Q2058" s="47" t="n">
        <v>1210</v>
      </c>
      <c r="R2058" s="47" t="inlineStr">
        <is>
          <t>No Video ID yet</t>
        </is>
      </c>
      <c r="S2058" s="49" t="n"/>
      <c r="T2058" s="49" t="n"/>
      <c r="U2058" s="47" t="inlineStr">
        <is>
          <t>PerspectiveZ podcast:</t>
        </is>
      </c>
      <c r="V2058" s="47">
        <f>IF(AND(P2058&gt;=Calendar!$K$2,P2058&lt;EDATE(Calendar!$K$2,1),OR(Calendar!$K$4="*",N2058=Calendar!$K$4)),P2058*100+COUNTIFS($P$6:$P$3267,P2058,$Q$6:$Q$3267,"&lt;="&amp;Q2058,$N$6:$N$3267,Calendar!$K$4),"")</f>
        <v/>
      </c>
      <c r="W2058" s="47">
        <f>IF(AND(B2058=Queue!$C$4,OR(Queue!$K$4="*",N2058=Queue!$K$4)),Q2058,"")</f>
        <v/>
      </c>
    </row>
    <row r="2059">
      <c r="A2059" s="38">
        <f>IF(M2059="","",HYPERLINK("https://www.youtube.com/watch?v="&amp;M2059,"▶"))</f>
        <v/>
      </c>
      <c r="B2059" s="39">
        <f>IF(C2059&lt;&gt;"",C2059,IF(P2059&lt;=IFERROR(INDEX(tblChannels[Watched Through],MATCH(N2059,tblChannels[Channel ID],0)),0),"Watched","Unwatched"))</f>
        <v/>
      </c>
      <c r="C2059" s="40" t="n"/>
      <c r="D2059" s="41" t="n"/>
      <c r="E2059" s="42" t="n">
        <v>43340.78680555556</v>
      </c>
      <c r="F2059" s="50" t="inlineStr">
        <is>
          <t>Super Carlin Brothers</t>
        </is>
      </c>
      <c r="G2059" t="inlineStr">
        <is>
          <t>Doctor Strange's Plan Explained | 14,000,605 Infinity War Theory</t>
        </is>
      </c>
      <c r="H2059" s="44" t="n">
        <v>0.01097222222222222</v>
      </c>
      <c r="I2059" s="45" t="n">
        <v>5698421</v>
      </c>
      <c r="J2059" s="45" t="n">
        <v>100268</v>
      </c>
      <c r="K2059" s="45" t="n">
        <v>12144</v>
      </c>
      <c r="L2059" s="46" t="n"/>
      <c r="M2059" s="47" t="n"/>
      <c r="N2059" s="47" t="inlineStr">
        <is>
          <t>UCKZo4N0lVPccBkSiuyVh4yg</t>
        </is>
      </c>
      <c r="O2059" s="48" t="n">
        <v>43340.95347222222</v>
      </c>
      <c r="P2059" s="49" t="n">
        <v>43340</v>
      </c>
      <c r="Q2059" s="47" t="n">
        <v>1209</v>
      </c>
      <c r="R2059" s="47" t="inlineStr">
        <is>
          <t>No Video ID yet</t>
        </is>
      </c>
      <c r="S2059" s="49" t="n"/>
      <c r="T2059" s="49" t="n"/>
      <c r="U2059" s="47" t="inlineStr">
        <is>
          <t>Today, J dives into the Marvel Cinematic Universe to try and figure out why exactly Dr. Strange sees specifically 14,000,605 possible outcomes and explain why only 1 of them results in their victory.</t>
        </is>
      </c>
      <c r="V2059" s="47">
        <f>IF(AND(P2059&gt;=Calendar!$K$2,P2059&lt;EDATE(Calendar!$K$2,1),OR(Calendar!$K$4="*",N2059=Calendar!$K$4)),P2059*100+COUNTIFS($P$6:$P$3267,P2059,$Q$6:$Q$3267,"&lt;="&amp;Q2059,$N$6:$N$3267,Calendar!$K$4),"")</f>
        <v/>
      </c>
      <c r="W2059" s="47">
        <f>IF(AND(B2059=Queue!$C$4,OR(Queue!$K$4="*",N2059=Queue!$K$4)),Q2059,"")</f>
        <v/>
      </c>
    </row>
    <row r="2060">
      <c r="A2060" s="38">
        <f>IF(M2060="","",HYPERLINK("https://www.youtube.com/watch?v="&amp;M2060,"▶"))</f>
        <v/>
      </c>
      <c r="B2060" s="39">
        <f>IF(C2060&lt;&gt;"",C2060,IF(P2060&lt;=IFERROR(INDEX(tblChannels[Watched Through],MATCH(N2060,tblChannels[Channel ID],0)),0),"Watched","Unwatched"))</f>
        <v/>
      </c>
      <c r="C2060" s="40" t="n"/>
      <c r="D2060" s="41" t="n"/>
      <c r="E2060" s="42" t="n">
        <v>43339.58125</v>
      </c>
      <c r="F2060" s="53" t="inlineStr">
        <is>
          <t>Jonathan Carlin</t>
        </is>
      </c>
      <c r="G2060" t="inlineStr">
        <is>
          <t>THE SECRET WORLD OF DADS</t>
        </is>
      </c>
      <c r="H2060" s="44" t="n">
        <v>0.006053240740740741</v>
      </c>
      <c r="I2060" s="45" t="n">
        <v>39784</v>
      </c>
      <c r="J2060" s="45" t="n">
        <v>2069</v>
      </c>
      <c r="K2060" s="45" t="n">
        <v>223</v>
      </c>
      <c r="L2060" s="46" t="n"/>
      <c r="M2060" s="47" t="n"/>
      <c r="N2060" s="47" t="inlineStr">
        <is>
          <t>UCYPKFe86e6nm4TVUYKLsFUQ</t>
        </is>
      </c>
      <c r="O2060" s="48" t="n">
        <v>43339.74791666667</v>
      </c>
      <c r="P2060" s="49" t="n">
        <v>43339</v>
      </c>
      <c r="Q2060" s="47" t="n">
        <v>1208</v>
      </c>
      <c r="R2060" s="47" t="inlineStr">
        <is>
          <t>No Video ID yet</t>
        </is>
      </c>
      <c r="S2060" s="49" t="n"/>
      <c r="T2060" s="49" t="n"/>
      <c r="U2060" s="47" t="inlineStr">
        <is>
          <t>This week, J and Beth feed Luke his first bite of pizza, delivers some friends some food, and J ventures into the SECRET WORLD OF DADS.</t>
        </is>
      </c>
      <c r="V2060" s="47">
        <f>IF(AND(P2060&gt;=Calendar!$K$2,P2060&lt;EDATE(Calendar!$K$2,1),OR(Calendar!$K$4="*",N2060=Calendar!$K$4)),P2060*100+COUNTIFS($P$6:$P$3267,P2060,$Q$6:$Q$3267,"&lt;="&amp;Q2060,$N$6:$N$3267,Calendar!$K$4),"")</f>
        <v/>
      </c>
      <c r="W2060" s="47">
        <f>IF(AND(B2060=Queue!$C$4,OR(Queue!$K$4="*",N2060=Queue!$K$4)),Q2060,"")</f>
        <v/>
      </c>
    </row>
    <row r="2061">
      <c r="A2061" s="38">
        <f>IF(M2061="","",HYPERLINK("https://www.youtube.com/watch?v="&amp;M2061,"▶"))</f>
        <v/>
      </c>
      <c r="B2061" s="39">
        <f>IF(C2061&lt;&gt;"",C2061,IF(P2061&lt;=IFERROR(INDEX(tblChannels[Watched Through],MATCH(N2061,tblChannels[Channel ID],0)),0),"Watched","Unwatched"))</f>
        <v/>
      </c>
      <c r="C2061" s="40" t="n"/>
      <c r="D2061" s="41" t="n"/>
      <c r="E2061" s="42" t="n">
        <v>43339.44583333333</v>
      </c>
      <c r="F2061" s="52" t="inlineStr">
        <is>
          <t>Super Carlin Gaming</t>
        </is>
      </c>
      <c r="G2061" t="inlineStr">
        <is>
          <t>Victory Formation | Rocket League #46</t>
        </is>
      </c>
      <c r="H2061" s="44" t="n">
        <v>0.01637731481481481</v>
      </c>
      <c r="I2061" s="45" t="n">
        <v>4864</v>
      </c>
      <c r="J2061" s="45" t="n">
        <v>229</v>
      </c>
      <c r="K2061" s="45" t="n">
        <v>71</v>
      </c>
      <c r="L2061" s="46" t="n"/>
      <c r="M2061" s="47" t="n"/>
      <c r="N2061" s="47" t="inlineStr">
        <is>
          <t>UCor_9jRnNNZVzTuQ92PKsaQ</t>
        </is>
      </c>
      <c r="O2061" s="48" t="n">
        <v>43339.6125</v>
      </c>
      <c r="P2061" s="49" t="n">
        <v>43339</v>
      </c>
      <c r="Q2061" s="47" t="n">
        <v>1207</v>
      </c>
      <c r="R2061" s="47" t="inlineStr">
        <is>
          <t>No Video ID yet</t>
        </is>
      </c>
      <c r="S2061" s="49" t="n"/>
      <c r="T2061" s="49" t="n"/>
      <c r="U2061" s="47" t="n"/>
      <c r="V2061" s="47">
        <f>IF(AND(P2061&gt;=Calendar!$K$2,P2061&lt;EDATE(Calendar!$K$2,1),OR(Calendar!$K$4="*",N2061=Calendar!$K$4)),P2061*100+COUNTIFS($P$6:$P$3267,P2061,$Q$6:$Q$3267,"&lt;="&amp;Q2061,$N$6:$N$3267,Calendar!$K$4),"")</f>
        <v/>
      </c>
      <c r="W2061" s="47">
        <f>IF(AND(B2061=Queue!$C$4,OR(Queue!$K$4="*",N2061=Queue!$K$4)),Q2061,"")</f>
        <v/>
      </c>
    </row>
    <row r="2062">
      <c r="A2062" s="38">
        <f>IF(M2062="","",HYPERLINK("https://www.youtube.com/watch?v="&amp;M2062,"▶"))</f>
        <v/>
      </c>
      <c r="B2062" s="39">
        <f>IF(C2062&lt;&gt;"",C2062,IF(P2062&lt;=IFERROR(INDEX(tblChannels[Watched Through],MATCH(N2062,tblChannels[Channel ID],0)),0),"Watched","Unwatched"))</f>
        <v/>
      </c>
      <c r="C2062" s="40" t="n"/>
      <c r="D2062" s="41" t="n"/>
      <c r="E2062" s="42" t="n">
        <v>43336.4375</v>
      </c>
      <c r="F2062" s="52" t="inlineStr">
        <is>
          <t>Super Carlin Gaming</t>
        </is>
      </c>
      <c r="G2062" t="inlineStr">
        <is>
          <t>Pancake Star | Rocket League #45</t>
        </is>
      </c>
      <c r="H2062" s="44" t="n">
        <v>0.01476851851851852</v>
      </c>
      <c r="I2062" s="45" t="n">
        <v>4433</v>
      </c>
      <c r="J2062" s="45" t="n">
        <v>255</v>
      </c>
      <c r="K2062" s="45" t="n">
        <v>101</v>
      </c>
      <c r="L2062" s="46" t="n"/>
      <c r="M2062" s="47" t="n"/>
      <c r="N2062" s="47" t="inlineStr">
        <is>
          <t>UCor_9jRnNNZVzTuQ92PKsaQ</t>
        </is>
      </c>
      <c r="O2062" s="48" t="n">
        <v>43336.60416666666</v>
      </c>
      <c r="P2062" s="49" t="n">
        <v>43336</v>
      </c>
      <c r="Q2062" s="47" t="n">
        <v>1206</v>
      </c>
      <c r="R2062" s="47" t="inlineStr">
        <is>
          <t>No Video ID yet</t>
        </is>
      </c>
      <c r="S2062" s="49" t="n"/>
      <c r="T2062" s="49" t="n"/>
      <c r="U2062" s="47" t="n"/>
      <c r="V2062" s="47">
        <f>IF(AND(P2062&gt;=Calendar!$K$2,P2062&lt;EDATE(Calendar!$K$2,1),OR(Calendar!$K$4="*",N2062=Calendar!$K$4)),P2062*100+COUNTIFS($P$6:$P$3267,P2062,$Q$6:$Q$3267,"&lt;="&amp;Q2062,$N$6:$N$3267,Calendar!$K$4),"")</f>
        <v/>
      </c>
      <c r="W2062" s="47">
        <f>IF(AND(B2062=Queue!$C$4,OR(Queue!$K$4="*",N2062=Queue!$K$4)),Q2062,"")</f>
        <v/>
      </c>
    </row>
    <row r="2063">
      <c r="A2063" s="38">
        <f>IF(M2063="","",HYPERLINK("https://www.youtube.com/watch?v="&amp;M2063,"▶"))</f>
        <v/>
      </c>
      <c r="B2063" s="39">
        <f>IF(C2063&lt;&gt;"",C2063,IF(P2063&lt;=IFERROR(INDEX(tblChannels[Watched Through],MATCH(N2063,tblChannels[Channel ID],0)),0),"Watched","Unwatched"))</f>
        <v/>
      </c>
      <c r="C2063" s="40" t="n"/>
      <c r="D2063" s="41" t="n"/>
      <c r="E2063" s="42" t="n">
        <v>43335.84722222222</v>
      </c>
      <c r="F2063" s="50" t="inlineStr">
        <is>
          <t>Super Carlin Brothers</t>
        </is>
      </c>
      <c r="G2063" t="inlineStr">
        <is>
          <t>Top 10 Most EVIL Characters In Harry Potter</t>
        </is>
      </c>
      <c r="H2063" s="44" t="n">
        <v>0.008333333333333333</v>
      </c>
      <c r="I2063" s="45" t="n">
        <v>1224490</v>
      </c>
      <c r="J2063" s="45" t="n">
        <v>31499</v>
      </c>
      <c r="K2063" s="45" t="n">
        <v>7746</v>
      </c>
      <c r="L2063" s="46" t="n"/>
      <c r="M2063" s="47" t="n"/>
      <c r="N2063" s="47" t="inlineStr">
        <is>
          <t>UCKZo4N0lVPccBkSiuyVh4yg</t>
        </is>
      </c>
      <c r="O2063" s="48" t="n">
        <v>43336.01388888889</v>
      </c>
      <c r="P2063" s="49" t="n">
        <v>43335</v>
      </c>
      <c r="Q2063" s="47" t="n">
        <v>1205</v>
      </c>
      <c r="R2063" s="47" t="inlineStr">
        <is>
          <t>No Video ID yet</t>
        </is>
      </c>
      <c r="S2063" s="49" t="n"/>
      <c r="T2063" s="49" t="n"/>
      <c r="U2063" s="47" t="inlineStr">
        <is>
          <t>Super Carlin Survey 2018 :: Today Ben dives into the dark side of the Wizaring World of Harry Potter and ranks the Top 10 most evil characters in the entire story - Who is your favorite villain?</t>
        </is>
      </c>
      <c r="V2063" s="47">
        <f>IF(AND(P2063&gt;=Calendar!$K$2,P2063&lt;EDATE(Calendar!$K$2,1),OR(Calendar!$K$4="*",N2063=Calendar!$K$4)),P2063*100+COUNTIFS($P$6:$P$3267,P2063,$Q$6:$Q$3267,"&lt;="&amp;Q2063,$N$6:$N$3267,Calendar!$K$4),"")</f>
        <v/>
      </c>
      <c r="W2063" s="47">
        <f>IF(AND(B2063=Queue!$C$4,OR(Queue!$K$4="*",N2063=Queue!$K$4)),Q2063,"")</f>
        <v/>
      </c>
    </row>
    <row r="2064">
      <c r="A2064" s="38">
        <f>IF(M2064="","",HYPERLINK("https://www.youtube.com/watch?v="&amp;M2064,"▶"))</f>
        <v/>
      </c>
      <c r="B2064" s="39">
        <f>IF(C2064&lt;&gt;"",C2064,IF(P2064&lt;=IFERROR(INDEX(tblChannels[Watched Through],MATCH(N2064,tblChannels[Channel ID],0)),0),"Watched","Unwatched"))</f>
        <v/>
      </c>
      <c r="C2064" s="40" t="n"/>
      <c r="D2064" s="41" t="n"/>
      <c r="E2064" s="42" t="n">
        <v>43334.48194444444</v>
      </c>
      <c r="F2064" s="52" t="inlineStr">
        <is>
          <t>Super Carlin Gaming</t>
        </is>
      </c>
      <c r="G2064" t="inlineStr">
        <is>
          <t>Riding the Rainbow | Rocket League #44</t>
        </is>
      </c>
      <c r="H2064" s="44" t="n">
        <v>0.01365740740740741</v>
      </c>
      <c r="I2064" s="45" t="n">
        <v>4346</v>
      </c>
      <c r="J2064" s="45" t="n">
        <v>278</v>
      </c>
      <c r="K2064" s="45" t="n">
        <v>64</v>
      </c>
      <c r="L2064" s="46" t="n"/>
      <c r="M2064" s="47" t="n"/>
      <c r="N2064" s="47" t="inlineStr">
        <is>
          <t>UCor_9jRnNNZVzTuQ92PKsaQ</t>
        </is>
      </c>
      <c r="O2064" s="48" t="n">
        <v>43334.64861111111</v>
      </c>
      <c r="P2064" s="49" t="n">
        <v>43334</v>
      </c>
      <c r="Q2064" s="47" t="n">
        <v>1204</v>
      </c>
      <c r="R2064" s="47" t="inlineStr">
        <is>
          <t>No Video ID yet</t>
        </is>
      </c>
      <c r="S2064" s="49" t="n"/>
      <c r="T2064" s="49" t="n"/>
      <c r="U2064" s="47" t="n"/>
      <c r="V2064" s="47">
        <f>IF(AND(P2064&gt;=Calendar!$K$2,P2064&lt;EDATE(Calendar!$K$2,1),OR(Calendar!$K$4="*",N2064=Calendar!$K$4)),P2064*100+COUNTIFS($P$6:$P$3267,P2064,$Q$6:$Q$3267,"&lt;="&amp;Q2064,$N$6:$N$3267,Calendar!$K$4),"")</f>
        <v/>
      </c>
      <c r="W2064" s="47">
        <f>IF(AND(B2064=Queue!$C$4,OR(Queue!$K$4="*",N2064=Queue!$K$4)),Q2064,"")</f>
        <v/>
      </c>
    </row>
    <row r="2065">
      <c r="A2065" s="38">
        <f>IF(M2065="","",HYPERLINK("https://www.youtube.com/watch?v="&amp;M2065,"▶"))</f>
        <v/>
      </c>
      <c r="B2065" s="39">
        <f>IF(C2065&lt;&gt;"",C2065,IF(P2065&lt;=IFERROR(INDEX(tblChannels[Watched Through],MATCH(N2065,tblChannels[Channel ID],0)),0),"Watched","Unwatched"))</f>
        <v/>
      </c>
      <c r="C2065" s="40" t="n"/>
      <c r="D2065" s="41" t="n"/>
      <c r="E2065" s="42" t="n">
        <v>43333.725</v>
      </c>
      <c r="F2065" s="50" t="inlineStr">
        <is>
          <t>Super Carlin Brothers</t>
        </is>
      </c>
      <c r="G2065" t="inlineStr">
        <is>
          <t>J vs Ben: HARDEST Dobby Trivia Quiz EVER</t>
        </is>
      </c>
      <c r="H2065" s="44" t="n">
        <v>0.02236111111111111</v>
      </c>
      <c r="I2065" s="45" t="n">
        <v>1053329</v>
      </c>
      <c r="J2065" s="45" t="n">
        <v>21103</v>
      </c>
      <c r="K2065" s="45" t="n">
        <v>2978</v>
      </c>
      <c r="L2065" s="46" t="n"/>
      <c r="M2065" s="47" t="n"/>
      <c r="N2065" s="47" t="inlineStr">
        <is>
          <t>UCKZo4N0lVPccBkSiuyVh4yg</t>
        </is>
      </c>
      <c r="O2065" s="48" t="n">
        <v>43333.89166666667</v>
      </c>
      <c r="P2065" s="49" t="n">
        <v>43333</v>
      </c>
      <c r="Q2065" s="47" t="n">
        <v>1203</v>
      </c>
      <c r="R2065" s="47" t="inlineStr">
        <is>
          <t>No Video ID yet</t>
        </is>
      </c>
      <c r="S2065" s="49" t="n"/>
      <c r="T2065" s="49" t="n"/>
      <c r="U2065" s="47" t="inlineStr">
        <is>
          <t>Today J and Ben face off in some epic Harry Potter trivia and take on the Ultimate Dobby trivia quiz - Who knows the most about everyones favorite house elf? FIND OUT! And let us know how well you did in the towel section down below!</t>
        </is>
      </c>
      <c r="V2065" s="47">
        <f>IF(AND(P2065&gt;=Calendar!$K$2,P2065&lt;EDATE(Calendar!$K$2,1),OR(Calendar!$K$4="*",N2065=Calendar!$K$4)),P2065*100+COUNTIFS($P$6:$P$3267,P2065,$Q$6:$Q$3267,"&lt;="&amp;Q2065,$N$6:$N$3267,Calendar!$K$4),"")</f>
        <v/>
      </c>
      <c r="W2065" s="47">
        <f>IF(AND(B2065=Queue!$C$4,OR(Queue!$K$4="*",N2065=Queue!$K$4)),Q2065,"")</f>
        <v/>
      </c>
    </row>
    <row r="2066">
      <c r="A2066" s="38">
        <f>IF(M2066="","",HYPERLINK("https://www.youtube.com/watch?v="&amp;M2066,"▶"))</f>
        <v/>
      </c>
      <c r="B2066" s="39">
        <f>IF(C2066&lt;&gt;"",C2066,IF(P2066&lt;=IFERROR(INDEX(tblChannels[Watched Through],MATCH(N2066,tblChannels[Channel ID],0)),0),"Watched","Unwatched"))</f>
        <v/>
      </c>
      <c r="C2066" s="40" t="n"/>
      <c r="D2066" s="41" t="n"/>
      <c r="E2066" s="42" t="n">
        <v>43333.58263888889</v>
      </c>
      <c r="F2066" s="53" t="inlineStr">
        <is>
          <t>Jonathan Carlin</t>
        </is>
      </c>
      <c r="G2066" t="inlineStr">
        <is>
          <t>TOUCH A TRUCK</t>
        </is>
      </c>
      <c r="H2066" s="44" t="n">
        <v>0.00587962962962963</v>
      </c>
      <c r="I2066" s="45" t="n">
        <v>26512</v>
      </c>
      <c r="J2066" s="45" t="n">
        <v>1343</v>
      </c>
      <c r="K2066" s="45" t="n">
        <v>116</v>
      </c>
      <c r="L2066" s="46" t="n"/>
      <c r="M2066" s="47" t="n"/>
      <c r="N2066" s="47" t="inlineStr">
        <is>
          <t>UCYPKFe86e6nm4TVUYKLsFUQ</t>
        </is>
      </c>
      <c r="O2066" s="48" t="n">
        <v>43333.74930555555</v>
      </c>
      <c r="P2066" s="49" t="n">
        <v>43333</v>
      </c>
      <c r="Q2066" s="47" t="n">
        <v>1202</v>
      </c>
      <c r="R2066" s="47" t="inlineStr">
        <is>
          <t>No Video ID yet</t>
        </is>
      </c>
      <c r="S2066" s="49" t="n"/>
      <c r="T2066" s="49" t="n"/>
      <c r="U2066" s="47" t="inlineStr">
        <is>
          <t>J heads back to work, Ben leaves for vacation AAAAND we bring Luke to Touch A Truck!</t>
        </is>
      </c>
      <c r="V2066" s="47">
        <f>IF(AND(P2066&gt;=Calendar!$K$2,P2066&lt;EDATE(Calendar!$K$2,1),OR(Calendar!$K$4="*",N2066=Calendar!$K$4)),P2066*100+COUNTIFS($P$6:$P$3267,P2066,$Q$6:$Q$3267,"&lt;="&amp;Q2066,$N$6:$N$3267,Calendar!$K$4),"")</f>
        <v/>
      </c>
      <c r="W2066" s="47">
        <f>IF(AND(B2066=Queue!$C$4,OR(Queue!$K$4="*",N2066=Queue!$K$4)),Q2066,"")</f>
        <v/>
      </c>
    </row>
    <row r="2067">
      <c r="A2067" s="38">
        <f>IF(M2067="","",HYPERLINK("https://www.youtube.com/watch?v="&amp;M2067,"▶"))</f>
        <v/>
      </c>
      <c r="B2067" s="39">
        <f>IF(C2067&lt;&gt;"",C2067,IF(P2067&lt;=IFERROR(INDEX(tblChannels[Watched Through],MATCH(N2067,tblChannels[Channel ID],0)),0),"Watched","Unwatched"))</f>
        <v/>
      </c>
      <c r="C2067" s="40" t="n"/>
      <c r="D2067" s="41" t="n"/>
      <c r="E2067" s="42" t="n">
        <v>43332.47777777778</v>
      </c>
      <c r="F2067" s="52" t="inlineStr">
        <is>
          <t>Super Carlin Gaming</t>
        </is>
      </c>
      <c r="G2067" t="inlineStr">
        <is>
          <t>Jordan Turns Tomato | Rocket League #43</t>
        </is>
      </c>
      <c r="H2067" s="44" t="n">
        <v>0.01261574074074074</v>
      </c>
      <c r="I2067" s="45" t="n">
        <v>4441</v>
      </c>
      <c r="J2067" s="45" t="n">
        <v>304</v>
      </c>
      <c r="K2067" s="45" t="n">
        <v>74</v>
      </c>
      <c r="L2067" s="46" t="n"/>
      <c r="M2067" s="47" t="n"/>
      <c r="N2067" s="47" t="inlineStr">
        <is>
          <t>UCor_9jRnNNZVzTuQ92PKsaQ</t>
        </is>
      </c>
      <c r="O2067" s="48" t="n">
        <v>43332.64444444444</v>
      </c>
      <c r="P2067" s="49" t="n">
        <v>43332</v>
      </c>
      <c r="Q2067" s="47" t="n">
        <v>1201</v>
      </c>
      <c r="R2067" s="47" t="inlineStr">
        <is>
          <t>No Video ID yet</t>
        </is>
      </c>
      <c r="S2067" s="49" t="n"/>
      <c r="T2067" s="49" t="n"/>
      <c r="U2067" s="47" t="n"/>
      <c r="V2067" s="47">
        <f>IF(AND(P2067&gt;=Calendar!$K$2,P2067&lt;EDATE(Calendar!$K$2,1),OR(Calendar!$K$4="*",N2067=Calendar!$K$4)),P2067*100+COUNTIFS($P$6:$P$3267,P2067,$Q$6:$Q$3267,"&lt;="&amp;Q2067,$N$6:$N$3267,Calendar!$K$4),"")</f>
        <v/>
      </c>
      <c r="W2067" s="47">
        <f>IF(AND(B2067=Queue!$C$4,OR(Queue!$K$4="*",N2067=Queue!$K$4)),Q2067,"")</f>
        <v/>
      </c>
    </row>
    <row r="2068">
      <c r="A2068" s="38">
        <f>IF(M2068="","",HYPERLINK("https://www.youtube.com/watch?v="&amp;M2068,"▶"))</f>
        <v/>
      </c>
      <c r="B2068" s="39">
        <f>IF(C2068&lt;&gt;"",C2068,IF(P2068&lt;=IFERROR(INDEX(tblChannels[Watched Through],MATCH(N2068,tblChannels[Channel ID],0)),0),"Watched","Unwatched"))</f>
        <v/>
      </c>
      <c r="C2068" s="40" t="n"/>
      <c r="D2068" s="41" t="n"/>
      <c r="E2068" s="42" t="n">
        <v>43329.56666666667</v>
      </c>
      <c r="F2068" s="52" t="inlineStr">
        <is>
          <t>Super Carlin Gaming</t>
        </is>
      </c>
      <c r="G2068" t="inlineStr">
        <is>
          <t>Boom Them Real Hard | Rocket League #42</t>
        </is>
      </c>
      <c r="H2068" s="44" t="n">
        <v>0.0140162037037037</v>
      </c>
      <c r="I2068" s="45" t="n">
        <v>4511</v>
      </c>
      <c r="J2068" s="45" t="n">
        <v>250</v>
      </c>
      <c r="K2068" s="45" t="n">
        <v>41</v>
      </c>
      <c r="L2068" s="46" t="n"/>
      <c r="M2068" s="47" t="n"/>
      <c r="N2068" s="47" t="inlineStr">
        <is>
          <t>UCor_9jRnNNZVzTuQ92PKsaQ</t>
        </is>
      </c>
      <c r="O2068" s="48" t="n">
        <v>43329.73333333333</v>
      </c>
      <c r="P2068" s="49" t="n">
        <v>43329</v>
      </c>
      <c r="Q2068" s="47" t="n">
        <v>1200</v>
      </c>
      <c r="R2068" s="47" t="inlineStr">
        <is>
          <t>No Video ID yet</t>
        </is>
      </c>
      <c r="S2068" s="49" t="n"/>
      <c r="T2068" s="49" t="n"/>
      <c r="U2068" s="47" t="n"/>
      <c r="V2068" s="47">
        <f>IF(AND(P2068&gt;=Calendar!$K$2,P2068&lt;EDATE(Calendar!$K$2,1),OR(Calendar!$K$4="*",N2068=Calendar!$K$4)),P2068*100+COUNTIFS($P$6:$P$3267,P2068,$Q$6:$Q$3267,"&lt;="&amp;Q2068,$N$6:$N$3267,Calendar!$K$4),"")</f>
        <v/>
      </c>
      <c r="W2068" s="47">
        <f>IF(AND(B2068=Queue!$C$4,OR(Queue!$K$4="*",N2068=Queue!$K$4)),Q2068,"")</f>
        <v/>
      </c>
    </row>
    <row r="2069">
      <c r="A2069" s="38">
        <f>IF(M2069="","",HYPERLINK("https://www.youtube.com/watch?v="&amp;M2069,"▶"))</f>
        <v/>
      </c>
      <c r="B2069" s="39">
        <f>IF(C2069&lt;&gt;"",C2069,IF(P2069&lt;=IFERROR(INDEX(tblChannels[Watched Through],MATCH(N2069,tblChannels[Channel ID],0)),0),"Watched","Unwatched"))</f>
        <v/>
      </c>
      <c r="C2069" s="40" t="n"/>
      <c r="D2069" s="41" t="n"/>
      <c r="E2069" s="42" t="n">
        <v>43328.79305555556</v>
      </c>
      <c r="F2069" s="50" t="inlineStr">
        <is>
          <t>Super Carlin Brothers</t>
        </is>
      </c>
      <c r="G2069" t="inlineStr">
        <is>
          <t>How Loki Is Almost Definitely Still Alive</t>
        </is>
      </c>
      <c r="H2069" s="44" t="n">
        <v>0.007453703703703704</v>
      </c>
      <c r="I2069" s="45" t="n">
        <v>1932568</v>
      </c>
      <c r="J2069" s="45" t="n">
        <v>60471</v>
      </c>
      <c r="K2069" s="45" t="n">
        <v>12156</v>
      </c>
      <c r="L2069" s="46" t="n"/>
      <c r="M2069" s="47" t="n"/>
      <c r="N2069" s="47" t="inlineStr">
        <is>
          <t>UCKZo4N0lVPccBkSiuyVh4yg</t>
        </is>
      </c>
      <c r="O2069" s="48" t="n">
        <v>43328.95972222222</v>
      </c>
      <c r="P2069" s="49" t="n">
        <v>43328</v>
      </c>
      <c r="Q2069" s="47" t="n">
        <v>1199</v>
      </c>
      <c r="R2069" s="47" t="inlineStr">
        <is>
          <t>No Video ID yet</t>
        </is>
      </c>
      <c r="S2069" s="49" t="n"/>
      <c r="T2069" s="49" t="n"/>
      <c r="U2069" s="47" t="inlineStr">
        <is>
          <t>Today Ben dives into the world of Marvel's Infinity War to discuss everyone's favorite God of Mischief: Loki and how is almost definitely still alive... because he's actually the HULK</t>
        </is>
      </c>
      <c r="V2069" s="47">
        <f>IF(AND(P2069&gt;=Calendar!$K$2,P2069&lt;EDATE(Calendar!$K$2,1),OR(Calendar!$K$4="*",N2069=Calendar!$K$4)),P2069*100+COUNTIFS($P$6:$P$3267,P2069,$Q$6:$Q$3267,"&lt;="&amp;Q2069,$N$6:$N$3267,Calendar!$K$4),"")</f>
        <v/>
      </c>
      <c r="W2069" s="47">
        <f>IF(AND(B2069=Queue!$C$4,OR(Queue!$K$4="*",N2069=Queue!$K$4)),Q2069,"")</f>
        <v/>
      </c>
    </row>
    <row r="2070">
      <c r="A2070" s="38">
        <f>IF(M2070="","",HYPERLINK("https://www.youtube.com/watch?v="&amp;M2070,"▶"))</f>
        <v/>
      </c>
      <c r="B2070" s="39">
        <f>IF(C2070&lt;&gt;"",C2070,IF(P2070&lt;=IFERROR(INDEX(tblChannels[Watched Through],MATCH(N2070,tblChannels[Channel ID],0)),0),"Watched","Unwatched"))</f>
        <v/>
      </c>
      <c r="C2070" s="40" t="n"/>
      <c r="D2070" s="41" t="n"/>
      <c r="E2070" s="42" t="n">
        <v>43328.51944444444</v>
      </c>
      <c r="F2070" s="52" t="inlineStr">
        <is>
          <t>Super Carlin Gaming</t>
        </is>
      </c>
      <c r="G2070" t="inlineStr">
        <is>
          <t>Age in Dog Years | Rocket League #41</t>
        </is>
      </c>
      <c r="H2070" s="44" t="n">
        <v>0.01325231481481481</v>
      </c>
      <c r="I2070" s="45" t="n">
        <v>4414</v>
      </c>
      <c r="J2070" s="45" t="n">
        <v>268</v>
      </c>
      <c r="K2070" s="45" t="n">
        <v>54</v>
      </c>
      <c r="L2070" s="46" t="n"/>
      <c r="M2070" s="47" t="n"/>
      <c r="N2070" s="47" t="inlineStr">
        <is>
          <t>UCor_9jRnNNZVzTuQ92PKsaQ</t>
        </is>
      </c>
      <c r="O2070" s="48" t="n">
        <v>43328.68611111111</v>
      </c>
      <c r="P2070" s="49" t="n">
        <v>43328</v>
      </c>
      <c r="Q2070" s="47" t="n">
        <v>1198</v>
      </c>
      <c r="R2070" s="47" t="inlineStr">
        <is>
          <t>No Video ID yet</t>
        </is>
      </c>
      <c r="S2070" s="49" t="n"/>
      <c r="T2070" s="49" t="n"/>
      <c r="U2070" s="47" t="n"/>
      <c r="V2070" s="47">
        <f>IF(AND(P2070&gt;=Calendar!$K$2,P2070&lt;EDATE(Calendar!$K$2,1),OR(Calendar!$K$4="*",N2070=Calendar!$K$4)),P2070*100+COUNTIFS($P$6:$P$3267,P2070,$Q$6:$Q$3267,"&lt;="&amp;Q2070,$N$6:$N$3267,Calendar!$K$4),"")</f>
        <v/>
      </c>
      <c r="W2070" s="47">
        <f>IF(AND(B2070=Queue!$C$4,OR(Queue!$K$4="*",N2070=Queue!$K$4)),Q2070,"")</f>
        <v/>
      </c>
    </row>
    <row r="2071">
      <c r="A2071" s="38">
        <f>IF(M2071="","",HYPERLINK("https://www.youtube.com/watch?v="&amp;M2071,"▶"))</f>
        <v/>
      </c>
      <c r="B2071" s="39">
        <f>IF(C2071&lt;&gt;"",C2071,IF(P2071&lt;=IFERROR(INDEX(tblChannels[Watched Through],MATCH(N2071,tblChannels[Channel ID],0)),0),"Watched","Unwatched"))</f>
        <v/>
      </c>
      <c r="C2071" s="40" t="n"/>
      <c r="D2071" s="41" t="n"/>
      <c r="E2071" s="42" t="n">
        <v>43327.94097222222</v>
      </c>
      <c r="F2071" s="52" t="inlineStr">
        <is>
          <t>Super Carlin Gaming</t>
        </is>
      </c>
      <c r="G2071" t="inlineStr">
        <is>
          <t>LIVE! Sims 4 - We Have A New Neighbor!</t>
        </is>
      </c>
      <c r="H2071" s="44" t="n">
        <v>0.08934027777777778</v>
      </c>
      <c r="I2071" s="45" t="n">
        <v>10077</v>
      </c>
      <c r="J2071" s="45" t="n">
        <v>271</v>
      </c>
      <c r="K2071" s="45" t="n">
        <v>21</v>
      </c>
      <c r="L2071" s="46" t="n"/>
      <c r="M2071" s="47" t="n"/>
      <c r="N2071" s="47" t="inlineStr">
        <is>
          <t>UCor_9jRnNNZVzTuQ92PKsaQ</t>
        </is>
      </c>
      <c r="O2071" s="48" t="n">
        <v>43328.10763888889</v>
      </c>
      <c r="P2071" s="49" t="n">
        <v>43327</v>
      </c>
      <c r="Q2071" s="47" t="n">
        <v>1197</v>
      </c>
      <c r="R2071" s="47" t="inlineStr">
        <is>
          <t>No Video ID yet</t>
        </is>
      </c>
      <c r="S2071" s="49" t="n"/>
      <c r="T2071" s="49" t="n"/>
      <c r="U2071" s="47" t="inlineStr">
        <is>
          <t>Support the stream: J, Ben, DK, are just living that crazy Sim life with their insane roommate... Darth Maul. Also Derek got married, and also also Beth moved in next door - LETS PLAY! Join The Discord! J on twitter: Ben on Twitter: DK STREAMS ON TWITCH: Jordan on YOUTUBE:</t>
        </is>
      </c>
      <c r="V2071" s="47">
        <f>IF(AND(P2071&gt;=Calendar!$K$2,P2071&lt;EDATE(Calendar!$K$2,1),OR(Calendar!$K$4="*",N2071=Calendar!$K$4)),P2071*100+COUNTIFS($P$6:$P$3267,P2071,$Q$6:$Q$3267,"&lt;="&amp;Q2071,$N$6:$N$3267,Calendar!$K$4),"")</f>
        <v/>
      </c>
      <c r="W2071" s="47">
        <f>IF(AND(B2071=Queue!$C$4,OR(Queue!$K$4="*",N2071=Queue!$K$4)),Q2071,"")</f>
        <v/>
      </c>
    </row>
    <row r="2072">
      <c r="A2072" s="38">
        <f>IF(M2072="","",HYPERLINK("https://www.youtube.com/watch?v="&amp;M2072,"▶"))</f>
        <v/>
      </c>
      <c r="B2072" s="39">
        <f>IF(C2072&lt;&gt;"",C2072,IF(P2072&lt;=IFERROR(INDEX(tblChannels[Watched Through],MATCH(N2072,tblChannels[Channel ID],0)),0),"Watched","Unwatched"))</f>
        <v/>
      </c>
      <c r="C2072" s="40" t="n"/>
      <c r="D2072" s="41" t="n"/>
      <c r="E2072" s="42" t="n">
        <v>43326.71041666667</v>
      </c>
      <c r="F2072" s="50" t="inlineStr">
        <is>
          <t>Super Carlin Brothers</t>
        </is>
      </c>
      <c r="G2072" t="inlineStr">
        <is>
          <t>Frozen's Oaken Explained</t>
        </is>
      </c>
      <c r="H2072" s="44" t="n">
        <v>0.007106481481481482</v>
      </c>
      <c r="I2072" s="45" t="n">
        <v>557494</v>
      </c>
      <c r="J2072" s="45" t="n">
        <v>18143</v>
      </c>
      <c r="K2072" s="45" t="n">
        <v>2938</v>
      </c>
      <c r="L2072" s="46" t="n"/>
      <c r="M2072" s="47" t="n"/>
      <c r="N2072" s="47" t="inlineStr">
        <is>
          <t>UCKZo4N0lVPccBkSiuyVh4yg</t>
        </is>
      </c>
      <c r="O2072" s="48" t="n">
        <v>43326.87708333333</v>
      </c>
      <c r="P2072" s="49" t="n">
        <v>43326</v>
      </c>
      <c r="Q2072" s="47" t="n">
        <v>1196</v>
      </c>
      <c r="R2072" s="47" t="inlineStr">
        <is>
          <t>No Video ID yet</t>
        </is>
      </c>
      <c r="S2072" s="49" t="n"/>
      <c r="T2072" s="49" t="n"/>
      <c r="U2072" s="47" t="inlineStr">
        <is>
          <t>Today J dives into the frigid world of Disney's Frozen to discuss everyone's favorite shop opener Oaken and his Hygge lifestyle! Get Jonathan and Beth a Sauna :: Hygge Song ::</t>
        </is>
      </c>
      <c r="V2072" s="47">
        <f>IF(AND(P2072&gt;=Calendar!$K$2,P2072&lt;EDATE(Calendar!$K$2,1),OR(Calendar!$K$4="*",N2072=Calendar!$K$4)),P2072*100+COUNTIFS($P$6:$P$3267,P2072,$Q$6:$Q$3267,"&lt;="&amp;Q2072,$N$6:$N$3267,Calendar!$K$4),"")</f>
        <v/>
      </c>
      <c r="W2072" s="47">
        <f>IF(AND(B2072=Queue!$C$4,OR(Queue!$K$4="*",N2072=Queue!$K$4)),Q2072,"")</f>
        <v/>
      </c>
    </row>
    <row r="2073">
      <c r="A2073" s="38">
        <f>IF(M2073="","",HYPERLINK("https://www.youtube.com/watch?v="&amp;M2073,"▶"))</f>
        <v/>
      </c>
      <c r="B2073" s="39">
        <f>IF(C2073&lt;&gt;"",C2073,IF(P2073&lt;=IFERROR(INDEX(tblChannels[Watched Through],MATCH(N2073,tblChannels[Channel ID],0)),0),"Watched","Unwatched"))</f>
        <v/>
      </c>
      <c r="C2073" s="40" t="n"/>
      <c r="D2073" s="41" t="n"/>
      <c r="E2073" s="42" t="n">
        <v>43325.66875</v>
      </c>
      <c r="F2073" s="52" t="inlineStr">
        <is>
          <t>Super Carlin Gaming</t>
        </is>
      </c>
      <c r="G2073" t="inlineStr">
        <is>
          <t>Moon Pizza | Rocket League #40</t>
        </is>
      </c>
      <c r="H2073" s="44" t="n">
        <v>0.01715277777777778</v>
      </c>
      <c r="I2073" s="45" t="n">
        <v>5173</v>
      </c>
      <c r="J2073" s="45" t="n">
        <v>274</v>
      </c>
      <c r="K2073" s="45" t="n">
        <v>95</v>
      </c>
      <c r="L2073" s="46" t="n"/>
      <c r="M2073" s="47" t="n"/>
      <c r="N2073" s="47" t="inlineStr">
        <is>
          <t>UCor_9jRnNNZVzTuQ92PKsaQ</t>
        </is>
      </c>
      <c r="O2073" s="48" t="n">
        <v>43325.83541666667</v>
      </c>
      <c r="P2073" s="49" t="n">
        <v>43325</v>
      </c>
      <c r="Q2073" s="47" t="n">
        <v>1195</v>
      </c>
      <c r="R2073" s="47" t="inlineStr">
        <is>
          <t>No Video ID yet</t>
        </is>
      </c>
      <c r="S2073" s="49" t="n"/>
      <c r="T2073" s="49" t="n"/>
      <c r="U2073" s="47" t="n"/>
      <c r="V2073" s="47">
        <f>IF(AND(P2073&gt;=Calendar!$K$2,P2073&lt;EDATE(Calendar!$K$2,1),OR(Calendar!$K$4="*",N2073=Calendar!$K$4)),P2073*100+COUNTIFS($P$6:$P$3267,P2073,$Q$6:$Q$3267,"&lt;="&amp;Q2073,$N$6:$N$3267,Calendar!$K$4),"")</f>
        <v/>
      </c>
      <c r="W2073" s="47">
        <f>IF(AND(B2073=Queue!$C$4,OR(Queue!$K$4="*",N2073=Queue!$K$4)),Q2073,"")</f>
        <v/>
      </c>
    </row>
    <row r="2074">
      <c r="A2074" s="38">
        <f>IF(M2074="","",HYPERLINK("https://www.youtube.com/watch?v="&amp;M2074,"▶"))</f>
        <v/>
      </c>
      <c r="B2074" s="39">
        <f>IF(C2074&lt;&gt;"",C2074,IF(P2074&lt;=IFERROR(INDEX(tblChannels[Watched Through],MATCH(N2074,tblChannels[Channel ID],0)),0),"Watched","Unwatched"))</f>
        <v/>
      </c>
      <c r="C2074" s="40" t="n"/>
      <c r="D2074" s="41" t="n"/>
      <c r="E2074" s="42" t="n">
        <v>43325.55555555555</v>
      </c>
      <c r="F2074" s="53" t="inlineStr">
        <is>
          <t>Jonathan Carlin</t>
        </is>
      </c>
      <c r="G2074" t="inlineStr">
        <is>
          <t>10 DAYS IN FLORIDA</t>
        </is>
      </c>
      <c r="H2074" s="44" t="n">
        <v>0.009409722222222222</v>
      </c>
      <c r="I2074" s="45" t="n">
        <v>46221</v>
      </c>
      <c r="J2074" s="45" t="n">
        <v>2311</v>
      </c>
      <c r="K2074" s="45" t="n">
        <v>403</v>
      </c>
      <c r="L2074" s="46" t="n"/>
      <c r="M2074" s="47" t="n"/>
      <c r="N2074" s="47" t="inlineStr">
        <is>
          <t>UCYPKFe86e6nm4TVUYKLsFUQ</t>
        </is>
      </c>
      <c r="O2074" s="48" t="n">
        <v>43325.72222222222</v>
      </c>
      <c r="P2074" s="49" t="n">
        <v>43325</v>
      </c>
      <c r="Q2074" s="47" t="n">
        <v>1194</v>
      </c>
      <c r="R2074" s="47" t="inlineStr">
        <is>
          <t>No Video ID yet</t>
        </is>
      </c>
      <c r="S2074" s="49" t="n"/>
      <c r="T2074" s="49" t="n"/>
      <c r="U2074" s="47" t="inlineStr">
        <is>
          <t>This week J, Beth and Luke head to Beth's childhood vacation spot in Florida! Luke tries some swimming, Beth hits an Instagram milestone and J tries to sleep.</t>
        </is>
      </c>
      <c r="V2074" s="47">
        <f>IF(AND(P2074&gt;=Calendar!$K$2,P2074&lt;EDATE(Calendar!$K$2,1),OR(Calendar!$K$4="*",N2074=Calendar!$K$4)),P2074*100+COUNTIFS($P$6:$P$3267,P2074,$Q$6:$Q$3267,"&lt;="&amp;Q2074,$N$6:$N$3267,Calendar!$K$4),"")</f>
        <v/>
      </c>
      <c r="W2074" s="47">
        <f>IF(AND(B2074=Queue!$C$4,OR(Queue!$K$4="*",N2074=Queue!$K$4)),Q2074,"")</f>
        <v/>
      </c>
    </row>
    <row r="2075">
      <c r="A2075" s="38">
        <f>IF(M2075="","",HYPERLINK("https://www.youtube.com/watch?v="&amp;M2075,"▶"))</f>
        <v/>
      </c>
      <c r="B2075" s="39">
        <f>IF(C2075&lt;&gt;"",C2075,IF(P2075&lt;=IFERROR(INDEX(tblChannels[Watched Through],MATCH(N2075,tblChannels[Channel ID],0)),0),"Watched","Unwatched"))</f>
        <v/>
      </c>
      <c r="C2075" s="40" t="n"/>
      <c r="D2075" s="41" t="n"/>
      <c r="E2075" s="42" t="n">
        <v>43321.77569444444</v>
      </c>
      <c r="F2075" s="50" t="inlineStr">
        <is>
          <t>Super Carlin Brothers</t>
        </is>
      </c>
      <c r="G2075" t="inlineStr">
        <is>
          <t>Why Dumbledore Actually Hired Lockhart</t>
        </is>
      </c>
      <c r="H2075" s="44" t="n">
        <v>0.00681712962962963</v>
      </c>
      <c r="I2075" s="45" t="n">
        <v>1896813</v>
      </c>
      <c r="J2075" s="45" t="n">
        <v>43895</v>
      </c>
      <c r="K2075" s="45" t="n">
        <v>5636</v>
      </c>
      <c r="L2075" s="46" t="n"/>
      <c r="M2075" s="47" t="n"/>
      <c r="N2075" s="47" t="inlineStr">
        <is>
          <t>UCKZo4N0lVPccBkSiuyVh4yg</t>
        </is>
      </c>
      <c r="O2075" s="48" t="n">
        <v>43321.94236111111</v>
      </c>
      <c r="P2075" s="49" t="n">
        <v>43321</v>
      </c>
      <c r="Q2075" s="47" t="n">
        <v>1193</v>
      </c>
      <c r="R2075" s="47" t="inlineStr">
        <is>
          <t>No Video ID yet</t>
        </is>
      </c>
      <c r="S2075" s="49" t="n"/>
      <c r="T2075" s="49" t="n"/>
      <c r="U2075" s="47" t="inlineStr">
        <is>
          <t>Read more about Lockhart's past :: Today Ben dives into the Wizarding World of Harry Potter to reveal why Dumbledore actually hired Gilderoy Lockhart in Harry Potter's second year at Hogwarts.</t>
        </is>
      </c>
      <c r="V2075" s="47">
        <f>IF(AND(P2075&gt;=Calendar!$K$2,P2075&lt;EDATE(Calendar!$K$2,1),OR(Calendar!$K$4="*",N2075=Calendar!$K$4)),P2075*100+COUNTIFS($P$6:$P$3267,P2075,$Q$6:$Q$3267,"&lt;="&amp;Q2075,$N$6:$N$3267,Calendar!$K$4),"")</f>
        <v/>
      </c>
      <c r="W2075" s="47">
        <f>IF(AND(B2075=Queue!$C$4,OR(Queue!$K$4="*",N2075=Queue!$K$4)),Q2075,"")</f>
        <v/>
      </c>
    </row>
    <row r="2076">
      <c r="A2076" s="38">
        <f>IF(M2076="","",HYPERLINK("https://www.youtube.com/watch?v="&amp;M2076,"▶"))</f>
        <v/>
      </c>
      <c r="B2076" s="39">
        <f>IF(C2076&lt;&gt;"",C2076,IF(P2076&lt;=IFERROR(INDEX(tblChannels[Watched Through],MATCH(N2076,tblChannels[Channel ID],0)),0),"Watched","Unwatched"))</f>
        <v/>
      </c>
      <c r="C2076" s="40" t="n"/>
      <c r="D2076" s="41" t="n"/>
      <c r="E2076" s="42" t="n">
        <v>43320.60347222222</v>
      </c>
      <c r="F2076" s="52" t="inlineStr">
        <is>
          <t>Super Carlin Gaming</t>
        </is>
      </c>
      <c r="G2076" t="inlineStr">
        <is>
          <t>Shoes on Animals | Rocket League #38</t>
        </is>
      </c>
      <c r="H2076" s="44" t="n">
        <v>0.01344907407407407</v>
      </c>
      <c r="I2076" s="45" t="n">
        <v>4975</v>
      </c>
      <c r="J2076" s="45" t="n">
        <v>298</v>
      </c>
      <c r="K2076" s="45" t="n">
        <v>82</v>
      </c>
      <c r="L2076" s="46" t="n"/>
      <c r="M2076" s="47" t="n"/>
      <c r="N2076" s="47" t="inlineStr">
        <is>
          <t>UCor_9jRnNNZVzTuQ92PKsaQ</t>
        </is>
      </c>
      <c r="O2076" s="48" t="n">
        <v>43320.77013888889</v>
      </c>
      <c r="P2076" s="49" t="n">
        <v>43320</v>
      </c>
      <c r="Q2076" s="47" t="n">
        <v>1192</v>
      </c>
      <c r="R2076" s="47" t="inlineStr">
        <is>
          <t>No Video ID yet</t>
        </is>
      </c>
      <c r="S2076" s="49" t="n"/>
      <c r="T2076" s="49" t="n"/>
      <c r="U2076" s="47" t="n"/>
      <c r="V2076" s="47">
        <f>IF(AND(P2076&gt;=Calendar!$K$2,P2076&lt;EDATE(Calendar!$K$2,1),OR(Calendar!$K$4="*",N2076=Calendar!$K$4)),P2076*100+COUNTIFS($P$6:$P$3267,P2076,$Q$6:$Q$3267,"&lt;="&amp;Q2076,$N$6:$N$3267,Calendar!$K$4),"")</f>
        <v/>
      </c>
      <c r="W2076" s="47">
        <f>IF(AND(B2076=Queue!$C$4,OR(Queue!$K$4="*",N2076=Queue!$K$4)),Q2076,"")</f>
        <v/>
      </c>
    </row>
    <row r="2077">
      <c r="A2077" s="38">
        <f>IF(M2077="","",HYPERLINK("https://www.youtube.com/watch?v="&amp;M2077,"▶"))</f>
        <v/>
      </c>
      <c r="B2077" s="39">
        <f>IF(C2077&lt;&gt;"",C2077,IF(P2077&lt;=IFERROR(INDEX(tblChannels[Watched Through],MATCH(N2077,tblChannels[Channel ID],0)),0),"Watched","Unwatched"))</f>
        <v/>
      </c>
      <c r="C2077" s="40" t="n"/>
      <c r="D2077" s="41" t="n"/>
      <c r="E2077" s="42" t="n">
        <v>43319.70763888889</v>
      </c>
      <c r="F2077" s="50" t="inlineStr">
        <is>
          <t>Super Carlin Brothers</t>
        </is>
      </c>
      <c r="G2077" t="inlineStr">
        <is>
          <t>The Youngest Quidditch Player | Harry Potter Theory</t>
        </is>
      </c>
      <c r="H2077" s="44" t="n">
        <v>0.007708333333333334</v>
      </c>
      <c r="I2077" s="45" t="n">
        <v>1042595</v>
      </c>
      <c r="J2077" s="45" t="n">
        <v>27651</v>
      </c>
      <c r="K2077" s="45" t="n">
        <v>3122</v>
      </c>
      <c r="L2077" s="46" t="n"/>
      <c r="M2077" s="47" t="n"/>
      <c r="N2077" s="47" t="inlineStr">
        <is>
          <t>UCKZo4N0lVPccBkSiuyVh4yg</t>
        </is>
      </c>
      <c r="O2077" s="48" t="n">
        <v>43319.87430555555</v>
      </c>
      <c r="P2077" s="49" t="n">
        <v>43319</v>
      </c>
      <c r="Q2077" s="47" t="n">
        <v>1191</v>
      </c>
      <c r="R2077" s="47" t="inlineStr">
        <is>
          <t>No Video ID yet</t>
        </is>
      </c>
      <c r="S2077" s="49" t="n"/>
      <c r="T2077" s="49" t="n"/>
      <c r="U2077" s="47" t="inlineStr">
        <is>
          <t>Bacon &amp; Eggs :: Today J dives into the Wizarding World of Harry Potter to answer one of the oldest mysteries of them all - Who was the youngest quidditch player for a century before Harry showed up?! Special thanks to the patrons who support Super Carlin Brothers on Patreon :: Adele Grafen, AgVoss, Birk Ljungfeldt, Cynthia Boyd, Dan, Fiona Martin, Hillary Reist, Jennifer, Jimmy McGowan, Joy Spears, Kat Waterflame, Kristhell Lopez, Lasse Buan, Maddie D, Meyling V, Michael Duntz, Miranda Vasquez, Natalie Masucci, Qui Le, Samantha bransdorf, Sandra, Sarah E McCartney, Sydney Hank, Vinnie Nicotra</t>
        </is>
      </c>
      <c r="V2077" s="47">
        <f>IF(AND(P2077&gt;=Calendar!$K$2,P2077&lt;EDATE(Calendar!$K$2,1),OR(Calendar!$K$4="*",N2077=Calendar!$K$4)),P2077*100+COUNTIFS($P$6:$P$3267,P2077,$Q$6:$Q$3267,"&lt;="&amp;Q2077,$N$6:$N$3267,Calendar!$K$4),"")</f>
        <v/>
      </c>
      <c r="W2077" s="47">
        <f>IF(AND(B2077=Queue!$C$4,OR(Queue!$K$4="*",N2077=Queue!$K$4)),Q2077,"")</f>
        <v/>
      </c>
    </row>
    <row r="2078">
      <c r="A2078" s="38">
        <f>IF(M2078="","",HYPERLINK("https://www.youtube.com/watch?v="&amp;M2078,"▶"))</f>
        <v/>
      </c>
      <c r="B2078" s="39">
        <f>IF(C2078&lt;&gt;"",C2078,IF(P2078&lt;=IFERROR(INDEX(tblChannels[Watched Through],MATCH(N2078,tblChannels[Channel ID],0)),0),"Watched","Unwatched"))</f>
        <v/>
      </c>
      <c r="C2078" s="40" t="n"/>
      <c r="D2078" s="41" t="n"/>
      <c r="E2078" s="42" t="n">
        <v>43318.68611111111</v>
      </c>
      <c r="F2078" s="52" t="inlineStr">
        <is>
          <t>Super Carlin Gaming</t>
        </is>
      </c>
      <c r="G2078" t="inlineStr">
        <is>
          <t>Cloudy as a Crystal Ball | Rocket League #37</t>
        </is>
      </c>
      <c r="H2078" s="44" t="n">
        <v>0.01519675925925926</v>
      </c>
      <c r="I2078" s="45" t="n">
        <v>5353</v>
      </c>
      <c r="J2078" s="45" t="n">
        <v>258</v>
      </c>
      <c r="K2078" s="45" t="n">
        <v>71</v>
      </c>
      <c r="L2078" s="46" t="n"/>
      <c r="M2078" s="47" t="n"/>
      <c r="N2078" s="47" t="inlineStr">
        <is>
          <t>UCor_9jRnNNZVzTuQ92PKsaQ</t>
        </is>
      </c>
      <c r="O2078" s="48" t="n">
        <v>43318.85277777778</v>
      </c>
      <c r="P2078" s="49" t="n">
        <v>43318</v>
      </c>
      <c r="Q2078" s="47" t="n">
        <v>1190</v>
      </c>
      <c r="R2078" s="47" t="inlineStr">
        <is>
          <t>No Video ID yet</t>
        </is>
      </c>
      <c r="S2078" s="49" t="n"/>
      <c r="T2078" s="49" t="n"/>
      <c r="U2078" s="47" t="n"/>
      <c r="V2078" s="47">
        <f>IF(AND(P2078&gt;=Calendar!$K$2,P2078&lt;EDATE(Calendar!$K$2,1),OR(Calendar!$K$4="*",N2078=Calendar!$K$4)),P2078*100+COUNTIFS($P$6:$P$3267,P2078,$Q$6:$Q$3267,"&lt;="&amp;Q2078,$N$6:$N$3267,Calendar!$K$4),"")</f>
        <v/>
      </c>
      <c r="W2078" s="47">
        <f>IF(AND(B2078=Queue!$C$4,OR(Queue!$K$4="*",N2078=Queue!$K$4)),Q2078,"")</f>
        <v/>
      </c>
    </row>
    <row r="2079">
      <c r="A2079" s="38">
        <f>IF(M2079="","",HYPERLINK("https://www.youtube.com/watch?v="&amp;M2079,"▶"))</f>
        <v/>
      </c>
      <c r="B2079" s="39">
        <f>IF(C2079&lt;&gt;"",C2079,IF(P2079&lt;=IFERROR(INDEX(tblChannels[Watched Through],MATCH(N2079,tblChannels[Channel ID],0)),0),"Watched","Unwatched"))</f>
        <v/>
      </c>
      <c r="C2079" s="40" t="n"/>
      <c r="D2079" s="41" t="n"/>
      <c r="E2079" s="42" t="n">
        <v>43318.5125</v>
      </c>
      <c r="F2079" s="53" t="inlineStr">
        <is>
          <t>Jonathan Carlin</t>
        </is>
      </c>
      <c r="G2079" t="inlineStr">
        <is>
          <t>JORDAN FORGOT THE STRAWS</t>
        </is>
      </c>
      <c r="H2079" s="44" t="n">
        <v>0.005405092592592592</v>
      </c>
      <c r="I2079" s="45" t="n">
        <v>31524</v>
      </c>
      <c r="J2079" s="45" t="n">
        <v>1648</v>
      </c>
      <c r="K2079" s="45" t="n">
        <v>164</v>
      </c>
      <c r="L2079" s="46" t="n"/>
      <c r="M2079" s="47" t="n"/>
      <c r="N2079" s="47" t="inlineStr">
        <is>
          <t>UCYPKFe86e6nm4TVUYKLsFUQ</t>
        </is>
      </c>
      <c r="O2079" s="48" t="n">
        <v>43318.67916666667</v>
      </c>
      <c r="P2079" s="49" t="n">
        <v>43318</v>
      </c>
      <c r="Q2079" s="47" t="n">
        <v>1189</v>
      </c>
      <c r="R2079" s="47" t="inlineStr">
        <is>
          <t>No Video ID yet</t>
        </is>
      </c>
      <c r="S2079" s="49" t="n"/>
      <c r="T2079" s="49" t="n"/>
      <c r="U2079" s="47" t="inlineStr">
        <is>
          <t>Get your own UNFORGETTABLE straws here :: This week is another Blitz week for SCB and J and Ben prepare for vacation, also... Jordan forgets the straws.</t>
        </is>
      </c>
      <c r="V2079" s="47">
        <f>IF(AND(P2079&gt;=Calendar!$K$2,P2079&lt;EDATE(Calendar!$K$2,1),OR(Calendar!$K$4="*",N2079=Calendar!$K$4)),P2079*100+COUNTIFS($P$6:$P$3267,P2079,$Q$6:$Q$3267,"&lt;="&amp;Q2079,$N$6:$N$3267,Calendar!$K$4),"")</f>
        <v/>
      </c>
      <c r="W2079" s="47">
        <f>IF(AND(B2079=Queue!$C$4,OR(Queue!$K$4="*",N2079=Queue!$K$4)),Q2079,"")</f>
        <v/>
      </c>
    </row>
    <row r="2080">
      <c r="A2080" s="38">
        <f>IF(M2080="","",HYPERLINK("https://www.youtube.com/watch?v="&amp;M2080,"▶"))</f>
        <v/>
      </c>
      <c r="B2080" s="39">
        <f>IF(C2080&lt;&gt;"",C2080,IF(P2080&lt;=IFERROR(INDEX(tblChannels[Watched Through],MATCH(N2080,tblChannels[Channel ID],0)),0),"Watched","Unwatched"))</f>
        <v/>
      </c>
      <c r="C2080" s="40" t="n"/>
      <c r="D2080" s="41" t="n"/>
      <c r="E2080" s="42" t="n">
        <v>43315.74930555555</v>
      </c>
      <c r="F2080" s="52" t="inlineStr">
        <is>
          <t>Super Carlin Gaming</t>
        </is>
      </c>
      <c r="G2080" t="inlineStr">
        <is>
          <t>LIVE! Rocket League Friday Afternoon Stream</t>
        </is>
      </c>
      <c r="H2080" s="44" t="n">
        <v>0.05140046296296296</v>
      </c>
      <c r="I2080" s="45" t="n">
        <v>4117</v>
      </c>
      <c r="J2080" s="45" t="n">
        <v>142</v>
      </c>
      <c r="K2080" s="45" t="n">
        <v>19</v>
      </c>
      <c r="L2080" s="46" t="n"/>
      <c r="M2080" s="47" t="n"/>
      <c r="N2080" s="47" t="inlineStr">
        <is>
          <t>UCor_9jRnNNZVzTuQ92PKsaQ</t>
        </is>
      </c>
      <c r="O2080" s="48" t="n">
        <v>43315.91597222222</v>
      </c>
      <c r="P2080" s="49" t="n">
        <v>43315</v>
      </c>
      <c r="Q2080" s="47" t="n">
        <v>1188</v>
      </c>
      <c r="R2080" s="47" t="inlineStr">
        <is>
          <t>No Video ID yet</t>
        </is>
      </c>
      <c r="S2080" s="49" t="n"/>
      <c r="T2080" s="49" t="n"/>
      <c r="U2080" s="47" t="inlineStr">
        <is>
          <t>Support the stream: J and DK close out the week with a little Rocket League action! Join The Discord! J on twitter: Ben on Twitter: DK STREAMS ON TWITCH: Jordan on YOUTUBE:</t>
        </is>
      </c>
      <c r="V2080" s="47">
        <f>IF(AND(P2080&gt;=Calendar!$K$2,P2080&lt;EDATE(Calendar!$K$2,1),OR(Calendar!$K$4="*",N2080=Calendar!$K$4)),P2080*100+COUNTIFS($P$6:$P$3267,P2080,$Q$6:$Q$3267,"&lt;="&amp;Q2080,$N$6:$N$3267,Calendar!$K$4),"")</f>
        <v/>
      </c>
      <c r="W2080" s="47">
        <f>IF(AND(B2080=Queue!$C$4,OR(Queue!$K$4="*",N2080=Queue!$K$4)),Q2080,"")</f>
        <v/>
      </c>
    </row>
    <row r="2081">
      <c r="A2081" s="38">
        <f>IF(M2081="","",HYPERLINK("https://www.youtube.com/watch?v="&amp;M2081,"▶"))</f>
        <v/>
      </c>
      <c r="B2081" s="39">
        <f>IF(C2081&lt;&gt;"",C2081,IF(P2081&lt;=IFERROR(INDEX(tblChannels[Watched Through],MATCH(N2081,tblChannels[Channel ID],0)),0),"Watched","Unwatched"))</f>
        <v/>
      </c>
      <c r="C2081" s="40" t="n"/>
      <c r="D2081" s="41" t="n"/>
      <c r="E2081" s="42" t="n">
        <v>43315.46736111111</v>
      </c>
      <c r="F2081" s="52" t="inlineStr">
        <is>
          <t>Super Carlin Gaming</t>
        </is>
      </c>
      <c r="G2081" t="inlineStr">
        <is>
          <t>Do the Hard Thing | Rocket League #36</t>
        </is>
      </c>
      <c r="H2081" s="44" t="n">
        <v>0.01572916666666667</v>
      </c>
      <c r="I2081" s="45" t="n">
        <v>5218</v>
      </c>
      <c r="J2081" s="45" t="n">
        <v>465</v>
      </c>
      <c r="K2081" s="45" t="n">
        <v>87</v>
      </c>
      <c r="L2081" s="46" t="n"/>
      <c r="M2081" s="47" t="n"/>
      <c r="N2081" s="47" t="inlineStr">
        <is>
          <t>UCor_9jRnNNZVzTuQ92PKsaQ</t>
        </is>
      </c>
      <c r="O2081" s="48" t="n">
        <v>43315.63402777778</v>
      </c>
      <c r="P2081" s="49" t="n">
        <v>43315</v>
      </c>
      <c r="Q2081" s="47" t="n">
        <v>1187</v>
      </c>
      <c r="R2081" s="47" t="inlineStr">
        <is>
          <t>No Video ID yet</t>
        </is>
      </c>
      <c r="S2081" s="49" t="n"/>
      <c r="T2081" s="49" t="n"/>
      <c r="U2081" s="47" t="n"/>
      <c r="V2081" s="47">
        <f>IF(AND(P2081&gt;=Calendar!$K$2,P2081&lt;EDATE(Calendar!$K$2,1),OR(Calendar!$K$4="*",N2081=Calendar!$K$4)),P2081*100+COUNTIFS($P$6:$P$3267,P2081,$Q$6:$Q$3267,"&lt;="&amp;Q2081,$N$6:$N$3267,Calendar!$K$4),"")</f>
        <v/>
      </c>
      <c r="W2081" s="47">
        <f>IF(AND(B2081=Queue!$C$4,OR(Queue!$K$4="*",N2081=Queue!$K$4)),Q2081,"")</f>
        <v/>
      </c>
    </row>
    <row r="2082">
      <c r="A2082" s="38">
        <f>IF(M2082="","",HYPERLINK("https://www.youtube.com/watch?v="&amp;M2082,"▶"))</f>
        <v/>
      </c>
      <c r="B2082" s="39">
        <f>IF(C2082&lt;&gt;"",C2082,IF(P2082&lt;=IFERROR(INDEX(tblChannels[Watched Through],MATCH(N2082,tblChannels[Channel ID],0)),0),"Watched","Unwatched"))</f>
        <v/>
      </c>
      <c r="C2082" s="40" t="n"/>
      <c r="D2082" s="41" t="n"/>
      <c r="E2082" s="42" t="n">
        <v>43314.63888888889</v>
      </c>
      <c r="F2082" s="50" t="inlineStr">
        <is>
          <t>Super Carlin Brothers</t>
        </is>
      </c>
      <c r="G2082" t="inlineStr">
        <is>
          <t>J vs Ben: HARDEST Battle of Hogwarts Quiz EVER</t>
        </is>
      </c>
      <c r="H2082" s="44" t="n">
        <v>0.0172337962962963</v>
      </c>
      <c r="I2082" s="45" t="n">
        <v>808895</v>
      </c>
      <c r="J2082" s="45" t="n">
        <v>17807</v>
      </c>
      <c r="K2082" s="45" t="n">
        <v>2684</v>
      </c>
      <c r="L2082" s="46" t="n"/>
      <c r="M2082" s="47" t="n"/>
      <c r="N2082" s="47" t="inlineStr">
        <is>
          <t>UCKZo4N0lVPccBkSiuyVh4yg</t>
        </is>
      </c>
      <c r="O2082" s="48" t="n">
        <v>43314.80555555555</v>
      </c>
      <c r="P2082" s="49" t="n">
        <v>43314</v>
      </c>
      <c r="Q2082" s="47" t="n">
        <v>1186</v>
      </c>
      <c r="R2082" s="47" t="inlineStr">
        <is>
          <t>No Video ID yet</t>
        </is>
      </c>
      <c r="S2082" s="49" t="n"/>
      <c r="T2082" s="49" t="n"/>
      <c r="U2082" s="47" t="inlineStr">
        <is>
          <t>Play along with us! :: This one is a doozy! J and Ben face off in todays episode tackling some of the most specific trivia from the Battle of Hogwarts Pottermore Quiz.</t>
        </is>
      </c>
      <c r="V2082" s="47">
        <f>IF(AND(P2082&gt;=Calendar!$K$2,P2082&lt;EDATE(Calendar!$K$2,1),OR(Calendar!$K$4="*",N2082=Calendar!$K$4)),P2082*100+COUNTIFS($P$6:$P$3267,P2082,$Q$6:$Q$3267,"&lt;="&amp;Q2082,$N$6:$N$3267,Calendar!$K$4),"")</f>
        <v/>
      </c>
      <c r="W2082" s="47">
        <f>IF(AND(B2082=Queue!$C$4,OR(Queue!$K$4="*",N2082=Queue!$K$4)),Q2082,"")</f>
        <v/>
      </c>
    </row>
    <row r="2083">
      <c r="A2083" s="38">
        <f>IF(M2083="","",HYPERLINK("https://www.youtube.com/watch?v="&amp;M2083,"▶"))</f>
        <v/>
      </c>
      <c r="B2083" s="39">
        <f>IF(C2083&lt;&gt;"",C2083,IF(P2083&lt;=IFERROR(INDEX(tblChannels[Watched Through],MATCH(N2083,tblChannels[Channel ID],0)),0),"Watched","Unwatched"))</f>
        <v/>
      </c>
      <c r="C2083" s="40" t="n"/>
      <c r="D2083" s="41" t="n"/>
      <c r="E2083" s="42" t="n">
        <v>43314.01666666667</v>
      </c>
      <c r="F2083" s="52" t="inlineStr">
        <is>
          <t>Super Carlin Gaming</t>
        </is>
      </c>
      <c r="G2083" t="inlineStr">
        <is>
          <t>LIVE! Sims 4 - Maul's Lair Grows!</t>
        </is>
      </c>
      <c r="H2083" s="44" t="n">
        <v>0.08833333333333333</v>
      </c>
      <c r="I2083" s="45" t="n">
        <v>5851</v>
      </c>
      <c r="J2083" s="45" t="n">
        <v>199</v>
      </c>
      <c r="K2083" s="45" t="n">
        <v>13</v>
      </c>
      <c r="L2083" s="46" t="n"/>
      <c r="M2083" s="47" t="n"/>
      <c r="N2083" s="47" t="inlineStr">
        <is>
          <t>UCor_9jRnNNZVzTuQ92PKsaQ</t>
        </is>
      </c>
      <c r="O2083" s="48" t="n">
        <v>43314.18333333333</v>
      </c>
      <c r="P2083" s="49" t="n">
        <v>43314</v>
      </c>
      <c r="Q2083" s="47" t="n">
        <v>1185</v>
      </c>
      <c r="R2083" s="47" t="inlineStr">
        <is>
          <t>No Video ID yet</t>
        </is>
      </c>
      <c r="S2083" s="49" t="n"/>
      <c r="T2083" s="49" t="n"/>
      <c r="U2083" s="47" t="inlineStr">
        <is>
          <t>Support the stream: Just livin that crazy Sim Life... with a Sith Lord. Join The Discord! J on twitter: Ben on Twitter: DK STREAMS ON TWITCH: Jordan on YOUTUBE:</t>
        </is>
      </c>
      <c r="V2083" s="47">
        <f>IF(AND(P2083&gt;=Calendar!$K$2,P2083&lt;EDATE(Calendar!$K$2,1),OR(Calendar!$K$4="*",N2083=Calendar!$K$4)),P2083*100+COUNTIFS($P$6:$P$3267,P2083,$Q$6:$Q$3267,"&lt;="&amp;Q2083,$N$6:$N$3267,Calendar!$K$4),"")</f>
        <v/>
      </c>
      <c r="W2083" s="47">
        <f>IF(AND(B2083=Queue!$C$4,OR(Queue!$K$4="*",N2083=Queue!$K$4)),Q2083,"")</f>
        <v/>
      </c>
    </row>
    <row r="2084">
      <c r="A2084" s="38">
        <f>IF(M2084="","",HYPERLINK("https://www.youtube.com/watch?v="&amp;M2084,"▶"))</f>
        <v/>
      </c>
      <c r="B2084" s="39">
        <f>IF(C2084&lt;&gt;"",C2084,IF(P2084&lt;=IFERROR(INDEX(tblChannels[Watched Through],MATCH(N2084,tblChannels[Channel ID],0)),0),"Watched","Unwatched"))</f>
        <v/>
      </c>
      <c r="C2084" s="40" t="n"/>
      <c r="D2084" s="41" t="n"/>
      <c r="E2084" s="42" t="n">
        <v>43313.50486111111</v>
      </c>
      <c r="F2084" s="52" t="inlineStr">
        <is>
          <t>Super Carlin Gaming</t>
        </is>
      </c>
      <c r="G2084" t="inlineStr">
        <is>
          <t>Puppy Cuddles | Rocket League #35</t>
        </is>
      </c>
      <c r="H2084" s="44" t="n">
        <v>0.01324074074074074</v>
      </c>
      <c r="I2084" s="45" t="n">
        <v>5787</v>
      </c>
      <c r="J2084" s="45" t="n">
        <v>331</v>
      </c>
      <c r="K2084" s="45" t="n">
        <v>55</v>
      </c>
      <c r="L2084" s="46" t="n"/>
      <c r="M2084" s="47" t="n"/>
      <c r="N2084" s="47" t="inlineStr">
        <is>
          <t>UCor_9jRnNNZVzTuQ92PKsaQ</t>
        </is>
      </c>
      <c r="O2084" s="48" t="n">
        <v>43313.67152777778</v>
      </c>
      <c r="P2084" s="49" t="n">
        <v>43313</v>
      </c>
      <c r="Q2084" s="47" t="n">
        <v>1184</v>
      </c>
      <c r="R2084" s="47" t="inlineStr">
        <is>
          <t>No Video ID yet</t>
        </is>
      </c>
      <c r="S2084" s="49" t="n"/>
      <c r="T2084" s="49" t="n"/>
      <c r="U2084" s="47" t="inlineStr">
        <is>
          <t>J, Ben, &amp; DK and Team Skywater enter the Rocket League Coliseum and try and win their way to the league championship!</t>
        </is>
      </c>
      <c r="V2084" s="47">
        <f>IF(AND(P2084&gt;=Calendar!$K$2,P2084&lt;EDATE(Calendar!$K$2,1),OR(Calendar!$K$4="*",N2084=Calendar!$K$4)),P2084*100+COUNTIFS($P$6:$P$3267,P2084,$Q$6:$Q$3267,"&lt;="&amp;Q2084,$N$6:$N$3267,Calendar!$K$4),"")</f>
        <v/>
      </c>
      <c r="W2084" s="47">
        <f>IF(AND(B2084=Queue!$C$4,OR(Queue!$K$4="*",N2084=Queue!$K$4)),Q2084,"")</f>
        <v/>
      </c>
    </row>
    <row r="2085">
      <c r="A2085" s="38">
        <f>IF(M2085="","",HYPERLINK("https://www.youtube.com/watch?v="&amp;M2085,"▶"))</f>
        <v/>
      </c>
      <c r="B2085" s="39">
        <f>IF(C2085&lt;&gt;"",C2085,IF(P2085&lt;=IFERROR(INDEX(tblChannels[Watched Through],MATCH(N2085,tblChannels[Channel ID],0)),0),"Watched","Unwatched"))</f>
        <v/>
      </c>
      <c r="C2085" s="40" t="n"/>
      <c r="D2085" s="41" t="n"/>
      <c r="E2085" s="42" t="n">
        <v>43312.68611111111</v>
      </c>
      <c r="F2085" s="50" t="inlineStr">
        <is>
          <t>Super Carlin Brothers</t>
        </is>
      </c>
      <c r="G2085" t="inlineStr">
        <is>
          <t>Harry Potter Theory: Kowalski Is A Descendant Of Helga Hufflepuff</t>
        </is>
      </c>
      <c r="H2085" s="44" t="n">
        <v>0.007800925925925926</v>
      </c>
      <c r="I2085" s="45" t="n">
        <v>1272173</v>
      </c>
      <c r="J2085" s="45" t="n">
        <v>38298</v>
      </c>
      <c r="K2085" s="45" t="n">
        <v>5096</v>
      </c>
      <c r="L2085" s="46" t="n"/>
      <c r="M2085" s="47" t="n"/>
      <c r="N2085" s="47" t="inlineStr">
        <is>
          <t>UCKZo4N0lVPccBkSiuyVh4yg</t>
        </is>
      </c>
      <c r="O2085" s="48" t="n">
        <v>43312.85277777778</v>
      </c>
      <c r="P2085" s="49" t="n">
        <v>43312</v>
      </c>
      <c r="Q2085" s="47" t="n">
        <v>1183</v>
      </c>
      <c r="R2085" s="47" t="inlineStr">
        <is>
          <t>No Video ID yet</t>
        </is>
      </c>
      <c r="S2085" s="49" t="n"/>
      <c r="T2085" s="49" t="n"/>
      <c r="U2085" s="47" t="inlineStr">
        <is>
          <t>PREORDER Lions, Snakes, Eagles and Cakes SHIRT :: Get 10% off if you order in the first 7 days! Today J dives into the Wizarding World of Harry Potter to reveal why Hufflepuff’s mascot is a badger AND more importantly determing if Jacob Kowalski from Fantastic Beasts and Where To Find Them is a descendant of Hogwarts founder Helga Hufflepuff.</t>
        </is>
      </c>
      <c r="V2085" s="47">
        <f>IF(AND(P2085&gt;=Calendar!$K$2,P2085&lt;EDATE(Calendar!$K$2,1),OR(Calendar!$K$4="*",N2085=Calendar!$K$4)),P2085*100+COUNTIFS($P$6:$P$3267,P2085,$Q$6:$Q$3267,"&lt;="&amp;Q2085,$N$6:$N$3267,Calendar!$K$4),"")</f>
        <v/>
      </c>
      <c r="W2085" s="47">
        <f>IF(AND(B2085=Queue!$C$4,OR(Queue!$K$4="*",N2085=Queue!$K$4)),Q2085,"")</f>
        <v/>
      </c>
    </row>
    <row r="2086">
      <c r="A2086" s="38">
        <f>IF(M2086="","",HYPERLINK("https://www.youtube.com/watch?v="&amp;M2086,"▶"))</f>
        <v/>
      </c>
      <c r="B2086" s="39">
        <f>IF(C2086&lt;&gt;"",C2086,IF(P2086&lt;=IFERROR(INDEX(tblChannels[Watched Through],MATCH(N2086,tblChannels[Channel ID],0)),0),"Watched","Unwatched"))</f>
        <v/>
      </c>
      <c r="C2086" s="40" t="n"/>
      <c r="D2086" s="41" t="n"/>
      <c r="E2086" s="42" t="n">
        <v>43311.58125</v>
      </c>
      <c r="F2086" s="52" t="inlineStr">
        <is>
          <t>Super Carlin Gaming</t>
        </is>
      </c>
      <c r="G2086" t="inlineStr">
        <is>
          <t>Can't Drive Boats on Land | Rocket League #34</t>
        </is>
      </c>
      <c r="H2086" s="44" t="n">
        <v>0.01342592592592593</v>
      </c>
      <c r="I2086" s="45" t="n">
        <v>4891</v>
      </c>
      <c r="J2086" s="45" t="n">
        <v>252</v>
      </c>
      <c r="K2086" s="45" t="n">
        <v>73</v>
      </c>
      <c r="L2086" s="46" t="n"/>
      <c r="M2086" s="47" t="n"/>
      <c r="N2086" s="47" t="inlineStr">
        <is>
          <t>UCor_9jRnNNZVzTuQ92PKsaQ</t>
        </is>
      </c>
      <c r="O2086" s="48" t="n">
        <v>43311.74791666667</v>
      </c>
      <c r="P2086" s="49" t="n">
        <v>43311</v>
      </c>
      <c r="Q2086" s="47" t="n">
        <v>1182</v>
      </c>
      <c r="R2086" s="47" t="inlineStr">
        <is>
          <t>No Video ID yet</t>
        </is>
      </c>
      <c r="S2086" s="49" t="n"/>
      <c r="T2086" s="49" t="n"/>
      <c r="U2086" s="47" t="n"/>
      <c r="V2086" s="47">
        <f>IF(AND(P2086&gt;=Calendar!$K$2,P2086&lt;EDATE(Calendar!$K$2,1),OR(Calendar!$K$4="*",N2086=Calendar!$K$4)),P2086*100+COUNTIFS($P$6:$P$3267,P2086,$Q$6:$Q$3267,"&lt;="&amp;Q2086,$N$6:$N$3267,Calendar!$K$4),"")</f>
        <v/>
      </c>
      <c r="W2086" s="47">
        <f>IF(AND(B2086=Queue!$C$4,OR(Queue!$K$4="*",N2086=Queue!$K$4)),Q2086,"")</f>
        <v/>
      </c>
    </row>
    <row r="2087">
      <c r="A2087" s="38">
        <f>IF(M2087="","",HYPERLINK("https://www.youtube.com/watch?v="&amp;M2087,"▶"))</f>
        <v/>
      </c>
      <c r="B2087" s="39">
        <f>IF(C2087&lt;&gt;"",C2087,IF(P2087&lt;=IFERROR(INDEX(tblChannels[Watched Through],MATCH(N2087,tblChannels[Channel ID],0)),0),"Watched","Unwatched"))</f>
        <v/>
      </c>
      <c r="C2087" s="40" t="n"/>
      <c r="D2087" s="41" t="n"/>
      <c r="E2087" s="42" t="n">
        <v>43311.50833333333</v>
      </c>
      <c r="F2087" s="53" t="inlineStr">
        <is>
          <t>Jonathan Carlin</t>
        </is>
      </c>
      <c r="G2087" t="inlineStr">
        <is>
          <t>BETH AND LUKE GO TO NEW YORK</t>
        </is>
      </c>
      <c r="H2087" s="44" t="n">
        <v>0.006527777777777778</v>
      </c>
      <c r="I2087" s="45" t="n">
        <v>30512</v>
      </c>
      <c r="J2087" s="45" t="n">
        <v>1500</v>
      </c>
      <c r="K2087" s="45" t="n">
        <v>166</v>
      </c>
      <c r="L2087" s="46" t="n"/>
      <c r="M2087" s="47" t="n"/>
      <c r="N2087" s="47" t="inlineStr">
        <is>
          <t>UCYPKFe86e6nm4TVUYKLsFUQ</t>
        </is>
      </c>
      <c r="O2087" s="48" t="n">
        <v>43311.675</v>
      </c>
      <c r="P2087" s="49" t="n">
        <v>43311</v>
      </c>
      <c r="Q2087" s="47" t="n">
        <v>1181</v>
      </c>
      <c r="R2087" s="47" t="inlineStr">
        <is>
          <t>No Video ID yet</t>
        </is>
      </c>
      <c r="S2087" s="49" t="n"/>
      <c r="T2087" s="49" t="n"/>
      <c r="U2087" s="47" t="inlineStr">
        <is>
          <t>Stainless Steel Straws :: This week we celebrate the 4th of July and then Beth and Luke head to NY for a graduation party while J stays home and gets some sleep!</t>
        </is>
      </c>
      <c r="V2087" s="47">
        <f>IF(AND(P2087&gt;=Calendar!$K$2,P2087&lt;EDATE(Calendar!$K$2,1),OR(Calendar!$K$4="*",N2087=Calendar!$K$4)),P2087*100+COUNTIFS($P$6:$P$3267,P2087,$Q$6:$Q$3267,"&lt;="&amp;Q2087,$N$6:$N$3267,Calendar!$K$4),"")</f>
        <v/>
      </c>
      <c r="W2087" s="47">
        <f>IF(AND(B2087=Queue!$C$4,OR(Queue!$K$4="*",N2087=Queue!$K$4)),Q2087,"")</f>
        <v/>
      </c>
    </row>
    <row r="2088">
      <c r="A2088" s="38">
        <f>IF(M2088="","",HYPERLINK("https://www.youtube.com/watch?v="&amp;M2088,"▶"))</f>
        <v/>
      </c>
      <c r="B2088" s="39">
        <f>IF(C2088&lt;&gt;"",C2088,IF(P2088&lt;=IFERROR(INDEX(tblChannels[Watched Through],MATCH(N2088,tblChannels[Channel ID],0)),0),"Watched","Unwatched"))</f>
        <v/>
      </c>
      <c r="C2088" s="40" t="n"/>
      <c r="D2088" s="41" t="n"/>
      <c r="E2088" s="42" t="n">
        <v>43308.52222222222</v>
      </c>
      <c r="F2088" s="52" t="inlineStr">
        <is>
          <t>Super Carlin Gaming</t>
        </is>
      </c>
      <c r="G2088" t="inlineStr">
        <is>
          <t>Clogging Our Way Back Up | Rocket League #33</t>
        </is>
      </c>
      <c r="H2088" s="44" t="n">
        <v>0.01737268518518519</v>
      </c>
      <c r="I2088" s="45" t="n">
        <v>4997</v>
      </c>
      <c r="J2088" s="45" t="n">
        <v>244</v>
      </c>
      <c r="K2088" s="45" t="n">
        <v>67</v>
      </c>
      <c r="L2088" s="46" t="n"/>
      <c r="M2088" s="47" t="n"/>
      <c r="N2088" s="47" t="inlineStr">
        <is>
          <t>UCor_9jRnNNZVzTuQ92PKsaQ</t>
        </is>
      </c>
      <c r="O2088" s="48" t="n">
        <v>43308.68888888889</v>
      </c>
      <c r="P2088" s="49" t="n">
        <v>43308</v>
      </c>
      <c r="Q2088" s="47" t="n">
        <v>1180</v>
      </c>
      <c r="R2088" s="47" t="inlineStr">
        <is>
          <t>No Video ID yet</t>
        </is>
      </c>
      <c r="S2088" s="49" t="n"/>
      <c r="T2088" s="49" t="n"/>
      <c r="U2088" s="47" t="inlineStr">
        <is>
          <t>Sierra's Channel:</t>
        </is>
      </c>
      <c r="V2088" s="47">
        <f>IF(AND(P2088&gt;=Calendar!$K$2,P2088&lt;EDATE(Calendar!$K$2,1),OR(Calendar!$K$4="*",N2088=Calendar!$K$4)),P2088*100+COUNTIFS($P$6:$P$3267,P2088,$Q$6:$Q$3267,"&lt;="&amp;Q2088,$N$6:$N$3267,Calendar!$K$4),"")</f>
        <v/>
      </c>
      <c r="W2088" s="47">
        <f>IF(AND(B2088=Queue!$C$4,OR(Queue!$K$4="*",N2088=Queue!$K$4)),Q2088,"")</f>
        <v/>
      </c>
    </row>
    <row r="2089">
      <c r="A2089" s="38">
        <f>IF(M2089="","",HYPERLINK("https://www.youtube.com/watch?v="&amp;M2089,"▶"))</f>
        <v/>
      </c>
      <c r="B2089" s="39">
        <f>IF(C2089&lt;&gt;"",C2089,IF(P2089&lt;=IFERROR(INDEX(tblChannels[Watched Through],MATCH(N2089,tblChannels[Channel ID],0)),0),"Watched","Unwatched"))</f>
        <v/>
      </c>
      <c r="C2089" s="40" t="n"/>
      <c r="D2089" s="41" t="n"/>
      <c r="E2089" s="42" t="n">
        <v>43307.67916666667</v>
      </c>
      <c r="F2089" s="50" t="inlineStr">
        <is>
          <t>Super Carlin Brothers</t>
        </is>
      </c>
      <c r="G2089" t="inlineStr">
        <is>
          <t>J vs Ben: Blind PIXAR Drawing Challenge</t>
        </is>
      </c>
      <c r="H2089" s="44" t="n">
        <v>0.00974537037037037</v>
      </c>
      <c r="I2089" s="45" t="n">
        <v>330800</v>
      </c>
      <c r="J2089" s="45" t="n">
        <v>11558</v>
      </c>
      <c r="K2089" s="45" t="n">
        <v>1218</v>
      </c>
      <c r="L2089" s="46" t="n"/>
      <c r="M2089" s="47" t="n"/>
      <c r="N2089" s="47" t="inlineStr">
        <is>
          <t>UCKZo4N0lVPccBkSiuyVh4yg</t>
        </is>
      </c>
      <c r="O2089" s="48" t="n">
        <v>43307.84583333333</v>
      </c>
      <c r="P2089" s="49" t="n">
        <v>43307</v>
      </c>
      <c r="Q2089" s="47" t="n">
        <v>1179</v>
      </c>
      <c r="R2089" s="47" t="inlineStr">
        <is>
          <t>No Video ID yet</t>
        </is>
      </c>
      <c r="S2089" s="49" t="n"/>
      <c r="T2089" s="49" t="n"/>
      <c r="U2089" s="47" t="inlineStr">
        <is>
          <t>Today J and Ben throw on some blindfolds.. or well an Iron Man mask and try to draw and guess different Pixar characters so they can win an awesome prize!</t>
        </is>
      </c>
      <c r="V2089" s="47">
        <f>IF(AND(P2089&gt;=Calendar!$K$2,P2089&lt;EDATE(Calendar!$K$2,1),OR(Calendar!$K$4="*",N2089=Calendar!$K$4)),P2089*100+COUNTIFS($P$6:$P$3267,P2089,$Q$6:$Q$3267,"&lt;="&amp;Q2089,$N$6:$N$3267,Calendar!$K$4),"")</f>
        <v/>
      </c>
      <c r="W2089" s="47">
        <f>IF(AND(B2089=Queue!$C$4,OR(Queue!$K$4="*",N2089=Queue!$K$4)),Q2089,"")</f>
        <v/>
      </c>
    </row>
    <row r="2090">
      <c r="A2090" s="38">
        <f>IF(M2090="","",HYPERLINK("https://www.youtube.com/watch?v="&amp;M2090,"▶"))</f>
        <v/>
      </c>
      <c r="B2090" s="39">
        <f>IF(C2090&lt;&gt;"",C2090,IF(P2090&lt;=IFERROR(INDEX(tblChannels[Watched Through],MATCH(N2090,tblChannels[Channel ID],0)),0),"Watched","Unwatched"))</f>
        <v/>
      </c>
      <c r="C2090" s="40" t="n"/>
      <c r="D2090" s="41" t="n"/>
      <c r="E2090" s="42" t="n">
        <v>43306.75625</v>
      </c>
      <c r="F2090" s="52" t="inlineStr">
        <is>
          <t>Super Carlin Gaming</t>
        </is>
      </c>
      <c r="G2090" t="inlineStr">
        <is>
          <t>LIVE - Shine Thief Returns!</t>
        </is>
      </c>
      <c r="H2090" s="44" t="n">
        <v>0.03729166666666667</v>
      </c>
      <c r="I2090" s="45" t="n">
        <v>5006</v>
      </c>
      <c r="J2090" s="45" t="n">
        <v>219</v>
      </c>
      <c r="K2090" s="45" t="n">
        <v>15</v>
      </c>
      <c r="L2090" s="46" t="n"/>
      <c r="M2090" s="47" t="n"/>
      <c r="N2090" s="47" t="inlineStr">
        <is>
          <t>UCor_9jRnNNZVzTuQ92PKsaQ</t>
        </is>
      </c>
      <c r="O2090" s="48" t="n">
        <v>43306.92291666667</v>
      </c>
      <c r="P2090" s="49" t="n">
        <v>43306</v>
      </c>
      <c r="Q2090" s="47" t="n">
        <v>1178</v>
      </c>
      <c r="R2090" s="47" t="inlineStr">
        <is>
          <t>No Video ID yet</t>
        </is>
      </c>
      <c r="S2090" s="49" t="n"/>
      <c r="T2090" s="49" t="n"/>
      <c r="U2090" s="47" t="inlineStr">
        <is>
          <t>Support the stream: The craziness returns! Today we introduce Jordan to the best Mario Kart Battle style there is! SHINE THIEF! Join The Discord! J on twitter: Ben on Twitter: DK STREAMS ON TWITCH: Jordan on YOUTUBE:</t>
        </is>
      </c>
      <c r="V2090" s="47">
        <f>IF(AND(P2090&gt;=Calendar!$K$2,P2090&lt;EDATE(Calendar!$K$2,1),OR(Calendar!$K$4="*",N2090=Calendar!$K$4)),P2090*100+COUNTIFS($P$6:$P$3267,P2090,$Q$6:$Q$3267,"&lt;="&amp;Q2090,$N$6:$N$3267,Calendar!$K$4),"")</f>
        <v/>
      </c>
      <c r="W2090" s="47">
        <f>IF(AND(B2090=Queue!$C$4,OR(Queue!$K$4="*",N2090=Queue!$K$4)),Q2090,"")</f>
        <v/>
      </c>
    </row>
    <row r="2091">
      <c r="A2091" s="38">
        <f>IF(M2091="","",HYPERLINK("https://www.youtube.com/watch?v="&amp;M2091,"▶"))</f>
        <v/>
      </c>
      <c r="B2091" s="39">
        <f>IF(C2091&lt;&gt;"",C2091,IF(P2091&lt;=IFERROR(INDEX(tblChannels[Watched Through],MATCH(N2091,tblChannels[Channel ID],0)),0),"Watched","Unwatched"))</f>
        <v/>
      </c>
      <c r="C2091" s="40" t="n"/>
      <c r="D2091" s="41" t="n"/>
      <c r="E2091" s="42" t="n">
        <v>43306.50138888889</v>
      </c>
      <c r="F2091" s="52" t="inlineStr">
        <is>
          <t>Super Carlin Gaming</t>
        </is>
      </c>
      <c r="G2091" t="inlineStr">
        <is>
          <t>The Awful Nutmeg | Rocket League #32</t>
        </is>
      </c>
      <c r="H2091" s="44" t="n">
        <v>0.0118287037037037</v>
      </c>
      <c r="I2091" s="45" t="n">
        <v>4819</v>
      </c>
      <c r="J2091" s="45" t="n">
        <v>214</v>
      </c>
      <c r="K2091" s="45" t="n">
        <v>34</v>
      </c>
      <c r="L2091" s="46" t="n"/>
      <c r="M2091" s="47" t="n"/>
      <c r="N2091" s="47" t="inlineStr">
        <is>
          <t>UCor_9jRnNNZVzTuQ92PKsaQ</t>
        </is>
      </c>
      <c r="O2091" s="48" t="n">
        <v>43306.66805555556</v>
      </c>
      <c r="P2091" s="49" t="n">
        <v>43306</v>
      </c>
      <c r="Q2091" s="47" t="n">
        <v>1177</v>
      </c>
      <c r="R2091" s="47" t="inlineStr">
        <is>
          <t>No Video ID yet</t>
        </is>
      </c>
      <c r="S2091" s="49" t="n"/>
      <c r="T2091" s="49" t="n"/>
      <c r="U2091" s="47" t="n"/>
      <c r="V2091" s="47">
        <f>IF(AND(P2091&gt;=Calendar!$K$2,P2091&lt;EDATE(Calendar!$K$2,1),OR(Calendar!$K$4="*",N2091=Calendar!$K$4)),P2091*100+COUNTIFS($P$6:$P$3267,P2091,$Q$6:$Q$3267,"&lt;="&amp;Q2091,$N$6:$N$3267,Calendar!$K$4),"")</f>
        <v/>
      </c>
      <c r="W2091" s="47">
        <f>IF(AND(B2091=Queue!$C$4,OR(Queue!$K$4="*",N2091=Queue!$K$4)),Q2091,"")</f>
        <v/>
      </c>
    </row>
    <row r="2092">
      <c r="A2092" s="38">
        <f>IF(M2092="","",HYPERLINK("https://www.youtube.com/watch?v="&amp;M2092,"▶"))</f>
        <v/>
      </c>
      <c r="B2092" s="39">
        <f>IF(C2092&lt;&gt;"",C2092,IF(P2092&lt;=IFERROR(INDEX(tblChannels[Watched Through],MATCH(N2092,tblChannels[Channel ID],0)),0),"Watched","Unwatched"))</f>
        <v/>
      </c>
      <c r="C2092" s="40" t="n"/>
      <c r="D2092" s="41" t="n"/>
      <c r="E2092" s="42" t="n">
        <v>43305.78263888889</v>
      </c>
      <c r="F2092" s="50" t="inlineStr">
        <is>
          <t>Super Carlin Brothers</t>
        </is>
      </c>
      <c r="G2092" t="inlineStr">
        <is>
          <t>Why Newt Is SO Important | Crimes of Grindelwald Trailer 2 Review</t>
        </is>
      </c>
      <c r="H2092" s="44" t="n">
        <v>0.00787037037037037</v>
      </c>
      <c r="I2092" s="45" t="n">
        <v>974312</v>
      </c>
      <c r="J2092" s="45" t="n">
        <v>24162</v>
      </c>
      <c r="K2092" s="45" t="n">
        <v>2792</v>
      </c>
      <c r="L2092" s="46" t="n"/>
      <c r="M2092" s="47" t="n"/>
      <c r="N2092" s="47" t="inlineStr">
        <is>
          <t>UCKZo4N0lVPccBkSiuyVh4yg</t>
        </is>
      </c>
      <c r="O2092" s="48" t="n">
        <v>43305.94930555556</v>
      </c>
      <c r="P2092" s="49" t="n">
        <v>43305</v>
      </c>
      <c r="Q2092" s="47" t="n">
        <v>1176</v>
      </c>
      <c r="R2092" s="47" t="inlineStr">
        <is>
          <t>No Video ID yet</t>
        </is>
      </c>
      <c r="S2092" s="49" t="n"/>
      <c r="T2092" s="49" t="n"/>
      <c r="U2092" s="47" t="inlineStr">
        <is>
          <t>We LOVE Fantastic Beasts and the new trailer looks amazing and required SO much analysis! The biggest question I think we get the answer to is why Newt is just SO important.</t>
        </is>
      </c>
      <c r="V2092" s="47">
        <f>IF(AND(P2092&gt;=Calendar!$K$2,P2092&lt;EDATE(Calendar!$K$2,1),OR(Calendar!$K$4="*",N2092=Calendar!$K$4)),P2092*100+COUNTIFS($P$6:$P$3267,P2092,$Q$6:$Q$3267,"&lt;="&amp;Q2092,$N$6:$N$3267,Calendar!$K$4),"")</f>
        <v/>
      </c>
      <c r="W2092" s="47">
        <f>IF(AND(B2092=Queue!$C$4,OR(Queue!$K$4="*",N2092=Queue!$K$4)),Q2092,"")</f>
        <v/>
      </c>
    </row>
    <row r="2093">
      <c r="A2093" s="38">
        <f>IF(M2093="","",HYPERLINK("https://www.youtube.com/watch?v="&amp;M2093,"▶"))</f>
        <v/>
      </c>
      <c r="B2093" s="39">
        <f>IF(C2093&lt;&gt;"",C2093,IF(P2093&lt;=IFERROR(INDEX(tblChannels[Watched Through],MATCH(N2093,tblChannels[Channel ID],0)),0),"Watched","Unwatched"))</f>
        <v/>
      </c>
      <c r="C2093" s="40" t="n"/>
      <c r="D2093" s="41" t="n"/>
      <c r="E2093" s="42" t="n">
        <v>43304.45972222222</v>
      </c>
      <c r="F2093" s="52" t="inlineStr">
        <is>
          <t>Super Carlin Gaming</t>
        </is>
      </c>
      <c r="G2093" t="inlineStr">
        <is>
          <t>Ben, the Secret Villain | Rocket League #31</t>
        </is>
      </c>
      <c r="H2093" s="44" t="n">
        <v>0.01211805555555556</v>
      </c>
      <c r="I2093" s="45" t="n">
        <v>5266</v>
      </c>
      <c r="J2093" s="45" t="n">
        <v>253</v>
      </c>
      <c r="K2093" s="45" t="n">
        <v>51</v>
      </c>
      <c r="L2093" s="46" t="n"/>
      <c r="M2093" s="47" t="n"/>
      <c r="N2093" s="47" t="inlineStr">
        <is>
          <t>UCor_9jRnNNZVzTuQ92PKsaQ</t>
        </is>
      </c>
      <c r="O2093" s="48" t="n">
        <v>43304.62638888889</v>
      </c>
      <c r="P2093" s="49" t="n">
        <v>43304</v>
      </c>
      <c r="Q2093" s="47" t="n">
        <v>1175</v>
      </c>
      <c r="R2093" s="47" t="inlineStr">
        <is>
          <t>No Video ID yet</t>
        </is>
      </c>
      <c r="S2093" s="49" t="n"/>
      <c r="T2093" s="49" t="n"/>
      <c r="U2093" s="47" t="n"/>
      <c r="V2093" s="47">
        <f>IF(AND(P2093&gt;=Calendar!$K$2,P2093&lt;EDATE(Calendar!$K$2,1),OR(Calendar!$K$4="*",N2093=Calendar!$K$4)),P2093*100+COUNTIFS($P$6:$P$3267,P2093,$Q$6:$Q$3267,"&lt;="&amp;Q2093,$N$6:$N$3267,Calendar!$K$4),"")</f>
        <v/>
      </c>
      <c r="W2093" s="47">
        <f>IF(AND(B2093=Queue!$C$4,OR(Queue!$K$4="*",N2093=Queue!$K$4)),Q2093,"")</f>
        <v/>
      </c>
    </row>
    <row r="2094">
      <c r="A2094" s="38">
        <f>IF(M2094="","",HYPERLINK("https://www.youtube.com/watch?v="&amp;M2094,"▶"))</f>
        <v/>
      </c>
      <c r="B2094" s="39">
        <f>IF(C2094&lt;&gt;"",C2094,IF(P2094&lt;=IFERROR(INDEX(tblChannels[Watched Through],MATCH(N2094,tblChannels[Channel ID],0)),0),"Watched","Unwatched"))</f>
        <v/>
      </c>
      <c r="C2094" s="40" t="n"/>
      <c r="D2094" s="41" t="n"/>
      <c r="E2094" s="42" t="n">
        <v>43304.42013888889</v>
      </c>
      <c r="F2094" s="53" t="inlineStr">
        <is>
          <t>Jonathan Carlin</t>
        </is>
      </c>
      <c r="G2094" t="inlineStr">
        <is>
          <t>LUKE GOES TO THE BEACH</t>
        </is>
      </c>
      <c r="H2094" s="44" t="n">
        <v>0.005972222222222223</v>
      </c>
      <c r="I2094" s="45" t="n">
        <v>39116</v>
      </c>
      <c r="J2094" s="45" t="n">
        <v>1970</v>
      </c>
      <c r="K2094" s="45" t="n">
        <v>0</v>
      </c>
      <c r="L2094" s="46" t="n"/>
      <c r="M2094" s="47" t="n"/>
      <c r="N2094" s="47" t="inlineStr">
        <is>
          <t>UCYPKFe86e6nm4TVUYKLsFUQ</t>
        </is>
      </c>
      <c r="O2094" s="48" t="n">
        <v>43304.58680555555</v>
      </c>
      <c r="P2094" s="49" t="n">
        <v>43304</v>
      </c>
      <c r="Q2094" s="47" t="n">
        <v>1174</v>
      </c>
      <c r="R2094" s="47" t="inlineStr">
        <is>
          <t>No Video ID yet</t>
        </is>
      </c>
      <c r="S2094" s="49" t="n"/>
      <c r="T2094" s="49" t="n"/>
      <c r="U2094" s="47" t="inlineStr">
        <is>
          <t>Back for barely an hour the Carlin family repacks and heads tp Holden Beach for a week of relaxation!</t>
        </is>
      </c>
      <c r="V2094" s="47">
        <f>IF(AND(P2094&gt;=Calendar!$K$2,P2094&lt;EDATE(Calendar!$K$2,1),OR(Calendar!$K$4="*",N2094=Calendar!$K$4)),P2094*100+COUNTIFS($P$6:$P$3267,P2094,$Q$6:$Q$3267,"&lt;="&amp;Q2094,$N$6:$N$3267,Calendar!$K$4),"")</f>
        <v/>
      </c>
      <c r="W2094" s="47">
        <f>IF(AND(B2094=Queue!$C$4,OR(Queue!$K$4="*",N2094=Queue!$K$4)),Q2094,"")</f>
        <v/>
      </c>
    </row>
    <row r="2095">
      <c r="A2095" s="38">
        <f>IF(M2095="","",HYPERLINK("https://www.youtube.com/watch?v="&amp;M2095,"▶"))</f>
        <v/>
      </c>
      <c r="B2095" s="39">
        <f>IF(C2095&lt;&gt;"",C2095,IF(P2095&lt;=IFERROR(INDEX(tblChannels[Watched Through],MATCH(N2095,tblChannels[Channel ID],0)),0),"Watched","Unwatched"))</f>
        <v/>
      </c>
      <c r="C2095" s="40" t="n"/>
      <c r="D2095" s="41" t="n"/>
      <c r="E2095" s="42" t="n">
        <v>43301.50555555556</v>
      </c>
      <c r="F2095" s="52" t="inlineStr">
        <is>
          <t>Super Carlin Gaming</t>
        </is>
      </c>
      <c r="G2095" t="inlineStr">
        <is>
          <t>DK-Sized Duck | Rocket League #30</t>
        </is>
      </c>
      <c r="H2095" s="44" t="n">
        <v>0.01094907407407407</v>
      </c>
      <c r="I2095" s="45" t="n">
        <v>5265</v>
      </c>
      <c r="J2095" s="45" t="n">
        <v>255</v>
      </c>
      <c r="K2095" s="45" t="n">
        <v>69</v>
      </c>
      <c r="L2095" s="46" t="n"/>
      <c r="M2095" s="47" t="n"/>
      <c r="N2095" s="47" t="inlineStr">
        <is>
          <t>UCor_9jRnNNZVzTuQ92PKsaQ</t>
        </is>
      </c>
      <c r="O2095" s="48" t="n">
        <v>43301.67222222222</v>
      </c>
      <c r="P2095" s="49" t="n">
        <v>43301</v>
      </c>
      <c r="Q2095" s="47" t="n">
        <v>1173</v>
      </c>
      <c r="R2095" s="47" t="inlineStr">
        <is>
          <t>No Video ID yet</t>
        </is>
      </c>
      <c r="S2095" s="49" t="n"/>
      <c r="T2095" s="49" t="n"/>
      <c r="U2095" s="47" t="n"/>
      <c r="V2095" s="47">
        <f>IF(AND(P2095&gt;=Calendar!$K$2,P2095&lt;EDATE(Calendar!$K$2,1),OR(Calendar!$K$4="*",N2095=Calendar!$K$4)),P2095*100+COUNTIFS($P$6:$P$3267,P2095,$Q$6:$Q$3267,"&lt;="&amp;Q2095,$N$6:$N$3267,Calendar!$K$4),"")</f>
        <v/>
      </c>
      <c r="W2095" s="47">
        <f>IF(AND(B2095=Queue!$C$4,OR(Queue!$K$4="*",N2095=Queue!$K$4)),Q2095,"")</f>
        <v/>
      </c>
    </row>
    <row r="2096">
      <c r="A2096" s="38">
        <f>IF(M2096="","",HYPERLINK("https://www.youtube.com/watch?v="&amp;M2096,"▶"))</f>
        <v/>
      </c>
      <c r="B2096" s="39">
        <f>IF(C2096&lt;&gt;"",C2096,IF(P2096&lt;=IFERROR(INDEX(tblChannels[Watched Through],MATCH(N2096,tblChannels[Channel ID],0)),0),"Watched","Unwatched"))</f>
        <v/>
      </c>
      <c r="C2096" s="40" t="n"/>
      <c r="D2096" s="41" t="n"/>
      <c r="E2096" s="42" t="n">
        <v>43300.70416666667</v>
      </c>
      <c r="F2096" s="50" t="inlineStr">
        <is>
          <t>Super Carlin Brothers</t>
        </is>
      </c>
      <c r="G2096" t="inlineStr">
        <is>
          <t>Is Ron Weasley Completely and Utterly Pointless?</t>
        </is>
      </c>
      <c r="H2096" s="44" t="n">
        <v>0.007175925925925926</v>
      </c>
      <c r="I2096" s="45" t="n">
        <v>1086562</v>
      </c>
      <c r="J2096" s="45" t="n">
        <v>29678</v>
      </c>
      <c r="K2096" s="45" t="n">
        <v>5332</v>
      </c>
      <c r="L2096" s="46" t="n"/>
      <c r="M2096" s="47" t="n"/>
      <c r="N2096" s="47" t="inlineStr">
        <is>
          <t>UCKZo4N0lVPccBkSiuyVh4yg</t>
        </is>
      </c>
      <c r="O2096" s="48" t="n">
        <v>43300.87083333333</v>
      </c>
      <c r="P2096" s="49" t="n">
        <v>43300</v>
      </c>
      <c r="Q2096" s="47" t="n">
        <v>1172</v>
      </c>
      <c r="R2096" s="47" t="inlineStr">
        <is>
          <t>No Video ID yet</t>
        </is>
      </c>
      <c r="S2096" s="49" t="n"/>
      <c r="T2096" s="49" t="n"/>
      <c r="U2096" s="47" t="inlineStr">
        <is>
          <t>It's more up for debate than you may think... But today Ben dissects Ron as a character and tries to determine whether or not he is even remotely helpful to the team. Nominate SCB for a Streamy!</t>
        </is>
      </c>
      <c r="V2096" s="47">
        <f>IF(AND(P2096&gt;=Calendar!$K$2,P2096&lt;EDATE(Calendar!$K$2,1),OR(Calendar!$K$4="*",N2096=Calendar!$K$4)),P2096*100+COUNTIFS($P$6:$P$3267,P2096,$Q$6:$Q$3267,"&lt;="&amp;Q2096,$N$6:$N$3267,Calendar!$K$4),"")</f>
        <v/>
      </c>
      <c r="W2096" s="47">
        <f>IF(AND(B2096=Queue!$C$4,OR(Queue!$K$4="*",N2096=Queue!$K$4)),Q2096,"")</f>
        <v/>
      </c>
    </row>
    <row r="2097">
      <c r="A2097" s="38">
        <f>IF(M2097="","",HYPERLINK("https://www.youtube.com/watch?v="&amp;M2097,"▶"))</f>
        <v/>
      </c>
      <c r="B2097" s="39">
        <f>IF(C2097&lt;&gt;"",C2097,IF(P2097&lt;=IFERROR(INDEX(tblChannels[Watched Through],MATCH(N2097,tblChannels[Channel ID],0)),0),"Watched","Unwatched"))</f>
        <v/>
      </c>
      <c r="C2097" s="40" t="n"/>
      <c r="D2097" s="41" t="n"/>
      <c r="E2097" s="42" t="n">
        <v>43299.45069444444</v>
      </c>
      <c r="F2097" s="52" t="inlineStr">
        <is>
          <t>Super Carlin Gaming</t>
        </is>
      </c>
      <c r="G2097" t="inlineStr">
        <is>
          <t>Don't Jinx It! | Rocket League #29</t>
        </is>
      </c>
      <c r="H2097" s="44" t="n">
        <v>0.01237268518518518</v>
      </c>
      <c r="I2097" s="45" t="n">
        <v>5349</v>
      </c>
      <c r="J2097" s="45" t="n">
        <v>253</v>
      </c>
      <c r="K2097" s="45" t="n">
        <v>60</v>
      </c>
      <c r="L2097" s="46" t="n"/>
      <c r="M2097" s="47" t="n"/>
      <c r="N2097" s="47" t="inlineStr">
        <is>
          <t>UCor_9jRnNNZVzTuQ92PKsaQ</t>
        </is>
      </c>
      <c r="O2097" s="48" t="n">
        <v>43299.61736111111</v>
      </c>
      <c r="P2097" s="49" t="n">
        <v>43299</v>
      </c>
      <c r="Q2097" s="47" t="n">
        <v>1171</v>
      </c>
      <c r="R2097" s="47" t="inlineStr">
        <is>
          <t>No Video ID yet</t>
        </is>
      </c>
      <c r="S2097" s="49" t="n"/>
      <c r="T2097" s="49" t="n"/>
      <c r="U2097" s="47" t="n"/>
      <c r="V2097" s="47">
        <f>IF(AND(P2097&gt;=Calendar!$K$2,P2097&lt;EDATE(Calendar!$K$2,1),OR(Calendar!$K$4="*",N2097=Calendar!$K$4)),P2097*100+COUNTIFS($P$6:$P$3267,P2097,$Q$6:$Q$3267,"&lt;="&amp;Q2097,$N$6:$N$3267,Calendar!$K$4),"")</f>
        <v/>
      </c>
      <c r="W2097" s="47">
        <f>IF(AND(B2097=Queue!$C$4,OR(Queue!$K$4="*",N2097=Queue!$K$4)),Q2097,"")</f>
        <v/>
      </c>
    </row>
    <row r="2098">
      <c r="A2098" s="38">
        <f>IF(M2098="","",HYPERLINK("https://www.youtube.com/watch?v="&amp;M2098,"▶"))</f>
        <v/>
      </c>
      <c r="B2098" s="39">
        <f>IF(C2098&lt;&gt;"",C2098,IF(P2098&lt;=IFERROR(INDEX(tblChannels[Watched Through],MATCH(N2098,tblChannels[Channel ID],0)),0),"Watched","Unwatched"))</f>
        <v/>
      </c>
      <c r="C2098" s="40" t="n"/>
      <c r="D2098" s="41" t="n"/>
      <c r="E2098" s="42" t="n">
        <v>43298.65555555555</v>
      </c>
      <c r="F2098" s="50" t="inlineStr">
        <is>
          <t>Super Carlin Brothers</t>
        </is>
      </c>
      <c r="G2098" t="inlineStr">
        <is>
          <t>Pixar Theory: What Will Jack-Jack's FINAL Powers Be?</t>
        </is>
      </c>
      <c r="H2098" s="44" t="n">
        <v>0.01018518518518519</v>
      </c>
      <c r="I2098" s="45" t="n">
        <v>1234457</v>
      </c>
      <c r="J2098" s="45" t="n">
        <v>30944</v>
      </c>
      <c r="K2098" s="45" t="n">
        <v>4685</v>
      </c>
      <c r="L2098" s="46" t="n"/>
      <c r="M2098" s="47" t="n"/>
      <c r="N2098" s="47" t="inlineStr">
        <is>
          <t>UCKZo4N0lVPccBkSiuyVh4yg</t>
        </is>
      </c>
      <c r="O2098" s="48" t="n">
        <v>43298.82222222222</v>
      </c>
      <c r="P2098" s="49" t="n">
        <v>43298</v>
      </c>
      <c r="Q2098" s="47" t="n">
        <v>1170</v>
      </c>
      <c r="R2098" s="47" t="inlineStr">
        <is>
          <t>No Video ID yet</t>
        </is>
      </c>
      <c r="S2098" s="49" t="n"/>
      <c r="T2098" s="49" t="n"/>
      <c r="U2098" s="47" t="inlineStr">
        <is>
          <t>Start protecting yourself on the web at or use code HEYBROTHER and save 77%! By now everyone knows that Jack Jack has more powers than is normal. So today J tries to figure out which of his many powers he may keep on into adulthood! (Spoilers, it's more than one)</t>
        </is>
      </c>
      <c r="V2098" s="47">
        <f>IF(AND(P2098&gt;=Calendar!$K$2,P2098&lt;EDATE(Calendar!$K$2,1),OR(Calendar!$K$4="*",N2098=Calendar!$K$4)),P2098*100+COUNTIFS($P$6:$P$3267,P2098,$Q$6:$Q$3267,"&lt;="&amp;Q2098,$N$6:$N$3267,Calendar!$K$4),"")</f>
        <v/>
      </c>
      <c r="W2098" s="47">
        <f>IF(AND(B2098=Queue!$C$4,OR(Queue!$K$4="*",N2098=Queue!$K$4)),Q2098,"")</f>
        <v/>
      </c>
    </row>
    <row r="2099">
      <c r="A2099" s="38">
        <f>IF(M2099="","",HYPERLINK("https://www.youtube.com/watch?v="&amp;M2099,"▶"))</f>
        <v/>
      </c>
      <c r="B2099" s="39">
        <f>IF(C2099&lt;&gt;"",C2099,IF(P2099&lt;=IFERROR(INDEX(tblChannels[Watched Through],MATCH(N2099,tblChannels[Channel ID],0)),0),"Watched","Unwatched"))</f>
        <v/>
      </c>
      <c r="C2099" s="40" t="n"/>
      <c r="D2099" s="41" t="n"/>
      <c r="E2099" s="42" t="n">
        <v>43297.59027777778</v>
      </c>
      <c r="F2099" s="52" t="inlineStr">
        <is>
          <t>Super Carlin Gaming</t>
        </is>
      </c>
      <c r="G2099" t="inlineStr">
        <is>
          <t>Déjà Vu | Rocket League #28</t>
        </is>
      </c>
      <c r="H2099" s="44" t="n">
        <v>0.01815972222222222</v>
      </c>
      <c r="I2099" s="45" t="n">
        <v>6504</v>
      </c>
      <c r="J2099" s="45" t="n">
        <v>271</v>
      </c>
      <c r="K2099" s="45" t="n">
        <v>63</v>
      </c>
      <c r="L2099" s="46" t="n"/>
      <c r="M2099" s="47" t="n"/>
      <c r="N2099" s="47" t="inlineStr">
        <is>
          <t>UCor_9jRnNNZVzTuQ92PKsaQ</t>
        </is>
      </c>
      <c r="O2099" s="48" t="n">
        <v>43297.75694444445</v>
      </c>
      <c r="P2099" s="49" t="n">
        <v>43297</v>
      </c>
      <c r="Q2099" s="47" t="n">
        <v>1169</v>
      </c>
      <c r="R2099" s="47" t="inlineStr">
        <is>
          <t>No Video ID yet</t>
        </is>
      </c>
      <c r="S2099" s="49" t="n"/>
      <c r="T2099" s="49" t="n"/>
      <c r="U2099" s="47" t="inlineStr">
        <is>
          <t>Here's Jordan's video that Ben mentioned:</t>
        </is>
      </c>
      <c r="V2099" s="47">
        <f>IF(AND(P2099&gt;=Calendar!$K$2,P2099&lt;EDATE(Calendar!$K$2,1),OR(Calendar!$K$4="*",N2099=Calendar!$K$4)),P2099*100+COUNTIFS($P$6:$P$3267,P2099,$Q$6:$Q$3267,"&lt;="&amp;Q2099,$N$6:$N$3267,Calendar!$K$4),"")</f>
        <v/>
      </c>
      <c r="W2099" s="47">
        <f>IF(AND(B2099=Queue!$C$4,OR(Queue!$K$4="*",N2099=Queue!$K$4)),Q2099,"")</f>
        <v/>
      </c>
    </row>
    <row r="2100">
      <c r="A2100" s="38">
        <f>IF(M2100="","",HYPERLINK("https://www.youtube.com/watch?v="&amp;M2100,"▶"))</f>
        <v/>
      </c>
      <c r="B2100" s="39">
        <f>IF(C2100&lt;&gt;"",C2100,IF(P2100&lt;=IFERROR(INDEX(tblChannels[Watched Through],MATCH(N2100,tblChannels[Channel ID],0)),0),"Watched","Unwatched"))</f>
        <v/>
      </c>
      <c r="C2100" s="40" t="n"/>
      <c r="D2100" s="41" t="n"/>
      <c r="E2100" s="42" t="n">
        <v>43297.53888888889</v>
      </c>
      <c r="F2100" s="53" t="inlineStr">
        <is>
          <t>Jonathan Carlin</t>
        </is>
      </c>
      <c r="G2100" t="inlineStr">
        <is>
          <t>SUPER CARLIN VID CON ADVENTURE</t>
        </is>
      </c>
      <c r="H2100" s="44" t="n">
        <v>0.007511574074074074</v>
      </c>
      <c r="I2100" s="45" t="n">
        <v>33395</v>
      </c>
      <c r="J2100" s="45" t="n">
        <v>1599</v>
      </c>
      <c r="K2100" s="45" t="n">
        <v>95</v>
      </c>
      <c r="L2100" s="46" t="n"/>
      <c r="M2100" s="47" t="n"/>
      <c r="N2100" s="47" t="inlineStr">
        <is>
          <t>UCYPKFe86e6nm4TVUYKLsFUQ</t>
        </is>
      </c>
      <c r="O2100" s="48" t="n">
        <v>43297.70555555556</v>
      </c>
      <c r="P2100" s="49" t="n">
        <v>43297</v>
      </c>
      <c r="Q2100" s="47" t="n">
        <v>1168</v>
      </c>
      <c r="R2100" s="47" t="inlineStr">
        <is>
          <t>No Video ID yet</t>
        </is>
      </c>
      <c r="S2100" s="49" t="n"/>
      <c r="T2100" s="49" t="n"/>
      <c r="U2100" s="47" t="inlineStr">
        <is>
          <t>This week J and the Super Carlin Brothers team do VID CON and hang out with Phillip DeFranco, Brizzy Voices and lots of other great people! SCB on The Philly D Book Club :: Solo Stove ::</t>
        </is>
      </c>
      <c r="V2100" s="47">
        <f>IF(AND(P2100&gt;=Calendar!$K$2,P2100&lt;EDATE(Calendar!$K$2,1),OR(Calendar!$K$4="*",N2100=Calendar!$K$4)),P2100*100+COUNTIFS($P$6:$P$3267,P2100,$Q$6:$Q$3267,"&lt;="&amp;Q2100,$N$6:$N$3267,Calendar!$K$4),"")</f>
        <v/>
      </c>
      <c r="W2100" s="47">
        <f>IF(AND(B2100=Queue!$C$4,OR(Queue!$K$4="*",N2100=Queue!$K$4)),Q2100,"")</f>
        <v/>
      </c>
    </row>
    <row r="2101">
      <c r="A2101" s="38">
        <f>IF(M2101="","",HYPERLINK("https://www.youtube.com/watch?v="&amp;M2101,"▶"))</f>
        <v/>
      </c>
      <c r="B2101" s="39">
        <f>IF(C2101&lt;&gt;"",C2101,IF(P2101&lt;=IFERROR(INDEX(tblChannels[Watched Through],MATCH(N2101,tblChannels[Channel ID],0)),0),"Watched","Unwatched"))</f>
        <v/>
      </c>
      <c r="C2101" s="40" t="n"/>
      <c r="D2101" s="41" t="n"/>
      <c r="E2101" s="42" t="n">
        <v>43295.5625</v>
      </c>
      <c r="F2101" s="52" t="inlineStr">
        <is>
          <t>Super Carlin Gaming</t>
        </is>
      </c>
      <c r="G2101" t="inlineStr">
        <is>
          <t>How Many Holes Do Straws Have? | Rocket League EXTRA</t>
        </is>
      </c>
      <c r="H2101" s="44" t="n">
        <v>0.0112037037037037</v>
      </c>
      <c r="I2101" s="45" t="n">
        <v>8452</v>
      </c>
      <c r="J2101" s="45" t="n">
        <v>291</v>
      </c>
      <c r="K2101" s="45" t="n">
        <v>92</v>
      </c>
      <c r="L2101" s="46" t="n"/>
      <c r="M2101" s="47" t="n"/>
      <c r="N2101" s="47" t="inlineStr">
        <is>
          <t>UCor_9jRnNNZVzTuQ92PKsaQ</t>
        </is>
      </c>
      <c r="O2101" s="48" t="n">
        <v>43295.72916666666</v>
      </c>
      <c r="P2101" s="49" t="n">
        <v>43295</v>
      </c>
      <c r="Q2101" s="47" t="n">
        <v>1167</v>
      </c>
      <c r="R2101" s="47" t="inlineStr">
        <is>
          <t>No Video ID yet</t>
        </is>
      </c>
      <c r="S2101" s="49" t="n"/>
      <c r="T2101" s="49" t="n"/>
      <c r="U2101" s="47" t="n"/>
      <c r="V2101" s="47">
        <f>IF(AND(P2101&gt;=Calendar!$K$2,P2101&lt;EDATE(Calendar!$K$2,1),OR(Calendar!$K$4="*",N2101=Calendar!$K$4)),P2101*100+COUNTIFS($P$6:$P$3267,P2101,$Q$6:$Q$3267,"&lt;="&amp;Q2101,$N$6:$N$3267,Calendar!$K$4),"")</f>
        <v/>
      </c>
      <c r="W2101" s="47">
        <f>IF(AND(B2101=Queue!$C$4,OR(Queue!$K$4="*",N2101=Queue!$K$4)),Q2101,"")</f>
        <v/>
      </c>
    </row>
    <row r="2102">
      <c r="A2102" s="38">
        <f>IF(M2102="","",HYPERLINK("https://www.youtube.com/watch?v="&amp;M2102,"▶"))</f>
        <v/>
      </c>
      <c r="B2102" s="39">
        <f>IF(C2102&lt;&gt;"",C2102,IF(P2102&lt;=IFERROR(INDEX(tblChannels[Watched Through],MATCH(N2102,tblChannels[Channel ID],0)),0),"Watched","Unwatched"))</f>
        <v/>
      </c>
      <c r="C2102" s="40" t="n"/>
      <c r="D2102" s="41" t="n"/>
      <c r="E2102" s="42" t="n">
        <v>43294.4375</v>
      </c>
      <c r="F2102" s="52" t="inlineStr">
        <is>
          <t>Super Carlin Gaming</t>
        </is>
      </c>
      <c r="G2102" t="inlineStr">
        <is>
          <t>Sparkly New Season | Rocket League #27</t>
        </is>
      </c>
      <c r="H2102" s="44" t="n">
        <v>0.0131712962962963</v>
      </c>
      <c r="I2102" s="45" t="n">
        <v>6117</v>
      </c>
      <c r="J2102" s="45" t="n">
        <v>256</v>
      </c>
      <c r="K2102" s="45" t="n">
        <v>86</v>
      </c>
      <c r="L2102" s="46" t="n"/>
      <c r="M2102" s="47" t="n"/>
      <c r="N2102" s="47" t="inlineStr">
        <is>
          <t>UCor_9jRnNNZVzTuQ92PKsaQ</t>
        </is>
      </c>
      <c r="O2102" s="48" t="n">
        <v>43294.60416666666</v>
      </c>
      <c r="P2102" s="49" t="n">
        <v>43294</v>
      </c>
      <c r="Q2102" s="47" t="n">
        <v>1166</v>
      </c>
      <c r="R2102" s="47" t="inlineStr">
        <is>
          <t>No Video ID yet</t>
        </is>
      </c>
      <c r="S2102" s="49" t="n"/>
      <c r="T2102" s="49" t="n"/>
      <c r="U2102" s="47" t="n"/>
      <c r="V2102" s="47">
        <f>IF(AND(P2102&gt;=Calendar!$K$2,P2102&lt;EDATE(Calendar!$K$2,1),OR(Calendar!$K$4="*",N2102=Calendar!$K$4)),P2102*100+COUNTIFS($P$6:$P$3267,P2102,$Q$6:$Q$3267,"&lt;="&amp;Q2102,$N$6:$N$3267,Calendar!$K$4),"")</f>
        <v/>
      </c>
      <c r="W2102" s="47">
        <f>IF(AND(B2102=Queue!$C$4,OR(Queue!$K$4="*",N2102=Queue!$K$4)),Q2102,"")</f>
        <v/>
      </c>
    </row>
    <row r="2103">
      <c r="A2103" s="38">
        <f>IF(M2103="","",HYPERLINK("https://www.youtube.com/watch?v="&amp;M2103,"▶"))</f>
        <v/>
      </c>
      <c r="B2103" s="39">
        <f>IF(C2103&lt;&gt;"",C2103,IF(P2103&lt;=IFERROR(INDEX(tblChannels[Watched Through],MATCH(N2103,tblChannels[Channel ID],0)),0),"Watched","Unwatched"))</f>
        <v/>
      </c>
      <c r="C2103" s="40" t="n"/>
      <c r="D2103" s="41" t="n"/>
      <c r="E2103" s="42" t="n">
        <v>43293.68680555555</v>
      </c>
      <c r="F2103" s="50" t="inlineStr">
        <is>
          <t>Super Carlin Brothers</t>
        </is>
      </c>
      <c r="G2103" t="inlineStr">
        <is>
          <t>Harry Potter Theory: The Origin of Moody's Eye</t>
        </is>
      </c>
      <c r="H2103" s="44" t="n">
        <v>0.008900462962962962</v>
      </c>
      <c r="I2103" s="45" t="n">
        <v>1425173</v>
      </c>
      <c r="J2103" s="45" t="n">
        <v>35869</v>
      </c>
      <c r="K2103" s="45" t="n">
        <v>4421</v>
      </c>
      <c r="L2103" s="46" t="n"/>
      <c r="M2103" s="47" t="n"/>
      <c r="N2103" s="47" t="inlineStr">
        <is>
          <t>UCKZo4N0lVPccBkSiuyVh4yg</t>
        </is>
      </c>
      <c r="O2103" s="48" t="n">
        <v>43293.85347222222</v>
      </c>
      <c r="P2103" s="49" t="n">
        <v>43293</v>
      </c>
      <c r="Q2103" s="47" t="n">
        <v>1165</v>
      </c>
      <c r="R2103" s="47" t="inlineStr">
        <is>
          <t>No Video ID yet</t>
        </is>
      </c>
      <c r="S2103" s="49" t="n"/>
      <c r="T2103" s="49" t="n"/>
      <c r="U2103" s="47" t="inlineStr">
        <is>
          <t>Use our link or text code scb to 500-500 to get a free book and 30-day free trial. SCB on The Philly D Book Club :: Today Ben dives into the Wizarding world of Harry Potter to discuss the mysterious history of Mad Eye Moody's eye and if it was perhaps once owned by Gellert Grindelwald P A T R E O N ►► M E R C H ►► PLAYLISTS V L O G ►► I N S T A G R A M ►► &amp; F A C E B O O K ►►</t>
        </is>
      </c>
      <c r="V2103" s="47">
        <f>IF(AND(P2103&gt;=Calendar!$K$2,P2103&lt;EDATE(Calendar!$K$2,1),OR(Calendar!$K$4="*",N2103=Calendar!$K$4)),P2103*100+COUNTIFS($P$6:$P$3267,P2103,$Q$6:$Q$3267,"&lt;="&amp;Q2103,$N$6:$N$3267,Calendar!$K$4),"")</f>
        <v/>
      </c>
      <c r="W2103" s="47">
        <f>IF(AND(B2103=Queue!$C$4,OR(Queue!$K$4="*",N2103=Queue!$K$4)),Q2103,"")</f>
        <v/>
      </c>
    </row>
    <row r="2104">
      <c r="A2104" s="38">
        <f>IF(M2104="","",HYPERLINK("https://www.youtube.com/watch?v="&amp;M2104,"▶"))</f>
        <v/>
      </c>
      <c r="B2104" s="39">
        <f>IF(C2104&lt;&gt;"",C2104,IF(P2104&lt;=IFERROR(INDEX(tblChannels[Watched Through],MATCH(N2104,tblChannels[Channel ID],0)),0),"Watched","Unwatched"))</f>
        <v/>
      </c>
      <c r="C2104" s="40" t="n"/>
      <c r="D2104" s="41" t="n"/>
      <c r="E2104" s="42" t="n">
        <v>43292.4375</v>
      </c>
      <c r="F2104" s="52" t="inlineStr">
        <is>
          <t>Super Carlin Gaming</t>
        </is>
      </c>
      <c r="G2104" t="inlineStr">
        <is>
          <t>Veritable Omelet (SEASON CHAMPIONSHIP!) | Rocket League #26</t>
        </is>
      </c>
      <c r="H2104" s="44" t="n">
        <v>0.01428240740740741</v>
      </c>
      <c r="I2104" s="45" t="n">
        <v>5925</v>
      </c>
      <c r="J2104" s="45" t="n">
        <v>290</v>
      </c>
      <c r="K2104" s="45" t="n">
        <v>96</v>
      </c>
      <c r="L2104" s="46" t="n"/>
      <c r="M2104" s="47" t="n"/>
      <c r="N2104" s="47" t="inlineStr">
        <is>
          <t>UCor_9jRnNNZVzTuQ92PKsaQ</t>
        </is>
      </c>
      <c r="O2104" s="48" t="n">
        <v>43292.60416666666</v>
      </c>
      <c r="P2104" s="49" t="n">
        <v>43292</v>
      </c>
      <c r="Q2104" s="47" t="n">
        <v>1164</v>
      </c>
      <c r="R2104" s="47" t="inlineStr">
        <is>
          <t>No Video ID yet</t>
        </is>
      </c>
      <c r="S2104" s="49" t="n"/>
      <c r="T2104" s="49" t="n"/>
      <c r="U2104" s="47" t="n"/>
      <c r="V2104" s="47">
        <f>IF(AND(P2104&gt;=Calendar!$K$2,P2104&lt;EDATE(Calendar!$K$2,1),OR(Calendar!$K$4="*",N2104=Calendar!$K$4)),P2104*100+COUNTIFS($P$6:$P$3267,P2104,$Q$6:$Q$3267,"&lt;="&amp;Q2104,$N$6:$N$3267,Calendar!$K$4),"")</f>
        <v/>
      </c>
      <c r="W2104" s="47">
        <f>IF(AND(B2104=Queue!$C$4,OR(Queue!$K$4="*",N2104=Queue!$K$4)),Q2104,"")</f>
        <v/>
      </c>
    </row>
    <row r="2105">
      <c r="A2105" s="38">
        <f>IF(M2105="","",HYPERLINK("https://www.youtube.com/watch?v="&amp;M2105,"▶"))</f>
        <v/>
      </c>
      <c r="B2105" s="39">
        <f>IF(C2105&lt;&gt;"",C2105,IF(P2105&lt;=IFERROR(INDEX(tblChannels[Watched Through],MATCH(N2105,tblChannels[Channel ID],0)),0),"Watched","Unwatched"))</f>
        <v/>
      </c>
      <c r="C2105" s="40" t="n"/>
      <c r="D2105" s="41" t="n"/>
      <c r="E2105" s="42" t="n">
        <v>43292.04027777778</v>
      </c>
      <c r="F2105" s="52" t="inlineStr">
        <is>
          <t>Super Carlin Gaming</t>
        </is>
      </c>
      <c r="G2105" t="inlineStr">
        <is>
          <t>LIVE - SIMS 4 - J, Ben, DK... and Darth Maul</t>
        </is>
      </c>
      <c r="H2105" s="44" t="n">
        <v>0.08090277777777778</v>
      </c>
      <c r="I2105" s="45" t="n">
        <v>7769</v>
      </c>
      <c r="J2105" s="45" t="n">
        <v>222</v>
      </c>
      <c r="K2105" s="45" t="n">
        <v>15</v>
      </c>
      <c r="L2105" s="46" t="n"/>
      <c r="M2105" s="47" t="n"/>
      <c r="N2105" s="47" t="inlineStr">
        <is>
          <t>UCor_9jRnNNZVzTuQ92PKsaQ</t>
        </is>
      </c>
      <c r="O2105" s="48" t="n">
        <v>43292.20694444444</v>
      </c>
      <c r="P2105" s="49" t="n">
        <v>43292</v>
      </c>
      <c r="Q2105" s="47" t="n">
        <v>1163</v>
      </c>
      <c r="R2105" s="47" t="inlineStr">
        <is>
          <t>No Video ID yet</t>
        </is>
      </c>
      <c r="S2105" s="49" t="n"/>
      <c r="T2105" s="49" t="n"/>
      <c r="U2105" s="47" t="inlineStr">
        <is>
          <t>Just 4 dudes livin that crazy SIM LIFE YO! Join The Discord! J on twitter: Ben on Twitter: DK on Twitter:</t>
        </is>
      </c>
      <c r="V2105" s="47">
        <f>IF(AND(P2105&gt;=Calendar!$K$2,P2105&lt;EDATE(Calendar!$K$2,1),OR(Calendar!$K$4="*",N2105=Calendar!$K$4)),P2105*100+COUNTIFS($P$6:$P$3267,P2105,$Q$6:$Q$3267,"&lt;="&amp;Q2105,$N$6:$N$3267,Calendar!$K$4),"")</f>
        <v/>
      </c>
      <c r="W2105" s="47">
        <f>IF(AND(B2105=Queue!$C$4,OR(Queue!$K$4="*",N2105=Queue!$K$4)),Q2105,"")</f>
        <v/>
      </c>
    </row>
    <row r="2106">
      <c r="A2106" s="38">
        <f>IF(M2106="","",HYPERLINK("https://www.youtube.com/watch?v="&amp;M2106,"▶"))</f>
        <v/>
      </c>
      <c r="B2106" s="39">
        <f>IF(C2106&lt;&gt;"",C2106,IF(P2106&lt;=IFERROR(INDEX(tblChannels[Watched Through],MATCH(N2106,tblChannels[Channel ID],0)),0),"Watched","Unwatched"))</f>
        <v/>
      </c>
      <c r="C2106" s="40" t="n"/>
      <c r="D2106" s="41" t="n"/>
      <c r="E2106" s="42" t="n">
        <v>43291.81666666667</v>
      </c>
      <c r="F2106" s="50" t="inlineStr">
        <is>
          <t>Super Carlin Brothers</t>
        </is>
      </c>
      <c r="G2106" t="inlineStr">
        <is>
          <t>How Dumbledore REALLY Planned Harry's Death | Harry Potter Theory</t>
        </is>
      </c>
      <c r="H2106" s="44" t="n">
        <v>0.009791666666666667</v>
      </c>
      <c r="I2106" s="45" t="n">
        <v>1745061</v>
      </c>
      <c r="J2106" s="45" t="n">
        <v>40333</v>
      </c>
      <c r="K2106" s="45" t="n">
        <v>3212</v>
      </c>
      <c r="L2106" s="46" t="n"/>
      <c r="M2106" s="47" t="n"/>
      <c r="N2106" s="47" t="inlineStr">
        <is>
          <t>UCKZo4N0lVPccBkSiuyVh4yg</t>
        </is>
      </c>
      <c r="O2106" s="48" t="n">
        <v>43291.98333333333</v>
      </c>
      <c r="P2106" s="49" t="n">
        <v>43291</v>
      </c>
      <c r="Q2106" s="47" t="n">
        <v>1162</v>
      </c>
      <c r="R2106" s="47" t="inlineStr">
        <is>
          <t>No Video ID yet</t>
        </is>
      </c>
      <c r="S2106" s="49" t="n"/>
      <c r="T2106" s="49" t="n"/>
      <c r="U2106" s="47" t="inlineStr">
        <is>
          <t>Today J dives into the Wizarding World of Harry Potter to try and figure out why Dumbledore left Harry, Ron and Hermione the Tales of Beedle the Bard, the Snitch and the Deluminator and how they all tie into the mysterious phrase: I Open At The Close.</t>
        </is>
      </c>
      <c r="V2106" s="47">
        <f>IF(AND(P2106&gt;=Calendar!$K$2,P2106&lt;EDATE(Calendar!$K$2,1),OR(Calendar!$K$4="*",N2106=Calendar!$K$4)),P2106*100+COUNTIFS($P$6:$P$3267,P2106,$Q$6:$Q$3267,"&lt;="&amp;Q2106,$N$6:$N$3267,Calendar!$K$4),"")</f>
        <v/>
      </c>
      <c r="W2106" s="47">
        <f>IF(AND(B2106=Queue!$C$4,OR(Queue!$K$4="*",N2106=Queue!$K$4)),Q2106,"")</f>
        <v/>
      </c>
    </row>
    <row r="2107">
      <c r="A2107" s="38">
        <f>IF(M2107="","",HYPERLINK("https://www.youtube.com/watch?v="&amp;M2107,"▶"))</f>
        <v/>
      </c>
      <c r="B2107" s="39">
        <f>IF(C2107&lt;&gt;"",C2107,IF(P2107&lt;=IFERROR(INDEX(tblChannels[Watched Through],MATCH(N2107,tblChannels[Channel ID],0)),0),"Watched","Unwatched"))</f>
        <v/>
      </c>
      <c r="C2107" s="40" t="n"/>
      <c r="D2107" s="41" t="n"/>
      <c r="E2107" s="42" t="n">
        <v>43290.575</v>
      </c>
      <c r="F2107" s="52" t="inlineStr">
        <is>
          <t>Super Carlin Gaming</t>
        </is>
      </c>
      <c r="G2107" t="inlineStr">
        <is>
          <t>Crock Pot Liners | Rocket League #25</t>
        </is>
      </c>
      <c r="H2107" s="44" t="n">
        <v>0.01418981481481481</v>
      </c>
      <c r="I2107" s="45" t="n">
        <v>5940</v>
      </c>
      <c r="J2107" s="45" t="n">
        <v>271</v>
      </c>
      <c r="K2107" s="45" t="n">
        <v>75</v>
      </c>
      <c r="L2107" s="46" t="n"/>
      <c r="M2107" s="47" t="n"/>
      <c r="N2107" s="47" t="inlineStr">
        <is>
          <t>UCor_9jRnNNZVzTuQ92PKsaQ</t>
        </is>
      </c>
      <c r="O2107" s="48" t="n">
        <v>43290.74166666667</v>
      </c>
      <c r="P2107" s="49" t="n">
        <v>43290</v>
      </c>
      <c r="Q2107" s="47" t="n">
        <v>1161</v>
      </c>
      <c r="R2107" s="47" t="inlineStr">
        <is>
          <t>No Video ID yet</t>
        </is>
      </c>
      <c r="S2107" s="49" t="n"/>
      <c r="T2107" s="49" t="n"/>
      <c r="U2107" s="47" t="inlineStr">
        <is>
          <t>Crock Pot Liners:</t>
        </is>
      </c>
      <c r="V2107" s="47">
        <f>IF(AND(P2107&gt;=Calendar!$K$2,P2107&lt;EDATE(Calendar!$K$2,1),OR(Calendar!$K$4="*",N2107=Calendar!$K$4)),P2107*100+COUNTIFS($P$6:$P$3267,P2107,$Q$6:$Q$3267,"&lt;="&amp;Q2107,$N$6:$N$3267,Calendar!$K$4),"")</f>
        <v/>
      </c>
      <c r="W2107" s="47">
        <f>IF(AND(B2107=Queue!$C$4,OR(Queue!$K$4="*",N2107=Queue!$K$4)),Q2107,"")</f>
        <v/>
      </c>
    </row>
    <row r="2108">
      <c r="A2108" s="38">
        <f>IF(M2108="","",HYPERLINK("https://www.youtube.com/watch?v="&amp;M2108,"▶"))</f>
        <v/>
      </c>
      <c r="B2108" s="39">
        <f>IF(C2108&lt;&gt;"",C2108,IF(P2108&lt;=IFERROR(INDEX(tblChannels[Watched Through],MATCH(N2108,tblChannels[Channel ID],0)),0),"Watched","Unwatched"))</f>
        <v/>
      </c>
      <c r="C2108" s="40" t="n"/>
      <c r="D2108" s="41" t="n"/>
      <c r="E2108" s="42" t="n">
        <v>43290.46458333333</v>
      </c>
      <c r="F2108" s="53" t="inlineStr">
        <is>
          <t>Jonathan Carlin</t>
        </is>
      </c>
      <c r="G2108" t="inlineStr">
        <is>
          <t>SPARTAN RACE | DC MEET UP</t>
        </is>
      </c>
      <c r="H2108" s="44" t="n">
        <v>0.007060185185185185</v>
      </c>
      <c r="I2108" s="45" t="n">
        <v>36333</v>
      </c>
      <c r="J2108" s="45" t="n">
        <v>1654</v>
      </c>
      <c r="K2108" s="45" t="n">
        <v>158</v>
      </c>
      <c r="L2108" s="46" t="n"/>
      <c r="M2108" s="47" t="n"/>
      <c r="N2108" s="47" t="inlineStr">
        <is>
          <t>UCYPKFe86e6nm4TVUYKLsFUQ</t>
        </is>
      </c>
      <c r="O2108" s="48" t="n">
        <v>43290.63125</v>
      </c>
      <c r="P2108" s="49" t="n">
        <v>43290</v>
      </c>
      <c r="Q2108" s="47" t="n">
        <v>1160</v>
      </c>
      <c r="R2108" s="47" t="inlineStr">
        <is>
          <t>No Video ID yet</t>
        </is>
      </c>
      <c r="S2108" s="49" t="n"/>
      <c r="T2108" s="49" t="n"/>
      <c r="U2108" s="47" t="inlineStr">
        <is>
          <t>This week we travel to DC to do a Spartan Race with members of our Discord Server and then watch Incredibles 2 with 287 Super Carlin Frens and then meet them all! Basically the best weekend ever and SEAMUS IS BACK! Bubble Machine :: Special thanks to: Seamus Gorman, Rachael 'Data' Fox and Lauren 'Bubbles' Alexandra for offering their footage of the race to the vlog!</t>
        </is>
      </c>
      <c r="V2108" s="47">
        <f>IF(AND(P2108&gt;=Calendar!$K$2,P2108&lt;EDATE(Calendar!$K$2,1),OR(Calendar!$K$4="*",N2108=Calendar!$K$4)),P2108*100+COUNTIFS($P$6:$P$3267,P2108,$Q$6:$Q$3267,"&lt;="&amp;Q2108,$N$6:$N$3267,Calendar!$K$4),"")</f>
        <v/>
      </c>
      <c r="W2108" s="47">
        <f>IF(AND(B2108=Queue!$C$4,OR(Queue!$K$4="*",N2108=Queue!$K$4)),Q2108,"")</f>
        <v/>
      </c>
    </row>
    <row r="2109">
      <c r="A2109" s="38">
        <f>IF(M2109="","",HYPERLINK("https://www.youtube.com/watch?v="&amp;M2109,"▶"))</f>
        <v/>
      </c>
      <c r="B2109" s="39">
        <f>IF(C2109&lt;&gt;"",C2109,IF(P2109&lt;=IFERROR(INDEX(tblChannels[Watched Through],MATCH(N2109,tblChannels[Channel ID],0)),0),"Watched","Unwatched"))</f>
        <v/>
      </c>
      <c r="C2109" s="40" t="n"/>
      <c r="D2109" s="41" t="n"/>
      <c r="E2109" s="42" t="n">
        <v>43287.4375</v>
      </c>
      <c r="F2109" s="52" t="inlineStr">
        <is>
          <t>Super Carlin Gaming</t>
        </is>
      </c>
      <c r="G2109" t="inlineStr">
        <is>
          <t>Standing in a Puddle | Rocket League #24</t>
        </is>
      </c>
      <c r="H2109" s="44" t="n">
        <v>0.01306712962962963</v>
      </c>
      <c r="I2109" s="45" t="n">
        <v>5959</v>
      </c>
      <c r="J2109" s="45" t="n">
        <v>271</v>
      </c>
      <c r="K2109" s="45" t="n">
        <v>55</v>
      </c>
      <c r="L2109" s="46" t="n"/>
      <c r="M2109" s="47" t="n"/>
      <c r="N2109" s="47" t="inlineStr">
        <is>
          <t>UCor_9jRnNNZVzTuQ92PKsaQ</t>
        </is>
      </c>
      <c r="O2109" s="48" t="n">
        <v>43287.60416666666</v>
      </c>
      <c r="P2109" s="49" t="n">
        <v>43287</v>
      </c>
      <c r="Q2109" s="47" t="n">
        <v>1159</v>
      </c>
      <c r="R2109" s="47" t="inlineStr">
        <is>
          <t>No Video ID yet</t>
        </is>
      </c>
      <c r="S2109" s="49" t="n"/>
      <c r="T2109" s="49" t="n"/>
      <c r="U2109" s="47" t="n"/>
      <c r="V2109" s="47">
        <f>IF(AND(P2109&gt;=Calendar!$K$2,P2109&lt;EDATE(Calendar!$K$2,1),OR(Calendar!$K$4="*",N2109=Calendar!$K$4)),P2109*100+COUNTIFS($P$6:$P$3267,P2109,$Q$6:$Q$3267,"&lt;="&amp;Q2109,$N$6:$N$3267,Calendar!$K$4),"")</f>
        <v/>
      </c>
      <c r="W2109" s="47">
        <f>IF(AND(B2109=Queue!$C$4,OR(Queue!$K$4="*",N2109=Queue!$K$4)),Q2109,"")</f>
        <v/>
      </c>
    </row>
    <row r="2110">
      <c r="A2110" s="38">
        <f>IF(M2110="","",HYPERLINK("https://www.youtube.com/watch?v="&amp;M2110,"▶"))</f>
        <v/>
      </c>
      <c r="B2110" s="39">
        <f>IF(C2110&lt;&gt;"",C2110,IF(P2110&lt;=IFERROR(INDEX(tblChannels[Watched Through],MATCH(N2110,tblChannels[Channel ID],0)),0),"Watched","Unwatched"))</f>
        <v/>
      </c>
      <c r="C2110" s="40" t="n"/>
      <c r="D2110" s="41" t="n"/>
      <c r="E2110" s="42" t="n">
        <v>43287.04861111111</v>
      </c>
      <c r="F2110" s="52" t="inlineStr">
        <is>
          <t>Super Carlin Gaming</t>
        </is>
      </c>
      <c r="G2110" t="inlineStr">
        <is>
          <t>LIVE - Rocket League! T-REX EXPLOSIONS!</t>
        </is>
      </c>
      <c r="H2110" s="44" t="n">
        <v>0.07550925925925926</v>
      </c>
      <c r="I2110" s="45" t="n">
        <v>2345</v>
      </c>
      <c r="J2110" s="45" t="n">
        <v>128</v>
      </c>
      <c r="K2110" s="45" t="n">
        <v>5</v>
      </c>
      <c r="L2110" s="46" t="n"/>
      <c r="M2110" s="47" t="n"/>
      <c r="N2110" s="47" t="inlineStr">
        <is>
          <t>UCor_9jRnNNZVzTuQ92PKsaQ</t>
        </is>
      </c>
      <c r="O2110" s="48" t="n">
        <v>43287.21527777778</v>
      </c>
      <c r="P2110" s="49" t="n">
        <v>43287</v>
      </c>
      <c r="Q2110" s="47" t="n">
        <v>1158</v>
      </c>
      <c r="R2110" s="47" t="inlineStr">
        <is>
          <t>No Video ID yet</t>
        </is>
      </c>
      <c r="S2110" s="49" t="n"/>
      <c r="T2110" s="49" t="n"/>
      <c r="U2110" s="47" t="inlineStr">
        <is>
          <t>Support the stream: J ventures into the world of online Rocket League where he anticipates doing poorly - SOUNDS FUN! Join The Discord! J on twitter: Ben on Twitter: DK on Twitter:</t>
        </is>
      </c>
      <c r="V2110" s="47">
        <f>IF(AND(P2110&gt;=Calendar!$K$2,P2110&lt;EDATE(Calendar!$K$2,1),OR(Calendar!$K$4="*",N2110=Calendar!$K$4)),P2110*100+COUNTIFS($P$6:$P$3267,P2110,$Q$6:$Q$3267,"&lt;="&amp;Q2110,$N$6:$N$3267,Calendar!$K$4),"")</f>
        <v/>
      </c>
      <c r="W2110" s="47">
        <f>IF(AND(B2110=Queue!$C$4,OR(Queue!$K$4="*",N2110=Queue!$K$4)),Q2110,"")</f>
        <v/>
      </c>
    </row>
    <row r="2111">
      <c r="A2111" s="38">
        <f>IF(M2111="","",HYPERLINK("https://www.youtube.com/watch?v="&amp;M2111,"▶"))</f>
        <v/>
      </c>
      <c r="B2111" s="39">
        <f>IF(C2111&lt;&gt;"",C2111,IF(P2111&lt;=IFERROR(INDEX(tblChannels[Watched Through],MATCH(N2111,tblChannels[Channel ID],0)),0),"Watched","Unwatched"))</f>
        <v/>
      </c>
      <c r="C2111" s="40" t="n"/>
      <c r="D2111" s="41" t="n"/>
      <c r="E2111" s="42" t="n">
        <v>43286.79930555556</v>
      </c>
      <c r="F2111" s="50" t="inlineStr">
        <is>
          <t>Super Carlin Brothers</t>
        </is>
      </c>
      <c r="G2111" t="inlineStr">
        <is>
          <t>Everything They LEFT OUT Of Incredibles 2</t>
        </is>
      </c>
      <c r="H2111" s="44" t="n">
        <v>0.006134259259259259</v>
      </c>
      <c r="I2111" s="45" t="n">
        <v>971175</v>
      </c>
      <c r="J2111" s="45" t="n">
        <v>26066</v>
      </c>
      <c r="K2111" s="45" t="n">
        <v>2006</v>
      </c>
      <c r="L2111" s="46" t="n"/>
      <c r="M2111" s="47" t="n"/>
      <c r="N2111" s="47" t="inlineStr">
        <is>
          <t>UCKZo4N0lVPccBkSiuyVh4yg</t>
        </is>
      </c>
      <c r="O2111" s="48" t="n">
        <v>43286.96597222222</v>
      </c>
      <c r="P2111" s="49" t="n">
        <v>43286</v>
      </c>
      <c r="Q2111" s="47" t="n">
        <v>1157</v>
      </c>
      <c r="R2111" s="47" t="inlineStr">
        <is>
          <t>No Video ID yet</t>
        </is>
      </c>
      <c r="S2111" s="49" t="n"/>
      <c r="T2111" s="49" t="n"/>
      <c r="U2111" s="47" t="inlineStr">
        <is>
          <t>Art of Incredibles 2 :: Today Ben dives into the world of Pixar to discuss all of the things Disney Pixar initially had planned to be in the movie but ultimately didnt make the cut.</t>
        </is>
      </c>
      <c r="V2111" s="47">
        <f>IF(AND(P2111&gt;=Calendar!$K$2,P2111&lt;EDATE(Calendar!$K$2,1),OR(Calendar!$K$4="*",N2111=Calendar!$K$4)),P2111*100+COUNTIFS($P$6:$P$3267,P2111,$Q$6:$Q$3267,"&lt;="&amp;Q2111,$N$6:$N$3267,Calendar!$K$4),"")</f>
        <v/>
      </c>
      <c r="W2111" s="47">
        <f>IF(AND(B2111=Queue!$C$4,OR(Queue!$K$4="*",N2111=Queue!$K$4)),Q2111,"")</f>
        <v/>
      </c>
    </row>
    <row r="2112">
      <c r="A2112" s="38">
        <f>IF(M2112="","",HYPERLINK("https://www.youtube.com/watch?v="&amp;M2112,"▶"))</f>
        <v/>
      </c>
      <c r="B2112" s="39">
        <f>IF(C2112&lt;&gt;"",C2112,IF(P2112&lt;=IFERROR(INDEX(tblChannels[Watched Through],MATCH(N2112,tblChannels[Channel ID],0)),0),"Watched","Unwatched"))</f>
        <v/>
      </c>
      <c r="C2112" s="40" t="n"/>
      <c r="D2112" s="41" t="n"/>
      <c r="E2112" s="42" t="n">
        <v>43285.4375</v>
      </c>
      <c r="F2112" s="52" t="inlineStr">
        <is>
          <t>Super Carlin Gaming</t>
        </is>
      </c>
      <c r="G2112" t="inlineStr">
        <is>
          <t>Low and Wet | Rocket League #23</t>
        </is>
      </c>
      <c r="H2112" s="44" t="n">
        <v>0.01459490740740741</v>
      </c>
      <c r="I2112" s="45" t="n">
        <v>6139</v>
      </c>
      <c r="J2112" s="45" t="n">
        <v>284</v>
      </c>
      <c r="K2112" s="45" t="n">
        <v>65</v>
      </c>
      <c r="L2112" s="46" t="n"/>
      <c r="M2112" s="47" t="n"/>
      <c r="N2112" s="47" t="inlineStr">
        <is>
          <t>UCor_9jRnNNZVzTuQ92PKsaQ</t>
        </is>
      </c>
      <c r="O2112" s="48" t="n">
        <v>43285.60416666666</v>
      </c>
      <c r="P2112" s="49" t="n">
        <v>43285</v>
      </c>
      <c r="Q2112" s="47" t="n">
        <v>1156</v>
      </c>
      <c r="R2112" s="47" t="inlineStr">
        <is>
          <t>No Video ID yet</t>
        </is>
      </c>
      <c r="S2112" s="49" t="n"/>
      <c r="T2112" s="49" t="n"/>
      <c r="U2112" s="47" t="n"/>
      <c r="V2112" s="47">
        <f>IF(AND(P2112&gt;=Calendar!$K$2,P2112&lt;EDATE(Calendar!$K$2,1),OR(Calendar!$K$4="*",N2112=Calendar!$K$4)),P2112*100+COUNTIFS($P$6:$P$3267,P2112,$Q$6:$Q$3267,"&lt;="&amp;Q2112,$N$6:$N$3267,Calendar!$K$4),"")</f>
        <v/>
      </c>
      <c r="W2112" s="47">
        <f>IF(AND(B2112=Queue!$C$4,OR(Queue!$K$4="*",N2112=Queue!$K$4)),Q2112,"")</f>
        <v/>
      </c>
    </row>
    <row r="2113">
      <c r="A2113" s="38">
        <f>IF(M2113="","",HYPERLINK("https://www.youtube.com/watch?v="&amp;M2113,"▶"))</f>
        <v/>
      </c>
      <c r="B2113" s="39">
        <f>IF(C2113&lt;&gt;"",C2113,IF(P2113&lt;=IFERROR(INDEX(tblChannels[Watched Through],MATCH(N2113,tblChannels[Channel ID],0)),0),"Watched","Unwatched"))</f>
        <v/>
      </c>
      <c r="C2113" s="40" t="n"/>
      <c r="D2113" s="41" t="n"/>
      <c r="E2113" s="42" t="n">
        <v>43284.77430555555</v>
      </c>
      <c r="F2113" s="50" t="inlineStr">
        <is>
          <t>Super Carlin Brothers</t>
        </is>
      </c>
      <c r="G2113" t="inlineStr">
        <is>
          <t>Pixar Theory: MR. GIBBS REVEALED!</t>
        </is>
      </c>
      <c r="H2113" s="44" t="n">
        <v>0.009571759259259259</v>
      </c>
      <c r="I2113" s="45" t="n">
        <v>1839955</v>
      </c>
      <c r="J2113" s="45" t="n">
        <v>42652</v>
      </c>
      <c r="K2113" s="45" t="n">
        <v>6095</v>
      </c>
      <c r="L2113" s="46" t="n"/>
      <c r="M2113" s="47" t="n"/>
      <c r="N2113" s="47" t="inlineStr">
        <is>
          <t>UCKZo4N0lVPccBkSiuyVh4yg</t>
        </is>
      </c>
      <c r="O2113" s="48" t="n">
        <v>43284.94097222222</v>
      </c>
      <c r="P2113" s="49" t="n">
        <v>43284</v>
      </c>
      <c r="Q2113" s="47" t="n">
        <v>1155</v>
      </c>
      <c r="R2113" s="47" t="inlineStr">
        <is>
          <t>No Video ID yet</t>
        </is>
      </c>
      <c r="S2113" s="49" t="n"/>
      <c r="T2113" s="49" t="n"/>
      <c r="U2113" s="47" t="inlineStr">
        <is>
          <t>After months of deliberation J and Ben think they have finally gotten to the bottom of one of Disney Pixar's biggest mysteries: the infamous Mr. Gibbs theory and the identity of Boo's parents!</t>
        </is>
      </c>
      <c r="V2113" s="47">
        <f>IF(AND(P2113&gt;=Calendar!$K$2,P2113&lt;EDATE(Calendar!$K$2,1),OR(Calendar!$K$4="*",N2113=Calendar!$K$4)),P2113*100+COUNTIFS($P$6:$P$3267,P2113,$Q$6:$Q$3267,"&lt;="&amp;Q2113,$N$6:$N$3267,Calendar!$K$4),"")</f>
        <v/>
      </c>
      <c r="W2113" s="47">
        <f>IF(AND(B2113=Queue!$C$4,OR(Queue!$K$4="*",N2113=Queue!$K$4)),Q2113,"")</f>
        <v/>
      </c>
    </row>
    <row r="2114">
      <c r="A2114" s="38">
        <f>IF(M2114="","",HYPERLINK("https://www.youtube.com/watch?v="&amp;M2114,"▶"))</f>
        <v/>
      </c>
      <c r="B2114" s="39">
        <f>IF(C2114&lt;&gt;"",C2114,IF(P2114&lt;=IFERROR(INDEX(tblChannels[Watched Through],MATCH(N2114,tblChannels[Channel ID],0)),0),"Watched","Unwatched"))</f>
        <v/>
      </c>
      <c r="C2114" s="40" t="n"/>
      <c r="D2114" s="41" t="n"/>
      <c r="E2114" s="42" t="n">
        <v>43283.6375</v>
      </c>
      <c r="F2114" s="52" t="inlineStr">
        <is>
          <t>Super Carlin Gaming</t>
        </is>
      </c>
      <c r="G2114" t="inlineStr">
        <is>
          <t>We Got Someone Fired | Rocket League #22</t>
        </is>
      </c>
      <c r="H2114" s="44" t="n">
        <v>0.01493055555555556</v>
      </c>
      <c r="I2114" s="45" t="n">
        <v>6587</v>
      </c>
      <c r="J2114" s="45" t="n">
        <v>310</v>
      </c>
      <c r="K2114" s="45" t="n">
        <v>77</v>
      </c>
      <c r="L2114" s="46" t="n"/>
      <c r="M2114" s="47" t="n"/>
      <c r="N2114" s="47" t="inlineStr">
        <is>
          <t>UCor_9jRnNNZVzTuQ92PKsaQ</t>
        </is>
      </c>
      <c r="O2114" s="48" t="n">
        <v>43283.80416666667</v>
      </c>
      <c r="P2114" s="49" t="n">
        <v>43283</v>
      </c>
      <c r="Q2114" s="47" t="n">
        <v>1154</v>
      </c>
      <c r="R2114" s="47" t="inlineStr">
        <is>
          <t>No Video ID yet</t>
        </is>
      </c>
      <c r="S2114" s="49" t="n"/>
      <c r="T2114" s="49" t="n"/>
      <c r="U2114" s="47" t="n"/>
      <c r="V2114" s="47">
        <f>IF(AND(P2114&gt;=Calendar!$K$2,P2114&lt;EDATE(Calendar!$K$2,1),OR(Calendar!$K$4="*",N2114=Calendar!$K$4)),P2114*100+COUNTIFS($P$6:$P$3267,P2114,$Q$6:$Q$3267,"&lt;="&amp;Q2114,$N$6:$N$3267,Calendar!$K$4),"")</f>
        <v/>
      </c>
      <c r="W2114" s="47">
        <f>IF(AND(B2114=Queue!$C$4,OR(Queue!$K$4="*",N2114=Queue!$K$4)),Q2114,"")</f>
        <v/>
      </c>
    </row>
    <row r="2115">
      <c r="A2115" s="38">
        <f>IF(M2115="","",HYPERLINK("https://www.youtube.com/watch?v="&amp;M2115,"▶"))</f>
        <v/>
      </c>
      <c r="B2115" s="39">
        <f>IF(C2115&lt;&gt;"",C2115,IF(P2115&lt;=IFERROR(INDEX(tblChannels[Watched Through],MATCH(N2115,tblChannels[Channel ID],0)),0),"Watched","Unwatched"))</f>
        <v/>
      </c>
      <c r="C2115" s="40" t="n"/>
      <c r="D2115" s="41" t="n"/>
      <c r="E2115" s="42" t="n">
        <v>43283.48194444444</v>
      </c>
      <c r="F2115" s="53" t="inlineStr">
        <is>
          <t>Jonathan Carlin</t>
        </is>
      </c>
      <c r="G2115" t="inlineStr">
        <is>
          <t>Beth's Last Week of School | Jordan's First Week at SCB</t>
        </is>
      </c>
      <c r="H2115" s="44" t="n">
        <v>0.006724537037037037</v>
      </c>
      <c r="I2115" s="45" t="n">
        <v>39982</v>
      </c>
      <c r="J2115" s="45" t="n">
        <v>1907</v>
      </c>
      <c r="K2115" s="45" t="n">
        <v>235</v>
      </c>
      <c r="L2115" s="46" t="n"/>
      <c r="M2115" s="47" t="n"/>
      <c r="N2115" s="47" t="inlineStr">
        <is>
          <t>UCYPKFe86e6nm4TVUYKLsFUQ</t>
        </is>
      </c>
      <c r="O2115" s="48" t="n">
        <v>43283.64861111111</v>
      </c>
      <c r="P2115" s="49" t="n">
        <v>43283</v>
      </c>
      <c r="Q2115" s="47" t="n">
        <v>1153</v>
      </c>
      <c r="R2115" s="47" t="inlineStr">
        <is>
          <t>No Video ID yet</t>
        </is>
      </c>
      <c r="S2115" s="49" t="n"/>
      <c r="T2115" s="49" t="n"/>
      <c r="U2115" s="47" t="inlineStr">
        <is>
          <t>This week the SCB team welcomes a new employee while back at the house Beth says good bye to teaching.</t>
        </is>
      </c>
      <c r="V2115" s="47">
        <f>IF(AND(P2115&gt;=Calendar!$K$2,P2115&lt;EDATE(Calendar!$K$2,1),OR(Calendar!$K$4="*",N2115=Calendar!$K$4)),P2115*100+COUNTIFS($P$6:$P$3267,P2115,$Q$6:$Q$3267,"&lt;="&amp;Q2115,$N$6:$N$3267,Calendar!$K$4),"")</f>
        <v/>
      </c>
      <c r="W2115" s="47">
        <f>IF(AND(B2115=Queue!$C$4,OR(Queue!$K$4="*",N2115=Queue!$K$4)),Q2115,"")</f>
        <v/>
      </c>
    </row>
    <row r="2116">
      <c r="A2116" s="38">
        <f>IF(M2116="","",HYPERLINK("https://www.youtube.com/watch?v="&amp;M2116,"▶"))</f>
        <v/>
      </c>
      <c r="B2116" s="39">
        <f>IF(C2116&lt;&gt;"",C2116,IF(P2116&lt;=IFERROR(INDEX(tblChannels[Watched Through],MATCH(N2116,tblChannels[Channel ID],0)),0),"Watched","Unwatched"))</f>
        <v/>
      </c>
      <c r="C2116" s="40" t="n"/>
      <c r="D2116" s="41" t="n"/>
      <c r="E2116" s="42" t="n">
        <v>43283.05</v>
      </c>
      <c r="F2116" s="52" t="inlineStr">
        <is>
          <t>Super Carlin Gaming</t>
        </is>
      </c>
      <c r="G2116" t="inlineStr">
        <is>
          <t>LIVE - Rocket League! Probably Getting Destroyed Online...</t>
        </is>
      </c>
      <c r="H2116" s="44" t="n">
        <v>0.08182870370370371</v>
      </c>
      <c r="I2116" s="45" t="n">
        <v>2929</v>
      </c>
      <c r="J2116" s="45" t="n">
        <v>126</v>
      </c>
      <c r="K2116" s="45" t="n">
        <v>7</v>
      </c>
      <c r="L2116" s="46" t="n"/>
      <c r="M2116" s="47" t="n"/>
      <c r="N2116" s="47" t="inlineStr">
        <is>
          <t>UCor_9jRnNNZVzTuQ92PKsaQ</t>
        </is>
      </c>
      <c r="O2116" s="48" t="n">
        <v>43283.21666666667</v>
      </c>
      <c r="P2116" s="49" t="n">
        <v>43283</v>
      </c>
      <c r="Q2116" s="47" t="n">
        <v>1152</v>
      </c>
      <c r="R2116" s="47" t="inlineStr">
        <is>
          <t>No Video ID yet</t>
        </is>
      </c>
      <c r="S2116" s="49" t="n"/>
      <c r="T2116" s="49" t="n"/>
      <c r="U2116" s="47" t="inlineStr">
        <is>
          <t>Support the stream: J ventures into the world of online Rocket League where he anticipates doing poorly - SOUNDS FUN! Join The Discord! J on twitter: Ben on Twitter: DK on Twitter:</t>
        </is>
      </c>
      <c r="V2116" s="47">
        <f>IF(AND(P2116&gt;=Calendar!$K$2,P2116&lt;EDATE(Calendar!$K$2,1),OR(Calendar!$K$4="*",N2116=Calendar!$K$4)),P2116*100+COUNTIFS($P$6:$P$3267,P2116,$Q$6:$Q$3267,"&lt;="&amp;Q2116,$N$6:$N$3267,Calendar!$K$4),"")</f>
        <v/>
      </c>
      <c r="W2116" s="47">
        <f>IF(AND(B2116=Queue!$C$4,OR(Queue!$K$4="*",N2116=Queue!$K$4)),Q2116,"")</f>
        <v/>
      </c>
    </row>
    <row r="2117">
      <c r="A2117" s="38">
        <f>IF(M2117="","",HYPERLINK("https://www.youtube.com/watch?v="&amp;M2117,"▶"))</f>
        <v/>
      </c>
      <c r="B2117" s="39">
        <f>IF(C2117&lt;&gt;"",C2117,IF(P2117&lt;=IFERROR(INDEX(tblChannels[Watched Through],MATCH(N2117,tblChannels[Channel ID],0)),0),"Watched","Unwatched"))</f>
        <v/>
      </c>
      <c r="C2117" s="40" t="n"/>
      <c r="D2117" s="41" t="n"/>
      <c r="E2117" s="42" t="n">
        <v>43280.41666666666</v>
      </c>
      <c r="F2117" s="52" t="inlineStr">
        <is>
          <t>Super Carlin Gaming</t>
        </is>
      </c>
      <c r="G2117" t="inlineStr">
        <is>
          <t>I'M BATMAN | Rocket League #21</t>
        </is>
      </c>
      <c r="H2117" s="44" t="n">
        <v>0.01478009259259259</v>
      </c>
      <c r="I2117" s="45" t="n">
        <v>6554</v>
      </c>
      <c r="J2117" s="45" t="n">
        <v>265</v>
      </c>
      <c r="K2117" s="45" t="n">
        <v>93</v>
      </c>
      <c r="L2117" s="46" t="n"/>
      <c r="M2117" s="47" t="n"/>
      <c r="N2117" s="47" t="inlineStr">
        <is>
          <t>UCor_9jRnNNZVzTuQ92PKsaQ</t>
        </is>
      </c>
      <c r="O2117" s="48" t="n">
        <v>43280.58333333334</v>
      </c>
      <c r="P2117" s="49" t="n">
        <v>43280</v>
      </c>
      <c r="Q2117" s="47" t="n">
        <v>1151</v>
      </c>
      <c r="R2117" s="47" t="inlineStr">
        <is>
          <t>No Video ID yet</t>
        </is>
      </c>
      <c r="S2117" s="49" t="n"/>
      <c r="T2117" s="49" t="n"/>
      <c r="U2117" s="47" t="inlineStr">
        <is>
          <t>J, Ben and Team Skywater enter the Rocket League Coliseum and try and win their way to the league championship! Also we are driving Batmobiles and are BATMAN!</t>
        </is>
      </c>
      <c r="V2117" s="47">
        <f>IF(AND(P2117&gt;=Calendar!$K$2,P2117&lt;EDATE(Calendar!$K$2,1),OR(Calendar!$K$4="*",N2117=Calendar!$K$4)),P2117*100+COUNTIFS($P$6:$P$3267,P2117,$Q$6:$Q$3267,"&lt;="&amp;Q2117,$N$6:$N$3267,Calendar!$K$4),"")</f>
        <v/>
      </c>
      <c r="W2117" s="47">
        <f>IF(AND(B2117=Queue!$C$4,OR(Queue!$K$4="*",N2117=Queue!$K$4)),Q2117,"")</f>
        <v/>
      </c>
    </row>
    <row r="2118">
      <c r="A2118" s="38">
        <f>IF(M2118="","",HYPERLINK("https://www.youtube.com/watch?v="&amp;M2118,"▶"))</f>
        <v/>
      </c>
      <c r="B2118" s="39">
        <f>IF(C2118&lt;&gt;"",C2118,IF(P2118&lt;=IFERROR(INDEX(tblChannels[Watched Through],MATCH(N2118,tblChannels[Channel ID],0)),0),"Watched","Unwatched"))</f>
        <v/>
      </c>
      <c r="C2118" s="40" t="n"/>
      <c r="D2118" s="41" t="n"/>
      <c r="E2118" s="42" t="n">
        <v>43279.64513888889</v>
      </c>
      <c r="F2118" s="50" t="inlineStr">
        <is>
          <t>Super Carlin Brothers</t>
        </is>
      </c>
      <c r="G2118" t="inlineStr">
        <is>
          <t>J vs Ben vs Brizzy: Sorting Pixar Characters Into Hogwarts Houses</t>
        </is>
      </c>
      <c r="H2118" s="44" t="n">
        <v>0.01842592592592593</v>
      </c>
      <c r="I2118" s="45" t="n">
        <v>774668</v>
      </c>
      <c r="J2118" s="45" t="n">
        <v>17942</v>
      </c>
      <c r="K2118" s="45" t="n">
        <v>3508</v>
      </c>
      <c r="L2118" s="46" t="n"/>
      <c r="M2118" s="47" t="n"/>
      <c r="N2118" s="47" t="inlineStr">
        <is>
          <t>UCKZo4N0lVPccBkSiuyVh4yg</t>
        </is>
      </c>
      <c r="O2118" s="48" t="n">
        <v>43279.81180555555</v>
      </c>
      <c r="P2118" s="49" t="n">
        <v>43279</v>
      </c>
      <c r="Q2118" s="47" t="n">
        <v>1150</v>
      </c>
      <c r="R2118" s="47" t="inlineStr">
        <is>
          <t>No Video ID yet</t>
        </is>
      </c>
      <c r="S2118" s="49" t="n"/>
      <c r="T2118" s="49" t="n"/>
      <c r="U2118" s="47" t="inlineStr">
        <is>
          <t>Check out Brizzy's channel :: Fantastic Geeks and Where to Find Them :: Today J, Ben and Brizzy face off and try and decide which Hogwarts Houses different Pixar characters belong in! Is Woody a Slytherin? Is EVE a Ravenclaw - FIND OUT!</t>
        </is>
      </c>
      <c r="V2118" s="47">
        <f>IF(AND(P2118&gt;=Calendar!$K$2,P2118&lt;EDATE(Calendar!$K$2,1),OR(Calendar!$K$4="*",N2118=Calendar!$K$4)),P2118*100+COUNTIFS($P$6:$P$3267,P2118,$Q$6:$Q$3267,"&lt;="&amp;Q2118,$N$6:$N$3267,Calendar!$K$4),"")</f>
        <v/>
      </c>
      <c r="W2118" s="47">
        <f>IF(AND(B2118=Queue!$C$4,OR(Queue!$K$4="*",N2118=Queue!$K$4)),Q2118,"")</f>
        <v/>
      </c>
    </row>
    <row r="2119">
      <c r="A2119" s="38">
        <f>IF(M2119="","",HYPERLINK("https://www.youtube.com/watch?v="&amp;M2119,"▶"))</f>
        <v/>
      </c>
      <c r="B2119" s="39">
        <f>IF(C2119&lt;&gt;"",C2119,IF(P2119&lt;=IFERROR(INDEX(tblChannels[Watched Through],MATCH(N2119,tblChannels[Channel ID],0)),0),"Watched","Unwatched"))</f>
        <v/>
      </c>
      <c r="C2119" s="40" t="n"/>
      <c r="D2119" s="41" t="n"/>
      <c r="E2119" s="42" t="n">
        <v>43278.41666666666</v>
      </c>
      <c r="F2119" s="52" t="inlineStr">
        <is>
          <t>Super Carlin Gaming</t>
        </is>
      </c>
      <c r="G2119" t="inlineStr">
        <is>
          <t>Crusty Toothpaste | Rocket League #20</t>
        </is>
      </c>
      <c r="H2119" s="44" t="n">
        <v>0.01288194444444444</v>
      </c>
      <c r="I2119" s="45" t="n">
        <v>6678</v>
      </c>
      <c r="J2119" s="45" t="n">
        <v>259</v>
      </c>
      <c r="K2119" s="45" t="n">
        <v>60</v>
      </c>
      <c r="L2119" s="46" t="n"/>
      <c r="M2119" s="47" t="n"/>
      <c r="N2119" s="47" t="inlineStr">
        <is>
          <t>UCor_9jRnNNZVzTuQ92PKsaQ</t>
        </is>
      </c>
      <c r="O2119" s="48" t="n">
        <v>43278.58333333334</v>
      </c>
      <c r="P2119" s="49" t="n">
        <v>43278</v>
      </c>
      <c r="Q2119" s="47" t="n">
        <v>1149</v>
      </c>
      <c r="R2119" s="47" t="inlineStr">
        <is>
          <t>No Video ID yet</t>
        </is>
      </c>
      <c r="S2119" s="49" t="n"/>
      <c r="T2119" s="49" t="n"/>
      <c r="U2119" s="47" t="inlineStr">
        <is>
          <t>J, Ben and Team Skywater enter the Rocket League Coliseum and try and win their way to the league championship! Also Ben had a crazy roommate who had specific rules about toothpaste lids</t>
        </is>
      </c>
      <c r="V2119" s="47">
        <f>IF(AND(P2119&gt;=Calendar!$K$2,P2119&lt;EDATE(Calendar!$K$2,1),OR(Calendar!$K$4="*",N2119=Calendar!$K$4)),P2119*100+COUNTIFS($P$6:$P$3267,P2119,$Q$6:$Q$3267,"&lt;="&amp;Q2119,$N$6:$N$3267,Calendar!$K$4),"")</f>
        <v/>
      </c>
      <c r="W2119" s="47">
        <f>IF(AND(B2119=Queue!$C$4,OR(Queue!$K$4="*",N2119=Queue!$K$4)),Q2119,"")</f>
        <v/>
      </c>
    </row>
    <row r="2120">
      <c r="A2120" s="38">
        <f>IF(M2120="","",HYPERLINK("https://www.youtube.com/watch?v="&amp;M2120,"▶"))</f>
        <v/>
      </c>
      <c r="B2120" s="39">
        <f>IF(C2120&lt;&gt;"",C2120,IF(P2120&lt;=IFERROR(INDEX(tblChannels[Watched Through],MATCH(N2120,tblChannels[Channel ID],0)),0),"Watched","Unwatched"))</f>
        <v/>
      </c>
      <c r="C2120" s="40" t="n"/>
      <c r="D2120" s="41" t="n"/>
      <c r="E2120" s="42" t="n">
        <v>43277.625</v>
      </c>
      <c r="F2120" s="50" t="inlineStr">
        <is>
          <t>Super Carlin Brothers</t>
        </is>
      </c>
      <c r="G2120" t="inlineStr">
        <is>
          <t>Top 10 CRINGE Moments in Harry Potter Movies</t>
        </is>
      </c>
      <c r="H2120" s="44" t="n">
        <v>0.010625</v>
      </c>
      <c r="I2120" s="45" t="n">
        <v>2212728</v>
      </c>
      <c r="J2120" s="45" t="n">
        <v>53324</v>
      </c>
      <c r="K2120" s="45" t="n">
        <v>10356</v>
      </c>
      <c r="L2120" s="46" t="n"/>
      <c r="M2120" s="47" t="n"/>
      <c r="N2120" s="47" t="inlineStr">
        <is>
          <t>UCKZo4N0lVPccBkSiuyVh4yg</t>
        </is>
      </c>
      <c r="O2120" s="48" t="n">
        <v>43277.79166666666</v>
      </c>
      <c r="P2120" s="49" t="n">
        <v>43277</v>
      </c>
      <c r="Q2120" s="47" t="n">
        <v>1148</v>
      </c>
      <c r="R2120" s="47" t="inlineStr">
        <is>
          <t>No Video ID yet</t>
        </is>
      </c>
      <c r="S2120" s="49" t="n"/>
      <c r="T2120" s="49" t="n"/>
      <c r="U2120" s="47" t="inlineStr">
        <is>
          <t>We all love the Harry Potter movies, but for every perfect moment of Dobby or Hagrid, there is a Cringe worthy moment where Harry awkwardly eats a cookie - Today dives into the Wizarding World to celebrate those moments with the Top 10 Cringe moments in Harry Potter movies!</t>
        </is>
      </c>
      <c r="V2120" s="47">
        <f>IF(AND(P2120&gt;=Calendar!$K$2,P2120&lt;EDATE(Calendar!$K$2,1),OR(Calendar!$K$4="*",N2120=Calendar!$K$4)),P2120*100+COUNTIFS($P$6:$P$3267,P2120,$Q$6:$Q$3267,"&lt;="&amp;Q2120,$N$6:$N$3267,Calendar!$K$4),"")</f>
        <v/>
      </c>
      <c r="W2120" s="47">
        <f>IF(AND(B2120=Queue!$C$4,OR(Queue!$K$4="*",N2120=Queue!$K$4)),Q2120,"")</f>
        <v/>
      </c>
    </row>
    <row r="2121">
      <c r="A2121" s="38">
        <f>IF(M2121="","",HYPERLINK("https://www.youtube.com/watch?v="&amp;M2121,"▶"))</f>
        <v/>
      </c>
      <c r="B2121" s="39">
        <f>IF(C2121&lt;&gt;"",C2121,IF(P2121&lt;=IFERROR(INDEX(tblChannels[Watched Through],MATCH(N2121,tblChannels[Channel ID],0)),0),"Watched","Unwatched"))</f>
        <v/>
      </c>
      <c r="C2121" s="40" t="n"/>
      <c r="D2121" s="41" t="n"/>
      <c r="E2121" s="42" t="n">
        <v>43276.41666666666</v>
      </c>
      <c r="F2121" s="52" t="inlineStr">
        <is>
          <t>Super Carlin Gaming</t>
        </is>
      </c>
      <c r="G2121" t="inlineStr">
        <is>
          <t>Video Games Make Me Sing! | Rocket League #19</t>
        </is>
      </c>
      <c r="H2121" s="44" t="n">
        <v>0.01375</v>
      </c>
      <c r="I2121" s="45" t="n">
        <v>6954</v>
      </c>
      <c r="J2121" s="45" t="n">
        <v>292</v>
      </c>
      <c r="K2121" s="45" t="n">
        <v>81</v>
      </c>
      <c r="L2121" s="46" t="n"/>
      <c r="M2121" s="47" t="n"/>
      <c r="N2121" s="47" t="inlineStr">
        <is>
          <t>UCor_9jRnNNZVzTuQ92PKsaQ</t>
        </is>
      </c>
      <c r="O2121" s="48" t="n">
        <v>43276.58333333334</v>
      </c>
      <c r="P2121" s="49" t="n">
        <v>43276</v>
      </c>
      <c r="Q2121" s="47" t="n">
        <v>1147</v>
      </c>
      <c r="R2121" s="47" t="inlineStr">
        <is>
          <t>No Video ID yet</t>
        </is>
      </c>
      <c r="S2121" s="49" t="n"/>
      <c r="T2121" s="49" t="n"/>
      <c r="U2121" s="47" t="inlineStr">
        <is>
          <t>J, Ben and Team Skywater enter the Rocket League Coliseum and try and win their way to the league championship! Also Ben may sing...</t>
        </is>
      </c>
      <c r="V2121" s="47">
        <f>IF(AND(P2121&gt;=Calendar!$K$2,P2121&lt;EDATE(Calendar!$K$2,1),OR(Calendar!$K$4="*",N2121=Calendar!$K$4)),P2121*100+COUNTIFS($P$6:$P$3267,P2121,$Q$6:$Q$3267,"&lt;="&amp;Q2121,$N$6:$N$3267,Calendar!$K$4),"")</f>
        <v/>
      </c>
      <c r="W2121" s="47">
        <f>IF(AND(B2121=Queue!$C$4,OR(Queue!$K$4="*",N2121=Queue!$K$4)),Q2121,"")</f>
        <v/>
      </c>
    </row>
    <row r="2122">
      <c r="A2122" s="38">
        <f>IF(M2122="","",HYPERLINK("https://www.youtube.com/watch?v="&amp;M2122,"▶"))</f>
        <v/>
      </c>
      <c r="B2122" s="39">
        <f>IF(C2122&lt;&gt;"",C2122,IF(P2122&lt;=IFERROR(INDEX(tblChannels[Watched Through],MATCH(N2122,tblChannels[Channel ID],0)),0),"Watched","Unwatched"))</f>
        <v/>
      </c>
      <c r="C2122" s="40" t="n"/>
      <c r="D2122" s="41" t="n"/>
      <c r="E2122" s="42" t="n">
        <v>43273.4375</v>
      </c>
      <c r="F2122" s="52" t="inlineStr">
        <is>
          <t>Super Carlin Gaming</t>
        </is>
      </c>
      <c r="G2122" t="inlineStr">
        <is>
          <t>Not Just Woolies | Rocket League #18</t>
        </is>
      </c>
      <c r="H2122" s="44" t="n">
        <v>0.01322916666666667</v>
      </c>
      <c r="I2122" s="45" t="n">
        <v>7004</v>
      </c>
      <c r="J2122" s="45" t="n">
        <v>275</v>
      </c>
      <c r="K2122" s="45" t="n">
        <v>64</v>
      </c>
      <c r="L2122" s="46" t="n"/>
      <c r="M2122" s="47" t="n"/>
      <c r="N2122" s="47" t="inlineStr">
        <is>
          <t>UCor_9jRnNNZVzTuQ92PKsaQ</t>
        </is>
      </c>
      <c r="O2122" s="48" t="n">
        <v>43273.60416666666</v>
      </c>
      <c r="P2122" s="49" t="n">
        <v>43273</v>
      </c>
      <c r="Q2122" s="47" t="n">
        <v>1146</v>
      </c>
      <c r="R2122" s="47" t="inlineStr">
        <is>
          <t>No Video ID yet</t>
        </is>
      </c>
      <c r="S2122" s="49" t="n"/>
      <c r="T2122" s="49" t="n"/>
      <c r="U2122" s="47" t="n"/>
      <c r="V2122" s="47">
        <f>IF(AND(P2122&gt;=Calendar!$K$2,P2122&lt;EDATE(Calendar!$K$2,1),OR(Calendar!$K$4="*",N2122=Calendar!$K$4)),P2122*100+COUNTIFS($P$6:$P$3267,P2122,$Q$6:$Q$3267,"&lt;="&amp;Q2122,$N$6:$N$3267,Calendar!$K$4),"")</f>
        <v/>
      </c>
      <c r="W2122" s="47">
        <f>IF(AND(B2122=Queue!$C$4,OR(Queue!$K$4="*",N2122=Queue!$K$4)),Q2122,"")</f>
        <v/>
      </c>
    </row>
    <row r="2123">
      <c r="A2123" s="38">
        <f>IF(M2123="","",HYPERLINK("https://www.youtube.com/watch?v="&amp;M2123,"▶"))</f>
        <v/>
      </c>
      <c r="B2123" s="39">
        <f>IF(C2123&lt;&gt;"",C2123,IF(P2123&lt;=IFERROR(INDEX(tblChannels[Watched Through],MATCH(N2123,tblChannels[Channel ID],0)),0),"Watched","Unwatched"))</f>
        <v/>
      </c>
      <c r="C2123" s="40" t="n"/>
      <c r="D2123" s="41" t="n"/>
      <c r="E2123" s="42" t="n">
        <v>43272.625</v>
      </c>
      <c r="F2123" s="50" t="inlineStr">
        <is>
          <t>Super Carlin Brothers</t>
        </is>
      </c>
      <c r="G2123" t="inlineStr">
        <is>
          <t>How Incredibles 2 Fits Into The Pixar Theory</t>
        </is>
      </c>
      <c r="H2123" s="44" t="n">
        <v>0.007141203703703703</v>
      </c>
      <c r="I2123" s="45" t="n">
        <v>1602292</v>
      </c>
      <c r="J2123" s="45" t="n">
        <v>41445</v>
      </c>
      <c r="K2123" s="45" t="n">
        <v>4427</v>
      </c>
      <c r="L2123" s="46" t="n"/>
      <c r="M2123" s="47" t="n"/>
      <c r="N2123" s="47" t="inlineStr">
        <is>
          <t>UCKZo4N0lVPccBkSiuyVh4yg</t>
        </is>
      </c>
      <c r="O2123" s="48" t="n">
        <v>43272.79166666666</v>
      </c>
      <c r="P2123" s="49" t="n">
        <v>43272</v>
      </c>
      <c r="Q2123" s="47" t="n">
        <v>1145</v>
      </c>
      <c r="R2123" s="47" t="inlineStr">
        <is>
          <t>No Video ID yet</t>
        </is>
      </c>
      <c r="S2123" s="49" t="n"/>
      <c r="T2123" s="49" t="n"/>
      <c r="U2123" s="47" t="inlineStr">
        <is>
          <t>Today Ben goes over how Disney Pixar's latest film: Incredibles 2 fits into the Pixar Theory! Check out Jon Negroni's original Pixar Theory Post ::</t>
        </is>
      </c>
      <c r="V2123" s="47">
        <f>IF(AND(P2123&gt;=Calendar!$K$2,P2123&lt;EDATE(Calendar!$K$2,1),OR(Calendar!$K$4="*",N2123=Calendar!$K$4)),P2123*100+COUNTIFS($P$6:$P$3267,P2123,$Q$6:$Q$3267,"&lt;="&amp;Q2123,$N$6:$N$3267,Calendar!$K$4),"")</f>
        <v/>
      </c>
      <c r="W2123" s="47">
        <f>IF(AND(B2123=Queue!$C$4,OR(Queue!$K$4="*",N2123=Queue!$K$4)),Q2123,"")</f>
        <v/>
      </c>
    </row>
    <row r="2124">
      <c r="A2124" s="38">
        <f>IF(M2124="","",HYPERLINK("https://www.youtube.com/watch?v="&amp;M2124,"▶"))</f>
        <v/>
      </c>
      <c r="B2124" s="39">
        <f>IF(C2124&lt;&gt;"",C2124,IF(P2124&lt;=IFERROR(INDEX(tblChannels[Watched Through],MATCH(N2124,tblChannels[Channel ID],0)),0),"Watched","Unwatched"))</f>
        <v/>
      </c>
      <c r="C2124" s="40" t="n"/>
      <c r="D2124" s="41" t="n"/>
      <c r="E2124" s="42" t="n">
        <v>43271.4375</v>
      </c>
      <c r="F2124" s="52" t="inlineStr">
        <is>
          <t>Super Carlin Gaming</t>
        </is>
      </c>
      <c r="G2124" t="inlineStr">
        <is>
          <t>Dallas Fort Houston | Rocket League #17</t>
        </is>
      </c>
      <c r="H2124" s="44" t="n">
        <v>0.01520833333333333</v>
      </c>
      <c r="I2124" s="45" t="n">
        <v>7947</v>
      </c>
      <c r="J2124" s="45" t="n">
        <v>298</v>
      </c>
      <c r="K2124" s="45" t="n">
        <v>64</v>
      </c>
      <c r="L2124" s="46" t="n"/>
      <c r="M2124" s="47" t="n"/>
      <c r="N2124" s="47" t="inlineStr">
        <is>
          <t>UCor_9jRnNNZVzTuQ92PKsaQ</t>
        </is>
      </c>
      <c r="O2124" s="48" t="n">
        <v>43271.60416666666</v>
      </c>
      <c r="P2124" s="49" t="n">
        <v>43271</v>
      </c>
      <c r="Q2124" s="47" t="n">
        <v>1144</v>
      </c>
      <c r="R2124" s="47" t="inlineStr">
        <is>
          <t>No Video ID yet</t>
        </is>
      </c>
      <c r="S2124" s="49" t="n"/>
      <c r="T2124" s="49" t="n"/>
      <c r="U2124" s="47" t="n"/>
      <c r="V2124" s="47">
        <f>IF(AND(P2124&gt;=Calendar!$K$2,P2124&lt;EDATE(Calendar!$K$2,1),OR(Calendar!$K$4="*",N2124=Calendar!$K$4)),P2124*100+COUNTIFS($P$6:$P$3267,P2124,$Q$6:$Q$3267,"&lt;="&amp;Q2124,$N$6:$N$3267,Calendar!$K$4),"")</f>
        <v/>
      </c>
      <c r="W2124" s="47">
        <f>IF(AND(B2124=Queue!$C$4,OR(Queue!$K$4="*",N2124=Queue!$K$4)),Q2124,"")</f>
        <v/>
      </c>
    </row>
    <row r="2125">
      <c r="A2125" s="38">
        <f>IF(M2125="","",HYPERLINK("https://www.youtube.com/watch?v="&amp;M2125,"▶"))</f>
        <v/>
      </c>
      <c r="B2125" s="39">
        <f>IF(C2125&lt;&gt;"",C2125,IF(P2125&lt;=IFERROR(INDEX(tblChannels[Watched Through],MATCH(N2125,tblChannels[Channel ID],0)),0),"Watched","Unwatched"))</f>
        <v/>
      </c>
      <c r="C2125" s="40" t="n"/>
      <c r="D2125" s="41" t="n"/>
      <c r="E2125" s="42" t="n">
        <v>43270.51388888889</v>
      </c>
      <c r="F2125" s="50" t="inlineStr">
        <is>
          <t>Super Carlin Brothers</t>
        </is>
      </c>
      <c r="G2125" t="inlineStr">
        <is>
          <t>Is Incredibles 2 The Best Pixar Sequel? | SPOILER REVIEW</t>
        </is>
      </c>
      <c r="H2125" s="44" t="n">
        <v>0.03846064814814815</v>
      </c>
      <c r="I2125" s="45" t="n">
        <v>609532</v>
      </c>
      <c r="J2125" s="45" t="n">
        <v>13600</v>
      </c>
      <c r="K2125" s="45" t="n">
        <v>4081</v>
      </c>
      <c r="L2125" s="46" t="n"/>
      <c r="M2125" s="47" t="n"/>
      <c r="N2125" s="47" t="inlineStr">
        <is>
          <t>UCKZo4N0lVPccBkSiuyVh4yg</t>
        </is>
      </c>
      <c r="O2125" s="48" t="n">
        <v>43270.68055555555</v>
      </c>
      <c r="P2125" s="49" t="n">
        <v>43270</v>
      </c>
      <c r="Q2125" s="47" t="n">
        <v>1143</v>
      </c>
      <c r="R2125" s="47" t="inlineStr">
        <is>
          <t>No Video ID yet</t>
        </is>
      </c>
      <c r="S2125" s="49" t="n"/>
      <c r="T2125" s="49" t="n"/>
      <c r="U2125" s="47" t="inlineStr">
        <is>
          <t>Disney Pixar's Incredibles 2 just hit theaters and J and Ben have MANY thoughts! Today they are joined by their editor DK to give their full Spoiler review of Incredibles 2!</t>
        </is>
      </c>
      <c r="V2125" s="47">
        <f>IF(AND(P2125&gt;=Calendar!$K$2,P2125&lt;EDATE(Calendar!$K$2,1),OR(Calendar!$K$4="*",N2125=Calendar!$K$4)),P2125*100+COUNTIFS($P$6:$P$3267,P2125,$Q$6:$Q$3267,"&lt;="&amp;Q2125,$N$6:$N$3267,Calendar!$K$4),"")</f>
        <v/>
      </c>
      <c r="W2125" s="47">
        <f>IF(AND(B2125=Queue!$C$4,OR(Queue!$K$4="*",N2125=Queue!$K$4)),Q2125,"")</f>
        <v/>
      </c>
    </row>
    <row r="2126">
      <c r="A2126" s="38">
        <f>IF(M2126="","",HYPERLINK("https://www.youtube.com/watch?v="&amp;M2126,"▶"))</f>
        <v/>
      </c>
      <c r="B2126" s="39">
        <f>IF(C2126&lt;&gt;"",C2126,IF(P2126&lt;=IFERROR(INDEX(tblChannels[Watched Through],MATCH(N2126,tblChannels[Channel ID],0)),0),"Watched","Unwatched"))</f>
        <v/>
      </c>
      <c r="C2126" s="40" t="n"/>
      <c r="D2126" s="41" t="n"/>
      <c r="E2126" s="42" t="n">
        <v>43269.72013888889</v>
      </c>
      <c r="F2126" s="53" t="inlineStr">
        <is>
          <t>Jonathan Carlin</t>
        </is>
      </c>
      <c r="G2126" t="inlineStr">
        <is>
          <t>New Employees Cause Floods and Fevers</t>
        </is>
      </c>
      <c r="H2126" s="44" t="n">
        <v>0.00818287037037037</v>
      </c>
      <c r="I2126" s="45" t="n">
        <v>44665</v>
      </c>
      <c r="J2126" s="45" t="n">
        <v>1981</v>
      </c>
      <c r="K2126" s="45" t="n">
        <v>285</v>
      </c>
      <c r="L2126" s="46" t="n"/>
      <c r="M2126" s="47" t="n"/>
      <c r="N2126" s="47" t="inlineStr">
        <is>
          <t>UCYPKFe86e6nm4TVUYKLsFUQ</t>
        </is>
      </c>
      <c r="O2126" s="48" t="n">
        <v>43269.88680555556</v>
      </c>
      <c r="P2126" s="49" t="n">
        <v>43269</v>
      </c>
      <c r="Q2126" s="47" t="n">
        <v>1142</v>
      </c>
      <c r="R2126" s="47" t="inlineStr">
        <is>
          <t>No Video ID yet</t>
        </is>
      </c>
      <c r="S2126" s="49" t="n"/>
      <c r="T2126" s="49" t="n"/>
      <c r="U2126" s="47" t="inlineStr">
        <is>
          <t>This week Luke tries solid foods, J solves his pool table problem and a new employee is making her way to SCB!</t>
        </is>
      </c>
      <c r="V2126" s="47">
        <f>IF(AND(P2126&gt;=Calendar!$K$2,P2126&lt;EDATE(Calendar!$K$2,1),OR(Calendar!$K$4="*",N2126=Calendar!$K$4)),P2126*100+COUNTIFS($P$6:$P$3267,P2126,$Q$6:$Q$3267,"&lt;="&amp;Q2126,$N$6:$N$3267,Calendar!$K$4),"")</f>
        <v/>
      </c>
      <c r="W2126" s="47">
        <f>IF(AND(B2126=Queue!$C$4,OR(Queue!$K$4="*",N2126=Queue!$K$4)),Q2126,"")</f>
        <v/>
      </c>
    </row>
    <row r="2127">
      <c r="A2127" s="38">
        <f>IF(M2127="","",HYPERLINK("https://www.youtube.com/watch?v="&amp;M2127,"▶"))</f>
        <v/>
      </c>
      <c r="B2127" s="39">
        <f>IF(C2127&lt;&gt;"",C2127,IF(P2127&lt;=IFERROR(INDEX(tblChannels[Watched Through],MATCH(N2127,tblChannels[Channel ID],0)),0),"Watched","Unwatched"))</f>
        <v/>
      </c>
      <c r="C2127" s="40" t="n"/>
      <c r="D2127" s="41" t="n"/>
      <c r="E2127" s="42" t="n">
        <v>43269.44236111111</v>
      </c>
      <c r="F2127" s="52" t="inlineStr">
        <is>
          <t>Super Carlin Gaming</t>
        </is>
      </c>
      <c r="G2127" t="inlineStr">
        <is>
          <t>The Ol' Whiff &amp; Score | Rocket League #16</t>
        </is>
      </c>
      <c r="H2127" s="44" t="n">
        <v>0.01458333333333333</v>
      </c>
      <c r="I2127" s="45" t="n">
        <v>7836</v>
      </c>
      <c r="J2127" s="45" t="n">
        <v>312</v>
      </c>
      <c r="K2127" s="45" t="n">
        <v>62</v>
      </c>
      <c r="L2127" s="46" t="n"/>
      <c r="M2127" s="47" t="n"/>
      <c r="N2127" s="47" t="inlineStr">
        <is>
          <t>UCor_9jRnNNZVzTuQ92PKsaQ</t>
        </is>
      </c>
      <c r="O2127" s="48" t="n">
        <v>43269.60902777778</v>
      </c>
      <c r="P2127" s="49" t="n">
        <v>43269</v>
      </c>
      <c r="Q2127" s="47" t="n">
        <v>1141</v>
      </c>
      <c r="R2127" s="47" t="inlineStr">
        <is>
          <t>No Video ID yet</t>
        </is>
      </c>
      <c r="S2127" s="49" t="n"/>
      <c r="T2127" s="49" t="n"/>
      <c r="U2127" s="47" t="n"/>
      <c r="V2127" s="47">
        <f>IF(AND(P2127&gt;=Calendar!$K$2,P2127&lt;EDATE(Calendar!$K$2,1),OR(Calendar!$K$4="*",N2127=Calendar!$K$4)),P2127*100+COUNTIFS($P$6:$P$3267,P2127,$Q$6:$Q$3267,"&lt;="&amp;Q2127,$N$6:$N$3267,Calendar!$K$4),"")</f>
        <v/>
      </c>
      <c r="W2127" s="47">
        <f>IF(AND(B2127=Queue!$C$4,OR(Queue!$K$4="*",N2127=Queue!$K$4)),Q2127,"")</f>
        <v/>
      </c>
    </row>
    <row r="2128">
      <c r="A2128" s="38">
        <f>IF(M2128="","",HYPERLINK("https://www.youtube.com/watch?v="&amp;M2128,"▶"))</f>
        <v/>
      </c>
      <c r="B2128" s="39">
        <f>IF(C2128&lt;&gt;"",C2128,IF(P2128&lt;=IFERROR(INDEX(tblChannels[Watched Through],MATCH(N2128,tblChannels[Channel ID],0)),0),"Watched","Unwatched"))</f>
        <v/>
      </c>
      <c r="C2128" s="40" t="n"/>
      <c r="D2128" s="41" t="n"/>
      <c r="E2128" s="42" t="n">
        <v>43266.4375</v>
      </c>
      <c r="F2128" s="52" t="inlineStr">
        <is>
          <t>Super Carlin Gaming</t>
        </is>
      </c>
      <c r="G2128" t="inlineStr">
        <is>
          <t>Holy Krabbie Patties | Rocket League #15</t>
        </is>
      </c>
      <c r="H2128" s="44" t="n">
        <v>0.0140162037037037</v>
      </c>
      <c r="I2128" s="45" t="n">
        <v>8037</v>
      </c>
      <c r="J2128" s="45" t="n">
        <v>316</v>
      </c>
      <c r="K2128" s="45" t="n">
        <v>79</v>
      </c>
      <c r="L2128" s="46" t="n"/>
      <c r="M2128" s="47" t="n"/>
      <c r="N2128" s="47" t="inlineStr">
        <is>
          <t>UCor_9jRnNNZVzTuQ92PKsaQ</t>
        </is>
      </c>
      <c r="O2128" s="48" t="n">
        <v>43266.60416666666</v>
      </c>
      <c r="P2128" s="49" t="n">
        <v>43266</v>
      </c>
      <c r="Q2128" s="47" t="n">
        <v>1140</v>
      </c>
      <c r="R2128" s="47" t="inlineStr">
        <is>
          <t>No Video ID yet</t>
        </is>
      </c>
      <c r="S2128" s="49" t="n"/>
      <c r="T2128" s="49" t="n"/>
      <c r="U2128" s="47" t="n"/>
      <c r="V2128" s="47">
        <f>IF(AND(P2128&gt;=Calendar!$K$2,P2128&lt;EDATE(Calendar!$K$2,1),OR(Calendar!$K$4="*",N2128=Calendar!$K$4)),P2128*100+COUNTIFS($P$6:$P$3267,P2128,$Q$6:$Q$3267,"&lt;="&amp;Q2128,$N$6:$N$3267,Calendar!$K$4),"")</f>
        <v/>
      </c>
      <c r="W2128" s="47">
        <f>IF(AND(B2128=Queue!$C$4,OR(Queue!$K$4="*",N2128=Queue!$K$4)),Q2128,"")</f>
        <v/>
      </c>
    </row>
    <row r="2129">
      <c r="A2129" s="38">
        <f>IF(M2129="","",HYPERLINK("https://www.youtube.com/watch?v="&amp;M2129,"▶"))</f>
        <v/>
      </c>
      <c r="B2129" s="39">
        <f>IF(C2129&lt;&gt;"",C2129,IF(P2129&lt;=IFERROR(INDEX(tblChannels[Watched Through],MATCH(N2129,tblChannels[Channel ID],0)),0),"Watched","Unwatched"))</f>
        <v/>
      </c>
      <c r="C2129" s="40" t="n"/>
      <c r="D2129" s="41" t="n"/>
      <c r="E2129" s="42" t="n">
        <v>43265.71180555555</v>
      </c>
      <c r="F2129" s="50" t="inlineStr">
        <is>
          <t>Super Carlin Brothers</t>
        </is>
      </c>
      <c r="G2129" t="inlineStr">
        <is>
          <t>Neville Is Master Of The Elder Wand | Harry Potter Theory</t>
        </is>
      </c>
      <c r="H2129" s="44" t="n">
        <v>0.008553240740740741</v>
      </c>
      <c r="I2129" s="45" t="n">
        <v>713529</v>
      </c>
      <c r="J2129" s="45" t="n">
        <v>20102</v>
      </c>
      <c r="K2129" s="45" t="n">
        <v>2660</v>
      </c>
      <c r="L2129" s="46" t="n"/>
      <c r="M2129" s="47" t="n"/>
      <c r="N2129" s="47" t="inlineStr">
        <is>
          <t>UCKZo4N0lVPccBkSiuyVh4yg</t>
        </is>
      </c>
      <c r="O2129" s="48" t="n">
        <v>43265.87847222222</v>
      </c>
      <c r="P2129" s="49" t="n">
        <v>43265</v>
      </c>
      <c r="Q2129" s="47" t="n">
        <v>1139</v>
      </c>
      <c r="R2129" s="47" t="inlineStr">
        <is>
          <t>No Video ID yet</t>
        </is>
      </c>
      <c r="S2129" s="49" t="n"/>
      <c r="T2129" s="49" t="n"/>
      <c r="U2129" s="47" t="inlineStr">
        <is>
          <t>Join the Dollar Shave Club :: Thanks to our sponsor Dollar Shave Club, new members get their 1st month of the 'Daily Essentials’ Starter Set including the Executive Razor and trial-sized versions of their Shave Butter, Body Cleanser and One Wipe Charlies’ Butt Wipes for ONLY $5 with FREE shipping. After that razors are just a few bucks a month. Today Ben dives into the Wizarding World of Harry Potter to try and work out the true path of the most famous Deathly Hallow: The Elder Wand - Sure Harry ends up the Master.. but is it possible Neville is the master as well?</t>
        </is>
      </c>
      <c r="V2129" s="47">
        <f>IF(AND(P2129&gt;=Calendar!$K$2,P2129&lt;EDATE(Calendar!$K$2,1),OR(Calendar!$K$4="*",N2129=Calendar!$K$4)),P2129*100+COUNTIFS($P$6:$P$3267,P2129,$Q$6:$Q$3267,"&lt;="&amp;Q2129,$N$6:$N$3267,Calendar!$K$4),"")</f>
        <v/>
      </c>
      <c r="W2129" s="47">
        <f>IF(AND(B2129=Queue!$C$4,OR(Queue!$K$4="*",N2129=Queue!$K$4)),Q2129,"")</f>
        <v/>
      </c>
    </row>
    <row r="2130">
      <c r="A2130" s="38">
        <f>IF(M2130="","",HYPERLINK("https://www.youtube.com/watch?v="&amp;M2130,"▶"))</f>
        <v/>
      </c>
      <c r="B2130" s="39">
        <f>IF(C2130&lt;&gt;"",C2130,IF(P2130&lt;=IFERROR(INDEX(tblChannels[Watched Through],MATCH(N2130,tblChannels[Channel ID],0)),0),"Watched","Unwatched"))</f>
        <v/>
      </c>
      <c r="C2130" s="40" t="n"/>
      <c r="D2130" s="41" t="n"/>
      <c r="E2130" s="42" t="n">
        <v>43265.53402777778</v>
      </c>
      <c r="F2130" s="52" t="inlineStr">
        <is>
          <t>Super Carlin Gaming</t>
        </is>
      </c>
      <c r="G2130" t="inlineStr">
        <is>
          <t>Live Streaming Signing!</t>
        </is>
      </c>
      <c r="H2130" s="44" t="n">
        <v>0.03734953703703704</v>
      </c>
      <c r="I2130" s="45" t="n">
        <v>4158</v>
      </c>
      <c r="J2130" s="45" t="n">
        <v>235</v>
      </c>
      <c r="K2130" s="45" t="n">
        <v>38</v>
      </c>
      <c r="L2130" s="46" t="n"/>
      <c r="M2130" s="47" t="n"/>
      <c r="N2130" s="47" t="inlineStr">
        <is>
          <t>UCor_9jRnNNZVzTuQ92PKsaQ</t>
        </is>
      </c>
      <c r="O2130" s="48" t="n">
        <v>43265.70069444444</v>
      </c>
      <c r="P2130" s="49" t="n">
        <v>43265</v>
      </c>
      <c r="Q2130" s="47" t="n">
        <v>1138</v>
      </c>
      <c r="R2130" s="47" t="inlineStr">
        <is>
          <t>No Video ID yet</t>
        </is>
      </c>
      <c r="S2130" s="49" t="n"/>
      <c r="T2130" s="49" t="n"/>
      <c r="U2130" s="47" t="inlineStr">
        <is>
          <t>Patreon.com/SuperCarlinBrothers</t>
        </is>
      </c>
      <c r="V2130" s="47">
        <f>IF(AND(P2130&gt;=Calendar!$K$2,P2130&lt;EDATE(Calendar!$K$2,1),OR(Calendar!$K$4="*",N2130=Calendar!$K$4)),P2130*100+COUNTIFS($P$6:$P$3267,P2130,$Q$6:$Q$3267,"&lt;="&amp;Q2130,$N$6:$N$3267,Calendar!$K$4),"")</f>
        <v/>
      </c>
      <c r="W2130" s="47">
        <f>IF(AND(B2130=Queue!$C$4,OR(Queue!$K$4="*",N2130=Queue!$K$4)),Q2130,"")</f>
        <v/>
      </c>
    </row>
    <row r="2131">
      <c r="A2131" s="38">
        <f>IF(M2131="","",HYPERLINK("https://www.youtube.com/watch?v="&amp;M2131,"▶"))</f>
        <v/>
      </c>
      <c r="B2131" s="39">
        <f>IF(C2131&lt;&gt;"",C2131,IF(P2131&lt;=IFERROR(INDEX(tblChannels[Watched Through],MATCH(N2131,tblChannels[Channel ID],0)),0),"Watched","Unwatched"))</f>
        <v/>
      </c>
      <c r="C2131" s="40" t="n"/>
      <c r="D2131" s="41" t="n"/>
      <c r="E2131" s="42" t="n">
        <v>43264.4375</v>
      </c>
      <c r="F2131" s="52" t="inlineStr">
        <is>
          <t>Super Carlin Gaming</t>
        </is>
      </c>
      <c r="G2131" t="inlineStr">
        <is>
          <t>Humbled? | Rocket League #14</t>
        </is>
      </c>
      <c r="H2131" s="44" t="n">
        <v>0.01197916666666667</v>
      </c>
      <c r="I2131" s="45" t="n">
        <v>7994</v>
      </c>
      <c r="J2131" s="45" t="n">
        <v>298</v>
      </c>
      <c r="K2131" s="45" t="n">
        <v>53</v>
      </c>
      <c r="L2131" s="46" t="n"/>
      <c r="M2131" s="47" t="n"/>
      <c r="N2131" s="47" t="inlineStr">
        <is>
          <t>UCor_9jRnNNZVzTuQ92PKsaQ</t>
        </is>
      </c>
      <c r="O2131" s="48" t="n">
        <v>43264.60416666666</v>
      </c>
      <c r="P2131" s="49" t="n">
        <v>43264</v>
      </c>
      <c r="Q2131" s="47" t="n">
        <v>1137</v>
      </c>
      <c r="R2131" s="47" t="inlineStr">
        <is>
          <t>No Video ID yet</t>
        </is>
      </c>
      <c r="S2131" s="49" t="n"/>
      <c r="T2131" s="49" t="n"/>
      <c r="U2131" s="47" t="n"/>
      <c r="V2131" s="47">
        <f>IF(AND(P2131&gt;=Calendar!$K$2,P2131&lt;EDATE(Calendar!$K$2,1),OR(Calendar!$K$4="*",N2131=Calendar!$K$4)),P2131*100+COUNTIFS($P$6:$P$3267,P2131,$Q$6:$Q$3267,"&lt;="&amp;Q2131,$N$6:$N$3267,Calendar!$K$4),"")</f>
        <v/>
      </c>
      <c r="W2131" s="47">
        <f>IF(AND(B2131=Queue!$C$4,OR(Queue!$K$4="*",N2131=Queue!$K$4)),Q2131,"")</f>
        <v/>
      </c>
    </row>
    <row r="2132">
      <c r="A2132" s="38">
        <f>IF(M2132="","",HYPERLINK("https://www.youtube.com/watch?v="&amp;M2132,"▶"))</f>
        <v/>
      </c>
      <c r="B2132" s="39">
        <f>IF(C2132&lt;&gt;"",C2132,IF(P2132&lt;=IFERROR(INDEX(tblChannels[Watched Through],MATCH(N2132,tblChannels[Channel ID],0)),0),"Watched","Unwatched"))</f>
        <v/>
      </c>
      <c r="C2132" s="40" t="n"/>
      <c r="D2132" s="41" t="n"/>
      <c r="E2132" s="42" t="n">
        <v>43263.71458333333</v>
      </c>
      <c r="F2132" s="50" t="inlineStr">
        <is>
          <t>Super Carlin Brothers</t>
        </is>
      </c>
      <c r="G2132" t="inlineStr">
        <is>
          <t>How Harry Potter and the Deathly Hallows Was Kept Secret | Harry Potter History</t>
        </is>
      </c>
      <c r="H2132" s="44" t="n">
        <v>0.01005787037037037</v>
      </c>
      <c r="I2132" s="45" t="n">
        <v>796996</v>
      </c>
      <c r="J2132" s="45" t="n">
        <v>24236</v>
      </c>
      <c r="K2132" s="45" t="n">
        <v>3581</v>
      </c>
      <c r="L2132" s="46" t="n"/>
      <c r="M2132" s="47" t="n"/>
      <c r="N2132" s="47" t="inlineStr">
        <is>
          <t>UCKZo4N0lVPccBkSiuyVh4yg</t>
        </is>
      </c>
      <c r="O2132" s="48" t="n">
        <v>43263.88125</v>
      </c>
      <c r="P2132" s="49" t="n">
        <v>43263</v>
      </c>
      <c r="Q2132" s="47" t="n">
        <v>1136</v>
      </c>
      <c r="R2132" s="47" t="inlineStr">
        <is>
          <t>No Video ID yet</t>
        </is>
      </c>
      <c r="S2132" s="49" t="n"/>
      <c r="T2132" s="49" t="n"/>
      <c r="U2132" s="47" t="inlineStr">
        <is>
          <t>Use our link or text code scb to 500-500 to get a free book and 30-day free trial. Today J dives into the Wizarding World of Harry Potter to uncover the crazy lengths Bloomsbury went to to keep Harry Potter and the Deathly Hallows Spoiler free to the masses and preserve that amazing magic moment. This video was inspired by a story in this TIME magazine:</t>
        </is>
      </c>
      <c r="V2132" s="47">
        <f>IF(AND(P2132&gt;=Calendar!$K$2,P2132&lt;EDATE(Calendar!$K$2,1),OR(Calendar!$K$4="*",N2132=Calendar!$K$4)),P2132*100+COUNTIFS($P$6:$P$3267,P2132,$Q$6:$Q$3267,"&lt;="&amp;Q2132,$N$6:$N$3267,Calendar!$K$4),"")</f>
        <v/>
      </c>
      <c r="W2132" s="47">
        <f>IF(AND(B2132=Queue!$C$4,OR(Queue!$K$4="*",N2132=Queue!$K$4)),Q2132,"")</f>
        <v/>
      </c>
    </row>
    <row r="2133">
      <c r="A2133" s="38">
        <f>IF(M2133="","",HYPERLINK("https://www.youtube.com/watch?v="&amp;M2133,"▶"))</f>
        <v/>
      </c>
      <c r="B2133" s="39">
        <f>IF(C2133&lt;&gt;"",C2133,IF(P2133&lt;=IFERROR(INDEX(tblChannels[Watched Through],MATCH(N2133,tblChannels[Channel ID],0)),0),"Watched","Unwatched"))</f>
        <v/>
      </c>
      <c r="C2133" s="40" t="n"/>
      <c r="D2133" s="41" t="n"/>
      <c r="E2133" s="42" t="n">
        <v>43262.56875</v>
      </c>
      <c r="F2133" s="53" t="inlineStr">
        <is>
          <t>Jonathan Carlin</t>
        </is>
      </c>
      <c r="G2133" t="inlineStr">
        <is>
          <t>FLASH FLOOD ADVENTURE</t>
        </is>
      </c>
      <c r="H2133" s="44" t="n">
        <v>0.01072916666666667</v>
      </c>
      <c r="I2133" s="45" t="n">
        <v>61932</v>
      </c>
      <c r="J2133" s="45" t="n">
        <v>2391</v>
      </c>
      <c r="K2133" s="45" t="n">
        <v>284</v>
      </c>
      <c r="L2133" s="46" t="n"/>
      <c r="M2133" s="47" t="n"/>
      <c r="N2133" s="47" t="inlineStr">
        <is>
          <t>UCYPKFe86e6nm4TVUYKLsFUQ</t>
        </is>
      </c>
      <c r="O2133" s="48" t="n">
        <v>43262.73541666667</v>
      </c>
      <c r="P2133" s="49" t="n">
        <v>43262</v>
      </c>
      <c r="Q2133" s="47" t="n">
        <v>1135</v>
      </c>
      <c r="R2133" s="47" t="inlineStr">
        <is>
          <t>No Video ID yet</t>
        </is>
      </c>
      <c r="S2133" s="49" t="n"/>
      <c r="T2133" s="49" t="n"/>
      <c r="U2133" s="47" t="inlineStr">
        <is>
          <t>This week J battles the eye doctor, he and Beth enjoy some million dollar bacon, and it rains... like a lot.</t>
        </is>
      </c>
      <c r="V2133" s="47">
        <f>IF(AND(P2133&gt;=Calendar!$K$2,P2133&lt;EDATE(Calendar!$K$2,1),OR(Calendar!$K$4="*",N2133=Calendar!$K$4)),P2133*100+COUNTIFS($P$6:$P$3267,P2133,$Q$6:$Q$3267,"&lt;="&amp;Q2133,$N$6:$N$3267,Calendar!$K$4),"")</f>
        <v/>
      </c>
      <c r="W2133" s="47">
        <f>IF(AND(B2133=Queue!$C$4,OR(Queue!$K$4="*",N2133=Queue!$K$4)),Q2133,"")</f>
        <v/>
      </c>
    </row>
    <row r="2134">
      <c r="A2134" s="38">
        <f>IF(M2134="","",HYPERLINK("https://www.youtube.com/watch?v="&amp;M2134,"▶"))</f>
        <v/>
      </c>
      <c r="B2134" s="39">
        <f>IF(C2134&lt;&gt;"",C2134,IF(P2134&lt;=IFERROR(INDEX(tblChannels[Watched Through],MATCH(N2134,tblChannels[Channel ID],0)),0),"Watched","Unwatched"))</f>
        <v/>
      </c>
      <c r="C2134" s="40" t="n"/>
      <c r="D2134" s="41" t="n"/>
      <c r="E2134" s="42" t="n">
        <v>43262.47638888889</v>
      </c>
      <c r="F2134" s="52" t="inlineStr">
        <is>
          <t>Super Carlin Gaming</t>
        </is>
      </c>
      <c r="G2134" t="inlineStr">
        <is>
          <t>Dinosaurs, I Hate You | Rocket League #13</t>
        </is>
      </c>
      <c r="H2134" s="44" t="n">
        <v>0.01261574074074074</v>
      </c>
      <c r="I2134" s="45" t="n">
        <v>8982</v>
      </c>
      <c r="J2134" s="45" t="n">
        <v>310</v>
      </c>
      <c r="K2134" s="45" t="n">
        <v>58</v>
      </c>
      <c r="L2134" s="46" t="n"/>
      <c r="M2134" s="47" t="n"/>
      <c r="N2134" s="47" t="inlineStr">
        <is>
          <t>UCor_9jRnNNZVzTuQ92PKsaQ</t>
        </is>
      </c>
      <c r="O2134" s="48" t="n">
        <v>43262.64305555556</v>
      </c>
      <c r="P2134" s="49" t="n">
        <v>43262</v>
      </c>
      <c r="Q2134" s="47" t="n">
        <v>1134</v>
      </c>
      <c r="R2134" s="47" t="inlineStr">
        <is>
          <t>No Video ID yet</t>
        </is>
      </c>
      <c r="S2134" s="49" t="n"/>
      <c r="T2134" s="49" t="n"/>
      <c r="U2134" s="47" t="n"/>
      <c r="V2134" s="47">
        <f>IF(AND(P2134&gt;=Calendar!$K$2,P2134&lt;EDATE(Calendar!$K$2,1),OR(Calendar!$K$4="*",N2134=Calendar!$K$4)),P2134*100+COUNTIFS($P$6:$P$3267,P2134,$Q$6:$Q$3267,"&lt;="&amp;Q2134,$N$6:$N$3267,Calendar!$K$4),"")</f>
        <v/>
      </c>
      <c r="W2134" s="47">
        <f>IF(AND(B2134=Queue!$C$4,OR(Queue!$K$4="*",N2134=Queue!$K$4)),Q2134,"")</f>
        <v/>
      </c>
    </row>
    <row r="2135">
      <c r="A2135" s="38">
        <f>IF(M2135="","",HYPERLINK("https://www.youtube.com/watch?v="&amp;M2135,"▶"))</f>
        <v/>
      </c>
      <c r="B2135" s="39">
        <f>IF(C2135&lt;&gt;"",C2135,IF(P2135&lt;=IFERROR(INDEX(tblChannels[Watched Through],MATCH(N2135,tblChannels[Channel ID],0)),0),"Watched","Unwatched"))</f>
        <v/>
      </c>
      <c r="C2135" s="40" t="n"/>
      <c r="D2135" s="41" t="n"/>
      <c r="E2135" s="42" t="n">
        <v>43259.4375</v>
      </c>
      <c r="F2135" s="52" t="inlineStr">
        <is>
          <t>Super Carlin Gaming</t>
        </is>
      </c>
      <c r="G2135" t="inlineStr">
        <is>
          <t>Fill the Void | Rocket League #12</t>
        </is>
      </c>
      <c r="H2135" s="44" t="n">
        <v>0.01275462962962963</v>
      </c>
      <c r="I2135" s="45" t="n">
        <v>9374</v>
      </c>
      <c r="J2135" s="45" t="n">
        <v>317</v>
      </c>
      <c r="K2135" s="45" t="n">
        <v>82</v>
      </c>
      <c r="L2135" s="46" t="n"/>
      <c r="M2135" s="47" t="n"/>
      <c r="N2135" s="47" t="inlineStr">
        <is>
          <t>UCor_9jRnNNZVzTuQ92PKsaQ</t>
        </is>
      </c>
      <c r="O2135" s="48" t="n">
        <v>43259.60416666666</v>
      </c>
      <c r="P2135" s="49" t="n">
        <v>43259</v>
      </c>
      <c r="Q2135" s="47" t="n">
        <v>1133</v>
      </c>
      <c r="R2135" s="47" t="inlineStr">
        <is>
          <t>No Video ID yet</t>
        </is>
      </c>
      <c r="S2135" s="49" t="n"/>
      <c r="T2135" s="49" t="n"/>
      <c r="U2135" s="47" t="n"/>
      <c r="V2135" s="47">
        <f>IF(AND(P2135&gt;=Calendar!$K$2,P2135&lt;EDATE(Calendar!$K$2,1),OR(Calendar!$K$4="*",N2135=Calendar!$K$4)),P2135*100+COUNTIFS($P$6:$P$3267,P2135,$Q$6:$Q$3267,"&lt;="&amp;Q2135,$N$6:$N$3267,Calendar!$K$4),"")</f>
        <v/>
      </c>
      <c r="W2135" s="47">
        <f>IF(AND(B2135=Queue!$C$4,OR(Queue!$K$4="*",N2135=Queue!$K$4)),Q2135,"")</f>
        <v/>
      </c>
    </row>
    <row r="2136">
      <c r="A2136" s="38">
        <f>IF(M2136="","",HYPERLINK("https://www.youtube.com/watch?v="&amp;M2136,"▶"))</f>
        <v/>
      </c>
      <c r="B2136" s="39">
        <f>IF(C2136&lt;&gt;"",C2136,IF(P2136&lt;=IFERROR(INDEX(tblChannels[Watched Through],MATCH(N2136,tblChannels[Channel ID],0)),0),"Watched","Unwatched"))</f>
        <v/>
      </c>
      <c r="C2136" s="40" t="n"/>
      <c r="D2136" s="41" t="n"/>
      <c r="E2136" s="42" t="n">
        <v>43258.75902777778</v>
      </c>
      <c r="F2136" s="50" t="inlineStr">
        <is>
          <t>Super Carlin Brothers</t>
        </is>
      </c>
      <c r="G2136" t="inlineStr">
        <is>
          <t>Top 10 Easter Eggs To Look For In Incredibles 2</t>
        </is>
      </c>
      <c r="H2136" s="44" t="n">
        <v>0.008043981481481482</v>
      </c>
      <c r="I2136" s="45" t="n">
        <v>277248</v>
      </c>
      <c r="J2136" s="45" t="n">
        <v>10512</v>
      </c>
      <c r="K2136" s="45" t="n">
        <v>1422</v>
      </c>
      <c r="L2136" s="46" t="n"/>
      <c r="M2136" s="47" t="n"/>
      <c r="N2136" s="47" t="inlineStr">
        <is>
          <t>UCKZo4N0lVPccBkSiuyVh4yg</t>
        </is>
      </c>
      <c r="O2136" s="48" t="n">
        <v>43258.92569444444</v>
      </c>
      <c r="P2136" s="49" t="n">
        <v>43258</v>
      </c>
      <c r="Q2136" s="47" t="n">
        <v>1132</v>
      </c>
      <c r="R2136" s="47" t="inlineStr">
        <is>
          <t>No Video ID yet</t>
        </is>
      </c>
      <c r="S2136" s="49" t="n"/>
      <c r="T2136" s="49" t="n"/>
      <c r="U2136" s="47" t="inlineStr">
        <is>
          <t>Disney Pixar's Incredibles 2 comes out next week and we are SO excited! As ever we are on the lookout for how Incredibles 2 will fit into the Pixar theory and that starts with the Easter Eggs so today Ben is running down his list of Top 10 Easter Eggs to look for in Incredibles 2.</t>
        </is>
      </c>
      <c r="V2136" s="47">
        <f>IF(AND(P2136&gt;=Calendar!$K$2,P2136&lt;EDATE(Calendar!$K$2,1),OR(Calendar!$K$4="*",N2136=Calendar!$K$4)),P2136*100+COUNTIFS($P$6:$P$3267,P2136,$Q$6:$Q$3267,"&lt;="&amp;Q2136,$N$6:$N$3267,Calendar!$K$4),"")</f>
        <v/>
      </c>
      <c r="W2136" s="47">
        <f>IF(AND(B2136=Queue!$C$4,OR(Queue!$K$4="*",N2136=Queue!$K$4)),Q2136,"")</f>
        <v/>
      </c>
    </row>
    <row r="2137">
      <c r="A2137" s="38">
        <f>IF(M2137="","",HYPERLINK("https://www.youtube.com/watch?v="&amp;M2137,"▶"))</f>
        <v/>
      </c>
      <c r="B2137" s="39">
        <f>IF(C2137&lt;&gt;"",C2137,IF(P2137&lt;=IFERROR(INDEX(tblChannels[Watched Through],MATCH(N2137,tblChannels[Channel ID],0)),0),"Watched","Unwatched"))</f>
        <v/>
      </c>
      <c r="C2137" s="40" t="n"/>
      <c r="D2137" s="41" t="n"/>
      <c r="E2137" s="42" t="n">
        <v>43257.4375</v>
      </c>
      <c r="F2137" s="52" t="inlineStr">
        <is>
          <t>Super Carlin Gaming</t>
        </is>
      </c>
      <c r="G2137" t="inlineStr">
        <is>
          <t>Gopher in the Pothole | Rocket League #11</t>
        </is>
      </c>
      <c r="H2137" s="44" t="n">
        <v>0.01452546296296296</v>
      </c>
      <c r="I2137" s="45" t="n">
        <v>9801</v>
      </c>
      <c r="J2137" s="45" t="n">
        <v>383</v>
      </c>
      <c r="K2137" s="45" t="n">
        <v>70</v>
      </c>
      <c r="L2137" s="46" t="n"/>
      <c r="M2137" s="47" t="n"/>
      <c r="N2137" s="47" t="inlineStr">
        <is>
          <t>UCor_9jRnNNZVzTuQ92PKsaQ</t>
        </is>
      </c>
      <c r="O2137" s="48" t="n">
        <v>43257.60416666666</v>
      </c>
      <c r="P2137" s="49" t="n">
        <v>43257</v>
      </c>
      <c r="Q2137" s="47" t="n">
        <v>1131</v>
      </c>
      <c r="R2137" s="47" t="inlineStr">
        <is>
          <t>No Video ID yet</t>
        </is>
      </c>
      <c r="S2137" s="49" t="n"/>
      <c r="T2137" s="49" t="n"/>
      <c r="U2137" s="47" t="n"/>
      <c r="V2137" s="47">
        <f>IF(AND(P2137&gt;=Calendar!$K$2,P2137&lt;EDATE(Calendar!$K$2,1),OR(Calendar!$K$4="*",N2137=Calendar!$K$4)),P2137*100+COUNTIFS($P$6:$P$3267,P2137,$Q$6:$Q$3267,"&lt;="&amp;Q2137,$N$6:$N$3267,Calendar!$K$4),"")</f>
        <v/>
      </c>
      <c r="W2137" s="47">
        <f>IF(AND(B2137=Queue!$C$4,OR(Queue!$K$4="*",N2137=Queue!$K$4)),Q2137,"")</f>
        <v/>
      </c>
    </row>
    <row r="2138">
      <c r="A2138" s="38">
        <f>IF(M2138="","",HYPERLINK("https://www.youtube.com/watch?v="&amp;M2138,"▶"))</f>
        <v/>
      </c>
      <c r="B2138" s="39">
        <f>IF(C2138&lt;&gt;"",C2138,IF(P2138&lt;=IFERROR(INDEX(tblChannels[Watched Through],MATCH(N2138,tblChannels[Channel ID],0)),0),"Watched","Unwatched"))</f>
        <v/>
      </c>
      <c r="C2138" s="40" t="n"/>
      <c r="D2138" s="41" t="n"/>
      <c r="E2138" s="42" t="n">
        <v>43256.69027777778</v>
      </c>
      <c r="F2138" s="50" t="inlineStr">
        <is>
          <t>Super Carlin Brothers</t>
        </is>
      </c>
      <c r="G2138" t="inlineStr">
        <is>
          <t>Did SOLO Reveal Rey's Mother!? | Star Wars Theory</t>
        </is>
      </c>
      <c r="H2138" s="44" t="n">
        <v>0.007245370370370371</v>
      </c>
      <c r="I2138" s="45" t="n">
        <v>838164</v>
      </c>
      <c r="J2138" s="45" t="n">
        <v>17316</v>
      </c>
      <c r="K2138" s="45" t="n">
        <v>3749</v>
      </c>
      <c r="L2138" s="46" t="n"/>
      <c r="M2138" s="47" t="n"/>
      <c r="N2138" s="47" t="inlineStr">
        <is>
          <t>UCKZo4N0lVPccBkSiuyVh4yg</t>
        </is>
      </c>
      <c r="O2138" s="48" t="n">
        <v>43256.85694444444</v>
      </c>
      <c r="P2138" s="49" t="n">
        <v>43256</v>
      </c>
      <c r="Q2138" s="47" t="n">
        <v>1130</v>
      </c>
      <c r="R2138" s="47" t="inlineStr">
        <is>
          <t>No Video ID yet</t>
        </is>
      </c>
      <c r="S2138" s="49" t="n"/>
      <c r="T2138" s="49" t="n"/>
      <c r="U2138" s="47" t="inlineStr">
        <is>
          <t>Star Wars latest adventure SOLO just hit theater's and dropped some crazy new info on us, so today J is diving into the Star Wars Galaxy to give his review, discuss if Qi'ra is Rey's mother and explain that crazy cameo!</t>
        </is>
      </c>
      <c r="V2138" s="47">
        <f>IF(AND(P2138&gt;=Calendar!$K$2,P2138&lt;EDATE(Calendar!$K$2,1),OR(Calendar!$K$4="*",N2138=Calendar!$K$4)),P2138*100+COUNTIFS($P$6:$P$3267,P2138,$Q$6:$Q$3267,"&lt;="&amp;Q2138,$N$6:$N$3267,Calendar!$K$4),"")</f>
        <v/>
      </c>
      <c r="W2138" s="47">
        <f>IF(AND(B2138=Queue!$C$4,OR(Queue!$K$4="*",N2138=Queue!$K$4)),Q2138,"")</f>
        <v/>
      </c>
    </row>
    <row r="2139">
      <c r="A2139" s="38">
        <f>IF(M2139="","",HYPERLINK("https://www.youtube.com/watch?v="&amp;M2139,"▶"))</f>
        <v/>
      </c>
      <c r="B2139" s="39">
        <f>IF(C2139&lt;&gt;"",C2139,IF(P2139&lt;=IFERROR(INDEX(tblChannels[Watched Through],MATCH(N2139,tblChannels[Channel ID],0)),0),"Watched","Unwatched"))</f>
        <v/>
      </c>
      <c r="C2139" s="40" t="n"/>
      <c r="D2139" s="41" t="n"/>
      <c r="E2139" s="42" t="n">
        <v>43255.45694444444</v>
      </c>
      <c r="F2139" s="53" t="inlineStr">
        <is>
          <t>Jonathan Carlin</t>
        </is>
      </c>
      <c r="G2139" t="inlineStr">
        <is>
          <t>TOGETHER FOR 12 YEARS!</t>
        </is>
      </c>
      <c r="H2139" s="44" t="n">
        <v>0.005601851851851852</v>
      </c>
      <c r="I2139" s="45" t="n">
        <v>60731</v>
      </c>
      <c r="J2139" s="45" t="n">
        <v>2963</v>
      </c>
      <c r="K2139" s="45" t="n">
        <v>200</v>
      </c>
      <c r="L2139" s="46" t="n"/>
      <c r="M2139" s="47" t="n"/>
      <c r="N2139" s="47" t="inlineStr">
        <is>
          <t>UCYPKFe86e6nm4TVUYKLsFUQ</t>
        </is>
      </c>
      <c r="O2139" s="48" t="n">
        <v>43255.62361111111</v>
      </c>
      <c r="P2139" s="49" t="n">
        <v>43255</v>
      </c>
      <c r="Q2139" s="47" t="n">
        <v>1129</v>
      </c>
      <c r="R2139" s="47" t="inlineStr">
        <is>
          <t>No Video ID yet</t>
        </is>
      </c>
      <c r="S2139" s="49" t="n"/>
      <c r="T2139" s="49" t="n"/>
      <c r="U2139" s="47" t="inlineStr">
        <is>
          <t>Beth and J celebrate an anniversary and deal with some rain damage... Luke learns to fly.</t>
        </is>
      </c>
      <c r="V2139" s="47">
        <f>IF(AND(P2139&gt;=Calendar!$K$2,P2139&lt;EDATE(Calendar!$K$2,1),OR(Calendar!$K$4="*",N2139=Calendar!$K$4)),P2139*100+COUNTIFS($P$6:$P$3267,P2139,$Q$6:$Q$3267,"&lt;="&amp;Q2139,$N$6:$N$3267,Calendar!$K$4),"")</f>
        <v/>
      </c>
      <c r="W2139" s="47">
        <f>IF(AND(B2139=Queue!$C$4,OR(Queue!$K$4="*",N2139=Queue!$K$4)),Q2139,"")</f>
        <v/>
      </c>
    </row>
    <row r="2140">
      <c r="A2140" s="38">
        <f>IF(M2140="","",HYPERLINK("https://www.youtube.com/watch?v="&amp;M2140,"▶"))</f>
        <v/>
      </c>
      <c r="B2140" s="39">
        <f>IF(C2140&lt;&gt;"",C2140,IF(P2140&lt;=IFERROR(INDEX(tblChannels[Watched Through],MATCH(N2140,tblChannels[Channel ID],0)),0),"Watched","Unwatched"))</f>
        <v/>
      </c>
      <c r="C2140" s="40" t="n"/>
      <c r="D2140" s="41" t="n"/>
      <c r="E2140" s="42" t="n">
        <v>43255.4375</v>
      </c>
      <c r="F2140" s="52" t="inlineStr">
        <is>
          <t>Super Carlin Gaming</t>
        </is>
      </c>
      <c r="G2140" t="inlineStr">
        <is>
          <t>The Other R Word | Rocket League #10</t>
        </is>
      </c>
      <c r="H2140" s="44" t="n">
        <v>0.01392361111111111</v>
      </c>
      <c r="I2140" s="45" t="n">
        <v>10577</v>
      </c>
      <c r="J2140" s="45" t="n">
        <v>424</v>
      </c>
      <c r="K2140" s="45" t="n">
        <v>186</v>
      </c>
      <c r="L2140" s="46" t="n"/>
      <c r="M2140" s="47" t="n"/>
      <c r="N2140" s="47" t="inlineStr">
        <is>
          <t>UCor_9jRnNNZVzTuQ92PKsaQ</t>
        </is>
      </c>
      <c r="O2140" s="48" t="n">
        <v>43255.60416666666</v>
      </c>
      <c r="P2140" s="49" t="n">
        <v>43255</v>
      </c>
      <c r="Q2140" s="47" t="n">
        <v>1128</v>
      </c>
      <c r="R2140" s="47" t="inlineStr">
        <is>
          <t>No Video ID yet</t>
        </is>
      </c>
      <c r="S2140" s="49" t="n"/>
      <c r="T2140" s="49" t="n"/>
      <c r="U2140" s="47" t="n"/>
      <c r="V2140" s="47">
        <f>IF(AND(P2140&gt;=Calendar!$K$2,P2140&lt;EDATE(Calendar!$K$2,1),OR(Calendar!$K$4="*",N2140=Calendar!$K$4)),P2140*100+COUNTIFS($P$6:$P$3267,P2140,$Q$6:$Q$3267,"&lt;="&amp;Q2140,$N$6:$N$3267,Calendar!$K$4),"")</f>
        <v/>
      </c>
      <c r="W2140" s="47">
        <f>IF(AND(B2140=Queue!$C$4,OR(Queue!$K$4="*",N2140=Queue!$K$4)),Q2140,"")</f>
        <v/>
      </c>
    </row>
    <row r="2141">
      <c r="A2141" s="38">
        <f>IF(M2141="","",HYPERLINK("https://www.youtube.com/watch?v="&amp;M2141,"▶"))</f>
        <v/>
      </c>
      <c r="B2141" s="39">
        <f>IF(C2141&lt;&gt;"",C2141,IF(P2141&lt;=IFERROR(INDEX(tblChannels[Watched Through],MATCH(N2141,tblChannels[Channel ID],0)),0),"Watched","Unwatched"))</f>
        <v/>
      </c>
      <c r="C2141" s="40" t="n"/>
      <c r="D2141" s="41" t="n"/>
      <c r="E2141" s="42" t="n">
        <v>43252.75416666667</v>
      </c>
      <c r="F2141" s="52" t="inlineStr">
        <is>
          <t>Super Carlin Gaming</t>
        </is>
      </c>
      <c r="G2141" t="inlineStr">
        <is>
          <t>LIVE - Q&amp;A with Ben, J and DK! - Friday Rocket League</t>
        </is>
      </c>
      <c r="H2141" s="44" t="n">
        <v>0.06438657407407407</v>
      </c>
      <c r="I2141" s="45" t="n">
        <v>4075</v>
      </c>
      <c r="J2141" s="45" t="n">
        <v>167</v>
      </c>
      <c r="K2141" s="45" t="n">
        <v>11</v>
      </c>
      <c r="L2141" s="46" t="n"/>
      <c r="M2141" s="47" t="n"/>
      <c r="N2141" s="47" t="inlineStr">
        <is>
          <t>UCor_9jRnNNZVzTuQ92PKsaQ</t>
        </is>
      </c>
      <c r="O2141" s="48" t="n">
        <v>43252.92083333333</v>
      </c>
      <c r="P2141" s="49" t="n">
        <v>43252</v>
      </c>
      <c r="Q2141" s="47" t="n">
        <v>1127</v>
      </c>
      <c r="R2141" s="47" t="inlineStr">
        <is>
          <t>No Video ID yet</t>
        </is>
      </c>
      <c r="S2141" s="49" t="n"/>
      <c r="T2141" s="49" t="n"/>
      <c r="U2141" s="47" t="inlineStr">
        <is>
          <t>Ben, J and DK answer your questions and try their very best at Rocket League Join The Discord! J on twitter: Ben on Twitter: DK on Twitter:</t>
        </is>
      </c>
      <c r="V2141" s="47">
        <f>IF(AND(P2141&gt;=Calendar!$K$2,P2141&lt;EDATE(Calendar!$K$2,1),OR(Calendar!$K$4="*",N2141=Calendar!$K$4)),P2141*100+COUNTIFS($P$6:$P$3267,P2141,$Q$6:$Q$3267,"&lt;="&amp;Q2141,$N$6:$N$3267,Calendar!$K$4),"")</f>
        <v/>
      </c>
      <c r="W2141" s="47">
        <f>IF(AND(B2141=Queue!$C$4,OR(Queue!$K$4="*",N2141=Queue!$K$4)),Q2141,"")</f>
        <v/>
      </c>
    </row>
    <row r="2142">
      <c r="A2142" s="38">
        <f>IF(M2142="","",HYPERLINK("https://www.youtube.com/watch?v="&amp;M2142,"▶"))</f>
        <v/>
      </c>
      <c r="B2142" s="39">
        <f>IF(C2142&lt;&gt;"",C2142,IF(P2142&lt;=IFERROR(INDEX(tblChannels[Watched Through],MATCH(N2142,tblChannels[Channel ID],0)),0),"Watched","Unwatched"))</f>
        <v/>
      </c>
      <c r="C2142" s="40" t="n"/>
      <c r="D2142" s="41" t="n"/>
      <c r="E2142" s="42" t="n">
        <v>43252.61666666667</v>
      </c>
      <c r="F2142" s="52" t="inlineStr">
        <is>
          <t>Super Carlin Gaming</t>
        </is>
      </c>
      <c r="G2142" t="inlineStr">
        <is>
          <t>Trash Bags | Rocket League #9</t>
        </is>
      </c>
      <c r="H2142" s="44" t="n">
        <v>0.01271990740740741</v>
      </c>
      <c r="I2142" s="45" t="n">
        <v>10502</v>
      </c>
      <c r="J2142" s="45" t="n">
        <v>377</v>
      </c>
      <c r="K2142" s="45" t="n">
        <v>61</v>
      </c>
      <c r="L2142" s="46" t="n"/>
      <c r="M2142" s="47" t="n"/>
      <c r="N2142" s="47" t="inlineStr">
        <is>
          <t>UCor_9jRnNNZVzTuQ92PKsaQ</t>
        </is>
      </c>
      <c r="O2142" s="48" t="n">
        <v>43252.78333333333</v>
      </c>
      <c r="P2142" s="49" t="n">
        <v>43252</v>
      </c>
      <c r="Q2142" s="47" t="n">
        <v>1126</v>
      </c>
      <c r="R2142" s="47" t="inlineStr">
        <is>
          <t>No Video ID yet</t>
        </is>
      </c>
      <c r="S2142" s="49" t="n"/>
      <c r="T2142" s="49" t="n"/>
      <c r="U2142" s="47" t="n"/>
      <c r="V2142" s="47">
        <f>IF(AND(P2142&gt;=Calendar!$K$2,P2142&lt;EDATE(Calendar!$K$2,1),OR(Calendar!$K$4="*",N2142=Calendar!$K$4)),P2142*100+COUNTIFS($P$6:$P$3267,P2142,$Q$6:$Q$3267,"&lt;="&amp;Q2142,$N$6:$N$3267,Calendar!$K$4),"")</f>
        <v/>
      </c>
      <c r="W2142" s="47">
        <f>IF(AND(B2142=Queue!$C$4,OR(Queue!$K$4="*",N2142=Queue!$K$4)),Q2142,"")</f>
        <v/>
      </c>
    </row>
    <row r="2143">
      <c r="A2143" s="38">
        <f>IF(M2143="","",HYPERLINK("https://www.youtube.com/watch?v="&amp;M2143,"▶"))</f>
        <v/>
      </c>
      <c r="B2143" s="39">
        <f>IF(C2143&lt;&gt;"",C2143,IF(P2143&lt;=IFERROR(INDEX(tblChannels[Watched Through],MATCH(N2143,tblChannels[Channel ID],0)),0),"Watched","Unwatched"))</f>
        <v/>
      </c>
      <c r="C2143" s="40" t="n"/>
      <c r="D2143" s="41" t="n"/>
      <c r="E2143" s="42" t="n">
        <v>43251.74236111111</v>
      </c>
      <c r="F2143" s="50" t="inlineStr">
        <is>
          <t>Super Carlin Brothers</t>
        </is>
      </c>
      <c r="G2143" t="inlineStr">
        <is>
          <t>Newt's Secret Dragon Revealed | Fantastic Beasts Theory</t>
        </is>
      </c>
      <c r="H2143" s="44" t="n">
        <v>0.007997685185185186</v>
      </c>
      <c r="I2143" s="45" t="n">
        <v>358288</v>
      </c>
      <c r="J2143" s="45" t="n">
        <v>12646</v>
      </c>
      <c r="K2143" s="45" t="n">
        <v>1919</v>
      </c>
      <c r="L2143" s="46" t="n"/>
      <c r="M2143" s="47" t="n"/>
      <c r="N2143" s="47" t="inlineStr">
        <is>
          <t>UCKZo4N0lVPccBkSiuyVh4yg</t>
        </is>
      </c>
      <c r="O2143" s="48" t="n">
        <v>43251.90902777778</v>
      </c>
      <c r="P2143" s="49" t="n">
        <v>43251</v>
      </c>
      <c r="Q2143" s="47" t="n">
        <v>1125</v>
      </c>
      <c r="R2143" s="47" t="inlineStr">
        <is>
          <t>No Video ID yet</t>
        </is>
      </c>
      <c r="S2143" s="49" t="n"/>
      <c r="T2143" s="49" t="n"/>
      <c r="U2143" s="47" t="inlineStr">
        <is>
          <t>Pottermore just released the cover art for the Screenplay of Fantastic Beasts: The Crimes of Grindelwald and it is full of Easter Eggs and possible plot points so today Ben is diving into the Wizarding World of Harry Potter and trying uncover what secrets this new cover holds!</t>
        </is>
      </c>
      <c r="V2143" s="47">
        <f>IF(AND(P2143&gt;=Calendar!$K$2,P2143&lt;EDATE(Calendar!$K$2,1),OR(Calendar!$K$4="*",N2143=Calendar!$K$4)),P2143*100+COUNTIFS($P$6:$P$3267,P2143,$Q$6:$Q$3267,"&lt;="&amp;Q2143,$N$6:$N$3267,Calendar!$K$4),"")</f>
        <v/>
      </c>
      <c r="W2143" s="47">
        <f>IF(AND(B2143=Queue!$C$4,OR(Queue!$K$4="*",N2143=Queue!$K$4)),Q2143,"")</f>
        <v/>
      </c>
    </row>
    <row r="2144">
      <c r="A2144" s="38">
        <f>IF(M2144="","",HYPERLINK("https://www.youtube.com/watch?v="&amp;M2144,"▶"))</f>
        <v/>
      </c>
      <c r="B2144" s="39">
        <f>IF(C2144&lt;&gt;"",C2144,IF(P2144&lt;=IFERROR(INDEX(tblChannels[Watched Through],MATCH(N2144,tblChannels[Channel ID],0)),0),"Watched","Unwatched"))</f>
        <v/>
      </c>
      <c r="C2144" s="40" t="n"/>
      <c r="D2144" s="41" t="n"/>
      <c r="E2144" s="42" t="n">
        <v>43250.5</v>
      </c>
      <c r="F2144" s="52" t="inlineStr">
        <is>
          <t>Super Carlin Gaming</t>
        </is>
      </c>
      <c r="G2144" t="inlineStr">
        <is>
          <t>Why Am I Not The BOSS? | Rocket League #8</t>
        </is>
      </c>
      <c r="H2144" s="44" t="n">
        <v>0.01310185185185185</v>
      </c>
      <c r="I2144" s="45" t="n">
        <v>11890</v>
      </c>
      <c r="J2144" s="45" t="n">
        <v>399</v>
      </c>
      <c r="K2144" s="45" t="n">
        <v>85</v>
      </c>
      <c r="L2144" s="46" t="n"/>
      <c r="M2144" s="47" t="n"/>
      <c r="N2144" s="47" t="inlineStr">
        <is>
          <t>UCor_9jRnNNZVzTuQ92PKsaQ</t>
        </is>
      </c>
      <c r="O2144" s="48" t="n">
        <v>43250.66666666666</v>
      </c>
      <c r="P2144" s="49" t="n">
        <v>43250</v>
      </c>
      <c r="Q2144" s="47" t="n">
        <v>1124</v>
      </c>
      <c r="R2144" s="47" t="inlineStr">
        <is>
          <t>No Video ID yet</t>
        </is>
      </c>
      <c r="S2144" s="49" t="n"/>
      <c r="T2144" s="49" t="n"/>
      <c r="U2144" s="47" t="n"/>
      <c r="V2144" s="47">
        <f>IF(AND(P2144&gt;=Calendar!$K$2,P2144&lt;EDATE(Calendar!$K$2,1),OR(Calendar!$K$4="*",N2144=Calendar!$K$4)),P2144*100+COUNTIFS($P$6:$P$3267,P2144,$Q$6:$Q$3267,"&lt;="&amp;Q2144,$N$6:$N$3267,Calendar!$K$4),"")</f>
        <v/>
      </c>
      <c r="W2144" s="47">
        <f>IF(AND(B2144=Queue!$C$4,OR(Queue!$K$4="*",N2144=Queue!$K$4)),Q2144,"")</f>
        <v/>
      </c>
    </row>
    <row r="2145">
      <c r="A2145" s="38">
        <f>IF(M2145="","",HYPERLINK("https://www.youtube.com/watch?v="&amp;M2145,"▶"))</f>
        <v/>
      </c>
      <c r="B2145" s="39">
        <f>IF(C2145&lt;&gt;"",C2145,IF(P2145&lt;=IFERROR(INDEX(tblChannels[Watched Through],MATCH(N2145,tblChannels[Channel ID],0)),0),"Watched","Unwatched"))</f>
        <v/>
      </c>
      <c r="C2145" s="40" t="n"/>
      <c r="D2145" s="41" t="n"/>
      <c r="E2145" s="42" t="n">
        <v>43249.74236111111</v>
      </c>
      <c r="F2145" s="50" t="inlineStr">
        <is>
          <t>Super Carlin Brothers</t>
        </is>
      </c>
      <c r="G2145" t="inlineStr">
        <is>
          <t>The RAREST Harry Potter Book EVER</t>
        </is>
      </c>
      <c r="H2145" s="44" t="n">
        <v>0.008530092592592593</v>
      </c>
      <c r="I2145" s="45" t="n">
        <v>1200961</v>
      </c>
      <c r="J2145" s="45" t="n">
        <v>32985</v>
      </c>
      <c r="K2145" s="45" t="n">
        <v>4414</v>
      </c>
      <c r="L2145" s="46" t="n"/>
      <c r="M2145" s="47" t="n"/>
      <c r="N2145" s="47" t="inlineStr">
        <is>
          <t>UCKZo4N0lVPccBkSiuyVh4yg</t>
        </is>
      </c>
      <c r="O2145" s="48" t="n">
        <v>43249.90902777778</v>
      </c>
      <c r="P2145" s="49" t="n">
        <v>43249</v>
      </c>
      <c r="Q2145" s="47" t="n">
        <v>1123</v>
      </c>
      <c r="R2145" s="47" t="inlineStr">
        <is>
          <t>No Video ID yet</t>
        </is>
      </c>
      <c r="S2145" s="49" t="n"/>
      <c r="T2145" s="49" t="n"/>
      <c r="U2145" s="47" t="inlineStr">
        <is>
          <t>Today J dives into the Wizarding World of Harry Potter to uncover what the rarest Harry Potter books on Earth are and what to look for if you are a collector Harold Bloom Interview ::</t>
        </is>
      </c>
      <c r="V2145" s="47">
        <f>IF(AND(P2145&gt;=Calendar!$K$2,P2145&lt;EDATE(Calendar!$K$2,1),OR(Calendar!$K$4="*",N2145=Calendar!$K$4)),P2145*100+COUNTIFS($P$6:$P$3267,P2145,$Q$6:$Q$3267,"&lt;="&amp;Q2145,$N$6:$N$3267,Calendar!$K$4),"")</f>
        <v/>
      </c>
      <c r="W2145" s="47">
        <f>IF(AND(B2145=Queue!$C$4,OR(Queue!$K$4="*",N2145=Queue!$K$4)),Q2145,"")</f>
        <v/>
      </c>
    </row>
    <row r="2146">
      <c r="A2146" s="38">
        <f>IF(M2146="","",HYPERLINK("https://www.youtube.com/watch?v="&amp;M2146,"▶"))</f>
        <v/>
      </c>
      <c r="B2146" s="39">
        <f>IF(C2146&lt;&gt;"",C2146,IF(P2146&lt;=IFERROR(INDEX(tblChannels[Watched Through],MATCH(N2146,tblChannels[Channel ID],0)),0),"Watched","Unwatched"))</f>
        <v/>
      </c>
      <c r="C2146" s="40" t="n"/>
      <c r="D2146" s="41" t="n"/>
      <c r="E2146" s="42" t="n">
        <v>43248.82708333333</v>
      </c>
      <c r="F2146" s="53" t="inlineStr">
        <is>
          <t>Jonathan Carlin</t>
        </is>
      </c>
      <c r="G2146" t="inlineStr">
        <is>
          <t>I FORGOT MY PANTS!</t>
        </is>
      </c>
      <c r="H2146" s="44" t="n">
        <v>0.007916666666666667</v>
      </c>
      <c r="I2146" s="45" t="n">
        <v>45376</v>
      </c>
      <c r="J2146" s="45" t="n">
        <v>1890</v>
      </c>
      <c r="K2146" s="45" t="n">
        <v>185</v>
      </c>
      <c r="L2146" s="46" t="n"/>
      <c r="M2146" s="47" t="n"/>
      <c r="N2146" s="47" t="inlineStr">
        <is>
          <t>UCYPKFe86e6nm4TVUYKLsFUQ</t>
        </is>
      </c>
      <c r="O2146" s="48" t="n">
        <v>43248.99375</v>
      </c>
      <c r="P2146" s="49" t="n">
        <v>43248</v>
      </c>
      <c r="Q2146" s="47" t="n">
        <v>1122</v>
      </c>
      <c r="R2146" s="47" t="inlineStr">
        <is>
          <t>No Video ID yet</t>
        </is>
      </c>
      <c r="S2146" s="49" t="n"/>
      <c r="T2146" s="49" t="n"/>
      <c r="U2146" s="47" t="inlineStr">
        <is>
          <t>J and Beth head to Virginia Beach for a wedding... J left something behind... Also Beth has BIG ANNOUCEMENT!</t>
        </is>
      </c>
      <c r="V2146" s="47">
        <f>IF(AND(P2146&gt;=Calendar!$K$2,P2146&lt;EDATE(Calendar!$K$2,1),OR(Calendar!$K$4="*",N2146=Calendar!$K$4)),P2146*100+COUNTIFS($P$6:$P$3267,P2146,$Q$6:$Q$3267,"&lt;="&amp;Q2146,$N$6:$N$3267,Calendar!$K$4),"")</f>
        <v/>
      </c>
      <c r="W2146" s="47">
        <f>IF(AND(B2146=Queue!$C$4,OR(Queue!$K$4="*",N2146=Queue!$K$4)),Q2146,"")</f>
        <v/>
      </c>
    </row>
    <row r="2147">
      <c r="A2147" s="38">
        <f>IF(M2147="","",HYPERLINK("https://www.youtube.com/watch?v="&amp;M2147,"▶"))</f>
        <v/>
      </c>
      <c r="B2147" s="39">
        <f>IF(C2147&lt;&gt;"",C2147,IF(P2147&lt;=IFERROR(INDEX(tblChannels[Watched Through],MATCH(N2147,tblChannels[Channel ID],0)),0),"Watched","Unwatched"))</f>
        <v/>
      </c>
      <c r="C2147" s="40" t="n"/>
      <c r="D2147" s="41" t="n"/>
      <c r="E2147" s="42" t="n">
        <v>43248.41666666666</v>
      </c>
      <c r="F2147" s="52" t="inlineStr">
        <is>
          <t>Super Carlin Gaming</t>
        </is>
      </c>
      <c r="G2147" t="inlineStr">
        <is>
          <t>The Thief of Happiness | Rocket League #7</t>
        </is>
      </c>
      <c r="H2147" s="44" t="n">
        <v>0.01280092592592593</v>
      </c>
      <c r="I2147" s="45" t="n">
        <v>12768</v>
      </c>
      <c r="J2147" s="45" t="n">
        <v>465</v>
      </c>
      <c r="K2147" s="45" t="n">
        <v>81</v>
      </c>
      <c r="L2147" s="46" t="n"/>
      <c r="M2147" s="47" t="n"/>
      <c r="N2147" s="47" t="inlineStr">
        <is>
          <t>UCor_9jRnNNZVzTuQ92PKsaQ</t>
        </is>
      </c>
      <c r="O2147" s="48" t="n">
        <v>43248.58333333334</v>
      </c>
      <c r="P2147" s="49" t="n">
        <v>43248</v>
      </c>
      <c r="Q2147" s="47" t="n">
        <v>1121</v>
      </c>
      <c r="R2147" s="47" t="inlineStr">
        <is>
          <t>No Video ID yet</t>
        </is>
      </c>
      <c r="S2147" s="49" t="n"/>
      <c r="T2147" s="49" t="n"/>
      <c r="U2147" s="47" t="n"/>
      <c r="V2147" s="47">
        <f>IF(AND(P2147&gt;=Calendar!$K$2,P2147&lt;EDATE(Calendar!$K$2,1),OR(Calendar!$K$4="*",N2147=Calendar!$K$4)),P2147*100+COUNTIFS($P$6:$P$3267,P2147,$Q$6:$Q$3267,"&lt;="&amp;Q2147,$N$6:$N$3267,Calendar!$K$4),"")</f>
        <v/>
      </c>
      <c r="W2147" s="47">
        <f>IF(AND(B2147=Queue!$C$4,OR(Queue!$K$4="*",N2147=Queue!$K$4)),Q2147,"")</f>
        <v/>
      </c>
    </row>
    <row r="2148">
      <c r="A2148" s="38">
        <f>IF(M2148="","",HYPERLINK("https://www.youtube.com/watch?v="&amp;M2148,"▶"))</f>
        <v/>
      </c>
      <c r="B2148" s="39">
        <f>IF(C2148&lt;&gt;"",C2148,IF(P2148&lt;=IFERROR(INDEX(tblChannels[Watched Through],MATCH(N2148,tblChannels[Channel ID],0)),0),"Watched","Unwatched"))</f>
        <v/>
      </c>
      <c r="C2148" s="40" t="n"/>
      <c r="D2148" s="41" t="n"/>
      <c r="E2148" s="42" t="n">
        <v>43246.69791666666</v>
      </c>
      <c r="F2148" s="52" t="inlineStr">
        <is>
          <t>Super Carlin Gaming</t>
        </is>
      </c>
      <c r="G2148" t="inlineStr">
        <is>
          <t>LIVE - Beth Builds a Family! | SIMS 4</t>
        </is>
      </c>
      <c r="H2148" s="44" t="n">
        <v>0.07284722222222222</v>
      </c>
      <c r="I2148" s="45" t="n">
        <v>12803</v>
      </c>
      <c r="J2148" s="45" t="n">
        <v>389</v>
      </c>
      <c r="K2148" s="45" t="n">
        <v>42</v>
      </c>
      <c r="L2148" s="46" t="n"/>
      <c r="M2148" s="47" t="n"/>
      <c r="N2148" s="47" t="inlineStr">
        <is>
          <t>UCor_9jRnNNZVzTuQ92PKsaQ</t>
        </is>
      </c>
      <c r="O2148" s="48" t="n">
        <v>43246.86458333334</v>
      </c>
      <c r="P2148" s="49" t="n">
        <v>43246</v>
      </c>
      <c r="Q2148" s="47" t="n">
        <v>1120</v>
      </c>
      <c r="R2148" s="47" t="inlineStr">
        <is>
          <t>No Video ID yet</t>
        </is>
      </c>
      <c r="S2148" s="49" t="n"/>
      <c r="T2148" s="49" t="n"/>
      <c r="U2148" s="47" t="inlineStr">
        <is>
          <t>Beth takes the reigns and builds a new Sim Family! Join The Discord! J on twitter: Ben on Twitter: DK on Twitter:</t>
        </is>
      </c>
      <c r="V2148" s="47">
        <f>IF(AND(P2148&gt;=Calendar!$K$2,P2148&lt;EDATE(Calendar!$K$2,1),OR(Calendar!$K$4="*",N2148=Calendar!$K$4)),P2148*100+COUNTIFS($P$6:$P$3267,P2148,$Q$6:$Q$3267,"&lt;="&amp;Q2148,$N$6:$N$3267,Calendar!$K$4),"")</f>
        <v/>
      </c>
      <c r="W2148" s="47">
        <f>IF(AND(B2148=Queue!$C$4,OR(Queue!$K$4="*",N2148=Queue!$K$4)),Q2148,"")</f>
        <v/>
      </c>
    </row>
    <row r="2149">
      <c r="A2149" s="38">
        <f>IF(M2149="","",HYPERLINK("https://www.youtube.com/watch?v="&amp;M2149,"▶"))</f>
        <v/>
      </c>
      <c r="B2149" s="39">
        <f>IF(C2149&lt;&gt;"",C2149,IF(P2149&lt;=IFERROR(INDEX(tblChannels[Watched Through],MATCH(N2149,tblChannels[Channel ID],0)),0),"Watched","Unwatched"))</f>
        <v/>
      </c>
      <c r="C2149" s="40" t="n"/>
      <c r="D2149" s="41" t="n"/>
      <c r="E2149" s="42" t="n">
        <v>43245.48402777778</v>
      </c>
      <c r="F2149" s="52" t="inlineStr">
        <is>
          <t>Super Carlin Gaming</t>
        </is>
      </c>
      <c r="G2149" t="inlineStr">
        <is>
          <t>Everything Bad is Wrong with the World | Rocket League #6</t>
        </is>
      </c>
      <c r="H2149" s="44" t="n">
        <v>0.01498842592592593</v>
      </c>
      <c r="I2149" s="45" t="n">
        <v>13043</v>
      </c>
      <c r="J2149" s="45" t="n">
        <v>483</v>
      </c>
      <c r="K2149" s="45" t="n">
        <v>67</v>
      </c>
      <c r="L2149" s="46" t="n"/>
      <c r="M2149" s="47" t="n"/>
      <c r="N2149" s="47" t="inlineStr">
        <is>
          <t>UCor_9jRnNNZVzTuQ92PKsaQ</t>
        </is>
      </c>
      <c r="O2149" s="48" t="n">
        <v>43245.65069444444</v>
      </c>
      <c r="P2149" s="49" t="n">
        <v>43245</v>
      </c>
      <c r="Q2149" s="47" t="n">
        <v>1119</v>
      </c>
      <c r="R2149" s="47" t="inlineStr">
        <is>
          <t>No Video ID yet</t>
        </is>
      </c>
      <c r="S2149" s="49" t="n"/>
      <c r="T2149" s="49" t="n"/>
      <c r="U2149" s="47" t="n"/>
      <c r="V2149" s="47">
        <f>IF(AND(P2149&gt;=Calendar!$K$2,P2149&lt;EDATE(Calendar!$K$2,1),OR(Calendar!$K$4="*",N2149=Calendar!$K$4)),P2149*100+COUNTIFS($P$6:$P$3267,P2149,$Q$6:$Q$3267,"&lt;="&amp;Q2149,$N$6:$N$3267,Calendar!$K$4),"")</f>
        <v/>
      </c>
      <c r="W2149" s="47">
        <f>IF(AND(B2149=Queue!$C$4,OR(Queue!$K$4="*",N2149=Queue!$K$4)),Q2149,"")</f>
        <v/>
      </c>
    </row>
    <row r="2150">
      <c r="A2150" s="38">
        <f>IF(M2150="","",HYPERLINK("https://www.youtube.com/watch?v="&amp;M2150,"▶"))</f>
        <v/>
      </c>
      <c r="B2150" s="39">
        <f>IF(C2150&lt;&gt;"",C2150,IF(P2150&lt;=IFERROR(INDEX(tblChannels[Watched Through],MATCH(N2150,tblChannels[Channel ID],0)),0),"Watched","Unwatched"))</f>
        <v/>
      </c>
      <c r="C2150" s="40" t="n"/>
      <c r="D2150" s="41" t="n"/>
      <c r="E2150" s="42" t="n">
        <v>43244.6625</v>
      </c>
      <c r="F2150" s="50" t="inlineStr">
        <is>
          <t>Super Carlin Brothers</t>
        </is>
      </c>
      <c r="G2150" t="inlineStr">
        <is>
          <t>J vs Ben: ULTIMATE Sirius Black Quiz</t>
        </is>
      </c>
      <c r="H2150" s="44" t="n">
        <v>0.024375</v>
      </c>
      <c r="I2150" s="45" t="n">
        <v>1324390</v>
      </c>
      <c r="J2150" s="45" t="n">
        <v>20847</v>
      </c>
      <c r="K2150" s="45" t="n">
        <v>4285</v>
      </c>
      <c r="L2150" s="46" t="n"/>
      <c r="M2150" s="47" t="n"/>
      <c r="N2150" s="47" t="inlineStr">
        <is>
          <t>UCKZo4N0lVPccBkSiuyVh4yg</t>
        </is>
      </c>
      <c r="O2150" s="48" t="n">
        <v>43244.82916666667</v>
      </c>
      <c r="P2150" s="49" t="n">
        <v>43244</v>
      </c>
      <c r="Q2150" s="47" t="n">
        <v>1118</v>
      </c>
      <c r="R2150" s="47" t="inlineStr">
        <is>
          <t>No Video ID yet</t>
        </is>
      </c>
      <c r="S2150" s="49" t="n"/>
      <c r="T2150" s="49" t="n"/>
      <c r="U2150" s="47" t="inlineStr">
        <is>
          <t>Take the Quiz :: Today J and Ben dive into the Wizarding World of Harry Potter and face off to see who has more knowledge of of the most infamous convict to ever escape Azkaban: Sirius Black!</t>
        </is>
      </c>
      <c r="V2150" s="47">
        <f>IF(AND(P2150&gt;=Calendar!$K$2,P2150&lt;EDATE(Calendar!$K$2,1),OR(Calendar!$K$4="*",N2150=Calendar!$K$4)),P2150*100+COUNTIFS($P$6:$P$3267,P2150,$Q$6:$Q$3267,"&lt;="&amp;Q2150,$N$6:$N$3267,Calendar!$K$4),"")</f>
        <v/>
      </c>
      <c r="W2150" s="47">
        <f>IF(AND(B2150=Queue!$C$4,OR(Queue!$K$4="*",N2150=Queue!$K$4)),Q2150,"")</f>
        <v/>
      </c>
    </row>
    <row r="2151">
      <c r="A2151" s="38">
        <f>IF(M2151="","",HYPERLINK("https://www.youtube.com/watch?v="&amp;M2151,"▶"))</f>
        <v/>
      </c>
      <c r="B2151" s="39">
        <f>IF(C2151&lt;&gt;"",C2151,IF(P2151&lt;=IFERROR(INDEX(tblChannels[Watched Through],MATCH(N2151,tblChannels[Channel ID],0)),0),"Watched","Unwatched"))</f>
        <v/>
      </c>
      <c r="C2151" s="40" t="n"/>
      <c r="D2151" s="41" t="n"/>
      <c r="E2151" s="42" t="n">
        <v>43243.88125</v>
      </c>
      <c r="F2151" s="53" t="inlineStr">
        <is>
          <t>Jonathan Carlin</t>
        </is>
      </c>
      <c r="G2151" t="inlineStr">
        <is>
          <t>Q&amp;A w/Beth &amp; J (AND LUKE)</t>
        </is>
      </c>
      <c r="H2151" s="44" t="n">
        <v>0.04277777777777778</v>
      </c>
      <c r="I2151" s="45" t="n">
        <v>15409</v>
      </c>
      <c r="J2151" s="45" t="n">
        <v>593</v>
      </c>
      <c r="K2151" s="45" t="n">
        <v>0</v>
      </c>
      <c r="L2151" s="46" t="n"/>
      <c r="M2151" s="47" t="n"/>
      <c r="N2151" s="47" t="inlineStr">
        <is>
          <t>UCYPKFe86e6nm4TVUYKLsFUQ</t>
        </is>
      </c>
      <c r="O2151" s="48" t="n">
        <v>43244.04791666667</v>
      </c>
      <c r="P2151" s="49" t="n">
        <v>43243</v>
      </c>
      <c r="Q2151" s="47" t="n">
        <v>1117</v>
      </c>
      <c r="R2151" s="47" t="inlineStr">
        <is>
          <t>No Video ID yet</t>
        </is>
      </c>
      <c r="S2151" s="49" t="n"/>
      <c r="T2151" s="49" t="n"/>
      <c r="U2151" s="47" t="inlineStr">
        <is>
          <t>J and his Wife Beth answer your questions with their son Luke!</t>
        </is>
      </c>
      <c r="V2151" s="47">
        <f>IF(AND(P2151&gt;=Calendar!$K$2,P2151&lt;EDATE(Calendar!$K$2,1),OR(Calendar!$K$4="*",N2151=Calendar!$K$4)),P2151*100+COUNTIFS($P$6:$P$3267,P2151,$Q$6:$Q$3267,"&lt;="&amp;Q2151,$N$6:$N$3267,Calendar!$K$4),"")</f>
        <v/>
      </c>
      <c r="W2151" s="47">
        <f>IF(AND(B2151=Queue!$C$4,OR(Queue!$K$4="*",N2151=Queue!$K$4)),Q2151,"")</f>
        <v/>
      </c>
    </row>
    <row r="2152">
      <c r="A2152" s="38">
        <f>IF(M2152="","",HYPERLINK("https://www.youtube.com/watch?v="&amp;M2152,"▶"))</f>
        <v/>
      </c>
      <c r="B2152" s="39">
        <f>IF(C2152&lt;&gt;"",C2152,IF(P2152&lt;=IFERROR(INDEX(tblChannels[Watched Through],MATCH(N2152,tblChannels[Channel ID],0)),0),"Watched","Unwatched"))</f>
        <v/>
      </c>
      <c r="C2152" s="40" t="n"/>
      <c r="D2152" s="41" t="n"/>
      <c r="E2152" s="42" t="n">
        <v>43243.49305555555</v>
      </c>
      <c r="F2152" s="52" t="inlineStr">
        <is>
          <t>Super Carlin Gaming</t>
        </is>
      </c>
      <c r="G2152" t="inlineStr">
        <is>
          <t>Give a Dog a Job | Rocket League #5</t>
        </is>
      </c>
      <c r="H2152" s="44" t="n">
        <v>0.01228009259259259</v>
      </c>
      <c r="I2152" s="45" t="n">
        <v>13241</v>
      </c>
      <c r="J2152" s="45" t="n">
        <v>467</v>
      </c>
      <c r="K2152" s="45" t="n">
        <v>115</v>
      </c>
      <c r="L2152" s="46" t="n"/>
      <c r="M2152" s="47" t="n"/>
      <c r="N2152" s="47" t="inlineStr">
        <is>
          <t>UCor_9jRnNNZVzTuQ92PKsaQ</t>
        </is>
      </c>
      <c r="O2152" s="48" t="n">
        <v>43243.65972222222</v>
      </c>
      <c r="P2152" s="49" t="n">
        <v>43243</v>
      </c>
      <c r="Q2152" s="47" t="n">
        <v>1116</v>
      </c>
      <c r="R2152" s="47" t="inlineStr">
        <is>
          <t>No Video ID yet</t>
        </is>
      </c>
      <c r="S2152" s="49" t="n"/>
      <c r="T2152" s="49" t="n"/>
      <c r="U2152" s="47" t="n"/>
      <c r="V2152" s="47">
        <f>IF(AND(P2152&gt;=Calendar!$K$2,P2152&lt;EDATE(Calendar!$K$2,1),OR(Calendar!$K$4="*",N2152=Calendar!$K$4)),P2152*100+COUNTIFS($P$6:$P$3267,P2152,$Q$6:$Q$3267,"&lt;="&amp;Q2152,$N$6:$N$3267,Calendar!$K$4),"")</f>
        <v/>
      </c>
      <c r="W2152" s="47">
        <f>IF(AND(B2152=Queue!$C$4,OR(Queue!$K$4="*",N2152=Queue!$K$4)),Q2152,"")</f>
        <v/>
      </c>
    </row>
    <row r="2153">
      <c r="A2153" s="38">
        <f>IF(M2153="","",HYPERLINK("https://www.youtube.com/watch?v="&amp;M2153,"▶"))</f>
        <v/>
      </c>
      <c r="B2153" s="39">
        <f>IF(C2153&lt;&gt;"",C2153,IF(P2153&lt;=IFERROR(INDEX(tblChannels[Watched Through],MATCH(N2153,tblChannels[Channel ID],0)),0),"Watched","Unwatched"))</f>
        <v/>
      </c>
      <c r="C2153" s="40" t="n"/>
      <c r="D2153" s="41" t="n"/>
      <c r="E2153" s="42" t="n">
        <v>43242.94375</v>
      </c>
      <c r="F2153" s="52" t="inlineStr">
        <is>
          <t>Super Carlin Gaming</t>
        </is>
      </c>
      <c r="G2153" t="inlineStr">
        <is>
          <t>LIVE: Come Rage With Me! - Getting Over It</t>
        </is>
      </c>
      <c r="H2153" s="44" t="n">
        <v>0.06592592592592593</v>
      </c>
      <c r="I2153" s="45" t="n">
        <v>4773</v>
      </c>
      <c r="J2153" s="45" t="n">
        <v>216</v>
      </c>
      <c r="K2153" s="45" t="n">
        <v>12</v>
      </c>
      <c r="L2153" s="46" t="n"/>
      <c r="M2153" s="47" t="n"/>
      <c r="N2153" s="47" t="inlineStr">
        <is>
          <t>UCor_9jRnNNZVzTuQ92PKsaQ</t>
        </is>
      </c>
      <c r="O2153" s="48" t="n">
        <v>43243.11041666667</v>
      </c>
      <c r="P2153" s="49" t="n">
        <v>43242</v>
      </c>
      <c r="Q2153" s="47" t="n">
        <v>1115</v>
      </c>
      <c r="R2153" s="47" t="inlineStr">
        <is>
          <t>No Video ID yet</t>
        </is>
      </c>
      <c r="S2153" s="49" t="n"/>
      <c r="T2153" s="49" t="n"/>
      <c r="U2153" s="47" t="inlineStr">
        <is>
          <t>Can we finally scale Dwaye the Rock Face today??? (god i seriously hope so) Join The Discord! J on twitter: Ben on Twitter: DK on Twitter:</t>
        </is>
      </c>
      <c r="V2153" s="47">
        <f>IF(AND(P2153&gt;=Calendar!$K$2,P2153&lt;EDATE(Calendar!$K$2,1),OR(Calendar!$K$4="*",N2153=Calendar!$K$4)),P2153*100+COUNTIFS($P$6:$P$3267,P2153,$Q$6:$Q$3267,"&lt;="&amp;Q2153,$N$6:$N$3267,Calendar!$K$4),"")</f>
        <v/>
      </c>
      <c r="W2153" s="47">
        <f>IF(AND(B2153=Queue!$C$4,OR(Queue!$K$4="*",N2153=Queue!$K$4)),Q2153,"")</f>
        <v/>
      </c>
    </row>
    <row r="2154">
      <c r="A2154" s="38">
        <f>IF(M2154="","",HYPERLINK("https://www.youtube.com/watch?v="&amp;M2154,"▶"))</f>
        <v/>
      </c>
      <c r="B2154" s="39">
        <f>IF(C2154&lt;&gt;"",C2154,IF(P2154&lt;=IFERROR(INDEX(tblChannels[Watched Through],MATCH(N2154,tblChannels[Channel ID],0)),0),"Watched","Unwatched"))</f>
        <v/>
      </c>
      <c r="C2154" s="40" t="n"/>
      <c r="D2154" s="41" t="n"/>
      <c r="E2154" s="42" t="n">
        <v>43242.72361111111</v>
      </c>
      <c r="F2154" s="50" t="inlineStr">
        <is>
          <t>Super Carlin Brothers</t>
        </is>
      </c>
      <c r="G2154" t="inlineStr">
        <is>
          <t>Why Do Wizards Study Astronomy? | Harry Potter Explained</t>
        </is>
      </c>
      <c r="H2154" s="44" t="n">
        <v>0.007083333333333333</v>
      </c>
      <c r="I2154" s="45" t="n">
        <v>819515</v>
      </c>
      <c r="J2154" s="45" t="n">
        <v>22501</v>
      </c>
      <c r="K2154" s="45" t="n">
        <v>2715</v>
      </c>
      <c r="L2154" s="46" t="n"/>
      <c r="M2154" s="47" t="n"/>
      <c r="N2154" s="47" t="inlineStr">
        <is>
          <t>UCKZo4N0lVPccBkSiuyVh4yg</t>
        </is>
      </c>
      <c r="O2154" s="48" t="n">
        <v>43242.89027777778</v>
      </c>
      <c r="P2154" s="49" t="n">
        <v>43242</v>
      </c>
      <c r="Q2154" s="47" t="n">
        <v>1114</v>
      </c>
      <c r="R2154" s="47" t="inlineStr">
        <is>
          <t>No Video ID yet</t>
        </is>
      </c>
      <c r="S2154" s="49" t="n"/>
      <c r="T2154" s="49" t="n"/>
      <c r="U2154" s="47" t="inlineStr">
        <is>
          <t>Today J dives into the Wizarding World of Harry Potter to try and explain why wizards need to study space.</t>
        </is>
      </c>
      <c r="V2154" s="47">
        <f>IF(AND(P2154&gt;=Calendar!$K$2,P2154&lt;EDATE(Calendar!$K$2,1),OR(Calendar!$K$4="*",N2154=Calendar!$K$4)),P2154*100+COUNTIFS($P$6:$P$3267,P2154,$Q$6:$Q$3267,"&lt;="&amp;Q2154,$N$6:$N$3267,Calendar!$K$4),"")</f>
        <v/>
      </c>
      <c r="W2154" s="47">
        <f>IF(AND(B2154=Queue!$C$4,OR(Queue!$K$4="*",N2154=Queue!$K$4)),Q2154,"")</f>
        <v/>
      </c>
    </row>
    <row r="2155">
      <c r="A2155" s="38">
        <f>IF(M2155="","",HYPERLINK("https://www.youtube.com/watch?v="&amp;M2155,"▶"))</f>
        <v/>
      </c>
      <c r="B2155" s="39">
        <f>IF(C2155&lt;&gt;"",C2155,IF(P2155&lt;=IFERROR(INDEX(tblChannels[Watched Through],MATCH(N2155,tblChannels[Channel ID],0)),0),"Watched","Unwatched"))</f>
        <v/>
      </c>
      <c r="C2155" s="40" t="n"/>
      <c r="D2155" s="41" t="n"/>
      <c r="E2155" s="42" t="n">
        <v>43242.41666666666</v>
      </c>
      <c r="F2155" s="53" t="inlineStr">
        <is>
          <t>Jonathan Carlin</t>
        </is>
      </c>
      <c r="G2155" t="inlineStr">
        <is>
          <t>Luke's First Road Trip!</t>
        </is>
      </c>
      <c r="H2155" s="44" t="n">
        <v>0.008738425925925926</v>
      </c>
      <c r="I2155" s="45" t="n">
        <v>46936</v>
      </c>
      <c r="J2155" s="45" t="n">
        <v>1928</v>
      </c>
      <c r="K2155" s="45" t="n">
        <v>440</v>
      </c>
      <c r="L2155" s="46" t="n"/>
      <c r="M2155" s="47" t="n"/>
      <c r="N2155" s="47" t="inlineStr">
        <is>
          <t>UCYPKFe86e6nm4TVUYKLsFUQ</t>
        </is>
      </c>
      <c r="O2155" s="48" t="n">
        <v>43242.58333333334</v>
      </c>
      <c r="P2155" s="49" t="n">
        <v>43242</v>
      </c>
      <c r="Q2155" s="47" t="n">
        <v>1113</v>
      </c>
      <c r="R2155" s="47" t="inlineStr">
        <is>
          <t>No Video ID yet</t>
        </is>
      </c>
      <c r="S2155" s="49" t="n"/>
      <c r="T2155" s="49" t="n"/>
      <c r="U2155" s="47" t="inlineStr">
        <is>
          <t>This week Beth, J and Luke head to Knoxville Tennessee for Luke's first road trip - Beth packs everything we own.</t>
        </is>
      </c>
      <c r="V2155" s="47">
        <f>IF(AND(P2155&gt;=Calendar!$K$2,P2155&lt;EDATE(Calendar!$K$2,1),OR(Calendar!$K$4="*",N2155=Calendar!$K$4)),P2155*100+COUNTIFS($P$6:$P$3267,P2155,$Q$6:$Q$3267,"&lt;="&amp;Q2155,$N$6:$N$3267,Calendar!$K$4),"")</f>
        <v/>
      </c>
      <c r="W2155" s="47">
        <f>IF(AND(B2155=Queue!$C$4,OR(Queue!$K$4="*",N2155=Queue!$K$4)),Q2155,"")</f>
        <v/>
      </c>
    </row>
    <row r="2156">
      <c r="A2156" s="38">
        <f>IF(M2156="","",HYPERLINK("https://www.youtube.com/watch?v="&amp;M2156,"▶"))</f>
        <v/>
      </c>
      <c r="B2156" s="39">
        <f>IF(C2156&lt;&gt;"",C2156,IF(P2156&lt;=IFERROR(INDEX(tblChannels[Watched Through],MATCH(N2156,tblChannels[Channel ID],0)),0),"Watched","Unwatched"))</f>
        <v/>
      </c>
      <c r="C2156" s="40" t="n"/>
      <c r="D2156" s="41" t="n"/>
      <c r="E2156" s="42" t="n">
        <v>43241.46597222222</v>
      </c>
      <c r="F2156" s="52" t="inlineStr">
        <is>
          <t>Super Carlin Gaming</t>
        </is>
      </c>
      <c r="G2156" t="inlineStr">
        <is>
          <t>Getting a BowFlex™ | Rocket League #4</t>
        </is>
      </c>
      <c r="H2156" s="44" t="n">
        <v>0.01295138888888889</v>
      </c>
      <c r="I2156" s="45" t="n">
        <v>15296</v>
      </c>
      <c r="J2156" s="45" t="n">
        <v>520</v>
      </c>
      <c r="K2156" s="45" t="n">
        <v>76</v>
      </c>
      <c r="L2156" s="46" t="n"/>
      <c r="M2156" s="47" t="n"/>
      <c r="N2156" s="47" t="inlineStr">
        <is>
          <t>UCor_9jRnNNZVzTuQ92PKsaQ</t>
        </is>
      </c>
      <c r="O2156" s="48" t="n">
        <v>43241.63263888889</v>
      </c>
      <c r="P2156" s="49" t="n">
        <v>43241</v>
      </c>
      <c r="Q2156" s="47" t="n">
        <v>1112</v>
      </c>
      <c r="R2156" s="47" t="inlineStr">
        <is>
          <t>No Video ID yet</t>
        </is>
      </c>
      <c r="S2156" s="49" t="n"/>
      <c r="T2156" s="49" t="n"/>
      <c r="U2156" s="47" t="inlineStr">
        <is>
          <t>Today J and Ben embark on a new quest to captain their Rocket League team: Skywater to become Season Champs!</t>
        </is>
      </c>
      <c r="V2156" s="47">
        <f>IF(AND(P2156&gt;=Calendar!$K$2,P2156&lt;EDATE(Calendar!$K$2,1),OR(Calendar!$K$4="*",N2156=Calendar!$K$4)),P2156*100+COUNTIFS($P$6:$P$3267,P2156,$Q$6:$Q$3267,"&lt;="&amp;Q2156,$N$6:$N$3267,Calendar!$K$4),"")</f>
        <v/>
      </c>
      <c r="W2156" s="47">
        <f>IF(AND(B2156=Queue!$C$4,OR(Queue!$K$4="*",N2156=Queue!$K$4)),Q2156,"")</f>
        <v/>
      </c>
    </row>
    <row r="2157">
      <c r="A2157" s="38">
        <f>IF(M2157="","",HYPERLINK("https://www.youtube.com/watch?v="&amp;M2157,"▶"))</f>
        <v/>
      </c>
      <c r="B2157" s="39">
        <f>IF(C2157&lt;&gt;"",C2157,IF(P2157&lt;=IFERROR(INDEX(tblChannels[Watched Through],MATCH(N2157,tblChannels[Channel ID],0)),0),"Watched","Unwatched"))</f>
        <v/>
      </c>
      <c r="C2157" s="40" t="n"/>
      <c r="D2157" s="41" t="n"/>
      <c r="E2157" s="42" t="n">
        <v>43238.74722222222</v>
      </c>
      <c r="F2157" s="52" t="inlineStr">
        <is>
          <t>Super Carlin Gaming</t>
        </is>
      </c>
      <c r="G2157" t="inlineStr">
        <is>
          <t>LIVE: Q&amp;A w/ Ben, J and DK - Rocket League!</t>
        </is>
      </c>
      <c r="H2157" s="44" t="n">
        <v>0.06275462962962963</v>
      </c>
      <c r="I2157" s="45" t="n">
        <v>6554</v>
      </c>
      <c r="J2157" s="45" t="n">
        <v>229</v>
      </c>
      <c r="K2157" s="45" t="n">
        <v>22</v>
      </c>
      <c r="L2157" s="46" t="n"/>
      <c r="M2157" s="47" t="n"/>
      <c r="N2157" s="47" t="inlineStr">
        <is>
          <t>UCor_9jRnNNZVzTuQ92PKsaQ</t>
        </is>
      </c>
      <c r="O2157" s="48" t="n">
        <v>43238.91388888889</v>
      </c>
      <c r="P2157" s="49" t="n">
        <v>43238</v>
      </c>
      <c r="Q2157" s="47" t="n">
        <v>1111</v>
      </c>
      <c r="R2157" s="47" t="inlineStr">
        <is>
          <t>No Video ID yet</t>
        </is>
      </c>
      <c r="S2157" s="49" t="n"/>
      <c r="T2157" s="49" t="n"/>
      <c r="U2157" s="47" t="inlineStr">
        <is>
          <t>Friday Afternoon Live stream Q&amp;A with Ben, J and DK while they continue to fail at Rocket League! Join The Discord! J on twitter: Ben on Twitter: DK on Twitter:</t>
        </is>
      </c>
      <c r="V2157" s="47">
        <f>IF(AND(P2157&gt;=Calendar!$K$2,P2157&lt;EDATE(Calendar!$K$2,1),OR(Calendar!$K$4="*",N2157=Calendar!$K$4)),P2157*100+COUNTIFS($P$6:$P$3267,P2157,$Q$6:$Q$3267,"&lt;="&amp;Q2157,$N$6:$N$3267,Calendar!$K$4),"")</f>
        <v/>
      </c>
      <c r="W2157" s="47">
        <f>IF(AND(B2157=Queue!$C$4,OR(Queue!$K$4="*",N2157=Queue!$K$4)),Q2157,"")</f>
        <v/>
      </c>
    </row>
    <row r="2158">
      <c r="A2158" s="38">
        <f>IF(M2158="","",HYPERLINK("https://www.youtube.com/watch?v="&amp;M2158,"▶"))</f>
        <v/>
      </c>
      <c r="B2158" s="39">
        <f>IF(C2158&lt;&gt;"",C2158,IF(P2158&lt;=IFERROR(INDEX(tblChannels[Watched Through],MATCH(N2158,tblChannels[Channel ID],0)),0),"Watched","Unwatched"))</f>
        <v/>
      </c>
      <c r="C2158" s="40" t="n"/>
      <c r="D2158" s="41" t="n"/>
      <c r="E2158" s="42" t="n">
        <v>43238.45416666667</v>
      </c>
      <c r="F2158" s="52" t="inlineStr">
        <is>
          <t>Super Carlin Gaming</t>
        </is>
      </c>
      <c r="G2158" t="inlineStr">
        <is>
          <t>Salty the Cracker | Rocket League #3</t>
        </is>
      </c>
      <c r="H2158" s="44" t="n">
        <v>0.01174768518518519</v>
      </c>
      <c r="I2158" s="45" t="n">
        <v>18053</v>
      </c>
      <c r="J2158" s="45" t="n">
        <v>530</v>
      </c>
      <c r="K2158" s="45" t="n">
        <v>101</v>
      </c>
      <c r="L2158" s="46" t="n"/>
      <c r="M2158" s="47" t="n"/>
      <c r="N2158" s="47" t="inlineStr">
        <is>
          <t>UCor_9jRnNNZVzTuQ92PKsaQ</t>
        </is>
      </c>
      <c r="O2158" s="48" t="n">
        <v>43238.62083333333</v>
      </c>
      <c r="P2158" s="49" t="n">
        <v>43238</v>
      </c>
      <c r="Q2158" s="47" t="n">
        <v>1110</v>
      </c>
      <c r="R2158" s="47" t="inlineStr">
        <is>
          <t>No Video ID yet</t>
        </is>
      </c>
      <c r="S2158" s="49" t="n"/>
      <c r="T2158" s="49" t="n"/>
      <c r="U2158" s="47" t="inlineStr">
        <is>
          <t>Today J and Ben embark on a new quest to captain their Rocket League team: Skywater to become Season Champs!</t>
        </is>
      </c>
      <c r="V2158" s="47">
        <f>IF(AND(P2158&gt;=Calendar!$K$2,P2158&lt;EDATE(Calendar!$K$2,1),OR(Calendar!$K$4="*",N2158=Calendar!$K$4)),P2158*100+COUNTIFS($P$6:$P$3267,P2158,$Q$6:$Q$3267,"&lt;="&amp;Q2158,$N$6:$N$3267,Calendar!$K$4),"")</f>
        <v/>
      </c>
      <c r="W2158" s="47">
        <f>IF(AND(B2158=Queue!$C$4,OR(Queue!$K$4="*",N2158=Queue!$K$4)),Q2158,"")</f>
        <v/>
      </c>
    </row>
    <row r="2159">
      <c r="A2159" s="38">
        <f>IF(M2159="","",HYPERLINK("https://www.youtube.com/watch?v="&amp;M2159,"▶"))</f>
        <v/>
      </c>
      <c r="B2159" s="39">
        <f>IF(C2159&lt;&gt;"",C2159,IF(P2159&lt;=IFERROR(INDEX(tblChannels[Watched Through],MATCH(N2159,tblChannels[Channel ID],0)),0),"Watched","Unwatched"))</f>
        <v/>
      </c>
      <c r="C2159" s="40" t="n"/>
      <c r="D2159" s="41" t="n"/>
      <c r="E2159" s="42" t="n">
        <v>43238.00555555556</v>
      </c>
      <c r="F2159" s="52" t="inlineStr">
        <is>
          <t>Super Carlin Gaming</t>
        </is>
      </c>
      <c r="G2159" t="inlineStr">
        <is>
          <t>Another Night of Angry Zen - Getting Over It</t>
        </is>
      </c>
      <c r="H2159" s="44" t="n">
        <v>0.05737268518518519</v>
      </c>
      <c r="I2159" s="45" t="n">
        <v>4815</v>
      </c>
      <c r="J2159" s="45" t="n">
        <v>209</v>
      </c>
      <c r="K2159" s="45" t="n">
        <v>11</v>
      </c>
      <c r="L2159" s="46" t="n"/>
      <c r="M2159" s="47" t="n"/>
      <c r="N2159" s="47" t="inlineStr">
        <is>
          <t>UCor_9jRnNNZVzTuQ92PKsaQ</t>
        </is>
      </c>
      <c r="O2159" s="48" t="n">
        <v>43238.17222222222</v>
      </c>
      <c r="P2159" s="49" t="n">
        <v>43238</v>
      </c>
      <c r="Q2159" s="47" t="n">
        <v>1109</v>
      </c>
      <c r="R2159" s="47" t="inlineStr">
        <is>
          <t>No Video ID yet</t>
        </is>
      </c>
      <c r="S2159" s="49" t="n"/>
      <c r="T2159" s="49" t="n"/>
      <c r="U2159" s="47" t="inlineStr">
        <is>
          <t>A stressful day deserves a nice relaxing evening with Jill the Grill right? Join The Discord! J on twitter: Ben on Twitter:</t>
        </is>
      </c>
      <c r="V2159" s="47">
        <f>IF(AND(P2159&gt;=Calendar!$K$2,P2159&lt;EDATE(Calendar!$K$2,1),OR(Calendar!$K$4="*",N2159=Calendar!$K$4)),P2159*100+COUNTIFS($P$6:$P$3267,P2159,$Q$6:$Q$3267,"&lt;="&amp;Q2159,$N$6:$N$3267,Calendar!$K$4),"")</f>
        <v/>
      </c>
      <c r="W2159" s="47">
        <f>IF(AND(B2159=Queue!$C$4,OR(Queue!$K$4="*",N2159=Queue!$K$4)),Q2159,"")</f>
        <v/>
      </c>
    </row>
    <row r="2160">
      <c r="A2160" s="38">
        <f>IF(M2160="","",HYPERLINK("https://www.youtube.com/watch?v="&amp;M2160,"▶"))</f>
        <v/>
      </c>
      <c r="B2160" s="39">
        <f>IF(C2160&lt;&gt;"",C2160,IF(P2160&lt;=IFERROR(INDEX(tblChannels[Watched Through],MATCH(N2160,tblChannels[Channel ID],0)),0),"Watched","Unwatched"))</f>
        <v/>
      </c>
      <c r="C2160" s="40" t="n"/>
      <c r="D2160" s="41" t="n"/>
      <c r="E2160" s="42" t="n">
        <v>43237.76041666666</v>
      </c>
      <c r="F2160" s="50" t="inlineStr">
        <is>
          <t>Super Carlin Brothers</t>
        </is>
      </c>
      <c r="G2160" t="inlineStr">
        <is>
          <t>Fred's Secret Family History | Big Hero 6 Theory</t>
        </is>
      </c>
      <c r="H2160" s="44" t="n">
        <v>0.006712962962962963</v>
      </c>
      <c r="I2160" s="45" t="n">
        <v>1629560</v>
      </c>
      <c r="J2160" s="45" t="n">
        <v>27465</v>
      </c>
      <c r="K2160" s="45" t="n">
        <v>3474</v>
      </c>
      <c r="L2160" s="46" t="n"/>
      <c r="M2160" s="47" t="n"/>
      <c r="N2160" s="47" t="inlineStr">
        <is>
          <t>UCKZo4N0lVPccBkSiuyVh4yg</t>
        </is>
      </c>
      <c r="O2160" s="48" t="n">
        <v>43237.92708333334</v>
      </c>
      <c r="P2160" s="49" t="n">
        <v>43237</v>
      </c>
      <c r="Q2160" s="47" t="n">
        <v>1108</v>
      </c>
      <c r="R2160" s="47" t="inlineStr">
        <is>
          <t>No Video ID yet</t>
        </is>
      </c>
      <c r="S2160" s="49" t="n"/>
      <c r="T2160" s="49" t="n"/>
      <c r="U2160" s="47" t="inlineStr">
        <is>
          <t>(●—●) Today Ben dives into the futuristic city of San Fransokyo and Disney's Big Hero 6 to try and determine how and why Fred is so rich an if he is related to anyone else in the Disney-verse</t>
        </is>
      </c>
      <c r="V2160" s="47">
        <f>IF(AND(P2160&gt;=Calendar!$K$2,P2160&lt;EDATE(Calendar!$K$2,1),OR(Calendar!$K$4="*",N2160=Calendar!$K$4)),P2160*100+COUNTIFS($P$6:$P$3267,P2160,$Q$6:$Q$3267,"&lt;="&amp;Q2160,$N$6:$N$3267,Calendar!$K$4),"")</f>
        <v/>
      </c>
      <c r="W2160" s="47">
        <f>IF(AND(B2160=Queue!$C$4,OR(Queue!$K$4="*",N2160=Queue!$K$4)),Q2160,"")</f>
        <v/>
      </c>
    </row>
    <row r="2161">
      <c r="A2161" s="38">
        <f>IF(M2161="","",HYPERLINK("https://www.youtube.com/watch?v="&amp;M2161,"▶"))</f>
        <v/>
      </c>
      <c r="B2161" s="39">
        <f>IF(C2161&lt;&gt;"",C2161,IF(P2161&lt;=IFERROR(INDEX(tblChannels[Watched Through],MATCH(N2161,tblChannels[Channel ID],0)),0),"Watched","Unwatched"))</f>
        <v/>
      </c>
      <c r="C2161" s="40" t="n"/>
      <c r="D2161" s="41" t="n"/>
      <c r="E2161" s="42" t="n">
        <v>43236.48333333333</v>
      </c>
      <c r="F2161" s="52" t="inlineStr">
        <is>
          <t>Super Carlin Gaming</t>
        </is>
      </c>
      <c r="G2161" t="inlineStr">
        <is>
          <t>Ghosts Hate Rain | Rocket League #2</t>
        </is>
      </c>
      <c r="H2161" s="44" t="n">
        <v>0.01518518518518519</v>
      </c>
      <c r="I2161" s="45" t="n">
        <v>23801</v>
      </c>
      <c r="J2161" s="45" t="n">
        <v>750</v>
      </c>
      <c r="K2161" s="45" t="n">
        <v>150</v>
      </c>
      <c r="L2161" s="46" t="n"/>
      <c r="M2161" s="47" t="n"/>
      <c r="N2161" s="47" t="inlineStr">
        <is>
          <t>UCor_9jRnNNZVzTuQ92PKsaQ</t>
        </is>
      </c>
      <c r="O2161" s="48" t="n">
        <v>43236.65</v>
      </c>
      <c r="P2161" s="49" t="n">
        <v>43236</v>
      </c>
      <c r="Q2161" s="47" t="n">
        <v>1107</v>
      </c>
      <c r="R2161" s="47" t="inlineStr">
        <is>
          <t>No Video ID yet</t>
        </is>
      </c>
      <c r="S2161" s="49" t="n"/>
      <c r="T2161" s="49" t="n"/>
      <c r="U2161" s="47" t="n"/>
      <c r="V2161" s="47">
        <f>IF(AND(P2161&gt;=Calendar!$K$2,P2161&lt;EDATE(Calendar!$K$2,1),OR(Calendar!$K$4="*",N2161=Calendar!$K$4)),P2161*100+COUNTIFS($P$6:$P$3267,P2161,$Q$6:$Q$3267,"&lt;="&amp;Q2161,$N$6:$N$3267,Calendar!$K$4),"")</f>
        <v/>
      </c>
      <c r="W2161" s="47">
        <f>IF(AND(B2161=Queue!$C$4,OR(Queue!$K$4="*",N2161=Queue!$K$4)),Q2161,"")</f>
        <v/>
      </c>
    </row>
    <row r="2162">
      <c r="A2162" s="38">
        <f>IF(M2162="","",HYPERLINK("https://www.youtube.com/watch?v="&amp;M2162,"▶"))</f>
        <v/>
      </c>
      <c r="B2162" s="39">
        <f>IF(C2162&lt;&gt;"",C2162,IF(P2162&lt;=IFERROR(INDEX(tblChannels[Watched Through],MATCH(N2162,tblChannels[Channel ID],0)),0),"Watched","Unwatched"))</f>
        <v/>
      </c>
      <c r="C2162" s="40" t="n"/>
      <c r="D2162" s="41" t="n"/>
      <c r="E2162" s="42" t="n">
        <v>43235.83819444444</v>
      </c>
      <c r="F2162" s="50" t="inlineStr">
        <is>
          <t>Super Carlin Brothers</t>
        </is>
      </c>
      <c r="G2162" t="inlineStr">
        <is>
          <t>Is Avengers Infinity War The Best Marvel Movie? | SPOILER REVIEW</t>
        </is>
      </c>
      <c r="H2162" s="44" t="n">
        <v>0.03842592592592593</v>
      </c>
      <c r="I2162" s="45" t="n">
        <v>805135</v>
      </c>
      <c r="J2162" s="45" t="n">
        <v>16157</v>
      </c>
      <c r="K2162" s="45" t="n">
        <v>4503</v>
      </c>
      <c r="L2162" s="46" t="n"/>
      <c r="M2162" s="47" t="n"/>
      <c r="N2162" s="47" t="inlineStr">
        <is>
          <t>UCKZo4N0lVPccBkSiuyVh4yg</t>
        </is>
      </c>
      <c r="O2162" s="48" t="n">
        <v>43236.00486111111</v>
      </c>
      <c r="P2162" s="49" t="n">
        <v>43235</v>
      </c>
      <c r="Q2162" s="47" t="n">
        <v>1106</v>
      </c>
      <c r="R2162" s="47" t="inlineStr">
        <is>
          <t>No Video ID yet</t>
        </is>
      </c>
      <c r="S2162" s="49" t="n"/>
      <c r="T2162" s="49" t="n"/>
      <c r="U2162" s="47" t="inlineStr">
        <is>
          <t>Today J and Ben give their full SPOILER review of the latest and maybe greatest Marvel movie: Avengers Infinity War.</t>
        </is>
      </c>
      <c r="V2162" s="47">
        <f>IF(AND(P2162&gt;=Calendar!$K$2,P2162&lt;EDATE(Calendar!$K$2,1),OR(Calendar!$K$4="*",N2162=Calendar!$K$4)),P2162*100+COUNTIFS($P$6:$P$3267,P2162,$Q$6:$Q$3267,"&lt;="&amp;Q2162,$N$6:$N$3267,Calendar!$K$4),"")</f>
        <v/>
      </c>
      <c r="W2162" s="47">
        <f>IF(AND(B2162=Queue!$C$4,OR(Queue!$K$4="*",N2162=Queue!$K$4)),Q2162,"")</f>
        <v/>
      </c>
    </row>
    <row r="2163">
      <c r="A2163" s="38">
        <f>IF(M2163="","",HYPERLINK("https://www.youtube.com/watch?v="&amp;M2163,"▶"))</f>
        <v/>
      </c>
      <c r="B2163" s="39">
        <f>IF(C2163&lt;&gt;"",C2163,IF(P2163&lt;=IFERROR(INDEX(tblChannels[Watched Through],MATCH(N2163,tblChannels[Channel ID],0)),0),"Watched","Unwatched"))</f>
        <v/>
      </c>
      <c r="C2163" s="40" t="n"/>
      <c r="D2163" s="41" t="n"/>
      <c r="E2163" s="42" t="n">
        <v>43234.60416666666</v>
      </c>
      <c r="F2163" s="52" t="inlineStr">
        <is>
          <t>Super Carlin Gaming</t>
        </is>
      </c>
      <c r="G2163" t="inlineStr">
        <is>
          <t>It Begins! | Rocket League #1</t>
        </is>
      </c>
      <c r="H2163" s="44" t="n">
        <v>0.01481481481481482</v>
      </c>
      <c r="I2163" s="45" t="n">
        <v>57001</v>
      </c>
      <c r="J2163" s="45" t="n">
        <v>1515</v>
      </c>
      <c r="K2163" s="45" t="n">
        <v>268</v>
      </c>
      <c r="L2163" s="46" t="n"/>
      <c r="M2163" s="47" t="n"/>
      <c r="N2163" s="47" t="inlineStr">
        <is>
          <t>UCor_9jRnNNZVzTuQ92PKsaQ</t>
        </is>
      </c>
      <c r="O2163" s="48" t="n">
        <v>43234.77083333334</v>
      </c>
      <c r="P2163" s="49" t="n">
        <v>43234</v>
      </c>
      <c r="Q2163" s="47" t="n">
        <v>1105</v>
      </c>
      <c r="R2163" s="47" t="inlineStr">
        <is>
          <t>No Video ID yet</t>
        </is>
      </c>
      <c r="S2163" s="49" t="n"/>
      <c r="T2163" s="49" t="n"/>
      <c r="U2163" s="47" t="inlineStr">
        <is>
          <t>NEW SERIES! Today J and Ben embark on a new quest to captain their Rocket League team: Skywater to become Season Champs!</t>
        </is>
      </c>
      <c r="V2163" s="47">
        <f>IF(AND(P2163&gt;=Calendar!$K$2,P2163&lt;EDATE(Calendar!$K$2,1),OR(Calendar!$K$4="*",N2163=Calendar!$K$4)),P2163*100+COUNTIFS($P$6:$P$3267,P2163,$Q$6:$Q$3267,"&lt;="&amp;Q2163,$N$6:$N$3267,Calendar!$K$4),"")</f>
        <v/>
      </c>
      <c r="W2163" s="47">
        <f>IF(AND(B2163=Queue!$C$4,OR(Queue!$K$4="*",N2163=Queue!$K$4)),Q2163,"")</f>
        <v/>
      </c>
    </row>
    <row r="2164">
      <c r="A2164" s="38">
        <f>IF(M2164="","",HYPERLINK("https://www.youtube.com/watch?v="&amp;M2164,"▶"))</f>
        <v/>
      </c>
      <c r="B2164" s="39">
        <f>IF(C2164&lt;&gt;"",C2164,IF(P2164&lt;=IFERROR(INDEX(tblChannels[Watched Through],MATCH(N2164,tblChannels[Channel ID],0)),0),"Watched","Unwatched"))</f>
        <v/>
      </c>
      <c r="C2164" s="40" t="n"/>
      <c r="D2164" s="41" t="n"/>
      <c r="E2164" s="42" t="n">
        <v>43234.48888888889</v>
      </c>
      <c r="F2164" s="53" t="inlineStr">
        <is>
          <t>Jonathan Carlin</t>
        </is>
      </c>
      <c r="G2164" t="inlineStr">
        <is>
          <t>BLITZ WEEK</t>
        </is>
      </c>
      <c r="H2164" s="44" t="n">
        <v>0.006689814814814815</v>
      </c>
      <c r="I2164" s="45" t="n">
        <v>36789</v>
      </c>
      <c r="J2164" s="45" t="n">
        <v>1795</v>
      </c>
      <c r="K2164" s="45" t="n">
        <v>142</v>
      </c>
      <c r="L2164" s="46" t="n"/>
      <c r="M2164" s="47" t="n"/>
      <c r="N2164" s="47" t="inlineStr">
        <is>
          <t>UCYPKFe86e6nm4TVUYKLsFUQ</t>
        </is>
      </c>
      <c r="O2164" s="48" t="n">
        <v>43234.65555555555</v>
      </c>
      <c r="P2164" s="49" t="n">
        <v>43234</v>
      </c>
      <c r="Q2164" s="47" t="n">
        <v>1104</v>
      </c>
      <c r="R2164" s="47" t="inlineStr">
        <is>
          <t>No Video ID yet</t>
        </is>
      </c>
      <c r="S2164" s="49" t="n"/>
      <c r="T2164" s="49" t="n"/>
      <c r="U2164" s="47" t="inlineStr">
        <is>
          <t>This week J, Ben and DK tackle BLITZ WEEK at the office, where they try and make a video everyday in an effort to maybe get ahead on work - Also Infinity War comes out, but J has tickets to a different show!</t>
        </is>
      </c>
      <c r="V2164" s="47">
        <f>IF(AND(P2164&gt;=Calendar!$K$2,P2164&lt;EDATE(Calendar!$K$2,1),OR(Calendar!$K$4="*",N2164=Calendar!$K$4)),P2164*100+COUNTIFS($P$6:$P$3267,P2164,$Q$6:$Q$3267,"&lt;="&amp;Q2164,$N$6:$N$3267,Calendar!$K$4),"")</f>
        <v/>
      </c>
      <c r="W2164" s="47">
        <f>IF(AND(B2164=Queue!$C$4,OR(Queue!$K$4="*",N2164=Queue!$K$4)),Q2164,"")</f>
        <v/>
      </c>
    </row>
    <row r="2165">
      <c r="A2165" s="38">
        <f>IF(M2165="","",HYPERLINK("https://www.youtube.com/watch?v="&amp;M2165,"▶"))</f>
        <v/>
      </c>
      <c r="B2165" s="39">
        <f>IF(C2165&lt;&gt;"",C2165,IF(P2165&lt;=IFERROR(INDEX(tblChannels[Watched Through],MATCH(N2165,tblChannels[Channel ID],0)),0),"Watched","Unwatched"))</f>
        <v/>
      </c>
      <c r="C2165" s="40" t="n"/>
      <c r="D2165" s="41" t="n"/>
      <c r="E2165" s="42" t="n">
        <v>43230.75208333333</v>
      </c>
      <c r="F2165" s="50" t="inlineStr">
        <is>
          <t>Super Carlin Brothers</t>
        </is>
      </c>
      <c r="G2165" t="inlineStr">
        <is>
          <t>Why Lucius Malfoy Is The Worst Death Eater Ever</t>
        </is>
      </c>
      <c r="H2165" s="44" t="n">
        <v>0.008148148148148147</v>
      </c>
      <c r="I2165" s="45" t="n">
        <v>1443383</v>
      </c>
      <c r="J2165" s="45" t="n">
        <v>32296</v>
      </c>
      <c r="K2165" s="45" t="n">
        <v>2804</v>
      </c>
      <c r="L2165" s="46" t="n"/>
      <c r="M2165" s="47" t="n"/>
      <c r="N2165" s="47" t="inlineStr">
        <is>
          <t>UCKZo4N0lVPccBkSiuyVh4yg</t>
        </is>
      </c>
      <c r="O2165" s="48" t="n">
        <v>43230.91875</v>
      </c>
      <c r="P2165" s="49" t="n">
        <v>43230</v>
      </c>
      <c r="Q2165" s="47" t="n">
        <v>1103</v>
      </c>
      <c r="R2165" s="47" t="inlineStr">
        <is>
          <t>No Video ID yet</t>
        </is>
      </c>
      <c r="S2165" s="49" t="n"/>
      <c r="T2165" s="49" t="n"/>
      <c r="U2165" s="47" t="inlineStr">
        <is>
          <t>Use our link or text code scb to 500-500 to get a free book and 30-day free trial. Today Ben dives into the Wizarding World of Harry Potter to discuss one of the least effective Death Eaters of them all and his plan to kill Harry in the Chamber of Secrets.</t>
        </is>
      </c>
      <c r="V2165" s="47">
        <f>IF(AND(P2165&gt;=Calendar!$K$2,P2165&lt;EDATE(Calendar!$K$2,1),OR(Calendar!$K$4="*",N2165=Calendar!$K$4)),P2165*100+COUNTIFS($P$6:$P$3267,P2165,$Q$6:$Q$3267,"&lt;="&amp;Q2165,$N$6:$N$3267,Calendar!$K$4),"")</f>
        <v/>
      </c>
      <c r="W2165" s="47">
        <f>IF(AND(B2165=Queue!$C$4,OR(Queue!$K$4="*",N2165=Queue!$K$4)),Q2165,"")</f>
        <v/>
      </c>
    </row>
    <row r="2166">
      <c r="A2166" s="38">
        <f>IF(M2166="","",HYPERLINK("https://www.youtube.com/watch?v="&amp;M2166,"▶"))</f>
        <v/>
      </c>
      <c r="B2166" s="39">
        <f>IF(C2166&lt;&gt;"",C2166,IF(P2166&lt;=IFERROR(INDEX(tblChannels[Watched Through],MATCH(N2166,tblChannels[Channel ID],0)),0),"Watched","Unwatched"))</f>
        <v/>
      </c>
      <c r="C2166" s="40" t="n"/>
      <c r="D2166" s="41" t="n"/>
      <c r="E2166" s="42" t="n">
        <v>43230</v>
      </c>
      <c r="F2166" s="52" t="inlineStr">
        <is>
          <t>Super Carlin Gaming</t>
        </is>
      </c>
      <c r="G2166" t="inlineStr">
        <is>
          <t>Keep Calm SLAM AND FWOOP - Getting Over It</t>
        </is>
      </c>
      <c r="H2166" s="44" t="n">
        <v>0.06739583333333334</v>
      </c>
      <c r="I2166" s="45" t="n">
        <v>5632</v>
      </c>
      <c r="J2166" s="45" t="n">
        <v>256</v>
      </c>
      <c r="K2166" s="45" t="n">
        <v>18</v>
      </c>
      <c r="L2166" s="46" t="n"/>
      <c r="M2166" s="47" t="n"/>
      <c r="N2166" s="47" t="inlineStr">
        <is>
          <t>UCor_9jRnNNZVzTuQ92PKsaQ</t>
        </is>
      </c>
      <c r="O2166" s="48" t="n">
        <v>43230.16666666666</v>
      </c>
      <c r="P2166" s="49" t="n">
        <v>43230</v>
      </c>
      <c r="Q2166" s="47" t="n">
        <v>1102</v>
      </c>
      <c r="R2166" s="47" t="inlineStr">
        <is>
          <t>No Video ID yet</t>
        </is>
      </c>
      <c r="S2166" s="49" t="n"/>
      <c r="T2166" s="49" t="n"/>
      <c r="U2166" s="47" t="inlineStr">
        <is>
          <t>Today we reunite with our old friend Jill the Grill and try not to lose our minds =( Join The Discord! J on twitter: Ben on Twitter:</t>
        </is>
      </c>
      <c r="V2166" s="47">
        <f>IF(AND(P2166&gt;=Calendar!$K$2,P2166&lt;EDATE(Calendar!$K$2,1),OR(Calendar!$K$4="*",N2166=Calendar!$K$4)),P2166*100+COUNTIFS($P$6:$P$3267,P2166,$Q$6:$Q$3267,"&lt;="&amp;Q2166,$N$6:$N$3267,Calendar!$K$4),"")</f>
        <v/>
      </c>
      <c r="W2166" s="47">
        <f>IF(AND(B2166=Queue!$C$4,OR(Queue!$K$4="*",N2166=Queue!$K$4)),Q2166,"")</f>
        <v/>
      </c>
    </row>
    <row r="2167">
      <c r="A2167" s="38">
        <f>IF(M2167="","",HYPERLINK("https://www.youtube.com/watch?v="&amp;M2167,"▶"))</f>
        <v/>
      </c>
      <c r="B2167" s="39">
        <f>IF(C2167&lt;&gt;"",C2167,IF(P2167&lt;=IFERROR(INDEX(tblChannels[Watched Through],MATCH(N2167,tblChannels[Channel ID],0)),0),"Watched","Unwatched"))</f>
        <v/>
      </c>
      <c r="C2167" s="40" t="n"/>
      <c r="D2167" s="41" t="n"/>
      <c r="E2167" s="42" t="n">
        <v>43228.98680555556</v>
      </c>
      <c r="F2167" s="52" t="inlineStr">
        <is>
          <t>Super Carlin Gaming</t>
        </is>
      </c>
      <c r="G2167" t="inlineStr">
        <is>
          <t>I Need A COOP! - Stardew Valley</t>
        </is>
      </c>
      <c r="H2167" s="44" t="n">
        <v>0.03601851851851852</v>
      </c>
      <c r="I2167" s="45" t="n">
        <v>4936</v>
      </c>
      <c r="J2167" s="45" t="n">
        <v>205</v>
      </c>
      <c r="K2167" s="45" t="n">
        <v>21</v>
      </c>
      <c r="L2167" s="46" t="n"/>
      <c r="M2167" s="47" t="n"/>
      <c r="N2167" s="47" t="inlineStr">
        <is>
          <t>UCor_9jRnNNZVzTuQ92PKsaQ</t>
        </is>
      </c>
      <c r="O2167" s="48" t="n">
        <v>43229.15347222222</v>
      </c>
      <c r="P2167" s="49" t="n">
        <v>43228</v>
      </c>
      <c r="Q2167" s="47" t="n">
        <v>1101</v>
      </c>
      <c r="R2167" s="47" t="inlineStr">
        <is>
          <t>No Video ID yet</t>
        </is>
      </c>
      <c r="S2167" s="49" t="n"/>
      <c r="T2167" s="49" t="n"/>
      <c r="U2167" s="47" t="inlineStr">
        <is>
          <t>I have a dog named Torch and need a coop for my farm! Also how does this game work?! Join The Discord! J on twitter: Ben on Twitter:</t>
        </is>
      </c>
      <c r="V2167" s="47">
        <f>IF(AND(P2167&gt;=Calendar!$K$2,P2167&lt;EDATE(Calendar!$K$2,1),OR(Calendar!$K$4="*",N2167=Calendar!$K$4)),P2167*100+COUNTIFS($P$6:$P$3267,P2167,$Q$6:$Q$3267,"&lt;="&amp;Q2167,$N$6:$N$3267,Calendar!$K$4),"")</f>
        <v/>
      </c>
      <c r="W2167" s="47">
        <f>IF(AND(B2167=Queue!$C$4,OR(Queue!$K$4="*",N2167=Queue!$K$4)),Q2167,"")</f>
        <v/>
      </c>
    </row>
    <row r="2168">
      <c r="A2168" s="38">
        <f>IF(M2168="","",HYPERLINK("https://www.youtube.com/watch?v="&amp;M2168,"▶"))</f>
        <v/>
      </c>
      <c r="B2168" s="39">
        <f>IF(C2168&lt;&gt;"",C2168,IF(P2168&lt;=IFERROR(INDEX(tblChannels[Watched Through],MATCH(N2168,tblChannels[Channel ID],0)),0),"Watched","Unwatched"))</f>
        <v/>
      </c>
      <c r="C2168" s="40" t="n"/>
      <c r="D2168" s="41" t="n"/>
      <c r="E2168" s="42" t="n">
        <v>43228.71388888889</v>
      </c>
      <c r="F2168" s="50" t="inlineStr">
        <is>
          <t>Super Carlin Brothers</t>
        </is>
      </c>
      <c r="G2168" t="inlineStr">
        <is>
          <t>Pixar Theory: The Government Hired Syndrome</t>
        </is>
      </c>
      <c r="H2168" s="44" t="n">
        <v>0.008518518518518519</v>
      </c>
      <c r="I2168" s="45" t="n">
        <v>655387</v>
      </c>
      <c r="J2168" s="45" t="n">
        <v>20387</v>
      </c>
      <c r="K2168" s="45" t="n">
        <v>1547</v>
      </c>
      <c r="L2168" s="46" t="n"/>
      <c r="M2168" s="47" t="n"/>
      <c r="N2168" s="47" t="inlineStr">
        <is>
          <t>UCKZo4N0lVPccBkSiuyVh4yg</t>
        </is>
      </c>
      <c r="O2168" s="48" t="n">
        <v>43228.88055555556</v>
      </c>
      <c r="P2168" s="49" t="n">
        <v>43228</v>
      </c>
      <c r="Q2168" s="47" t="n">
        <v>1100</v>
      </c>
      <c r="R2168" s="47" t="inlineStr">
        <is>
          <t>No Video ID yet</t>
        </is>
      </c>
      <c r="S2168" s="49" t="n"/>
      <c r="T2168" s="49" t="n"/>
      <c r="U2168" s="47" t="inlineStr">
        <is>
          <t>Today J dives into the world of Pixar's Incredibles to determine if Syndrome was working with the government to eliminate supers!</t>
        </is>
      </c>
      <c r="V2168" s="47">
        <f>IF(AND(P2168&gt;=Calendar!$K$2,P2168&lt;EDATE(Calendar!$K$2,1),OR(Calendar!$K$4="*",N2168=Calendar!$K$4)),P2168*100+COUNTIFS($P$6:$P$3267,P2168,$Q$6:$Q$3267,"&lt;="&amp;Q2168,$N$6:$N$3267,Calendar!$K$4),"")</f>
        <v/>
      </c>
      <c r="W2168" s="47">
        <f>IF(AND(B2168=Queue!$C$4,OR(Queue!$K$4="*",N2168=Queue!$K$4)),Q2168,"")</f>
        <v/>
      </c>
    </row>
    <row r="2169">
      <c r="A2169" s="38">
        <f>IF(M2169="","",HYPERLINK("https://www.youtube.com/watch?v="&amp;M2169,"▶"))</f>
        <v/>
      </c>
      <c r="B2169" s="39">
        <f>IF(C2169&lt;&gt;"",C2169,IF(P2169&lt;=IFERROR(INDEX(tblChannels[Watched Through],MATCH(N2169,tblChannels[Channel ID],0)),0),"Watched","Unwatched"))</f>
        <v/>
      </c>
      <c r="C2169" s="40" t="n"/>
      <c r="D2169" s="41" t="n"/>
      <c r="E2169" s="42" t="n">
        <v>43227.79027777778</v>
      </c>
      <c r="F2169" s="53" t="inlineStr">
        <is>
          <t>Jonathan Carlin</t>
        </is>
      </c>
      <c r="G2169" t="inlineStr">
        <is>
          <t>BETH RUNS THE TOUGHEST HALF MARATHON IN AMERICA</t>
        </is>
      </c>
      <c r="H2169" s="44" t="n">
        <v>0.006747685185185186</v>
      </c>
      <c r="I2169" s="45" t="n">
        <v>33887</v>
      </c>
      <c r="J2169" s="45" t="n">
        <v>1670</v>
      </c>
      <c r="K2169" s="45" t="n">
        <v>202</v>
      </c>
      <c r="L2169" s="46" t="n"/>
      <c r="M2169" s="47" t="n"/>
      <c r="N2169" s="47" t="inlineStr">
        <is>
          <t>UCYPKFe86e6nm4TVUYKLsFUQ</t>
        </is>
      </c>
      <c r="O2169" s="48" t="n">
        <v>43227.95694444444</v>
      </c>
      <c r="P2169" s="49" t="n">
        <v>43227</v>
      </c>
      <c r="Q2169" s="47" t="n">
        <v>1099</v>
      </c>
      <c r="R2169" s="47" t="inlineStr">
        <is>
          <t>No Video ID yet</t>
        </is>
      </c>
      <c r="S2169" s="49" t="n"/>
      <c r="T2169" s="49" t="n"/>
      <c r="U2169" s="47" t="inlineStr">
        <is>
          <t>This week Beth continues to be a total boss and runs the Blue Ridge Half Marathon aka America's Toughest Half Road Marathon! Also J makes dinner!</t>
        </is>
      </c>
      <c r="V2169" s="47">
        <f>IF(AND(P2169&gt;=Calendar!$K$2,P2169&lt;EDATE(Calendar!$K$2,1),OR(Calendar!$K$4="*",N2169=Calendar!$K$4)),P2169*100+COUNTIFS($P$6:$P$3267,P2169,$Q$6:$Q$3267,"&lt;="&amp;Q2169,$N$6:$N$3267,Calendar!$K$4),"")</f>
        <v/>
      </c>
      <c r="W2169" s="47">
        <f>IF(AND(B2169=Queue!$C$4,OR(Queue!$K$4="*",N2169=Queue!$K$4)),Q2169,"")</f>
        <v/>
      </c>
    </row>
    <row r="2170">
      <c r="A2170" s="38">
        <f>IF(M2170="","",HYPERLINK("https://www.youtube.com/watch?v="&amp;M2170,"▶"))</f>
        <v/>
      </c>
      <c r="B2170" s="39">
        <f>IF(C2170&lt;&gt;"",C2170,IF(P2170&lt;=IFERROR(INDEX(tblChannels[Watched Through],MATCH(N2170,tblChannels[Channel ID],0)),0),"Watched","Unwatched"))</f>
        <v/>
      </c>
      <c r="C2170" s="40" t="n"/>
      <c r="D2170" s="41" t="n"/>
      <c r="E2170" s="42" t="n">
        <v>43223.96944444445</v>
      </c>
      <c r="F2170" s="52" t="inlineStr">
        <is>
          <t>Super Carlin Gaming</t>
        </is>
      </c>
      <c r="G2170" t="inlineStr">
        <is>
          <t>Why Am I Doing This To Myself?! - GETTING OVER IT</t>
        </is>
      </c>
      <c r="H2170" s="44" t="n">
        <v>0.04796296296296296</v>
      </c>
      <c r="I2170" s="45" t="n">
        <v>10506</v>
      </c>
      <c r="J2170" s="45" t="n">
        <v>315</v>
      </c>
      <c r="K2170" s="45" t="n">
        <v>25</v>
      </c>
      <c r="L2170" s="46" t="n"/>
      <c r="M2170" s="47" t="n"/>
      <c r="N2170" s="47" t="inlineStr">
        <is>
          <t>UCor_9jRnNNZVzTuQ92PKsaQ</t>
        </is>
      </c>
      <c r="O2170" s="48" t="n">
        <v>43224.13611111111</v>
      </c>
      <c r="P2170" s="49" t="n">
        <v>43223</v>
      </c>
      <c r="Q2170" s="47" t="n">
        <v>1098</v>
      </c>
      <c r="R2170" s="47" t="inlineStr">
        <is>
          <t>No Video ID yet</t>
        </is>
      </c>
      <c r="S2170" s="49" t="n"/>
      <c r="T2170" s="49" t="n"/>
      <c r="U2170" s="47" t="inlineStr">
        <is>
          <t>I'm not screaming, YOU'RE SCREAMING! Join The Discord! J on twitter: Ben on Twitter:</t>
        </is>
      </c>
      <c r="V2170" s="47">
        <f>IF(AND(P2170&gt;=Calendar!$K$2,P2170&lt;EDATE(Calendar!$K$2,1),OR(Calendar!$K$4="*",N2170=Calendar!$K$4)),P2170*100+COUNTIFS($P$6:$P$3267,P2170,$Q$6:$Q$3267,"&lt;="&amp;Q2170,$N$6:$N$3267,Calendar!$K$4),"")</f>
        <v/>
      </c>
      <c r="W2170" s="47">
        <f>IF(AND(B2170=Queue!$C$4,OR(Queue!$K$4="*",N2170=Queue!$K$4)),Q2170,"")</f>
        <v/>
      </c>
    </row>
    <row r="2171">
      <c r="A2171" s="38">
        <f>IF(M2171="","",HYPERLINK("https://www.youtube.com/watch?v="&amp;M2171,"▶"))</f>
        <v/>
      </c>
      <c r="B2171" s="39">
        <f>IF(C2171&lt;&gt;"",C2171,IF(P2171&lt;=IFERROR(INDEX(tblChannels[Watched Through],MATCH(N2171,tblChannels[Channel ID],0)),0),"Watched","Unwatched"))</f>
        <v/>
      </c>
      <c r="C2171" s="40" t="n"/>
      <c r="D2171" s="41" t="n"/>
      <c r="E2171" s="42" t="n">
        <v>43223.71944444445</v>
      </c>
      <c r="F2171" s="50" t="inlineStr">
        <is>
          <t>Super Carlin Brothers</t>
        </is>
      </c>
      <c r="G2171" t="inlineStr">
        <is>
          <t>Why Moana Looks Like Te Fiti | Disney Theory</t>
        </is>
      </c>
      <c r="H2171" s="44" t="n">
        <v>0.00619212962962963</v>
      </c>
      <c r="I2171" s="45" t="n">
        <v>3096492</v>
      </c>
      <c r="J2171" s="45" t="n">
        <v>85425</v>
      </c>
      <c r="K2171" s="45" t="n">
        <v>7250</v>
      </c>
      <c r="L2171" s="46" t="n"/>
      <c r="M2171" s="47" t="n"/>
      <c r="N2171" s="47" t="inlineStr">
        <is>
          <t>UCKZo4N0lVPccBkSiuyVh4yg</t>
        </is>
      </c>
      <c r="O2171" s="48" t="n">
        <v>43223.88611111111</v>
      </c>
      <c r="P2171" s="49" t="n">
        <v>43223</v>
      </c>
      <c r="Q2171" s="47" t="n">
        <v>1097</v>
      </c>
      <c r="R2171" s="47" t="inlineStr">
        <is>
          <t>No Video ID yet</t>
        </is>
      </c>
      <c r="S2171" s="49" t="n"/>
      <c r="T2171" s="49" t="n"/>
      <c r="U2171" s="47" t="inlineStr">
        <is>
          <t>Today Ben dives into the ocean of Disney's Moana to discuss why Moana looks exactly like the island goddess of Te Fiti</t>
        </is>
      </c>
      <c r="V2171" s="47">
        <f>IF(AND(P2171&gt;=Calendar!$K$2,P2171&lt;EDATE(Calendar!$K$2,1),OR(Calendar!$K$4="*",N2171=Calendar!$K$4)),P2171*100+COUNTIFS($P$6:$P$3267,P2171,$Q$6:$Q$3267,"&lt;="&amp;Q2171,$N$6:$N$3267,Calendar!$K$4),"")</f>
        <v/>
      </c>
      <c r="W2171" s="47">
        <f>IF(AND(B2171=Queue!$C$4,OR(Queue!$K$4="*",N2171=Queue!$K$4)),Q2171,"")</f>
        <v/>
      </c>
    </row>
    <row r="2172">
      <c r="A2172" s="38">
        <f>IF(M2172="","",HYPERLINK("https://www.youtube.com/watch?v="&amp;M2172,"▶"))</f>
        <v/>
      </c>
      <c r="B2172" s="39">
        <f>IF(C2172&lt;&gt;"",C2172,IF(P2172&lt;=IFERROR(INDEX(tblChannels[Watched Through],MATCH(N2172,tblChannels[Channel ID],0)),0),"Watched","Unwatched"))</f>
        <v/>
      </c>
      <c r="C2172" s="40" t="n"/>
      <c r="D2172" s="41" t="n"/>
      <c r="E2172" s="42" t="n">
        <v>43223.56041666667</v>
      </c>
      <c r="F2172" s="52" t="inlineStr">
        <is>
          <t>Super Carlin Gaming</t>
        </is>
      </c>
      <c r="G2172" t="inlineStr">
        <is>
          <t>J IS TOTALLY GETTING OVER IT!</t>
        </is>
      </c>
      <c r="H2172" s="44" t="n">
        <v>0.07559027777777778</v>
      </c>
      <c r="I2172" s="45" t="n">
        <v>7239</v>
      </c>
      <c r="J2172" s="45" t="n">
        <v>278</v>
      </c>
      <c r="K2172" s="45" t="n">
        <v>18</v>
      </c>
      <c r="L2172" s="46" t="n"/>
      <c r="M2172" s="47" t="n"/>
      <c r="N2172" s="47" t="inlineStr">
        <is>
          <t>UCor_9jRnNNZVzTuQ92PKsaQ</t>
        </is>
      </c>
      <c r="O2172" s="48" t="n">
        <v>43223.72708333333</v>
      </c>
      <c r="P2172" s="49" t="n">
        <v>43223</v>
      </c>
      <c r="Q2172" s="47" t="n">
        <v>1096</v>
      </c>
      <c r="R2172" s="47" t="inlineStr">
        <is>
          <t>No Video ID yet</t>
        </is>
      </c>
      <c r="S2172" s="49" t="n"/>
      <c r="T2172" s="49" t="n"/>
      <c r="U2172" s="47" t="inlineStr">
        <is>
          <t>I'm not screaming, YOU'RE SCREAMING! Join The Discord! J on twitter: Ben on Twitter:</t>
        </is>
      </c>
      <c r="V2172" s="47">
        <f>IF(AND(P2172&gt;=Calendar!$K$2,P2172&lt;EDATE(Calendar!$K$2,1),OR(Calendar!$K$4="*",N2172=Calendar!$K$4)),P2172*100+COUNTIFS($P$6:$P$3267,P2172,$Q$6:$Q$3267,"&lt;="&amp;Q2172,$N$6:$N$3267,Calendar!$K$4),"")</f>
        <v/>
      </c>
      <c r="W2172" s="47">
        <f>IF(AND(B2172=Queue!$C$4,OR(Queue!$K$4="*",N2172=Queue!$K$4)),Q2172,"")</f>
        <v/>
      </c>
    </row>
    <row r="2173">
      <c r="A2173" s="38">
        <f>IF(M2173="","",HYPERLINK("https://www.youtube.com/watch?v="&amp;M2173,"▶"))</f>
        <v/>
      </c>
      <c r="B2173" s="39">
        <f>IF(C2173&lt;&gt;"",C2173,IF(P2173&lt;=IFERROR(INDEX(tblChannels[Watched Through],MATCH(N2173,tblChannels[Channel ID],0)),0),"Watched","Unwatched"))</f>
        <v/>
      </c>
      <c r="C2173" s="40" t="n"/>
      <c r="D2173" s="41" t="n"/>
      <c r="E2173" s="42" t="n">
        <v>43222.74861111111</v>
      </c>
      <c r="F2173" s="52" t="inlineStr">
        <is>
          <t>Super Carlin Gaming</t>
        </is>
      </c>
      <c r="G2173" t="inlineStr">
        <is>
          <t>Ben &amp; J play 'Getting Over It"</t>
        </is>
      </c>
      <c r="H2173" s="44" t="n">
        <v>0.08002314814814815</v>
      </c>
      <c r="I2173" s="45" t="n">
        <v>13197</v>
      </c>
      <c r="J2173" s="45" t="n">
        <v>462</v>
      </c>
      <c r="K2173" s="45" t="n">
        <v>33</v>
      </c>
      <c r="L2173" s="46" t="n"/>
      <c r="M2173" s="47" t="n"/>
      <c r="N2173" s="47" t="inlineStr">
        <is>
          <t>UCor_9jRnNNZVzTuQ92PKsaQ</t>
        </is>
      </c>
      <c r="O2173" s="48" t="n">
        <v>43222.91527777778</v>
      </c>
      <c r="P2173" s="49" t="n">
        <v>43222</v>
      </c>
      <c r="Q2173" s="47" t="n">
        <v>1095</v>
      </c>
      <c r="R2173" s="47" t="inlineStr">
        <is>
          <t>No Video ID yet</t>
        </is>
      </c>
      <c r="S2173" s="49" t="n"/>
      <c r="T2173" s="49" t="n"/>
      <c r="U2173" s="47" t="inlineStr">
        <is>
          <t>Join The Discord! J on twitter: Ben on Twitter:</t>
        </is>
      </c>
      <c r="V2173" s="47">
        <f>IF(AND(P2173&gt;=Calendar!$K$2,P2173&lt;EDATE(Calendar!$K$2,1),OR(Calendar!$K$4="*",N2173=Calendar!$K$4)),P2173*100+COUNTIFS($P$6:$P$3267,P2173,$Q$6:$Q$3267,"&lt;="&amp;Q2173,$N$6:$N$3267,Calendar!$K$4),"")</f>
        <v/>
      </c>
      <c r="W2173" s="47">
        <f>IF(AND(B2173=Queue!$C$4,OR(Queue!$K$4="*",N2173=Queue!$K$4)),Q2173,"")</f>
        <v/>
      </c>
    </row>
    <row r="2174">
      <c r="A2174" s="38">
        <f>IF(M2174="","",HYPERLINK("https://www.youtube.com/watch?v="&amp;M2174,"▶"))</f>
        <v/>
      </c>
      <c r="B2174" s="39">
        <f>IF(C2174&lt;&gt;"",C2174,IF(P2174&lt;=IFERROR(INDEX(tblChannels[Watched Through],MATCH(N2174,tblChannels[Channel ID],0)),0),"Watched","Unwatched"))</f>
        <v/>
      </c>
      <c r="C2174" s="40" t="n"/>
      <c r="D2174" s="41" t="n"/>
      <c r="E2174" s="42" t="n">
        <v>43221.72430555556</v>
      </c>
      <c r="F2174" s="50" t="inlineStr">
        <is>
          <t>Super Carlin Brothers</t>
        </is>
      </c>
      <c r="G2174" t="inlineStr">
        <is>
          <t>Which House Was Hagrid In? | Harry Potter Theory</t>
        </is>
      </c>
      <c r="H2174" s="44" t="n">
        <v>0.01032407407407407</v>
      </c>
      <c r="I2174" s="45" t="n">
        <v>2448207</v>
      </c>
      <c r="J2174" s="45" t="n">
        <v>56156</v>
      </c>
      <c r="K2174" s="45" t="n">
        <v>12858</v>
      </c>
      <c r="L2174" s="46" t="n"/>
      <c r="M2174" s="47" t="n"/>
      <c r="N2174" s="47" t="inlineStr">
        <is>
          <t>UCKZo4N0lVPccBkSiuyVh4yg</t>
        </is>
      </c>
      <c r="O2174" s="48" t="n">
        <v>43221.89097222222</v>
      </c>
      <c r="P2174" s="49" t="n">
        <v>43221</v>
      </c>
      <c r="Q2174" s="47" t="n">
        <v>1094</v>
      </c>
      <c r="R2174" s="47" t="inlineStr">
        <is>
          <t>No Video ID yet</t>
        </is>
      </c>
      <c r="S2174" s="49" t="n"/>
      <c r="T2174" s="49" t="n"/>
      <c r="U2174" s="47" t="inlineStr">
        <is>
          <t>Today J dives into the Wizarding World of Harry Potter to discuss which house Hagrid was in! Gryffindor? Slytherin? Ravenclaw? Pancakes?</t>
        </is>
      </c>
      <c r="V2174" s="47">
        <f>IF(AND(P2174&gt;=Calendar!$K$2,P2174&lt;EDATE(Calendar!$K$2,1),OR(Calendar!$K$4="*",N2174=Calendar!$K$4)),P2174*100+COUNTIFS($P$6:$P$3267,P2174,$Q$6:$Q$3267,"&lt;="&amp;Q2174,$N$6:$N$3267,Calendar!$K$4),"")</f>
        <v/>
      </c>
      <c r="W2174" s="47">
        <f>IF(AND(B2174=Queue!$C$4,OR(Queue!$K$4="*",N2174=Queue!$K$4)),Q2174,"")</f>
        <v/>
      </c>
    </row>
    <row r="2175">
      <c r="A2175" s="38">
        <f>IF(M2175="","",HYPERLINK("https://www.youtube.com/watch?v="&amp;M2175,"▶"))</f>
        <v/>
      </c>
      <c r="B2175" s="39">
        <f>IF(C2175&lt;&gt;"",C2175,IF(P2175&lt;=IFERROR(INDEX(tblChannels[Watched Through],MATCH(N2175,tblChannels[Channel ID],0)),0),"Watched","Unwatched"))</f>
        <v/>
      </c>
      <c r="C2175" s="40" t="n"/>
      <c r="D2175" s="41" t="n"/>
      <c r="E2175" s="42" t="n">
        <v>43220.56805555556</v>
      </c>
      <c r="F2175" s="53" t="inlineStr">
        <is>
          <t>Jonathan Carlin</t>
        </is>
      </c>
      <c r="G2175" t="inlineStr">
        <is>
          <t>BETH'S FIRST WEEK BACK AT SCHOOL!</t>
        </is>
      </c>
      <c r="H2175" s="44" t="n">
        <v>0.006469907407407408</v>
      </c>
      <c r="I2175" s="45" t="n">
        <v>40117</v>
      </c>
      <c r="J2175" s="45" t="n">
        <v>2011</v>
      </c>
      <c r="K2175" s="45" t="n">
        <v>290</v>
      </c>
      <c r="L2175" s="46" t="n"/>
      <c r="M2175" s="47" t="n"/>
      <c r="N2175" s="47" t="inlineStr">
        <is>
          <t>UCYPKFe86e6nm4TVUYKLsFUQ</t>
        </is>
      </c>
      <c r="O2175" s="48" t="n">
        <v>43220.73472222222</v>
      </c>
      <c r="P2175" s="49" t="n">
        <v>43220</v>
      </c>
      <c r="Q2175" s="47" t="n">
        <v>1093</v>
      </c>
      <c r="R2175" s="47" t="inlineStr">
        <is>
          <t>No Video ID yet</t>
        </is>
      </c>
      <c r="S2175" s="49" t="n"/>
      <c r="T2175" s="49" t="n"/>
      <c r="U2175" s="47" t="inlineStr">
        <is>
          <t>Beth's maternity leave comes to an end and she returns to teaching, J has a momentary freak out and Luke's smile saves the day!</t>
        </is>
      </c>
      <c r="V2175" s="47">
        <f>IF(AND(P2175&gt;=Calendar!$K$2,P2175&lt;EDATE(Calendar!$K$2,1),OR(Calendar!$K$4="*",N2175=Calendar!$K$4)),P2175*100+COUNTIFS($P$6:$P$3267,P2175,$Q$6:$Q$3267,"&lt;="&amp;Q2175,$N$6:$N$3267,Calendar!$K$4),"")</f>
        <v/>
      </c>
      <c r="W2175" s="47">
        <f>IF(AND(B2175=Queue!$C$4,OR(Queue!$K$4="*",N2175=Queue!$K$4)),Q2175,"")</f>
        <v/>
      </c>
    </row>
    <row r="2176">
      <c r="A2176" s="38">
        <f>IF(M2176="","",HYPERLINK("https://www.youtube.com/watch?v="&amp;M2176,"▶"))</f>
        <v/>
      </c>
      <c r="B2176" s="39">
        <f>IF(C2176&lt;&gt;"",C2176,IF(P2176&lt;=IFERROR(INDEX(tblChannels[Watched Through],MATCH(N2176,tblChannels[Channel ID],0)),0),"Watched","Unwatched"))</f>
        <v/>
      </c>
      <c r="C2176" s="40" t="n"/>
      <c r="D2176" s="41" t="n"/>
      <c r="E2176" s="42" t="n">
        <v>43218.59791666667</v>
      </c>
      <c r="F2176" s="52" t="inlineStr">
        <is>
          <t>Super Carlin Gaming</t>
        </is>
      </c>
      <c r="G2176" t="inlineStr">
        <is>
          <t>Luke and J Play Pokemon Leaf Green | Mono Type FIRE Run #6</t>
        </is>
      </c>
      <c r="H2176" s="44" t="n">
        <v>0.05646990740740741</v>
      </c>
      <c r="I2176" s="45" t="n">
        <v>11617</v>
      </c>
      <c r="J2176" s="45" t="n">
        <v>294</v>
      </c>
      <c r="K2176" s="45" t="n">
        <v>45</v>
      </c>
      <c r="L2176" s="46" t="n"/>
      <c r="M2176" s="47" t="n"/>
      <c r="N2176" s="47" t="inlineStr">
        <is>
          <t>UCor_9jRnNNZVzTuQ92PKsaQ</t>
        </is>
      </c>
      <c r="O2176" s="48" t="n">
        <v>43218.76458333333</v>
      </c>
      <c r="P2176" s="49" t="n">
        <v>43218</v>
      </c>
      <c r="Q2176" s="47" t="n">
        <v>1092</v>
      </c>
      <c r="R2176" s="47" t="inlineStr">
        <is>
          <t>No Video ID yet</t>
        </is>
      </c>
      <c r="S2176" s="49" t="n"/>
      <c r="T2176" s="49" t="n"/>
      <c r="U2176" s="47" t="inlineStr">
        <is>
          <t>Join The Discord! J on twitter:</t>
        </is>
      </c>
      <c r="V2176" s="47">
        <f>IF(AND(P2176&gt;=Calendar!$K$2,P2176&lt;EDATE(Calendar!$K$2,1),OR(Calendar!$K$4="*",N2176=Calendar!$K$4)),P2176*100+COUNTIFS($P$6:$P$3267,P2176,$Q$6:$Q$3267,"&lt;="&amp;Q2176,$N$6:$N$3267,Calendar!$K$4),"")</f>
        <v/>
      </c>
      <c r="W2176" s="47">
        <f>IF(AND(B2176=Queue!$C$4,OR(Queue!$K$4="*",N2176=Queue!$K$4)),Q2176,"")</f>
        <v/>
      </c>
    </row>
    <row r="2177">
      <c r="A2177" s="38">
        <f>IF(M2177="","",HYPERLINK("https://www.youtube.com/watch?v="&amp;M2177,"▶"))</f>
        <v/>
      </c>
      <c r="B2177" s="39">
        <f>IF(C2177&lt;&gt;"",C2177,IF(P2177&lt;=IFERROR(INDEX(tblChannels[Watched Through],MATCH(N2177,tblChannels[Channel ID],0)),0),"Watched","Unwatched"))</f>
        <v/>
      </c>
      <c r="C2177" s="40" t="n"/>
      <c r="D2177" s="41" t="n"/>
      <c r="E2177" s="42" t="n">
        <v>43217.7375</v>
      </c>
      <c r="F2177" s="52" t="inlineStr">
        <is>
          <t>Super Carlin Gaming</t>
        </is>
      </c>
      <c r="G2177" t="inlineStr">
        <is>
          <t>Mario Kart LIVE! Possibly for the last time?!?</t>
        </is>
      </c>
      <c r="H2177" s="44" t="n">
        <v>0.04684027777777778</v>
      </c>
      <c r="I2177" s="45" t="n">
        <v>13221</v>
      </c>
      <c r="J2177" s="45" t="n">
        <v>416</v>
      </c>
      <c r="K2177" s="45" t="n">
        <v>56</v>
      </c>
      <c r="L2177" s="46" t="n"/>
      <c r="M2177" s="47" t="n"/>
      <c r="N2177" s="47" t="inlineStr">
        <is>
          <t>UCor_9jRnNNZVzTuQ92PKsaQ</t>
        </is>
      </c>
      <c r="O2177" s="48" t="n">
        <v>43217.90416666667</v>
      </c>
      <c r="P2177" s="49" t="n">
        <v>43217</v>
      </c>
      <c r="Q2177" s="47" t="n">
        <v>1091</v>
      </c>
      <c r="R2177" s="47" t="inlineStr">
        <is>
          <t>No Video ID yet</t>
        </is>
      </c>
      <c r="S2177" s="49" t="n"/>
      <c r="T2177" s="49" t="n"/>
      <c r="U2177" s="47" t="inlineStr">
        <is>
          <t>Join The Discord! J on twitter: DK STREAMS ON TWITCH:</t>
        </is>
      </c>
      <c r="V2177" s="47">
        <f>IF(AND(P2177&gt;=Calendar!$K$2,P2177&lt;EDATE(Calendar!$K$2,1),OR(Calendar!$K$4="*",N2177=Calendar!$K$4)),P2177*100+COUNTIFS($P$6:$P$3267,P2177,$Q$6:$Q$3267,"&lt;="&amp;Q2177,$N$6:$N$3267,Calendar!$K$4),"")</f>
        <v/>
      </c>
      <c r="W2177" s="47">
        <f>IF(AND(B2177=Queue!$C$4,OR(Queue!$K$4="*",N2177=Queue!$K$4)),Q2177,"")</f>
        <v/>
      </c>
    </row>
    <row r="2178">
      <c r="A2178" s="38">
        <f>IF(M2178="","",HYPERLINK("https://www.youtube.com/watch?v="&amp;M2178,"▶"))</f>
        <v/>
      </c>
      <c r="B2178" s="39">
        <f>IF(C2178&lt;&gt;"",C2178,IF(P2178&lt;=IFERROR(INDEX(tblChannels[Watched Through],MATCH(N2178,tblChannels[Channel ID],0)),0),"Watched","Unwatched"))</f>
        <v/>
      </c>
      <c r="C2178" s="40" t="n"/>
      <c r="D2178" s="41" t="n"/>
      <c r="E2178" s="42" t="n">
        <v>43217.63472222222</v>
      </c>
      <c r="F2178" s="50" t="inlineStr">
        <is>
          <t>Super Carlin Brothers</t>
        </is>
      </c>
      <c r="G2178" t="inlineStr">
        <is>
          <t>J vs Ben: HARDEST Remus Lupin Quiz EVER!</t>
        </is>
      </c>
      <c r="H2178" s="44" t="n">
        <v>0.02197916666666667</v>
      </c>
      <c r="I2178" s="45" t="n">
        <v>1116318</v>
      </c>
      <c r="J2178" s="45" t="n">
        <v>20005</v>
      </c>
      <c r="K2178" s="45" t="n">
        <v>3337</v>
      </c>
      <c r="L2178" s="46" t="n"/>
      <c r="M2178" s="47" t="n"/>
      <c r="N2178" s="47" t="inlineStr">
        <is>
          <t>UCKZo4N0lVPccBkSiuyVh4yg</t>
        </is>
      </c>
      <c r="O2178" s="48" t="n">
        <v>43217.80138888889</v>
      </c>
      <c r="P2178" s="49" t="n">
        <v>43217</v>
      </c>
      <c r="Q2178" s="47" t="n">
        <v>1090</v>
      </c>
      <c r="R2178" s="47" t="inlineStr">
        <is>
          <t>No Video ID yet</t>
        </is>
      </c>
      <c r="S2178" s="49" t="n"/>
      <c r="T2178" s="49" t="n"/>
      <c r="U2178" s="47" t="inlineStr">
        <is>
          <t>Join Honey for FREE Take the Quiz :: Today J and Ben face off in another Harry Potter showdown to find out who knows the Wizarding World's favorite werewolf Remus Lupin the best!</t>
        </is>
      </c>
      <c r="V2178" s="47">
        <f>IF(AND(P2178&gt;=Calendar!$K$2,P2178&lt;EDATE(Calendar!$K$2,1),OR(Calendar!$K$4="*",N2178=Calendar!$K$4)),P2178*100+COUNTIFS($P$6:$P$3267,P2178,$Q$6:$Q$3267,"&lt;="&amp;Q2178,$N$6:$N$3267,Calendar!$K$4),"")</f>
        <v/>
      </c>
      <c r="W2178" s="47">
        <f>IF(AND(B2178=Queue!$C$4,OR(Queue!$K$4="*",N2178=Queue!$K$4)),Q2178,"")</f>
        <v/>
      </c>
    </row>
    <row r="2179">
      <c r="A2179" s="38">
        <f>IF(M2179="","",HYPERLINK("https://www.youtube.com/watch?v="&amp;M2179,"▶"))</f>
        <v/>
      </c>
      <c r="B2179" s="39">
        <f>IF(C2179&lt;&gt;"",C2179,IF(P2179&lt;=IFERROR(INDEX(tblChannels[Watched Through],MATCH(N2179,tblChannels[Channel ID],0)),0),"Watched","Unwatched"))</f>
        <v/>
      </c>
      <c r="C2179" s="40" t="n"/>
      <c r="D2179" s="41" t="n"/>
      <c r="E2179" s="42" t="n">
        <v>43216.4875</v>
      </c>
      <c r="F2179" s="52" t="inlineStr">
        <is>
          <t>Super Carlin Gaming</t>
        </is>
      </c>
      <c r="G2179" t="inlineStr">
        <is>
          <t>Hamstrings | Mario Kart Roulette #92</t>
        </is>
      </c>
      <c r="H2179" s="44" t="n">
        <v>0.01306712962962963</v>
      </c>
      <c r="I2179" s="45" t="n">
        <v>9687</v>
      </c>
      <c r="J2179" s="45" t="n">
        <v>371</v>
      </c>
      <c r="K2179" s="45" t="n">
        <v>73</v>
      </c>
      <c r="L2179" s="46" t="n"/>
      <c r="M2179" s="47" t="n"/>
      <c r="N2179" s="47" t="inlineStr">
        <is>
          <t>UCor_9jRnNNZVzTuQ92PKsaQ</t>
        </is>
      </c>
      <c r="O2179" s="48" t="n">
        <v>43216.65416666667</v>
      </c>
      <c r="P2179" s="49" t="n">
        <v>43216</v>
      </c>
      <c r="Q2179" s="47" t="n">
        <v>1089</v>
      </c>
      <c r="R2179" s="47" t="inlineStr">
        <is>
          <t>No Video ID yet</t>
        </is>
      </c>
      <c r="S2179" s="49" t="n"/>
      <c r="T2179" s="49" t="n"/>
      <c r="U2179" s="47" t="inlineStr">
        <is>
          <t>J and Ben continue to try to 3 star every cup with randomly chosen karts and characters while they answer your questions and give you advice!!</t>
        </is>
      </c>
      <c r="V2179" s="47">
        <f>IF(AND(P2179&gt;=Calendar!$K$2,P2179&lt;EDATE(Calendar!$K$2,1),OR(Calendar!$K$4="*",N2179=Calendar!$K$4)),P2179*100+COUNTIFS($P$6:$P$3267,P2179,$Q$6:$Q$3267,"&lt;="&amp;Q2179,$N$6:$N$3267,Calendar!$K$4),"")</f>
        <v/>
      </c>
      <c r="W2179" s="47">
        <f>IF(AND(B2179=Queue!$C$4,OR(Queue!$K$4="*",N2179=Queue!$K$4)),Q2179,"")</f>
        <v/>
      </c>
    </row>
    <row r="2180">
      <c r="A2180" s="38">
        <f>IF(M2180="","",HYPERLINK("https://www.youtube.com/watch?v="&amp;M2180,"▶"))</f>
        <v/>
      </c>
      <c r="B2180" s="39">
        <f>IF(C2180&lt;&gt;"",C2180,IF(P2180&lt;=IFERROR(INDEX(tblChannels[Watched Through],MATCH(N2180,tblChannels[Channel ID],0)),0),"Watched","Unwatched"))</f>
        <v/>
      </c>
      <c r="C2180" s="40" t="n"/>
      <c r="D2180" s="41" t="n"/>
      <c r="E2180" s="42" t="n">
        <v>43214.69861111111</v>
      </c>
      <c r="F2180" s="50" t="inlineStr">
        <is>
          <t>Super Carlin Brothers</t>
        </is>
      </c>
      <c r="G2180" t="inlineStr">
        <is>
          <t>EVERY MARVEL MOVIE RANKED</t>
        </is>
      </c>
      <c r="H2180" s="44" t="n">
        <v>0.03819444444444445</v>
      </c>
      <c r="I2180" s="45" t="n">
        <v>708332</v>
      </c>
      <c r="J2180" s="45" t="n">
        <v>13676</v>
      </c>
      <c r="K2180" s="45" t="n">
        <v>4383</v>
      </c>
      <c r="L2180" s="46" t="n"/>
      <c r="M2180" s="47" t="n"/>
      <c r="N2180" s="47" t="inlineStr">
        <is>
          <t>UCKZo4N0lVPccBkSiuyVh4yg</t>
        </is>
      </c>
      <c r="O2180" s="48" t="n">
        <v>43214.86527777778</v>
      </c>
      <c r="P2180" s="49" t="n">
        <v>43214</v>
      </c>
      <c r="Q2180" s="47" t="n">
        <v>1088</v>
      </c>
      <c r="R2180" s="47" t="inlineStr">
        <is>
          <t>No Video ID yet</t>
        </is>
      </c>
      <c r="S2180" s="49" t="n"/>
      <c r="T2180" s="49" t="n"/>
      <c r="U2180" s="47" t="inlineStr">
        <is>
          <t>Today in celebration of Marvel's Infinity War J and Ben are giving their official ranking of the entire MCU library from Iron Man to Black Panther! Which one is your favorite?!</t>
        </is>
      </c>
      <c r="V2180" s="47">
        <f>IF(AND(P2180&gt;=Calendar!$K$2,P2180&lt;EDATE(Calendar!$K$2,1),OR(Calendar!$K$4="*",N2180=Calendar!$K$4)),P2180*100+COUNTIFS($P$6:$P$3267,P2180,$Q$6:$Q$3267,"&lt;="&amp;Q2180,$N$6:$N$3267,Calendar!$K$4),"")</f>
        <v/>
      </c>
      <c r="W2180" s="47">
        <f>IF(AND(B2180=Queue!$C$4,OR(Queue!$K$4="*",N2180=Queue!$K$4)),Q2180,"")</f>
        <v/>
      </c>
    </row>
    <row r="2181">
      <c r="A2181" s="38">
        <f>IF(M2181="","",HYPERLINK("https://www.youtube.com/watch?v="&amp;M2181,"▶"))</f>
        <v/>
      </c>
      <c r="B2181" s="39">
        <f>IF(C2181&lt;&gt;"",C2181,IF(P2181&lt;=IFERROR(INDEX(tblChannels[Watched Through],MATCH(N2181,tblChannels[Channel ID],0)),0),"Watched","Unwatched"))</f>
        <v/>
      </c>
      <c r="C2181" s="40" t="n"/>
      <c r="D2181" s="41" t="n"/>
      <c r="E2181" s="42" t="n">
        <v>43214.44236111111</v>
      </c>
      <c r="F2181" s="52" t="inlineStr">
        <is>
          <t>Super Carlin Gaming</t>
        </is>
      </c>
      <c r="G2181" t="inlineStr">
        <is>
          <t>Ben Got Catfished | Mario Kart Roulette #91</t>
        </is>
      </c>
      <c r="H2181" s="44" t="n">
        <v>0.0134837962962963</v>
      </c>
      <c r="I2181" s="45" t="n">
        <v>8982</v>
      </c>
      <c r="J2181" s="45" t="n">
        <v>387</v>
      </c>
      <c r="K2181" s="45" t="n">
        <v>81</v>
      </c>
      <c r="L2181" s="46" t="n"/>
      <c r="M2181" s="47" t="n"/>
      <c r="N2181" s="47" t="inlineStr">
        <is>
          <t>UCor_9jRnNNZVzTuQ92PKsaQ</t>
        </is>
      </c>
      <c r="O2181" s="48" t="n">
        <v>43214.60902777778</v>
      </c>
      <c r="P2181" s="49" t="n">
        <v>43214</v>
      </c>
      <c r="Q2181" s="47" t="n">
        <v>1087</v>
      </c>
      <c r="R2181" s="47" t="inlineStr">
        <is>
          <t>No Video ID yet</t>
        </is>
      </c>
      <c r="S2181" s="49" t="n"/>
      <c r="T2181" s="49" t="n"/>
      <c r="U2181" s="47" t="inlineStr">
        <is>
          <t>J and Ben continue to try to 3 star every cup with randomly chosen karts and characters while they answer your questions and give you advice!!</t>
        </is>
      </c>
      <c r="V2181" s="47">
        <f>IF(AND(P2181&gt;=Calendar!$K$2,P2181&lt;EDATE(Calendar!$K$2,1),OR(Calendar!$K$4="*",N2181=Calendar!$K$4)),P2181*100+COUNTIFS($P$6:$P$3267,P2181,$Q$6:$Q$3267,"&lt;="&amp;Q2181,$N$6:$N$3267,Calendar!$K$4),"")</f>
        <v/>
      </c>
      <c r="W2181" s="47">
        <f>IF(AND(B2181=Queue!$C$4,OR(Queue!$K$4="*",N2181=Queue!$K$4)),Q2181,"")</f>
        <v/>
      </c>
    </row>
    <row r="2182">
      <c r="A2182" s="38">
        <f>IF(M2182="","",HYPERLINK("https://www.youtube.com/watch?v="&amp;M2182,"▶"))</f>
        <v/>
      </c>
      <c r="B2182" s="39">
        <f>IF(C2182&lt;&gt;"",C2182,IF(P2182&lt;=IFERROR(INDEX(tblChannels[Watched Through],MATCH(N2182,tblChannels[Channel ID],0)),0),"Watched","Unwatched"))</f>
        <v/>
      </c>
      <c r="C2182" s="40" t="n"/>
      <c r="D2182" s="41" t="n"/>
      <c r="E2182" s="42" t="n">
        <v>43213.59097222222</v>
      </c>
      <c r="F2182" s="53" t="inlineStr">
        <is>
          <t>Jonathan Carlin</t>
        </is>
      </c>
      <c r="G2182" t="inlineStr">
        <is>
          <t>Luke Learns to ROLL OVER!</t>
        </is>
      </c>
      <c r="H2182" s="44" t="n">
        <v>0.006631944444444445</v>
      </c>
      <c r="I2182" s="45" t="n">
        <v>54927</v>
      </c>
      <c r="J2182" s="45" t="n">
        <v>2289</v>
      </c>
      <c r="K2182" s="45" t="n">
        <v>257</v>
      </c>
      <c r="L2182" s="46" t="n"/>
      <c r="M2182" s="47" t="n"/>
      <c r="N2182" s="47" t="inlineStr">
        <is>
          <t>UCYPKFe86e6nm4TVUYKLsFUQ</t>
        </is>
      </c>
      <c r="O2182" s="48" t="n">
        <v>43213.75763888889</v>
      </c>
      <c r="P2182" s="49" t="n">
        <v>43213</v>
      </c>
      <c r="Q2182" s="47" t="n">
        <v>1086</v>
      </c>
      <c r="R2182" s="47" t="inlineStr">
        <is>
          <t>No Video ID yet</t>
        </is>
      </c>
      <c r="S2182" s="49" t="n"/>
      <c r="T2182" s="49" t="n"/>
      <c r="U2182" s="47" t="inlineStr">
        <is>
          <t>Luke learns a new trick, J finds a new burger (it was at River and Rail), and Beth does a lot of running! Also BIG Congratulations to my brother-in-law Daniel who was recently ordained!</t>
        </is>
      </c>
      <c r="V2182" s="47">
        <f>IF(AND(P2182&gt;=Calendar!$K$2,P2182&lt;EDATE(Calendar!$K$2,1),OR(Calendar!$K$4="*",N2182=Calendar!$K$4)),P2182*100+COUNTIFS($P$6:$P$3267,P2182,$Q$6:$Q$3267,"&lt;="&amp;Q2182,$N$6:$N$3267,Calendar!$K$4),"")</f>
        <v/>
      </c>
      <c r="W2182" s="47">
        <f>IF(AND(B2182=Queue!$C$4,OR(Queue!$K$4="*",N2182=Queue!$K$4)),Q2182,"")</f>
        <v/>
      </c>
    </row>
    <row r="2183">
      <c r="A2183" s="38">
        <f>IF(M2183="","",HYPERLINK("https://www.youtube.com/watch?v="&amp;M2183,"▶"))</f>
        <v/>
      </c>
      <c r="B2183" s="39">
        <f>IF(C2183&lt;&gt;"",C2183,IF(P2183&lt;=IFERROR(INDEX(tblChannels[Watched Through],MATCH(N2183,tblChannels[Channel ID],0)),0),"Watched","Unwatched"))</f>
        <v/>
      </c>
      <c r="C2183" s="40" t="n"/>
      <c r="D2183" s="41" t="n"/>
      <c r="E2183" s="42" t="n">
        <v>43209.80555555555</v>
      </c>
      <c r="F2183" s="50" t="inlineStr">
        <is>
          <t>Super Carlin Brothers</t>
        </is>
      </c>
      <c r="G2183" t="inlineStr">
        <is>
          <t>Shrek Vs Disney</t>
        </is>
      </c>
      <c r="H2183" s="44" t="n">
        <v>0.006875</v>
      </c>
      <c r="I2183" s="45" t="n">
        <v>724209</v>
      </c>
      <c r="J2183" s="45" t="n">
        <v>24313</v>
      </c>
      <c r="K2183" s="45" t="n">
        <v>2558</v>
      </c>
      <c r="L2183" s="46" t="n"/>
      <c r="M2183" s="47" t="n"/>
      <c r="N2183" s="47" t="inlineStr">
        <is>
          <t>UCKZo4N0lVPccBkSiuyVh4yg</t>
        </is>
      </c>
      <c r="O2183" s="48" t="n">
        <v>43209.97222222222</v>
      </c>
      <c r="P2183" s="49" t="n">
        <v>43209</v>
      </c>
      <c r="Q2183" s="47" t="n">
        <v>1085</v>
      </c>
      <c r="R2183" s="47" t="inlineStr">
        <is>
          <t>No Video ID yet</t>
        </is>
      </c>
      <c r="S2183" s="49" t="n"/>
      <c r="T2183" s="49" t="n"/>
      <c r="U2183" s="47" t="inlineStr">
        <is>
          <t>Today Ben dives into the not so magical world of Duloc and Dreamwork’s Shrek to discuss the dramatic backstory of its development and how it seeks to take on Disney.</t>
        </is>
      </c>
      <c r="V2183" s="47">
        <f>IF(AND(P2183&gt;=Calendar!$K$2,P2183&lt;EDATE(Calendar!$K$2,1),OR(Calendar!$K$4="*",N2183=Calendar!$K$4)),P2183*100+COUNTIFS($P$6:$P$3267,P2183,$Q$6:$Q$3267,"&lt;="&amp;Q2183,$N$6:$N$3267,Calendar!$K$4),"")</f>
        <v/>
      </c>
      <c r="W2183" s="47">
        <f>IF(AND(B2183=Queue!$C$4,OR(Queue!$K$4="*",N2183=Queue!$K$4)),Q2183,"")</f>
        <v/>
      </c>
    </row>
    <row r="2184">
      <c r="A2184" s="38">
        <f>IF(M2184="","",HYPERLINK("https://www.youtube.com/watch?v="&amp;M2184,"▶"))</f>
        <v/>
      </c>
      <c r="B2184" s="39">
        <f>IF(C2184&lt;&gt;"",C2184,IF(P2184&lt;=IFERROR(INDEX(tblChannels[Watched Through],MATCH(N2184,tblChannels[Channel ID],0)),0),"Watched","Unwatched"))</f>
        <v/>
      </c>
      <c r="C2184" s="40" t="n"/>
      <c r="D2184" s="41" t="n"/>
      <c r="E2184" s="42" t="n">
        <v>43209.4375</v>
      </c>
      <c r="F2184" s="52" t="inlineStr">
        <is>
          <t>Super Carlin Gaming</t>
        </is>
      </c>
      <c r="G2184" t="inlineStr">
        <is>
          <t>Donkey Pillows | Mario Kart Roulette #90</t>
        </is>
      </c>
      <c r="H2184" s="44" t="n">
        <v>0.01438657407407407</v>
      </c>
      <c r="I2184" s="45" t="n">
        <v>8805</v>
      </c>
      <c r="J2184" s="45" t="n">
        <v>357</v>
      </c>
      <c r="K2184" s="45" t="n">
        <v>99</v>
      </c>
      <c r="L2184" s="46" t="n"/>
      <c r="M2184" s="47" t="n"/>
      <c r="N2184" s="47" t="inlineStr">
        <is>
          <t>UCor_9jRnNNZVzTuQ92PKsaQ</t>
        </is>
      </c>
      <c r="O2184" s="48" t="n">
        <v>43209.60416666666</v>
      </c>
      <c r="P2184" s="49" t="n">
        <v>43209</v>
      </c>
      <c r="Q2184" s="47" t="n">
        <v>1084</v>
      </c>
      <c r="R2184" s="47" t="inlineStr">
        <is>
          <t>No Video ID yet</t>
        </is>
      </c>
      <c r="S2184" s="49" t="n"/>
      <c r="T2184" s="49" t="n"/>
      <c r="U2184" s="47" t="inlineStr">
        <is>
          <t>J and Ben continue to try to 3 star every cup with randomly chosen karts and characters while they answer your questions and give you advice!!</t>
        </is>
      </c>
      <c r="V2184" s="47">
        <f>IF(AND(P2184&gt;=Calendar!$K$2,P2184&lt;EDATE(Calendar!$K$2,1),OR(Calendar!$K$4="*",N2184=Calendar!$K$4)),P2184*100+COUNTIFS($P$6:$P$3267,P2184,$Q$6:$Q$3267,"&lt;="&amp;Q2184,$N$6:$N$3267,Calendar!$K$4),"")</f>
        <v/>
      </c>
      <c r="W2184" s="47">
        <f>IF(AND(B2184=Queue!$C$4,OR(Queue!$K$4="*",N2184=Queue!$K$4)),Q2184,"")</f>
        <v/>
      </c>
    </row>
    <row r="2185">
      <c r="A2185" s="38">
        <f>IF(M2185="","",HYPERLINK("https://www.youtube.com/watch?v="&amp;M2185,"▶"))</f>
        <v/>
      </c>
      <c r="B2185" s="39">
        <f>IF(C2185&lt;&gt;"",C2185,IF(P2185&lt;=IFERROR(INDEX(tblChannels[Watched Through],MATCH(N2185,tblChannels[Channel ID],0)),0),"Watched","Unwatched"))</f>
        <v/>
      </c>
      <c r="C2185" s="40" t="n"/>
      <c r="D2185" s="41" t="n"/>
      <c r="E2185" s="42" t="n">
        <v>43207.73402777778</v>
      </c>
      <c r="F2185" s="50" t="inlineStr">
        <is>
          <t>Super Carlin Brothers</t>
        </is>
      </c>
      <c r="G2185" t="inlineStr">
        <is>
          <t>Frozen Makes NO Sense</t>
        </is>
      </c>
      <c r="H2185" s="44" t="n">
        <v>0.007916666666666667</v>
      </c>
      <c r="I2185" s="45" t="n">
        <v>785448</v>
      </c>
      <c r="J2185" s="45" t="n">
        <v>30299</v>
      </c>
      <c r="K2185" s="45" t="n">
        <v>3413</v>
      </c>
      <c r="L2185" s="46" t="n"/>
      <c r="M2185" s="47" t="n"/>
      <c r="N2185" s="47" t="inlineStr">
        <is>
          <t>UCKZo4N0lVPccBkSiuyVh4yg</t>
        </is>
      </c>
      <c r="O2185" s="48" t="n">
        <v>43207.90069444444</v>
      </c>
      <c r="P2185" s="49" t="n">
        <v>43207</v>
      </c>
      <c r="Q2185" s="47" t="n">
        <v>1083</v>
      </c>
      <c r="R2185" s="47" t="inlineStr">
        <is>
          <t>No Video ID yet</t>
        </is>
      </c>
      <c r="S2185" s="49" t="n"/>
      <c r="T2185" s="49" t="n"/>
      <c r="U2185" s="47" t="inlineStr">
        <is>
          <t>Today J dives into the wintery world of Disney’s Frozen to discuss how it just doesnt make any sense at all! Why can’t Anna just know about the ice powers??</t>
        </is>
      </c>
      <c r="V2185" s="47">
        <f>IF(AND(P2185&gt;=Calendar!$K$2,P2185&lt;EDATE(Calendar!$K$2,1),OR(Calendar!$K$4="*",N2185=Calendar!$K$4)),P2185*100+COUNTIFS($P$6:$P$3267,P2185,$Q$6:$Q$3267,"&lt;="&amp;Q2185,$N$6:$N$3267,Calendar!$K$4),"")</f>
        <v/>
      </c>
      <c r="W2185" s="47">
        <f>IF(AND(B2185=Queue!$C$4,OR(Queue!$K$4="*",N2185=Queue!$K$4)),Q2185,"")</f>
        <v/>
      </c>
    </row>
    <row r="2186">
      <c r="A2186" s="38">
        <f>IF(M2186="","",HYPERLINK("https://www.youtube.com/watch?v="&amp;M2186,"▶"))</f>
        <v/>
      </c>
      <c r="B2186" s="39">
        <f>IF(C2186&lt;&gt;"",C2186,IF(P2186&lt;=IFERROR(INDEX(tblChannels[Watched Through],MATCH(N2186,tblChannels[Channel ID],0)),0),"Watched","Unwatched"))</f>
        <v/>
      </c>
      <c r="C2186" s="40" t="n"/>
      <c r="D2186" s="41" t="n"/>
      <c r="E2186" s="42" t="n">
        <v>43207.4375</v>
      </c>
      <c r="F2186" s="52" t="inlineStr">
        <is>
          <t>Super Carlin Gaming</t>
        </is>
      </c>
      <c r="G2186" t="inlineStr">
        <is>
          <t>Apple Juice | Mario Kart Roulette #89</t>
        </is>
      </c>
      <c r="H2186" s="44" t="n">
        <v>0.01340277777777778</v>
      </c>
      <c r="I2186" s="45" t="n">
        <v>8151</v>
      </c>
      <c r="J2186" s="45" t="n">
        <v>357</v>
      </c>
      <c r="K2186" s="45" t="n">
        <v>139</v>
      </c>
      <c r="L2186" s="46" t="n"/>
      <c r="M2186" s="47" t="n"/>
      <c r="N2186" s="47" t="inlineStr">
        <is>
          <t>UCor_9jRnNNZVzTuQ92PKsaQ</t>
        </is>
      </c>
      <c r="O2186" s="48" t="n">
        <v>43207.60416666666</v>
      </c>
      <c r="P2186" s="49" t="n">
        <v>43207</v>
      </c>
      <c r="Q2186" s="47" t="n">
        <v>1082</v>
      </c>
      <c r="R2186" s="47" t="inlineStr">
        <is>
          <t>No Video ID yet</t>
        </is>
      </c>
      <c r="S2186" s="49" t="n"/>
      <c r="T2186" s="49" t="n"/>
      <c r="U2186" s="47" t="inlineStr">
        <is>
          <t>J and Ben continue to try to 3 star every cup with randomly chosen karts and characters while they answer your questions and give you advice!!</t>
        </is>
      </c>
      <c r="V2186" s="47">
        <f>IF(AND(P2186&gt;=Calendar!$K$2,P2186&lt;EDATE(Calendar!$K$2,1),OR(Calendar!$K$4="*",N2186=Calendar!$K$4)),P2186*100+COUNTIFS($P$6:$P$3267,P2186,$Q$6:$Q$3267,"&lt;="&amp;Q2186,$N$6:$N$3267,Calendar!$K$4),"")</f>
        <v/>
      </c>
      <c r="W2186" s="47">
        <f>IF(AND(B2186=Queue!$C$4,OR(Queue!$K$4="*",N2186=Queue!$K$4)),Q2186,"")</f>
        <v/>
      </c>
    </row>
    <row r="2187">
      <c r="A2187" s="38">
        <f>IF(M2187="","",HYPERLINK("https://www.youtube.com/watch?v="&amp;M2187,"▶"))</f>
        <v/>
      </c>
      <c r="B2187" s="39">
        <f>IF(C2187&lt;&gt;"",C2187,IF(P2187&lt;=IFERROR(INDEX(tblChannels[Watched Through],MATCH(N2187,tblChannels[Channel ID],0)),0),"Watched","Unwatched"))</f>
        <v/>
      </c>
      <c r="C2187" s="40" t="n"/>
      <c r="D2187" s="41" t="n"/>
      <c r="E2187" s="42" t="n">
        <v>43206.64791666667</v>
      </c>
      <c r="F2187" s="53" t="inlineStr">
        <is>
          <t>Jonathan Carlin</t>
        </is>
      </c>
      <c r="G2187" t="inlineStr">
        <is>
          <t>How To Be A Fashionable Dad</t>
        </is>
      </c>
      <c r="H2187" s="44" t="n">
        <v>0.004456018518518519</v>
      </c>
      <c r="I2187" s="45" t="n">
        <v>34666</v>
      </c>
      <c r="J2187" s="45" t="n">
        <v>1663</v>
      </c>
      <c r="K2187" s="45" t="n">
        <v>137</v>
      </c>
      <c r="L2187" s="46" t="n"/>
      <c r="M2187" s="47" t="n"/>
      <c r="N2187" s="47" t="inlineStr">
        <is>
          <t>UCYPKFe86e6nm4TVUYKLsFUQ</t>
        </is>
      </c>
      <c r="O2187" s="48" t="n">
        <v>43206.81458333333</v>
      </c>
      <c r="P2187" s="49" t="n">
        <v>43206</v>
      </c>
      <c r="Q2187" s="47" t="n">
        <v>1081</v>
      </c>
      <c r="R2187" s="47" t="inlineStr">
        <is>
          <t>No Video ID yet</t>
        </is>
      </c>
      <c r="S2187" s="49" t="n"/>
      <c r="T2187" s="49" t="n"/>
      <c r="U2187" s="47" t="inlineStr">
        <is>
          <t>Lemony Flutter Cuticle Butter :: This week Beth runs 11 freaking miles, J does 100 pushups as fast as he can, and we hang out with some awesome people - Also mail.</t>
        </is>
      </c>
      <c r="V2187" s="47">
        <f>IF(AND(P2187&gt;=Calendar!$K$2,P2187&lt;EDATE(Calendar!$K$2,1),OR(Calendar!$K$4="*",N2187=Calendar!$K$4)),P2187*100+COUNTIFS($P$6:$P$3267,P2187,$Q$6:$Q$3267,"&lt;="&amp;Q2187,$N$6:$N$3267,Calendar!$K$4),"")</f>
        <v/>
      </c>
      <c r="W2187" s="47">
        <f>IF(AND(B2187=Queue!$C$4,OR(Queue!$K$4="*",N2187=Queue!$K$4)),Q2187,"")</f>
        <v/>
      </c>
    </row>
    <row r="2188">
      <c r="A2188" s="38">
        <f>IF(M2188="","",HYPERLINK("https://www.youtube.com/watch?v="&amp;M2188,"▶"))</f>
        <v/>
      </c>
      <c r="B2188" s="39">
        <f>IF(C2188&lt;&gt;"",C2188,IF(P2188&lt;=IFERROR(INDEX(tblChannels[Watched Through],MATCH(N2188,tblChannels[Channel ID],0)),0),"Watched","Unwatched"))</f>
        <v/>
      </c>
      <c r="C2188" s="40" t="n"/>
      <c r="D2188" s="41" t="n"/>
      <c r="E2188" s="42" t="n">
        <v>43202.76944444444</v>
      </c>
      <c r="F2188" s="50" t="inlineStr">
        <is>
          <t>Super Carlin Brothers</t>
        </is>
      </c>
      <c r="G2188" t="inlineStr">
        <is>
          <t>What Happened To Kristoff's Parents? | Frozen Theory</t>
        </is>
      </c>
      <c r="H2188" s="44" t="n">
        <v>0.006863425925925926</v>
      </c>
      <c r="I2188" s="45" t="n">
        <v>993482</v>
      </c>
      <c r="J2188" s="45" t="n">
        <v>27685</v>
      </c>
      <c r="K2188" s="45" t="n">
        <v>2749</v>
      </c>
      <c r="L2188" s="46" t="n"/>
      <c r="M2188" s="47" t="n"/>
      <c r="N2188" s="47" t="inlineStr">
        <is>
          <t>UCKZo4N0lVPccBkSiuyVh4yg</t>
        </is>
      </c>
      <c r="O2188" s="48" t="n">
        <v>43202.93611111111</v>
      </c>
      <c r="P2188" s="49" t="n">
        <v>43202</v>
      </c>
      <c r="Q2188" s="47" t="n">
        <v>1080</v>
      </c>
      <c r="R2188" s="47" t="inlineStr">
        <is>
          <t>No Video ID yet</t>
        </is>
      </c>
      <c r="S2188" s="49" t="n"/>
      <c r="T2188" s="49" t="n"/>
      <c r="U2188" s="47" t="inlineStr">
        <is>
          <t>Super Carlin Bracket :: Follow us on Twitter to play along: Today Ben dives into the enchanted land of Arendelle and Disney's Frozen to find out what happened to Krisoff's parents?</t>
        </is>
      </c>
      <c r="V2188" s="47">
        <f>IF(AND(P2188&gt;=Calendar!$K$2,P2188&lt;EDATE(Calendar!$K$2,1),OR(Calendar!$K$4="*",N2188=Calendar!$K$4)),P2188*100+COUNTIFS($P$6:$P$3267,P2188,$Q$6:$Q$3267,"&lt;="&amp;Q2188,$N$6:$N$3267,Calendar!$K$4),"")</f>
        <v/>
      </c>
      <c r="W2188" s="47">
        <f>IF(AND(B2188=Queue!$C$4,OR(Queue!$K$4="*",N2188=Queue!$K$4)),Q2188,"")</f>
        <v/>
      </c>
    </row>
    <row r="2189">
      <c r="A2189" s="38">
        <f>IF(M2189="","",HYPERLINK("https://www.youtube.com/watch?v="&amp;M2189,"▶"))</f>
        <v/>
      </c>
      <c r="B2189" s="39">
        <f>IF(C2189&lt;&gt;"",C2189,IF(P2189&lt;=IFERROR(INDEX(tblChannels[Watched Through],MATCH(N2189,tblChannels[Channel ID],0)),0),"Watched","Unwatched"))</f>
        <v/>
      </c>
      <c r="C2189" s="40" t="n"/>
      <c r="D2189" s="41" t="n"/>
      <c r="E2189" s="42" t="n">
        <v>43202.46458333333</v>
      </c>
      <c r="F2189" s="52" t="inlineStr">
        <is>
          <t>Super Carlin Gaming</t>
        </is>
      </c>
      <c r="G2189" t="inlineStr">
        <is>
          <t>What Defines a Loaf? | Mario Kart Roulette #88</t>
        </is>
      </c>
      <c r="H2189" s="44" t="n">
        <v>0.01189814814814815</v>
      </c>
      <c r="I2189" s="45" t="n">
        <v>7861</v>
      </c>
      <c r="J2189" s="45" t="n">
        <v>380</v>
      </c>
      <c r="K2189" s="45" t="n">
        <v>153</v>
      </c>
      <c r="L2189" s="46" t="n"/>
      <c r="M2189" s="47" t="n"/>
      <c r="N2189" s="47" t="inlineStr">
        <is>
          <t>UCor_9jRnNNZVzTuQ92PKsaQ</t>
        </is>
      </c>
      <c r="O2189" s="48" t="n">
        <v>43202.63125</v>
      </c>
      <c r="P2189" s="49" t="n">
        <v>43202</v>
      </c>
      <c r="Q2189" s="47" t="n">
        <v>1079</v>
      </c>
      <c r="R2189" s="47" t="inlineStr">
        <is>
          <t>No Video ID yet</t>
        </is>
      </c>
      <c r="S2189" s="49" t="n"/>
      <c r="T2189" s="49" t="n"/>
      <c r="U2189" s="47" t="inlineStr">
        <is>
          <t>J and Ben continue to try to 3 star every cup with randomly chosen karts and characters while they answer your questions and give you advice!!</t>
        </is>
      </c>
      <c r="V2189" s="47">
        <f>IF(AND(P2189&gt;=Calendar!$K$2,P2189&lt;EDATE(Calendar!$K$2,1),OR(Calendar!$K$4="*",N2189=Calendar!$K$4)),P2189*100+COUNTIFS($P$6:$P$3267,P2189,$Q$6:$Q$3267,"&lt;="&amp;Q2189,$N$6:$N$3267,Calendar!$K$4),"")</f>
        <v/>
      </c>
      <c r="W2189" s="47">
        <f>IF(AND(B2189=Queue!$C$4,OR(Queue!$K$4="*",N2189=Queue!$K$4)),Q2189,"")</f>
        <v/>
      </c>
    </row>
    <row r="2190">
      <c r="A2190" s="38">
        <f>IF(M2190="","",HYPERLINK("https://www.youtube.com/watch?v="&amp;M2190,"▶"))</f>
        <v/>
      </c>
      <c r="B2190" s="39">
        <f>IF(C2190&lt;&gt;"",C2190,IF(P2190&lt;=IFERROR(INDEX(tblChannels[Watched Through],MATCH(N2190,tblChannels[Channel ID],0)),0),"Watched","Unwatched"))</f>
        <v/>
      </c>
      <c r="C2190" s="40" t="n"/>
      <c r="D2190" s="41" t="n"/>
      <c r="E2190" s="42" t="n">
        <v>43200.71805555555</v>
      </c>
      <c r="F2190" s="50" t="inlineStr">
        <is>
          <t>Super Carlin Brothers</t>
        </is>
      </c>
      <c r="G2190" t="inlineStr">
        <is>
          <t>Why Credence Definitely Won't Survive | Fantastic Beasts Theory</t>
        </is>
      </c>
      <c r="H2190" s="44" t="n">
        <v>0.008414351851851852</v>
      </c>
      <c r="I2190" s="45" t="n">
        <v>841798</v>
      </c>
      <c r="J2190" s="45" t="n">
        <v>22535</v>
      </c>
      <c r="K2190" s="45" t="n">
        <v>2977</v>
      </c>
      <c r="L2190" s="46" t="n"/>
      <c r="M2190" s="47" t="n"/>
      <c r="N2190" s="47" t="inlineStr">
        <is>
          <t>UCKZo4N0lVPccBkSiuyVh4yg</t>
        </is>
      </c>
      <c r="O2190" s="48" t="n">
        <v>43200.88472222222</v>
      </c>
      <c r="P2190" s="49" t="n">
        <v>43200</v>
      </c>
      <c r="Q2190" s="47" t="n">
        <v>1078</v>
      </c>
      <c r="R2190" s="47" t="inlineStr">
        <is>
          <t>No Video ID yet</t>
        </is>
      </c>
      <c r="S2190" s="49" t="n"/>
      <c r="T2190" s="49" t="n"/>
      <c r="U2190" s="47" t="inlineStr">
        <is>
          <t>Super Carlin Bracket :: Follow us on Twitter to play along: Today J dives into the Wizarding World of Harry Potter to discuss how Credence Barebone will meet his inevitable end according to Aesop’s Fables. Bacon and Eggs Podcast :: Fantastic Geeks and Where To Find Them Podcast ::</t>
        </is>
      </c>
      <c r="V2190" s="47">
        <f>IF(AND(P2190&gt;=Calendar!$K$2,P2190&lt;EDATE(Calendar!$K$2,1),OR(Calendar!$K$4="*",N2190=Calendar!$K$4)),P2190*100+COUNTIFS($P$6:$P$3267,P2190,$Q$6:$Q$3267,"&lt;="&amp;Q2190,$N$6:$N$3267,Calendar!$K$4),"")</f>
        <v/>
      </c>
      <c r="W2190" s="47">
        <f>IF(AND(B2190=Queue!$C$4,OR(Queue!$K$4="*",N2190=Queue!$K$4)),Q2190,"")</f>
        <v/>
      </c>
    </row>
    <row r="2191">
      <c r="A2191" s="38">
        <f>IF(M2191="","",HYPERLINK("https://www.youtube.com/watch?v="&amp;M2191,"▶"))</f>
        <v/>
      </c>
      <c r="B2191" s="39">
        <f>IF(C2191&lt;&gt;"",C2191,IF(P2191&lt;=IFERROR(INDEX(tblChannels[Watched Through],MATCH(N2191,tblChannels[Channel ID],0)),0),"Watched","Unwatched"))</f>
        <v/>
      </c>
      <c r="C2191" s="40" t="n"/>
      <c r="D2191" s="41" t="n"/>
      <c r="E2191" s="42" t="n">
        <v>43200.46041666667</v>
      </c>
      <c r="F2191" s="52" t="inlineStr">
        <is>
          <t>Super Carlin Gaming</t>
        </is>
      </c>
      <c r="G2191" t="inlineStr">
        <is>
          <t>Emotional Affair | Mario Kart Roulette #87</t>
        </is>
      </c>
      <c r="H2191" s="44" t="n">
        <v>0.01146990740740741</v>
      </c>
      <c r="I2191" s="45" t="n">
        <v>7454</v>
      </c>
      <c r="J2191" s="45" t="n">
        <v>332</v>
      </c>
      <c r="K2191" s="45" t="n">
        <v>102</v>
      </c>
      <c r="L2191" s="46" t="n"/>
      <c r="M2191" s="47" t="n"/>
      <c r="N2191" s="47" t="inlineStr">
        <is>
          <t>UCor_9jRnNNZVzTuQ92PKsaQ</t>
        </is>
      </c>
      <c r="O2191" s="48" t="n">
        <v>43200.62708333333</v>
      </c>
      <c r="P2191" s="49" t="n">
        <v>43200</v>
      </c>
      <c r="Q2191" s="47" t="n">
        <v>1077</v>
      </c>
      <c r="R2191" s="47" t="inlineStr">
        <is>
          <t>No Video ID yet</t>
        </is>
      </c>
      <c r="S2191" s="49" t="n"/>
      <c r="T2191" s="49" t="n"/>
      <c r="U2191" s="47" t="inlineStr">
        <is>
          <t>J and Ben continue to try to 3 star every cup with randomly chosen karts and characters while they answer your questions and give you advice!!</t>
        </is>
      </c>
      <c r="V2191" s="47">
        <f>IF(AND(P2191&gt;=Calendar!$K$2,P2191&lt;EDATE(Calendar!$K$2,1),OR(Calendar!$K$4="*",N2191=Calendar!$K$4)),P2191*100+COUNTIFS($P$6:$P$3267,P2191,$Q$6:$Q$3267,"&lt;="&amp;Q2191,$N$6:$N$3267,Calendar!$K$4),"")</f>
        <v/>
      </c>
      <c r="W2191" s="47">
        <f>IF(AND(B2191=Queue!$C$4,OR(Queue!$K$4="*",N2191=Queue!$K$4)),Q2191,"")</f>
        <v/>
      </c>
    </row>
    <row r="2192">
      <c r="A2192" s="38">
        <f>IF(M2192="","",HYPERLINK("https://www.youtube.com/watch?v="&amp;M2192,"▶"))</f>
        <v/>
      </c>
      <c r="B2192" s="39">
        <f>IF(C2192&lt;&gt;"",C2192,IF(P2192&lt;=IFERROR(INDEX(tblChannels[Watched Through],MATCH(N2192,tblChannels[Channel ID],0)),0),"Watched","Unwatched"))</f>
        <v/>
      </c>
      <c r="C2192" s="40" t="n"/>
      <c r="D2192" s="41" t="n"/>
      <c r="E2192" s="42" t="n">
        <v>43199.56041666667</v>
      </c>
      <c r="F2192" s="53" t="inlineStr">
        <is>
          <t>Jonathan Carlin</t>
        </is>
      </c>
      <c r="G2192" t="inlineStr">
        <is>
          <t>THE 300 POUND SQUAT!</t>
        </is>
      </c>
      <c r="H2192" s="44" t="n">
        <v>0.003449074074074074</v>
      </c>
      <c r="I2192" s="45" t="n">
        <v>24532</v>
      </c>
      <c r="J2192" s="45" t="n">
        <v>1455</v>
      </c>
      <c r="K2192" s="45" t="n">
        <v>203</v>
      </c>
      <c r="L2192" s="46" t="n"/>
      <c r="M2192" s="47" t="n"/>
      <c r="N2192" s="47" t="inlineStr">
        <is>
          <t>UCYPKFe86e6nm4TVUYKLsFUQ</t>
        </is>
      </c>
      <c r="O2192" s="48" t="n">
        <v>43199.72708333333</v>
      </c>
      <c r="P2192" s="49" t="n">
        <v>43199</v>
      </c>
      <c r="Q2192" s="47" t="n">
        <v>1076</v>
      </c>
      <c r="R2192" s="47" t="inlineStr">
        <is>
          <t>No Video ID yet</t>
        </is>
      </c>
      <c r="S2192" s="49" t="n"/>
      <c r="T2192" s="49" t="n"/>
      <c r="U2192" s="47" t="inlineStr">
        <is>
          <t>This week J and Beth recover from their trip to Disney, J tries to set some new PR's at the gym, we try out a new donut shop and play some games! Flash Point :: Dominion :: Dark Ages ::</t>
        </is>
      </c>
      <c r="V2192" s="47">
        <f>IF(AND(P2192&gt;=Calendar!$K$2,P2192&lt;EDATE(Calendar!$K$2,1),OR(Calendar!$K$4="*",N2192=Calendar!$K$4)),P2192*100+COUNTIFS($P$6:$P$3267,P2192,$Q$6:$Q$3267,"&lt;="&amp;Q2192,$N$6:$N$3267,Calendar!$K$4),"")</f>
        <v/>
      </c>
      <c r="W2192" s="47">
        <f>IF(AND(B2192=Queue!$C$4,OR(Queue!$K$4="*",N2192=Queue!$K$4)),Q2192,"")</f>
        <v/>
      </c>
    </row>
    <row r="2193">
      <c r="A2193" s="38">
        <f>IF(M2193="","",HYPERLINK("https://www.youtube.com/watch?v="&amp;M2193,"▶"))</f>
        <v/>
      </c>
      <c r="B2193" s="39">
        <f>IF(C2193&lt;&gt;"",C2193,IF(P2193&lt;=IFERROR(INDEX(tblChannels[Watched Through],MATCH(N2193,tblChannels[Channel ID],0)),0),"Watched","Unwatched"))</f>
        <v/>
      </c>
      <c r="C2193" s="40" t="n"/>
      <c r="D2193" s="41" t="n"/>
      <c r="E2193" s="42" t="n">
        <v>43195.83819444444</v>
      </c>
      <c r="F2193" s="50" t="inlineStr">
        <is>
          <t>Super Carlin Brothers</t>
        </is>
      </c>
      <c r="G2193" t="inlineStr">
        <is>
          <t>Albus Percival Wulfric Brian Dumbledore's Ridiculously Long Name Finally Explained At Last</t>
        </is>
      </c>
      <c r="H2193" s="44" t="n">
        <v>0.006064814814814815</v>
      </c>
      <c r="I2193" s="45" t="n">
        <v>848899</v>
      </c>
      <c r="J2193" s="45" t="n">
        <v>24827</v>
      </c>
      <c r="K2193" s="45" t="n">
        <v>4871</v>
      </c>
      <c r="L2193" s="46" t="n"/>
      <c r="M2193" s="47" t="n"/>
      <c r="N2193" s="47" t="inlineStr">
        <is>
          <t>UCKZo4N0lVPccBkSiuyVh4yg</t>
        </is>
      </c>
      <c r="O2193" s="48" t="n">
        <v>43196.00486111111</v>
      </c>
      <c r="P2193" s="49" t="n">
        <v>43195</v>
      </c>
      <c r="Q2193" s="47" t="n">
        <v>1075</v>
      </c>
      <c r="R2193" s="47" t="inlineStr">
        <is>
          <t>No Video ID yet</t>
        </is>
      </c>
      <c r="S2193" s="49" t="n"/>
      <c r="T2193" s="49" t="n"/>
      <c r="U2193" s="47" t="inlineStr">
        <is>
          <t>SCB Meet Up Tix :: Today Ben dives into the Wizarding World of Harry Potter and finally gets to the bottom of Albus Percival Wulfric Brian Dumbledore's Ridiculously long name.</t>
        </is>
      </c>
      <c r="V2193" s="47">
        <f>IF(AND(P2193&gt;=Calendar!$K$2,P2193&lt;EDATE(Calendar!$K$2,1),OR(Calendar!$K$4="*",N2193=Calendar!$K$4)),P2193*100+COUNTIFS($P$6:$P$3267,P2193,$Q$6:$Q$3267,"&lt;="&amp;Q2193,$N$6:$N$3267,Calendar!$K$4),"")</f>
        <v/>
      </c>
      <c r="W2193" s="47">
        <f>IF(AND(B2193=Queue!$C$4,OR(Queue!$K$4="*",N2193=Queue!$K$4)),Q2193,"")</f>
        <v/>
      </c>
    </row>
    <row r="2194">
      <c r="A2194" s="38">
        <f>IF(M2194="","",HYPERLINK("https://www.youtube.com/watch?v="&amp;M2194,"▶"))</f>
        <v/>
      </c>
      <c r="B2194" s="39">
        <f>IF(C2194&lt;&gt;"",C2194,IF(P2194&lt;=IFERROR(INDEX(tblChannels[Watched Through],MATCH(N2194,tblChannels[Channel ID],0)),0),"Watched","Unwatched"))</f>
        <v/>
      </c>
      <c r="C2194" s="40" t="n"/>
      <c r="D2194" s="41" t="n"/>
      <c r="E2194" s="42" t="n">
        <v>43195.4375</v>
      </c>
      <c r="F2194" s="52" t="inlineStr">
        <is>
          <t>Super Carlin Gaming</t>
        </is>
      </c>
      <c r="G2194" t="inlineStr">
        <is>
          <t>Assertive With Your Feelings | Mario Kart Roulette #86</t>
        </is>
      </c>
      <c r="H2194" s="44" t="n">
        <v>0.0115162037037037</v>
      </c>
      <c r="I2194" s="45" t="n">
        <v>7784</v>
      </c>
      <c r="J2194" s="45" t="n">
        <v>338</v>
      </c>
      <c r="K2194" s="45" t="n">
        <v>100</v>
      </c>
      <c r="L2194" s="46" t="n"/>
      <c r="M2194" s="47" t="n"/>
      <c r="N2194" s="47" t="inlineStr">
        <is>
          <t>UCor_9jRnNNZVzTuQ92PKsaQ</t>
        </is>
      </c>
      <c r="O2194" s="48" t="n">
        <v>43195.60416666666</v>
      </c>
      <c r="P2194" s="49" t="n">
        <v>43195</v>
      </c>
      <c r="Q2194" s="47" t="n">
        <v>1074</v>
      </c>
      <c r="R2194" s="47" t="inlineStr">
        <is>
          <t>No Video ID yet</t>
        </is>
      </c>
      <c r="S2194" s="49" t="n"/>
      <c r="T2194" s="49" t="n"/>
      <c r="U2194" s="47" t="inlineStr">
        <is>
          <t>J and Ben continue to try to 3 star every cup with randomly chosen karts and characters while they answer your questions and give you advice!!</t>
        </is>
      </c>
      <c r="V2194" s="47">
        <f>IF(AND(P2194&gt;=Calendar!$K$2,P2194&lt;EDATE(Calendar!$K$2,1),OR(Calendar!$K$4="*",N2194=Calendar!$K$4)),P2194*100+COUNTIFS($P$6:$P$3267,P2194,$Q$6:$Q$3267,"&lt;="&amp;Q2194,$N$6:$N$3267,Calendar!$K$4),"")</f>
        <v/>
      </c>
      <c r="W2194" s="47">
        <f>IF(AND(B2194=Queue!$C$4,OR(Queue!$K$4="*",N2194=Queue!$K$4)),Q2194,"")</f>
        <v/>
      </c>
    </row>
    <row r="2195">
      <c r="A2195" s="38">
        <f>IF(M2195="","",HYPERLINK("https://www.youtube.com/watch?v="&amp;M2195,"▶"))</f>
        <v/>
      </c>
      <c r="B2195" s="39">
        <f>IF(C2195&lt;&gt;"",C2195,IF(P2195&lt;=IFERROR(INDEX(tblChannels[Watched Through],MATCH(N2195,tblChannels[Channel ID],0)),0),"Watched","Unwatched"))</f>
        <v/>
      </c>
      <c r="C2195" s="40" t="n"/>
      <c r="D2195" s="41" t="n"/>
      <c r="E2195" s="42" t="n">
        <v>43193.84305555555</v>
      </c>
      <c r="F2195" s="50" t="inlineStr">
        <is>
          <t>Super Carlin Brothers</t>
        </is>
      </c>
      <c r="G2195" t="inlineStr">
        <is>
          <t>The Haunted History Of The Haunted Mansion</t>
        </is>
      </c>
      <c r="H2195" s="44" t="n">
        <v>0.007615740740740741</v>
      </c>
      <c r="I2195" s="45" t="n">
        <v>487921</v>
      </c>
      <c r="J2195" s="45" t="n">
        <v>15664</v>
      </c>
      <c r="K2195" s="45" t="n">
        <v>2335</v>
      </c>
      <c r="L2195" s="46" t="n"/>
      <c r="M2195" s="47" t="n"/>
      <c r="N2195" s="47" t="inlineStr">
        <is>
          <t>UCKZo4N0lVPccBkSiuyVh4yg</t>
        </is>
      </c>
      <c r="O2195" s="48" t="n">
        <v>43194.00972222222</v>
      </c>
      <c r="P2195" s="49" t="n">
        <v>43193</v>
      </c>
      <c r="Q2195" s="47" t="n">
        <v>1073</v>
      </c>
      <c r="R2195" s="47" t="inlineStr">
        <is>
          <t>No Video ID yet</t>
        </is>
      </c>
      <c r="S2195" s="49" t="n"/>
      <c r="T2195" s="49" t="n"/>
      <c r="U2195" s="47" t="inlineStr">
        <is>
          <t>Today J dives into the somewhat haunted past of one of the most popular rides in Disneyland and Disney World: The Haunted Mansion! Imaginary Worlds Podcast :: A Special thanks to the patron who support Super Carlin Brothers on Patreon: Kat Waterflame, Adele Grafen, Joy Spears, Jimmy McGowan, Jennifer, Sandra, Andrew, Hillary Reist, Natarandall, Faihle Grayson, Vinnie Nicotra, Brychan John, Chris Morones, James Lord, Miranda Vasquez, Natalie Masucci, Qui Le, Big Meme Boi, I Is Wolfee, Sarah E McCartney, Lasse Buan, Charles C. Seymour, Kristhell Lopez, Amy Beerbower, Isabella</t>
        </is>
      </c>
      <c r="V2195" s="47">
        <f>IF(AND(P2195&gt;=Calendar!$K$2,P2195&lt;EDATE(Calendar!$K$2,1),OR(Calendar!$K$4="*",N2195=Calendar!$K$4)),P2195*100+COUNTIFS($P$6:$P$3267,P2195,$Q$6:$Q$3267,"&lt;="&amp;Q2195,$N$6:$N$3267,Calendar!$K$4),"")</f>
        <v/>
      </c>
      <c r="W2195" s="47">
        <f>IF(AND(B2195=Queue!$C$4,OR(Queue!$K$4="*",N2195=Queue!$K$4)),Q2195,"")</f>
        <v/>
      </c>
    </row>
    <row r="2196">
      <c r="A2196" s="38">
        <f>IF(M2196="","",HYPERLINK("https://www.youtube.com/watch?v="&amp;M2196,"▶"))</f>
        <v/>
      </c>
      <c r="B2196" s="39">
        <f>IF(C2196&lt;&gt;"",C2196,IF(P2196&lt;=IFERROR(INDEX(tblChannels[Watched Through],MATCH(N2196,tblChannels[Channel ID],0)),0),"Watched","Unwatched"))</f>
        <v/>
      </c>
      <c r="C2196" s="40" t="n"/>
      <c r="D2196" s="41" t="n"/>
      <c r="E2196" s="42" t="n">
        <v>43193.4375</v>
      </c>
      <c r="F2196" s="52" t="inlineStr">
        <is>
          <t>Super Carlin Gaming</t>
        </is>
      </c>
      <c r="G2196" t="inlineStr">
        <is>
          <t>The Pretzel Method | Mario Kart Roulette 85??</t>
        </is>
      </c>
      <c r="H2196" s="44" t="n">
        <v>0.0115162037037037</v>
      </c>
      <c r="I2196" s="45" t="n">
        <v>7970</v>
      </c>
      <c r="J2196" s="45" t="n">
        <v>380</v>
      </c>
      <c r="K2196" s="45" t="n">
        <v>159</v>
      </c>
      <c r="L2196" s="46" t="n"/>
      <c r="M2196" s="47" t="n"/>
      <c r="N2196" s="47" t="inlineStr">
        <is>
          <t>UCor_9jRnNNZVzTuQ92PKsaQ</t>
        </is>
      </c>
      <c r="O2196" s="48" t="n">
        <v>43193.60416666666</v>
      </c>
      <c r="P2196" s="49" t="n">
        <v>43193</v>
      </c>
      <c r="Q2196" s="47" t="n">
        <v>1072</v>
      </c>
      <c r="R2196" s="47" t="inlineStr">
        <is>
          <t>No Video ID yet</t>
        </is>
      </c>
      <c r="S2196" s="49" t="n"/>
      <c r="T2196" s="49" t="n"/>
      <c r="U2196" s="47" t="inlineStr">
        <is>
          <t>J and Ben continue to try to 3 star every cup with randomly chosen karts and characters while they answer your questions and give you advice!!</t>
        </is>
      </c>
      <c r="V2196" s="47">
        <f>IF(AND(P2196&gt;=Calendar!$K$2,P2196&lt;EDATE(Calendar!$K$2,1),OR(Calendar!$K$4="*",N2196=Calendar!$K$4)),P2196*100+COUNTIFS($P$6:$P$3267,P2196,$Q$6:$Q$3267,"&lt;="&amp;Q2196,$N$6:$N$3267,Calendar!$K$4),"")</f>
        <v/>
      </c>
      <c r="W2196" s="47">
        <f>IF(AND(B2196=Queue!$C$4,OR(Queue!$K$4="*",N2196=Queue!$K$4)),Q2196,"")</f>
        <v/>
      </c>
    </row>
    <row r="2197">
      <c r="A2197" s="38">
        <f>IF(M2197="","",HYPERLINK("https://www.youtube.com/watch?v="&amp;M2197,"▶"))</f>
        <v/>
      </c>
      <c r="B2197" s="39">
        <f>IF(C2197&lt;&gt;"",C2197,IF(P2197&lt;=IFERROR(INDEX(tblChannels[Watched Through],MATCH(N2197,tblChannels[Channel ID],0)),0),"Watched","Unwatched"))</f>
        <v/>
      </c>
      <c r="C2197" s="40" t="n"/>
      <c r="D2197" s="41" t="n"/>
      <c r="E2197" s="42" t="n">
        <v>43192.49305555555</v>
      </c>
      <c r="F2197" s="53" t="inlineStr">
        <is>
          <t>Jonathan Carlin</t>
        </is>
      </c>
      <c r="G2197" t="inlineStr">
        <is>
          <t>DISNEY WORLD ADVENTURE!</t>
        </is>
      </c>
      <c r="H2197" s="44" t="n">
        <v>0.00787037037037037</v>
      </c>
      <c r="I2197" s="45" t="n">
        <v>76059</v>
      </c>
      <c r="J2197" s="45" t="n">
        <v>2885</v>
      </c>
      <c r="K2197" s="45" t="n">
        <v>312</v>
      </c>
      <c r="L2197" s="46" t="n"/>
      <c r="M2197" s="47" t="n"/>
      <c r="N2197" s="47" t="inlineStr">
        <is>
          <t>UCYPKFe86e6nm4TVUYKLsFUQ</t>
        </is>
      </c>
      <c r="O2197" s="48" t="n">
        <v>43192.65972222222</v>
      </c>
      <c r="P2197" s="49" t="n">
        <v>43192</v>
      </c>
      <c r="Q2197" s="47" t="n">
        <v>1071</v>
      </c>
      <c r="R2197" s="47" t="inlineStr">
        <is>
          <t>No Video ID yet</t>
        </is>
      </c>
      <c r="S2197" s="49" t="n"/>
      <c r="T2197" s="49" t="n"/>
      <c r="U2197" s="47" t="inlineStr">
        <is>
          <t>THE NEW CAMERA Canon G7X Mark II :: This week J, Beth, Ben and Alyce head down to Disney World and have all sorts of fun in Magic Kingdom and EPCOT</t>
        </is>
      </c>
      <c r="V2197" s="47">
        <f>IF(AND(P2197&gt;=Calendar!$K$2,P2197&lt;EDATE(Calendar!$K$2,1),OR(Calendar!$K$4="*",N2197=Calendar!$K$4)),P2197*100+COUNTIFS($P$6:$P$3267,P2197,$Q$6:$Q$3267,"&lt;="&amp;Q2197,$N$6:$N$3267,Calendar!$K$4),"")</f>
        <v/>
      </c>
      <c r="W2197" s="47">
        <f>IF(AND(B2197=Queue!$C$4,OR(Queue!$K$4="*",N2197=Queue!$K$4)),Q2197,"")</f>
        <v/>
      </c>
    </row>
    <row r="2198">
      <c r="A2198" s="38">
        <f>IF(M2198="","",HYPERLINK("https://www.youtube.com/watch?v="&amp;M2198,"▶"))</f>
        <v/>
      </c>
      <c r="B2198" s="39">
        <f>IF(C2198&lt;&gt;"",C2198,IF(P2198&lt;=IFERROR(INDEX(tblChannels[Watched Through],MATCH(N2198,tblChannels[Channel ID],0)),0),"Watched","Unwatched"))</f>
        <v/>
      </c>
      <c r="C2198" s="40" t="n"/>
      <c r="D2198" s="41" t="n"/>
      <c r="E2198" s="42" t="n">
        <v>43188.66111111111</v>
      </c>
      <c r="F2198" s="50" t="inlineStr">
        <is>
          <t>Super Carlin Brothers</t>
        </is>
      </c>
      <c r="G2198" t="inlineStr">
        <is>
          <t>The Most Underrated Disney Movie EVER!</t>
        </is>
      </c>
      <c r="H2198" s="44" t="n">
        <v>0.006956018518518518</v>
      </c>
      <c r="I2198" s="45" t="n">
        <v>1342579</v>
      </c>
      <c r="J2198" s="45" t="n">
        <v>39786</v>
      </c>
      <c r="K2198" s="45" t="n">
        <v>8048</v>
      </c>
      <c r="L2198" s="46" t="n"/>
      <c r="M2198" s="47" t="n"/>
      <c r="N2198" s="47" t="inlineStr">
        <is>
          <t>UCKZo4N0lVPccBkSiuyVh4yg</t>
        </is>
      </c>
      <c r="O2198" s="48" t="n">
        <v>43188.82777777778</v>
      </c>
      <c r="P2198" s="49" t="n">
        <v>43188</v>
      </c>
      <c r="Q2198" s="47" t="n">
        <v>1070</v>
      </c>
      <c r="R2198" s="47" t="inlineStr">
        <is>
          <t>No Video ID yet</t>
        </is>
      </c>
      <c r="S2198" s="49" t="n"/>
      <c r="T2198" s="49" t="n"/>
      <c r="U2198" s="47" t="inlineStr">
        <is>
          <t>SCB Meet Up Tix :: Today Ben dives into the magical world of Disney History to uncover the reason The Emperors New Groove is not a Disney classic and how it ended up as the most underrated Disney movie of all time!</t>
        </is>
      </c>
      <c r="V2198" s="47">
        <f>IF(AND(P2198&gt;=Calendar!$K$2,P2198&lt;EDATE(Calendar!$K$2,1),OR(Calendar!$K$4="*",N2198=Calendar!$K$4)),P2198*100+COUNTIFS($P$6:$P$3267,P2198,$Q$6:$Q$3267,"&lt;="&amp;Q2198,$N$6:$N$3267,Calendar!$K$4),"")</f>
        <v/>
      </c>
      <c r="W2198" s="47">
        <f>IF(AND(B2198=Queue!$C$4,OR(Queue!$K$4="*",N2198=Queue!$K$4)),Q2198,"")</f>
        <v/>
      </c>
    </row>
    <row r="2199">
      <c r="A2199" s="38">
        <f>IF(M2199="","",HYPERLINK("https://www.youtube.com/watch?v="&amp;M2199,"▶"))</f>
        <v/>
      </c>
      <c r="B2199" s="39">
        <f>IF(C2199&lt;&gt;"",C2199,IF(P2199&lt;=IFERROR(INDEX(tblChannels[Watched Through],MATCH(N2199,tblChannels[Channel ID],0)),0),"Watched","Unwatched"))</f>
        <v/>
      </c>
      <c r="C2199" s="40" t="n"/>
      <c r="D2199" s="41" t="n"/>
      <c r="E2199" s="42" t="n">
        <v>43188.41666666666</v>
      </c>
      <c r="F2199" s="52" t="inlineStr">
        <is>
          <t>Super Carlin Gaming</t>
        </is>
      </c>
      <c r="G2199" t="inlineStr">
        <is>
          <t>Living with the Ex | Mario Kart Roulette #84</t>
        </is>
      </c>
      <c r="H2199" s="44" t="n">
        <v>0.01390046296296296</v>
      </c>
      <c r="I2199" s="45" t="n">
        <v>8577</v>
      </c>
      <c r="J2199" s="45" t="n">
        <v>370</v>
      </c>
      <c r="K2199" s="45" t="n">
        <v>141</v>
      </c>
      <c r="L2199" s="46" t="n"/>
      <c r="M2199" s="47" t="n"/>
      <c r="N2199" s="47" t="inlineStr">
        <is>
          <t>UCor_9jRnNNZVzTuQ92PKsaQ</t>
        </is>
      </c>
      <c r="O2199" s="48" t="n">
        <v>43188.58333333334</v>
      </c>
      <c r="P2199" s="49" t="n">
        <v>43188</v>
      </c>
      <c r="Q2199" s="47" t="n">
        <v>1069</v>
      </c>
      <c r="R2199" s="47" t="inlineStr">
        <is>
          <t>No Video ID yet</t>
        </is>
      </c>
      <c r="S2199" s="49" t="n"/>
      <c r="T2199" s="49" t="n"/>
      <c r="U2199" s="47" t="inlineStr">
        <is>
          <t>J and Ben continue to try to 3 star every cup with randomly chosen karts and characters while they answer your questions and give you advice!!</t>
        </is>
      </c>
      <c r="V2199" s="47">
        <f>IF(AND(P2199&gt;=Calendar!$K$2,P2199&lt;EDATE(Calendar!$K$2,1),OR(Calendar!$K$4="*",N2199=Calendar!$K$4)),P2199*100+COUNTIFS($P$6:$P$3267,P2199,$Q$6:$Q$3267,"&lt;="&amp;Q2199,$N$6:$N$3267,Calendar!$K$4),"")</f>
        <v/>
      </c>
      <c r="W2199" s="47">
        <f>IF(AND(B2199=Queue!$C$4,OR(Queue!$K$4="*",N2199=Queue!$K$4)),Q2199,"")</f>
        <v/>
      </c>
    </row>
    <row r="2200">
      <c r="A2200" s="38">
        <f>IF(M2200="","",HYPERLINK("https://www.youtube.com/watch?v="&amp;M2200,"▶"))</f>
        <v/>
      </c>
      <c r="B2200" s="39">
        <f>IF(C2200&lt;&gt;"",C2200,IF(P2200&lt;=IFERROR(INDEX(tblChannels[Watched Through],MATCH(N2200,tblChannels[Channel ID],0)),0),"Watched","Unwatched"))</f>
        <v/>
      </c>
      <c r="C2200" s="40" t="n"/>
      <c r="D2200" s="41" t="n"/>
      <c r="E2200" s="42" t="n">
        <v>43186.61666666667</v>
      </c>
      <c r="F2200" s="50" t="inlineStr">
        <is>
          <t>Super Carlin Brothers</t>
        </is>
      </c>
      <c r="G2200" t="inlineStr">
        <is>
          <t>Figment: The Most Popular Disney Character You've Never Heard Of</t>
        </is>
      </c>
      <c r="H2200" s="44" t="n">
        <v>0.006678240740740741</v>
      </c>
      <c r="I2200" s="45" t="n">
        <v>687754</v>
      </c>
      <c r="J2200" s="45" t="n">
        <v>22127</v>
      </c>
      <c r="K2200" s="45" t="n">
        <v>5136</v>
      </c>
      <c r="L2200" s="46" t="n"/>
      <c r="M2200" s="47" t="n"/>
      <c r="N2200" s="47" t="inlineStr">
        <is>
          <t>UCKZo4N0lVPccBkSiuyVh4yg</t>
        </is>
      </c>
      <c r="O2200" s="48" t="n">
        <v>43186.78333333333</v>
      </c>
      <c r="P2200" s="49" t="n">
        <v>43186</v>
      </c>
      <c r="Q2200" s="47" t="n">
        <v>1068</v>
      </c>
      <c r="R2200" s="47" t="inlineStr">
        <is>
          <t>No Video ID yet</t>
        </is>
      </c>
      <c r="S2200" s="49" t="n"/>
      <c r="T2200" s="49" t="n"/>
      <c r="U2200" s="47" t="inlineStr">
        <is>
          <t>Today J dives into the land of Disney World's EPCOT to uncover the origins of one of their most prevalent and yet somehow also unknown characters: Figment the Imagination dragon.</t>
        </is>
      </c>
      <c r="V2200" s="47">
        <f>IF(AND(P2200&gt;=Calendar!$K$2,P2200&lt;EDATE(Calendar!$K$2,1),OR(Calendar!$K$4="*",N2200=Calendar!$K$4)),P2200*100+COUNTIFS($P$6:$P$3267,P2200,$Q$6:$Q$3267,"&lt;="&amp;Q2200,$N$6:$N$3267,Calendar!$K$4),"")</f>
        <v/>
      </c>
      <c r="W2200" s="47">
        <f>IF(AND(B2200=Queue!$C$4,OR(Queue!$K$4="*",N2200=Queue!$K$4)),Q2200,"")</f>
        <v/>
      </c>
    </row>
    <row r="2201">
      <c r="A2201" s="38">
        <f>IF(M2201="","",HYPERLINK("https://www.youtube.com/watch?v="&amp;M2201,"▶"))</f>
        <v/>
      </c>
      <c r="B2201" s="39">
        <f>IF(C2201&lt;&gt;"",C2201,IF(P2201&lt;=IFERROR(INDEX(tblChannels[Watched Through],MATCH(N2201,tblChannels[Channel ID],0)),0),"Watched","Unwatched"))</f>
        <v/>
      </c>
      <c r="C2201" s="40" t="n"/>
      <c r="D2201" s="41" t="n"/>
      <c r="E2201" s="42" t="n">
        <v>43186.57847222222</v>
      </c>
      <c r="F2201" s="53" t="inlineStr">
        <is>
          <t>Jonathan Carlin</t>
        </is>
      </c>
      <c r="G2201" t="inlineStr">
        <is>
          <t>Luke Is Three Months Old!</t>
        </is>
      </c>
      <c r="H2201" s="44" t="n">
        <v>0.007025462962962963</v>
      </c>
      <c r="I2201" s="45" t="n">
        <v>57194</v>
      </c>
      <c r="J2201" s="45" t="n">
        <v>2254</v>
      </c>
      <c r="K2201" s="45" t="n">
        <v>263</v>
      </c>
      <c r="L2201" s="46" t="n"/>
      <c r="M2201" s="47" t="n"/>
      <c r="N2201" s="47" t="inlineStr">
        <is>
          <t>UCYPKFe86e6nm4TVUYKLsFUQ</t>
        </is>
      </c>
      <c r="O2201" s="48" t="n">
        <v>43186.74513888889</v>
      </c>
      <c r="P2201" s="49" t="n">
        <v>43186</v>
      </c>
      <c r="Q2201" s="47" t="n">
        <v>1067</v>
      </c>
      <c r="R2201" s="47" t="inlineStr">
        <is>
          <t>No Video ID yet</t>
        </is>
      </c>
      <c r="S2201" s="49" t="n"/>
      <c r="T2201" s="49" t="n"/>
      <c r="U2201" s="47" t="inlineStr">
        <is>
          <t>This week Luke turns 3 months old and learns a new skill and J and Beth celebrate their 3 year house-a-versary! Also some lights go out..</t>
        </is>
      </c>
      <c r="V2201" s="47">
        <f>IF(AND(P2201&gt;=Calendar!$K$2,P2201&lt;EDATE(Calendar!$K$2,1),OR(Calendar!$K$4="*",N2201=Calendar!$K$4)),P2201*100+COUNTIFS($P$6:$P$3267,P2201,$Q$6:$Q$3267,"&lt;="&amp;Q2201,$N$6:$N$3267,Calendar!$K$4),"")</f>
        <v/>
      </c>
      <c r="W2201" s="47">
        <f>IF(AND(B2201=Queue!$C$4,OR(Queue!$K$4="*",N2201=Queue!$K$4)),Q2201,"")</f>
        <v/>
      </c>
    </row>
    <row r="2202">
      <c r="A2202" s="38">
        <f>IF(M2202="","",HYPERLINK("https://www.youtube.com/watch?v="&amp;M2202,"▶"))</f>
        <v/>
      </c>
      <c r="B2202" s="39">
        <f>IF(C2202&lt;&gt;"",C2202,IF(P2202&lt;=IFERROR(INDEX(tblChannels[Watched Through],MATCH(N2202,tblChannels[Channel ID],0)),0),"Watched","Unwatched"))</f>
        <v/>
      </c>
      <c r="C2202" s="40" t="n"/>
      <c r="D2202" s="41" t="n"/>
      <c r="E2202" s="42" t="n">
        <v>43186.46597222222</v>
      </c>
      <c r="F2202" s="52" t="inlineStr">
        <is>
          <t>Super Carlin Gaming</t>
        </is>
      </c>
      <c r="G2202" t="inlineStr">
        <is>
          <t>Elephant in a Dress | Mario Kart Roulette #83</t>
        </is>
      </c>
      <c r="H2202" s="44" t="n">
        <v>0.01141203703703704</v>
      </c>
      <c r="I2202" s="45" t="n">
        <v>8306</v>
      </c>
      <c r="J2202" s="45" t="n">
        <v>356</v>
      </c>
      <c r="K2202" s="45" t="n">
        <v>177</v>
      </c>
      <c r="L2202" s="46" t="n"/>
      <c r="M2202" s="47" t="n"/>
      <c r="N2202" s="47" t="inlineStr">
        <is>
          <t>UCor_9jRnNNZVzTuQ92PKsaQ</t>
        </is>
      </c>
      <c r="O2202" s="48" t="n">
        <v>43186.63263888889</v>
      </c>
      <c r="P2202" s="49" t="n">
        <v>43186</v>
      </c>
      <c r="Q2202" s="47" t="n">
        <v>1066</v>
      </c>
      <c r="R2202" s="47" t="inlineStr">
        <is>
          <t>No Video ID yet</t>
        </is>
      </c>
      <c r="S2202" s="49" t="n"/>
      <c r="T2202" s="49" t="n"/>
      <c r="U2202" s="47" t="inlineStr">
        <is>
          <t>J and Ben continue to try to 3 star every cup with randomly chosen karts and characters while they answer your questions and give you advice!!</t>
        </is>
      </c>
      <c r="V2202" s="47">
        <f>IF(AND(P2202&gt;=Calendar!$K$2,P2202&lt;EDATE(Calendar!$K$2,1),OR(Calendar!$K$4="*",N2202=Calendar!$K$4)),P2202*100+COUNTIFS($P$6:$P$3267,P2202,$Q$6:$Q$3267,"&lt;="&amp;Q2202,$N$6:$N$3267,Calendar!$K$4),"")</f>
        <v/>
      </c>
      <c r="W2202" s="47">
        <f>IF(AND(B2202=Queue!$C$4,OR(Queue!$K$4="*",N2202=Queue!$K$4)),Q2202,"")</f>
        <v/>
      </c>
    </row>
    <row r="2203">
      <c r="A2203" s="38">
        <f>IF(M2203="","",HYPERLINK("https://www.youtube.com/watch?v="&amp;M2203,"▶"))</f>
        <v/>
      </c>
      <c r="B2203" s="39">
        <f>IF(C2203&lt;&gt;"",C2203,IF(P2203&lt;=IFERROR(INDEX(tblChannels[Watched Through],MATCH(N2203,tblChannels[Channel ID],0)),0),"Watched","Unwatched"))</f>
        <v/>
      </c>
      <c r="C2203" s="40" t="n"/>
      <c r="D2203" s="41" t="n"/>
      <c r="E2203" s="42" t="n">
        <v>43182.74375</v>
      </c>
      <c r="F2203" s="52" t="inlineStr">
        <is>
          <t>Super Carlin Gaming</t>
        </is>
      </c>
      <c r="G2203" t="inlineStr">
        <is>
          <t>Friday Mario Kart Live Stream - J vs. The World!</t>
        </is>
      </c>
      <c r="H2203" s="44" t="n">
        <v>0.06498842592592592</v>
      </c>
      <c r="I2203" s="45" t="n">
        <v>6024</v>
      </c>
      <c r="J2203" s="45" t="n">
        <v>200</v>
      </c>
      <c r="K2203" s="45" t="n">
        <v>22</v>
      </c>
      <c r="L2203" s="46" t="n"/>
      <c r="M2203" s="47" t="n"/>
      <c r="N2203" s="47" t="inlineStr">
        <is>
          <t>UCor_9jRnNNZVzTuQ92PKsaQ</t>
        </is>
      </c>
      <c r="O2203" s="48" t="n">
        <v>43182.91041666667</v>
      </c>
      <c r="P2203" s="49" t="n">
        <v>43182</v>
      </c>
      <c r="Q2203" s="47" t="n">
        <v>1065</v>
      </c>
      <c r="R2203" s="47" t="inlineStr">
        <is>
          <t>No Video ID yet</t>
        </is>
      </c>
      <c r="S2203" s="49" t="n"/>
      <c r="T2203" s="49" t="n"/>
      <c r="U2203" s="47" t="inlineStr">
        <is>
          <t>Join The Discord! J on twitter: DK STREAMS ON TWITCH:</t>
        </is>
      </c>
      <c r="V2203" s="47">
        <f>IF(AND(P2203&gt;=Calendar!$K$2,P2203&lt;EDATE(Calendar!$K$2,1),OR(Calendar!$K$4="*",N2203=Calendar!$K$4)),P2203*100+COUNTIFS($P$6:$P$3267,P2203,$Q$6:$Q$3267,"&lt;="&amp;Q2203,$N$6:$N$3267,Calendar!$K$4),"")</f>
        <v/>
      </c>
      <c r="W2203" s="47">
        <f>IF(AND(B2203=Queue!$C$4,OR(Queue!$K$4="*",N2203=Queue!$K$4)),Q2203,"")</f>
        <v/>
      </c>
    </row>
    <row r="2204">
      <c r="A2204" s="38">
        <f>IF(M2204="","",HYPERLINK("https://www.youtube.com/watch?v="&amp;M2204,"▶"))</f>
        <v/>
      </c>
      <c r="B2204" s="39">
        <f>IF(C2204&lt;&gt;"",C2204,IF(P2204&lt;=IFERROR(INDEX(tblChannels[Watched Through],MATCH(N2204,tblChannels[Channel ID],0)),0),"Watched","Unwatched"))</f>
        <v/>
      </c>
      <c r="C2204" s="40" t="n"/>
      <c r="D2204" s="41" t="n"/>
      <c r="E2204" s="42" t="n">
        <v>43181.62222222222</v>
      </c>
      <c r="F2204" s="50" t="inlineStr">
        <is>
          <t>Super Carlin Brothers</t>
        </is>
      </c>
      <c r="G2204" t="inlineStr">
        <is>
          <t>J vs Ben: ULTIMATE Frozen Trivia Quiz</t>
        </is>
      </c>
      <c r="H2204" s="44" t="n">
        <v>0.02082175925925926</v>
      </c>
      <c r="I2204" s="45" t="n">
        <v>546192</v>
      </c>
      <c r="J2204" s="45" t="n">
        <v>12207</v>
      </c>
      <c r="K2204" s="45" t="n">
        <v>2754</v>
      </c>
      <c r="L2204" s="46" t="n"/>
      <c r="M2204" s="47" t="n"/>
      <c r="N2204" s="47" t="inlineStr">
        <is>
          <t>UCKZo4N0lVPccBkSiuyVh4yg</t>
        </is>
      </c>
      <c r="O2204" s="48" t="n">
        <v>43181.78888888889</v>
      </c>
      <c r="P2204" s="49" t="n">
        <v>43181</v>
      </c>
      <c r="Q2204" s="47" t="n">
        <v>1064</v>
      </c>
      <c r="R2204" s="47" t="inlineStr">
        <is>
          <t>No Video ID yet</t>
        </is>
      </c>
      <c r="S2204" s="49" t="n"/>
      <c r="T2204" s="49" t="n"/>
      <c r="U2204" s="47" t="inlineStr">
        <is>
          <t>Today J and Ben take on the Ultimate Frozen Quiz to find out who knows the Anna, Elsa, Olaf and the Kingdom of Arendelle the best! Play along with us! ::</t>
        </is>
      </c>
      <c r="V2204" s="47">
        <f>IF(AND(P2204&gt;=Calendar!$K$2,P2204&lt;EDATE(Calendar!$K$2,1),OR(Calendar!$K$4="*",N2204=Calendar!$K$4)),P2204*100+COUNTIFS($P$6:$P$3267,P2204,$Q$6:$Q$3267,"&lt;="&amp;Q2204,$N$6:$N$3267,Calendar!$K$4),"")</f>
        <v/>
      </c>
      <c r="W2204" s="47">
        <f>IF(AND(B2204=Queue!$C$4,OR(Queue!$K$4="*",N2204=Queue!$K$4)),Q2204,"")</f>
        <v/>
      </c>
    </row>
    <row r="2205">
      <c r="A2205" s="38">
        <f>IF(M2205="","",HYPERLINK("https://www.youtube.com/watch?v="&amp;M2205,"▶"))</f>
        <v/>
      </c>
      <c r="B2205" s="39">
        <f>IF(C2205&lt;&gt;"",C2205,IF(P2205&lt;=IFERROR(INDEX(tblChannels[Watched Through],MATCH(N2205,tblChannels[Channel ID],0)),0),"Watched","Unwatched"))</f>
        <v/>
      </c>
      <c r="C2205" s="40" t="n"/>
      <c r="D2205" s="41" t="n"/>
      <c r="E2205" s="42" t="n">
        <v>43181.4375</v>
      </c>
      <c r="F2205" s="52" t="inlineStr">
        <is>
          <t>Super Carlin Gaming</t>
        </is>
      </c>
      <c r="G2205" t="inlineStr">
        <is>
          <t>Something Got Messed Up | Mario Kart Roulette #82</t>
        </is>
      </c>
      <c r="H2205" s="44" t="n">
        <v>0.01315972222222222</v>
      </c>
      <c r="I2205" s="45" t="n">
        <v>8622</v>
      </c>
      <c r="J2205" s="45" t="n">
        <v>376</v>
      </c>
      <c r="K2205" s="45" t="n">
        <v>163</v>
      </c>
      <c r="L2205" s="46" t="n"/>
      <c r="M2205" s="47" t="n"/>
      <c r="N2205" s="47" t="inlineStr">
        <is>
          <t>UCor_9jRnNNZVzTuQ92PKsaQ</t>
        </is>
      </c>
      <c r="O2205" s="48" t="n">
        <v>43181.60416666666</v>
      </c>
      <c r="P2205" s="49" t="n">
        <v>43181</v>
      </c>
      <c r="Q2205" s="47" t="n">
        <v>1063</v>
      </c>
      <c r="R2205" s="47" t="inlineStr">
        <is>
          <t>No Video ID yet</t>
        </is>
      </c>
      <c r="S2205" s="49" t="n"/>
      <c r="T2205" s="49" t="n"/>
      <c r="U2205" s="47" t="inlineStr">
        <is>
          <t>J and Ben continue to try to 3 star every cup with randomly chosen karts and characters while they answer your questions and give you advice!!</t>
        </is>
      </c>
      <c r="V2205" s="47">
        <f>IF(AND(P2205&gt;=Calendar!$K$2,P2205&lt;EDATE(Calendar!$K$2,1),OR(Calendar!$K$4="*",N2205=Calendar!$K$4)),P2205*100+COUNTIFS($P$6:$P$3267,P2205,$Q$6:$Q$3267,"&lt;="&amp;Q2205,$N$6:$N$3267,Calendar!$K$4),"")</f>
        <v/>
      </c>
      <c r="W2205" s="47">
        <f>IF(AND(B2205=Queue!$C$4,OR(Queue!$K$4="*",N2205=Queue!$K$4)),Q2205,"")</f>
        <v/>
      </c>
    </row>
    <row r="2206">
      <c r="A2206" s="38">
        <f>IF(M2206="","",HYPERLINK("https://www.youtube.com/watch?v="&amp;M2206,"▶"))</f>
        <v/>
      </c>
      <c r="B2206" s="39">
        <f>IF(C2206&lt;&gt;"",C2206,IF(P2206&lt;=IFERROR(INDEX(tblChannels[Watched Through],MATCH(N2206,tblChannels[Channel ID],0)),0),"Watched","Unwatched"))</f>
        <v/>
      </c>
      <c r="C2206" s="40" t="n"/>
      <c r="D2206" s="41" t="n"/>
      <c r="E2206" s="42" t="n">
        <v>43179.69930555556</v>
      </c>
      <c r="F2206" s="50" t="inlineStr">
        <is>
          <t>Super Carlin Brothers</t>
        </is>
      </c>
      <c r="G2206" t="inlineStr">
        <is>
          <t>Is "Harry Potter and the Cursed Child" Canon?</t>
        </is>
      </c>
      <c r="H2206" s="44" t="n">
        <v>0.009328703703703704</v>
      </c>
      <c r="I2206" s="45" t="n">
        <v>1081134</v>
      </c>
      <c r="J2206" s="45" t="n">
        <v>34190</v>
      </c>
      <c r="K2206" s="45" t="n">
        <v>7470</v>
      </c>
      <c r="L2206" s="46" t="n"/>
      <c r="M2206" s="47" t="n"/>
      <c r="N2206" s="47" t="inlineStr">
        <is>
          <t>UCKZo4N0lVPccBkSiuyVh4yg</t>
        </is>
      </c>
      <c r="O2206" s="48" t="n">
        <v>43179.86597222222</v>
      </c>
      <c r="P2206" s="49" t="n">
        <v>43179</v>
      </c>
      <c r="Q2206" s="47" t="n">
        <v>1062</v>
      </c>
      <c r="R2206" s="47" t="inlineStr">
        <is>
          <t>No Video ID yet</t>
        </is>
      </c>
      <c r="S2206" s="49" t="n"/>
      <c r="T2206" s="49" t="n"/>
      <c r="U2206" s="47" t="inlineStr">
        <is>
          <t>Today J dives into the wizarding world of Harry Potter to discuss what counts as Canon and if Harry Potter and the Cursed Child should count as official or just a fun theatrical story?</t>
        </is>
      </c>
      <c r="V2206" s="47">
        <f>IF(AND(P2206&gt;=Calendar!$K$2,P2206&lt;EDATE(Calendar!$K$2,1),OR(Calendar!$K$4="*",N2206=Calendar!$K$4)),P2206*100+COUNTIFS($P$6:$P$3267,P2206,$Q$6:$Q$3267,"&lt;="&amp;Q2206,$N$6:$N$3267,Calendar!$K$4),"")</f>
        <v/>
      </c>
      <c r="W2206" s="47">
        <f>IF(AND(B2206=Queue!$C$4,OR(Queue!$K$4="*",N2206=Queue!$K$4)),Q2206,"")</f>
        <v/>
      </c>
    </row>
    <row r="2207">
      <c r="A2207" s="38">
        <f>IF(M2207="","",HYPERLINK("https://www.youtube.com/watch?v="&amp;M2207,"▶"))</f>
        <v/>
      </c>
      <c r="B2207" s="39">
        <f>IF(C2207&lt;&gt;"",C2207,IF(P2207&lt;=IFERROR(INDEX(tblChannels[Watched Through],MATCH(N2207,tblChannels[Channel ID],0)),0),"Watched","Unwatched"))</f>
        <v/>
      </c>
      <c r="C2207" s="40" t="n"/>
      <c r="D2207" s="41" t="n"/>
      <c r="E2207" s="42" t="n">
        <v>43179.44722222222</v>
      </c>
      <c r="F2207" s="52" t="inlineStr">
        <is>
          <t>Super Carlin Gaming</t>
        </is>
      </c>
      <c r="G2207" t="inlineStr">
        <is>
          <t>Dealing With Anxiety | Mario Kart Roulette #81</t>
        </is>
      </c>
      <c r="H2207" s="44" t="n">
        <v>0.01168981481481481</v>
      </c>
      <c r="I2207" s="45" t="n">
        <v>8669</v>
      </c>
      <c r="J2207" s="45" t="n">
        <v>414</v>
      </c>
      <c r="K2207" s="45" t="n">
        <v>128</v>
      </c>
      <c r="L2207" s="46" t="n"/>
      <c r="M2207" s="47" t="n"/>
      <c r="N2207" s="47" t="inlineStr">
        <is>
          <t>UCor_9jRnNNZVzTuQ92PKsaQ</t>
        </is>
      </c>
      <c r="O2207" s="48" t="n">
        <v>43179.61388888889</v>
      </c>
      <c r="P2207" s="49" t="n">
        <v>43179</v>
      </c>
      <c r="Q2207" s="47" t="n">
        <v>1061</v>
      </c>
      <c r="R2207" s="47" t="inlineStr">
        <is>
          <t>No Video ID yet</t>
        </is>
      </c>
      <c r="S2207" s="49" t="n"/>
      <c r="T2207" s="49" t="n"/>
      <c r="U2207" s="47" t="inlineStr">
        <is>
          <t>J and Ben continue to try to 3 star every cup with randomly chosen karts and characters while they answer your questions and give you advice!!</t>
        </is>
      </c>
      <c r="V2207" s="47">
        <f>IF(AND(P2207&gt;=Calendar!$K$2,P2207&lt;EDATE(Calendar!$K$2,1),OR(Calendar!$K$4="*",N2207=Calendar!$K$4)),P2207*100+COUNTIFS($P$6:$P$3267,P2207,$Q$6:$Q$3267,"&lt;="&amp;Q2207,$N$6:$N$3267,Calendar!$K$4),"")</f>
        <v/>
      </c>
      <c r="W2207" s="47">
        <f>IF(AND(B2207=Queue!$C$4,OR(Queue!$K$4="*",N2207=Queue!$K$4)),Q2207,"")</f>
        <v/>
      </c>
    </row>
    <row r="2208">
      <c r="A2208" s="38">
        <f>IF(M2208="","",HYPERLINK("https://www.youtube.com/watch?v="&amp;M2208,"▶"))</f>
        <v/>
      </c>
      <c r="B2208" s="39">
        <f>IF(C2208&lt;&gt;"",C2208,IF(P2208&lt;=IFERROR(INDEX(tblChannels[Watched Through],MATCH(N2208,tblChannels[Channel ID],0)),0),"Watched","Unwatched"))</f>
        <v/>
      </c>
      <c r="C2208" s="40" t="n"/>
      <c r="D2208" s="41" t="n"/>
      <c r="E2208" s="42" t="n">
        <v>43178.69444444445</v>
      </c>
      <c r="F2208" s="53" t="inlineStr">
        <is>
          <t>Jonathan Carlin</t>
        </is>
      </c>
      <c r="G2208" t="inlineStr">
        <is>
          <t>The Difference A Year Makes</t>
        </is>
      </c>
      <c r="H2208" s="44" t="n">
        <v>0.005486111111111111</v>
      </c>
      <c r="I2208" s="45" t="n">
        <v>46714</v>
      </c>
      <c r="J2208" s="45" t="n">
        <v>2259</v>
      </c>
      <c r="K2208" s="45" t="n">
        <v>211</v>
      </c>
      <c r="L2208" s="46" t="n"/>
      <c r="M2208" s="47" t="n"/>
      <c r="N2208" s="47" t="inlineStr">
        <is>
          <t>UCYPKFe86e6nm4TVUYKLsFUQ</t>
        </is>
      </c>
      <c r="O2208" s="48" t="n">
        <v>43178.86111111111</v>
      </c>
      <c r="P2208" s="49" t="n">
        <v>43178</v>
      </c>
      <c r="Q2208" s="47" t="n">
        <v>1060</v>
      </c>
      <c r="R2208" s="47" t="inlineStr">
        <is>
          <t>No Video ID yet</t>
        </is>
      </c>
      <c r="S2208" s="49" t="n"/>
      <c r="T2208" s="49" t="n"/>
      <c r="U2208" s="47" t="inlineStr">
        <is>
          <t>Today J reflects on the difference a year makes and freaks out about being featured on Pottermore!!!! Follow @scbfan ::</t>
        </is>
      </c>
      <c r="V2208" s="47">
        <f>IF(AND(P2208&gt;=Calendar!$K$2,P2208&lt;EDATE(Calendar!$K$2,1),OR(Calendar!$K$4="*",N2208=Calendar!$K$4)),P2208*100+COUNTIFS($P$6:$P$3267,P2208,$Q$6:$Q$3267,"&lt;="&amp;Q2208,$N$6:$N$3267,Calendar!$K$4),"")</f>
        <v/>
      </c>
      <c r="W2208" s="47">
        <f>IF(AND(B2208=Queue!$C$4,OR(Queue!$K$4="*",N2208=Queue!$K$4)),Q2208,"")</f>
        <v/>
      </c>
    </row>
    <row r="2209">
      <c r="A2209" s="38">
        <f>IF(M2209="","",HYPERLINK("https://www.youtube.com/watch?v="&amp;M2209,"▶"))</f>
        <v/>
      </c>
      <c r="B2209" s="39">
        <f>IF(C2209&lt;&gt;"",C2209,IF(P2209&lt;=IFERROR(INDEX(tblChannels[Watched Through],MATCH(N2209,tblChannels[Channel ID],0)),0),"Watched","Unwatched"))</f>
        <v/>
      </c>
      <c r="C2209" s="40" t="n"/>
      <c r="D2209" s="41" t="n"/>
      <c r="E2209" s="42" t="n">
        <v>43174.70138888889</v>
      </c>
      <c r="F2209" s="50" t="inlineStr">
        <is>
          <t>Super Carlin Brothers</t>
        </is>
      </c>
      <c r="G2209" t="inlineStr">
        <is>
          <t>Harry Potter Is An Imposter?</t>
        </is>
      </c>
      <c r="H2209" s="44" t="n">
        <v>0.006631944444444445</v>
      </c>
      <c r="I2209" s="45" t="n">
        <v>863525</v>
      </c>
      <c r="J2209" s="45" t="n">
        <v>25739</v>
      </c>
      <c r="K2209" s="45" t="n">
        <v>2905</v>
      </c>
      <c r="L2209" s="46" t="n"/>
      <c r="M2209" s="47" t="n"/>
      <c r="N2209" s="47" t="inlineStr">
        <is>
          <t>UCKZo4N0lVPccBkSiuyVh4yg</t>
        </is>
      </c>
      <c r="O2209" s="48" t="n">
        <v>43174.86805555555</v>
      </c>
      <c r="P2209" s="49" t="n">
        <v>43174</v>
      </c>
      <c r="Q2209" s="47" t="n">
        <v>1059</v>
      </c>
      <c r="R2209" s="47" t="inlineStr">
        <is>
          <t>No Video ID yet</t>
        </is>
      </c>
      <c r="S2209" s="49" t="n"/>
      <c r="T2209" s="49" t="n"/>
      <c r="U2209" s="47" t="inlineStr">
        <is>
          <t>Thanks to Epic Games for sponsoring this video! #ad Download Fortnite Battle Royale :: Imposter Syndrom Quiz :: Today Ben dives into the wizarding world of to discuss a psycho analyze Harry himself and discuss his suffering of "Imposter Syndrome"</t>
        </is>
      </c>
      <c r="V2209" s="47">
        <f>IF(AND(P2209&gt;=Calendar!$K$2,P2209&lt;EDATE(Calendar!$K$2,1),OR(Calendar!$K$4="*",N2209=Calendar!$K$4)),P2209*100+COUNTIFS($P$6:$P$3267,P2209,$Q$6:$Q$3267,"&lt;="&amp;Q2209,$N$6:$N$3267,Calendar!$K$4),"")</f>
        <v/>
      </c>
      <c r="W2209" s="47">
        <f>IF(AND(B2209=Queue!$C$4,OR(Queue!$K$4="*",N2209=Queue!$K$4)),Q2209,"")</f>
        <v/>
      </c>
    </row>
    <row r="2210">
      <c r="A2210" s="38">
        <f>IF(M2210="","",HYPERLINK("https://www.youtube.com/watch?v="&amp;M2210,"▶"))</f>
        <v/>
      </c>
      <c r="B2210" s="39">
        <f>IF(C2210&lt;&gt;"",C2210,IF(P2210&lt;=IFERROR(INDEX(tblChannels[Watched Through],MATCH(N2210,tblChannels[Channel ID],0)),0),"Watched","Unwatched"))</f>
        <v/>
      </c>
      <c r="C2210" s="40" t="n"/>
      <c r="D2210" s="41" t="n"/>
      <c r="E2210" s="42" t="n">
        <v>43174.54722222222</v>
      </c>
      <c r="F2210" s="52" t="inlineStr">
        <is>
          <t>Super Carlin Gaming</t>
        </is>
      </c>
      <c r="G2210" t="inlineStr">
        <is>
          <t>The Double W | Mario Kart Roulette #80</t>
        </is>
      </c>
      <c r="H2210" s="44" t="n">
        <v>0.01260416666666667</v>
      </c>
      <c r="I2210" s="45" t="n">
        <v>9347</v>
      </c>
      <c r="J2210" s="45" t="n">
        <v>370</v>
      </c>
      <c r="K2210" s="45" t="n">
        <v>180</v>
      </c>
      <c r="L2210" s="46" t="n"/>
      <c r="M2210" s="47" t="n"/>
      <c r="N2210" s="47" t="inlineStr">
        <is>
          <t>UCor_9jRnNNZVzTuQ92PKsaQ</t>
        </is>
      </c>
      <c r="O2210" s="48" t="n">
        <v>43174.71388888889</v>
      </c>
      <c r="P2210" s="49" t="n">
        <v>43174</v>
      </c>
      <c r="Q2210" s="47" t="n">
        <v>1058</v>
      </c>
      <c r="R2210" s="47" t="inlineStr">
        <is>
          <t>No Video ID yet</t>
        </is>
      </c>
      <c r="S2210" s="49" t="n"/>
      <c r="T2210" s="49" t="n"/>
      <c r="U2210" s="47" t="inlineStr">
        <is>
          <t>J and Ben continue to try to 3 star every cup with randomly chosen karts and characters while they answer your questions and give you advice!!</t>
        </is>
      </c>
      <c r="V2210" s="47">
        <f>IF(AND(P2210&gt;=Calendar!$K$2,P2210&lt;EDATE(Calendar!$K$2,1),OR(Calendar!$K$4="*",N2210=Calendar!$K$4)),P2210*100+COUNTIFS($P$6:$P$3267,P2210,$Q$6:$Q$3267,"&lt;="&amp;Q2210,$N$6:$N$3267,Calendar!$K$4),"")</f>
        <v/>
      </c>
      <c r="W2210" s="47">
        <f>IF(AND(B2210=Queue!$C$4,OR(Queue!$K$4="*",N2210=Queue!$K$4)),Q2210,"")</f>
        <v/>
      </c>
    </row>
    <row r="2211">
      <c r="A2211" s="38">
        <f>IF(M2211="","",HYPERLINK("https://www.youtube.com/watch?v="&amp;M2211,"▶"))</f>
        <v/>
      </c>
      <c r="B2211" s="39">
        <f>IF(C2211&lt;&gt;"",C2211,IF(P2211&lt;=IFERROR(INDEX(tblChannels[Watched Through],MATCH(N2211,tblChannels[Channel ID],0)),0),"Watched","Unwatched"))</f>
        <v/>
      </c>
      <c r="C2211" s="40" t="n"/>
      <c r="D2211" s="41" t="n"/>
      <c r="E2211" s="42" t="n">
        <v>43172.87777777778</v>
      </c>
      <c r="F2211" s="50" t="inlineStr">
        <is>
          <t>Super Carlin Brothers</t>
        </is>
      </c>
      <c r="G2211" t="inlineStr">
        <is>
          <t>Bellatrix &amp; Credence Are Related?! | Fantastic Beasts Theory</t>
        </is>
      </c>
      <c r="H2211" s="44" t="n">
        <v>0.007476851851851852</v>
      </c>
      <c r="I2211" s="45" t="n">
        <v>763812</v>
      </c>
      <c r="J2211" s="45" t="n">
        <v>23191</v>
      </c>
      <c r="K2211" s="45" t="n">
        <v>2449</v>
      </c>
      <c r="L2211" s="46" t="n"/>
      <c r="M2211" s="47" t="n"/>
      <c r="N2211" s="47" t="inlineStr">
        <is>
          <t>UCKZo4N0lVPccBkSiuyVh4yg</t>
        </is>
      </c>
      <c r="O2211" s="48" t="n">
        <v>43173.04444444444</v>
      </c>
      <c r="P2211" s="49" t="n">
        <v>43172</v>
      </c>
      <c r="Q2211" s="47" t="n">
        <v>1057</v>
      </c>
      <c r="R2211" s="47" t="inlineStr">
        <is>
          <t>No Video ID yet</t>
        </is>
      </c>
      <c r="S2211" s="49" t="n"/>
      <c r="T2211" s="49" t="n"/>
      <c r="U2211" s="47" t="inlineStr">
        <is>
          <t>Full trailer here :: Today J dives into the Wizarding World of Harry Potter to review and over analyze the first teaser for Fantastic Beast: The Crimes of Grindelwald - There are a lot of things to unpack including a surprising family connection between Bellatrix Lestrange and Credence Barebone!</t>
        </is>
      </c>
      <c r="V2211" s="47">
        <f>IF(AND(P2211&gt;=Calendar!$K$2,P2211&lt;EDATE(Calendar!$K$2,1),OR(Calendar!$K$4="*",N2211=Calendar!$K$4)),P2211*100+COUNTIFS($P$6:$P$3267,P2211,$Q$6:$Q$3267,"&lt;="&amp;Q2211,$N$6:$N$3267,Calendar!$K$4),"")</f>
        <v/>
      </c>
      <c r="W2211" s="47">
        <f>IF(AND(B2211=Queue!$C$4,OR(Queue!$K$4="*",N2211=Queue!$K$4)),Q2211,"")</f>
        <v/>
      </c>
    </row>
    <row r="2212">
      <c r="A2212" s="38">
        <f>IF(M2212="","",HYPERLINK("https://www.youtube.com/watch?v="&amp;M2212,"▶"))</f>
        <v/>
      </c>
      <c r="B2212" s="39">
        <f>IF(C2212&lt;&gt;"",C2212,IF(P2212&lt;=IFERROR(INDEX(tblChannels[Watched Through],MATCH(N2212,tblChannels[Channel ID],0)),0),"Watched","Unwatched"))</f>
        <v/>
      </c>
      <c r="C2212" s="40" t="n"/>
      <c r="D2212" s="41" t="n"/>
      <c r="E2212" s="42" t="n">
        <v>43172.55694444444</v>
      </c>
      <c r="F2212" s="52" t="inlineStr">
        <is>
          <t>Super Carlin Gaming</t>
        </is>
      </c>
      <c r="G2212" t="inlineStr">
        <is>
          <t>Tough as Cushions | Mario Kart Roulette #79</t>
        </is>
      </c>
      <c r="H2212" s="44" t="n">
        <v>0.01042824074074074</v>
      </c>
      <c r="I2212" s="45" t="n">
        <v>9238</v>
      </c>
      <c r="J2212" s="45" t="n">
        <v>428</v>
      </c>
      <c r="K2212" s="45" t="n">
        <v>117</v>
      </c>
      <c r="L2212" s="46" t="n"/>
      <c r="M2212" s="47" t="n"/>
      <c r="N2212" s="47" t="inlineStr">
        <is>
          <t>UCor_9jRnNNZVzTuQ92PKsaQ</t>
        </is>
      </c>
      <c r="O2212" s="48" t="n">
        <v>43172.72361111111</v>
      </c>
      <c r="P2212" s="49" t="n">
        <v>43172</v>
      </c>
      <c r="Q2212" s="47" t="n">
        <v>1056</v>
      </c>
      <c r="R2212" s="47" t="inlineStr">
        <is>
          <t>No Video ID yet</t>
        </is>
      </c>
      <c r="S2212" s="49" t="n"/>
      <c r="T2212" s="49" t="n"/>
      <c r="U2212" s="47" t="inlineStr">
        <is>
          <t>J and Ben continue to try to 3 star every cup with randomly chosen karts and characters while they answer your questions and give you advice!!</t>
        </is>
      </c>
      <c r="V2212" s="47">
        <f>IF(AND(P2212&gt;=Calendar!$K$2,P2212&lt;EDATE(Calendar!$K$2,1),OR(Calendar!$K$4="*",N2212=Calendar!$K$4)),P2212*100+COUNTIFS($P$6:$P$3267,P2212,$Q$6:$Q$3267,"&lt;="&amp;Q2212,$N$6:$N$3267,Calendar!$K$4),"")</f>
        <v/>
      </c>
      <c r="W2212" s="47">
        <f>IF(AND(B2212=Queue!$C$4,OR(Queue!$K$4="*",N2212=Queue!$K$4)),Q2212,"")</f>
        <v/>
      </c>
    </row>
    <row r="2213">
      <c r="A2213" s="38">
        <f>IF(M2213="","",HYPERLINK("https://www.youtube.com/watch?v="&amp;M2213,"▶"))</f>
        <v/>
      </c>
      <c r="B2213" s="39">
        <f>IF(C2213&lt;&gt;"",C2213,IF(P2213&lt;=IFERROR(INDEX(tblChannels[Watched Through],MATCH(N2213,tblChannels[Channel ID],0)),0),"Watched","Unwatched"))</f>
        <v/>
      </c>
      <c r="C2213" s="40" t="n"/>
      <c r="D2213" s="41" t="n"/>
      <c r="E2213" s="42" t="n">
        <v>43171.52708333333</v>
      </c>
      <c r="F2213" s="53" t="inlineStr">
        <is>
          <t>Jonathan Carlin</t>
        </is>
      </c>
      <c r="G2213" t="inlineStr">
        <is>
          <t>WORST HARRY POTTER TRIVIA NIGHT EVER</t>
        </is>
      </c>
      <c r="H2213" s="44" t="n">
        <v>0.004652777777777777</v>
      </c>
      <c r="I2213" s="45" t="n">
        <v>57389</v>
      </c>
      <c r="J2213" s="45" t="n">
        <v>2057</v>
      </c>
      <c r="K2213" s="45" t="n">
        <v>145</v>
      </c>
      <c r="L2213" s="46" t="n"/>
      <c r="M2213" s="47" t="n"/>
      <c r="N2213" s="47" t="inlineStr">
        <is>
          <t>UCYPKFe86e6nm4TVUYKLsFUQ</t>
        </is>
      </c>
      <c r="O2213" s="48" t="n">
        <v>43171.69375</v>
      </c>
      <c r="P2213" s="49" t="n">
        <v>43171</v>
      </c>
      <c r="Q2213" s="47" t="n">
        <v>1055</v>
      </c>
      <c r="R2213" s="47" t="inlineStr">
        <is>
          <t>No Video ID yet</t>
        </is>
      </c>
      <c r="S2213" s="49" t="n"/>
      <c r="T2213" s="49" t="n"/>
      <c r="U2213" s="47" t="inlineStr">
        <is>
          <t>You guys know we love us some good Harry Potter trivia.. so you can imagine how bummed we were when we encountered the worst version of it imaginable... I really wanted that $20 gift card too ;-)</t>
        </is>
      </c>
      <c r="V2213" s="47">
        <f>IF(AND(P2213&gt;=Calendar!$K$2,P2213&lt;EDATE(Calendar!$K$2,1),OR(Calendar!$K$4="*",N2213=Calendar!$K$4)),P2213*100+COUNTIFS($P$6:$P$3267,P2213,$Q$6:$Q$3267,"&lt;="&amp;Q2213,$N$6:$N$3267,Calendar!$K$4),"")</f>
        <v/>
      </c>
      <c r="W2213" s="47">
        <f>IF(AND(B2213=Queue!$C$4,OR(Queue!$K$4="*",N2213=Queue!$K$4)),Q2213,"")</f>
        <v/>
      </c>
    </row>
    <row r="2214">
      <c r="A2214" s="38">
        <f>IF(M2214="","",HYPERLINK("https://www.youtube.com/watch?v="&amp;M2214,"▶"))</f>
        <v/>
      </c>
      <c r="B2214" s="39">
        <f>IF(C2214&lt;&gt;"",C2214,IF(P2214&lt;=IFERROR(INDEX(tblChannels[Watched Through],MATCH(N2214,tblChannels[Channel ID],0)),0),"Watched","Unwatched"))</f>
        <v/>
      </c>
      <c r="C2214" s="40" t="n"/>
      <c r="D2214" s="41" t="n"/>
      <c r="E2214" s="42" t="n">
        <v>43168.74652777778</v>
      </c>
      <c r="F2214" s="52" t="inlineStr">
        <is>
          <t>Super Carlin Gaming</t>
        </is>
      </c>
      <c r="G2214" t="inlineStr">
        <is>
          <t>Friday Mario Kart Live Stream!</t>
        </is>
      </c>
      <c r="H2214" s="44" t="n">
        <v>0.06143518518518518</v>
      </c>
      <c r="I2214" s="45" t="n">
        <v>7237</v>
      </c>
      <c r="J2214" s="45" t="n">
        <v>262</v>
      </c>
      <c r="K2214" s="45" t="n">
        <v>48</v>
      </c>
      <c r="L2214" s="46" t="n"/>
      <c r="M2214" s="47" t="n"/>
      <c r="N2214" s="47" t="inlineStr">
        <is>
          <t>UCor_9jRnNNZVzTuQ92PKsaQ</t>
        </is>
      </c>
      <c r="O2214" s="48" t="n">
        <v>43168.95486111111</v>
      </c>
      <c r="P2214" s="49" t="n">
        <v>43168</v>
      </c>
      <c r="Q2214" s="47" t="n">
        <v>1054</v>
      </c>
      <c r="R2214" s="47" t="inlineStr">
        <is>
          <t>No Video ID yet</t>
        </is>
      </c>
      <c r="S2214" s="49" t="n"/>
      <c r="T2214" s="49" t="n"/>
      <c r="U2214" s="47" t="inlineStr">
        <is>
          <t>Surprise!</t>
        </is>
      </c>
      <c r="V2214" s="47">
        <f>IF(AND(P2214&gt;=Calendar!$K$2,P2214&lt;EDATE(Calendar!$K$2,1),OR(Calendar!$K$4="*",N2214=Calendar!$K$4)),P2214*100+COUNTIFS($P$6:$P$3267,P2214,$Q$6:$Q$3267,"&lt;="&amp;Q2214,$N$6:$N$3267,Calendar!$K$4),"")</f>
        <v/>
      </c>
      <c r="W2214" s="47">
        <f>IF(AND(B2214=Queue!$C$4,OR(Queue!$K$4="*",N2214=Queue!$K$4)),Q2214,"")</f>
        <v/>
      </c>
    </row>
    <row r="2215">
      <c r="A2215" s="38">
        <f>IF(M2215="","",HYPERLINK("https://www.youtube.com/watch?v="&amp;M2215,"▶"))</f>
        <v/>
      </c>
      <c r="B2215" s="39">
        <f>IF(C2215&lt;&gt;"",C2215,IF(P2215&lt;=IFERROR(INDEX(tblChannels[Watched Through],MATCH(N2215,tblChannels[Channel ID],0)),0),"Watched","Unwatched"))</f>
        <v/>
      </c>
      <c r="C2215" s="40" t="n"/>
      <c r="D2215" s="41" t="n"/>
      <c r="E2215" s="42" t="n">
        <v>43167.78819444445</v>
      </c>
      <c r="F2215" s="50" t="inlineStr">
        <is>
          <t>Super Carlin Brothers</t>
        </is>
      </c>
      <c r="G2215" t="inlineStr">
        <is>
          <t>Why Are They Called Death Eaters | Harry Potter Theory</t>
        </is>
      </c>
      <c r="H2215" s="44" t="n">
        <v>0.007905092592592592</v>
      </c>
      <c r="I2215" s="45" t="n">
        <v>1329575</v>
      </c>
      <c r="J2215" s="45" t="n">
        <v>34844</v>
      </c>
      <c r="K2215" s="45" t="n">
        <v>3576</v>
      </c>
      <c r="L2215" s="46" t="n"/>
      <c r="M2215" s="47" t="n"/>
      <c r="N2215" s="47" t="inlineStr">
        <is>
          <t>UCKZo4N0lVPccBkSiuyVh4yg</t>
        </is>
      </c>
      <c r="O2215" s="48" t="n">
        <v>43167.99652777778</v>
      </c>
      <c r="P2215" s="49" t="n">
        <v>43167</v>
      </c>
      <c r="Q2215" s="47" t="n">
        <v>1053</v>
      </c>
      <c r="R2215" s="47" t="inlineStr">
        <is>
          <t>No Video ID yet</t>
        </is>
      </c>
      <c r="S2215" s="49" t="n"/>
      <c r="T2215" s="49" t="n"/>
      <c r="U2215" s="47" t="inlineStr">
        <is>
          <t>Today Ben dives into the wizarding world of Harry Potter to answer one of everyone’s oldest questions: Why are they called Death Eaters? And Why were they ever called The Knights of Walpugis?</t>
        </is>
      </c>
      <c r="V2215" s="47">
        <f>IF(AND(P2215&gt;=Calendar!$K$2,P2215&lt;EDATE(Calendar!$K$2,1),OR(Calendar!$K$4="*",N2215=Calendar!$K$4)),P2215*100+COUNTIFS($P$6:$P$3267,P2215,$Q$6:$Q$3267,"&lt;="&amp;Q2215,$N$6:$N$3267,Calendar!$K$4),"")</f>
        <v/>
      </c>
      <c r="W2215" s="47">
        <f>IF(AND(B2215=Queue!$C$4,OR(Queue!$K$4="*",N2215=Queue!$K$4)),Q2215,"")</f>
        <v/>
      </c>
    </row>
    <row r="2216">
      <c r="A2216" s="38">
        <f>IF(M2216="","",HYPERLINK("https://www.youtube.com/watch?v="&amp;M2216,"▶"))</f>
        <v/>
      </c>
      <c r="B2216" s="39">
        <f>IF(C2216&lt;&gt;"",C2216,IF(P2216&lt;=IFERROR(INDEX(tblChannels[Watched Through],MATCH(N2216,tblChannels[Channel ID],0)),0),"Watched","Unwatched"))</f>
        <v/>
      </c>
      <c r="C2216" s="40" t="n"/>
      <c r="D2216" s="41" t="n"/>
      <c r="E2216" s="42" t="n">
        <v>43167.5</v>
      </c>
      <c r="F2216" s="52" t="inlineStr">
        <is>
          <t>Super Carlin Gaming</t>
        </is>
      </c>
      <c r="G2216" t="inlineStr">
        <is>
          <t>Aggressive Cracker Language | Mario Kart Roulette #78</t>
        </is>
      </c>
      <c r="H2216" s="44" t="n">
        <v>0.01099537037037037</v>
      </c>
      <c r="I2216" s="45" t="n">
        <v>14840</v>
      </c>
      <c r="J2216" s="45" t="n">
        <v>561</v>
      </c>
      <c r="K2216" s="45" t="n">
        <v>185</v>
      </c>
      <c r="L2216" s="46" t="n"/>
      <c r="M2216" s="47" t="n"/>
      <c r="N2216" s="47" t="inlineStr">
        <is>
          <t>UCor_9jRnNNZVzTuQ92PKsaQ</t>
        </is>
      </c>
      <c r="O2216" s="48" t="n">
        <v>43167.70833333334</v>
      </c>
      <c r="P2216" s="49" t="n">
        <v>43167</v>
      </c>
      <c r="Q2216" s="47" t="n">
        <v>1052</v>
      </c>
      <c r="R2216" s="47" t="inlineStr">
        <is>
          <t>No Video ID yet</t>
        </is>
      </c>
      <c r="S2216" s="49" t="n"/>
      <c r="T2216" s="49" t="n"/>
      <c r="U2216" s="47" t="inlineStr">
        <is>
          <t>J and Ben continue to try to 3 star every cup with randomly chosen karts and characters while they answer your questions and give you advice!!</t>
        </is>
      </c>
      <c r="V2216" s="47">
        <f>IF(AND(P2216&gt;=Calendar!$K$2,P2216&lt;EDATE(Calendar!$K$2,1),OR(Calendar!$K$4="*",N2216=Calendar!$K$4)),P2216*100+COUNTIFS($P$6:$P$3267,P2216,$Q$6:$Q$3267,"&lt;="&amp;Q2216,$N$6:$N$3267,Calendar!$K$4),"")</f>
        <v/>
      </c>
      <c r="W2216" s="47">
        <f>IF(AND(B2216=Queue!$C$4,OR(Queue!$K$4="*",N2216=Queue!$K$4)),Q2216,"")</f>
        <v/>
      </c>
    </row>
    <row r="2217">
      <c r="A2217" s="38">
        <f>IF(M2217="","",HYPERLINK("https://www.youtube.com/watch?v="&amp;M2217,"▶"))</f>
        <v/>
      </c>
      <c r="B2217" s="39">
        <f>IF(C2217&lt;&gt;"",C2217,IF(P2217&lt;=IFERROR(INDEX(tblChannels[Watched Through],MATCH(N2217,tblChannels[Channel ID],0)),0),"Watched","Unwatched"))</f>
        <v/>
      </c>
      <c r="C2217" s="40" t="n"/>
      <c r="D2217" s="41" t="n"/>
      <c r="E2217" s="42" t="n">
        <v>43165.825</v>
      </c>
      <c r="F2217" s="50" t="inlineStr">
        <is>
          <t>Super Carlin Brothers</t>
        </is>
      </c>
      <c r="G2217" t="inlineStr">
        <is>
          <t>Hagrid's Patronus | Harry Potter Theory</t>
        </is>
      </c>
      <c r="H2217" s="44" t="n">
        <v>0.007060185185185185</v>
      </c>
      <c r="I2217" s="45" t="n">
        <v>1042916</v>
      </c>
      <c r="J2217" s="45" t="n">
        <v>29440</v>
      </c>
      <c r="K2217" s="45" t="n">
        <v>5571</v>
      </c>
      <c r="L2217" s="46" t="n"/>
      <c r="M2217" s="47" t="n"/>
      <c r="N2217" s="47" t="inlineStr">
        <is>
          <t>UCKZo4N0lVPccBkSiuyVh4yg</t>
        </is>
      </c>
      <c r="O2217" s="48" t="n">
        <v>43166.03333333333</v>
      </c>
      <c r="P2217" s="49" t="n">
        <v>43165</v>
      </c>
      <c r="Q2217" s="47" t="n">
        <v>1051</v>
      </c>
      <c r="R2217" s="47" t="inlineStr">
        <is>
          <t>No Video ID yet</t>
        </is>
      </c>
      <c r="S2217" s="49" t="n"/>
      <c r="T2217" s="49" t="n"/>
      <c r="U2217" s="47" t="inlineStr">
        <is>
          <t>Today J dives into the Wizarding World of Harry Potter to discuss what Hagrid’s Patronus would be. Special thanks to these Patrons who support Super Carlin Brothers on Patreon! Joy Spears, Dianna Holley, Jimmy McGowan, Jennifer, Sandra, Andrew, Hillary Reist, Natarandall, Faihle Grayson, Vinnie Nicotra, Brychan John, Chris Morones, James Lord, Miranda Vasquez, Natalie Masucci, Mats Muruli, Qui Le, Alex Soltis, Big Meme Boi, I Is Wolfee, Sarah E McCartney, Lasse Buan, Charles C. Seymour, Kristhell Lopez, Amy Beerbower, Isabella</t>
        </is>
      </c>
      <c r="V2217" s="47">
        <f>IF(AND(P2217&gt;=Calendar!$K$2,P2217&lt;EDATE(Calendar!$K$2,1),OR(Calendar!$K$4="*",N2217=Calendar!$K$4)),P2217*100+COUNTIFS($P$6:$P$3267,P2217,$Q$6:$Q$3267,"&lt;="&amp;Q2217,$N$6:$N$3267,Calendar!$K$4),"")</f>
        <v/>
      </c>
      <c r="W2217" s="47">
        <f>IF(AND(B2217=Queue!$C$4,OR(Queue!$K$4="*",N2217=Queue!$K$4)),Q2217,"")</f>
        <v/>
      </c>
    </row>
    <row r="2218">
      <c r="A2218" s="38">
        <f>IF(M2218="","",HYPERLINK("https://www.youtube.com/watch?v="&amp;M2218,"▶"))</f>
        <v/>
      </c>
      <c r="B2218" s="39">
        <f>IF(C2218&lt;&gt;"",C2218,IF(P2218&lt;=IFERROR(INDEX(tblChannels[Watched Through],MATCH(N2218,tblChannels[Channel ID],0)),0),"Watched","Unwatched"))</f>
        <v/>
      </c>
      <c r="C2218" s="40" t="n"/>
      <c r="D2218" s="41" t="n"/>
      <c r="E2218" s="42" t="n">
        <v>43165.49444444444</v>
      </c>
      <c r="F2218" s="52" t="inlineStr">
        <is>
          <t>Super Carlin Gaming</t>
        </is>
      </c>
      <c r="G2218" t="inlineStr">
        <is>
          <t>Definition of Flirting | Mario Kart Roulette #77</t>
        </is>
      </c>
      <c r="H2218" s="44" t="n">
        <v>0.01265046296296296</v>
      </c>
      <c r="I2218" s="45" t="n">
        <v>9447</v>
      </c>
      <c r="J2218" s="45" t="n">
        <v>400</v>
      </c>
      <c r="K2218" s="45" t="n">
        <v>136</v>
      </c>
      <c r="L2218" s="46" t="n"/>
      <c r="M2218" s="47" t="n"/>
      <c r="N2218" s="47" t="inlineStr">
        <is>
          <t>UCor_9jRnNNZVzTuQ92PKsaQ</t>
        </is>
      </c>
      <c r="O2218" s="48" t="n">
        <v>43165.70277777778</v>
      </c>
      <c r="P2218" s="49" t="n">
        <v>43165</v>
      </c>
      <c r="Q2218" s="47" t="n">
        <v>1050</v>
      </c>
      <c r="R2218" s="47" t="inlineStr">
        <is>
          <t>No Video ID yet</t>
        </is>
      </c>
      <c r="S2218" s="49" t="n"/>
      <c r="T2218" s="49" t="n"/>
      <c r="U2218" s="47" t="inlineStr">
        <is>
          <t>J and Ben continue to try to 3 star every cup with randomly chosen karts and characters while they answer your questions and give you advice!!</t>
        </is>
      </c>
      <c r="V2218" s="47">
        <f>IF(AND(P2218&gt;=Calendar!$K$2,P2218&lt;EDATE(Calendar!$K$2,1),OR(Calendar!$K$4="*",N2218=Calendar!$K$4)),P2218*100+COUNTIFS($P$6:$P$3267,P2218,$Q$6:$Q$3267,"&lt;="&amp;Q2218,$N$6:$N$3267,Calendar!$K$4),"")</f>
        <v/>
      </c>
      <c r="W2218" s="47">
        <f>IF(AND(B2218=Queue!$C$4,OR(Queue!$K$4="*",N2218=Queue!$K$4)),Q2218,"")</f>
        <v/>
      </c>
    </row>
    <row r="2219">
      <c r="A2219" s="38">
        <f>IF(M2219="","",HYPERLINK("https://www.youtube.com/watch?v="&amp;M2219,"▶"))</f>
        <v/>
      </c>
      <c r="B2219" s="39">
        <f>IF(C2219&lt;&gt;"",C2219,IF(P2219&lt;=IFERROR(INDEX(tblChannels[Watched Through],MATCH(N2219,tblChannels[Channel ID],0)),0),"Watched","Unwatched"))</f>
        <v/>
      </c>
      <c r="C2219" s="40" t="n"/>
      <c r="D2219" s="41" t="n"/>
      <c r="E2219" s="42" t="n">
        <v>43163.86180555556</v>
      </c>
      <c r="F2219" s="52" t="inlineStr">
        <is>
          <t>Super Carlin Gaming</t>
        </is>
      </c>
      <c r="G2219" t="inlineStr">
        <is>
          <t>Luke and J Play Pokemon Leaf Green | Mono Type FIRE Run #5</t>
        </is>
      </c>
      <c r="H2219" s="44" t="n">
        <v>0.06515046296296297</v>
      </c>
      <c r="I2219" s="45" t="n">
        <v>11529</v>
      </c>
      <c r="J2219" s="45" t="n">
        <v>323</v>
      </c>
      <c r="K2219" s="45" t="n">
        <v>31</v>
      </c>
      <c r="L2219" s="46" t="n"/>
      <c r="M2219" s="47" t="n"/>
      <c r="N2219" s="47" t="inlineStr">
        <is>
          <t>UCor_9jRnNNZVzTuQ92PKsaQ</t>
        </is>
      </c>
      <c r="O2219" s="48" t="n">
        <v>43164.07013888889</v>
      </c>
      <c r="P2219" s="49" t="n">
        <v>43163</v>
      </c>
      <c r="Q2219" s="47" t="n">
        <v>1049</v>
      </c>
      <c r="R2219" s="47" t="inlineStr">
        <is>
          <t>No Video ID yet</t>
        </is>
      </c>
      <c r="S2219" s="49" t="n"/>
      <c r="T2219" s="49" t="n"/>
      <c r="U2219" s="47" t="inlineStr">
        <is>
          <t>Surprise!</t>
        </is>
      </c>
      <c r="V2219" s="47">
        <f>IF(AND(P2219&gt;=Calendar!$K$2,P2219&lt;EDATE(Calendar!$K$2,1),OR(Calendar!$K$4="*",N2219=Calendar!$K$4)),P2219*100+COUNTIFS($P$6:$P$3267,P2219,$Q$6:$Q$3267,"&lt;="&amp;Q2219,$N$6:$N$3267,Calendar!$K$4),"")</f>
        <v/>
      </c>
      <c r="W2219" s="47">
        <f>IF(AND(B2219=Queue!$C$4,OR(Queue!$K$4="*",N2219=Queue!$K$4)),Q2219,"")</f>
        <v/>
      </c>
    </row>
    <row r="2220">
      <c r="A2220" s="38">
        <f>IF(M2220="","",HYPERLINK("https://www.youtube.com/watch?v="&amp;M2220,"▶"))</f>
        <v/>
      </c>
      <c r="B2220" s="39">
        <f>IF(C2220&lt;&gt;"",C2220,IF(P2220&lt;=IFERROR(INDEX(tblChannels[Watched Through],MATCH(N2220,tblChannels[Channel ID],0)),0),"Watched","Unwatched"))</f>
        <v/>
      </c>
      <c r="C2220" s="40" t="n"/>
      <c r="D2220" s="41" t="n"/>
      <c r="E2220" s="42" t="n">
        <v>43160.74236111111</v>
      </c>
      <c r="F2220" s="50" t="inlineStr">
        <is>
          <t>Super Carlin Brothers</t>
        </is>
      </c>
      <c r="G2220" t="inlineStr">
        <is>
          <t>Fawkes' Original Owner | Harry Potter Theory</t>
        </is>
      </c>
      <c r="H2220" s="44" t="n">
        <v>0.006481481481481481</v>
      </c>
      <c r="I2220" s="45" t="n">
        <v>906286</v>
      </c>
      <c r="J2220" s="45" t="n">
        <v>26687</v>
      </c>
      <c r="K2220" s="45" t="n">
        <v>2855</v>
      </c>
      <c r="L2220" s="46" t="n"/>
      <c r="M2220" s="47" t="n"/>
      <c r="N2220" s="47" t="inlineStr">
        <is>
          <t>UCKZo4N0lVPccBkSiuyVh4yg</t>
        </is>
      </c>
      <c r="O2220" s="48" t="n">
        <v>43160.95069444444</v>
      </c>
      <c r="P2220" s="49" t="n">
        <v>43160</v>
      </c>
      <c r="Q2220" s="47" t="n">
        <v>1048</v>
      </c>
      <c r="R2220" s="47" t="inlineStr">
        <is>
          <t>No Video ID yet</t>
        </is>
      </c>
      <c r="S2220" s="49" t="n"/>
      <c r="T2220" s="49" t="n"/>
      <c r="U2220" s="47" t="inlineStr">
        <is>
          <t>Download BuzzVideo :: Beat The Q :: www.btqofficial.com Use our Promo Code "SCB" for an extra life to help you stay alive in the game! #ad Today Ben dives into the Wizarding World of Harry Potter to discuss a new theory about Fawkes the Phoenix and who his original owner may have been!</t>
        </is>
      </c>
      <c r="V2220" s="47">
        <f>IF(AND(P2220&gt;=Calendar!$K$2,P2220&lt;EDATE(Calendar!$K$2,1),OR(Calendar!$K$4="*",N2220=Calendar!$K$4)),P2220*100+COUNTIFS($P$6:$P$3267,P2220,$Q$6:$Q$3267,"&lt;="&amp;Q2220,$N$6:$N$3267,Calendar!$K$4),"")</f>
        <v/>
      </c>
      <c r="W2220" s="47">
        <f>IF(AND(B2220=Queue!$C$4,OR(Queue!$K$4="*",N2220=Queue!$K$4)),Q2220,"")</f>
        <v/>
      </c>
    </row>
    <row r="2221">
      <c r="A2221" s="38">
        <f>IF(M2221="","",HYPERLINK("https://www.youtube.com/watch?v="&amp;M2221,"▶"))</f>
        <v/>
      </c>
      <c r="B2221" s="39">
        <f>IF(C2221&lt;&gt;"",C2221,IF(P2221&lt;=IFERROR(INDEX(tblChannels[Watched Through],MATCH(N2221,tblChannels[Channel ID],0)),0),"Watched","Unwatched"))</f>
        <v/>
      </c>
      <c r="C2221" s="40" t="n"/>
      <c r="D2221" s="41" t="n"/>
      <c r="E2221" s="42" t="n">
        <v>43160.45347222222</v>
      </c>
      <c r="F2221" s="52" t="inlineStr">
        <is>
          <t>Super Carlin Gaming</t>
        </is>
      </c>
      <c r="G2221" t="inlineStr">
        <is>
          <t>Getting Closer to Mom | Mario Kart Roulette #76</t>
        </is>
      </c>
      <c r="H2221" s="44" t="n">
        <v>0.01141203703703704</v>
      </c>
      <c r="I2221" s="45" t="n">
        <v>8454</v>
      </c>
      <c r="J2221" s="45" t="n">
        <v>373</v>
      </c>
      <c r="K2221" s="45" t="n">
        <v>102</v>
      </c>
      <c r="L2221" s="46" t="n"/>
      <c r="M2221" s="47" t="n"/>
      <c r="N2221" s="47" t="inlineStr">
        <is>
          <t>UCor_9jRnNNZVzTuQ92PKsaQ</t>
        </is>
      </c>
      <c r="O2221" s="48" t="n">
        <v>43160.66180555556</v>
      </c>
      <c r="P2221" s="49" t="n">
        <v>43160</v>
      </c>
      <c r="Q2221" s="47" t="n">
        <v>1047</v>
      </c>
      <c r="R2221" s="47" t="inlineStr">
        <is>
          <t>No Video ID yet</t>
        </is>
      </c>
      <c r="S2221" s="49" t="n"/>
      <c r="T2221" s="49" t="n"/>
      <c r="U2221" s="47" t="inlineStr">
        <is>
          <t>J and Ben continue to try to 3 star every cup with randomly chosen karts and characters while they answer your questions and give you advice!!</t>
        </is>
      </c>
      <c r="V2221" s="47">
        <f>IF(AND(P2221&gt;=Calendar!$K$2,P2221&lt;EDATE(Calendar!$K$2,1),OR(Calendar!$K$4="*",N2221=Calendar!$K$4)),P2221*100+COUNTIFS($P$6:$P$3267,P2221,$Q$6:$Q$3267,"&lt;="&amp;Q2221,$N$6:$N$3267,Calendar!$K$4),"")</f>
        <v/>
      </c>
      <c r="W2221" s="47">
        <f>IF(AND(B2221=Queue!$C$4,OR(Queue!$K$4="*",N2221=Queue!$K$4)),Q2221,"")</f>
        <v/>
      </c>
    </row>
    <row r="2222">
      <c r="A2222" s="38">
        <f>IF(M2222="","",HYPERLINK("https://www.youtube.com/watch?v="&amp;M2222,"▶"))</f>
        <v/>
      </c>
      <c r="B2222" s="39">
        <f>IF(C2222&lt;&gt;"",C2222,IF(P2222&lt;=IFERROR(INDEX(tblChannels[Watched Through],MATCH(N2222,tblChannels[Channel ID],0)),0),"Watched","Unwatched"))</f>
        <v/>
      </c>
      <c r="C2222" s="40" t="n"/>
      <c r="D2222" s="41" t="n"/>
      <c r="E2222" s="42" t="n">
        <v>43159.89236111111</v>
      </c>
      <c r="F2222" s="53" t="inlineStr">
        <is>
          <t>Jonathan Carlin</t>
        </is>
      </c>
      <c r="G2222" t="inlineStr">
        <is>
          <t>Q&amp;A w/ Beth and J!</t>
        </is>
      </c>
      <c r="H2222" s="44" t="n">
        <v>0.05457175925925926</v>
      </c>
      <c r="I2222" s="45" t="n">
        <v>14330</v>
      </c>
      <c r="J2222" s="45" t="n">
        <v>630</v>
      </c>
      <c r="K2222" s="45" t="n">
        <v>0</v>
      </c>
      <c r="L2222" s="46" t="n"/>
      <c r="M2222" s="47" t="n"/>
      <c r="N2222" s="47" t="inlineStr">
        <is>
          <t>UCYPKFe86e6nm4TVUYKLsFUQ</t>
        </is>
      </c>
      <c r="O2222" s="48" t="n">
        <v>43160.10069444445</v>
      </c>
      <c r="P2222" s="49" t="n">
        <v>43159</v>
      </c>
      <c r="Q2222" s="47" t="n">
        <v>1046</v>
      </c>
      <c r="R2222" s="47" t="inlineStr">
        <is>
          <t>No Video ID yet</t>
        </is>
      </c>
      <c r="S2222" s="49" t="n"/>
      <c r="T2222" s="49" t="n"/>
      <c r="U2222" s="47" t="inlineStr">
        <is>
          <t>Beth and J (and Luke!) answer your questions about whatever! Come hang out with us!</t>
        </is>
      </c>
      <c r="V2222" s="47">
        <f>IF(AND(P2222&gt;=Calendar!$K$2,P2222&lt;EDATE(Calendar!$K$2,1),OR(Calendar!$K$4="*",N2222=Calendar!$K$4)),P2222*100+COUNTIFS($P$6:$P$3267,P2222,$Q$6:$Q$3267,"&lt;="&amp;Q2222,$N$6:$N$3267,Calendar!$K$4),"")</f>
        <v/>
      </c>
      <c r="W2222" s="47">
        <f>IF(AND(B2222=Queue!$C$4,OR(Queue!$K$4="*",N2222=Queue!$K$4)),Q2222,"")</f>
        <v/>
      </c>
    </row>
    <row r="2223">
      <c r="A2223" s="38">
        <f>IF(M2223="","",HYPERLINK("https://www.youtube.com/watch?v="&amp;M2223,"▶"))</f>
        <v/>
      </c>
      <c r="B2223" s="39">
        <f>IF(C2223&lt;&gt;"",C2223,IF(P2223&lt;=IFERROR(INDEX(tblChannels[Watched Through],MATCH(N2223,tblChannels[Channel ID],0)),0),"Watched","Unwatched"))</f>
        <v/>
      </c>
      <c r="C2223" s="40" t="n"/>
      <c r="D2223" s="41" t="n"/>
      <c r="E2223" s="42" t="n">
        <v>43159.74722222222</v>
      </c>
      <c r="F2223" s="52" t="inlineStr">
        <is>
          <t>Super Carlin Gaming</t>
        </is>
      </c>
      <c r="G2223" t="inlineStr">
        <is>
          <t>Mario Kart Roulette LIVE!</t>
        </is>
      </c>
      <c r="H2223" s="44" t="n">
        <v>0.0609375</v>
      </c>
      <c r="I2223" s="45" t="n">
        <v>13049</v>
      </c>
      <c r="J2223" s="45" t="n">
        <v>367</v>
      </c>
      <c r="K2223" s="45" t="n">
        <v>39</v>
      </c>
      <c r="L2223" s="46" t="n"/>
      <c r="M2223" s="47" t="n"/>
      <c r="N2223" s="47" t="inlineStr">
        <is>
          <t>UCor_9jRnNNZVzTuQ92PKsaQ</t>
        </is>
      </c>
      <c r="O2223" s="48" t="n">
        <v>43159.95555555556</v>
      </c>
      <c r="P2223" s="49" t="n">
        <v>43159</v>
      </c>
      <c r="Q2223" s="47" t="n">
        <v>1045</v>
      </c>
      <c r="R2223" s="47" t="inlineStr">
        <is>
          <t>No Video ID yet</t>
        </is>
      </c>
      <c r="S2223" s="49" t="n"/>
      <c r="T2223" s="49" t="n"/>
      <c r="U2223" s="47" t="inlineStr">
        <is>
          <t>Surprise!</t>
        </is>
      </c>
      <c r="V2223" s="47">
        <f>IF(AND(P2223&gt;=Calendar!$K$2,P2223&lt;EDATE(Calendar!$K$2,1),OR(Calendar!$K$4="*",N2223=Calendar!$K$4)),P2223*100+COUNTIFS($P$6:$P$3267,P2223,$Q$6:$Q$3267,"&lt;="&amp;Q2223,$N$6:$N$3267,Calendar!$K$4),"")</f>
        <v/>
      </c>
      <c r="W2223" s="47">
        <f>IF(AND(B2223=Queue!$C$4,OR(Queue!$K$4="*",N2223=Queue!$K$4)),Q2223,"")</f>
        <v/>
      </c>
    </row>
    <row r="2224">
      <c r="A2224" s="38">
        <f>IF(M2224="","",HYPERLINK("https://www.youtube.com/watch?v="&amp;M2224,"▶"))</f>
        <v/>
      </c>
      <c r="B2224" s="39">
        <f>IF(C2224&lt;&gt;"",C2224,IF(P2224&lt;=IFERROR(INDEX(tblChannels[Watched Through],MATCH(N2224,tblChannels[Channel ID],0)),0),"Watched","Unwatched"))</f>
        <v/>
      </c>
      <c r="C2224" s="40" t="n"/>
      <c r="D2224" s="41" t="n"/>
      <c r="E2224" s="42" t="n">
        <v>43158.75069444445</v>
      </c>
      <c r="F2224" s="50" t="inlineStr">
        <is>
          <t>Super Carlin Brothers</t>
        </is>
      </c>
      <c r="G2224" t="inlineStr">
        <is>
          <t>J vs Ben: ULTIMATE Incredibles Trivia Quiz</t>
        </is>
      </c>
      <c r="H2224" s="44" t="n">
        <v>0.01523148148148148</v>
      </c>
      <c r="I2224" s="45" t="n">
        <v>754042</v>
      </c>
      <c r="J2224" s="45" t="n">
        <v>16204</v>
      </c>
      <c r="K2224" s="45" t="n">
        <v>1883</v>
      </c>
      <c r="L2224" s="46" t="n"/>
      <c r="M2224" s="47" t="n"/>
      <c r="N2224" s="47" t="inlineStr">
        <is>
          <t>UCKZo4N0lVPccBkSiuyVh4yg</t>
        </is>
      </c>
      <c r="O2224" s="48" t="n">
        <v>43158.95902777778</v>
      </c>
      <c r="P2224" s="49" t="n">
        <v>43158</v>
      </c>
      <c r="Q2224" s="47" t="n">
        <v>1044</v>
      </c>
      <c r="R2224" s="47" t="inlineStr">
        <is>
          <t>No Video ID yet</t>
        </is>
      </c>
      <c r="S2224" s="49" t="n"/>
      <c r="T2224" s="49" t="n"/>
      <c r="U2224" s="47" t="inlineStr">
        <is>
          <t>Download BuzzVideo :: Beat The Q :: www.btqofficial.com Use our Promo Code "SCB" for an extra life to help you stay alive in the game! #ad Today J and Ben take on the Ultimate Incredibles Quiz to find out who knows the boys favorite Pixar movie the best! Play along with us! ::</t>
        </is>
      </c>
      <c r="V2224" s="47">
        <f>IF(AND(P2224&gt;=Calendar!$K$2,P2224&lt;EDATE(Calendar!$K$2,1),OR(Calendar!$K$4="*",N2224=Calendar!$K$4)),P2224*100+COUNTIFS($P$6:$P$3267,P2224,$Q$6:$Q$3267,"&lt;="&amp;Q2224,$N$6:$N$3267,Calendar!$K$4),"")</f>
        <v/>
      </c>
      <c r="W2224" s="47">
        <f>IF(AND(B2224=Queue!$C$4,OR(Queue!$K$4="*",N2224=Queue!$K$4)),Q2224,"")</f>
        <v/>
      </c>
    </row>
    <row r="2225">
      <c r="A2225" s="38">
        <f>IF(M2225="","",HYPERLINK("https://www.youtube.com/watch?v="&amp;M2225,"▶"))</f>
        <v/>
      </c>
      <c r="B2225" s="39">
        <f>IF(C2225&lt;&gt;"",C2225,IF(P2225&lt;=IFERROR(INDEX(tblChannels[Watched Through],MATCH(N2225,tblChannels[Channel ID],0)),0),"Watched","Unwatched"))</f>
        <v/>
      </c>
      <c r="C2225" s="40" t="n"/>
      <c r="D2225" s="41" t="n"/>
      <c r="E2225" s="42" t="n">
        <v>43158.56041666667</v>
      </c>
      <c r="F2225" s="52" t="inlineStr">
        <is>
          <t>Super Carlin Gaming</t>
        </is>
      </c>
      <c r="G2225" t="inlineStr">
        <is>
          <t>Getting Social Confidence | Mario Kart Roulette #75</t>
        </is>
      </c>
      <c r="H2225" s="44" t="n">
        <v>0.009733796296296296</v>
      </c>
      <c r="I2225" s="45" t="n">
        <v>8591</v>
      </c>
      <c r="J2225" s="45" t="n">
        <v>389</v>
      </c>
      <c r="K2225" s="45" t="n">
        <v>102</v>
      </c>
      <c r="L2225" s="46" t="n"/>
      <c r="M2225" s="47" t="n"/>
      <c r="N2225" s="47" t="inlineStr">
        <is>
          <t>UCor_9jRnNNZVzTuQ92PKsaQ</t>
        </is>
      </c>
      <c r="O2225" s="48" t="n">
        <v>43158.76875</v>
      </c>
      <c r="P2225" s="49" t="n">
        <v>43158</v>
      </c>
      <c r="Q2225" s="47" t="n">
        <v>1043</v>
      </c>
      <c r="R2225" s="47" t="inlineStr">
        <is>
          <t>No Video ID yet</t>
        </is>
      </c>
      <c r="S2225" s="49" t="n"/>
      <c r="T2225" s="49" t="n"/>
      <c r="U2225" s="47" t="inlineStr">
        <is>
          <t>J and Ben continue to try to 3 star every cup with randomly chosen karts and characters while they answer your questions and give you advice!!</t>
        </is>
      </c>
      <c r="V2225" s="47">
        <f>IF(AND(P2225&gt;=Calendar!$K$2,P2225&lt;EDATE(Calendar!$K$2,1),OR(Calendar!$K$4="*",N2225=Calendar!$K$4)),P2225*100+COUNTIFS($P$6:$P$3267,P2225,$Q$6:$Q$3267,"&lt;="&amp;Q2225,$N$6:$N$3267,Calendar!$K$4),"")</f>
        <v/>
      </c>
      <c r="W2225" s="47">
        <f>IF(AND(B2225=Queue!$C$4,OR(Queue!$K$4="*",N2225=Queue!$K$4)),Q2225,"")</f>
        <v/>
      </c>
    </row>
    <row r="2226">
      <c r="A2226" s="38">
        <f>IF(M2226="","",HYPERLINK("https://www.youtube.com/watch?v="&amp;M2226,"▶"))</f>
        <v/>
      </c>
      <c r="B2226" s="39">
        <f>IF(C2226&lt;&gt;"",C2226,IF(P2226&lt;=IFERROR(INDEX(tblChannels[Watched Through],MATCH(N2226,tblChannels[Channel ID],0)),0),"Watched","Unwatched"))</f>
        <v/>
      </c>
      <c r="C2226" s="40" t="n"/>
      <c r="D2226" s="41" t="n"/>
      <c r="E2226" s="42" t="n">
        <v>43157.5</v>
      </c>
      <c r="F2226" s="53" t="inlineStr">
        <is>
          <t>Jonathan Carlin</t>
        </is>
      </c>
      <c r="G2226" t="inlineStr">
        <is>
          <t>WE CRASH A DRONE</t>
        </is>
      </c>
      <c r="H2226" s="44" t="n">
        <v>0.004791666666666666</v>
      </c>
      <c r="I2226" s="45" t="n">
        <v>29921</v>
      </c>
      <c r="J2226" s="45" t="n">
        <v>1540</v>
      </c>
      <c r="K2226" s="45" t="n">
        <v>172</v>
      </c>
      <c r="L2226" s="46" t="n"/>
      <c r="M2226" s="47" t="n"/>
      <c r="N2226" s="47" t="inlineStr">
        <is>
          <t>UCYPKFe86e6nm4TVUYKLsFUQ</t>
        </is>
      </c>
      <c r="O2226" s="48" t="n">
        <v>43157.70833333334</v>
      </c>
      <c r="P2226" s="49" t="n">
        <v>43157</v>
      </c>
      <c r="Q2226" s="47" t="n">
        <v>1042</v>
      </c>
      <c r="R2226" s="47" t="inlineStr">
        <is>
          <t>No Video ID yet</t>
        </is>
      </c>
      <c r="S2226" s="49" t="n"/>
      <c r="T2226" s="49" t="n"/>
      <c r="U2226" s="47" t="inlineStr">
        <is>
          <t>This week we have some trouble flying our new DJI Mavic Air Drone, and Luke displays a possible super power.</t>
        </is>
      </c>
      <c r="V2226" s="47">
        <f>IF(AND(P2226&gt;=Calendar!$K$2,P2226&lt;EDATE(Calendar!$K$2,1),OR(Calendar!$K$4="*",N2226=Calendar!$K$4)),P2226*100+COUNTIFS($P$6:$P$3267,P2226,$Q$6:$Q$3267,"&lt;="&amp;Q2226,$N$6:$N$3267,Calendar!$K$4),"")</f>
        <v/>
      </c>
      <c r="W2226" s="47">
        <f>IF(AND(B2226=Queue!$C$4,OR(Queue!$K$4="*",N2226=Queue!$K$4)),Q2226,"")</f>
        <v/>
      </c>
    </row>
    <row r="2227">
      <c r="A2227" s="38">
        <f>IF(M2227="","",HYPERLINK("https://www.youtube.com/watch?v="&amp;M2227,"▶"))</f>
        <v/>
      </c>
      <c r="B2227" s="39">
        <f>IF(C2227&lt;&gt;"",C2227,IF(P2227&lt;=IFERROR(INDEX(tblChannels[Watched Through],MATCH(N2227,tblChannels[Channel ID],0)),0),"Watched","Unwatched"))</f>
        <v/>
      </c>
      <c r="C2227" s="40" t="n"/>
      <c r="D2227" s="41" t="n"/>
      <c r="E2227" s="42" t="n">
        <v>43153.79513888889</v>
      </c>
      <c r="F2227" s="50" t="inlineStr">
        <is>
          <t>Super Carlin Brothers</t>
        </is>
      </c>
      <c r="G2227" t="inlineStr">
        <is>
          <t>Incredibles 2 Villain Predictions</t>
        </is>
      </c>
      <c r="H2227" s="44" t="n">
        <v>0.006273148148148148</v>
      </c>
      <c r="I2227" s="45" t="n">
        <v>596173</v>
      </c>
      <c r="J2227" s="45" t="n">
        <v>19612</v>
      </c>
      <c r="K2227" s="45" t="n">
        <v>2514</v>
      </c>
      <c r="L2227" s="46" t="n"/>
      <c r="M2227" s="47" t="n"/>
      <c r="N2227" s="47" t="inlineStr">
        <is>
          <t>UCKZo4N0lVPccBkSiuyVh4yg</t>
        </is>
      </c>
      <c r="O2227" s="48" t="n">
        <v>43154.00347222222</v>
      </c>
      <c r="P2227" s="49" t="n">
        <v>43153</v>
      </c>
      <c r="Q2227" s="47" t="n">
        <v>1041</v>
      </c>
      <c r="R2227" s="47" t="inlineStr">
        <is>
          <t>No Video ID yet</t>
        </is>
      </c>
      <c r="S2227" s="49" t="n"/>
      <c r="T2227" s="49" t="n"/>
      <c r="U2227" s="47" t="inlineStr">
        <is>
          <t>Today Ben takes a closer look at Disney Pixar’s recently released trailer for The Incredibles 2 and wonders if Syndrome could be alive and what the plot might entail.</t>
        </is>
      </c>
      <c r="V2227" s="47">
        <f>IF(AND(P2227&gt;=Calendar!$K$2,P2227&lt;EDATE(Calendar!$K$2,1),OR(Calendar!$K$4="*",N2227=Calendar!$K$4)),P2227*100+COUNTIFS($P$6:$P$3267,P2227,$Q$6:$Q$3267,"&lt;="&amp;Q2227,$N$6:$N$3267,Calendar!$K$4),"")</f>
        <v/>
      </c>
      <c r="W2227" s="47">
        <f>IF(AND(B2227=Queue!$C$4,OR(Queue!$K$4="*",N2227=Queue!$K$4)),Q2227,"")</f>
        <v/>
      </c>
    </row>
    <row r="2228">
      <c r="A2228" s="38">
        <f>IF(M2228="","",HYPERLINK("https://www.youtube.com/watch?v="&amp;M2228,"▶"))</f>
        <v/>
      </c>
      <c r="B2228" s="39">
        <f>IF(C2228&lt;&gt;"",C2228,IF(P2228&lt;=IFERROR(INDEX(tblChannels[Watched Through],MATCH(N2228,tblChannels[Channel ID],0)),0),"Watched","Unwatched"))</f>
        <v/>
      </c>
      <c r="C2228" s="40" t="n"/>
      <c r="D2228" s="41" t="n"/>
      <c r="E2228" s="42" t="n">
        <v>43153.45694444444</v>
      </c>
      <c r="F2228" s="52" t="inlineStr">
        <is>
          <t>Super Carlin Gaming</t>
        </is>
      </c>
      <c r="G2228" t="inlineStr">
        <is>
          <t>When You're Underappreciated | Mario Kart Roulette #74</t>
        </is>
      </c>
      <c r="H2228" s="44" t="n">
        <v>0.01167824074074074</v>
      </c>
      <c r="I2228" s="45" t="n">
        <v>9254</v>
      </c>
      <c r="J2228" s="45" t="n">
        <v>434</v>
      </c>
      <c r="K2228" s="45" t="n">
        <v>177</v>
      </c>
      <c r="L2228" s="46" t="n"/>
      <c r="M2228" s="47" t="n"/>
      <c r="N2228" s="47" t="inlineStr">
        <is>
          <t>UCor_9jRnNNZVzTuQ92PKsaQ</t>
        </is>
      </c>
      <c r="O2228" s="48" t="n">
        <v>43153.66527777778</v>
      </c>
      <c r="P2228" s="49" t="n">
        <v>43153</v>
      </c>
      <c r="Q2228" s="47" t="n">
        <v>1040</v>
      </c>
      <c r="R2228" s="47" t="inlineStr">
        <is>
          <t>No Video ID yet</t>
        </is>
      </c>
      <c r="S2228" s="49" t="n"/>
      <c r="T2228" s="49" t="n"/>
      <c r="U2228" s="47" t="inlineStr">
        <is>
          <t>J and Ben continue to try to 3 star every cup with randomly chosen karts and characters while they answer your questions and give you advice!!</t>
        </is>
      </c>
      <c r="V2228" s="47">
        <f>IF(AND(P2228&gt;=Calendar!$K$2,P2228&lt;EDATE(Calendar!$K$2,1),OR(Calendar!$K$4="*",N2228=Calendar!$K$4)),P2228*100+COUNTIFS($P$6:$P$3267,P2228,$Q$6:$Q$3267,"&lt;="&amp;Q2228,$N$6:$N$3267,Calendar!$K$4),"")</f>
        <v/>
      </c>
      <c r="W2228" s="47">
        <f>IF(AND(B2228=Queue!$C$4,OR(Queue!$K$4="*",N2228=Queue!$K$4)),Q2228,"")</f>
        <v/>
      </c>
    </row>
    <row r="2229">
      <c r="A2229" s="38">
        <f>IF(M2229="","",HYPERLINK("https://www.youtube.com/watch?v="&amp;M2229,"▶"))</f>
        <v/>
      </c>
      <c r="B2229" s="39">
        <f>IF(C2229&lt;&gt;"",C2229,IF(P2229&lt;=IFERROR(INDEX(tblChannels[Watched Through],MATCH(N2229,tblChannels[Channel ID],0)),0),"Watched","Unwatched"))</f>
        <v/>
      </c>
      <c r="C2229" s="40" t="n"/>
      <c r="D2229" s="41" t="n"/>
      <c r="E2229" s="42" t="n">
        <v>43151.75347222222</v>
      </c>
      <c r="F2229" s="50" t="inlineStr">
        <is>
          <t>Super Carlin Brothers</t>
        </is>
      </c>
      <c r="G2229" t="inlineStr">
        <is>
          <t>Is Black Panther the BEST Super Hero Movie Ever? | SPOILER REVIEW</t>
        </is>
      </c>
      <c r="H2229" s="44" t="n">
        <v>0.02563657407407408</v>
      </c>
      <c r="I2229" s="45" t="n">
        <v>315191</v>
      </c>
      <c r="J2229" s="45" t="n">
        <v>10450</v>
      </c>
      <c r="K2229" s="45" t="n">
        <v>2769</v>
      </c>
      <c r="L2229" s="46" t="n"/>
      <c r="M2229" s="47" t="n"/>
      <c r="N2229" s="47" t="inlineStr">
        <is>
          <t>UCKZo4N0lVPccBkSiuyVh4yg</t>
        </is>
      </c>
      <c r="O2229" s="48" t="n">
        <v>43151.96180555555</v>
      </c>
      <c r="P2229" s="49" t="n">
        <v>43151</v>
      </c>
      <c r="Q2229" s="47" t="n">
        <v>1039</v>
      </c>
      <c r="R2229" s="47" t="inlineStr">
        <is>
          <t>No Video ID yet</t>
        </is>
      </c>
      <c r="S2229" s="49" t="n"/>
      <c r="T2229" s="49" t="n"/>
      <c r="U2229" s="47" t="inlineStr">
        <is>
          <t>Today J and Ben give their full SPOILER Review of Marvel's newest addition to the MCU: Black Panther</t>
        </is>
      </c>
      <c r="V2229" s="47">
        <f>IF(AND(P2229&gt;=Calendar!$K$2,P2229&lt;EDATE(Calendar!$K$2,1),OR(Calendar!$K$4="*",N2229=Calendar!$K$4)),P2229*100+COUNTIFS($P$6:$P$3267,P2229,$Q$6:$Q$3267,"&lt;="&amp;Q2229,$N$6:$N$3267,Calendar!$K$4),"")</f>
        <v/>
      </c>
      <c r="W2229" s="47">
        <f>IF(AND(B2229=Queue!$C$4,OR(Queue!$K$4="*",N2229=Queue!$K$4)),Q2229,"")</f>
        <v/>
      </c>
    </row>
    <row r="2230">
      <c r="A2230" s="38">
        <f>IF(M2230="","",HYPERLINK("https://www.youtube.com/watch?v="&amp;M2230,"▶"))</f>
        <v/>
      </c>
      <c r="B2230" s="39">
        <f>IF(C2230&lt;&gt;"",C2230,IF(P2230&lt;=IFERROR(INDEX(tblChannels[Watched Through],MATCH(N2230,tblChannels[Channel ID],0)),0),"Watched","Unwatched"))</f>
        <v/>
      </c>
      <c r="C2230" s="40" t="n"/>
      <c r="D2230" s="41" t="n"/>
      <c r="E2230" s="42" t="n">
        <v>43151.47361111111</v>
      </c>
      <c r="F2230" s="52" t="inlineStr">
        <is>
          <t>Super Carlin Gaming</t>
        </is>
      </c>
      <c r="G2230" t="inlineStr">
        <is>
          <t>Slightly More Extreme | Mario Kart Roulette #73</t>
        </is>
      </c>
      <c r="H2230" s="44" t="n">
        <v>0.01210648148148148</v>
      </c>
      <c r="I2230" s="45" t="n">
        <v>9705</v>
      </c>
      <c r="J2230" s="45" t="n">
        <v>395</v>
      </c>
      <c r="K2230" s="45" t="n">
        <v>176</v>
      </c>
      <c r="L2230" s="46" t="n"/>
      <c r="M2230" s="47" t="n"/>
      <c r="N2230" s="47" t="inlineStr">
        <is>
          <t>UCor_9jRnNNZVzTuQ92PKsaQ</t>
        </is>
      </c>
      <c r="O2230" s="48" t="n">
        <v>43151.68194444444</v>
      </c>
      <c r="P2230" s="49" t="n">
        <v>43151</v>
      </c>
      <c r="Q2230" s="47" t="n">
        <v>1038</v>
      </c>
      <c r="R2230" s="47" t="inlineStr">
        <is>
          <t>No Video ID yet</t>
        </is>
      </c>
      <c r="S2230" s="49" t="n"/>
      <c r="T2230" s="49" t="n"/>
      <c r="U2230" s="47" t="inlineStr">
        <is>
          <t>J and Ben continue to try to 3 star every cup with randomly chosen karts and characters while they answer your questions and give you advice!!</t>
        </is>
      </c>
      <c r="V2230" s="47">
        <f>IF(AND(P2230&gt;=Calendar!$K$2,P2230&lt;EDATE(Calendar!$K$2,1),OR(Calendar!$K$4="*",N2230=Calendar!$K$4)),P2230*100+COUNTIFS($P$6:$P$3267,P2230,$Q$6:$Q$3267,"&lt;="&amp;Q2230,$N$6:$N$3267,Calendar!$K$4),"")</f>
        <v/>
      </c>
      <c r="W2230" s="47">
        <f>IF(AND(B2230=Queue!$C$4,OR(Queue!$K$4="*",N2230=Queue!$K$4)),Q2230,"")</f>
        <v/>
      </c>
    </row>
    <row r="2231">
      <c r="A2231" s="38">
        <f>IF(M2231="","",HYPERLINK("https://www.youtube.com/watch?v="&amp;M2231,"▶"))</f>
        <v/>
      </c>
      <c r="B2231" s="39">
        <f>IF(C2231&lt;&gt;"",C2231,IF(P2231&lt;=IFERROR(INDEX(tblChannels[Watched Through],MATCH(N2231,tblChannels[Channel ID],0)),0),"Watched","Unwatched"))</f>
        <v/>
      </c>
      <c r="C2231" s="40" t="n"/>
      <c r="D2231" s="41" t="n"/>
      <c r="E2231" s="42" t="n">
        <v>43150.85833333333</v>
      </c>
      <c r="F2231" s="52" t="inlineStr">
        <is>
          <t>Super Carlin Gaming</t>
        </is>
      </c>
      <c r="G2231" t="inlineStr">
        <is>
          <t>Luke and J Play Pokemon Leaf Green | Mono Type FIRE Run #4</t>
        </is>
      </c>
      <c r="H2231" s="44" t="n">
        <v>0.0419212962962963</v>
      </c>
      <c r="I2231" s="45" t="n">
        <v>11614</v>
      </c>
      <c r="J2231" s="45" t="n">
        <v>325</v>
      </c>
      <c r="K2231" s="45" t="n">
        <v>59</v>
      </c>
      <c r="L2231" s="46" t="n"/>
      <c r="M2231" s="47" t="n"/>
      <c r="N2231" s="47" t="inlineStr">
        <is>
          <t>UCor_9jRnNNZVzTuQ92PKsaQ</t>
        </is>
      </c>
      <c r="O2231" s="48" t="n">
        <v>43151.06666666667</v>
      </c>
      <c r="P2231" s="49" t="n">
        <v>43150</v>
      </c>
      <c r="Q2231" s="47" t="n">
        <v>1037</v>
      </c>
      <c r="R2231" s="47" t="inlineStr">
        <is>
          <t>No Video ID yet</t>
        </is>
      </c>
      <c r="S2231" s="49" t="n"/>
      <c r="T2231" s="49" t="n"/>
      <c r="U2231" s="47" t="inlineStr">
        <is>
          <t>Luke and J's Pokemon Leaf Green Monotype Fire Run continues! Today they take on another gym, attempt to save Mr. Fuji, and journey into the Safari Zone!</t>
        </is>
      </c>
      <c r="V2231" s="47">
        <f>IF(AND(P2231&gt;=Calendar!$K$2,P2231&lt;EDATE(Calendar!$K$2,1),OR(Calendar!$K$4="*",N2231=Calendar!$K$4)),P2231*100+COUNTIFS($P$6:$P$3267,P2231,$Q$6:$Q$3267,"&lt;="&amp;Q2231,$N$6:$N$3267,Calendar!$K$4),"")</f>
        <v/>
      </c>
      <c r="W2231" s="47">
        <f>IF(AND(B2231=Queue!$C$4,OR(Queue!$K$4="*",N2231=Queue!$K$4)),Q2231,"")</f>
        <v/>
      </c>
    </row>
    <row r="2232">
      <c r="A2232" s="38">
        <f>IF(M2232="","",HYPERLINK("https://www.youtube.com/watch?v="&amp;M2232,"▶"))</f>
        <v/>
      </c>
      <c r="B2232" s="39">
        <f>IF(C2232&lt;&gt;"",C2232,IF(P2232&lt;=IFERROR(INDEX(tblChannels[Watched Through],MATCH(N2232,tblChannels[Channel ID],0)),0),"Watched","Unwatched"))</f>
        <v/>
      </c>
      <c r="C2232" s="40" t="n"/>
      <c r="D2232" s="41" t="n"/>
      <c r="E2232" s="42" t="n">
        <v>43150.67916666667</v>
      </c>
      <c r="F2232" s="53" t="inlineStr">
        <is>
          <t>Jonathan Carlin</t>
        </is>
      </c>
      <c r="G2232" t="inlineStr">
        <is>
          <t>ON TURNING 30</t>
        </is>
      </c>
      <c r="H2232" s="44" t="n">
        <v>0.005115740740740741</v>
      </c>
      <c r="I2232" s="45" t="n">
        <v>42354</v>
      </c>
      <c r="J2232" s="45" t="n">
        <v>2095</v>
      </c>
      <c r="K2232" s="45" t="n">
        <v>374</v>
      </c>
      <c r="L2232" s="46" t="n"/>
      <c r="M2232" s="47" t="n"/>
      <c r="N2232" s="47" t="inlineStr">
        <is>
          <t>UCYPKFe86e6nm4TVUYKLsFUQ</t>
        </is>
      </c>
      <c r="O2232" s="48" t="n">
        <v>43150.8875</v>
      </c>
      <c r="P2232" s="49" t="n">
        <v>43150</v>
      </c>
      <c r="Q2232" s="47" t="n">
        <v>1036</v>
      </c>
      <c r="R2232" s="47" t="inlineStr">
        <is>
          <t>No Video ID yet</t>
        </is>
      </c>
      <c r="S2232" s="49" t="n"/>
      <c r="T2232" s="49" t="n"/>
      <c r="U2232" s="47" t="inlineStr">
        <is>
          <t>This week I turn 30 and have an amazing Harry Potter party, also Luke gets some serious pampering.. anyone know a good butt paste??</t>
        </is>
      </c>
      <c r="V2232" s="47">
        <f>IF(AND(P2232&gt;=Calendar!$K$2,P2232&lt;EDATE(Calendar!$K$2,1),OR(Calendar!$K$4="*",N2232=Calendar!$K$4)),P2232*100+COUNTIFS($P$6:$P$3267,P2232,$Q$6:$Q$3267,"&lt;="&amp;Q2232,$N$6:$N$3267,Calendar!$K$4),"")</f>
        <v/>
      </c>
      <c r="W2232" s="47">
        <f>IF(AND(B2232=Queue!$C$4,OR(Queue!$K$4="*",N2232=Queue!$K$4)),Q2232,"")</f>
        <v/>
      </c>
    </row>
    <row r="2233">
      <c r="A2233" s="38">
        <f>IF(M2233="","",HYPERLINK("https://www.youtube.com/watch?v="&amp;M2233,"▶"))</f>
        <v/>
      </c>
      <c r="B2233" s="39">
        <f>IF(C2233&lt;&gt;"",C2233,IF(P2233&lt;=IFERROR(INDEX(tblChannels[Watched Through],MATCH(N2233,tblChannels[Channel ID],0)),0),"Watched","Unwatched"))</f>
        <v/>
      </c>
      <c r="C2233" s="40" t="n"/>
      <c r="D2233" s="41" t="n"/>
      <c r="E2233" s="42" t="n">
        <v>43146.70625</v>
      </c>
      <c r="F2233" s="50" t="inlineStr">
        <is>
          <t>Super Carlin Brothers</t>
        </is>
      </c>
      <c r="G2233" t="inlineStr">
        <is>
          <t>Top 10 Awfully Convenient Things In Harry Potter</t>
        </is>
      </c>
      <c r="H2233" s="44" t="n">
        <v>0.008460648148148148</v>
      </c>
      <c r="I2233" s="45" t="n">
        <v>1438969</v>
      </c>
      <c r="J2233" s="45" t="n">
        <v>32245</v>
      </c>
      <c r="K2233" s="45" t="n">
        <v>5005</v>
      </c>
      <c r="L2233" s="46" t="n"/>
      <c r="M2233" s="47" t="n"/>
      <c r="N2233" s="47" t="inlineStr">
        <is>
          <t>UCKZo4N0lVPccBkSiuyVh4yg</t>
        </is>
      </c>
      <c r="O2233" s="48" t="n">
        <v>43146.91458333333</v>
      </c>
      <c r="P2233" s="49" t="n">
        <v>43146</v>
      </c>
      <c r="Q2233" s="47" t="n">
        <v>1035</v>
      </c>
      <c r="R2233" s="47" t="inlineStr">
        <is>
          <t>No Video ID yet</t>
        </is>
      </c>
      <c r="S2233" s="49" t="n"/>
      <c r="T2233" s="49" t="n"/>
      <c r="U2233" s="47" t="inlineStr">
        <is>
          <t>Get 2 months of Skill Share Premium for $0.99 :: Today Ben dives into the wizarding world of Harry Potter to examine everything from time turners to basilisk venom and all of the other more convenient things that ever happen to Harry, Ron and Hermione.</t>
        </is>
      </c>
      <c r="V2233" s="47">
        <f>IF(AND(P2233&gt;=Calendar!$K$2,P2233&lt;EDATE(Calendar!$K$2,1),OR(Calendar!$K$4="*",N2233=Calendar!$K$4)),P2233*100+COUNTIFS($P$6:$P$3267,P2233,$Q$6:$Q$3267,"&lt;="&amp;Q2233,$N$6:$N$3267,Calendar!$K$4),"")</f>
        <v/>
      </c>
      <c r="W2233" s="47">
        <f>IF(AND(B2233=Queue!$C$4,OR(Queue!$K$4="*",N2233=Queue!$K$4)),Q2233,"")</f>
        <v/>
      </c>
    </row>
    <row r="2234">
      <c r="A2234" s="38">
        <f>IF(M2234="","",HYPERLINK("https://www.youtube.com/watch?v="&amp;M2234,"▶"))</f>
        <v/>
      </c>
      <c r="B2234" s="39">
        <f>IF(C2234&lt;&gt;"",C2234,IF(P2234&lt;=IFERROR(INDEX(tblChannels[Watched Through],MATCH(N2234,tblChannels[Channel ID],0)),0),"Watched","Unwatched"))</f>
        <v/>
      </c>
      <c r="C2234" s="40" t="n"/>
      <c r="D2234" s="41" t="n"/>
      <c r="E2234" s="42" t="n">
        <v>43146.49861111111</v>
      </c>
      <c r="F2234" s="52" t="inlineStr">
        <is>
          <t>Super Carlin Gaming</t>
        </is>
      </c>
      <c r="G2234" t="inlineStr">
        <is>
          <t>I Don't Want To Date Him | Mario Kart Roulette #72</t>
        </is>
      </c>
      <c r="H2234" s="44" t="n">
        <v>0.01241898148148148</v>
      </c>
      <c r="I2234" s="45" t="n">
        <v>10196</v>
      </c>
      <c r="J2234" s="45" t="n">
        <v>414</v>
      </c>
      <c r="K2234" s="45" t="n">
        <v>154</v>
      </c>
      <c r="L2234" s="46" t="n"/>
      <c r="M2234" s="47" t="n"/>
      <c r="N2234" s="47" t="inlineStr">
        <is>
          <t>UCor_9jRnNNZVzTuQ92PKsaQ</t>
        </is>
      </c>
      <c r="O2234" s="48" t="n">
        <v>43146.70694444444</v>
      </c>
      <c r="P2234" s="49" t="n">
        <v>43146</v>
      </c>
      <c r="Q2234" s="47" t="n">
        <v>1034</v>
      </c>
      <c r="R2234" s="47" t="inlineStr">
        <is>
          <t>No Video ID yet</t>
        </is>
      </c>
      <c r="S2234" s="49" t="n"/>
      <c r="T2234" s="49" t="n"/>
      <c r="U2234" s="47" t="inlineStr">
        <is>
          <t>J and Ben continue to try to 3 star every cup with randomly chosen karts and characters while they answer your questions and give you advice!!</t>
        </is>
      </c>
      <c r="V2234" s="47">
        <f>IF(AND(P2234&gt;=Calendar!$K$2,P2234&lt;EDATE(Calendar!$K$2,1),OR(Calendar!$K$4="*",N2234=Calendar!$K$4)),P2234*100+COUNTIFS($P$6:$P$3267,P2234,$Q$6:$Q$3267,"&lt;="&amp;Q2234,$N$6:$N$3267,Calendar!$K$4),"")</f>
        <v/>
      </c>
      <c r="W2234" s="47">
        <f>IF(AND(B2234=Queue!$C$4,OR(Queue!$K$4="*",N2234=Queue!$K$4)),Q2234,"")</f>
        <v/>
      </c>
    </row>
    <row r="2235">
      <c r="A2235" s="38">
        <f>IF(M2235="","",HYPERLINK("https://www.youtube.com/watch?v="&amp;M2235,"▶"))</f>
        <v/>
      </c>
      <c r="B2235" s="39">
        <f>IF(C2235&lt;&gt;"",C2235,IF(P2235&lt;=IFERROR(INDEX(tblChannels[Watched Through],MATCH(N2235,tblChannels[Channel ID],0)),0),"Watched","Unwatched"))</f>
        <v/>
      </c>
      <c r="C2235" s="40" t="n"/>
      <c r="D2235" s="41" t="n"/>
      <c r="E2235" s="42" t="n">
        <v>43144.79722222222</v>
      </c>
      <c r="F2235" s="50" t="inlineStr">
        <is>
          <t>Super Carlin Brothers</t>
        </is>
      </c>
      <c r="G2235" t="inlineStr">
        <is>
          <t>Voldemort's Failed Horcrux | Harry Potter Theory</t>
        </is>
      </c>
      <c r="H2235" s="44" t="n">
        <v>0.009814814814814814</v>
      </c>
      <c r="I2235" s="45" t="n">
        <v>2725726</v>
      </c>
      <c r="J2235" s="45" t="n">
        <v>52435</v>
      </c>
      <c r="K2235" s="45" t="n">
        <v>6640</v>
      </c>
      <c r="L2235" s="46" t="n"/>
      <c r="M2235" s="47" t="n"/>
      <c r="N2235" s="47" t="inlineStr">
        <is>
          <t>UCKZo4N0lVPccBkSiuyVh4yg</t>
        </is>
      </c>
      <c r="O2235" s="48" t="n">
        <v>43145.00555555556</v>
      </c>
      <c r="P2235" s="49" t="n">
        <v>43144</v>
      </c>
      <c r="Q2235" s="47" t="n">
        <v>1033</v>
      </c>
      <c r="R2235" s="47" t="inlineStr">
        <is>
          <t>No Video ID yet</t>
        </is>
      </c>
      <c r="S2235" s="49" t="n"/>
      <c r="T2235" s="49" t="n"/>
      <c r="U2235" s="47" t="inlineStr">
        <is>
          <t>Today J dives into the Wizarding World of Harry Potter to discuss the missing object Voldemort was going to use to make his final Horcrux when he killed Harry and its ties to Godric Gryffindor!</t>
        </is>
      </c>
      <c r="V2235" s="47">
        <f>IF(AND(P2235&gt;=Calendar!$K$2,P2235&lt;EDATE(Calendar!$K$2,1),OR(Calendar!$K$4="*",N2235=Calendar!$K$4)),P2235*100+COUNTIFS($P$6:$P$3267,P2235,$Q$6:$Q$3267,"&lt;="&amp;Q2235,$N$6:$N$3267,Calendar!$K$4),"")</f>
        <v/>
      </c>
      <c r="W2235" s="47">
        <f>IF(AND(B2235=Queue!$C$4,OR(Queue!$K$4="*",N2235=Queue!$K$4)),Q2235,"")</f>
        <v/>
      </c>
    </row>
    <row r="2236">
      <c r="A2236" s="38">
        <f>IF(M2236="","",HYPERLINK("https://www.youtube.com/watch?v="&amp;M2236,"▶"))</f>
        <v/>
      </c>
      <c r="B2236" s="39">
        <f>IF(C2236&lt;&gt;"",C2236,IF(P2236&lt;=IFERROR(INDEX(tblChannels[Watched Through],MATCH(N2236,tblChannels[Channel ID],0)),0),"Watched","Unwatched"))</f>
        <v/>
      </c>
      <c r="C2236" s="40" t="n"/>
      <c r="D2236" s="41" t="n"/>
      <c r="E2236" s="42" t="n">
        <v>43144.42152777778</v>
      </c>
      <c r="F2236" s="52" t="inlineStr">
        <is>
          <t>Super Carlin Gaming</t>
        </is>
      </c>
      <c r="G2236" t="inlineStr">
        <is>
          <t>Valentine's Budget Ideas | Mario Kart Roulette #71</t>
        </is>
      </c>
      <c r="H2236" s="44" t="n">
        <v>0.0109837962962963</v>
      </c>
      <c r="I2236" s="45" t="n">
        <v>9754</v>
      </c>
      <c r="J2236" s="45" t="n">
        <v>409</v>
      </c>
      <c r="K2236" s="45" t="n">
        <v>82</v>
      </c>
      <c r="L2236" s="46" t="n"/>
      <c r="M2236" s="47" t="n"/>
      <c r="N2236" s="47" t="inlineStr">
        <is>
          <t>UCor_9jRnNNZVzTuQ92PKsaQ</t>
        </is>
      </c>
      <c r="O2236" s="48" t="n">
        <v>43144.62986111111</v>
      </c>
      <c r="P2236" s="49" t="n">
        <v>43144</v>
      </c>
      <c r="Q2236" s="47" t="n">
        <v>1032</v>
      </c>
      <c r="R2236" s="47" t="inlineStr">
        <is>
          <t>No Video ID yet</t>
        </is>
      </c>
      <c r="S2236" s="49" t="n"/>
      <c r="T2236" s="49" t="n"/>
      <c r="U2236" s="47" t="inlineStr">
        <is>
          <t>J and Ben continue to try to 3 star every cup with randomly chosen karts and characters while they answer your questions and give you advice!!</t>
        </is>
      </c>
      <c r="V2236" s="47">
        <f>IF(AND(P2236&gt;=Calendar!$K$2,P2236&lt;EDATE(Calendar!$K$2,1),OR(Calendar!$K$4="*",N2236=Calendar!$K$4)),P2236*100+COUNTIFS($P$6:$P$3267,P2236,$Q$6:$Q$3267,"&lt;="&amp;Q2236,$N$6:$N$3267,Calendar!$K$4),"")</f>
        <v/>
      </c>
      <c r="W2236" s="47">
        <f>IF(AND(B2236=Queue!$C$4,OR(Queue!$K$4="*",N2236=Queue!$K$4)),Q2236,"")</f>
        <v/>
      </c>
    </row>
    <row r="2237">
      <c r="A2237" s="38">
        <f>IF(M2237="","",HYPERLINK("https://www.youtube.com/watch?v="&amp;M2237,"▶"))</f>
        <v/>
      </c>
      <c r="B2237" s="39">
        <f>IF(C2237&lt;&gt;"",C2237,IF(P2237&lt;=IFERROR(INDEX(tblChannels[Watched Through],MATCH(N2237,tblChannels[Channel ID],0)),0),"Watched","Unwatched"))</f>
        <v/>
      </c>
      <c r="C2237" s="40" t="n"/>
      <c r="D2237" s="41" t="n"/>
      <c r="E2237" s="42" t="n">
        <v>43143.58472222222</v>
      </c>
      <c r="F2237" s="53" t="inlineStr">
        <is>
          <t>Jonathan Carlin</t>
        </is>
      </c>
      <c r="G2237" t="inlineStr">
        <is>
          <t>GETTING FIRED UP</t>
        </is>
      </c>
      <c r="H2237" s="44" t="n">
        <v>0.006030092592592593</v>
      </c>
      <c r="I2237" s="45" t="n">
        <v>38487</v>
      </c>
      <c r="J2237" s="45" t="n">
        <v>1980</v>
      </c>
      <c r="K2237" s="45" t="n">
        <v>231</v>
      </c>
      <c r="L2237" s="46" t="n"/>
      <c r="M2237" s="47" t="n"/>
      <c r="N2237" s="47" t="inlineStr">
        <is>
          <t>UCYPKFe86e6nm4TVUYKLsFUQ</t>
        </is>
      </c>
      <c r="O2237" s="48" t="n">
        <v>43143.79305555556</v>
      </c>
      <c r="P2237" s="49" t="n">
        <v>43143</v>
      </c>
      <c r="Q2237" s="47" t="n">
        <v>1031</v>
      </c>
      <c r="R2237" s="47" t="inlineStr">
        <is>
          <t>No Video ID yet</t>
        </is>
      </c>
      <c r="S2237" s="49" t="n"/>
      <c r="T2237" s="49" t="n"/>
      <c r="U2237" s="47" t="inlineStr">
        <is>
          <t>This week I teach Luke about the Golden Rule and how to deal with being angry. Also Ben's house and the office catch on fire.</t>
        </is>
      </c>
      <c r="V2237" s="47">
        <f>IF(AND(P2237&gt;=Calendar!$K$2,P2237&lt;EDATE(Calendar!$K$2,1),OR(Calendar!$K$4="*",N2237=Calendar!$K$4)),P2237*100+COUNTIFS($P$6:$P$3267,P2237,$Q$6:$Q$3267,"&lt;="&amp;Q2237,$N$6:$N$3267,Calendar!$K$4),"")</f>
        <v/>
      </c>
      <c r="W2237" s="47">
        <f>IF(AND(B2237=Queue!$C$4,OR(Queue!$K$4="*",N2237=Queue!$K$4)),Q2237,"")</f>
        <v/>
      </c>
    </row>
    <row r="2238">
      <c r="A2238" s="38">
        <f>IF(M2238="","",HYPERLINK("https://www.youtube.com/watch?v="&amp;M2238,"▶"))</f>
        <v/>
      </c>
      <c r="B2238" s="39">
        <f>IF(C2238&lt;&gt;"",C2238,IF(P2238&lt;=IFERROR(INDEX(tblChannels[Watched Through],MATCH(N2238,tblChannels[Channel ID],0)),0),"Watched","Unwatched"))</f>
        <v/>
      </c>
      <c r="C2238" s="40" t="n"/>
      <c r="D2238" s="41" t="n"/>
      <c r="E2238" s="42" t="n">
        <v>43139.81597222222</v>
      </c>
      <c r="F2238" s="52" t="inlineStr">
        <is>
          <t>Super Carlin Gaming</t>
        </is>
      </c>
      <c r="G2238" t="inlineStr">
        <is>
          <t>Luke and J Play Pokemon Leaf Green | Mono Type FIRE Run #3</t>
        </is>
      </c>
      <c r="H2238" s="44" t="n">
        <v>0.02778935185185185</v>
      </c>
      <c r="I2238" s="45" t="n">
        <v>12537</v>
      </c>
      <c r="J2238" s="45" t="n">
        <v>497</v>
      </c>
      <c r="K2238" s="45" t="n">
        <v>59</v>
      </c>
      <c r="L2238" s="46" t="n"/>
      <c r="M2238" s="47" t="n"/>
      <c r="N2238" s="47" t="inlineStr">
        <is>
          <t>UCor_9jRnNNZVzTuQ92PKsaQ</t>
        </is>
      </c>
      <c r="O2238" s="48" t="n">
        <v>43140.02430555555</v>
      </c>
      <c r="P2238" s="49" t="n">
        <v>43139</v>
      </c>
      <c r="Q2238" s="47" t="n">
        <v>1030</v>
      </c>
      <c r="R2238" s="47" t="inlineStr">
        <is>
          <t>No Video ID yet</t>
        </is>
      </c>
      <c r="S2238" s="49" t="n"/>
      <c r="T2238" s="49" t="n"/>
      <c r="U2238" s="47" t="inlineStr">
        <is>
          <t>J and Luke's LIVE Pokemon Leaf Green Mono-Type Fire Run Adventure continues with another new pokemon and gym badge!</t>
        </is>
      </c>
      <c r="V2238" s="47">
        <f>IF(AND(P2238&gt;=Calendar!$K$2,P2238&lt;EDATE(Calendar!$K$2,1),OR(Calendar!$K$4="*",N2238=Calendar!$K$4)),P2238*100+COUNTIFS($P$6:$P$3267,P2238,$Q$6:$Q$3267,"&lt;="&amp;Q2238,$N$6:$N$3267,Calendar!$K$4),"")</f>
        <v/>
      </c>
      <c r="W2238" s="47">
        <f>IF(AND(B2238=Queue!$C$4,OR(Queue!$K$4="*",N2238=Queue!$K$4)),Q2238,"")</f>
        <v/>
      </c>
    </row>
    <row r="2239">
      <c r="A2239" s="38">
        <f>IF(M2239="","",HYPERLINK("https://www.youtube.com/watch?v="&amp;M2239,"▶"))</f>
        <v/>
      </c>
      <c r="B2239" s="39">
        <f>IF(C2239&lt;&gt;"",C2239,IF(P2239&lt;=IFERROR(INDEX(tblChannels[Watched Through],MATCH(N2239,tblChannels[Channel ID],0)),0),"Watched","Unwatched"))</f>
        <v/>
      </c>
      <c r="C2239" s="40" t="n"/>
      <c r="D2239" s="41" t="n"/>
      <c r="E2239" s="42" t="n">
        <v>43139.72291666667</v>
      </c>
      <c r="F2239" s="50" t="inlineStr">
        <is>
          <t>Super Carlin Brothers</t>
        </is>
      </c>
      <c r="G2239" t="inlineStr">
        <is>
          <t>Why's It Called The Knight Bus? | Harry Potter Explained</t>
        </is>
      </c>
      <c r="H2239" s="44" t="n">
        <v>0.006006944444444444</v>
      </c>
      <c r="I2239" s="45" t="n">
        <v>1260192</v>
      </c>
      <c r="J2239" s="45" t="n">
        <v>29534</v>
      </c>
      <c r="K2239" s="45" t="n">
        <v>3282</v>
      </c>
      <c r="L2239" s="46" t="n"/>
      <c r="M2239" s="47" t="n"/>
      <c r="N2239" s="47" t="inlineStr">
        <is>
          <t>UCKZo4N0lVPccBkSiuyVh4yg</t>
        </is>
      </c>
      <c r="O2239" s="48" t="n">
        <v>43139.93125</v>
      </c>
      <c r="P2239" s="49" t="n">
        <v>43139</v>
      </c>
      <c r="Q2239" s="47" t="n">
        <v>1029</v>
      </c>
      <c r="R2239" s="47" t="inlineStr">
        <is>
          <t>No Video ID yet</t>
        </is>
      </c>
      <c r="S2239" s="49" t="n"/>
      <c r="T2239" s="49" t="n"/>
      <c r="U2239" s="47" t="inlineStr">
        <is>
          <t>Today Ben divess into the Wizarding World of Harry Potter to discuss why the Triple Decker purple Knight Bus exists and how it got its name.. And also why Harry is so obsessed with Stan Shunpike.</t>
        </is>
      </c>
      <c r="V2239" s="47">
        <f>IF(AND(P2239&gt;=Calendar!$K$2,P2239&lt;EDATE(Calendar!$K$2,1),OR(Calendar!$K$4="*",N2239=Calendar!$K$4)),P2239*100+COUNTIFS($P$6:$P$3267,P2239,$Q$6:$Q$3267,"&lt;="&amp;Q2239,$N$6:$N$3267,Calendar!$K$4),"")</f>
        <v/>
      </c>
      <c r="W2239" s="47">
        <f>IF(AND(B2239=Queue!$C$4,OR(Queue!$K$4="*",N2239=Queue!$K$4)),Q2239,"")</f>
        <v/>
      </c>
    </row>
    <row r="2240">
      <c r="A2240" s="38">
        <f>IF(M2240="","",HYPERLINK("https://www.youtube.com/watch?v="&amp;M2240,"▶"))</f>
        <v/>
      </c>
      <c r="B2240" s="39">
        <f>IF(C2240&lt;&gt;"",C2240,IF(P2240&lt;=IFERROR(INDEX(tblChannels[Watched Through],MATCH(N2240,tblChannels[Channel ID],0)),0),"Watched","Unwatched"))</f>
        <v/>
      </c>
      <c r="C2240" s="40" t="n"/>
      <c r="D2240" s="41" t="n"/>
      <c r="E2240" s="42" t="n">
        <v>43139.43472222222</v>
      </c>
      <c r="F2240" s="52" t="inlineStr">
        <is>
          <t>Super Carlin Gaming</t>
        </is>
      </c>
      <c r="G2240" t="inlineStr">
        <is>
          <t>Text me! | Mario Kart Roulette #70</t>
        </is>
      </c>
      <c r="H2240" s="44" t="n">
        <v>0.01168981481481481</v>
      </c>
      <c r="I2240" s="45" t="n">
        <v>10620</v>
      </c>
      <c r="J2240" s="45" t="n">
        <v>427</v>
      </c>
      <c r="K2240" s="45" t="n">
        <v>155</v>
      </c>
      <c r="L2240" s="46" t="n"/>
      <c r="M2240" s="47" t="n"/>
      <c r="N2240" s="47" t="inlineStr">
        <is>
          <t>UCor_9jRnNNZVzTuQ92PKsaQ</t>
        </is>
      </c>
      <c r="O2240" s="48" t="n">
        <v>43139.64305555556</v>
      </c>
      <c r="P2240" s="49" t="n">
        <v>43139</v>
      </c>
      <c r="Q2240" s="47" t="n">
        <v>1028</v>
      </c>
      <c r="R2240" s="47" t="inlineStr">
        <is>
          <t>No Video ID yet</t>
        </is>
      </c>
      <c r="S2240" s="49" t="n"/>
      <c r="T2240" s="49" t="n"/>
      <c r="U2240" s="47" t="inlineStr">
        <is>
          <t>J and Ben continue to try to 3 star every cup with randomly chosen karts and characters while they answer your questions and give you advice!!</t>
        </is>
      </c>
      <c r="V2240" s="47">
        <f>IF(AND(P2240&gt;=Calendar!$K$2,P2240&lt;EDATE(Calendar!$K$2,1),OR(Calendar!$K$4="*",N2240=Calendar!$K$4)),P2240*100+COUNTIFS($P$6:$P$3267,P2240,$Q$6:$Q$3267,"&lt;="&amp;Q2240,$N$6:$N$3267,Calendar!$K$4),"")</f>
        <v/>
      </c>
      <c r="W2240" s="47">
        <f>IF(AND(B2240=Queue!$C$4,OR(Queue!$K$4="*",N2240=Queue!$K$4)),Q2240,"")</f>
        <v/>
      </c>
    </row>
    <row r="2241">
      <c r="A2241" s="38">
        <f>IF(M2241="","",HYPERLINK("https://www.youtube.com/watch?v="&amp;M2241,"▶"))</f>
        <v/>
      </c>
      <c r="B2241" s="39">
        <f>IF(C2241&lt;&gt;"",C2241,IF(P2241&lt;=IFERROR(INDEX(tblChannels[Watched Through],MATCH(N2241,tblChannels[Channel ID],0)),0),"Watched","Unwatched"))</f>
        <v/>
      </c>
      <c r="C2241" s="40" t="n"/>
      <c r="D2241" s="41" t="n"/>
      <c r="E2241" s="42" t="n">
        <v>43138.76388888889</v>
      </c>
      <c r="F2241" s="52" t="inlineStr">
        <is>
          <t>Super Carlin Gaming</t>
        </is>
      </c>
      <c r="G2241" t="inlineStr">
        <is>
          <t>Rocket League!?</t>
        </is>
      </c>
      <c r="H2241" s="44" t="n">
        <v>0.0440162037037037</v>
      </c>
      <c r="I2241" s="45" t="n">
        <v>6080</v>
      </c>
      <c r="J2241" s="45" t="n">
        <v>243</v>
      </c>
      <c r="K2241" s="45" t="n">
        <v>29</v>
      </c>
      <c r="L2241" s="46" t="n"/>
      <c r="M2241" s="47" t="n"/>
      <c r="N2241" s="47" t="inlineStr">
        <is>
          <t>UCor_9jRnNNZVzTuQ92PKsaQ</t>
        </is>
      </c>
      <c r="O2241" s="48" t="n">
        <v>43138.97222222222</v>
      </c>
      <c r="P2241" s="49" t="n">
        <v>43138</v>
      </c>
      <c r="Q2241" s="47" t="n">
        <v>1027</v>
      </c>
      <c r="R2241" s="47" t="inlineStr">
        <is>
          <t>No Video ID yet</t>
        </is>
      </c>
      <c r="S2241" s="49" t="n"/>
      <c r="T2241" s="49" t="n"/>
      <c r="U2241" s="47" t="inlineStr">
        <is>
          <t>Surprise!</t>
        </is>
      </c>
      <c r="V2241" s="47">
        <f>IF(AND(P2241&gt;=Calendar!$K$2,P2241&lt;EDATE(Calendar!$K$2,1),OR(Calendar!$K$4="*",N2241=Calendar!$K$4)),P2241*100+COUNTIFS($P$6:$P$3267,P2241,$Q$6:$Q$3267,"&lt;="&amp;Q2241,$N$6:$N$3267,Calendar!$K$4),"")</f>
        <v/>
      </c>
      <c r="W2241" s="47">
        <f>IF(AND(B2241=Queue!$C$4,OR(Queue!$K$4="*",N2241=Queue!$K$4)),Q2241,"")</f>
        <v/>
      </c>
    </row>
    <row r="2242">
      <c r="A2242" s="38">
        <f>IF(M2242="","",HYPERLINK("https://www.youtube.com/watch?v="&amp;M2242,"▶"))</f>
        <v/>
      </c>
      <c r="B2242" s="39">
        <f>IF(C2242&lt;&gt;"",C2242,IF(P2242&lt;=IFERROR(INDEX(tblChannels[Watched Through],MATCH(N2242,tblChannels[Channel ID],0)),0),"Watched","Unwatched"))</f>
        <v/>
      </c>
      <c r="C2242" s="40" t="n"/>
      <c r="D2242" s="41" t="n"/>
      <c r="E2242" s="42" t="n">
        <v>43137.65208333333</v>
      </c>
      <c r="F2242" s="50" t="inlineStr">
        <is>
          <t>Super Carlin Brothers</t>
        </is>
      </c>
      <c r="G2242" t="inlineStr">
        <is>
          <t>What is Arithmancy? | Harry Potter Explained</t>
        </is>
      </c>
      <c r="H2242" s="44" t="n">
        <v>0.00818287037037037</v>
      </c>
      <c r="I2242" s="45" t="n">
        <v>1566201</v>
      </c>
      <c r="J2242" s="45" t="n">
        <v>39416</v>
      </c>
      <c r="K2242" s="45" t="n">
        <v>5988</v>
      </c>
      <c r="L2242" s="46" t="n"/>
      <c r="M2242" s="47" t="n"/>
      <c r="N2242" s="47" t="inlineStr">
        <is>
          <t>UCKZo4N0lVPccBkSiuyVh4yg</t>
        </is>
      </c>
      <c r="O2242" s="48" t="n">
        <v>43137.86041666667</v>
      </c>
      <c r="P2242" s="49" t="n">
        <v>43137</v>
      </c>
      <c r="Q2242" s="47" t="n">
        <v>1026</v>
      </c>
      <c r="R2242" s="47" t="inlineStr">
        <is>
          <t>No Video ID yet</t>
        </is>
      </c>
      <c r="S2242" s="49" t="n"/>
      <c r="T2242" s="49" t="n"/>
      <c r="U2242" s="47" t="inlineStr">
        <is>
          <t>Today J dives into the Wizarding World of Harry Potter to discuss one Hermione’s favorite subjects and yet one of the few classes we get no very little information about at Hogwarts: Arithmancy! Spreadsheet of our other discoveries :: The Article :: The Calculator :: The Chart of Meaning :: Special thanks to these patrons who support SCB on Patreon: Hillary Reist, Natarandall, Faihle Grayson, Vinnie Nicotra, Brychan John, Chris Morones, James Lord, Miranda Vasquez, Natalie Masucci, Allison Hyslop, Mats Furuli, Qui Le, Alex Soltis, Big Meme Boi, Jennifer, I Is Wolfee, Sarah E McCartney, Zara caldwell, Lasse Buan, Charles C. Seymour, Kristhell Lopez, Amy Beerbower, Isabella</t>
        </is>
      </c>
      <c r="V2242" s="47">
        <f>IF(AND(P2242&gt;=Calendar!$K$2,P2242&lt;EDATE(Calendar!$K$2,1),OR(Calendar!$K$4="*",N2242=Calendar!$K$4)),P2242*100+COUNTIFS($P$6:$P$3267,P2242,$Q$6:$Q$3267,"&lt;="&amp;Q2242,$N$6:$N$3267,Calendar!$K$4),"")</f>
        <v/>
      </c>
      <c r="W2242" s="47">
        <f>IF(AND(B2242=Queue!$C$4,OR(Queue!$K$4="*",N2242=Queue!$K$4)),Q2242,"")</f>
        <v/>
      </c>
    </row>
    <row r="2243">
      <c r="A2243" s="38">
        <f>IF(M2243="","",HYPERLINK("https://www.youtube.com/watch?v="&amp;M2243,"▶"))</f>
        <v/>
      </c>
      <c r="B2243" s="39">
        <f>IF(C2243&lt;&gt;"",C2243,IF(P2243&lt;=IFERROR(INDEX(tblChannels[Watched Through],MATCH(N2243,tblChannels[Channel ID],0)),0),"Watched","Unwatched"))</f>
        <v/>
      </c>
      <c r="C2243" s="40" t="n"/>
      <c r="D2243" s="41" t="n"/>
      <c r="E2243" s="42" t="n">
        <v>43137.42638888889</v>
      </c>
      <c r="F2243" s="52" t="inlineStr">
        <is>
          <t>Super Carlin Gaming</t>
        </is>
      </c>
      <c r="G2243" t="inlineStr">
        <is>
          <t>Kids Stuff!? | Mario Kart Roulette #69</t>
        </is>
      </c>
      <c r="H2243" s="44" t="n">
        <v>0.01263888888888889</v>
      </c>
      <c r="I2243" s="45" t="n">
        <v>10699</v>
      </c>
      <c r="J2243" s="45" t="n">
        <v>410</v>
      </c>
      <c r="K2243" s="45" t="n">
        <v>180</v>
      </c>
      <c r="L2243" s="46" t="n"/>
      <c r="M2243" s="47" t="n"/>
      <c r="N2243" s="47" t="inlineStr">
        <is>
          <t>UCor_9jRnNNZVzTuQ92PKsaQ</t>
        </is>
      </c>
      <c r="O2243" s="48" t="n">
        <v>43137.63472222222</v>
      </c>
      <c r="P2243" s="49" t="n">
        <v>43137</v>
      </c>
      <c r="Q2243" s="47" t="n">
        <v>1025</v>
      </c>
      <c r="R2243" s="47" t="inlineStr">
        <is>
          <t>No Video ID yet</t>
        </is>
      </c>
      <c r="S2243" s="49" t="n"/>
      <c r="T2243" s="49" t="n"/>
      <c r="U2243" s="47" t="inlineStr">
        <is>
          <t>J and Ben continue to try to 3 star every cup with randomly chosen karts and characters while they answer your questions and give you advice!! Here is the old video J mentioned:</t>
        </is>
      </c>
      <c r="V2243" s="47">
        <f>IF(AND(P2243&gt;=Calendar!$K$2,P2243&lt;EDATE(Calendar!$K$2,1),OR(Calendar!$K$4="*",N2243=Calendar!$K$4)),P2243*100+COUNTIFS($P$6:$P$3267,P2243,$Q$6:$Q$3267,"&lt;="&amp;Q2243,$N$6:$N$3267,Calendar!$K$4),"")</f>
        <v/>
      </c>
      <c r="W2243" s="47">
        <f>IF(AND(B2243=Queue!$C$4,OR(Queue!$K$4="*",N2243=Queue!$K$4)),Q2243,"")</f>
        <v/>
      </c>
    </row>
    <row r="2244">
      <c r="A2244" s="38">
        <f>IF(M2244="","",HYPERLINK("https://www.youtube.com/watch?v="&amp;M2244,"▶"))</f>
        <v/>
      </c>
      <c r="B2244" s="39">
        <f>IF(C2244&lt;&gt;"",C2244,IF(P2244&lt;=IFERROR(INDEX(tblChannels[Watched Through],MATCH(N2244,tblChannels[Channel ID],0)),0),"Watched","Unwatched"))</f>
        <v/>
      </c>
      <c r="C2244" s="40" t="n"/>
      <c r="D2244" s="41" t="n"/>
      <c r="E2244" s="42" t="n">
        <v>43136.49305555555</v>
      </c>
      <c r="F2244" s="53" t="inlineStr">
        <is>
          <t>Jonathan Carlin</t>
        </is>
      </c>
      <c r="G2244" t="inlineStr">
        <is>
          <t>BETH MADE BAGELS!</t>
        </is>
      </c>
      <c r="H2244" s="44" t="n">
        <v>0.005613425925925926</v>
      </c>
      <c r="I2244" s="45" t="n">
        <v>42878</v>
      </c>
      <c r="J2244" s="45" t="n">
        <v>1851</v>
      </c>
      <c r="K2244" s="45" t="n">
        <v>240</v>
      </c>
      <c r="L2244" s="46" t="n"/>
      <c r="M2244" s="47" t="n"/>
      <c r="N2244" s="47" t="inlineStr">
        <is>
          <t>UCYPKFe86e6nm4TVUYKLsFUQ</t>
        </is>
      </c>
      <c r="O2244" s="48" t="n">
        <v>43136.70138888889</v>
      </c>
      <c r="P2244" s="49" t="n">
        <v>43136</v>
      </c>
      <c r="Q2244" s="47" t="n">
        <v>1024</v>
      </c>
      <c r="R2244" s="47" t="inlineStr">
        <is>
          <t>No Video ID yet</t>
        </is>
      </c>
      <c r="S2244" s="49" t="n"/>
      <c r="T2244" s="49" t="n"/>
      <c r="U2244" s="47" t="inlineStr">
        <is>
          <t>The Bagel Recipe :: After London we adjust back to a regular week at SCB! We host our monthly Patreon Google Hangout - Kallie gets moody and Beth makes Bagels!</t>
        </is>
      </c>
      <c r="V2244" s="47">
        <f>IF(AND(P2244&gt;=Calendar!$K$2,P2244&lt;EDATE(Calendar!$K$2,1),OR(Calendar!$K$4="*",N2244=Calendar!$K$4)),P2244*100+COUNTIFS($P$6:$P$3267,P2244,$Q$6:$Q$3267,"&lt;="&amp;Q2244,$N$6:$N$3267,Calendar!$K$4),"")</f>
        <v/>
      </c>
      <c r="W2244" s="47">
        <f>IF(AND(B2244=Queue!$C$4,OR(Queue!$K$4="*",N2244=Queue!$K$4)),Q2244,"")</f>
        <v/>
      </c>
    </row>
    <row r="2245">
      <c r="A2245" s="38">
        <f>IF(M2245="","",HYPERLINK("https://www.youtube.com/watch?v="&amp;M2245,"▶"))</f>
        <v/>
      </c>
      <c r="B2245" s="39">
        <f>IF(C2245&lt;&gt;"",C2245,IF(P2245&lt;=IFERROR(INDEX(tblChannels[Watched Through],MATCH(N2245,tblChannels[Channel ID],0)),0),"Watched","Unwatched"))</f>
        <v/>
      </c>
      <c r="C2245" s="40" t="n"/>
      <c r="D2245" s="41" t="n"/>
      <c r="E2245" s="42" t="n">
        <v>43132.62847222222</v>
      </c>
      <c r="F2245" s="50" t="inlineStr">
        <is>
          <t>Super Carlin Brothers</t>
        </is>
      </c>
      <c r="G2245" t="inlineStr">
        <is>
          <t>Sid's Creepy Toys Explained (Feat. NerdSync)</t>
        </is>
      </c>
      <c r="H2245" s="44" t="n">
        <v>0.005405092592592592</v>
      </c>
      <c r="I2245" s="45" t="n">
        <v>442990</v>
      </c>
      <c r="J2245" s="45" t="n">
        <v>15849</v>
      </c>
      <c r="K2245" s="45" t="n">
        <v>1091</v>
      </c>
      <c r="L2245" s="46" t="n"/>
      <c r="M2245" s="47" t="n"/>
      <c r="N2245" s="47" t="inlineStr">
        <is>
          <t>UCKZo4N0lVPccBkSiuyVh4yg</t>
        </is>
      </c>
      <c r="O2245" s="48" t="n">
        <v>43132.83680555555</v>
      </c>
      <c r="P2245" s="49" t="n">
        <v>43132</v>
      </c>
      <c r="Q2245" s="47" t="n">
        <v>1023</v>
      </c>
      <c r="R2245" s="47" t="inlineStr">
        <is>
          <t>No Video ID yet</t>
        </is>
      </c>
      <c r="S2245" s="49" t="n"/>
      <c r="T2245" s="49" t="n"/>
      <c r="U2245" s="47" t="inlineStr">
        <is>
          <t>Check out NerdSync :: Today Super Carlin Brothers welcomes back Scott Niswander from NerdSync who graciously created a paternity leave video for J - Scott dives into the horrifying world of Sid Phillips room in Pixar's Toy Story to discover just why his toys are so scary.</t>
        </is>
      </c>
      <c r="V2245" s="47">
        <f>IF(AND(P2245&gt;=Calendar!$K$2,P2245&lt;EDATE(Calendar!$K$2,1),OR(Calendar!$K$4="*",N2245=Calendar!$K$4)),P2245*100+COUNTIFS($P$6:$P$3267,P2245,$Q$6:$Q$3267,"&lt;="&amp;Q2245,$N$6:$N$3267,Calendar!$K$4),"")</f>
        <v/>
      </c>
      <c r="W2245" s="47">
        <f>IF(AND(B2245=Queue!$C$4,OR(Queue!$K$4="*",N2245=Queue!$K$4)),Q2245,"")</f>
        <v/>
      </c>
    </row>
    <row r="2246">
      <c r="A2246" s="38">
        <f>IF(M2246="","",HYPERLINK("https://www.youtube.com/watch?v="&amp;M2246,"▶"))</f>
        <v/>
      </c>
      <c r="B2246" s="39">
        <f>IF(C2246&lt;&gt;"",C2246,IF(P2246&lt;=IFERROR(INDEX(tblChannels[Watched Through],MATCH(N2246,tblChannels[Channel ID],0)),0),"Watched","Unwatched"))</f>
        <v/>
      </c>
      <c r="C2246" s="40" t="n"/>
      <c r="D2246" s="41" t="n"/>
      <c r="E2246" s="42" t="n">
        <v>43132.42430555556</v>
      </c>
      <c r="F2246" s="52" t="inlineStr">
        <is>
          <t>Super Carlin Gaming</t>
        </is>
      </c>
      <c r="G2246" t="inlineStr">
        <is>
          <t>Firealarm | Mario Kart Roulette #68</t>
        </is>
      </c>
      <c r="H2246" s="44" t="n">
        <v>0.01126157407407407</v>
      </c>
      <c r="I2246" s="45" t="n">
        <v>11100</v>
      </c>
      <c r="J2246" s="45" t="n">
        <v>489</v>
      </c>
      <c r="K2246" s="45" t="n">
        <v>159</v>
      </c>
      <c r="L2246" s="46" t="n"/>
      <c r="M2246" s="47" t="n"/>
      <c r="N2246" s="47" t="inlineStr">
        <is>
          <t>UCor_9jRnNNZVzTuQ92PKsaQ</t>
        </is>
      </c>
      <c r="O2246" s="48" t="n">
        <v>43132.63263888889</v>
      </c>
      <c r="P2246" s="49" t="n">
        <v>43132</v>
      </c>
      <c r="Q2246" s="47" t="n">
        <v>1022</v>
      </c>
      <c r="R2246" s="47" t="inlineStr">
        <is>
          <t>No Video ID yet</t>
        </is>
      </c>
      <c r="S2246" s="49" t="n"/>
      <c r="T2246" s="49" t="n"/>
      <c r="U2246" s="47" t="inlineStr">
        <is>
          <t>J and Ben head back to the Egg cup as Boo &amp; Donkey Kong while they answer your questions and give you advice!!</t>
        </is>
      </c>
      <c r="V2246" s="47">
        <f>IF(AND(P2246&gt;=Calendar!$K$2,P2246&lt;EDATE(Calendar!$K$2,1),OR(Calendar!$K$4="*",N2246=Calendar!$K$4)),P2246*100+COUNTIFS($P$6:$P$3267,P2246,$Q$6:$Q$3267,"&lt;="&amp;Q2246,$N$6:$N$3267,Calendar!$K$4),"")</f>
        <v/>
      </c>
      <c r="W2246" s="47">
        <f>IF(AND(B2246=Queue!$C$4,OR(Queue!$K$4="*",N2246=Queue!$K$4)),Q2246,"")</f>
        <v/>
      </c>
    </row>
    <row r="2247">
      <c r="A2247" s="38">
        <f>IF(M2247="","",HYPERLINK("https://www.youtube.com/watch?v="&amp;M2247,"▶"))</f>
        <v/>
      </c>
      <c r="B2247" s="39">
        <f>IF(C2247&lt;&gt;"",C2247,IF(P2247&lt;=IFERROR(INDEX(tblChannels[Watched Through],MATCH(N2247,tblChannels[Channel ID],0)),0),"Watched","Unwatched"))</f>
        <v/>
      </c>
      <c r="C2247" s="40" t="n"/>
      <c r="D2247" s="41" t="n"/>
      <c r="E2247" s="42" t="n">
        <v>43130.72083333333</v>
      </c>
      <c r="F2247" s="50" t="inlineStr">
        <is>
          <t>Super Carlin Brothers</t>
        </is>
      </c>
      <c r="G2247" t="inlineStr">
        <is>
          <t>Pua and Hei Hei Explained</t>
        </is>
      </c>
      <c r="H2247" s="44" t="n">
        <v>0.005671296296296297</v>
      </c>
      <c r="I2247" s="45" t="n">
        <v>724806</v>
      </c>
      <c r="J2247" s="45" t="n">
        <v>21875</v>
      </c>
      <c r="K2247" s="45" t="n">
        <v>2764</v>
      </c>
      <c r="L2247" s="46" t="n"/>
      <c r="M2247" s="47" t="n"/>
      <c r="N2247" s="47" t="inlineStr">
        <is>
          <t>UCKZo4N0lVPccBkSiuyVh4yg</t>
        </is>
      </c>
      <c r="O2247" s="48" t="n">
        <v>43130.92916666667</v>
      </c>
      <c r="P2247" s="49" t="n">
        <v>43130</v>
      </c>
      <c r="Q2247" s="47" t="n">
        <v>1021</v>
      </c>
      <c r="R2247" s="47" t="inlineStr">
        <is>
          <t>No Video ID yet</t>
        </is>
      </c>
      <c r="S2247" s="49" t="n"/>
      <c r="T2247" s="49" t="n"/>
      <c r="U2247" s="47" t="inlineStr">
        <is>
          <t>Should we come to your city?? Let us know here :: Today J dives into Moana and the Village of Motunui to discuss the meaning behind Moana’s two animal sidekicks: Pua and Hei Hei. Wanna know more about the history and meaning of different Tattoos? Try these ::</t>
        </is>
      </c>
      <c r="V2247" s="47">
        <f>IF(AND(P2247&gt;=Calendar!$K$2,P2247&lt;EDATE(Calendar!$K$2,1),OR(Calendar!$K$4="*",N2247=Calendar!$K$4)),P2247*100+COUNTIFS($P$6:$P$3267,P2247,$Q$6:$Q$3267,"&lt;="&amp;Q2247,$N$6:$N$3267,Calendar!$K$4),"")</f>
        <v/>
      </c>
      <c r="W2247" s="47">
        <f>IF(AND(B2247=Queue!$C$4,OR(Queue!$K$4="*",N2247=Queue!$K$4)),Q2247,"")</f>
        <v/>
      </c>
    </row>
    <row r="2248">
      <c r="A2248" s="38">
        <f>IF(M2248="","",HYPERLINK("https://www.youtube.com/watch?v="&amp;M2248,"▶"))</f>
        <v/>
      </c>
      <c r="B2248" s="39">
        <f>IF(C2248&lt;&gt;"",C2248,IF(P2248&lt;=IFERROR(INDEX(tblChannels[Watched Through],MATCH(N2248,tblChannels[Channel ID],0)),0),"Watched","Unwatched"))</f>
        <v/>
      </c>
      <c r="C2248" s="40" t="n"/>
      <c r="D2248" s="41" t="n"/>
      <c r="E2248" s="42" t="n">
        <v>43130.42152777778</v>
      </c>
      <c r="F2248" s="52" t="inlineStr">
        <is>
          <t>Super Carlin Gaming</t>
        </is>
      </c>
      <c r="G2248" t="inlineStr">
        <is>
          <t>Accidental Friendzone | Mario Kart Roulette #67</t>
        </is>
      </c>
      <c r="H2248" s="44" t="n">
        <v>0.01122685185185185</v>
      </c>
      <c r="I2248" s="45" t="n">
        <v>11189</v>
      </c>
      <c r="J2248" s="45" t="n">
        <v>456</v>
      </c>
      <c r="K2248" s="45" t="n">
        <v>135</v>
      </c>
      <c r="L2248" s="46" t="n"/>
      <c r="M2248" s="47" t="n"/>
      <c r="N2248" s="47" t="inlineStr">
        <is>
          <t>UCor_9jRnNNZVzTuQ92PKsaQ</t>
        </is>
      </c>
      <c r="O2248" s="48" t="n">
        <v>43130.62986111111</v>
      </c>
      <c r="P2248" s="49" t="n">
        <v>43130</v>
      </c>
      <c r="Q2248" s="47" t="n">
        <v>1020</v>
      </c>
      <c r="R2248" s="47" t="inlineStr">
        <is>
          <t>No Video ID yet</t>
        </is>
      </c>
      <c r="S2248" s="49" t="n"/>
      <c r="T2248" s="49" t="n"/>
      <c r="U2248" s="47" t="inlineStr">
        <is>
          <t>J and Ben take on the next cup as Dry Bones &amp; Toad as they answer your questions and give you advice!!</t>
        </is>
      </c>
      <c r="V2248" s="47">
        <f>IF(AND(P2248&gt;=Calendar!$K$2,P2248&lt;EDATE(Calendar!$K$2,1),OR(Calendar!$K$4="*",N2248=Calendar!$K$4)),P2248*100+COUNTIFS($P$6:$P$3267,P2248,$Q$6:$Q$3267,"&lt;="&amp;Q2248,$N$6:$N$3267,Calendar!$K$4),"")</f>
        <v/>
      </c>
      <c r="W2248" s="47">
        <f>IF(AND(B2248=Queue!$C$4,OR(Queue!$K$4="*",N2248=Queue!$K$4)),Q2248,"")</f>
        <v/>
      </c>
    </row>
    <row r="2249">
      <c r="A2249" s="38">
        <f>IF(M2249="","",HYPERLINK("https://www.youtube.com/watch?v="&amp;M2249,"▶"))</f>
        <v/>
      </c>
      <c r="B2249" s="39">
        <f>IF(C2249&lt;&gt;"",C2249,IF(P2249&lt;=IFERROR(INDEX(tblChannels[Watched Through],MATCH(N2249,tblChannels[Channel ID],0)),0),"Watched","Unwatched"))</f>
        <v/>
      </c>
      <c r="C2249" s="40" t="n"/>
      <c r="D2249" s="41" t="n"/>
      <c r="E2249" s="42" t="n">
        <v>43129.49027777778</v>
      </c>
      <c r="F2249" s="53" t="inlineStr">
        <is>
          <t>Jonathan Carlin</t>
        </is>
      </c>
      <c r="G2249" t="inlineStr">
        <is>
          <t>HARRY POTTER LONDON ADVENTURE</t>
        </is>
      </c>
      <c r="H2249" s="44" t="n">
        <v>0.01016203703703704</v>
      </c>
      <c r="I2249" s="45" t="n">
        <v>183450</v>
      </c>
      <c r="J2249" s="45" t="n">
        <v>9403</v>
      </c>
      <c r="K2249" s="45" t="n">
        <v>1068</v>
      </c>
      <c r="L2249" s="46" t="n"/>
      <c r="M2249" s="47" t="n"/>
      <c r="N2249" s="47" t="inlineStr">
        <is>
          <t>UCYPKFe86e6nm4TVUYKLsFUQ</t>
        </is>
      </c>
      <c r="O2249" s="48" t="n">
        <v>43129.69861111111</v>
      </c>
      <c r="P2249" s="49" t="n">
        <v>43129</v>
      </c>
      <c r="Q2249" s="47" t="n">
        <v>1019</v>
      </c>
      <c r="R2249" s="47" t="inlineStr">
        <is>
          <t>No Video ID yet</t>
        </is>
      </c>
      <c r="S2249" s="49" t="n"/>
      <c r="T2249" s="49" t="n"/>
      <c r="U2249" s="47" t="inlineStr">
        <is>
          <t>Check out the Video we made with Google Arts &amp; Culture :: This week Ben and I take off to London to work on an awesome Harry Potter project with Google Arts and Culture and the British Library. Also I deal with being away from Luke for the first time.</t>
        </is>
      </c>
      <c r="V2249" s="47">
        <f>IF(AND(P2249&gt;=Calendar!$K$2,P2249&lt;EDATE(Calendar!$K$2,1),OR(Calendar!$K$4="*",N2249=Calendar!$K$4)),P2249*100+COUNTIFS($P$6:$P$3267,P2249,$Q$6:$Q$3267,"&lt;="&amp;Q2249,$N$6:$N$3267,Calendar!$K$4),"")</f>
        <v/>
      </c>
      <c r="W2249" s="47">
        <f>IF(AND(B2249=Queue!$C$4,OR(Queue!$K$4="*",N2249=Queue!$K$4)),Q2249,"")</f>
        <v/>
      </c>
    </row>
    <row r="2250">
      <c r="A2250" s="38">
        <f>IF(M2250="","",HYPERLINK("https://www.youtube.com/watch?v="&amp;M2250,"▶"))</f>
        <v/>
      </c>
      <c r="B2250" s="39">
        <f>IF(C2250&lt;&gt;"",C2250,IF(P2250&lt;=IFERROR(INDEX(tblChannels[Watched Through],MATCH(N2250,tblChannels[Channel ID],0)),0),"Watched","Unwatched"))</f>
        <v/>
      </c>
      <c r="C2250" s="40" t="n"/>
      <c r="D2250" s="41" t="n"/>
      <c r="E2250" s="42" t="n">
        <v>43127.68194444444</v>
      </c>
      <c r="F2250" s="52" t="inlineStr">
        <is>
          <t>Super Carlin Gaming</t>
        </is>
      </c>
      <c r="G2250" t="inlineStr">
        <is>
          <t>Luke and J Play Pokemon Leaf Green | Mono Type FIRE Run #2</t>
        </is>
      </c>
      <c r="H2250" s="44" t="n">
        <v>0.04592592592592593</v>
      </c>
      <c r="I2250" s="45" t="n">
        <v>15683</v>
      </c>
      <c r="J2250" s="45" t="n">
        <v>479</v>
      </c>
      <c r="K2250" s="45" t="n">
        <v>75</v>
      </c>
      <c r="L2250" s="46" t="n"/>
      <c r="M2250" s="47" t="n"/>
      <c r="N2250" s="47" t="inlineStr">
        <is>
          <t>UCor_9jRnNNZVzTuQ92PKsaQ</t>
        </is>
      </c>
      <c r="O2250" s="48" t="n">
        <v>43127.89027777778</v>
      </c>
      <c r="P2250" s="49" t="n">
        <v>43127</v>
      </c>
      <c r="Q2250" s="47" t="n">
        <v>1018</v>
      </c>
      <c r="R2250" s="47" t="inlineStr">
        <is>
          <t>No Video ID yet</t>
        </is>
      </c>
      <c r="S2250" s="49" t="n"/>
      <c r="T2250" s="49" t="n"/>
      <c r="U2250" s="47" t="inlineStr">
        <is>
          <t>J and Luke's LIVE Pokemon Leaf Green Mono-Type Fire Run Adventure continues! Today we add the first new member of our team!</t>
        </is>
      </c>
      <c r="V2250" s="47">
        <f>IF(AND(P2250&gt;=Calendar!$K$2,P2250&lt;EDATE(Calendar!$K$2,1),OR(Calendar!$K$4="*",N2250=Calendar!$K$4)),P2250*100+COUNTIFS($P$6:$P$3267,P2250,$Q$6:$Q$3267,"&lt;="&amp;Q2250,$N$6:$N$3267,Calendar!$K$4),"")</f>
        <v/>
      </c>
      <c r="W2250" s="47">
        <f>IF(AND(B2250=Queue!$C$4,OR(Queue!$K$4="*",N2250=Queue!$K$4)),Q2250,"")</f>
        <v/>
      </c>
    </row>
    <row r="2251">
      <c r="A2251" s="38">
        <f>IF(M2251="","",HYPERLINK("https://www.youtube.com/watch?v="&amp;M2251,"▶"))</f>
        <v/>
      </c>
      <c r="B2251" s="39">
        <f>IF(C2251&lt;&gt;"",C2251,IF(P2251&lt;=IFERROR(INDEX(tblChannels[Watched Through],MATCH(N2251,tblChannels[Channel ID],0)),0),"Watched","Unwatched"))</f>
        <v/>
      </c>
      <c r="C2251" s="40" t="n"/>
      <c r="D2251" s="41" t="n"/>
      <c r="E2251" s="42" t="n">
        <v>43125.69305555556</v>
      </c>
      <c r="F2251" s="50" t="inlineStr">
        <is>
          <t>Super Carlin Brothers</t>
        </is>
      </c>
      <c r="G2251" t="inlineStr">
        <is>
          <t>Harry IS The Philosopher’s Stone | Harry Potter Theory</t>
        </is>
      </c>
      <c r="H2251" s="44" t="n">
        <v>0.006574074074074074</v>
      </c>
      <c r="I2251" s="45" t="n">
        <v>987741</v>
      </c>
      <c r="J2251" s="45" t="n">
        <v>30152</v>
      </c>
      <c r="K2251" s="45" t="n">
        <v>2279</v>
      </c>
      <c r="L2251" s="46" t="n"/>
      <c r="M2251" s="47" t="n"/>
      <c r="N2251" s="47" t="inlineStr">
        <is>
          <t>UCKZo4N0lVPccBkSiuyVh4yg</t>
        </is>
      </c>
      <c r="O2251" s="48" t="n">
        <v>43125.90138888889</v>
      </c>
      <c r="P2251" s="49" t="n">
        <v>43125</v>
      </c>
      <c r="Q2251" s="47" t="n">
        <v>1017</v>
      </c>
      <c r="R2251" s="47" t="inlineStr">
        <is>
          <t>No Video ID yet</t>
        </is>
      </c>
      <c r="S2251" s="49" t="n"/>
      <c r="T2251" s="49" t="n"/>
      <c r="U2251" s="47" t="inlineStr">
        <is>
          <t>Join the Dollar Shave Club :: Thanks to our sponsor Dollar Shave Club, new members get their 1st month of the 'Shower, Shave’Starter Set including the Executive Razor and trial-sized versions of their Shave Butter, Body Cleanser and One Wipe Charlies’ Butt Wipes for ONLY $5 with FREE shipping. After that razors are just a few bucks a month. Today Ben dives into the Wizarding World of Harry Potter to explore the muggle history of the Philosopher’s Stone and how Harry himself may in fact be one!</t>
        </is>
      </c>
      <c r="V2251" s="47">
        <f>IF(AND(P2251&gt;=Calendar!$K$2,P2251&lt;EDATE(Calendar!$K$2,1),OR(Calendar!$K$4="*",N2251=Calendar!$K$4)),P2251*100+COUNTIFS($P$6:$P$3267,P2251,$Q$6:$Q$3267,"&lt;="&amp;Q2251,$N$6:$N$3267,Calendar!$K$4),"")</f>
        <v/>
      </c>
      <c r="W2251" s="47">
        <f>IF(AND(B2251=Queue!$C$4,OR(Queue!$K$4="*",N2251=Queue!$K$4)),Q2251,"")</f>
        <v/>
      </c>
    </row>
    <row r="2252">
      <c r="A2252" s="38">
        <f>IF(M2252="","",HYPERLINK("https://www.youtube.com/watch?v="&amp;M2252,"▶"))</f>
        <v/>
      </c>
      <c r="B2252" s="39">
        <f>IF(C2252&lt;&gt;"",C2252,IF(P2252&lt;=IFERROR(INDEX(tblChannels[Watched Through],MATCH(N2252,tblChannels[Channel ID],0)),0),"Watched","Unwatched"))</f>
        <v/>
      </c>
      <c r="C2252" s="40" t="n"/>
      <c r="D2252" s="41" t="n"/>
      <c r="E2252" s="42" t="n">
        <v>43125.64583333334</v>
      </c>
      <c r="F2252" s="52" t="inlineStr">
        <is>
          <t>Super Carlin Gaming</t>
        </is>
      </c>
      <c r="G2252" t="inlineStr">
        <is>
          <t>Monkey in a Bucket | Mario Kart Roulette #66</t>
        </is>
      </c>
      <c r="H2252" s="44" t="n">
        <v>0.01304398148148148</v>
      </c>
      <c r="I2252" s="45" t="n">
        <v>11275</v>
      </c>
      <c r="J2252" s="45" t="n">
        <v>436</v>
      </c>
      <c r="K2252" s="45" t="n">
        <v>172</v>
      </c>
      <c r="L2252" s="46" t="n"/>
      <c r="M2252" s="47" t="n"/>
      <c r="N2252" s="47" t="inlineStr">
        <is>
          <t>UCor_9jRnNNZVzTuQ92PKsaQ</t>
        </is>
      </c>
      <c r="O2252" s="48" t="n">
        <v>43125.85416666666</v>
      </c>
      <c r="P2252" s="49" t="n">
        <v>43125</v>
      </c>
      <c r="Q2252" s="47" t="n">
        <v>1016</v>
      </c>
      <c r="R2252" s="47" t="inlineStr">
        <is>
          <t>No Video ID yet</t>
        </is>
      </c>
      <c r="S2252" s="49" t="n"/>
      <c r="T2252" s="49" t="n"/>
      <c r="U2252" s="47" t="inlineStr">
        <is>
          <t>J and Ben take on the Triforce Cup and answer your questions!</t>
        </is>
      </c>
      <c r="V2252" s="47">
        <f>IF(AND(P2252&gt;=Calendar!$K$2,P2252&lt;EDATE(Calendar!$K$2,1),OR(Calendar!$K$4="*",N2252=Calendar!$K$4)),P2252*100+COUNTIFS($P$6:$P$3267,P2252,$Q$6:$Q$3267,"&lt;="&amp;Q2252,$N$6:$N$3267,Calendar!$K$4),"")</f>
        <v/>
      </c>
      <c r="W2252" s="47">
        <f>IF(AND(B2252=Queue!$C$4,OR(Queue!$K$4="*",N2252=Queue!$K$4)),Q2252,"")</f>
        <v/>
      </c>
    </row>
    <row r="2253">
      <c r="A2253" s="38">
        <f>IF(M2253="","",HYPERLINK("https://www.youtube.com/watch?v="&amp;M2253,"▶"))</f>
        <v/>
      </c>
      <c r="B2253" s="39">
        <f>IF(C2253&lt;&gt;"",C2253,IF(P2253&lt;=IFERROR(INDEX(tblChannels[Watched Through],MATCH(N2253,tblChannels[Channel ID],0)),0),"Watched","Unwatched"))</f>
        <v/>
      </c>
      <c r="C2253" s="40" t="n"/>
      <c r="D2253" s="41" t="n"/>
      <c r="E2253" s="42" t="n">
        <v>43124.89930555555</v>
      </c>
      <c r="F2253" s="53" t="inlineStr">
        <is>
          <t>Jonathan Carlin</t>
        </is>
      </c>
      <c r="G2253" t="inlineStr">
        <is>
          <t>Q&amp;A w/ Beth and J.. and Luke!</t>
        </is>
      </c>
      <c r="H2253" s="44" t="n">
        <v>0.06125</v>
      </c>
      <c r="I2253" s="45" t="n">
        <v>38043</v>
      </c>
      <c r="J2253" s="45" t="n">
        <v>1368</v>
      </c>
      <c r="K2253" s="45" t="n">
        <v>194</v>
      </c>
      <c r="L2253" s="46" t="n"/>
      <c r="M2253" s="47" t="n"/>
      <c r="N2253" s="47" t="inlineStr">
        <is>
          <t>UCYPKFe86e6nm4TVUYKLsFUQ</t>
        </is>
      </c>
      <c r="O2253" s="48" t="n">
        <v>43125.10763888889</v>
      </c>
      <c r="P2253" s="49" t="n">
        <v>43124</v>
      </c>
      <c r="Q2253" s="47" t="n">
        <v>1015</v>
      </c>
      <c r="R2253" s="47" t="inlineStr">
        <is>
          <t>No Video ID yet</t>
        </is>
      </c>
      <c r="S2253" s="49" t="n"/>
      <c r="T2253" s="49" t="n"/>
      <c r="U2253" s="47" t="inlineStr">
        <is>
          <t>Beth and J are back with Luke to hang out and answer more of your questions!</t>
        </is>
      </c>
      <c r="V2253" s="47">
        <f>IF(AND(P2253&gt;=Calendar!$K$2,P2253&lt;EDATE(Calendar!$K$2,1),OR(Calendar!$K$4="*",N2253=Calendar!$K$4)),P2253*100+COUNTIFS($P$6:$P$3267,P2253,$Q$6:$Q$3267,"&lt;="&amp;Q2253,$N$6:$N$3267,Calendar!$K$4),"")</f>
        <v/>
      </c>
      <c r="W2253" s="47">
        <f>IF(AND(B2253=Queue!$C$4,OR(Queue!$K$4="*",N2253=Queue!$K$4)),Q2253,"")</f>
        <v/>
      </c>
    </row>
    <row r="2254">
      <c r="A2254" s="38">
        <f>IF(M2254="","",HYPERLINK("https://www.youtube.com/watch?v="&amp;M2254,"▶"))</f>
        <v/>
      </c>
      <c r="B2254" s="39">
        <f>IF(C2254&lt;&gt;"",C2254,IF(P2254&lt;=IFERROR(INDEX(tblChannels[Watched Through],MATCH(N2254,tblChannels[Channel ID],0)),0),"Watched","Unwatched"))</f>
        <v/>
      </c>
      <c r="C2254" s="40" t="n"/>
      <c r="D2254" s="41" t="n"/>
      <c r="E2254" s="42" t="n">
        <v>43124.81388888889</v>
      </c>
      <c r="F2254" s="52" t="inlineStr">
        <is>
          <t>Super Carlin Gaming</t>
        </is>
      </c>
      <c r="G2254" t="inlineStr">
        <is>
          <t>Pokemon Black Nuzlocke #28: THE FINAL BATTLE</t>
        </is>
      </c>
      <c r="H2254" s="44" t="n">
        <v>0.02778935185185185</v>
      </c>
      <c r="I2254" s="45" t="n">
        <v>37208</v>
      </c>
      <c r="J2254" s="45" t="n">
        <v>1396</v>
      </c>
      <c r="K2254" s="45" t="n">
        <v>594</v>
      </c>
      <c r="L2254" s="46" t="n"/>
      <c r="M2254" s="47" t="n"/>
      <c r="N2254" s="47" t="inlineStr">
        <is>
          <t>UCor_9jRnNNZVzTuQ92PKsaQ</t>
        </is>
      </c>
      <c r="O2254" s="48" t="n">
        <v>43125.02222222222</v>
      </c>
      <c r="P2254" s="49" t="n">
        <v>43124</v>
      </c>
      <c r="Q2254" s="47" t="n">
        <v>1014</v>
      </c>
      <c r="R2254" s="47" t="inlineStr">
        <is>
          <t>No Video ID yet</t>
        </is>
      </c>
      <c r="S2254" s="49" t="n"/>
      <c r="T2254" s="49" t="n"/>
      <c r="U2254" s="47" t="inlineStr">
        <is>
          <t>J and the team take on their final opponent... Can they survive one more encounter together or will this be the end?</t>
        </is>
      </c>
      <c r="V2254" s="47">
        <f>IF(AND(P2254&gt;=Calendar!$K$2,P2254&lt;EDATE(Calendar!$K$2,1),OR(Calendar!$K$4="*",N2254=Calendar!$K$4)),P2254*100+COUNTIFS($P$6:$P$3267,P2254,$Q$6:$Q$3267,"&lt;="&amp;Q2254,$N$6:$N$3267,Calendar!$K$4),"")</f>
        <v/>
      </c>
      <c r="W2254" s="47">
        <f>IF(AND(B2254=Queue!$C$4,OR(Queue!$K$4="*",N2254=Queue!$K$4)),Q2254,"")</f>
        <v/>
      </c>
    </row>
    <row r="2255">
      <c r="A2255" s="38">
        <f>IF(M2255="","",HYPERLINK("https://www.youtube.com/watch?v="&amp;M2255,"▶"))</f>
        <v/>
      </c>
      <c r="B2255" s="39">
        <f>IF(C2255&lt;&gt;"",C2255,IF(P2255&lt;=IFERROR(INDEX(tblChannels[Watched Through],MATCH(N2255,tblChannels[Channel ID],0)),0),"Watched","Unwatched"))</f>
        <v/>
      </c>
      <c r="C2255" s="40" t="n"/>
      <c r="D2255" s="41" t="n"/>
      <c r="E2255" s="42" t="n">
        <v>43123.76041666666</v>
      </c>
      <c r="F2255" s="50" t="inlineStr">
        <is>
          <t>Super Carlin Brothers</t>
        </is>
      </c>
      <c r="G2255" t="inlineStr">
        <is>
          <t>J vs Ben: Sorting Pixar Characters into Hogwarts Houses</t>
        </is>
      </c>
      <c r="H2255" s="44" t="n">
        <v>0.01783564814814815</v>
      </c>
      <c r="I2255" s="45" t="n">
        <v>1404692</v>
      </c>
      <c r="J2255" s="45" t="n">
        <v>29831</v>
      </c>
      <c r="K2255" s="45" t="n">
        <v>5564</v>
      </c>
      <c r="L2255" s="46" t="n"/>
      <c r="M2255" s="47" t="n"/>
      <c r="N2255" s="47" t="inlineStr">
        <is>
          <t>UCKZo4N0lVPccBkSiuyVh4yg</t>
        </is>
      </c>
      <c r="O2255" s="48" t="n">
        <v>43123.96875</v>
      </c>
      <c r="P2255" s="49" t="n">
        <v>43123</v>
      </c>
      <c r="Q2255" s="47" t="n">
        <v>1013</v>
      </c>
      <c r="R2255" s="47" t="inlineStr">
        <is>
          <t>No Video ID yet</t>
        </is>
      </c>
      <c r="S2255" s="49" t="n"/>
      <c r="T2255" s="49" t="n"/>
      <c r="U2255" s="47" t="inlineStr">
        <is>
          <t>VOTING FOR THIS GAME HAS ENDED! To enter to win the $1,000 Scholarship start building your project at SquareSpace.com/SCB Today J and Ben face off to determine which Hogwarts houses various Pixar characters belong to! Is Buzz Lightyear a Gryffindor? Is Edna Mode a Ravenclaw? Find out!</t>
        </is>
      </c>
      <c r="V2255" s="47">
        <f>IF(AND(P2255&gt;=Calendar!$K$2,P2255&lt;EDATE(Calendar!$K$2,1),OR(Calendar!$K$4="*",N2255=Calendar!$K$4)),P2255*100+COUNTIFS($P$6:$P$3267,P2255,$Q$6:$Q$3267,"&lt;="&amp;Q2255,$N$6:$N$3267,Calendar!$K$4),"")</f>
        <v/>
      </c>
      <c r="W2255" s="47">
        <f>IF(AND(B2255=Queue!$C$4,OR(Queue!$K$4="*",N2255=Queue!$K$4)),Q2255,"")</f>
        <v/>
      </c>
    </row>
    <row r="2256">
      <c r="A2256" s="38">
        <f>IF(M2256="","",HYPERLINK("https://www.youtube.com/watch?v="&amp;M2256,"▶"))</f>
        <v/>
      </c>
      <c r="B2256" s="39">
        <f>IF(C2256&lt;&gt;"",C2256,IF(P2256&lt;=IFERROR(INDEX(tblChannels[Watched Through],MATCH(N2256,tblChannels[Channel ID],0)),0),"Watched","Unwatched"))</f>
        <v/>
      </c>
      <c r="C2256" s="40" t="n"/>
      <c r="D2256" s="41" t="n"/>
      <c r="E2256" s="42" t="n">
        <v>43123.57777777778</v>
      </c>
      <c r="F2256" s="52" t="inlineStr">
        <is>
          <t>Super Carlin Gaming</t>
        </is>
      </c>
      <c r="G2256" t="inlineStr">
        <is>
          <t>Motivation is Success | Mario Kart Roulette #65</t>
        </is>
      </c>
      <c r="H2256" s="44" t="n">
        <v>0.01130787037037037</v>
      </c>
      <c r="I2256" s="45" t="n">
        <v>10348</v>
      </c>
      <c r="J2256" s="45" t="n">
        <v>419</v>
      </c>
      <c r="K2256" s="45" t="n">
        <v>76</v>
      </c>
      <c r="L2256" s="46" t="n"/>
      <c r="M2256" s="47" t="n"/>
      <c r="N2256" s="47" t="inlineStr">
        <is>
          <t>UCor_9jRnNNZVzTuQ92PKsaQ</t>
        </is>
      </c>
      <c r="O2256" s="48" t="n">
        <v>43123.78611111111</v>
      </c>
      <c r="P2256" s="49" t="n">
        <v>43123</v>
      </c>
      <c r="Q2256" s="47" t="n">
        <v>1012</v>
      </c>
      <c r="R2256" s="47" t="inlineStr">
        <is>
          <t>No Video ID yet</t>
        </is>
      </c>
      <c r="S2256" s="49" t="n"/>
      <c r="T2256" s="49" t="n"/>
      <c r="U2256" s="47" t="inlineStr">
        <is>
          <t>J and Ben take on the Egg Cup and answer your questions!</t>
        </is>
      </c>
      <c r="V2256" s="47">
        <f>IF(AND(P2256&gt;=Calendar!$K$2,P2256&lt;EDATE(Calendar!$K$2,1),OR(Calendar!$K$4="*",N2256=Calendar!$K$4)),P2256*100+COUNTIFS($P$6:$P$3267,P2256,$Q$6:$Q$3267,"&lt;="&amp;Q2256,$N$6:$N$3267,Calendar!$K$4),"")</f>
        <v/>
      </c>
      <c r="W2256" s="47">
        <f>IF(AND(B2256=Queue!$C$4,OR(Queue!$K$4="*",N2256=Queue!$K$4)),Q2256,"")</f>
        <v/>
      </c>
    </row>
    <row r="2257">
      <c r="A2257" s="38">
        <f>IF(M2257="","",HYPERLINK("https://www.youtube.com/watch?v="&amp;M2257,"▶"))</f>
        <v/>
      </c>
      <c r="B2257" s="39">
        <f>IF(C2257&lt;&gt;"",C2257,IF(P2257&lt;=IFERROR(INDEX(tblChannels[Watched Through],MATCH(N2257,tblChannels[Channel ID],0)),0),"Watched","Unwatched"))</f>
        <v/>
      </c>
      <c r="C2257" s="40" t="n"/>
      <c r="D2257" s="41" t="n"/>
      <c r="E2257" s="42" t="n">
        <v>43122.59583333333</v>
      </c>
      <c r="F2257" s="52" t="inlineStr">
        <is>
          <t>Super Carlin Gaming</t>
        </is>
      </c>
      <c r="G2257" t="inlineStr">
        <is>
          <t>Pokemon Black Nuzlocke #27: The Second Half...</t>
        </is>
      </c>
      <c r="H2257" s="44" t="n">
        <v>0.01650462962962963</v>
      </c>
      <c r="I2257" s="45" t="n">
        <v>22172</v>
      </c>
      <c r="J2257" s="45" t="n">
        <v>697</v>
      </c>
      <c r="K2257" s="45" t="n">
        <v>176</v>
      </c>
      <c r="L2257" s="46" t="n"/>
      <c r="M2257" s="47" t="n"/>
      <c r="N2257" s="47" t="inlineStr">
        <is>
          <t>UCor_9jRnNNZVzTuQ92PKsaQ</t>
        </is>
      </c>
      <c r="O2257" s="48" t="n">
        <v>43122.80416666667</v>
      </c>
      <c r="P2257" s="49" t="n">
        <v>43122</v>
      </c>
      <c r="Q2257" s="47" t="n">
        <v>1011</v>
      </c>
      <c r="R2257" s="47" t="inlineStr">
        <is>
          <t>No Video ID yet</t>
        </is>
      </c>
      <c r="S2257" s="49" t="n"/>
      <c r="T2257" s="49" t="n"/>
      <c r="U2257" s="47" t="inlineStr">
        <is>
          <t>J &amp; The Team take on the second half of the Elite Four! Is the team ready? Will we get through the Elite Four safely?</t>
        </is>
      </c>
      <c r="V2257" s="47">
        <f>IF(AND(P2257&gt;=Calendar!$K$2,P2257&lt;EDATE(Calendar!$K$2,1),OR(Calendar!$K$4="*",N2257=Calendar!$K$4)),P2257*100+COUNTIFS($P$6:$P$3267,P2257,$Q$6:$Q$3267,"&lt;="&amp;Q2257,$N$6:$N$3267,Calendar!$K$4),"")</f>
        <v/>
      </c>
      <c r="W2257" s="47">
        <f>IF(AND(B2257=Queue!$C$4,OR(Queue!$K$4="*",N2257=Queue!$K$4)),Q2257,"")</f>
        <v/>
      </c>
    </row>
    <row r="2258">
      <c r="A2258" s="38">
        <f>IF(M2258="","",HYPERLINK("https://www.youtube.com/watch?v="&amp;M2258,"▶"))</f>
        <v/>
      </c>
      <c r="B2258" s="39">
        <f>IF(C2258&lt;&gt;"",C2258,IF(P2258&lt;=IFERROR(INDEX(tblChannels[Watched Through],MATCH(N2258,tblChannels[Channel ID],0)),0),"Watched","Unwatched"))</f>
        <v/>
      </c>
      <c r="C2258" s="40" t="n"/>
      <c r="D2258" s="41" t="n"/>
      <c r="E2258" s="42" t="n">
        <v>43122.52847222222</v>
      </c>
      <c r="F2258" s="53" t="inlineStr">
        <is>
          <t>Jonathan Carlin</t>
        </is>
      </c>
      <c r="G2258" t="inlineStr">
        <is>
          <t>QUEST FOR THE PERFECT BURGER</t>
        </is>
      </c>
      <c r="H2258" s="44" t="n">
        <v>0.005891203703703704</v>
      </c>
      <c r="I2258" s="45" t="n">
        <v>49830</v>
      </c>
      <c r="J2258" s="45" t="n">
        <v>2012</v>
      </c>
      <c r="K2258" s="45" t="n">
        <v>249</v>
      </c>
      <c r="L2258" s="46" t="n"/>
      <c r="M2258" s="47" t="n"/>
      <c r="N2258" s="47" t="inlineStr">
        <is>
          <t>UCYPKFe86e6nm4TVUYKLsFUQ</t>
        </is>
      </c>
      <c r="O2258" s="48" t="n">
        <v>43122.73680555556</v>
      </c>
      <c r="P2258" s="49" t="n">
        <v>43122</v>
      </c>
      <c r="Q2258" s="47" t="n">
        <v>1010</v>
      </c>
      <c r="R2258" s="47" t="inlineStr">
        <is>
          <t>No Video ID yet</t>
        </is>
      </c>
      <c r="S2258" s="49" t="n"/>
      <c r="T2258" s="49" t="n"/>
      <c r="U2258" s="47" t="inlineStr">
        <is>
          <t>Welcome to 2018! Kallie is back and the hunt for the Best Burger in Roanoke is ON! My friends Burger Blog ::</t>
        </is>
      </c>
      <c r="V2258" s="47">
        <f>IF(AND(P2258&gt;=Calendar!$K$2,P2258&lt;EDATE(Calendar!$K$2,1),OR(Calendar!$K$4="*",N2258=Calendar!$K$4)),P2258*100+COUNTIFS($P$6:$P$3267,P2258,$Q$6:$Q$3267,"&lt;="&amp;Q2258,$N$6:$N$3267,Calendar!$K$4),"")</f>
        <v/>
      </c>
      <c r="W2258" s="47">
        <f>IF(AND(B2258=Queue!$C$4,OR(Queue!$K$4="*",N2258=Queue!$K$4)),Q2258,"")</f>
        <v/>
      </c>
    </row>
    <row r="2259">
      <c r="A2259" s="38">
        <f>IF(M2259="","",HYPERLINK("https://www.youtube.com/watch?v="&amp;M2259,"▶"))</f>
        <v/>
      </c>
      <c r="B2259" s="39">
        <f>IF(C2259&lt;&gt;"",C2259,IF(P2259&lt;=IFERROR(INDEX(tblChannels[Watched Through],MATCH(N2259,tblChannels[Channel ID],0)),0),"Watched","Unwatched"))</f>
        <v/>
      </c>
      <c r="C2259" s="40" t="n"/>
      <c r="D2259" s="41" t="n"/>
      <c r="E2259" s="42" t="n">
        <v>43119.72361111111</v>
      </c>
      <c r="F2259" s="52" t="inlineStr">
        <is>
          <t>Super Carlin Gaming</t>
        </is>
      </c>
      <c r="G2259" t="inlineStr">
        <is>
          <t>Pokemon Black Nuzlocke #26: The First Half...</t>
        </is>
      </c>
      <c r="H2259" s="44" t="n">
        <v>0.01847222222222222</v>
      </c>
      <c r="I2259" s="45" t="n">
        <v>23670</v>
      </c>
      <c r="J2259" s="45" t="n">
        <v>659</v>
      </c>
      <c r="K2259" s="45" t="n">
        <v>155</v>
      </c>
      <c r="L2259" s="46" t="n"/>
      <c r="M2259" s="47" t="n"/>
      <c r="N2259" s="47" t="inlineStr">
        <is>
          <t>UCor_9jRnNNZVzTuQ92PKsaQ</t>
        </is>
      </c>
      <c r="O2259" s="48" t="n">
        <v>43119.93194444444</v>
      </c>
      <c r="P2259" s="49" t="n">
        <v>43119</v>
      </c>
      <c r="Q2259" s="47" t="n">
        <v>1009</v>
      </c>
      <c r="R2259" s="47" t="inlineStr">
        <is>
          <t>No Video ID yet</t>
        </is>
      </c>
      <c r="S2259" s="49" t="n"/>
      <c r="T2259" s="49" t="n"/>
      <c r="U2259" s="47" t="inlineStr">
        <is>
          <t>J and the team move to take on the first half of the Elite Four! Will everyone make it through?</t>
        </is>
      </c>
      <c r="V2259" s="47">
        <f>IF(AND(P2259&gt;=Calendar!$K$2,P2259&lt;EDATE(Calendar!$K$2,1),OR(Calendar!$K$4="*",N2259=Calendar!$K$4)),P2259*100+COUNTIFS($P$6:$P$3267,P2259,$Q$6:$Q$3267,"&lt;="&amp;Q2259,$N$6:$N$3267,Calendar!$K$4),"")</f>
        <v/>
      </c>
      <c r="W2259" s="47">
        <f>IF(AND(B2259=Queue!$C$4,OR(Queue!$K$4="*",N2259=Queue!$K$4)),Q2259,"")</f>
        <v/>
      </c>
    </row>
    <row r="2260">
      <c r="A2260" s="38">
        <f>IF(M2260="","",HYPERLINK("https://www.youtube.com/watch?v="&amp;M2260,"▶"))</f>
        <v/>
      </c>
      <c r="B2260" s="39">
        <f>IF(C2260&lt;&gt;"",C2260,IF(P2260&lt;=IFERROR(INDEX(tblChannels[Watched Through],MATCH(N2260,tblChannels[Channel ID],0)),0),"Watched","Unwatched"))</f>
        <v/>
      </c>
      <c r="C2260" s="40" t="n"/>
      <c r="D2260" s="41" t="n"/>
      <c r="E2260" s="42" t="n">
        <v>43119.68611111111</v>
      </c>
      <c r="F2260" s="52" t="inlineStr">
        <is>
          <t>Super Carlin Gaming</t>
        </is>
      </c>
      <c r="G2260" t="inlineStr">
        <is>
          <t>Luke and J Play Pokemon Leaf Green | Mono Type FIRE Run #1</t>
        </is>
      </c>
      <c r="H2260" s="44" t="n">
        <v>0.02163194444444444</v>
      </c>
      <c r="I2260" s="45" t="n">
        <v>26600</v>
      </c>
      <c r="J2260" s="45" t="n">
        <v>690</v>
      </c>
      <c r="K2260" s="45" t="n">
        <v>119</v>
      </c>
      <c r="L2260" s="46" t="n"/>
      <c r="M2260" s="47" t="n"/>
      <c r="N2260" s="47" t="inlineStr">
        <is>
          <t>UCor_9jRnNNZVzTuQ92PKsaQ</t>
        </is>
      </c>
      <c r="O2260" s="48" t="n">
        <v>43119.89444444444</v>
      </c>
      <c r="P2260" s="49" t="n">
        <v>43119</v>
      </c>
      <c r="Q2260" s="47" t="n">
        <v>1008</v>
      </c>
      <c r="R2260" s="47" t="inlineStr">
        <is>
          <t>No Video ID yet</t>
        </is>
      </c>
      <c r="S2260" s="49" t="n"/>
      <c r="T2260" s="49" t="n"/>
      <c r="U2260" s="47" t="inlineStr">
        <is>
          <t>J and Luke's LIVE Pokemon Leaf Green Mono-Type Fire Run Adventure!</t>
        </is>
      </c>
      <c r="V2260" s="47">
        <f>IF(AND(P2260&gt;=Calendar!$K$2,P2260&lt;EDATE(Calendar!$K$2,1),OR(Calendar!$K$4="*",N2260=Calendar!$K$4)),P2260*100+COUNTIFS($P$6:$P$3267,P2260,$Q$6:$Q$3267,"&lt;="&amp;Q2260,$N$6:$N$3267,Calendar!$K$4),"")</f>
        <v/>
      </c>
      <c r="W2260" s="47">
        <f>IF(AND(B2260=Queue!$C$4,OR(Queue!$K$4="*",N2260=Queue!$K$4)),Q2260,"")</f>
        <v/>
      </c>
    </row>
    <row r="2261">
      <c r="A2261" s="38">
        <f>IF(M2261="","",HYPERLINK("https://www.youtube.com/watch?v="&amp;M2261,"▶"))</f>
        <v/>
      </c>
      <c r="B2261" s="39">
        <f>IF(C2261&lt;&gt;"",C2261,IF(P2261&lt;=IFERROR(INDEX(tblChannels[Watched Through],MATCH(N2261,tblChannels[Channel ID],0)),0),"Watched","Unwatched"))</f>
        <v/>
      </c>
      <c r="C2261" s="40" t="n"/>
      <c r="D2261" s="41" t="n"/>
      <c r="E2261" s="42" t="n">
        <v>43118.69791666666</v>
      </c>
      <c r="F2261" s="50" t="inlineStr">
        <is>
          <t>Super Carlin Brothers</t>
        </is>
      </c>
      <c r="G2261" t="inlineStr">
        <is>
          <t>Why Harry's Scar Is A Lightning Bolt | Harry Potter Theory</t>
        </is>
      </c>
      <c r="H2261" s="44" t="n">
        <v>0.00636574074074074</v>
      </c>
      <c r="I2261" s="45" t="n">
        <v>1493835</v>
      </c>
      <c r="J2261" s="45" t="n">
        <v>35597</v>
      </c>
      <c r="K2261" s="45" t="n">
        <v>4684</v>
      </c>
      <c r="L2261" s="46" t="n"/>
      <c r="M2261" s="47" t="n"/>
      <c r="N2261" s="47" t="inlineStr">
        <is>
          <t>UCKZo4N0lVPccBkSiuyVh4yg</t>
        </is>
      </c>
      <c r="O2261" s="48" t="n">
        <v>43118.90625</v>
      </c>
      <c r="P2261" s="49" t="n">
        <v>43118</v>
      </c>
      <c r="Q2261" s="47" t="n">
        <v>1007</v>
      </c>
      <c r="R2261" s="47" t="inlineStr">
        <is>
          <t>No Video ID yet</t>
        </is>
      </c>
      <c r="S2261" s="49" t="n"/>
      <c r="T2261" s="49" t="n"/>
      <c r="U2261" s="47" t="inlineStr">
        <is>
          <t>Today J dives into the Wizarding World of Harry Potter to discuss why his iconic lightning bolt scar is shaped the way it is!</t>
        </is>
      </c>
      <c r="V2261" s="47">
        <f>IF(AND(P2261&gt;=Calendar!$K$2,P2261&lt;EDATE(Calendar!$K$2,1),OR(Calendar!$K$4="*",N2261=Calendar!$K$4)),P2261*100+COUNTIFS($P$6:$P$3267,P2261,$Q$6:$Q$3267,"&lt;="&amp;Q2261,$N$6:$N$3267,Calendar!$K$4),"")</f>
        <v/>
      </c>
      <c r="W2261" s="47">
        <f>IF(AND(B2261=Queue!$C$4,OR(Queue!$K$4="*",N2261=Queue!$K$4)),Q2261,"")</f>
        <v/>
      </c>
    </row>
    <row r="2262">
      <c r="A2262" s="38">
        <f>IF(M2262="","",HYPERLINK("https://www.youtube.com/watch?v="&amp;M2262,"▶"))</f>
        <v/>
      </c>
      <c r="B2262" s="39">
        <f>IF(C2262&lt;&gt;"",C2262,IF(P2262&lt;=IFERROR(INDEX(tblChannels[Watched Through],MATCH(N2262,tblChannels[Channel ID],0)),0),"Watched","Unwatched"))</f>
        <v/>
      </c>
      <c r="C2262" s="40" t="n"/>
      <c r="D2262" s="41" t="n"/>
      <c r="E2262" s="42" t="n">
        <v>43118.55347222222</v>
      </c>
      <c r="F2262" s="52" t="inlineStr">
        <is>
          <t>Super Carlin Gaming</t>
        </is>
      </c>
      <c r="G2262" t="inlineStr">
        <is>
          <t>Mario Kart Roulette #64: Cross Country Solves Problems</t>
        </is>
      </c>
      <c r="H2262" s="44" t="n">
        <v>0.01244212962962963</v>
      </c>
      <c r="I2262" s="45" t="n">
        <v>11363</v>
      </c>
      <c r="J2262" s="45" t="n">
        <v>589</v>
      </c>
      <c r="K2262" s="45" t="n">
        <v>129</v>
      </c>
      <c r="L2262" s="46" t="n"/>
      <c r="M2262" s="47" t="n"/>
      <c r="N2262" s="47" t="inlineStr">
        <is>
          <t>UCor_9jRnNNZVzTuQ92PKsaQ</t>
        </is>
      </c>
      <c r="O2262" s="48" t="n">
        <v>43118.76180555556</v>
      </c>
      <c r="P2262" s="49" t="n">
        <v>43118</v>
      </c>
      <c r="Q2262" s="47" t="n">
        <v>1006</v>
      </c>
      <c r="R2262" s="47" t="inlineStr">
        <is>
          <t>No Video ID yet</t>
        </is>
      </c>
      <c r="S2262" s="49" t="n"/>
      <c r="T2262" s="49" t="n"/>
      <c r="U2262" s="47" t="inlineStr">
        <is>
          <t>J and Ben take on the Special Cup and answer your questions!</t>
        </is>
      </c>
      <c r="V2262" s="47">
        <f>IF(AND(P2262&gt;=Calendar!$K$2,P2262&lt;EDATE(Calendar!$K$2,1),OR(Calendar!$K$4="*",N2262=Calendar!$K$4)),P2262*100+COUNTIFS($P$6:$P$3267,P2262,$Q$6:$Q$3267,"&lt;="&amp;Q2262,$N$6:$N$3267,Calendar!$K$4),"")</f>
        <v/>
      </c>
      <c r="W2262" s="47">
        <f>IF(AND(B2262=Queue!$C$4,OR(Queue!$K$4="*",N2262=Queue!$K$4)),Q2262,"")</f>
        <v/>
      </c>
    </row>
    <row r="2263">
      <c r="A2263" s="38">
        <f>IF(M2263="","",HYPERLINK("https://www.youtube.com/watch?v="&amp;M2263,"▶"))</f>
        <v/>
      </c>
      <c r="B2263" s="39">
        <f>IF(C2263&lt;&gt;"",C2263,IF(P2263&lt;=IFERROR(INDEX(tblChannels[Watched Through],MATCH(N2263,tblChannels[Channel ID],0)),0),"Watched","Unwatched"))</f>
        <v/>
      </c>
      <c r="C2263" s="40" t="n"/>
      <c r="D2263" s="41" t="n"/>
      <c r="E2263" s="42" t="n">
        <v>43117.91527777778</v>
      </c>
      <c r="F2263" s="53" t="inlineStr">
        <is>
          <t>Jonathan Carlin</t>
        </is>
      </c>
      <c r="G2263" t="inlineStr">
        <is>
          <t>LIVE STREAM: Q&amp;A w/ Beth and J!</t>
        </is>
      </c>
      <c r="H2263" s="44" t="n">
        <v>0.05501157407407407</v>
      </c>
      <c r="I2263" s="45" t="n">
        <v>29997</v>
      </c>
      <c r="J2263" s="45" t="n">
        <v>1498</v>
      </c>
      <c r="K2263" s="45" t="n">
        <v>175</v>
      </c>
      <c r="L2263" s="46" t="n"/>
      <c r="M2263" s="47" t="n"/>
      <c r="N2263" s="47" t="inlineStr">
        <is>
          <t>UCYPKFe86e6nm4TVUYKLsFUQ</t>
        </is>
      </c>
      <c r="O2263" s="48" t="n">
        <v>43118.12361111111</v>
      </c>
      <c r="P2263" s="49" t="n">
        <v>43117</v>
      </c>
      <c r="Q2263" s="47" t="n">
        <v>1005</v>
      </c>
      <c r="R2263" s="47" t="inlineStr">
        <is>
          <t>No Video ID yet</t>
        </is>
      </c>
      <c r="S2263" s="49" t="n"/>
      <c r="T2263" s="49" t="n"/>
      <c r="U2263" s="47" t="inlineStr">
        <is>
          <t>J and Beth answer your questions about life, Luke and whatever else!</t>
        </is>
      </c>
      <c r="V2263" s="47">
        <f>IF(AND(P2263&gt;=Calendar!$K$2,P2263&lt;EDATE(Calendar!$K$2,1),OR(Calendar!$K$4="*",N2263=Calendar!$K$4)),P2263*100+COUNTIFS($P$6:$P$3267,P2263,$Q$6:$Q$3267,"&lt;="&amp;Q2263,$N$6:$N$3267,Calendar!$K$4),"")</f>
        <v/>
      </c>
      <c r="W2263" s="47">
        <f>IF(AND(B2263=Queue!$C$4,OR(Queue!$K$4="*",N2263=Queue!$K$4)),Q2263,"")</f>
        <v/>
      </c>
    </row>
    <row r="2264">
      <c r="A2264" s="38">
        <f>IF(M2264="","",HYPERLINK("https://www.youtube.com/watch?v="&amp;M2264,"▶"))</f>
        <v/>
      </c>
      <c r="B2264" s="39">
        <f>IF(C2264&lt;&gt;"",C2264,IF(P2264&lt;=IFERROR(INDEX(tblChannels[Watched Through],MATCH(N2264,tblChannels[Channel ID],0)),0),"Watched","Unwatched"))</f>
        <v/>
      </c>
      <c r="C2264" s="40" t="n"/>
      <c r="D2264" s="41" t="n"/>
      <c r="E2264" s="42" t="n">
        <v>43117.70277777778</v>
      </c>
      <c r="F2264" s="52" t="inlineStr">
        <is>
          <t>Super Carlin Gaming</t>
        </is>
      </c>
      <c r="G2264" t="inlineStr">
        <is>
          <t>Pokemon Black Nuzlocke #25: Que the Victory Road Music!</t>
        </is>
      </c>
      <c r="H2264" s="44" t="n">
        <v>0.01328703703703704</v>
      </c>
      <c r="I2264" s="45" t="n">
        <v>21546</v>
      </c>
      <c r="J2264" s="45" t="n">
        <v>611</v>
      </c>
      <c r="K2264" s="45" t="n">
        <v>159</v>
      </c>
      <c r="L2264" s="46" t="n"/>
      <c r="M2264" s="47" t="n"/>
      <c r="N2264" s="47" t="inlineStr">
        <is>
          <t>UCor_9jRnNNZVzTuQ92PKsaQ</t>
        </is>
      </c>
      <c r="O2264" s="48" t="n">
        <v>43117.91111111111</v>
      </c>
      <c r="P2264" s="49" t="n">
        <v>43117</v>
      </c>
      <c r="Q2264" s="47" t="n">
        <v>1004</v>
      </c>
      <c r="R2264" s="47" t="inlineStr">
        <is>
          <t>No Video ID yet</t>
        </is>
      </c>
      <c r="S2264" s="49" t="n"/>
      <c r="T2264" s="49" t="n"/>
      <c r="U2264" s="47" t="inlineStr">
        <is>
          <t>J and the team train up some new members and return to challenge Victory Road and make their way to the Pokémon League! Will everyone survive another treacherous journey through the most challenging cave??</t>
        </is>
      </c>
      <c r="V2264" s="47">
        <f>IF(AND(P2264&gt;=Calendar!$K$2,P2264&lt;EDATE(Calendar!$K$2,1),OR(Calendar!$K$4="*",N2264=Calendar!$K$4)),P2264*100+COUNTIFS($P$6:$P$3267,P2264,$Q$6:$Q$3267,"&lt;="&amp;Q2264,$N$6:$N$3267,Calendar!$K$4),"")</f>
        <v/>
      </c>
      <c r="W2264" s="47">
        <f>IF(AND(B2264=Queue!$C$4,OR(Queue!$K$4="*",N2264=Queue!$K$4)),Q2264,"")</f>
        <v/>
      </c>
    </row>
    <row r="2265">
      <c r="A2265" s="38">
        <f>IF(M2265="","",HYPERLINK("https://www.youtube.com/watch?v="&amp;M2265,"▶"))</f>
        <v/>
      </c>
      <c r="B2265" s="39">
        <f>IF(C2265&lt;&gt;"",C2265,IF(P2265&lt;=IFERROR(INDEX(tblChannels[Watched Through],MATCH(N2265,tblChannels[Channel ID],0)),0),"Watched","Unwatched"))</f>
        <v/>
      </c>
      <c r="C2265" s="40" t="n"/>
      <c r="D2265" s="41" t="n"/>
      <c r="E2265" s="42" t="n">
        <v>43116.87708333333</v>
      </c>
      <c r="F2265" s="50" t="inlineStr">
        <is>
          <t>Super Carlin Brothers</t>
        </is>
      </c>
      <c r="G2265" t="inlineStr">
        <is>
          <t>J vs Ben: The HARDEST Snape Trivia Quiz EVER</t>
        </is>
      </c>
      <c r="H2265" s="44" t="n">
        <v>0.02918981481481481</v>
      </c>
      <c r="I2265" s="45" t="n">
        <v>1979854</v>
      </c>
      <c r="J2265" s="45" t="n">
        <v>26437</v>
      </c>
      <c r="K2265" s="45" t="n">
        <v>3712</v>
      </c>
      <c r="L2265" s="46" t="n"/>
      <c r="M2265" s="47" t="n"/>
      <c r="N2265" s="47" t="inlineStr">
        <is>
          <t>UCKZo4N0lVPccBkSiuyVh4yg</t>
        </is>
      </c>
      <c r="O2265" s="48" t="n">
        <v>43117.08541666667</v>
      </c>
      <c r="P2265" s="49" t="n">
        <v>43116</v>
      </c>
      <c r="Q2265" s="47" t="n">
        <v>1003</v>
      </c>
      <c r="R2265" s="47" t="inlineStr">
        <is>
          <t>No Video ID yet</t>
        </is>
      </c>
      <c r="S2265" s="49" t="n"/>
      <c r="T2265" s="49" t="n"/>
      <c r="U2265" s="47" t="inlineStr">
        <is>
          <t>Play along with us! :: Today J and Ben face off in the Ultimate Severus Snape quiz to find out who knows Harry Potter’s infamous potions master best! Turn to page 394 and lets begin! Special Thanks to these Patrons who Support Super Carlin Brothers on Patreon :: Miranda Vasquez, Natalie Masucci, Allison Hyslop, Marts Furuli, Qui Le, Elizabeth Pellegrine, Alex Soltis, Viola James, Beg Meme Boi, Christina McCullough, Jennifer, Alan Wolfe, Sarah E McCartney, Zara Caldwell, Lasse Buan, Charles C Seymour, Kristhell Lopez, Amy Beerbower, Isabella</t>
        </is>
      </c>
      <c r="V2265" s="47">
        <f>IF(AND(P2265&gt;=Calendar!$K$2,P2265&lt;EDATE(Calendar!$K$2,1),OR(Calendar!$K$4="*",N2265=Calendar!$K$4)),P2265*100+COUNTIFS($P$6:$P$3267,P2265,$Q$6:$Q$3267,"&lt;="&amp;Q2265,$N$6:$N$3267,Calendar!$K$4),"")</f>
        <v/>
      </c>
      <c r="W2265" s="47">
        <f>IF(AND(B2265=Queue!$C$4,OR(Queue!$K$4="*",N2265=Queue!$K$4)),Q2265,"")</f>
        <v/>
      </c>
    </row>
    <row r="2266">
      <c r="A2266" s="38">
        <f>IF(M2266="","",HYPERLINK("https://www.youtube.com/watch?v="&amp;M2266,"▶"))</f>
        <v/>
      </c>
      <c r="B2266" s="39">
        <f>IF(C2266&lt;&gt;"",C2266,IF(P2266&lt;=IFERROR(INDEX(tblChannels[Watched Through],MATCH(N2266,tblChannels[Channel ID],0)),0),"Watched","Unwatched"))</f>
        <v/>
      </c>
      <c r="C2266" s="40" t="n"/>
      <c r="D2266" s="41" t="n"/>
      <c r="E2266" s="42" t="n">
        <v>43116.63819444444</v>
      </c>
      <c r="F2266" s="52" t="inlineStr">
        <is>
          <t>Super Carlin Gaming</t>
        </is>
      </c>
      <c r="G2266" t="inlineStr">
        <is>
          <t>Mario Kart Roulette #63: Public Speaking</t>
        </is>
      </c>
      <c r="H2266" s="44" t="n">
        <v>0.01319444444444444</v>
      </c>
      <c r="I2266" s="45" t="n">
        <v>11323</v>
      </c>
      <c r="J2266" s="45" t="n">
        <v>514</v>
      </c>
      <c r="K2266" s="45" t="n">
        <v>91</v>
      </c>
      <c r="L2266" s="46" t="n"/>
      <c r="M2266" s="47" t="n"/>
      <c r="N2266" s="47" t="inlineStr">
        <is>
          <t>UCor_9jRnNNZVzTuQ92PKsaQ</t>
        </is>
      </c>
      <c r="O2266" s="48" t="n">
        <v>43116.84652777778</v>
      </c>
      <c r="P2266" s="49" t="n">
        <v>43116</v>
      </c>
      <c r="Q2266" s="47" t="n">
        <v>1002</v>
      </c>
      <c r="R2266" s="47" t="inlineStr">
        <is>
          <t>No Video ID yet</t>
        </is>
      </c>
      <c r="S2266" s="49" t="n"/>
      <c r="T2266" s="49" t="n"/>
      <c r="U2266" s="47" t="inlineStr">
        <is>
          <t>In this episode, J and Ben take on the Leaf Cup and answer your questions!</t>
        </is>
      </c>
      <c r="V2266" s="47">
        <f>IF(AND(P2266&gt;=Calendar!$K$2,P2266&lt;EDATE(Calendar!$K$2,1),OR(Calendar!$K$4="*",N2266=Calendar!$K$4)),P2266*100+COUNTIFS($P$6:$P$3267,P2266,$Q$6:$Q$3267,"&lt;="&amp;Q2266,$N$6:$N$3267,Calendar!$K$4),"")</f>
        <v/>
      </c>
      <c r="W2266" s="47">
        <f>IF(AND(B2266=Queue!$C$4,OR(Queue!$K$4="*",N2266=Queue!$K$4)),Q2266,"")</f>
        <v/>
      </c>
    </row>
    <row r="2267">
      <c r="A2267" s="38">
        <f>IF(M2267="","",HYPERLINK("https://www.youtube.com/watch?v="&amp;M2267,"▶"))</f>
        <v/>
      </c>
      <c r="B2267" s="39">
        <f>IF(C2267&lt;&gt;"",C2267,IF(P2267&lt;=IFERROR(INDEX(tblChannels[Watched Through],MATCH(N2267,tblChannels[Channel ID],0)),0),"Watched","Unwatched"))</f>
        <v/>
      </c>
      <c r="C2267" s="40" t="n"/>
      <c r="D2267" s="41" t="n"/>
      <c r="E2267" s="42" t="n">
        <v>43115.74583333333</v>
      </c>
      <c r="F2267" s="53" t="inlineStr">
        <is>
          <t>Jonathan Carlin</t>
        </is>
      </c>
      <c r="G2267" t="inlineStr">
        <is>
          <t>FINDING OUT BETH WAS PREGNANT | 2017 REWIND</t>
        </is>
      </c>
      <c r="H2267" s="44" t="n">
        <v>0.006030092592592593</v>
      </c>
      <c r="I2267" s="45" t="n">
        <v>74111</v>
      </c>
      <c r="J2267" s="45" t="n">
        <v>3044</v>
      </c>
      <c r="K2267" s="45" t="n">
        <v>246</v>
      </c>
      <c r="L2267" s="46" t="n"/>
      <c r="M2267" s="47" t="n"/>
      <c r="N2267" s="47" t="inlineStr">
        <is>
          <t>UCYPKFe86e6nm4TVUYKLsFUQ</t>
        </is>
      </c>
      <c r="O2267" s="48" t="n">
        <v>43115.95416666667</v>
      </c>
      <c r="P2267" s="49" t="n">
        <v>43115</v>
      </c>
      <c r="Q2267" s="47" t="n">
        <v>1001</v>
      </c>
      <c r="R2267" s="47" t="inlineStr">
        <is>
          <t>No Video ID yet</t>
        </is>
      </c>
      <c r="S2267" s="49" t="n"/>
      <c r="T2267" s="49" t="n"/>
      <c r="U2267" s="47" t="inlineStr">
        <is>
          <t>To be clear - Beth is NOT pregnant again! Happy New Years! Today J takes a look back at all of the highlights from 2017 in the Carlin family - and fails to finish the changing table... again!</t>
        </is>
      </c>
      <c r="V2267" s="47">
        <f>IF(AND(P2267&gt;=Calendar!$K$2,P2267&lt;EDATE(Calendar!$K$2,1),OR(Calendar!$K$4="*",N2267=Calendar!$K$4)),P2267*100+COUNTIFS($P$6:$P$3267,P2267,$Q$6:$Q$3267,"&lt;="&amp;Q2267,$N$6:$N$3267,Calendar!$K$4),"")</f>
        <v/>
      </c>
      <c r="W2267" s="47">
        <f>IF(AND(B2267=Queue!$C$4,OR(Queue!$K$4="*",N2267=Queue!$K$4)),Q2267,"")</f>
        <v/>
      </c>
    </row>
    <row r="2268">
      <c r="A2268" s="38">
        <f>IF(M2268="","",HYPERLINK("https://www.youtube.com/watch?v="&amp;M2268,"▶"))</f>
        <v/>
      </c>
      <c r="B2268" s="39">
        <f>IF(C2268&lt;&gt;"",C2268,IF(P2268&lt;=IFERROR(INDEX(tblChannels[Watched Through],MATCH(N2268,tblChannels[Channel ID],0)),0),"Watched","Unwatched"))</f>
        <v/>
      </c>
      <c r="C2268" s="40" t="n"/>
      <c r="D2268" s="41" t="n"/>
      <c r="E2268" s="42" t="n">
        <v>43111.67430555556</v>
      </c>
      <c r="F2268" s="50" t="inlineStr">
        <is>
          <t>Super Carlin Brothers</t>
        </is>
      </c>
      <c r="G2268" t="inlineStr">
        <is>
          <t>Snow White is the Queen! (feat. NerdyAndQuirky)</t>
        </is>
      </c>
      <c r="H2268" s="44" t="n">
        <v>0.003819444444444444</v>
      </c>
      <c r="I2268" s="45" t="n">
        <v>208883</v>
      </c>
      <c r="J2268" s="45" t="n">
        <v>12432</v>
      </c>
      <c r="K2268" s="45" t="n">
        <v>757</v>
      </c>
      <c r="L2268" s="46" t="n"/>
      <c r="M2268" s="47" t="n"/>
      <c r="N2268" s="47" t="inlineStr">
        <is>
          <t>UCKZo4N0lVPccBkSiuyVh4yg</t>
        </is>
      </c>
      <c r="O2268" s="48" t="n">
        <v>43111.88263888889</v>
      </c>
      <c r="P2268" s="49" t="n">
        <v>43111</v>
      </c>
      <c r="Q2268" s="47" t="n">
        <v>1000</v>
      </c>
      <c r="R2268" s="47" t="inlineStr">
        <is>
          <t>No Video ID yet</t>
        </is>
      </c>
      <c r="S2268" s="49" t="n"/>
      <c r="T2268" s="49" t="n"/>
      <c r="U2268" s="47" t="inlineStr">
        <is>
          <t>Today special guest Sabrina Cruz (aka NerdyAndQuirky) dives into the Cool History of Disney to reveal how Snow White is the True Queen of Disney! Sabrina's Channel:</t>
        </is>
      </c>
      <c r="V2268" s="47">
        <f>IF(AND(P2268&gt;=Calendar!$K$2,P2268&lt;EDATE(Calendar!$K$2,1),OR(Calendar!$K$4="*",N2268=Calendar!$K$4)),P2268*100+COUNTIFS($P$6:$P$3267,P2268,$Q$6:$Q$3267,"&lt;="&amp;Q2268,$N$6:$N$3267,Calendar!$K$4),"")</f>
        <v/>
      </c>
      <c r="W2268" s="47">
        <f>IF(AND(B2268=Queue!$C$4,OR(Queue!$K$4="*",N2268=Queue!$K$4)),Q2268,"")</f>
        <v/>
      </c>
    </row>
    <row r="2269">
      <c r="A2269" s="38">
        <f>IF(M2269="","",HYPERLINK("https://www.youtube.com/watch?v="&amp;M2269,"▶"))</f>
        <v/>
      </c>
      <c r="B2269" s="39">
        <f>IF(C2269&lt;&gt;"",C2269,IF(P2269&lt;=IFERROR(INDEX(tblChannels[Watched Through],MATCH(N2269,tblChannels[Channel ID],0)),0),"Watched","Unwatched"))</f>
        <v/>
      </c>
      <c r="C2269" s="40" t="n"/>
      <c r="D2269" s="41" t="n"/>
      <c r="E2269" s="42" t="n">
        <v>43111.41666666666</v>
      </c>
      <c r="F2269" s="52" t="inlineStr">
        <is>
          <t>Super Carlin Gaming</t>
        </is>
      </c>
      <c r="G2269" t="inlineStr">
        <is>
          <t>Mario Kart Roulette #62: I Exclusively Creatively Solve Problems</t>
        </is>
      </c>
      <c r="H2269" s="44" t="n">
        <v>0.01278935185185185</v>
      </c>
      <c r="I2269" s="45" t="n">
        <v>11396</v>
      </c>
      <c r="J2269" s="45" t="n">
        <v>462</v>
      </c>
      <c r="K2269" s="45" t="n">
        <v>303</v>
      </c>
      <c r="L2269" s="46" t="n"/>
      <c r="M2269" s="47" t="n"/>
      <c r="N2269" s="47" t="inlineStr">
        <is>
          <t>UCor_9jRnNNZVzTuQ92PKsaQ</t>
        </is>
      </c>
      <c r="O2269" s="48" t="n">
        <v>43111.625</v>
      </c>
      <c r="P2269" s="49" t="n">
        <v>43111</v>
      </c>
      <c r="Q2269" s="47" t="n">
        <v>999</v>
      </c>
      <c r="R2269" s="47" t="inlineStr">
        <is>
          <t>No Video ID yet</t>
        </is>
      </c>
      <c r="S2269" s="49" t="n"/>
      <c r="T2269" s="49" t="n"/>
      <c r="U2269" s="47" t="inlineStr">
        <is>
          <t>In this episode, J and Ben take on the Star Cup and answer your questions!</t>
        </is>
      </c>
      <c r="V2269" s="47">
        <f>IF(AND(P2269&gt;=Calendar!$K$2,P2269&lt;EDATE(Calendar!$K$2,1),OR(Calendar!$K$4="*",N2269=Calendar!$K$4)),P2269*100+COUNTIFS($P$6:$P$3267,P2269,$Q$6:$Q$3267,"&lt;="&amp;Q2269,$N$6:$N$3267,Calendar!$K$4),"")</f>
        <v/>
      </c>
      <c r="W2269" s="47">
        <f>IF(AND(B2269=Queue!$C$4,OR(Queue!$K$4="*",N2269=Queue!$K$4)),Q2269,"")</f>
        <v/>
      </c>
    </row>
    <row r="2270">
      <c r="A2270" s="38">
        <f>IF(M2270="","",HYPERLINK("https://www.youtube.com/watch?v="&amp;M2270,"▶"))</f>
        <v/>
      </c>
      <c r="B2270" s="39">
        <f>IF(C2270&lt;&gt;"",C2270,IF(P2270&lt;=IFERROR(INDEX(tblChannels[Watched Through],MATCH(N2270,tblChannels[Channel ID],0)),0),"Watched","Unwatched"))</f>
        <v/>
      </c>
      <c r="C2270" s="40" t="n"/>
      <c r="D2270" s="41" t="n"/>
      <c r="E2270" s="42" t="n">
        <v>43110.58125</v>
      </c>
      <c r="F2270" s="52" t="inlineStr">
        <is>
          <t>Super Carlin Gaming</t>
        </is>
      </c>
      <c r="G2270" t="inlineStr">
        <is>
          <t>Pokemon Black Nuzlocke #24: Sneaky Cave</t>
        </is>
      </c>
      <c r="H2270" s="44" t="n">
        <v>0.01467592592592593</v>
      </c>
      <c r="I2270" s="45" t="n">
        <v>21463</v>
      </c>
      <c r="J2270" s="45" t="n">
        <v>590</v>
      </c>
      <c r="K2270" s="45" t="n">
        <v>274</v>
      </c>
      <c r="L2270" s="46" t="n"/>
      <c r="M2270" s="47" t="n"/>
      <c r="N2270" s="47" t="inlineStr">
        <is>
          <t>UCor_9jRnNNZVzTuQ92PKsaQ</t>
        </is>
      </c>
      <c r="O2270" s="48" t="n">
        <v>43110.78958333333</v>
      </c>
      <c r="P2270" s="49" t="n">
        <v>43110</v>
      </c>
      <c r="Q2270" s="47" t="n">
        <v>998</v>
      </c>
      <c r="R2270" s="47" t="inlineStr">
        <is>
          <t>No Video ID yet</t>
        </is>
      </c>
      <c r="S2270" s="49" t="n"/>
      <c r="T2270" s="49" t="n"/>
      <c r="U2270" s="47" t="n"/>
      <c r="V2270" s="47">
        <f>IF(AND(P2270&gt;=Calendar!$K$2,P2270&lt;EDATE(Calendar!$K$2,1),OR(Calendar!$K$4="*",N2270=Calendar!$K$4)),P2270*100+COUNTIFS($P$6:$P$3267,P2270,$Q$6:$Q$3267,"&lt;="&amp;Q2270,$N$6:$N$3267,Calendar!$K$4),"")</f>
        <v/>
      </c>
      <c r="W2270" s="47">
        <f>IF(AND(B2270=Queue!$C$4,OR(Queue!$K$4="*",N2270=Queue!$K$4)),Q2270,"")</f>
        <v/>
      </c>
    </row>
    <row r="2271">
      <c r="A2271" s="38">
        <f>IF(M2271="","",HYPERLINK("https://www.youtube.com/watch?v="&amp;M2271,"▶"))</f>
        <v/>
      </c>
      <c r="B2271" s="39">
        <f>IF(C2271&lt;&gt;"",C2271,IF(P2271&lt;=IFERROR(INDEX(tblChannels[Watched Through],MATCH(N2271,tblChannels[Channel ID],0)),0),"Watched","Unwatched"))</f>
        <v/>
      </c>
      <c r="C2271" s="40" t="n"/>
      <c r="D2271" s="41" t="n"/>
      <c r="E2271" s="42" t="n">
        <v>43109.56319444445</v>
      </c>
      <c r="F2271" s="50" t="inlineStr">
        <is>
          <t>Super Carlin Brothers</t>
        </is>
      </c>
      <c r="G2271" t="inlineStr">
        <is>
          <t>Why Ron's So Bad At Magic | Harry Potter Theory</t>
        </is>
      </c>
      <c r="H2271" s="44" t="n">
        <v>0.005949074074074075</v>
      </c>
      <c r="I2271" s="45" t="n">
        <v>1847833</v>
      </c>
      <c r="J2271" s="45" t="n">
        <v>45105</v>
      </c>
      <c r="K2271" s="45" t="n">
        <v>8525</v>
      </c>
      <c r="L2271" s="46" t="n"/>
      <c r="M2271" s="47" t="n"/>
      <c r="N2271" s="47" t="inlineStr">
        <is>
          <t>UCKZo4N0lVPccBkSiuyVh4yg</t>
        </is>
      </c>
      <c r="O2271" s="48" t="n">
        <v>43109.77152777778</v>
      </c>
      <c r="P2271" s="49" t="n">
        <v>43109</v>
      </c>
      <c r="Q2271" s="47" t="n">
        <v>997</v>
      </c>
      <c r="R2271" s="47" t="inlineStr">
        <is>
          <t>No Video ID yet</t>
        </is>
      </c>
      <c r="S2271" s="49" t="n"/>
      <c r="T2271" s="49" t="n"/>
      <c r="U2271" s="47" t="inlineStr">
        <is>
          <t>Today J dives into the Wizarding World of Harry Potter to discuss why Ron Weasley doesn't appear to be as talented as Harry and Hermione when it comes to magic.</t>
        </is>
      </c>
      <c r="V2271" s="47">
        <f>IF(AND(P2271&gt;=Calendar!$K$2,P2271&lt;EDATE(Calendar!$K$2,1),OR(Calendar!$K$4="*",N2271=Calendar!$K$4)),P2271*100+COUNTIFS($P$6:$P$3267,P2271,$Q$6:$Q$3267,"&lt;="&amp;Q2271,$N$6:$N$3267,Calendar!$K$4),"")</f>
        <v/>
      </c>
      <c r="W2271" s="47">
        <f>IF(AND(B2271=Queue!$C$4,OR(Queue!$K$4="*",N2271=Queue!$K$4)),Q2271,"")</f>
        <v/>
      </c>
    </row>
    <row r="2272">
      <c r="A2272" s="38">
        <f>IF(M2272="","",HYPERLINK("https://www.youtube.com/watch?v="&amp;M2272,"▶"))</f>
        <v/>
      </c>
      <c r="B2272" s="39">
        <f>IF(C2272&lt;&gt;"",C2272,IF(P2272&lt;=IFERROR(INDEX(tblChannels[Watched Through],MATCH(N2272,tblChannels[Channel ID],0)),0),"Watched","Unwatched"))</f>
        <v/>
      </c>
      <c r="C2272" s="40" t="n"/>
      <c r="D2272" s="41" t="n"/>
      <c r="E2272" s="42" t="n">
        <v>43109.49444444444</v>
      </c>
      <c r="F2272" s="52" t="inlineStr">
        <is>
          <t>Super Carlin Gaming</t>
        </is>
      </c>
      <c r="G2272" t="inlineStr">
        <is>
          <t>Mario Kart Roulette #61: There's Nothing Like Cheese on Sponge</t>
        </is>
      </c>
      <c r="H2272" s="44" t="n">
        <v>0.01064814814814815</v>
      </c>
      <c r="I2272" s="45" t="n">
        <v>10269</v>
      </c>
      <c r="J2272" s="45" t="n">
        <v>405</v>
      </c>
      <c r="K2272" s="45" t="n">
        <v>107</v>
      </c>
      <c r="L2272" s="46" t="n"/>
      <c r="M2272" s="47" t="n"/>
      <c r="N2272" s="47" t="inlineStr">
        <is>
          <t>UCor_9jRnNNZVzTuQ92PKsaQ</t>
        </is>
      </c>
      <c r="O2272" s="48" t="n">
        <v>43109.70277777778</v>
      </c>
      <c r="P2272" s="49" t="n">
        <v>43109</v>
      </c>
      <c r="Q2272" s="47" t="n">
        <v>996</v>
      </c>
      <c r="R2272" s="47" t="inlineStr">
        <is>
          <t>No Video ID yet</t>
        </is>
      </c>
      <c r="S2272" s="49" t="n"/>
      <c r="T2272" s="49" t="n"/>
      <c r="U2272" s="47" t="inlineStr">
        <is>
          <t>What's better ... sponge-like cheese or cheese-like sponge? In this episode, J and Ben take on the Crossing Cup (aka the Frogger Cup) and answer your questions!</t>
        </is>
      </c>
      <c r="V2272" s="47">
        <f>IF(AND(P2272&gt;=Calendar!$K$2,P2272&lt;EDATE(Calendar!$K$2,1),OR(Calendar!$K$4="*",N2272=Calendar!$K$4)),P2272*100+COUNTIFS($P$6:$P$3267,P2272,$Q$6:$Q$3267,"&lt;="&amp;Q2272,$N$6:$N$3267,Calendar!$K$4),"")</f>
        <v/>
      </c>
      <c r="W2272" s="47">
        <f>IF(AND(B2272=Queue!$C$4,OR(Queue!$K$4="*",N2272=Queue!$K$4)),Q2272,"")</f>
        <v/>
      </c>
    </row>
    <row r="2273">
      <c r="A2273" s="38">
        <f>IF(M2273="","",HYPERLINK("https://www.youtube.com/watch?v="&amp;M2273,"▶"))</f>
        <v/>
      </c>
      <c r="B2273" s="39">
        <f>IF(C2273&lt;&gt;"",C2273,IF(P2273&lt;=IFERROR(INDEX(tblChannels[Watched Through],MATCH(N2273,tblChannels[Channel ID],0)),0),"Watched","Unwatched"))</f>
        <v/>
      </c>
      <c r="C2273" s="40" t="n"/>
      <c r="D2273" s="41" t="n"/>
      <c r="E2273" s="42" t="n">
        <v>43108.71388888889</v>
      </c>
      <c r="F2273" s="52" t="inlineStr">
        <is>
          <t>Super Carlin Gaming</t>
        </is>
      </c>
      <c r="G2273" t="inlineStr">
        <is>
          <t>Pokemon Black Nuzlocke #23: Enter Victory Road</t>
        </is>
      </c>
      <c r="H2273" s="44" t="n">
        <v>0.03019675925925926</v>
      </c>
      <c r="I2273" s="45" t="n">
        <v>26534</v>
      </c>
      <c r="J2273" s="45" t="n">
        <v>661</v>
      </c>
      <c r="K2273" s="45" t="n">
        <v>308</v>
      </c>
      <c r="L2273" s="46" t="n"/>
      <c r="M2273" s="47" t="n"/>
      <c r="N2273" s="47" t="inlineStr">
        <is>
          <t>UCor_9jRnNNZVzTuQ92PKsaQ</t>
        </is>
      </c>
      <c r="O2273" s="48" t="n">
        <v>43108.92222222222</v>
      </c>
      <c r="P2273" s="49" t="n">
        <v>43108</v>
      </c>
      <c r="Q2273" s="47" t="n">
        <v>995</v>
      </c>
      <c r="R2273" s="47" t="inlineStr">
        <is>
          <t>No Video ID yet</t>
        </is>
      </c>
      <c r="S2273" s="49" t="n"/>
      <c r="T2273" s="49" t="n"/>
      <c r="U2273" s="47" t="n"/>
      <c r="V2273" s="47">
        <f>IF(AND(P2273&gt;=Calendar!$K$2,P2273&lt;EDATE(Calendar!$K$2,1),OR(Calendar!$K$4="*",N2273=Calendar!$K$4)),P2273*100+COUNTIFS($P$6:$P$3267,P2273,$Q$6:$Q$3267,"&lt;="&amp;Q2273,$N$6:$N$3267,Calendar!$K$4),"")</f>
        <v/>
      </c>
      <c r="W2273" s="47">
        <f>IF(AND(B2273=Queue!$C$4,OR(Queue!$K$4="*",N2273=Queue!$K$4)),Q2273,"")</f>
        <v/>
      </c>
    </row>
    <row r="2274">
      <c r="A2274" s="38">
        <f>IF(M2274="","",HYPERLINK("https://www.youtube.com/watch?v="&amp;M2274,"▶"))</f>
        <v/>
      </c>
      <c r="B2274" s="39">
        <f>IF(C2274&lt;&gt;"",C2274,IF(P2274&lt;=IFERROR(INDEX(tblChannels[Watched Through],MATCH(N2274,tblChannels[Channel ID],0)),0),"Watched","Unwatched"))</f>
        <v/>
      </c>
      <c r="C2274" s="40" t="n"/>
      <c r="D2274" s="41" t="n"/>
      <c r="E2274" s="42" t="n">
        <v>43108.45069444444</v>
      </c>
      <c r="F2274" s="53" t="inlineStr">
        <is>
          <t>Jonathan Carlin</t>
        </is>
      </c>
      <c r="G2274" t="inlineStr">
        <is>
          <t>LUKE'S FIRST CHRISTMAS!</t>
        </is>
      </c>
      <c r="H2274" s="44" t="n">
        <v>0.008819444444444444</v>
      </c>
      <c r="I2274" s="45" t="n">
        <v>81013</v>
      </c>
      <c r="J2274" s="45" t="n">
        <v>3463</v>
      </c>
      <c r="K2274" s="45" t="n">
        <v>628</v>
      </c>
      <c r="L2274" s="46" t="n"/>
      <c r="M2274" s="47" t="n"/>
      <c r="N2274" s="47" t="inlineStr">
        <is>
          <t>UCYPKFe86e6nm4TVUYKLsFUQ</t>
        </is>
      </c>
      <c r="O2274" s="48" t="n">
        <v>43108.65902777778</v>
      </c>
      <c r="P2274" s="49" t="n">
        <v>43108</v>
      </c>
      <c r="Q2274" s="47" t="n">
        <v>994</v>
      </c>
      <c r="R2274" s="47" t="inlineStr">
        <is>
          <t>No Video ID yet</t>
        </is>
      </c>
      <c r="S2274" s="49" t="n"/>
      <c r="T2274" s="49" t="n"/>
      <c r="U2274" s="47" t="inlineStr">
        <is>
          <t>Beth, Luke and I celebrate our first Christmas as a family! What did you get for Christmas?!</t>
        </is>
      </c>
      <c r="V2274" s="47">
        <f>IF(AND(P2274&gt;=Calendar!$K$2,P2274&lt;EDATE(Calendar!$K$2,1),OR(Calendar!$K$4="*",N2274=Calendar!$K$4)),P2274*100+COUNTIFS($P$6:$P$3267,P2274,$Q$6:$Q$3267,"&lt;="&amp;Q2274,$N$6:$N$3267,Calendar!$K$4),"")</f>
        <v/>
      </c>
      <c r="W2274" s="47">
        <f>IF(AND(B2274=Queue!$C$4,OR(Queue!$K$4="*",N2274=Queue!$K$4)),Q2274,"")</f>
        <v/>
      </c>
    </row>
    <row r="2275">
      <c r="A2275" s="38">
        <f>IF(M2275="","",HYPERLINK("https://www.youtube.com/watch?v="&amp;M2275,"▶"))</f>
        <v/>
      </c>
      <c r="B2275" s="39">
        <f>IF(C2275&lt;&gt;"",C2275,IF(P2275&lt;=IFERROR(INDEX(tblChannels[Watched Through],MATCH(N2275,tblChannels[Channel ID],0)),0),"Watched","Unwatched"))</f>
        <v/>
      </c>
      <c r="C2275" s="40" t="n"/>
      <c r="D2275" s="41" t="n"/>
      <c r="E2275" s="42" t="n">
        <v>43105.75069444445</v>
      </c>
      <c r="F2275" s="52" t="inlineStr">
        <is>
          <t>Super Carlin Gaming</t>
        </is>
      </c>
      <c r="G2275" t="inlineStr">
        <is>
          <t>Pokemon Black Nuzlocke #22: When It Rains...</t>
        </is>
      </c>
      <c r="H2275" s="44" t="n">
        <v>0.02454861111111111</v>
      </c>
      <c r="I2275" s="45" t="n">
        <v>25324</v>
      </c>
      <c r="J2275" s="45" t="n">
        <v>783</v>
      </c>
      <c r="K2275" s="45" t="n">
        <v>477</v>
      </c>
      <c r="L2275" s="46" t="n"/>
      <c r="M2275" s="47" t="n"/>
      <c r="N2275" s="47" t="inlineStr">
        <is>
          <t>UCor_9jRnNNZVzTuQ92PKsaQ</t>
        </is>
      </c>
      <c r="O2275" s="48" t="n">
        <v>43105.95902777778</v>
      </c>
      <c r="P2275" s="49" t="n">
        <v>43105</v>
      </c>
      <c r="Q2275" s="47" t="n">
        <v>993</v>
      </c>
      <c r="R2275" s="47" t="inlineStr">
        <is>
          <t>No Video ID yet</t>
        </is>
      </c>
      <c r="S2275" s="49" t="n"/>
      <c r="T2275" s="49" t="n"/>
      <c r="U2275" s="47" t="n"/>
      <c r="V2275" s="47">
        <f>IF(AND(P2275&gt;=Calendar!$K$2,P2275&lt;EDATE(Calendar!$K$2,1),OR(Calendar!$K$4="*",N2275=Calendar!$K$4)),P2275*100+COUNTIFS($P$6:$P$3267,P2275,$Q$6:$Q$3267,"&lt;="&amp;Q2275,$N$6:$N$3267,Calendar!$K$4),"")</f>
        <v/>
      </c>
      <c r="W2275" s="47">
        <f>IF(AND(B2275=Queue!$C$4,OR(Queue!$K$4="*",N2275=Queue!$K$4)),Q2275,"")</f>
        <v/>
      </c>
    </row>
    <row r="2276">
      <c r="A2276" s="38">
        <f>IF(M2276="","",HYPERLINK("https://www.youtube.com/watch?v="&amp;M2276,"▶"))</f>
        <v/>
      </c>
      <c r="B2276" s="39">
        <f>IF(C2276&lt;&gt;"",C2276,IF(P2276&lt;=IFERROR(INDEX(tblChannels[Watched Through],MATCH(N2276,tblChannels[Channel ID],0)),0),"Watched","Unwatched"))</f>
        <v/>
      </c>
      <c r="C2276" s="40" t="n"/>
      <c r="D2276" s="41" t="n"/>
      <c r="E2276" s="42" t="n">
        <v>43104.79166666666</v>
      </c>
      <c r="F2276" s="50" t="inlineStr">
        <is>
          <t>Super Carlin Brothers</t>
        </is>
      </c>
      <c r="G2276" t="inlineStr">
        <is>
          <t>Disney's Purchase of FOX Explained</t>
        </is>
      </c>
      <c r="H2276" s="44" t="n">
        <v>0.005046296296296296</v>
      </c>
      <c r="I2276" s="45" t="n">
        <v>855085</v>
      </c>
      <c r="J2276" s="45" t="n">
        <v>24040</v>
      </c>
      <c r="K2276" s="45" t="n">
        <v>7704</v>
      </c>
      <c r="L2276" s="46" t="n"/>
      <c r="M2276" s="47" t="n"/>
      <c r="N2276" s="47" t="inlineStr">
        <is>
          <t>UCKZo4N0lVPccBkSiuyVh4yg</t>
        </is>
      </c>
      <c r="O2276" s="48" t="n">
        <v>43105</v>
      </c>
      <c r="P2276" s="49" t="n">
        <v>43104</v>
      </c>
      <c r="Q2276" s="47" t="n">
        <v>992</v>
      </c>
      <c r="R2276" s="47" t="inlineStr">
        <is>
          <t>No Video ID yet</t>
        </is>
      </c>
      <c r="S2276" s="49" t="n"/>
      <c r="T2276" s="49" t="n"/>
      <c r="U2276" s="47" t="inlineStr">
        <is>
          <t>Today Ben discusses the reasons and repercussions of Disney’s recent purchase of Fox Entertainment and how it will change the world of streaming services like Netflix and Hulu. Special Thanks to these SCB Patreon Patrons :: Mats Furuli, Qui Le, Elizabeth Pellegrine, Alex Soltis, Viola James, Big Meme Boi, Christina McCullough, Jennifer, Alan Wolfe, Sarah E McCartney, Zara Caldwell, Lasse Buan, Charles C. Seymour, Kristhell Lopez, Amy Beerbower, Isabella</t>
        </is>
      </c>
      <c r="V2276" s="47">
        <f>IF(AND(P2276&gt;=Calendar!$K$2,P2276&lt;EDATE(Calendar!$K$2,1),OR(Calendar!$K$4="*",N2276=Calendar!$K$4)),P2276*100+COUNTIFS($P$6:$P$3267,P2276,$Q$6:$Q$3267,"&lt;="&amp;Q2276,$N$6:$N$3267,Calendar!$K$4),"")</f>
        <v/>
      </c>
      <c r="W2276" s="47">
        <f>IF(AND(B2276=Queue!$C$4,OR(Queue!$K$4="*",N2276=Queue!$K$4)),Q2276,"")</f>
        <v/>
      </c>
    </row>
    <row r="2277">
      <c r="A2277" s="38">
        <f>IF(M2277="","",HYPERLINK("https://www.youtube.com/watch?v="&amp;M2277,"▶"))</f>
        <v/>
      </c>
      <c r="B2277" s="39">
        <f>IF(C2277&lt;&gt;"",C2277,IF(P2277&lt;=IFERROR(INDEX(tblChannels[Watched Through],MATCH(N2277,tblChannels[Channel ID],0)),0),"Watched","Unwatched"))</f>
        <v/>
      </c>
      <c r="C2277" s="40" t="n"/>
      <c r="D2277" s="41" t="n"/>
      <c r="E2277" s="42" t="n">
        <v>43104.57430555556</v>
      </c>
      <c r="F2277" s="52" t="inlineStr">
        <is>
          <t>Super Carlin Gaming</t>
        </is>
      </c>
      <c r="G2277" t="inlineStr">
        <is>
          <t>Mario Kart Roulette #60: Word Vomit is How You Make Friends</t>
        </is>
      </c>
      <c r="H2277" s="44" t="n">
        <v>0.0115162037037037</v>
      </c>
      <c r="I2277" s="45" t="n">
        <v>10386</v>
      </c>
      <c r="J2277" s="45" t="n">
        <v>494</v>
      </c>
      <c r="K2277" s="45" t="n">
        <v>190</v>
      </c>
      <c r="L2277" s="46" t="n"/>
      <c r="M2277" s="47" t="n"/>
      <c r="N2277" s="47" t="inlineStr">
        <is>
          <t>UCor_9jRnNNZVzTuQ92PKsaQ</t>
        </is>
      </c>
      <c r="O2277" s="48" t="n">
        <v>43104.78263888889</v>
      </c>
      <c r="P2277" s="49" t="n">
        <v>43104</v>
      </c>
      <c r="Q2277" s="47" t="n">
        <v>991</v>
      </c>
      <c r="R2277" s="47" t="inlineStr">
        <is>
          <t>No Video ID yet</t>
        </is>
      </c>
      <c r="S2277" s="49" t="n"/>
      <c r="T2277" s="49" t="n"/>
      <c r="U2277" s="47" t="inlineStr">
        <is>
          <t>J and Ben take on the Triforce Cup and answer your questions!</t>
        </is>
      </c>
      <c r="V2277" s="47">
        <f>IF(AND(P2277&gt;=Calendar!$K$2,P2277&lt;EDATE(Calendar!$K$2,1),OR(Calendar!$K$4="*",N2277=Calendar!$K$4)),P2277*100+COUNTIFS($P$6:$P$3267,P2277,$Q$6:$Q$3267,"&lt;="&amp;Q2277,$N$6:$N$3267,Calendar!$K$4),"")</f>
        <v/>
      </c>
      <c r="W2277" s="47">
        <f>IF(AND(B2277=Queue!$C$4,OR(Queue!$K$4="*",N2277=Queue!$K$4)),Q2277,"")</f>
        <v/>
      </c>
    </row>
    <row r="2278">
      <c r="A2278" s="38">
        <f>IF(M2278="","",HYPERLINK("https://www.youtube.com/watch?v="&amp;M2278,"▶"))</f>
        <v/>
      </c>
      <c r="B2278" s="39">
        <f>IF(C2278&lt;&gt;"",C2278,IF(P2278&lt;=IFERROR(INDEX(tblChannels[Watched Through],MATCH(N2278,tblChannels[Channel ID],0)),0),"Watched","Unwatched"))</f>
        <v/>
      </c>
      <c r="C2278" s="40" t="n"/>
      <c r="D2278" s="41" t="n"/>
      <c r="E2278" s="42" t="n">
        <v>43103.44513888889</v>
      </c>
      <c r="F2278" s="52" t="inlineStr">
        <is>
          <t>Super Carlin Gaming</t>
        </is>
      </c>
      <c r="G2278" t="inlineStr">
        <is>
          <t>Pokemon Black Nuzlocke #21: The Final Gym</t>
        </is>
      </c>
      <c r="H2278" s="44" t="n">
        <v>0.01412037037037037</v>
      </c>
      <c r="I2278" s="45" t="n">
        <v>22519</v>
      </c>
      <c r="J2278" s="45" t="n">
        <v>797</v>
      </c>
      <c r="K2278" s="45" t="n">
        <v>135</v>
      </c>
      <c r="L2278" s="46" t="n"/>
      <c r="M2278" s="47" t="n"/>
      <c r="N2278" s="47" t="inlineStr">
        <is>
          <t>UCor_9jRnNNZVzTuQ92PKsaQ</t>
        </is>
      </c>
      <c r="O2278" s="48" t="n">
        <v>43103.65347222222</v>
      </c>
      <c r="P2278" s="49" t="n">
        <v>43103</v>
      </c>
      <c r="Q2278" s="47" t="n">
        <v>990</v>
      </c>
      <c r="R2278" s="47" t="inlineStr">
        <is>
          <t>No Video ID yet</t>
        </is>
      </c>
      <c r="S2278" s="49" t="n"/>
      <c r="T2278" s="49" t="n"/>
      <c r="U2278" s="47" t="inlineStr">
        <is>
          <t>J and the team move to take on Drayden &amp; his Dragons! Will J's only Ice-type Pokémon be enough?</t>
        </is>
      </c>
      <c r="V2278" s="47">
        <f>IF(AND(P2278&gt;=Calendar!$K$2,P2278&lt;EDATE(Calendar!$K$2,1),OR(Calendar!$K$4="*",N2278=Calendar!$K$4)),P2278*100+COUNTIFS($P$6:$P$3267,P2278,$Q$6:$Q$3267,"&lt;="&amp;Q2278,$N$6:$N$3267,Calendar!$K$4),"")</f>
        <v/>
      </c>
      <c r="W2278" s="47">
        <f>IF(AND(B2278=Queue!$C$4,OR(Queue!$K$4="*",N2278=Queue!$K$4)),Q2278,"")</f>
        <v/>
      </c>
    </row>
    <row r="2279">
      <c r="A2279" s="38">
        <f>IF(M2279="","",HYPERLINK("https://www.youtube.com/watch?v="&amp;M2279,"▶"))</f>
        <v/>
      </c>
      <c r="B2279" s="39">
        <f>IF(C2279&lt;&gt;"",C2279,IF(P2279&lt;=IFERROR(INDEX(tblChannels[Watched Through],MATCH(N2279,tblChannels[Channel ID],0)),0),"Watched","Unwatched"))</f>
        <v/>
      </c>
      <c r="C2279" s="40" t="n"/>
      <c r="D2279" s="41" t="n"/>
      <c r="E2279" s="42" t="n">
        <v>43102.77986111111</v>
      </c>
      <c r="F2279" s="50" t="inlineStr">
        <is>
          <t>Super Carlin Brothers</t>
        </is>
      </c>
      <c r="G2279" t="inlineStr">
        <is>
          <t>How Dumbledore Created The Deluminator | Harry Potter Theory</t>
        </is>
      </c>
      <c r="H2279" s="44" t="n">
        <v>0.00625</v>
      </c>
      <c r="I2279" s="45" t="n">
        <v>1495776</v>
      </c>
      <c r="J2279" s="45" t="n">
        <v>33193</v>
      </c>
      <c r="K2279" s="45" t="n">
        <v>2226</v>
      </c>
      <c r="L2279" s="46" t="n"/>
      <c r="M2279" s="47" t="n"/>
      <c r="N2279" s="47" t="inlineStr">
        <is>
          <t>UCKZo4N0lVPccBkSiuyVh4yg</t>
        </is>
      </c>
      <c r="O2279" s="48" t="n">
        <v>43102.98819444444</v>
      </c>
      <c r="P2279" s="49" t="n">
        <v>43102</v>
      </c>
      <c r="Q2279" s="47" t="n">
        <v>989</v>
      </c>
      <c r="R2279" s="47" t="inlineStr">
        <is>
          <t>No Video ID yet</t>
        </is>
      </c>
      <c r="S2279" s="49" t="n"/>
      <c r="T2279" s="49" t="n"/>
      <c r="U2279" s="47" t="inlineStr">
        <is>
          <t>Today J dives into the wizarding world of Harry Potter to discuss how one of the most peculiar devices in the we come across was created and how it may show up in Fantastic Beasts &amp; Where To Find Them.</t>
        </is>
      </c>
      <c r="V2279" s="47">
        <f>IF(AND(P2279&gt;=Calendar!$K$2,P2279&lt;EDATE(Calendar!$K$2,1),OR(Calendar!$K$4="*",N2279=Calendar!$K$4)),P2279*100+COUNTIFS($P$6:$P$3267,P2279,$Q$6:$Q$3267,"&lt;="&amp;Q2279,$N$6:$N$3267,Calendar!$K$4),"")</f>
        <v/>
      </c>
      <c r="W2279" s="47">
        <f>IF(AND(B2279=Queue!$C$4,OR(Queue!$K$4="*",N2279=Queue!$K$4)),Q2279,"")</f>
        <v/>
      </c>
    </row>
    <row r="2280">
      <c r="A2280" s="38">
        <f>IF(M2280="","",HYPERLINK("https://www.youtube.com/watch?v="&amp;M2280,"▶"))</f>
        <v/>
      </c>
      <c r="B2280" s="39">
        <f>IF(C2280&lt;&gt;"",C2280,IF(P2280&lt;=IFERROR(INDEX(tblChannels[Watched Through],MATCH(N2280,tblChannels[Channel ID],0)),0),"Watched","Unwatched"))</f>
        <v/>
      </c>
      <c r="C2280" s="40" t="n"/>
      <c r="D2280" s="41" t="n"/>
      <c r="E2280" s="42" t="n">
        <v>43102.72152777778</v>
      </c>
      <c r="F2280" s="52" t="inlineStr">
        <is>
          <t>Super Carlin Gaming</t>
        </is>
      </c>
      <c r="G2280" t="inlineStr">
        <is>
          <t>Mario Kart Roulette #59: New Years Resolutions</t>
        </is>
      </c>
      <c r="H2280" s="44" t="n">
        <v>0.01203703703703704</v>
      </c>
      <c r="I2280" s="45" t="n">
        <v>10983</v>
      </c>
      <c r="J2280" s="45" t="n">
        <v>521</v>
      </c>
      <c r="K2280" s="45" t="n">
        <v>141</v>
      </c>
      <c r="L2280" s="46" t="n"/>
      <c r="M2280" s="47" t="n"/>
      <c r="N2280" s="47" t="inlineStr">
        <is>
          <t>UCor_9jRnNNZVzTuQ92PKsaQ</t>
        </is>
      </c>
      <c r="O2280" s="48" t="n">
        <v>43102.92986111111</v>
      </c>
      <c r="P2280" s="49" t="n">
        <v>43102</v>
      </c>
      <c r="Q2280" s="47" t="n">
        <v>988</v>
      </c>
      <c r="R2280" s="47" t="inlineStr">
        <is>
          <t>No Video ID yet</t>
        </is>
      </c>
      <c r="S2280" s="49" t="n"/>
      <c r="T2280" s="49" t="n"/>
      <c r="U2280" s="47" t="inlineStr">
        <is>
          <t>J and Ben take on the Egg Cup and answer your questions!</t>
        </is>
      </c>
      <c r="V2280" s="47">
        <f>IF(AND(P2280&gt;=Calendar!$K$2,P2280&lt;EDATE(Calendar!$K$2,1),OR(Calendar!$K$4="*",N2280=Calendar!$K$4)),P2280*100+COUNTIFS($P$6:$P$3267,P2280,$Q$6:$Q$3267,"&lt;="&amp;Q2280,$N$6:$N$3267,Calendar!$K$4),"")</f>
        <v/>
      </c>
      <c r="W2280" s="47">
        <f>IF(AND(B2280=Queue!$C$4,OR(Queue!$K$4="*",N2280=Queue!$K$4)),Q2280,"")</f>
        <v/>
      </c>
    </row>
    <row r="2281">
      <c r="A2281" s="38">
        <f>IF(M2281="","",HYPERLINK("https://www.youtube.com/watch?v="&amp;M2281,"▶"))</f>
        <v/>
      </c>
      <c r="B2281" s="39">
        <f>IF(C2281&lt;&gt;"",C2281,IF(P2281&lt;=IFERROR(INDEX(tblChannels[Watched Through],MATCH(N2281,tblChannels[Channel ID],0)),0),"Watched","Unwatched"))</f>
        <v/>
      </c>
      <c r="C2281" s="40" t="n"/>
      <c r="D2281" s="41" t="n"/>
      <c r="E2281" s="42" t="n">
        <v>43101.54583333333</v>
      </c>
      <c r="F2281" s="53" t="inlineStr">
        <is>
          <t>Jonathan Carlin</t>
        </is>
      </c>
      <c r="G2281" t="inlineStr">
        <is>
          <t>TYLER GETS MARRIED</t>
        </is>
      </c>
      <c r="H2281" s="44" t="n">
        <v>0.00738425925925926</v>
      </c>
      <c r="I2281" s="45" t="n">
        <v>76993</v>
      </c>
      <c r="J2281" s="45" t="n">
        <v>3268</v>
      </c>
      <c r="K2281" s="45" t="n">
        <v>383</v>
      </c>
      <c r="L2281" s="46" t="n"/>
      <c r="M2281" s="47" t="n"/>
      <c r="N2281" s="47" t="inlineStr">
        <is>
          <t>UCYPKFe86e6nm4TVUYKLsFUQ</t>
        </is>
      </c>
      <c r="O2281" s="48" t="n">
        <v>43101.75416666667</v>
      </c>
      <c r="P2281" s="49" t="n">
        <v>43101</v>
      </c>
      <c r="Q2281" s="47" t="n">
        <v>987</v>
      </c>
      <c r="R2281" s="47" t="inlineStr">
        <is>
          <t>No Video ID yet</t>
        </is>
      </c>
      <c r="S2281" s="49" t="n"/>
      <c r="T2281" s="49" t="n"/>
      <c r="U2281" s="47" t="inlineStr">
        <is>
          <t>Beth and I continue to adjust to having a kid and Tyler gets married! Did you know Tyler has a Podcast where he reviews movies? Check it out here :: Full Wedding Highlight Reel ::</t>
        </is>
      </c>
      <c r="V2281" s="47">
        <f>IF(AND(P2281&gt;=Calendar!$K$2,P2281&lt;EDATE(Calendar!$K$2,1),OR(Calendar!$K$4="*",N2281=Calendar!$K$4)),P2281*100+COUNTIFS($P$6:$P$3267,P2281,$Q$6:$Q$3267,"&lt;="&amp;Q2281,$N$6:$N$3267,Calendar!$K$4),"")</f>
        <v/>
      </c>
      <c r="W2281" s="47">
        <f>IF(AND(B2281=Queue!$C$4,OR(Queue!$K$4="*",N2281=Queue!$K$4)),Q2281,"")</f>
        <v/>
      </c>
    </row>
    <row r="2282">
      <c r="A2282" s="38">
        <f>IF(M2282="","",HYPERLINK("https://www.youtube.com/watch?v="&amp;M2282,"▶"))</f>
        <v/>
      </c>
      <c r="B2282" s="39">
        <f>IF(C2282&lt;&gt;"",C2282,IF(P2282&lt;=IFERROR(INDEX(tblChannels[Watched Through],MATCH(N2282,tblChannels[Channel ID],0)),0),"Watched","Unwatched"))</f>
        <v/>
      </c>
      <c r="C2282" s="40" t="n"/>
      <c r="D2282" s="41" t="n"/>
      <c r="E2282" s="42" t="n">
        <v>43097.7125</v>
      </c>
      <c r="F2282" s="50" t="inlineStr">
        <is>
          <t>Super Carlin Brothers</t>
        </is>
      </c>
      <c r="G2282" t="inlineStr">
        <is>
          <t>How The Last Jedi Explains The Power of the Dark Side of the Force</t>
        </is>
      </c>
      <c r="H2282" s="44" t="n">
        <v>0.007199074074074074</v>
      </c>
      <c r="I2282" s="45" t="n">
        <v>271258</v>
      </c>
      <c r="J2282" s="45" t="n">
        <v>12009</v>
      </c>
      <c r="K2282" s="45" t="n">
        <v>1518</v>
      </c>
      <c r="L2282" s="46" t="n"/>
      <c r="M2282" s="47" t="n"/>
      <c r="N2282" s="47" t="inlineStr">
        <is>
          <t>UCKZo4N0lVPccBkSiuyVh4yg</t>
        </is>
      </c>
      <c r="O2282" s="48" t="n">
        <v>43097.92083333333</v>
      </c>
      <c r="P2282" s="49" t="n">
        <v>43097</v>
      </c>
      <c r="Q2282" s="47" t="n">
        <v>986</v>
      </c>
      <c r="R2282" s="47" t="inlineStr">
        <is>
          <t>No Video ID yet</t>
        </is>
      </c>
      <c r="S2282" s="49" t="n"/>
      <c r="T2282" s="49" t="n"/>
      <c r="U2282" s="47" t="inlineStr">
        <is>
          <t>Use our Link OR text promo code SCB to 500-500 to get a FREE audiobook and 30-day free trial. Today Ben Explains how the Last Jedi Reveals how the Dark Side of the Force is just so powerful and what "balance of the force" really means.</t>
        </is>
      </c>
      <c r="V2282" s="47">
        <f>IF(AND(P2282&gt;=Calendar!$K$2,P2282&lt;EDATE(Calendar!$K$2,1),OR(Calendar!$K$4="*",N2282=Calendar!$K$4)),P2282*100+COUNTIFS($P$6:$P$3267,P2282,$Q$6:$Q$3267,"&lt;="&amp;Q2282,$N$6:$N$3267,Calendar!$K$4),"")</f>
        <v/>
      </c>
      <c r="W2282" s="47">
        <f>IF(AND(B2282=Queue!$C$4,OR(Queue!$K$4="*",N2282=Queue!$K$4)),Q2282,"")</f>
        <v/>
      </c>
    </row>
    <row r="2283">
      <c r="A2283" s="38">
        <f>IF(M2283="","",HYPERLINK("https://www.youtube.com/watch?v="&amp;M2283,"▶"))</f>
        <v/>
      </c>
      <c r="B2283" s="39">
        <f>IF(C2283&lt;&gt;"",C2283,IF(P2283&lt;=IFERROR(INDEX(tblChannels[Watched Through],MATCH(N2283,tblChannels[Channel ID],0)),0),"Watched","Unwatched"))</f>
        <v/>
      </c>
      <c r="C2283" s="40" t="n"/>
      <c r="D2283" s="41" t="n"/>
      <c r="E2283" s="42" t="n">
        <v>43097.64583333334</v>
      </c>
      <c r="F2283" s="52" t="inlineStr">
        <is>
          <t>Super Carlin Gaming</t>
        </is>
      </c>
      <c r="G2283" t="inlineStr">
        <is>
          <t>Mario Kart Roulette #58: Failing a Class?</t>
        </is>
      </c>
      <c r="H2283" s="44" t="n">
        <v>0.0133912037037037</v>
      </c>
      <c r="I2283" s="45" t="n">
        <v>11914</v>
      </c>
      <c r="J2283" s="45" t="n">
        <v>470</v>
      </c>
      <c r="K2283" s="45" t="n">
        <v>168</v>
      </c>
      <c r="L2283" s="46" t="n"/>
      <c r="M2283" s="47" t="n"/>
      <c r="N2283" s="47" t="inlineStr">
        <is>
          <t>UCor_9jRnNNZVzTuQ92PKsaQ</t>
        </is>
      </c>
      <c r="O2283" s="48" t="n">
        <v>43097.85416666666</v>
      </c>
      <c r="P2283" s="49" t="n">
        <v>43097</v>
      </c>
      <c r="Q2283" s="47" t="n">
        <v>985</v>
      </c>
      <c r="R2283" s="47" t="inlineStr">
        <is>
          <t>No Video ID yet</t>
        </is>
      </c>
      <c r="S2283" s="49" t="n"/>
      <c r="T2283" s="49" t="n"/>
      <c r="U2283" s="47" t="inlineStr">
        <is>
          <t>J and Ben take on the Egg Cup and answer your questions!</t>
        </is>
      </c>
      <c r="V2283" s="47">
        <f>IF(AND(P2283&gt;=Calendar!$K$2,P2283&lt;EDATE(Calendar!$K$2,1),OR(Calendar!$K$4="*",N2283=Calendar!$K$4)),P2283*100+COUNTIFS($P$6:$P$3267,P2283,$Q$6:$Q$3267,"&lt;="&amp;Q2283,$N$6:$N$3267,Calendar!$K$4),"")</f>
        <v/>
      </c>
      <c r="W2283" s="47">
        <f>IF(AND(B2283=Queue!$C$4,OR(Queue!$K$4="*",N2283=Queue!$K$4)),Q2283,"")</f>
        <v/>
      </c>
    </row>
    <row r="2284">
      <c r="A2284" s="38">
        <f>IF(M2284="","",HYPERLINK("https://www.youtube.com/watch?v="&amp;M2284,"▶"))</f>
        <v/>
      </c>
      <c r="B2284" s="39">
        <f>IF(C2284&lt;&gt;"",C2284,IF(P2284&lt;=IFERROR(INDEX(tblChannels[Watched Through],MATCH(N2284,tblChannels[Channel ID],0)),0),"Watched","Unwatched"))</f>
        <v/>
      </c>
      <c r="C2284" s="40" t="n"/>
      <c r="D2284" s="41" t="n"/>
      <c r="E2284" s="42" t="n">
        <v>43095.64583333334</v>
      </c>
      <c r="F2284" s="52" t="inlineStr">
        <is>
          <t>Super Carlin Gaming</t>
        </is>
      </c>
      <c r="G2284" t="inlineStr">
        <is>
          <t>Mario Kart Roulette #57: Smallest Poops</t>
        </is>
      </c>
      <c r="H2284" s="44" t="n">
        <v>0.01141203703703704</v>
      </c>
      <c r="I2284" s="45" t="n">
        <v>8791</v>
      </c>
      <c r="J2284" s="45" t="n">
        <v>354</v>
      </c>
      <c r="K2284" s="45" t="n">
        <v>98</v>
      </c>
      <c r="L2284" s="46" t="n"/>
      <c r="M2284" s="47" t="n"/>
      <c r="N2284" s="47" t="inlineStr">
        <is>
          <t>UCor_9jRnNNZVzTuQ92PKsaQ</t>
        </is>
      </c>
      <c r="O2284" s="48" t="n">
        <v>43095.85416666666</v>
      </c>
      <c r="P2284" s="49" t="n">
        <v>43095</v>
      </c>
      <c r="Q2284" s="47" t="n">
        <v>984</v>
      </c>
      <c r="R2284" s="47" t="inlineStr">
        <is>
          <t>No Video ID yet</t>
        </is>
      </c>
      <c r="S2284" s="49" t="n"/>
      <c r="T2284" s="49" t="n"/>
      <c r="U2284" s="47" t="inlineStr">
        <is>
          <t>J &amp; Ben answer your questions and take on the Special Cup, where they've never gotten any stars...</t>
        </is>
      </c>
      <c r="V2284" s="47">
        <f>IF(AND(P2284&gt;=Calendar!$K$2,P2284&lt;EDATE(Calendar!$K$2,1),OR(Calendar!$K$4="*",N2284=Calendar!$K$4)),P2284*100+COUNTIFS($P$6:$P$3267,P2284,$Q$6:$Q$3267,"&lt;="&amp;Q2284,$N$6:$N$3267,Calendar!$K$4),"")</f>
        <v/>
      </c>
      <c r="W2284" s="47">
        <f>IF(AND(B2284=Queue!$C$4,OR(Queue!$K$4="*",N2284=Queue!$K$4)),Q2284,"")</f>
        <v/>
      </c>
    </row>
    <row r="2285">
      <c r="A2285" s="38">
        <f>IF(M2285="","",HYPERLINK("https://www.youtube.com/watch?v="&amp;M2285,"▶"))</f>
        <v/>
      </c>
      <c r="B2285" s="39">
        <f>IF(C2285&lt;&gt;"",C2285,IF(P2285&lt;=IFERROR(INDEX(tblChannels[Watched Through],MATCH(N2285,tblChannels[Channel ID],0)),0),"Watched","Unwatched"))</f>
        <v/>
      </c>
      <c r="C2285" s="40" t="n"/>
      <c r="D2285" s="41" t="n"/>
      <c r="E2285" s="42" t="n">
        <v>43095.54652777778</v>
      </c>
      <c r="F2285" s="50" t="inlineStr">
        <is>
          <t>Super Carlin Brothers</t>
        </is>
      </c>
      <c r="G2285" t="inlineStr">
        <is>
          <t>J vs Ben: ULTIMATE Harry Potter Christmas Quiz</t>
        </is>
      </c>
      <c r="H2285" s="44" t="n">
        <v>0.02414351851851852</v>
      </c>
      <c r="I2285" s="45" t="n">
        <v>1253922</v>
      </c>
      <c r="J2285" s="45" t="n">
        <v>21154</v>
      </c>
      <c r="K2285" s="45" t="n">
        <v>2902</v>
      </c>
      <c r="L2285" s="46" t="n"/>
      <c r="M2285" s="47" t="n"/>
      <c r="N2285" s="47" t="inlineStr">
        <is>
          <t>UCKZo4N0lVPccBkSiuyVh4yg</t>
        </is>
      </c>
      <c r="O2285" s="48" t="n">
        <v>43095.75486111111</v>
      </c>
      <c r="P2285" s="49" t="n">
        <v>43095</v>
      </c>
      <c r="Q2285" s="47" t="n">
        <v>983</v>
      </c>
      <c r="R2285" s="47" t="inlineStr">
        <is>
          <t>No Video ID yet</t>
        </is>
      </c>
      <c r="S2285" s="49" t="n"/>
      <c r="T2285" s="49" t="n"/>
      <c r="U2285" s="47" t="inlineStr">
        <is>
          <t>Play along with us! Today J and Ben face off in a Harry Potter Christmas showdown to find out who knows who gave Harry what and when and various other Hogwarts traditions! Who will win!?</t>
        </is>
      </c>
      <c r="V2285" s="47">
        <f>IF(AND(P2285&gt;=Calendar!$K$2,P2285&lt;EDATE(Calendar!$K$2,1),OR(Calendar!$K$4="*",N2285=Calendar!$K$4)),P2285*100+COUNTIFS($P$6:$P$3267,P2285,$Q$6:$Q$3267,"&lt;="&amp;Q2285,$N$6:$N$3267,Calendar!$K$4),"")</f>
        <v/>
      </c>
      <c r="W2285" s="47">
        <f>IF(AND(B2285=Queue!$C$4,OR(Queue!$K$4="*",N2285=Queue!$K$4)),Q2285,"")</f>
        <v/>
      </c>
    </row>
    <row r="2286">
      <c r="A2286" s="38">
        <f>IF(M2286="","",HYPERLINK("https://www.youtube.com/watch?v="&amp;M2286,"▶"))</f>
        <v/>
      </c>
      <c r="B2286" s="39">
        <f>IF(C2286&lt;&gt;"",C2286,IF(P2286&lt;=IFERROR(INDEX(tblChannels[Watched Through],MATCH(N2286,tblChannels[Channel ID],0)),0),"Watched","Unwatched"))</f>
        <v/>
      </c>
      <c r="C2286" s="40" t="n"/>
      <c r="D2286" s="41" t="n"/>
      <c r="E2286" s="42" t="n">
        <v>43094.41666666666</v>
      </c>
      <c r="F2286" s="53" t="inlineStr">
        <is>
          <t>Jonathan Carlin</t>
        </is>
      </c>
      <c r="G2286" t="inlineStr">
        <is>
          <t>MARE CHRISTMAS!</t>
        </is>
      </c>
      <c r="H2286" s="44" t="n">
        <v>0.008229166666666666</v>
      </c>
      <c r="I2286" s="45" t="n">
        <v>49945</v>
      </c>
      <c r="J2286" s="45" t="n">
        <v>2406</v>
      </c>
      <c r="K2286" s="45" t="n">
        <v>244</v>
      </c>
      <c r="L2286" s="46" t="n"/>
      <c r="M2286" s="47" t="n"/>
      <c r="N2286" s="47" t="inlineStr">
        <is>
          <t>UCYPKFe86e6nm4TVUYKLsFUQ</t>
        </is>
      </c>
      <c r="O2286" s="48" t="n">
        <v>43094.625</v>
      </c>
      <c r="P2286" s="49" t="n">
        <v>43094</v>
      </c>
      <c r="Q2286" s="47" t="n">
        <v>982</v>
      </c>
      <c r="R2286" s="47" t="inlineStr">
        <is>
          <t>No Video ID yet</t>
        </is>
      </c>
      <c r="S2286" s="49" t="n"/>
      <c r="T2286" s="49" t="n"/>
      <c r="U2286" s="47" t="inlineStr">
        <is>
          <t>This week we celebrate Twelve-O-Five day, the day Beth and I got engaged, open a lot of packages and go behind the scenes for the Super Carlin Brothers Giveathon! Info about Cascades :: Lightsabers :: Golden Egg :: Triwizard Cup :: X-Wing Helmet ::</t>
        </is>
      </c>
      <c r="V2286" s="47">
        <f>IF(AND(P2286&gt;=Calendar!$K$2,P2286&lt;EDATE(Calendar!$K$2,1),OR(Calendar!$K$4="*",N2286=Calendar!$K$4)),P2286*100+COUNTIFS($P$6:$P$3267,P2286,$Q$6:$Q$3267,"&lt;="&amp;Q2286,$N$6:$N$3267,Calendar!$K$4),"")</f>
        <v/>
      </c>
      <c r="W2286" s="47">
        <f>IF(AND(B2286=Queue!$C$4,OR(Queue!$K$4="*",N2286=Queue!$K$4)),Q2286,"")</f>
        <v/>
      </c>
    </row>
    <row r="2287">
      <c r="A2287" s="38">
        <f>IF(M2287="","",HYPERLINK("https://www.youtube.com/watch?v="&amp;M2287,"▶"))</f>
        <v/>
      </c>
      <c r="B2287" s="39">
        <f>IF(C2287&lt;&gt;"",C2287,IF(P2287&lt;=IFERROR(INDEX(tblChannels[Watched Through],MATCH(N2287,tblChannels[Channel ID],0)),0),"Watched","Unwatched"))</f>
        <v/>
      </c>
      <c r="C2287" s="40" t="n"/>
      <c r="D2287" s="41" t="n"/>
      <c r="E2287" s="42" t="n">
        <v>43091.61805555555</v>
      </c>
      <c r="F2287" s="52" t="inlineStr">
        <is>
          <t>Super Carlin Gaming</t>
        </is>
      </c>
      <c r="G2287" t="inlineStr">
        <is>
          <t>Pokemon Black Nuzlocke #20: Too Many Status Effects</t>
        </is>
      </c>
      <c r="H2287" s="44" t="n">
        <v>0.01966435185185185</v>
      </c>
      <c r="I2287" s="45" t="n">
        <v>25820</v>
      </c>
      <c r="J2287" s="45" t="n">
        <v>720</v>
      </c>
      <c r="K2287" s="45" t="n">
        <v>160</v>
      </c>
      <c r="L2287" s="46" t="n"/>
      <c r="M2287" s="47" t="n"/>
      <c r="N2287" s="47" t="inlineStr">
        <is>
          <t>UCor_9jRnNNZVzTuQ92PKsaQ</t>
        </is>
      </c>
      <c r="O2287" s="48" t="n">
        <v>43091.82638888889</v>
      </c>
      <c r="P2287" s="49" t="n">
        <v>43091</v>
      </c>
      <c r="Q2287" s="47" t="n">
        <v>981</v>
      </c>
      <c r="R2287" s="47" t="inlineStr">
        <is>
          <t>No Video ID yet</t>
        </is>
      </c>
      <c r="S2287" s="49" t="n"/>
      <c r="T2287" s="49" t="n"/>
      <c r="U2287" s="47" t="inlineStr">
        <is>
          <t>Just way way too many status effects... P.S. WE ARE TAKING NEXT WEEK OFF! SEE YOU IN 2018!</t>
        </is>
      </c>
      <c r="V2287" s="47">
        <f>IF(AND(P2287&gt;=Calendar!$K$2,P2287&lt;EDATE(Calendar!$K$2,1),OR(Calendar!$K$4="*",N2287=Calendar!$K$4)),P2287*100+COUNTIFS($P$6:$P$3267,P2287,$Q$6:$Q$3267,"&lt;="&amp;Q2287,$N$6:$N$3267,Calendar!$K$4),"")</f>
        <v/>
      </c>
      <c r="W2287" s="47">
        <f>IF(AND(B2287=Queue!$C$4,OR(Queue!$K$4="*",N2287=Queue!$K$4)),Q2287,"")</f>
        <v/>
      </c>
    </row>
    <row r="2288">
      <c r="A2288" s="38">
        <f>IF(M2288="","",HYPERLINK("https://www.youtube.com/watch?v="&amp;M2288,"▶"))</f>
        <v/>
      </c>
      <c r="B2288" s="39">
        <f>IF(C2288&lt;&gt;"",C2288,IF(P2288&lt;=IFERROR(INDEX(tblChannels[Watched Through],MATCH(N2288,tblChannels[Channel ID],0)),0),"Watched","Unwatched"))</f>
        <v/>
      </c>
      <c r="C2288" s="40" t="n"/>
      <c r="D2288" s="41" t="n"/>
      <c r="E2288" s="42" t="n">
        <v>43090.73611111111</v>
      </c>
      <c r="F2288" s="52" t="inlineStr">
        <is>
          <t>Super Carlin Gaming</t>
        </is>
      </c>
      <c r="G2288" t="inlineStr">
        <is>
          <t>Mario Kart Roulette #56: Successful First Date?</t>
        </is>
      </c>
      <c r="H2288" s="44" t="n">
        <v>0.01079861111111111</v>
      </c>
      <c r="I2288" s="45" t="n">
        <v>10772</v>
      </c>
      <c r="J2288" s="45" t="n">
        <v>456</v>
      </c>
      <c r="K2288" s="45" t="n">
        <v>100</v>
      </c>
      <c r="L2288" s="46" t="n"/>
      <c r="M2288" s="47" t="n"/>
      <c r="N2288" s="47" t="inlineStr">
        <is>
          <t>UCor_9jRnNNZVzTuQ92PKsaQ</t>
        </is>
      </c>
      <c r="O2288" s="48" t="n">
        <v>43090.94444444445</v>
      </c>
      <c r="P2288" s="49" t="n">
        <v>43090</v>
      </c>
      <c r="Q2288" s="47" t="n">
        <v>980</v>
      </c>
      <c r="R2288" s="47" t="inlineStr">
        <is>
          <t>No Video ID yet</t>
        </is>
      </c>
      <c r="S2288" s="49" t="n"/>
      <c r="T2288" s="49" t="n"/>
      <c r="U2288" s="47" t="n"/>
      <c r="V2288" s="47">
        <f>IF(AND(P2288&gt;=Calendar!$K$2,P2288&lt;EDATE(Calendar!$K$2,1),OR(Calendar!$K$4="*",N2288=Calendar!$K$4)),P2288*100+COUNTIFS($P$6:$P$3267,P2288,$Q$6:$Q$3267,"&lt;="&amp;Q2288,$N$6:$N$3267,Calendar!$K$4),"")</f>
        <v/>
      </c>
      <c r="W2288" s="47">
        <f>IF(AND(B2288=Queue!$C$4,OR(Queue!$K$4="*",N2288=Queue!$K$4)),Q2288,"")</f>
        <v/>
      </c>
    </row>
    <row r="2289">
      <c r="A2289" s="38">
        <f>IF(M2289="","",HYPERLINK("https://www.youtube.com/watch?v="&amp;M2289,"▶"))</f>
        <v/>
      </c>
      <c r="B2289" s="39">
        <f>IF(C2289&lt;&gt;"",C2289,IF(P2289&lt;=IFERROR(INDEX(tblChannels[Watched Through],MATCH(N2289,tblChannels[Channel ID],0)),0),"Watched","Unwatched"))</f>
        <v/>
      </c>
      <c r="C2289" s="40" t="n"/>
      <c r="D2289" s="41" t="n"/>
      <c r="E2289" s="42" t="n">
        <v>43090.625</v>
      </c>
      <c r="F2289" s="50" t="inlineStr">
        <is>
          <t>Super Carlin Brothers</t>
        </is>
      </c>
      <c r="G2289" t="inlineStr">
        <is>
          <t>Top 7 Unanswered Questions from Star Wars The Last Jedi</t>
        </is>
      </c>
      <c r="H2289" s="44" t="n">
        <v>0.008032407407407408</v>
      </c>
      <c r="I2289" s="45" t="n">
        <v>474060</v>
      </c>
      <c r="J2289" s="45" t="n">
        <v>14177</v>
      </c>
      <c r="K2289" s="45" t="n">
        <v>2280</v>
      </c>
      <c r="L2289" s="46" t="n"/>
      <c r="M2289" s="47" t="n"/>
      <c r="N2289" s="47" t="inlineStr">
        <is>
          <t>UCKZo4N0lVPccBkSiuyVh4yg</t>
        </is>
      </c>
      <c r="O2289" s="48" t="n">
        <v>43090.83333333334</v>
      </c>
      <c r="P2289" s="49" t="n">
        <v>43090</v>
      </c>
      <c r="Q2289" s="47" t="n">
        <v>979</v>
      </c>
      <c r="R2289" s="47" t="inlineStr">
        <is>
          <t>No Video ID yet</t>
        </is>
      </c>
      <c r="S2289" s="49" t="n"/>
      <c r="T2289" s="49" t="n"/>
      <c r="U2289" s="47" t="inlineStr">
        <is>
          <t>To enter to win the $1,000 Scholarship Star building your project at SquareSpace.com/SCB Today Ben Goes through the Top 7 Unanswered Questions from Star Wars The Last Jedi!</t>
        </is>
      </c>
      <c r="V2289" s="47">
        <f>IF(AND(P2289&gt;=Calendar!$K$2,P2289&lt;EDATE(Calendar!$K$2,1),OR(Calendar!$K$4="*",N2289=Calendar!$K$4)),P2289*100+COUNTIFS($P$6:$P$3267,P2289,$Q$6:$Q$3267,"&lt;="&amp;Q2289,$N$6:$N$3267,Calendar!$K$4),"")</f>
        <v/>
      </c>
      <c r="W2289" s="47">
        <f>IF(AND(B2289=Queue!$C$4,OR(Queue!$K$4="*",N2289=Queue!$K$4)),Q2289,"")</f>
        <v/>
      </c>
    </row>
    <row r="2290">
      <c r="A2290" s="38">
        <f>IF(M2290="","",HYPERLINK("https://www.youtube.com/watch?v="&amp;M2290,"▶"))</f>
        <v/>
      </c>
      <c r="B2290" s="39">
        <f>IF(C2290&lt;&gt;"",C2290,IF(P2290&lt;=IFERROR(INDEX(tblChannels[Watched Through],MATCH(N2290,tblChannels[Channel ID],0)),0),"Watched","Unwatched"))</f>
        <v/>
      </c>
      <c r="C2290" s="40" t="n"/>
      <c r="D2290" s="41" t="n"/>
      <c r="E2290" s="42" t="n">
        <v>43089.65069444444</v>
      </c>
      <c r="F2290" s="52" t="inlineStr">
        <is>
          <t>Super Carlin Gaming</t>
        </is>
      </c>
      <c r="G2290" t="inlineStr">
        <is>
          <t>Pokemon Black Nuzlocke #19: The Power of Evolution</t>
        </is>
      </c>
      <c r="H2290" s="44" t="n">
        <v>0.02560185185185185</v>
      </c>
      <c r="I2290" s="45" t="n">
        <v>27369</v>
      </c>
      <c r="J2290" s="45" t="n">
        <v>742</v>
      </c>
      <c r="K2290" s="45" t="n">
        <v>180</v>
      </c>
      <c r="L2290" s="46" t="n"/>
      <c r="M2290" s="47" t="n"/>
      <c r="N2290" s="47" t="inlineStr">
        <is>
          <t>UCor_9jRnNNZVzTuQ92PKsaQ</t>
        </is>
      </c>
      <c r="O2290" s="48" t="n">
        <v>43089.85902777778</v>
      </c>
      <c r="P2290" s="49" t="n">
        <v>43089</v>
      </c>
      <c r="Q2290" s="47" t="n">
        <v>978</v>
      </c>
      <c r="R2290" s="47" t="inlineStr">
        <is>
          <t>No Video ID yet</t>
        </is>
      </c>
      <c r="S2290" s="49" t="n"/>
      <c r="T2290" s="49" t="n"/>
      <c r="U2290" s="47" t="inlineStr">
        <is>
          <t>So many evolutions! So much power...</t>
        </is>
      </c>
      <c r="V2290" s="47">
        <f>IF(AND(P2290&gt;=Calendar!$K$2,P2290&lt;EDATE(Calendar!$K$2,1),OR(Calendar!$K$4="*",N2290=Calendar!$K$4)),P2290*100+COUNTIFS($P$6:$P$3267,P2290,$Q$6:$Q$3267,"&lt;="&amp;Q2290,$N$6:$N$3267,Calendar!$K$4),"")</f>
        <v/>
      </c>
      <c r="W2290" s="47">
        <f>IF(AND(B2290=Queue!$C$4,OR(Queue!$K$4="*",N2290=Queue!$K$4)),Q2290,"")</f>
        <v/>
      </c>
    </row>
    <row r="2291">
      <c r="A2291" s="38">
        <f>IF(M2291="","",HYPERLINK("https://www.youtube.com/watch?v="&amp;M2291,"▶"))</f>
        <v/>
      </c>
      <c r="B2291" s="39">
        <f>IF(C2291&lt;&gt;"",C2291,IF(P2291&lt;=IFERROR(INDEX(tblChannels[Watched Through],MATCH(N2291,tblChannels[Channel ID],0)),0),"Watched","Unwatched"))</f>
        <v/>
      </c>
      <c r="C2291" s="40" t="n"/>
      <c r="D2291" s="41" t="n"/>
      <c r="E2291" s="42" t="n">
        <v>43088.75902777778</v>
      </c>
      <c r="F2291" s="50" t="inlineStr">
        <is>
          <t>Super Carlin Brothers</t>
        </is>
      </c>
      <c r="G2291" t="inlineStr">
        <is>
          <t>Star Wars The Last Jedi SPOILER Review</t>
        </is>
      </c>
      <c r="H2291" s="44" t="n">
        <v>0.04396990740740741</v>
      </c>
      <c r="I2291" s="45" t="n">
        <v>397313</v>
      </c>
      <c r="J2291" s="45" t="n">
        <v>11560</v>
      </c>
      <c r="K2291" s="45" t="n">
        <v>4626</v>
      </c>
      <c r="L2291" s="46" t="n"/>
      <c r="M2291" s="47" t="n"/>
      <c r="N2291" s="47" t="inlineStr">
        <is>
          <t>UCKZo4N0lVPccBkSiuyVh4yg</t>
        </is>
      </c>
      <c r="O2291" s="48" t="n">
        <v>43088.96736111111</v>
      </c>
      <c r="P2291" s="49" t="n">
        <v>43088</v>
      </c>
      <c r="Q2291" s="47" t="n">
        <v>977</v>
      </c>
      <c r="R2291" s="47" t="inlineStr">
        <is>
          <t>No Video ID yet</t>
        </is>
      </c>
      <c r="S2291" s="49" t="n"/>
      <c r="T2291" s="49" t="n"/>
      <c r="U2291" s="47" t="inlineStr">
        <is>
          <t>This movie has proven to be incredibly polarizing amongst fans... Where do you rank The Last Jedi amongst the Star Wars Films?</t>
        </is>
      </c>
      <c r="V2291" s="47">
        <f>IF(AND(P2291&gt;=Calendar!$K$2,P2291&lt;EDATE(Calendar!$K$2,1),OR(Calendar!$K$4="*",N2291=Calendar!$K$4)),P2291*100+COUNTIFS($P$6:$P$3267,P2291,$Q$6:$Q$3267,"&lt;="&amp;Q2291,$N$6:$N$3267,Calendar!$K$4),"")</f>
        <v/>
      </c>
      <c r="W2291" s="47">
        <f>IF(AND(B2291=Queue!$C$4,OR(Queue!$K$4="*",N2291=Queue!$K$4)),Q2291,"")</f>
        <v/>
      </c>
    </row>
    <row r="2292">
      <c r="A2292" s="38">
        <f>IF(M2292="","",HYPERLINK("https://www.youtube.com/watch?v="&amp;M2292,"▶"))</f>
        <v/>
      </c>
      <c r="B2292" s="39">
        <f>IF(C2292&lt;&gt;"",C2292,IF(P2292&lt;=IFERROR(INDEX(tblChannels[Watched Through],MATCH(N2292,tblChannels[Channel ID],0)),0),"Watched","Unwatched"))</f>
        <v/>
      </c>
      <c r="C2292" s="40" t="n"/>
      <c r="D2292" s="41" t="n"/>
      <c r="E2292" s="42" t="n">
        <v>43088.44930555556</v>
      </c>
      <c r="F2292" s="52" t="inlineStr">
        <is>
          <t>Super Carlin Gaming</t>
        </is>
      </c>
      <c r="G2292" t="inlineStr">
        <is>
          <t>Mario Kart Roulette #55: Poorly Timed Lightning</t>
        </is>
      </c>
      <c r="H2292" s="44" t="n">
        <v>0.01241898148148148</v>
      </c>
      <c r="I2292" s="45" t="n">
        <v>12269</v>
      </c>
      <c r="J2292" s="45" t="n">
        <v>658</v>
      </c>
      <c r="K2292" s="45" t="n">
        <v>108</v>
      </c>
      <c r="L2292" s="46" t="n"/>
      <c r="M2292" s="47" t="n"/>
      <c r="N2292" s="47" t="inlineStr">
        <is>
          <t>UCor_9jRnNNZVzTuQ92PKsaQ</t>
        </is>
      </c>
      <c r="O2292" s="48" t="n">
        <v>43088.65763888889</v>
      </c>
      <c r="P2292" s="49" t="n">
        <v>43088</v>
      </c>
      <c r="Q2292" s="47" t="n">
        <v>976</v>
      </c>
      <c r="R2292" s="47" t="inlineStr">
        <is>
          <t>No Video ID yet</t>
        </is>
      </c>
      <c r="S2292" s="49" t="n"/>
      <c r="T2292" s="49" t="n"/>
      <c r="U2292" s="47" t="n"/>
      <c r="V2292" s="47">
        <f>IF(AND(P2292&gt;=Calendar!$K$2,P2292&lt;EDATE(Calendar!$K$2,1),OR(Calendar!$K$4="*",N2292=Calendar!$K$4)),P2292*100+COUNTIFS($P$6:$P$3267,P2292,$Q$6:$Q$3267,"&lt;="&amp;Q2292,$N$6:$N$3267,Calendar!$K$4),"")</f>
        <v/>
      </c>
      <c r="W2292" s="47">
        <f>IF(AND(B2292=Queue!$C$4,OR(Queue!$K$4="*",N2292=Queue!$K$4)),Q2292,"")</f>
        <v/>
      </c>
    </row>
    <row r="2293">
      <c r="A2293" s="38">
        <f>IF(M2293="","",HYPERLINK("https://www.youtube.com/watch?v="&amp;M2293,"▶"))</f>
        <v/>
      </c>
      <c r="B2293" s="39">
        <f>IF(C2293&lt;&gt;"",C2293,IF(P2293&lt;=IFERROR(INDEX(tblChannels[Watched Through],MATCH(N2293,tblChannels[Channel ID],0)),0),"Watched","Unwatched"))</f>
        <v/>
      </c>
      <c r="C2293" s="40" t="n"/>
      <c r="D2293" s="41" t="n"/>
      <c r="E2293" s="42" t="n">
        <v>43087.73402777778</v>
      </c>
      <c r="F2293" s="52" t="inlineStr">
        <is>
          <t>Super Carlin Gaming</t>
        </is>
      </c>
      <c r="G2293" t="inlineStr">
        <is>
          <t>Pokemon Black Nuzlocke #18: Icirrus</t>
        </is>
      </c>
      <c r="H2293" s="44" t="n">
        <v>0.02078703703703704</v>
      </c>
      <c r="I2293" s="45" t="n">
        <v>26312</v>
      </c>
      <c r="J2293" s="45" t="n">
        <v>726</v>
      </c>
      <c r="K2293" s="45" t="n">
        <v>177</v>
      </c>
      <c r="L2293" s="46" t="n"/>
      <c r="M2293" s="47" t="n"/>
      <c r="N2293" s="47" t="inlineStr">
        <is>
          <t>UCor_9jRnNNZVzTuQ92PKsaQ</t>
        </is>
      </c>
      <c r="O2293" s="48" t="n">
        <v>43087.94236111111</v>
      </c>
      <c r="P2293" s="49" t="n">
        <v>43087</v>
      </c>
      <c r="Q2293" s="47" t="n">
        <v>975</v>
      </c>
      <c r="R2293" s="47" t="inlineStr">
        <is>
          <t>No Video ID yet</t>
        </is>
      </c>
      <c r="S2293" s="49" t="n"/>
      <c r="T2293" s="49" t="n"/>
      <c r="U2293" s="47" t="n"/>
      <c r="V2293" s="47">
        <f>IF(AND(P2293&gt;=Calendar!$K$2,P2293&lt;EDATE(Calendar!$K$2,1),OR(Calendar!$K$4="*",N2293=Calendar!$K$4)),P2293*100+COUNTIFS($P$6:$P$3267,P2293,$Q$6:$Q$3267,"&lt;="&amp;Q2293,$N$6:$N$3267,Calendar!$K$4),"")</f>
        <v/>
      </c>
      <c r="W2293" s="47">
        <f>IF(AND(B2293=Queue!$C$4,OR(Queue!$K$4="*",N2293=Queue!$K$4)),Q2293,"")</f>
        <v/>
      </c>
    </row>
    <row r="2294">
      <c r="A2294" s="38">
        <f>IF(M2294="","",HYPERLINK("https://www.youtube.com/watch?v="&amp;M2294,"▶"))</f>
        <v/>
      </c>
      <c r="B2294" s="39">
        <f>IF(C2294&lt;&gt;"",C2294,IF(P2294&lt;=IFERROR(INDEX(tblChannels[Watched Through],MATCH(N2294,tblChannels[Channel ID],0)),0),"Watched","Unwatched"))</f>
        <v/>
      </c>
      <c r="C2294" s="40" t="n"/>
      <c r="D2294" s="41" t="n"/>
      <c r="E2294" s="42" t="n">
        <v>43087.47638888889</v>
      </c>
      <c r="F2294" s="53" t="inlineStr">
        <is>
          <t>Jonathan Carlin</t>
        </is>
      </c>
      <c r="G2294" t="inlineStr">
        <is>
          <t>MY SON IS BORN</t>
        </is>
      </c>
      <c r="H2294" s="44" t="n">
        <v>0.005289351851851852</v>
      </c>
      <c r="I2294" s="45" t="n">
        <v>154541</v>
      </c>
      <c r="J2294" s="45" t="n">
        <v>6657</v>
      </c>
      <c r="K2294" s="45" t="n">
        <v>886</v>
      </c>
      <c r="L2294" s="46" t="n"/>
      <c r="M2294" s="47" t="n"/>
      <c r="N2294" s="47" t="inlineStr">
        <is>
          <t>UCYPKFe86e6nm4TVUYKLsFUQ</t>
        </is>
      </c>
      <c r="O2294" s="48" t="n">
        <v>43087.68472222222</v>
      </c>
      <c r="P2294" s="49" t="n">
        <v>43087</v>
      </c>
      <c r="Q2294" s="47" t="n">
        <v>974</v>
      </c>
      <c r="R2294" s="47" t="inlineStr">
        <is>
          <t>No Video ID yet</t>
        </is>
      </c>
      <c r="S2294" s="49" t="n"/>
      <c r="T2294" s="49" t="n"/>
      <c r="U2294" s="47" t="inlineStr">
        <is>
          <t>The new best day of my life: November 29, 2017, the day my son Luke was born. If it puts your mind at ease at all, he stayed in the NICU for awhile but has safely made it home and is happy and healthy!</t>
        </is>
      </c>
      <c r="V2294" s="47">
        <f>IF(AND(P2294&gt;=Calendar!$K$2,P2294&lt;EDATE(Calendar!$K$2,1),OR(Calendar!$K$4="*",N2294=Calendar!$K$4)),P2294*100+COUNTIFS($P$6:$P$3267,P2294,$Q$6:$Q$3267,"&lt;="&amp;Q2294,$N$6:$N$3267,Calendar!$K$4),"")</f>
        <v/>
      </c>
      <c r="W2294" s="47">
        <f>IF(AND(B2294=Queue!$C$4,OR(Queue!$K$4="*",N2294=Queue!$K$4)),Q2294,"")</f>
        <v/>
      </c>
    </row>
    <row r="2295">
      <c r="A2295" s="38">
        <f>IF(M2295="","",HYPERLINK("https://www.youtube.com/watch?v="&amp;M2295,"▶"))</f>
        <v/>
      </c>
      <c r="B2295" s="39">
        <f>IF(C2295&lt;&gt;"",C2295,IF(P2295&lt;=IFERROR(INDEX(tblChannels[Watched Through],MATCH(N2295,tblChannels[Channel ID],0)),0),"Watched","Unwatched"))</f>
        <v/>
      </c>
      <c r="C2295" s="40" t="n"/>
      <c r="D2295" s="41" t="n"/>
      <c r="E2295" s="42" t="n">
        <v>43084.64583333334</v>
      </c>
      <c r="F2295" s="50" t="inlineStr">
        <is>
          <t>Super Carlin Brothers</t>
        </is>
      </c>
      <c r="G2295" t="inlineStr">
        <is>
          <t>Luke, I am Your Father - J Becomes a Dad!</t>
        </is>
      </c>
      <c r="H2295" s="44" t="n">
        <v>0.008750000000000001</v>
      </c>
      <c r="I2295" s="45" t="n">
        <v>298375</v>
      </c>
      <c r="J2295" s="45" t="n">
        <v>14224</v>
      </c>
      <c r="K2295" s="45" t="n">
        <v>1402</v>
      </c>
      <c r="L2295" s="46" t="n"/>
      <c r="M2295" s="47" t="n"/>
      <c r="N2295" s="47" t="inlineStr">
        <is>
          <t>UCKZo4N0lVPccBkSiuyVh4yg</t>
        </is>
      </c>
      <c r="O2295" s="48" t="n">
        <v>43084.85416666666</v>
      </c>
      <c r="P2295" s="49" t="n">
        <v>43084</v>
      </c>
      <c r="Q2295" s="47" t="n">
        <v>973</v>
      </c>
      <c r="R2295" s="47" t="inlineStr">
        <is>
          <t>No Video ID yet</t>
        </is>
      </c>
      <c r="S2295" s="49" t="n"/>
      <c r="T2295" s="49" t="n"/>
      <c r="U2295" s="47" t="inlineStr">
        <is>
          <t>J's Vlog Channel:</t>
        </is>
      </c>
      <c r="V2295" s="47">
        <f>IF(AND(P2295&gt;=Calendar!$K$2,P2295&lt;EDATE(Calendar!$K$2,1),OR(Calendar!$K$4="*",N2295=Calendar!$K$4)),P2295*100+COUNTIFS($P$6:$P$3267,P2295,$Q$6:$Q$3267,"&lt;="&amp;Q2295,$N$6:$N$3267,Calendar!$K$4),"")</f>
        <v/>
      </c>
      <c r="W2295" s="47">
        <f>IF(AND(B2295=Queue!$C$4,OR(Queue!$K$4="*",N2295=Queue!$K$4)),Q2295,"")</f>
        <v/>
      </c>
    </row>
    <row r="2296">
      <c r="A2296" s="38">
        <f>IF(M2296="","",HYPERLINK("https://www.youtube.com/watch?v="&amp;M2296,"▶"))</f>
        <v/>
      </c>
      <c r="B2296" s="39">
        <f>IF(C2296&lt;&gt;"",C2296,IF(P2296&lt;=IFERROR(INDEX(tblChannels[Watched Through],MATCH(N2296,tblChannels[Channel ID],0)),0),"Watched","Unwatched"))</f>
        <v/>
      </c>
      <c r="C2296" s="40" t="n"/>
      <c r="D2296" s="41" t="n"/>
      <c r="E2296" s="42" t="n">
        <v>43084.60069444445</v>
      </c>
      <c r="F2296" s="52" t="inlineStr">
        <is>
          <t>Super Carlin Gaming</t>
        </is>
      </c>
      <c r="G2296" t="inlineStr">
        <is>
          <t>Pokemon Black Nuzlocke #17: Taco's Last Ember</t>
        </is>
      </c>
      <c r="H2296" s="44" t="n">
        <v>0.02247685185185185</v>
      </c>
      <c r="I2296" s="45" t="n">
        <v>29348</v>
      </c>
      <c r="J2296" s="45" t="n">
        <v>770</v>
      </c>
      <c r="K2296" s="45" t="n">
        <v>350</v>
      </c>
      <c r="L2296" s="46" t="n"/>
      <c r="M2296" s="47" t="n"/>
      <c r="N2296" s="47" t="inlineStr">
        <is>
          <t>UCor_9jRnNNZVzTuQ92PKsaQ</t>
        </is>
      </c>
      <c r="O2296" s="48" t="n">
        <v>43084.80902777778</v>
      </c>
      <c r="P2296" s="49" t="n">
        <v>43084</v>
      </c>
      <c r="Q2296" s="47" t="n">
        <v>972</v>
      </c>
      <c r="R2296" s="47" t="inlineStr">
        <is>
          <t>No Video ID yet</t>
        </is>
      </c>
      <c r="S2296" s="49" t="n"/>
      <c r="T2296" s="49" t="n"/>
      <c r="U2296" s="47" t="n"/>
      <c r="V2296" s="47">
        <f>IF(AND(P2296&gt;=Calendar!$K$2,P2296&lt;EDATE(Calendar!$K$2,1),OR(Calendar!$K$4="*",N2296=Calendar!$K$4)),P2296*100+COUNTIFS($P$6:$P$3267,P2296,$Q$6:$Q$3267,"&lt;="&amp;Q2296,$N$6:$N$3267,Calendar!$K$4),"")</f>
        <v/>
      </c>
      <c r="W2296" s="47">
        <f>IF(AND(B2296=Queue!$C$4,OR(Queue!$K$4="*",N2296=Queue!$K$4)),Q2296,"")</f>
        <v/>
      </c>
    </row>
    <row r="2297">
      <c r="A2297" s="38">
        <f>IF(M2297="","",HYPERLINK("https://www.youtube.com/watch?v="&amp;M2297,"▶"))</f>
        <v/>
      </c>
      <c r="B2297" s="39">
        <f>IF(C2297&lt;&gt;"",C2297,IF(P2297&lt;=IFERROR(INDEX(tblChannels[Watched Through],MATCH(N2297,tblChannels[Channel ID],0)),0),"Watched","Unwatched"))</f>
        <v/>
      </c>
      <c r="C2297" s="40" t="n"/>
      <c r="D2297" s="41" t="n"/>
      <c r="E2297" s="42" t="n">
        <v>43083.44861111111</v>
      </c>
      <c r="F2297" s="52" t="inlineStr">
        <is>
          <t>Super Carlin Gaming</t>
        </is>
      </c>
      <c r="G2297" t="inlineStr">
        <is>
          <t>Mario Kart Roulette #54: Is Arguing Bad?</t>
        </is>
      </c>
      <c r="H2297" s="44" t="n">
        <v>0.01137731481481481</v>
      </c>
      <c r="I2297" s="45" t="n">
        <v>11198</v>
      </c>
      <c r="J2297" s="45" t="n">
        <v>554</v>
      </c>
      <c r="K2297" s="45" t="n">
        <v>82</v>
      </c>
      <c r="L2297" s="46" t="n"/>
      <c r="M2297" s="47" t="n"/>
      <c r="N2297" s="47" t="inlineStr">
        <is>
          <t>UCor_9jRnNNZVzTuQ92PKsaQ</t>
        </is>
      </c>
      <c r="O2297" s="48" t="n">
        <v>43083.65694444445</v>
      </c>
      <c r="P2297" s="49" t="n">
        <v>43083</v>
      </c>
      <c r="Q2297" s="47" t="n">
        <v>971</v>
      </c>
      <c r="R2297" s="47" t="inlineStr">
        <is>
          <t>No Video ID yet</t>
        </is>
      </c>
      <c r="S2297" s="49" t="n"/>
      <c r="T2297" s="49" t="n"/>
      <c r="U2297" s="47" t="inlineStr">
        <is>
          <t>Is arguing with your friends bad?</t>
        </is>
      </c>
      <c r="V2297" s="47">
        <f>IF(AND(P2297&gt;=Calendar!$K$2,P2297&lt;EDATE(Calendar!$K$2,1),OR(Calendar!$K$4="*",N2297=Calendar!$K$4)),P2297*100+COUNTIFS($P$6:$P$3267,P2297,$Q$6:$Q$3267,"&lt;="&amp;Q2297,$N$6:$N$3267,Calendar!$K$4),"")</f>
        <v/>
      </c>
      <c r="W2297" s="47">
        <f>IF(AND(B2297=Queue!$C$4,OR(Queue!$K$4="*",N2297=Queue!$K$4)),Q2297,"")</f>
        <v/>
      </c>
    </row>
    <row r="2298">
      <c r="A2298" s="38">
        <f>IF(M2298="","",HYPERLINK("https://www.youtube.com/watch?v="&amp;M2298,"▶"))</f>
        <v/>
      </c>
      <c r="B2298" s="39">
        <f>IF(C2298&lt;&gt;"",C2298,IF(P2298&lt;=IFERROR(INDEX(tblChannels[Watched Through],MATCH(N2298,tblChannels[Channel ID],0)),0),"Watched","Unwatched"))</f>
        <v/>
      </c>
      <c r="C2298" s="40" t="n"/>
      <c r="D2298" s="41" t="n"/>
      <c r="E2298" s="42" t="n">
        <v>43082.60902777778</v>
      </c>
      <c r="F2298" s="52" t="inlineStr">
        <is>
          <t>Super Carlin Gaming</t>
        </is>
      </c>
      <c r="G2298" t="inlineStr">
        <is>
          <t>Pokemon Black Nuzlocke #16: Up To Skyla</t>
        </is>
      </c>
      <c r="H2298" s="44" t="n">
        <v>0.02548611111111111</v>
      </c>
      <c r="I2298" s="45" t="n">
        <v>29689</v>
      </c>
      <c r="J2298" s="45" t="n">
        <v>781</v>
      </c>
      <c r="K2298" s="45" t="n">
        <v>225</v>
      </c>
      <c r="L2298" s="46" t="n"/>
      <c r="M2298" s="47" t="n"/>
      <c r="N2298" s="47" t="inlineStr">
        <is>
          <t>UCor_9jRnNNZVzTuQ92PKsaQ</t>
        </is>
      </c>
      <c r="O2298" s="48" t="n">
        <v>43082.81736111111</v>
      </c>
      <c r="P2298" s="49" t="n">
        <v>43082</v>
      </c>
      <c r="Q2298" s="47" t="n">
        <v>970</v>
      </c>
      <c r="R2298" s="47" t="inlineStr">
        <is>
          <t>No Video ID yet</t>
        </is>
      </c>
      <c r="S2298" s="49" t="n"/>
      <c r="T2298" s="49" t="n"/>
      <c r="U2298" s="47" t="n"/>
      <c r="V2298" s="47">
        <f>IF(AND(P2298&gt;=Calendar!$K$2,P2298&lt;EDATE(Calendar!$K$2,1),OR(Calendar!$K$4="*",N2298=Calendar!$K$4)),P2298*100+COUNTIFS($P$6:$P$3267,P2298,$Q$6:$Q$3267,"&lt;="&amp;Q2298,$N$6:$N$3267,Calendar!$K$4),"")</f>
        <v/>
      </c>
      <c r="W2298" s="47">
        <f>IF(AND(B2298=Queue!$C$4,OR(Queue!$K$4="*",N2298=Queue!$K$4)),Q2298,"")</f>
        <v/>
      </c>
    </row>
    <row r="2299">
      <c r="A2299" s="38">
        <f>IF(M2299="","",HYPERLINK("https://www.youtube.com/watch?v="&amp;M2299,"▶"))</f>
        <v/>
      </c>
      <c r="B2299" s="39">
        <f>IF(C2299&lt;&gt;"",C2299,IF(P2299&lt;=IFERROR(INDEX(tblChannels[Watched Through],MATCH(N2299,tblChannels[Channel ID],0)),0),"Watched","Unwatched"))</f>
        <v/>
      </c>
      <c r="C2299" s="40" t="n"/>
      <c r="D2299" s="41" t="n"/>
      <c r="E2299" s="42" t="n">
        <v>43081.80277777778</v>
      </c>
      <c r="F2299" s="50" t="inlineStr">
        <is>
          <t>Super Carlin Brothers</t>
        </is>
      </c>
      <c r="G2299" t="inlineStr">
        <is>
          <t>How Coco Fits Into The Pixar Theory</t>
        </is>
      </c>
      <c r="H2299" s="44" t="n">
        <v>0.008333333333333333</v>
      </c>
      <c r="I2299" s="45" t="n">
        <v>2218728</v>
      </c>
      <c r="J2299" s="45" t="n">
        <v>50715</v>
      </c>
      <c r="K2299" s="45" t="n">
        <v>6035</v>
      </c>
      <c r="L2299" s="46" t="n"/>
      <c r="M2299" s="47" t="n"/>
      <c r="N2299" s="47" t="inlineStr">
        <is>
          <t>UCKZo4N0lVPccBkSiuyVh4yg</t>
        </is>
      </c>
      <c r="O2299" s="48" t="n">
        <v>43082.01111111111</v>
      </c>
      <c r="P2299" s="49" t="n">
        <v>43081</v>
      </c>
      <c r="Q2299" s="47" t="n">
        <v>969</v>
      </c>
      <c r="R2299" s="47" t="inlineStr">
        <is>
          <t>No Video ID yet</t>
        </is>
      </c>
      <c r="S2299" s="49" t="n"/>
      <c r="T2299" s="49" t="n"/>
      <c r="U2299" s="47" t="inlineStr">
        <is>
          <t>Today we answer the question... Does Coco fit into the Pixar Theory... And if so... How?</t>
        </is>
      </c>
      <c r="V2299" s="47">
        <f>IF(AND(P2299&gt;=Calendar!$K$2,P2299&lt;EDATE(Calendar!$K$2,1),OR(Calendar!$K$4="*",N2299=Calendar!$K$4)),P2299*100+COUNTIFS($P$6:$P$3267,P2299,$Q$6:$Q$3267,"&lt;="&amp;Q2299,$N$6:$N$3267,Calendar!$K$4),"")</f>
        <v/>
      </c>
      <c r="W2299" s="47">
        <f>IF(AND(B2299=Queue!$C$4,OR(Queue!$K$4="*",N2299=Queue!$K$4)),Q2299,"")</f>
        <v/>
      </c>
    </row>
    <row r="2300">
      <c r="A2300" s="38">
        <f>IF(M2300="","",HYPERLINK("https://www.youtube.com/watch?v="&amp;M2300,"▶"))</f>
        <v/>
      </c>
      <c r="B2300" s="39">
        <f>IF(C2300&lt;&gt;"",C2300,IF(P2300&lt;=IFERROR(INDEX(tblChannels[Watched Through],MATCH(N2300,tblChannels[Channel ID],0)),0),"Watched","Unwatched"))</f>
        <v/>
      </c>
      <c r="C2300" s="40" t="n"/>
      <c r="D2300" s="41" t="n"/>
      <c r="E2300" s="42" t="n">
        <v>43081.56736111111</v>
      </c>
      <c r="F2300" s="52" t="inlineStr">
        <is>
          <t>Super Carlin Gaming</t>
        </is>
      </c>
      <c r="G2300" t="inlineStr">
        <is>
          <t>Mario Kart Roulette #53: Being Awkward?</t>
        </is>
      </c>
      <c r="H2300" s="44" t="n">
        <v>0.01075231481481482</v>
      </c>
      <c r="I2300" s="45" t="n">
        <v>11370</v>
      </c>
      <c r="J2300" s="45" t="n">
        <v>428</v>
      </c>
      <c r="K2300" s="45" t="n">
        <v>159</v>
      </c>
      <c r="L2300" s="46" t="n"/>
      <c r="M2300" s="47" t="n"/>
      <c r="N2300" s="47" t="inlineStr">
        <is>
          <t>UCor_9jRnNNZVzTuQ92PKsaQ</t>
        </is>
      </c>
      <c r="O2300" s="48" t="n">
        <v>43081.77569444444</v>
      </c>
      <c r="P2300" s="49" t="n">
        <v>43081</v>
      </c>
      <c r="Q2300" s="47" t="n">
        <v>968</v>
      </c>
      <c r="R2300" s="47" t="inlineStr">
        <is>
          <t>No Video ID yet</t>
        </is>
      </c>
      <c r="S2300" s="49" t="n"/>
      <c r="T2300" s="49" t="n"/>
      <c r="U2300" s="47" t="inlineStr">
        <is>
          <t>The Triforce Cup! and what is the best way to talk to people and not be awkward?</t>
        </is>
      </c>
      <c r="V2300" s="47">
        <f>IF(AND(P2300&gt;=Calendar!$K$2,P2300&lt;EDATE(Calendar!$K$2,1),OR(Calendar!$K$4="*",N2300=Calendar!$K$4)),P2300*100+COUNTIFS($P$6:$P$3267,P2300,$Q$6:$Q$3267,"&lt;="&amp;Q2300,$N$6:$N$3267,Calendar!$K$4),"")</f>
        <v/>
      </c>
      <c r="W2300" s="47">
        <f>IF(AND(B2300=Queue!$C$4,OR(Queue!$K$4="*",N2300=Queue!$K$4)),Q2300,"")</f>
        <v/>
      </c>
    </row>
    <row r="2301">
      <c r="A2301" s="38">
        <f>IF(M2301="","",HYPERLINK("https://www.youtube.com/watch?v="&amp;M2301,"▶"))</f>
        <v/>
      </c>
      <c r="B2301" s="39">
        <f>IF(C2301&lt;&gt;"",C2301,IF(P2301&lt;=IFERROR(INDEX(tblChannels[Watched Through],MATCH(N2301,tblChannels[Channel ID],0)),0),"Watched","Unwatched"))</f>
        <v/>
      </c>
      <c r="C2301" s="40" t="n"/>
      <c r="D2301" s="41" t="n"/>
      <c r="E2301" s="42" t="n">
        <v>43080.66805555556</v>
      </c>
      <c r="F2301" s="52" t="inlineStr">
        <is>
          <t>Super Carlin Gaming</t>
        </is>
      </c>
      <c r="G2301" t="inlineStr">
        <is>
          <t>Pokemon Black Nuzlocke #15: A Grave Tower.</t>
        </is>
      </c>
      <c r="H2301" s="44" t="n">
        <v>0.01956018518518518</v>
      </c>
      <c r="I2301" s="45" t="n">
        <v>29134</v>
      </c>
      <c r="J2301" s="45" t="n">
        <v>810</v>
      </c>
      <c r="K2301" s="45" t="n">
        <v>357</v>
      </c>
      <c r="L2301" s="46" t="n"/>
      <c r="M2301" s="47" t="n"/>
      <c r="N2301" s="47" t="inlineStr">
        <is>
          <t>UCor_9jRnNNZVzTuQ92PKsaQ</t>
        </is>
      </c>
      <c r="O2301" s="48" t="n">
        <v>43080.87638888889</v>
      </c>
      <c r="P2301" s="49" t="n">
        <v>43080</v>
      </c>
      <c r="Q2301" s="47" t="n">
        <v>967</v>
      </c>
      <c r="R2301" s="47" t="inlineStr">
        <is>
          <t>No Video ID yet</t>
        </is>
      </c>
      <c r="S2301" s="49" t="n"/>
      <c r="T2301" s="49" t="n"/>
      <c r="U2301" s="47" t="inlineStr">
        <is>
          <t>We're off to the Celestial Tower! Which is a weird tower of pokemon graves... creepy...</t>
        </is>
      </c>
      <c r="V2301" s="47">
        <f>IF(AND(P2301&gt;=Calendar!$K$2,P2301&lt;EDATE(Calendar!$K$2,1),OR(Calendar!$K$4="*",N2301=Calendar!$K$4)),P2301*100+COUNTIFS($P$6:$P$3267,P2301,$Q$6:$Q$3267,"&lt;="&amp;Q2301,$N$6:$N$3267,Calendar!$K$4),"")</f>
        <v/>
      </c>
      <c r="W2301" s="47">
        <f>IF(AND(B2301=Queue!$C$4,OR(Queue!$K$4="*",N2301=Queue!$K$4)),Q2301,"")</f>
        <v/>
      </c>
    </row>
    <row r="2302">
      <c r="A2302" s="38">
        <f>IF(M2302="","",HYPERLINK("https://www.youtube.com/watch?v="&amp;M2302,"▶"))</f>
        <v/>
      </c>
      <c r="B2302" s="39">
        <f>IF(C2302&lt;&gt;"",C2302,IF(P2302&lt;=IFERROR(INDEX(tblChannels[Watched Through],MATCH(N2302,tblChannels[Channel ID],0)),0),"Watched","Unwatched"))</f>
        <v/>
      </c>
      <c r="C2302" s="40" t="n"/>
      <c r="D2302" s="41" t="n"/>
      <c r="E2302" s="42" t="n">
        <v>43080.41666666666</v>
      </c>
      <c r="F2302" s="53" t="inlineStr">
        <is>
          <t>Jonathan Carlin</t>
        </is>
      </c>
      <c r="G2302" t="inlineStr">
        <is>
          <t>BETH'S WATER BROKE!</t>
        </is>
      </c>
      <c r="H2302" s="44" t="n">
        <v>0.008078703703703704</v>
      </c>
      <c r="I2302" s="45" t="n">
        <v>85936</v>
      </c>
      <c r="J2302" s="45" t="n">
        <v>3752</v>
      </c>
      <c r="K2302" s="45" t="n">
        <v>389</v>
      </c>
      <c r="L2302" s="46" t="n"/>
      <c r="M2302" s="47" t="n"/>
      <c r="N2302" s="47" t="inlineStr">
        <is>
          <t>UCYPKFe86e6nm4TVUYKLsFUQ</t>
        </is>
      </c>
      <c r="O2302" s="48" t="n">
        <v>43080.625</v>
      </c>
      <c r="P2302" s="49" t="n">
        <v>43080</v>
      </c>
      <c r="Q2302" s="47" t="n">
        <v>966</v>
      </c>
      <c r="R2302" s="47" t="inlineStr">
        <is>
          <t>No Video ID yet</t>
        </is>
      </c>
      <c r="S2302" s="49" t="n"/>
      <c r="T2302" s="49" t="n"/>
      <c r="U2302" s="47" t="inlineStr">
        <is>
          <t>Beth's water broke... TO THE HOSPITAL!</t>
        </is>
      </c>
      <c r="V2302" s="47">
        <f>IF(AND(P2302&gt;=Calendar!$K$2,P2302&lt;EDATE(Calendar!$K$2,1),OR(Calendar!$K$4="*",N2302=Calendar!$K$4)),P2302*100+COUNTIFS($P$6:$P$3267,P2302,$Q$6:$Q$3267,"&lt;="&amp;Q2302,$N$6:$N$3267,Calendar!$K$4),"")</f>
        <v/>
      </c>
      <c r="W2302" s="47">
        <f>IF(AND(B2302=Queue!$C$4,OR(Queue!$K$4="*",N2302=Queue!$K$4)),Q2302,"")</f>
        <v/>
      </c>
    </row>
    <row r="2303">
      <c r="A2303" s="38">
        <f>IF(M2303="","",HYPERLINK("https://www.youtube.com/watch?v="&amp;M2303,"▶"))</f>
        <v/>
      </c>
      <c r="B2303" s="39">
        <f>IF(C2303&lt;&gt;"",C2303,IF(P2303&lt;=IFERROR(INDEX(tblChannels[Watched Through],MATCH(N2303,tblChannels[Channel ID],0)),0),"Watched","Unwatched"))</f>
        <v/>
      </c>
      <c r="C2303" s="40" t="n"/>
      <c r="D2303" s="41" t="n"/>
      <c r="E2303" s="42" t="n">
        <v>43077.47430555556</v>
      </c>
      <c r="F2303" s="52" t="inlineStr">
        <is>
          <t>Super Carlin Gaming</t>
        </is>
      </c>
      <c r="G2303" t="inlineStr">
        <is>
          <t>Pokemon Black Nuzlocke #14: the Nth Degree!</t>
        </is>
      </c>
      <c r="H2303" s="44" t="n">
        <v>0.01959490740740741</v>
      </c>
      <c r="I2303" s="45" t="n">
        <v>29882</v>
      </c>
      <c r="J2303" s="45" t="n">
        <v>774</v>
      </c>
      <c r="K2303" s="45" t="n">
        <v>225</v>
      </c>
      <c r="L2303" s="46" t="n"/>
      <c r="M2303" s="47" t="n"/>
      <c r="N2303" s="47" t="inlineStr">
        <is>
          <t>UCor_9jRnNNZVzTuQ92PKsaQ</t>
        </is>
      </c>
      <c r="O2303" s="48" t="n">
        <v>43077.68263888889</v>
      </c>
      <c r="P2303" s="49" t="n">
        <v>43077</v>
      </c>
      <c r="Q2303" s="47" t="n">
        <v>965</v>
      </c>
      <c r="R2303" s="47" t="inlineStr">
        <is>
          <t>No Video ID yet</t>
        </is>
      </c>
      <c r="S2303" s="49" t="n"/>
      <c r="T2303" s="49" t="n"/>
      <c r="U2303" s="47" t="inlineStr">
        <is>
          <t>Continuing on from Wednesday's episode - we explore more of Chargestone Cave!</t>
        </is>
      </c>
      <c r="V2303" s="47">
        <f>IF(AND(P2303&gt;=Calendar!$K$2,P2303&lt;EDATE(Calendar!$K$2,1),OR(Calendar!$K$4="*",N2303=Calendar!$K$4)),P2303*100+COUNTIFS($P$6:$P$3267,P2303,$Q$6:$Q$3267,"&lt;="&amp;Q2303,$N$6:$N$3267,Calendar!$K$4),"")</f>
        <v/>
      </c>
      <c r="W2303" s="47">
        <f>IF(AND(B2303=Queue!$C$4,OR(Queue!$K$4="*",N2303=Queue!$K$4)),Q2303,"")</f>
        <v/>
      </c>
    </row>
    <row r="2304">
      <c r="A2304" s="38">
        <f>IF(M2304="","",HYPERLINK("https://www.youtube.com/watch?v="&amp;M2304,"▶"))</f>
        <v/>
      </c>
      <c r="B2304" s="39">
        <f>IF(C2304&lt;&gt;"",C2304,IF(P2304&lt;=IFERROR(INDEX(tblChannels[Watched Through],MATCH(N2304,tblChannels[Channel ID],0)),0),"Watched","Unwatched"))</f>
        <v/>
      </c>
      <c r="C2304" s="40" t="n"/>
      <c r="D2304" s="41" t="n"/>
      <c r="E2304" s="42" t="n">
        <v>43076.79166666666</v>
      </c>
      <c r="F2304" s="50" t="inlineStr">
        <is>
          <t>Super Carlin Brothers</t>
        </is>
      </c>
      <c r="G2304" t="inlineStr">
        <is>
          <t>J vs Ben: The Last Jedi Theory Predictions</t>
        </is>
      </c>
      <c r="H2304" s="44" t="n">
        <v>0.03006944444444444</v>
      </c>
      <c r="I2304" s="45" t="n">
        <v>302032</v>
      </c>
      <c r="J2304" s="45" t="n">
        <v>7447</v>
      </c>
      <c r="K2304" s="45" t="n">
        <v>2621</v>
      </c>
      <c r="L2304" s="46" t="n"/>
      <c r="M2304" s="47" t="n"/>
      <c r="N2304" s="47" t="inlineStr">
        <is>
          <t>UCKZo4N0lVPccBkSiuyVh4yg</t>
        </is>
      </c>
      <c r="O2304" s="48" t="n">
        <v>43077</v>
      </c>
      <c r="P2304" s="49" t="n">
        <v>43076</v>
      </c>
      <c r="Q2304" s="47" t="n">
        <v>964</v>
      </c>
      <c r="R2304" s="47" t="inlineStr">
        <is>
          <t>No Video ID yet</t>
        </is>
      </c>
      <c r="S2304" s="49" t="n"/>
      <c r="T2304" s="49" t="n"/>
      <c r="U2304" s="47" t="inlineStr">
        <is>
          <t>Guys, I like to call this the "What you talk about while waiting in line to see Star Wars"... Video. We face off with our predictions and best guesses for the most popular Star Wars Theories going into The Last Jedi. What are your predictions??</t>
        </is>
      </c>
      <c r="V2304" s="47">
        <f>IF(AND(P2304&gt;=Calendar!$K$2,P2304&lt;EDATE(Calendar!$K$2,1),OR(Calendar!$K$4="*",N2304=Calendar!$K$4)),P2304*100+COUNTIFS($P$6:$P$3267,P2304,$Q$6:$Q$3267,"&lt;="&amp;Q2304,$N$6:$N$3267,Calendar!$K$4),"")</f>
        <v/>
      </c>
      <c r="W2304" s="47">
        <f>IF(AND(B2304=Queue!$C$4,OR(Queue!$K$4="*",N2304=Queue!$K$4)),Q2304,"")</f>
        <v/>
      </c>
    </row>
    <row r="2305">
      <c r="A2305" s="38">
        <f>IF(M2305="","",HYPERLINK("https://www.youtube.com/watch?v="&amp;M2305,"▶"))</f>
        <v/>
      </c>
      <c r="B2305" s="39">
        <f>IF(C2305&lt;&gt;"",C2305,IF(P2305&lt;=IFERROR(INDEX(tblChannels[Watched Through],MATCH(N2305,tblChannels[Channel ID],0)),0),"Watched","Unwatched"))</f>
        <v/>
      </c>
      <c r="C2305" s="40" t="n"/>
      <c r="D2305" s="41" t="n"/>
      <c r="E2305" s="42" t="n">
        <v>43076.60069444445</v>
      </c>
      <c r="F2305" s="52" t="inlineStr">
        <is>
          <t>Super Carlin Gaming</t>
        </is>
      </c>
      <c r="G2305" t="inlineStr">
        <is>
          <t>Mario Kart Roulette #52: Actually Good Advice!</t>
        </is>
      </c>
      <c r="H2305" s="44" t="n">
        <v>0.01189814814814815</v>
      </c>
      <c r="I2305" s="45" t="n">
        <v>11219</v>
      </c>
      <c r="J2305" s="45" t="n">
        <v>436</v>
      </c>
      <c r="K2305" s="45" t="n">
        <v>197</v>
      </c>
      <c r="L2305" s="46" t="n"/>
      <c r="M2305" s="47" t="n"/>
      <c r="N2305" s="47" t="inlineStr">
        <is>
          <t>UCor_9jRnNNZVzTuQ92PKsaQ</t>
        </is>
      </c>
      <c r="O2305" s="48" t="n">
        <v>43076.80902777778</v>
      </c>
      <c r="P2305" s="49" t="n">
        <v>43076</v>
      </c>
      <c r="Q2305" s="47" t="n">
        <v>963</v>
      </c>
      <c r="R2305" s="47" t="inlineStr">
        <is>
          <t>No Video ID yet</t>
        </is>
      </c>
      <c r="S2305" s="49" t="n"/>
      <c r="T2305" s="49" t="n"/>
      <c r="U2305" s="47" t="inlineStr">
        <is>
          <t>Check it out, this episode has some actual real good advice in it! Also, a little surprise that we're still kind of shaken up about...</t>
        </is>
      </c>
      <c r="V2305" s="47">
        <f>IF(AND(P2305&gt;=Calendar!$K$2,P2305&lt;EDATE(Calendar!$K$2,1),OR(Calendar!$K$4="*",N2305=Calendar!$K$4)),P2305*100+COUNTIFS($P$6:$P$3267,P2305,$Q$6:$Q$3267,"&lt;="&amp;Q2305,$N$6:$N$3267,Calendar!$K$4),"")</f>
        <v/>
      </c>
      <c r="W2305" s="47">
        <f>IF(AND(B2305=Queue!$C$4,OR(Queue!$K$4="*",N2305=Queue!$K$4)),Q2305,"")</f>
        <v/>
      </c>
    </row>
    <row r="2306">
      <c r="A2306" s="38">
        <f>IF(M2306="","",HYPERLINK("https://www.youtube.com/watch?v="&amp;M2306,"▶"))</f>
        <v/>
      </c>
      <c r="B2306" s="39">
        <f>IF(C2306&lt;&gt;"",C2306,IF(P2306&lt;=IFERROR(INDEX(tblChannels[Watched Through],MATCH(N2306,tblChannels[Channel ID],0)),0),"Watched","Unwatched"))</f>
        <v/>
      </c>
      <c r="C2306" s="40" t="n"/>
      <c r="D2306" s="41" t="n"/>
      <c r="E2306" s="42" t="n">
        <v>43075.70763888889</v>
      </c>
      <c r="F2306" s="52" t="inlineStr">
        <is>
          <t>Super Carlin Gaming</t>
        </is>
      </c>
      <c r="G2306" t="inlineStr">
        <is>
          <t>Pokemon Black Nuzlocke #13: Oh God, it's NINJAS!</t>
        </is>
      </c>
      <c r="H2306" s="44" t="n">
        <v>0.01864583333333333</v>
      </c>
      <c r="I2306" s="45" t="n">
        <v>34235</v>
      </c>
      <c r="J2306" s="45" t="n">
        <v>859</v>
      </c>
      <c r="K2306" s="45" t="n">
        <v>344</v>
      </c>
      <c r="L2306" s="46" t="n"/>
      <c r="M2306" s="47" t="n"/>
      <c r="N2306" s="47" t="inlineStr">
        <is>
          <t>UCor_9jRnNNZVzTuQ92PKsaQ</t>
        </is>
      </c>
      <c r="O2306" s="48" t="n">
        <v>43075.91597222222</v>
      </c>
      <c r="P2306" s="49" t="n">
        <v>43075</v>
      </c>
      <c r="Q2306" s="47" t="n">
        <v>962</v>
      </c>
      <c r="R2306" s="47" t="inlineStr">
        <is>
          <t>No Video ID yet</t>
        </is>
      </c>
      <c r="S2306" s="49" t="n"/>
      <c r="T2306" s="49" t="n"/>
      <c r="U2306" s="47" t="inlineStr">
        <is>
          <t>Man oh man what a week! I talk about what caused the hiatus at the beginning of the video - So excited to be back!</t>
        </is>
      </c>
      <c r="V2306" s="47">
        <f>IF(AND(P2306&gt;=Calendar!$K$2,P2306&lt;EDATE(Calendar!$K$2,1),OR(Calendar!$K$4="*",N2306=Calendar!$K$4)),P2306*100+COUNTIFS($P$6:$P$3267,P2306,$Q$6:$Q$3267,"&lt;="&amp;Q2306,$N$6:$N$3267,Calendar!$K$4),"")</f>
        <v/>
      </c>
      <c r="W2306" s="47">
        <f>IF(AND(B2306=Queue!$C$4,OR(Queue!$K$4="*",N2306=Queue!$K$4)),Q2306,"")</f>
        <v/>
      </c>
    </row>
    <row r="2307">
      <c r="A2307" s="38">
        <f>IF(M2307="","",HYPERLINK("https://www.youtube.com/watch?v="&amp;M2307,"▶"))</f>
        <v/>
      </c>
      <c r="B2307" s="39">
        <f>IF(C2307&lt;&gt;"",C2307,IF(P2307&lt;=IFERROR(INDEX(tblChannels[Watched Through],MATCH(N2307,tblChannels[Channel ID],0)),0),"Watched","Unwatched"))</f>
        <v/>
      </c>
      <c r="C2307" s="40" t="n"/>
      <c r="D2307" s="41" t="n"/>
      <c r="E2307" s="42" t="n">
        <v>43074.67847222222</v>
      </c>
      <c r="F2307" s="50" t="inlineStr">
        <is>
          <t>Super Carlin Brothers</t>
        </is>
      </c>
      <c r="G2307" t="inlineStr">
        <is>
          <t>The Hogwarts Express Explained</t>
        </is>
      </c>
      <c r="H2307" s="44" t="n">
        <v>0.006875</v>
      </c>
      <c r="I2307" s="45" t="n">
        <v>1827276</v>
      </c>
      <c r="J2307" s="45" t="n">
        <v>42155</v>
      </c>
      <c r="K2307" s="45" t="n">
        <v>4739</v>
      </c>
      <c r="L2307" s="46" t="n"/>
      <c r="M2307" s="47" t="n"/>
      <c r="N2307" s="47" t="inlineStr">
        <is>
          <t>UCKZo4N0lVPccBkSiuyVh4yg</t>
        </is>
      </c>
      <c r="O2307" s="48" t="n">
        <v>43074.88680555556</v>
      </c>
      <c r="P2307" s="49" t="n">
        <v>43074</v>
      </c>
      <c r="Q2307" s="47" t="n">
        <v>961</v>
      </c>
      <c r="R2307" s="47" t="inlineStr">
        <is>
          <t>No Video ID yet</t>
        </is>
      </c>
      <c r="S2307" s="49" t="n"/>
      <c r="T2307" s="49" t="n"/>
      <c r="U2307" s="47" t="inlineStr">
        <is>
          <t>Have you ever wondered why such a magical world transports their students to school in such a non-magical way? Today J explains why by delving into to origins of the Hogwarts Express.</t>
        </is>
      </c>
      <c r="V2307" s="47">
        <f>IF(AND(P2307&gt;=Calendar!$K$2,P2307&lt;EDATE(Calendar!$K$2,1),OR(Calendar!$K$4="*",N2307=Calendar!$K$4)),P2307*100+COUNTIFS($P$6:$P$3267,P2307,$Q$6:$Q$3267,"&lt;="&amp;Q2307,$N$6:$N$3267,Calendar!$K$4),"")</f>
        <v/>
      </c>
      <c r="W2307" s="47">
        <f>IF(AND(B2307=Queue!$C$4,OR(Queue!$K$4="*",N2307=Queue!$K$4)),Q2307,"")</f>
        <v/>
      </c>
    </row>
    <row r="2308">
      <c r="A2308" s="38">
        <f>IF(M2308="","",HYPERLINK("https://www.youtube.com/watch?v="&amp;M2308,"▶"))</f>
        <v/>
      </c>
      <c r="B2308" s="39">
        <f>IF(C2308&lt;&gt;"",C2308,IF(P2308&lt;=IFERROR(INDEX(tblChannels[Watched Through],MATCH(N2308,tblChannels[Channel ID],0)),0),"Watched","Unwatched"))</f>
        <v/>
      </c>
      <c r="C2308" s="40" t="n"/>
      <c r="D2308" s="41" t="n"/>
      <c r="E2308" s="42" t="n">
        <v>43074.51319444444</v>
      </c>
      <c r="F2308" s="52" t="inlineStr">
        <is>
          <t>Super Carlin Gaming</t>
        </is>
      </c>
      <c r="G2308" t="inlineStr">
        <is>
          <t>Mario Kart Roulette #51: Changing Careers?</t>
        </is>
      </c>
      <c r="H2308" s="44" t="n">
        <v>0.01006944444444445</v>
      </c>
      <c r="I2308" s="45" t="n">
        <v>10970</v>
      </c>
      <c r="J2308" s="45" t="n">
        <v>411</v>
      </c>
      <c r="K2308" s="45" t="n">
        <v>94</v>
      </c>
      <c r="L2308" s="46" t="n"/>
      <c r="M2308" s="47" t="n"/>
      <c r="N2308" s="47" t="inlineStr">
        <is>
          <t>UCor_9jRnNNZVzTuQ92PKsaQ</t>
        </is>
      </c>
      <c r="O2308" s="48" t="n">
        <v>43074.72152777778</v>
      </c>
      <c r="P2308" s="49" t="n">
        <v>43074</v>
      </c>
      <c r="Q2308" s="47" t="n">
        <v>960</v>
      </c>
      <c r="R2308" s="47" t="inlineStr">
        <is>
          <t>No Video ID yet</t>
        </is>
      </c>
      <c r="S2308" s="49" t="n"/>
      <c r="T2308" s="49" t="n"/>
      <c r="U2308" s="47" t="inlineStr">
        <is>
          <t>What do you do when you feel like you want to change careers?! Also, Let's CRUSH this lightning cup!</t>
        </is>
      </c>
      <c r="V2308" s="47">
        <f>IF(AND(P2308&gt;=Calendar!$K$2,P2308&lt;EDATE(Calendar!$K$2,1),OR(Calendar!$K$4="*",N2308=Calendar!$K$4)),P2308*100+COUNTIFS($P$6:$P$3267,P2308,$Q$6:$Q$3267,"&lt;="&amp;Q2308,$N$6:$N$3267,Calendar!$K$4),"")</f>
        <v/>
      </c>
      <c r="W2308" s="47">
        <f>IF(AND(B2308=Queue!$C$4,OR(Queue!$K$4="*",N2308=Queue!$K$4)),Q2308,"")</f>
        <v/>
      </c>
    </row>
    <row r="2309">
      <c r="A2309" s="38">
        <f>IF(M2309="","",HYPERLINK("https://www.youtube.com/watch?v="&amp;M2309,"▶"))</f>
        <v/>
      </c>
      <c r="B2309" s="39">
        <f>IF(C2309&lt;&gt;"",C2309,IF(P2309&lt;=IFERROR(INDEX(tblChannels[Watched Through],MATCH(N2309,tblChannels[Channel ID],0)),0),"Watched","Unwatched"))</f>
        <v/>
      </c>
      <c r="C2309" s="40" t="n"/>
      <c r="D2309" s="41" t="n"/>
      <c r="E2309" s="42" t="n">
        <v>43073.47777777778</v>
      </c>
      <c r="F2309" s="53" t="inlineStr">
        <is>
          <t>Jonathan Carlin</t>
        </is>
      </c>
      <c r="G2309" t="inlineStr">
        <is>
          <t>TATER TOT WAFFLES</t>
        </is>
      </c>
      <c r="H2309" s="44" t="n">
        <v>0.005057870370370371</v>
      </c>
      <c r="I2309" s="45" t="n">
        <v>35399</v>
      </c>
      <c r="J2309" s="45" t="n">
        <v>1534</v>
      </c>
      <c r="K2309" s="45" t="n">
        <v>510</v>
      </c>
      <c r="L2309" s="46" t="n"/>
      <c r="M2309" s="47" t="n"/>
      <c r="N2309" s="47" t="inlineStr">
        <is>
          <t>UCYPKFe86e6nm4TVUYKLsFUQ</t>
        </is>
      </c>
      <c r="O2309" s="48" t="n">
        <v>43073.68611111111</v>
      </c>
      <c r="P2309" s="49" t="n">
        <v>43073</v>
      </c>
      <c r="Q2309" s="47" t="n">
        <v>959</v>
      </c>
      <c r="R2309" s="47" t="inlineStr">
        <is>
          <t>No Video ID yet</t>
        </is>
      </c>
      <c r="S2309" s="49" t="n"/>
      <c r="T2309" s="49" t="n"/>
      <c r="U2309" s="47" t="inlineStr">
        <is>
          <t>Board Game recommendations! GO! Flashpoint ::</t>
        </is>
      </c>
      <c r="V2309" s="47">
        <f>IF(AND(P2309&gt;=Calendar!$K$2,P2309&lt;EDATE(Calendar!$K$2,1),OR(Calendar!$K$4="*",N2309=Calendar!$K$4)),P2309*100+COUNTIFS($P$6:$P$3267,P2309,$Q$6:$Q$3267,"&lt;="&amp;Q2309,$N$6:$N$3267,Calendar!$K$4),"")</f>
        <v/>
      </c>
      <c r="W2309" s="47">
        <f>IF(AND(B2309=Queue!$C$4,OR(Queue!$K$4="*",N2309=Queue!$K$4)),Q2309,"")</f>
        <v/>
      </c>
    </row>
    <row r="2310">
      <c r="A2310" s="38">
        <f>IF(M2310="","",HYPERLINK("https://www.youtube.com/watch?v="&amp;M2310,"▶"))</f>
        <v/>
      </c>
      <c r="B2310" s="39">
        <f>IF(C2310&lt;&gt;"",C2310,IF(P2310&lt;=IFERROR(INDEX(tblChannels[Watched Through],MATCH(N2310,tblChannels[Channel ID],0)),0),"Watched","Unwatched"))</f>
        <v/>
      </c>
      <c r="C2310" s="40" t="n"/>
      <c r="D2310" s="41" t="n"/>
      <c r="E2310" s="42" t="n">
        <v>43069.75972222222</v>
      </c>
      <c r="F2310" s="50" t="inlineStr">
        <is>
          <t>Super Carlin Brothers</t>
        </is>
      </c>
      <c r="G2310" t="inlineStr">
        <is>
          <t>J vs Ben HARDEST Hogwarts Quiz Ever</t>
        </is>
      </c>
      <c r="H2310" s="44" t="n">
        <v>0.02309027777777778</v>
      </c>
      <c r="I2310" s="45" t="n">
        <v>1693465</v>
      </c>
      <c r="J2310" s="45" t="n">
        <v>27363</v>
      </c>
      <c r="K2310" s="45" t="n">
        <v>4191</v>
      </c>
      <c r="L2310" s="46" t="n"/>
      <c r="M2310" s="47" t="n"/>
      <c r="N2310" s="47" t="inlineStr">
        <is>
          <t>UCKZo4N0lVPccBkSiuyVh4yg</t>
        </is>
      </c>
      <c r="O2310" s="48" t="n">
        <v>43069.96805555555</v>
      </c>
      <c r="P2310" s="49" t="n">
        <v>43069</v>
      </c>
      <c r="Q2310" s="47" t="n">
        <v>958</v>
      </c>
      <c r="R2310" s="47" t="inlineStr">
        <is>
          <t>No Video ID yet</t>
        </is>
      </c>
      <c r="S2310" s="49" t="n"/>
      <c r="T2310" s="49" t="n"/>
      <c r="U2310" s="47" t="inlineStr">
        <is>
          <t>This one is a doozy!! J and Ben face off in todays episode tackling some of the most obscure details about Hogwarts. Will Ben's winning streak (1 Win) remain in tact?? Or will J return to glory... Only time will tell. QUIZ LINK:</t>
        </is>
      </c>
      <c r="V2310" s="47">
        <f>IF(AND(P2310&gt;=Calendar!$K$2,P2310&lt;EDATE(Calendar!$K$2,1),OR(Calendar!$K$4="*",N2310=Calendar!$K$4)),P2310*100+COUNTIFS($P$6:$P$3267,P2310,$Q$6:$Q$3267,"&lt;="&amp;Q2310,$N$6:$N$3267,Calendar!$K$4),"")</f>
        <v/>
      </c>
      <c r="W2310" s="47">
        <f>IF(AND(B2310=Queue!$C$4,OR(Queue!$K$4="*",N2310=Queue!$K$4)),Q2310,"")</f>
        <v/>
      </c>
    </row>
    <row r="2311">
      <c r="A2311" s="38">
        <f>IF(M2311="","",HYPERLINK("https://www.youtube.com/watch?v="&amp;M2311,"▶"))</f>
        <v/>
      </c>
      <c r="B2311" s="39">
        <f>IF(C2311&lt;&gt;"",C2311,IF(P2311&lt;=IFERROR(INDEX(tblChannels[Watched Through],MATCH(N2311,tblChannels[Channel ID],0)),0),"Watched","Unwatched"))</f>
        <v/>
      </c>
      <c r="C2311" s="40" t="n"/>
      <c r="D2311" s="41" t="n"/>
      <c r="E2311" s="42" t="n">
        <v>43068.65347222222</v>
      </c>
      <c r="F2311" s="50" t="inlineStr">
        <is>
          <t>Super Carlin Brothers</t>
        </is>
      </c>
      <c r="G2311" t="inlineStr">
        <is>
          <t>Give-A-Thon 2017 Announcement!!</t>
        </is>
      </c>
      <c r="H2311" s="44" t="n">
        <v>0.001724537037037037</v>
      </c>
      <c r="I2311" s="45" t="n">
        <v>56400</v>
      </c>
      <c r="J2311" s="45" t="n">
        <v>4544</v>
      </c>
      <c r="K2311" s="45" t="n">
        <v>1035</v>
      </c>
      <c r="L2311" s="46" t="n"/>
      <c r="M2311" s="47" t="n"/>
      <c r="N2311" s="47" t="inlineStr">
        <is>
          <t>UCKZo4N0lVPccBkSiuyVh4yg</t>
        </is>
      </c>
      <c r="O2311" s="48" t="n">
        <v>43068.86180555556</v>
      </c>
      <c r="P2311" s="49" t="n">
        <v>43068</v>
      </c>
      <c r="Q2311" s="47" t="n">
        <v>957</v>
      </c>
      <c r="R2311" s="47" t="inlineStr">
        <is>
          <t>No Video ID yet</t>
        </is>
      </c>
      <c r="S2311" s="49" t="n"/>
      <c r="T2311" s="49" t="n"/>
      <c r="U2311" s="47" t="inlineStr">
        <is>
          <t>Guys we are SO thankful to each and every one of you that tunes into SuperCarlinBrothers. And as such we would love to give a little back. We are following up last years Give-A-Thon with bigger and better prizes and fun! In order to enter simply follow both J and Ben and like each photo as they come out through the first 25 days of December. Winners will be selected at the end of each day! J INSTAGRAM: BEN INSTAGRAM: And just like last year we will be donating Ten Cents for every new follower on instagram to March of Dimes. Due to excessively high shipping costs last year we are limiting the giveathon to US only. We hope you can still enjoy all of the festive photos!</t>
        </is>
      </c>
      <c r="V2311" s="47">
        <f>IF(AND(P2311&gt;=Calendar!$K$2,P2311&lt;EDATE(Calendar!$K$2,1),OR(Calendar!$K$4="*",N2311=Calendar!$K$4)),P2311*100+COUNTIFS($P$6:$P$3267,P2311,$Q$6:$Q$3267,"&lt;="&amp;Q2311,$N$6:$N$3267,Calendar!$K$4),"")</f>
        <v/>
      </c>
      <c r="W2311" s="47">
        <f>IF(AND(B2311=Queue!$C$4,OR(Queue!$K$4="*",N2311=Queue!$K$4)),Q2311,"")</f>
        <v/>
      </c>
    </row>
    <row r="2312">
      <c r="A2312" s="38">
        <f>IF(M2312="","",HYPERLINK("https://www.youtube.com/watch?v="&amp;M2312,"▶"))</f>
        <v/>
      </c>
      <c r="B2312" s="39">
        <f>IF(C2312&lt;&gt;"",C2312,IF(P2312&lt;=IFERROR(INDEX(tblChannels[Watched Through],MATCH(N2312,tblChannels[Channel ID],0)),0),"Watched","Unwatched"))</f>
        <v/>
      </c>
      <c r="C2312" s="40" t="n"/>
      <c r="D2312" s="41" t="n"/>
      <c r="E2312" s="42" t="n">
        <v>43067.79583333333</v>
      </c>
      <c r="F2312" s="50" t="inlineStr">
        <is>
          <t>Super Carlin Brothers</t>
        </is>
      </c>
      <c r="G2312" t="inlineStr">
        <is>
          <t>Was Nagini A Woman? | Harry Potter Theory</t>
        </is>
      </c>
      <c r="H2312" s="44" t="n">
        <v>0.007962962962962963</v>
      </c>
      <c r="I2312" s="45" t="n">
        <v>2562884</v>
      </c>
      <c r="J2312" s="45" t="n">
        <v>51880</v>
      </c>
      <c r="K2312" s="45" t="n">
        <v>6199</v>
      </c>
      <c r="L2312" s="46" t="n"/>
      <c r="M2312" s="47" t="n"/>
      <c r="N2312" s="47" t="inlineStr">
        <is>
          <t>UCKZo4N0lVPccBkSiuyVh4yg</t>
        </is>
      </c>
      <c r="O2312" s="48" t="n">
        <v>43068.00416666667</v>
      </c>
      <c r="P2312" s="49" t="n">
        <v>43067</v>
      </c>
      <c r="Q2312" s="47" t="n">
        <v>956</v>
      </c>
      <c r="R2312" s="47" t="inlineStr">
        <is>
          <t>No Video ID yet</t>
        </is>
      </c>
      <c r="S2312" s="49" t="n"/>
      <c r="T2312" s="49" t="n"/>
      <c r="U2312" s="47" t="inlineStr">
        <is>
          <t>Fantastic Beasts: The Crimes of Grindelwald just released a new cast photo so J dives into the Wizarding World of Harry Potter to discuss Claudia Kim's new character and if she come become the great snake: Nagini</t>
        </is>
      </c>
      <c r="V2312" s="47">
        <f>IF(AND(P2312&gt;=Calendar!$K$2,P2312&lt;EDATE(Calendar!$K$2,1),OR(Calendar!$K$4="*",N2312=Calendar!$K$4)),P2312*100+COUNTIFS($P$6:$P$3267,P2312,$Q$6:$Q$3267,"&lt;="&amp;Q2312,$N$6:$N$3267,Calendar!$K$4),"")</f>
        <v/>
      </c>
      <c r="W2312" s="47">
        <f>IF(AND(B2312=Queue!$C$4,OR(Queue!$K$4="*",N2312=Queue!$K$4)),Q2312,"")</f>
        <v/>
      </c>
    </row>
    <row r="2313">
      <c r="A2313" s="38">
        <f>IF(M2313="","",HYPERLINK("https://www.youtube.com/watch?v="&amp;M2313,"▶"))</f>
        <v/>
      </c>
      <c r="B2313" s="39">
        <f>IF(C2313&lt;&gt;"",C2313,IF(P2313&lt;=IFERROR(INDEX(tblChannels[Watched Through],MATCH(N2313,tblChannels[Channel ID],0)),0),"Watched","Unwatched"))</f>
        <v/>
      </c>
      <c r="C2313" s="40" t="n"/>
      <c r="D2313" s="41" t="n"/>
      <c r="E2313" s="42" t="n">
        <v>43067.53194444445</v>
      </c>
      <c r="F2313" s="52" t="inlineStr">
        <is>
          <t>Super Carlin Gaming</t>
        </is>
      </c>
      <c r="G2313" t="inlineStr">
        <is>
          <t>Mario Kart Roulette #50: Is It Okay To Be Picky?</t>
        </is>
      </c>
      <c r="H2313" s="44" t="n">
        <v>0.01310185185185185</v>
      </c>
      <c r="I2313" s="45" t="n">
        <v>12443</v>
      </c>
      <c r="J2313" s="45" t="n">
        <v>455</v>
      </c>
      <c r="K2313" s="45" t="n">
        <v>151</v>
      </c>
      <c r="L2313" s="46" t="n"/>
      <c r="M2313" s="47" t="n"/>
      <c r="N2313" s="47" t="inlineStr">
        <is>
          <t>UCor_9jRnNNZVzTuQ92PKsaQ</t>
        </is>
      </c>
      <c r="O2313" s="48" t="n">
        <v>43067.74027777778</v>
      </c>
      <c r="P2313" s="49" t="n">
        <v>43067</v>
      </c>
      <c r="Q2313" s="47" t="n">
        <v>955</v>
      </c>
      <c r="R2313" s="47" t="inlineStr">
        <is>
          <t>No Video ID yet</t>
        </is>
      </c>
      <c r="S2313" s="49" t="n"/>
      <c r="T2313" s="49" t="n"/>
      <c r="U2313" s="47" t="inlineStr">
        <is>
          <t>The leaf cup &amp; Ben gets the most ridiculous kart ever! Also, is it okay to be really picky with a romantic partner?</t>
        </is>
      </c>
      <c r="V2313" s="47">
        <f>IF(AND(P2313&gt;=Calendar!$K$2,P2313&lt;EDATE(Calendar!$K$2,1),OR(Calendar!$K$4="*",N2313=Calendar!$K$4)),P2313*100+COUNTIFS($P$6:$P$3267,P2313,$Q$6:$Q$3267,"&lt;="&amp;Q2313,$N$6:$N$3267,Calendar!$K$4),"")</f>
        <v/>
      </c>
      <c r="W2313" s="47">
        <f>IF(AND(B2313=Queue!$C$4,OR(Queue!$K$4="*",N2313=Queue!$K$4)),Q2313,"")</f>
        <v/>
      </c>
    </row>
    <row r="2314">
      <c r="A2314" s="38">
        <f>IF(M2314="","",HYPERLINK("https://www.youtube.com/watch?v="&amp;M2314,"▶"))</f>
        <v/>
      </c>
      <c r="B2314" s="39">
        <f>IF(C2314&lt;&gt;"",C2314,IF(P2314&lt;=IFERROR(INDEX(tblChannels[Watched Through],MATCH(N2314,tblChannels[Channel ID],0)),0),"Watched","Unwatched"))</f>
        <v/>
      </c>
      <c r="C2314" s="40" t="n"/>
      <c r="D2314" s="41" t="n"/>
      <c r="E2314" s="42" t="n">
        <v>43066.81388888889</v>
      </c>
      <c r="F2314" s="52" t="inlineStr">
        <is>
          <t>Super Carlin Gaming</t>
        </is>
      </c>
      <c r="G2314" t="inlineStr">
        <is>
          <t>Pokemon Black Nuzlocke #12: The Bell Tolls</t>
        </is>
      </c>
      <c r="H2314" s="44" t="n">
        <v>0.02246527777777778</v>
      </c>
      <c r="I2314" s="45" t="n">
        <v>39561</v>
      </c>
      <c r="J2314" s="45" t="n">
        <v>892</v>
      </c>
      <c r="K2314" s="45" t="n">
        <v>580</v>
      </c>
      <c r="L2314" s="46" t="n"/>
      <c r="M2314" s="47" t="n"/>
      <c r="N2314" s="47" t="inlineStr">
        <is>
          <t>UCor_9jRnNNZVzTuQ92PKsaQ</t>
        </is>
      </c>
      <c r="O2314" s="48" t="n">
        <v>43067.02222222222</v>
      </c>
      <c r="P2314" s="49" t="n">
        <v>43066</v>
      </c>
      <c r="Q2314" s="47" t="n">
        <v>954</v>
      </c>
      <c r="R2314" s="47" t="inlineStr">
        <is>
          <t>No Video ID yet</t>
        </is>
      </c>
      <c r="S2314" s="49" t="n"/>
      <c r="T2314" s="49" t="n"/>
      <c r="U2314" s="47" t="inlineStr">
        <is>
          <t>With our 4th gym badge in tow we travel to a new city and run into Chicken Nuggets.. again, will the team survive the encounter??</t>
        </is>
      </c>
      <c r="V2314" s="47">
        <f>IF(AND(P2314&gt;=Calendar!$K$2,P2314&lt;EDATE(Calendar!$K$2,1),OR(Calendar!$K$4="*",N2314=Calendar!$K$4)),P2314*100+COUNTIFS($P$6:$P$3267,P2314,$Q$6:$Q$3267,"&lt;="&amp;Q2314,$N$6:$N$3267,Calendar!$K$4),"")</f>
        <v/>
      </c>
      <c r="W2314" s="47">
        <f>IF(AND(B2314=Queue!$C$4,OR(Queue!$K$4="*",N2314=Queue!$K$4)),Q2314,"")</f>
        <v/>
      </c>
    </row>
    <row r="2315">
      <c r="A2315" s="38">
        <f>IF(M2315="","",HYPERLINK("https://www.youtube.com/watch?v="&amp;M2315,"▶"))</f>
        <v/>
      </c>
      <c r="B2315" s="39">
        <f>IF(C2315&lt;&gt;"",C2315,IF(P2315&lt;=IFERROR(INDEX(tblChannels[Watched Through],MATCH(N2315,tblChannels[Channel ID],0)),0),"Watched","Unwatched"))</f>
        <v/>
      </c>
      <c r="C2315" s="40" t="n"/>
      <c r="D2315" s="41" t="n"/>
      <c r="E2315" s="42" t="n">
        <v>43066.66388888889</v>
      </c>
      <c r="F2315" s="50" t="inlineStr">
        <is>
          <t>Super Carlin Brothers</t>
        </is>
      </c>
      <c r="G2315" t="inlineStr">
        <is>
          <t>Every Easter Egg In Star Wars Battlefront II</t>
        </is>
      </c>
      <c r="H2315" s="44" t="n">
        <v>0.004409722222222222</v>
      </c>
      <c r="I2315" s="45" t="n">
        <v>83675</v>
      </c>
      <c r="J2315" s="45" t="n">
        <v>2847</v>
      </c>
      <c r="K2315" s="45" t="n">
        <v>585</v>
      </c>
      <c r="L2315" s="46" t="n"/>
      <c r="M2315" s="47" t="n"/>
      <c r="N2315" s="47" t="inlineStr">
        <is>
          <t>UCKZo4N0lVPccBkSiuyVh4yg</t>
        </is>
      </c>
      <c r="O2315" s="48" t="n">
        <v>43066.87222222222</v>
      </c>
      <c r="P2315" s="49" t="n">
        <v>43066</v>
      </c>
      <c r="Q2315" s="47" t="n">
        <v>953</v>
      </c>
      <c r="R2315" s="47" t="inlineStr">
        <is>
          <t>No Video ID yet</t>
        </is>
      </c>
      <c r="S2315" s="49" t="n"/>
      <c r="T2315" s="49" t="n"/>
      <c r="U2315" s="47" t="inlineStr">
        <is>
          <t>Sponsored by EA #Sponsored by EA #Ad Order Battlefront II :: Today J dives into the Star Wars Galaxy to uncover all of the hidden Easter Eggs in Star Wars Battlefront 2. Did you spot any that we missed? Make sure to let us know in the towel section down below!</t>
        </is>
      </c>
      <c r="V2315" s="47">
        <f>IF(AND(P2315&gt;=Calendar!$K$2,P2315&lt;EDATE(Calendar!$K$2,1),OR(Calendar!$K$4="*",N2315=Calendar!$K$4)),P2315*100+COUNTIFS($P$6:$P$3267,P2315,$Q$6:$Q$3267,"&lt;="&amp;Q2315,$N$6:$N$3267,Calendar!$K$4),"")</f>
        <v/>
      </c>
      <c r="W2315" s="47">
        <f>IF(AND(B2315=Queue!$C$4,OR(Queue!$K$4="*",N2315=Queue!$K$4)),Q2315,"")</f>
        <v/>
      </c>
    </row>
    <row r="2316">
      <c r="A2316" s="38">
        <f>IF(M2316="","",HYPERLINK("https://www.youtube.com/watch?v="&amp;M2316,"▶"))</f>
        <v/>
      </c>
      <c r="B2316" s="39">
        <f>IF(C2316&lt;&gt;"",C2316,IF(P2316&lt;=IFERROR(INDEX(tblChannels[Watched Through],MATCH(N2316,tblChannels[Channel ID],0)),0),"Watched","Unwatched"))</f>
        <v/>
      </c>
      <c r="C2316" s="40" t="n"/>
      <c r="D2316" s="41" t="n"/>
      <c r="E2316" s="42" t="n">
        <v>43066.47291666667</v>
      </c>
      <c r="F2316" s="53" t="inlineStr">
        <is>
          <t>Jonathan Carlin</t>
        </is>
      </c>
      <c r="G2316" t="inlineStr">
        <is>
          <t>THIS IS THE DROID YOU'RE LOOKING FOR</t>
        </is>
      </c>
      <c r="H2316" s="44" t="n">
        <v>0.005925925925925926</v>
      </c>
      <c r="I2316" s="45" t="n">
        <v>32131</v>
      </c>
      <c r="J2316" s="45" t="n">
        <v>1434</v>
      </c>
      <c r="K2316" s="45" t="n">
        <v>227</v>
      </c>
      <c r="L2316" s="46" t="n"/>
      <c r="M2316" s="47" t="n"/>
      <c r="N2316" s="47" t="inlineStr">
        <is>
          <t>UCYPKFe86e6nm4TVUYKLsFUQ</t>
        </is>
      </c>
      <c r="O2316" s="48" t="n">
        <v>43066.68125</v>
      </c>
      <c r="P2316" s="49" t="n">
        <v>43066</v>
      </c>
      <c r="Q2316" s="47" t="n">
        <v>952</v>
      </c>
      <c r="R2316" s="47" t="inlineStr">
        <is>
          <t>No Video ID yet</t>
        </is>
      </c>
      <c r="S2316" s="49" t="n"/>
      <c r="T2316" s="49" t="n"/>
      <c r="U2316" s="47" t="inlineStr">
        <is>
          <t>In which I get trapped in some bushes, come to own an R2-D2 and fail to get coffee.. or do I??! Death Wish Coffee :: R2-D2 ::</t>
        </is>
      </c>
      <c r="V2316" s="47">
        <f>IF(AND(P2316&gt;=Calendar!$K$2,P2316&lt;EDATE(Calendar!$K$2,1),OR(Calendar!$K$4="*",N2316=Calendar!$K$4)),P2316*100+COUNTIFS($P$6:$P$3267,P2316,$Q$6:$Q$3267,"&lt;="&amp;Q2316,$N$6:$N$3267,Calendar!$K$4),"")</f>
        <v/>
      </c>
      <c r="W2316" s="47">
        <f>IF(AND(B2316=Queue!$C$4,OR(Queue!$K$4="*",N2316=Queue!$K$4)),Q2316,"")</f>
        <v/>
      </c>
    </row>
    <row r="2317">
      <c r="A2317" s="38">
        <f>IF(M2317="","",HYPERLINK("https://www.youtube.com/watch?v="&amp;M2317,"▶"))</f>
        <v/>
      </c>
      <c r="B2317" s="39">
        <f>IF(C2317&lt;&gt;"",C2317,IF(P2317&lt;=IFERROR(INDEX(tblChannels[Watched Through],MATCH(N2317,tblChannels[Channel ID],0)),0),"Watched","Unwatched"))</f>
        <v/>
      </c>
      <c r="C2317" s="40" t="n"/>
      <c r="D2317" s="41" t="n"/>
      <c r="E2317" s="42" t="n">
        <v>43062.54861111111</v>
      </c>
      <c r="F2317" s="50" t="inlineStr">
        <is>
          <t>Super Carlin Brothers</t>
        </is>
      </c>
      <c r="G2317" t="inlineStr">
        <is>
          <t>Is Coco Pixar's Best New Movie? | REVIEW</t>
        </is>
      </c>
      <c r="H2317" s="44" t="n">
        <v>0.0246875</v>
      </c>
      <c r="I2317" s="45" t="n">
        <v>947771</v>
      </c>
      <c r="J2317" s="45" t="n">
        <v>13575</v>
      </c>
      <c r="K2317" s="45" t="n">
        <v>3781</v>
      </c>
      <c r="L2317" s="46" t="n"/>
      <c r="M2317" s="47" t="n"/>
      <c r="N2317" s="47" t="inlineStr">
        <is>
          <t>UCKZo4N0lVPccBkSiuyVh4yg</t>
        </is>
      </c>
      <c r="O2317" s="48" t="n">
        <v>43062.75694444445</v>
      </c>
      <c r="P2317" s="49" t="n">
        <v>43062</v>
      </c>
      <c r="Q2317" s="47" t="n">
        <v>951</v>
      </c>
      <c r="R2317" s="47" t="inlineStr">
        <is>
          <t>No Video ID yet</t>
        </is>
      </c>
      <c r="S2317" s="49" t="n"/>
      <c r="T2317" s="49" t="n"/>
      <c r="U2317" s="47" t="inlineStr">
        <is>
          <t>Finally!!! Disney Pixar's Coco has finally been released and today J and Ben dive right on in with their complete review of the film, Olaf's Frozen Adventure, and the arrival of the Incredibles 2 Teaser Trailer. Where does Coco land in your Pixar Rankings??</t>
        </is>
      </c>
      <c r="V2317" s="47">
        <f>IF(AND(P2317&gt;=Calendar!$K$2,P2317&lt;EDATE(Calendar!$K$2,1),OR(Calendar!$K$4="*",N2317=Calendar!$K$4)),P2317*100+COUNTIFS($P$6:$P$3267,P2317,$Q$6:$Q$3267,"&lt;="&amp;Q2317,$N$6:$N$3267,Calendar!$K$4),"")</f>
        <v/>
      </c>
      <c r="W2317" s="47">
        <f>IF(AND(B2317=Queue!$C$4,OR(Queue!$K$4="*",N2317=Queue!$K$4)),Q2317,"")</f>
        <v/>
      </c>
    </row>
    <row r="2318">
      <c r="A2318" s="38">
        <f>IF(M2318="","",HYPERLINK("https://www.youtube.com/watch?v="&amp;M2318,"▶"))</f>
        <v/>
      </c>
      <c r="B2318" s="39">
        <f>IF(C2318&lt;&gt;"",C2318,IF(P2318&lt;=IFERROR(INDEX(tblChannels[Watched Through],MATCH(N2318,tblChannels[Channel ID],0)),0),"Watched","Unwatched"))</f>
        <v/>
      </c>
      <c r="C2318" s="40" t="n"/>
      <c r="D2318" s="41" t="n"/>
      <c r="E2318" s="42" t="n">
        <v>43061.74097222222</v>
      </c>
      <c r="F2318" s="52" t="inlineStr">
        <is>
          <t>Super Carlin Gaming</t>
        </is>
      </c>
      <c r="G2318" t="inlineStr">
        <is>
          <t>Pokemon Black Nuzlocke #11: Volt Switch!</t>
        </is>
      </c>
      <c r="H2318" s="44" t="n">
        <v>0.01179398148148148</v>
      </c>
      <c r="I2318" s="45" t="n">
        <v>31182</v>
      </c>
      <c r="J2318" s="45" t="n">
        <v>812</v>
      </c>
      <c r="K2318" s="45" t="n">
        <v>267</v>
      </c>
      <c r="L2318" s="46" t="n"/>
      <c r="M2318" s="47" t="n"/>
      <c r="N2318" s="47" t="inlineStr">
        <is>
          <t>UCor_9jRnNNZVzTuQ92PKsaQ</t>
        </is>
      </c>
      <c r="O2318" s="48" t="n">
        <v>43061.94930555556</v>
      </c>
      <c r="P2318" s="49" t="n">
        <v>43061</v>
      </c>
      <c r="Q2318" s="47" t="n">
        <v>950</v>
      </c>
      <c r="R2318" s="47" t="inlineStr">
        <is>
          <t>No Video ID yet</t>
        </is>
      </c>
      <c r="S2318" s="49" t="n"/>
      <c r="T2318" s="49" t="n"/>
      <c r="U2318" s="47" t="inlineStr">
        <is>
          <t>Today J and the team take on their 4th Gym Leader: The electrifying Elesa! Her Volt Switching Emolga's are no joke, can the team survive their tricky combo??</t>
        </is>
      </c>
      <c r="V2318" s="47">
        <f>IF(AND(P2318&gt;=Calendar!$K$2,P2318&lt;EDATE(Calendar!$K$2,1),OR(Calendar!$K$4="*",N2318=Calendar!$K$4)),P2318*100+COUNTIFS($P$6:$P$3267,P2318,$Q$6:$Q$3267,"&lt;="&amp;Q2318,$N$6:$N$3267,Calendar!$K$4),"")</f>
        <v/>
      </c>
      <c r="W2318" s="47">
        <f>IF(AND(B2318=Queue!$C$4,OR(Queue!$K$4="*",N2318=Queue!$K$4)),Q2318,"")</f>
        <v/>
      </c>
    </row>
    <row r="2319">
      <c r="A2319" s="38">
        <f>IF(M2319="","",HYPERLINK("https://www.youtube.com/watch?v="&amp;M2319,"▶"))</f>
        <v/>
      </c>
      <c r="B2319" s="39">
        <f>IF(C2319&lt;&gt;"",C2319,IF(P2319&lt;=IFERROR(INDEX(tblChannels[Watched Through],MATCH(N2319,tblChannels[Channel ID],0)),0),"Watched","Unwatched"))</f>
        <v/>
      </c>
      <c r="C2319" s="40" t="n"/>
      <c r="D2319" s="41" t="n"/>
      <c r="E2319" s="42" t="n">
        <v>43060.86527777778</v>
      </c>
      <c r="F2319" s="50" t="inlineStr">
        <is>
          <t>Super Carlin Brothers</t>
        </is>
      </c>
      <c r="G2319" t="inlineStr">
        <is>
          <t>TOP 10 Hardest to Animate Things in Pixar</t>
        </is>
      </c>
      <c r="H2319" s="44" t="n">
        <v>0.007361111111111111</v>
      </c>
      <c r="I2319" s="45" t="n">
        <v>1801112</v>
      </c>
      <c r="J2319" s="45" t="n">
        <v>40996</v>
      </c>
      <c r="K2319" s="45" t="n">
        <v>2544</v>
      </c>
      <c r="L2319" s="46" t="n"/>
      <c r="M2319" s="47" t="n"/>
      <c r="N2319" s="47" t="inlineStr">
        <is>
          <t>UCKZo4N0lVPccBkSiuyVh4yg</t>
        </is>
      </c>
      <c r="O2319" s="48" t="n">
        <v>43061.07361111111</v>
      </c>
      <c r="P2319" s="49" t="n">
        <v>43060</v>
      </c>
      <c r="Q2319" s="47" t="n">
        <v>949</v>
      </c>
      <c r="R2319" s="47" t="inlineStr">
        <is>
          <t>No Video ID yet</t>
        </is>
      </c>
      <c r="S2319" s="49" t="n"/>
      <c r="T2319" s="49" t="n"/>
      <c r="U2319" s="47" t="inlineStr">
        <is>
          <t>In Today’s video Ben goes through all of the most challenging animation problems Pixar has ever faced. Not everything is as simple as it seems… not even mud.</t>
        </is>
      </c>
      <c r="V2319" s="47">
        <f>IF(AND(P2319&gt;=Calendar!$K$2,P2319&lt;EDATE(Calendar!$K$2,1),OR(Calendar!$K$4="*",N2319=Calendar!$K$4)),P2319*100+COUNTIFS($P$6:$P$3267,P2319,$Q$6:$Q$3267,"&lt;="&amp;Q2319,$N$6:$N$3267,Calendar!$K$4),"")</f>
        <v/>
      </c>
      <c r="W2319" s="47">
        <f>IF(AND(B2319=Queue!$C$4,OR(Queue!$K$4="*",N2319=Queue!$K$4)),Q2319,"")</f>
        <v/>
      </c>
    </row>
    <row r="2320">
      <c r="A2320" s="38">
        <f>IF(M2320="","",HYPERLINK("https://www.youtube.com/watch?v="&amp;M2320,"▶"))</f>
        <v/>
      </c>
      <c r="B2320" s="39">
        <f>IF(C2320&lt;&gt;"",C2320,IF(P2320&lt;=IFERROR(INDEX(tblChannels[Watched Through],MATCH(N2320,tblChannels[Channel ID],0)),0),"Watched","Unwatched"))</f>
        <v/>
      </c>
      <c r="C2320" s="40" t="n"/>
      <c r="D2320" s="41" t="n"/>
      <c r="E2320" s="42" t="n">
        <v>43060.70138888889</v>
      </c>
      <c r="F2320" s="52" t="inlineStr">
        <is>
          <t>Super Carlin Gaming</t>
        </is>
      </c>
      <c r="G2320" t="inlineStr">
        <is>
          <t>Mario Kart Roulette #49: How to Work on Group Projects</t>
        </is>
      </c>
      <c r="H2320" s="44" t="n">
        <v>0.01119212962962963</v>
      </c>
      <c r="I2320" s="45" t="n">
        <v>11125</v>
      </c>
      <c r="J2320" s="45" t="n">
        <v>398</v>
      </c>
      <c r="K2320" s="45" t="n">
        <v>115</v>
      </c>
      <c r="L2320" s="46" t="n"/>
      <c r="M2320" s="47" t="n"/>
      <c r="N2320" s="47" t="inlineStr">
        <is>
          <t>UCor_9jRnNNZVzTuQ92PKsaQ</t>
        </is>
      </c>
      <c r="O2320" s="48" t="n">
        <v>43060.90972222222</v>
      </c>
      <c r="P2320" s="49" t="n">
        <v>43060</v>
      </c>
      <c r="Q2320" s="47" t="n">
        <v>948</v>
      </c>
      <c r="R2320" s="47" t="inlineStr">
        <is>
          <t>No Video ID yet</t>
        </is>
      </c>
      <c r="S2320" s="49" t="n"/>
      <c r="T2320" s="49" t="n"/>
      <c r="U2320" s="47" t="inlineStr">
        <is>
          <t>Here we go onto the Star Cup! ...again! I really have a good feeling about this one guys...</t>
        </is>
      </c>
      <c r="V2320" s="47">
        <f>IF(AND(P2320&gt;=Calendar!$K$2,P2320&lt;EDATE(Calendar!$K$2,1),OR(Calendar!$K$4="*",N2320=Calendar!$K$4)),P2320*100+COUNTIFS($P$6:$P$3267,P2320,$Q$6:$Q$3267,"&lt;="&amp;Q2320,$N$6:$N$3267,Calendar!$K$4),"")</f>
        <v/>
      </c>
      <c r="W2320" s="47">
        <f>IF(AND(B2320=Queue!$C$4,OR(Queue!$K$4="*",N2320=Queue!$K$4)),Q2320,"")</f>
        <v/>
      </c>
    </row>
    <row r="2321">
      <c r="A2321" s="38">
        <f>IF(M2321="","",HYPERLINK("https://www.youtube.com/watch?v="&amp;M2321,"▶"))</f>
        <v/>
      </c>
      <c r="B2321" s="39">
        <f>IF(C2321&lt;&gt;"",C2321,IF(P2321&lt;=IFERROR(INDEX(tblChannels[Watched Through],MATCH(N2321,tblChannels[Channel ID],0)),0),"Watched","Unwatched"))</f>
        <v/>
      </c>
      <c r="C2321" s="40" t="n"/>
      <c r="D2321" s="41" t="n"/>
      <c r="E2321" s="42" t="n">
        <v>43059.59652777778</v>
      </c>
      <c r="F2321" s="53" t="inlineStr">
        <is>
          <t>Jonathan Carlin</t>
        </is>
      </c>
      <c r="G2321" t="inlineStr">
        <is>
          <t>$1500 SKATEBOARD</t>
        </is>
      </c>
      <c r="H2321" s="44" t="n">
        <v>0.007407407407407408</v>
      </c>
      <c r="I2321" s="45" t="n">
        <v>36483</v>
      </c>
      <c r="J2321" s="45" t="n">
        <v>1707</v>
      </c>
      <c r="K2321" s="45" t="n">
        <v>544</v>
      </c>
      <c r="L2321" s="46" t="n"/>
      <c r="M2321" s="47" t="n"/>
      <c r="N2321" s="47" t="inlineStr">
        <is>
          <t>UCYPKFe86e6nm4TVUYKLsFUQ</t>
        </is>
      </c>
      <c r="O2321" s="48" t="n">
        <v>43059.80486111111</v>
      </c>
      <c r="P2321" s="49" t="n">
        <v>43059</v>
      </c>
      <c r="Q2321" s="47" t="n">
        <v>947</v>
      </c>
      <c r="R2321" s="47" t="inlineStr">
        <is>
          <t>No Video ID yet</t>
        </is>
      </c>
      <c r="S2321" s="49" t="n"/>
      <c r="T2321" s="49" t="n"/>
      <c r="U2321" s="47" t="inlineStr">
        <is>
          <t>This week we got some awesome new toys in the mail! And also reveal a few items from this years giveathon AND celebrate Halloween.. again! Boosted Board ::</t>
        </is>
      </c>
      <c r="V2321" s="47">
        <f>IF(AND(P2321&gt;=Calendar!$K$2,P2321&lt;EDATE(Calendar!$K$2,1),OR(Calendar!$K$4="*",N2321=Calendar!$K$4)),P2321*100+COUNTIFS($P$6:$P$3267,P2321,$Q$6:$Q$3267,"&lt;="&amp;Q2321,$N$6:$N$3267,Calendar!$K$4),"")</f>
        <v/>
      </c>
      <c r="W2321" s="47">
        <f>IF(AND(B2321=Queue!$C$4,OR(Queue!$K$4="*",N2321=Queue!$K$4)),Q2321,"")</f>
        <v/>
      </c>
    </row>
    <row r="2322">
      <c r="A2322" s="38">
        <f>IF(M2322="","",HYPERLINK("https://www.youtube.com/watch?v="&amp;M2322,"▶"))</f>
        <v/>
      </c>
      <c r="B2322" s="39">
        <f>IF(C2322&lt;&gt;"",C2322,IF(P2322&lt;=IFERROR(INDEX(tblChannels[Watched Through],MATCH(N2322,tblChannels[Channel ID],0)),0),"Watched","Unwatched"))</f>
        <v/>
      </c>
      <c r="C2322" s="40" t="n"/>
      <c r="D2322" s="41" t="n"/>
      <c r="E2322" s="42" t="n">
        <v>43059.45694444444</v>
      </c>
      <c r="F2322" s="52" t="inlineStr">
        <is>
          <t>Super Carlin Gaming</t>
        </is>
      </c>
      <c r="G2322" t="inlineStr">
        <is>
          <t>Pokemon Black Nuzlocke #10: A Weird Ferris Wheel Ride</t>
        </is>
      </c>
      <c r="H2322" s="44" t="n">
        <v>0.01778935185185185</v>
      </c>
      <c r="I2322" s="45" t="n">
        <v>33743</v>
      </c>
      <c r="J2322" s="45" t="n">
        <v>917</v>
      </c>
      <c r="K2322" s="45" t="n">
        <v>329</v>
      </c>
      <c r="L2322" s="46" t="n"/>
      <c r="M2322" s="47" t="n"/>
      <c r="N2322" s="47" t="inlineStr">
        <is>
          <t>UCor_9jRnNNZVzTuQ92PKsaQ</t>
        </is>
      </c>
      <c r="O2322" s="48" t="n">
        <v>43059.66527777778</v>
      </c>
      <c r="P2322" s="49" t="n">
        <v>43059</v>
      </c>
      <c r="Q2322" s="47" t="n">
        <v>946</v>
      </c>
      <c r="R2322" s="47" t="inlineStr">
        <is>
          <t>No Video ID yet</t>
        </is>
      </c>
      <c r="S2322" s="49" t="n"/>
      <c r="T2322" s="49" t="n"/>
      <c r="U2322" s="47" t="inlineStr">
        <is>
          <t>Whose idea was the forced Ferris Wheel ride? Like.. its weird right? Anyway afterwards we fight N again... and this time he has joined forces with the malicious Sigilyph... Will the team survive the Ncounter??</t>
        </is>
      </c>
      <c r="V2322" s="47">
        <f>IF(AND(P2322&gt;=Calendar!$K$2,P2322&lt;EDATE(Calendar!$K$2,1),OR(Calendar!$K$4="*",N2322=Calendar!$K$4)),P2322*100+COUNTIFS($P$6:$P$3267,P2322,$Q$6:$Q$3267,"&lt;="&amp;Q2322,$N$6:$N$3267,Calendar!$K$4),"")</f>
        <v/>
      </c>
      <c r="W2322" s="47">
        <f>IF(AND(B2322=Queue!$C$4,OR(Queue!$K$4="*",N2322=Queue!$K$4)),Q2322,"")</f>
        <v/>
      </c>
    </row>
    <row r="2323">
      <c r="A2323" s="38">
        <f>IF(M2323="","",HYPERLINK("https://www.youtube.com/watch?v="&amp;M2323,"▶"))</f>
        <v/>
      </c>
      <c r="B2323" s="39">
        <f>IF(C2323&lt;&gt;"",C2323,IF(P2323&lt;=IFERROR(INDEX(tblChannels[Watched Through],MATCH(N2323,tblChannels[Channel ID],0)),0),"Watched","Unwatched"))</f>
        <v/>
      </c>
      <c r="C2323" s="40" t="n"/>
      <c r="D2323" s="41" t="n"/>
      <c r="E2323" s="42" t="n">
        <v>43056.49166666667</v>
      </c>
      <c r="F2323" s="52" t="inlineStr">
        <is>
          <t>Super Carlin Gaming</t>
        </is>
      </c>
      <c r="G2323" t="inlineStr">
        <is>
          <t>Pokemon Black Nuzlocke #9: THE FIRST</t>
        </is>
      </c>
      <c r="H2323" s="44" t="n">
        <v>0.01914351851851852</v>
      </c>
      <c r="I2323" s="45" t="n">
        <v>35272</v>
      </c>
      <c r="J2323" s="45" t="n">
        <v>949</v>
      </c>
      <c r="K2323" s="45" t="n">
        <v>511</v>
      </c>
      <c r="L2323" s="46" t="n"/>
      <c r="M2323" s="47" t="n"/>
      <c r="N2323" s="47" t="inlineStr">
        <is>
          <t>UCor_9jRnNNZVzTuQ92PKsaQ</t>
        </is>
      </c>
      <c r="O2323" s="48" t="n">
        <v>43056.7</v>
      </c>
      <c r="P2323" s="49" t="n">
        <v>43056</v>
      </c>
      <c r="Q2323" s="47" t="n">
        <v>945</v>
      </c>
      <c r="R2323" s="47" t="inlineStr">
        <is>
          <t>No Video ID yet</t>
        </is>
      </c>
      <c r="S2323" s="49" t="n"/>
      <c r="T2323" s="49" t="n"/>
      <c r="U2323" s="47" t="inlineStr">
        <is>
          <t>As J and the team advance into the Desert Ruins they encounter new ghost pokemon, can the team survive or will someone join their ghostly ranks?!</t>
        </is>
      </c>
      <c r="V2323" s="47">
        <f>IF(AND(P2323&gt;=Calendar!$K$2,P2323&lt;EDATE(Calendar!$K$2,1),OR(Calendar!$K$4="*",N2323=Calendar!$K$4)),P2323*100+COUNTIFS($P$6:$P$3267,P2323,$Q$6:$Q$3267,"&lt;="&amp;Q2323,$N$6:$N$3267,Calendar!$K$4),"")</f>
        <v/>
      </c>
      <c r="W2323" s="47">
        <f>IF(AND(B2323=Queue!$C$4,OR(Queue!$K$4="*",N2323=Queue!$K$4)),Q2323,"")</f>
        <v/>
      </c>
    </row>
    <row r="2324">
      <c r="A2324" s="38">
        <f>IF(M2324="","",HYPERLINK("https://www.youtube.com/watch?v="&amp;M2324,"▶"))</f>
        <v/>
      </c>
      <c r="B2324" s="39">
        <f>IF(C2324&lt;&gt;"",C2324,IF(P2324&lt;=IFERROR(INDEX(tblChannels[Watched Through],MATCH(N2324,tblChannels[Channel ID],0)),0),"Watched","Unwatched"))</f>
        <v/>
      </c>
      <c r="C2324" s="40" t="n"/>
      <c r="D2324" s="41" t="n"/>
      <c r="E2324" s="42" t="n">
        <v>43055.77847222222</v>
      </c>
      <c r="F2324" s="50" t="inlineStr">
        <is>
          <t>Super Carlin Brothers</t>
        </is>
      </c>
      <c r="G2324" t="inlineStr">
        <is>
          <t>The Sorting Hat's BIG Secret | Harry Potter Theory</t>
        </is>
      </c>
      <c r="H2324" s="44" t="n">
        <v>0.007881944444444445</v>
      </c>
      <c r="I2324" s="45" t="n">
        <v>3036199</v>
      </c>
      <c r="J2324" s="45" t="n">
        <v>59213</v>
      </c>
      <c r="K2324" s="45" t="n">
        <v>6674</v>
      </c>
      <c r="L2324" s="46" t="n"/>
      <c r="M2324" s="47" t="n"/>
      <c r="N2324" s="47" t="inlineStr">
        <is>
          <t>UCKZo4N0lVPccBkSiuyVh4yg</t>
        </is>
      </c>
      <c r="O2324" s="48" t="n">
        <v>43055.98680555556</v>
      </c>
      <c r="P2324" s="49" t="n">
        <v>43055</v>
      </c>
      <c r="Q2324" s="47" t="n">
        <v>944</v>
      </c>
      <c r="R2324" s="47" t="inlineStr">
        <is>
          <t>No Video ID yet</t>
        </is>
      </c>
      <c r="S2324" s="49" t="n"/>
      <c r="T2324" s="49" t="n"/>
      <c r="U2324" s="47" t="inlineStr">
        <is>
          <t>Today Ben dives into the Wizarding World of Harry Potter to discuss why none of the first years ever seem to be prepared for the the sorting ceremony - How can Hermione not know about the Hat, are you telling me it’s never mentioned in Hogwarts: A History?</t>
        </is>
      </c>
      <c r="V2324" s="47">
        <f>IF(AND(P2324&gt;=Calendar!$K$2,P2324&lt;EDATE(Calendar!$K$2,1),OR(Calendar!$K$4="*",N2324=Calendar!$K$4)),P2324*100+COUNTIFS($P$6:$P$3267,P2324,$Q$6:$Q$3267,"&lt;="&amp;Q2324,$N$6:$N$3267,Calendar!$K$4),"")</f>
        <v/>
      </c>
      <c r="W2324" s="47">
        <f>IF(AND(B2324=Queue!$C$4,OR(Queue!$K$4="*",N2324=Queue!$K$4)),Q2324,"")</f>
        <v/>
      </c>
    </row>
    <row r="2325">
      <c r="A2325" s="38">
        <f>IF(M2325="","",HYPERLINK("https://www.youtube.com/watch?v="&amp;M2325,"▶"))</f>
        <v/>
      </c>
      <c r="B2325" s="39">
        <f>IF(C2325&lt;&gt;"",C2325,IF(P2325&lt;=IFERROR(INDEX(tblChannels[Watched Through],MATCH(N2325,tblChannels[Channel ID],0)),0),"Watched","Unwatched"))</f>
        <v/>
      </c>
      <c r="C2325" s="40" t="n"/>
      <c r="D2325" s="41" t="n"/>
      <c r="E2325" s="42" t="n">
        <v>43055.45833333334</v>
      </c>
      <c r="F2325" s="52" t="inlineStr">
        <is>
          <t>Super Carlin Gaming</t>
        </is>
      </c>
      <c r="G2325" t="inlineStr">
        <is>
          <t>Mario Kart Roulette #48: In-Laws Don't Like Me?</t>
        </is>
      </c>
      <c r="H2325" s="44" t="n">
        <v>0.01118055555555555</v>
      </c>
      <c r="I2325" s="45" t="n">
        <v>11988</v>
      </c>
      <c r="J2325" s="45" t="n">
        <v>469</v>
      </c>
      <c r="K2325" s="45" t="n">
        <v>107</v>
      </c>
      <c r="L2325" s="46" t="n"/>
      <c r="M2325" s="47" t="n"/>
      <c r="N2325" s="47" t="inlineStr">
        <is>
          <t>UCor_9jRnNNZVzTuQ92PKsaQ</t>
        </is>
      </c>
      <c r="O2325" s="48" t="n">
        <v>43055.66666666666</v>
      </c>
      <c r="P2325" s="49" t="n">
        <v>43055</v>
      </c>
      <c r="Q2325" s="47" t="n">
        <v>943</v>
      </c>
      <c r="R2325" s="47" t="inlineStr">
        <is>
          <t>No Video ID yet</t>
        </is>
      </c>
      <c r="S2325" s="49" t="n"/>
      <c r="T2325" s="49" t="n"/>
      <c r="U2325" s="47" t="inlineStr">
        <is>
          <t>The Bell Cup! Also, what do you do when your in-laws don't like you?</t>
        </is>
      </c>
      <c r="V2325" s="47">
        <f>IF(AND(P2325&gt;=Calendar!$K$2,P2325&lt;EDATE(Calendar!$K$2,1),OR(Calendar!$K$4="*",N2325=Calendar!$K$4)),P2325*100+COUNTIFS($P$6:$P$3267,P2325,$Q$6:$Q$3267,"&lt;="&amp;Q2325,$N$6:$N$3267,Calendar!$K$4),"")</f>
        <v/>
      </c>
      <c r="W2325" s="47">
        <f>IF(AND(B2325=Queue!$C$4,OR(Queue!$K$4="*",N2325=Queue!$K$4)),Q2325,"")</f>
        <v/>
      </c>
    </row>
    <row r="2326">
      <c r="A2326" s="38">
        <f>IF(M2326="","",HYPERLINK("https://www.youtube.com/watch?v="&amp;M2326,"▶"))</f>
        <v/>
      </c>
      <c r="B2326" s="39">
        <f>IF(C2326&lt;&gt;"",C2326,IF(P2326&lt;=IFERROR(INDEX(tblChannels[Watched Through],MATCH(N2326,tblChannels[Channel ID],0)),0),"Watched","Unwatched"))</f>
        <v/>
      </c>
      <c r="C2326" s="40" t="n"/>
      <c r="D2326" s="41" t="n"/>
      <c r="E2326" s="42" t="n">
        <v>43054.4625</v>
      </c>
      <c r="F2326" s="52" t="inlineStr">
        <is>
          <t>Super Carlin Gaming</t>
        </is>
      </c>
      <c r="G2326" t="inlineStr">
        <is>
          <t>Pokemon Black Nuzlocke #8: More Brats and Nuggets Please!</t>
        </is>
      </c>
      <c r="H2326" s="44" t="n">
        <v>0.01844907407407407</v>
      </c>
      <c r="I2326" s="45" t="n">
        <v>34937</v>
      </c>
      <c r="J2326" s="45" t="n">
        <v>877</v>
      </c>
      <c r="K2326" s="45" t="n">
        <v>296</v>
      </c>
      <c r="L2326" s="46" t="n"/>
      <c r="M2326" s="47" t="n"/>
      <c r="N2326" s="47" t="inlineStr">
        <is>
          <t>UCor_9jRnNNZVzTuQ92PKsaQ</t>
        </is>
      </c>
      <c r="O2326" s="48" t="n">
        <v>43054.67083333333</v>
      </c>
      <c r="P2326" s="49" t="n">
        <v>43054</v>
      </c>
      <c r="Q2326" s="47" t="n">
        <v>942</v>
      </c>
      <c r="R2326" s="47" t="inlineStr">
        <is>
          <t>No Video ID yet</t>
        </is>
      </c>
      <c r="S2326" s="49" t="n"/>
      <c r="T2326" s="49" t="n"/>
      <c r="U2326" s="47" t="inlineStr">
        <is>
          <t>Today J and the team head into the looming sandstorm beyond Castelia City.. whose idea was it to build a city next to the desert? Oh well we also run into Bratwurst and Chicken Nuggets again, can we take them down again?!</t>
        </is>
      </c>
      <c r="V2326" s="47">
        <f>IF(AND(P2326&gt;=Calendar!$K$2,P2326&lt;EDATE(Calendar!$K$2,1),OR(Calendar!$K$4="*",N2326=Calendar!$K$4)),P2326*100+COUNTIFS($P$6:$P$3267,P2326,$Q$6:$Q$3267,"&lt;="&amp;Q2326,$N$6:$N$3267,Calendar!$K$4),"")</f>
        <v/>
      </c>
      <c r="W2326" s="47">
        <f>IF(AND(B2326=Queue!$C$4,OR(Queue!$K$4="*",N2326=Queue!$K$4)),Q2326,"")</f>
        <v/>
      </c>
    </row>
    <row r="2327">
      <c r="A2327" s="38">
        <f>IF(M2327="","",HYPERLINK("https://www.youtube.com/watch?v="&amp;M2327,"▶"))</f>
        <v/>
      </c>
      <c r="B2327" s="39">
        <f>IF(C2327&lt;&gt;"",C2327,IF(P2327&lt;=IFERROR(INDEX(tblChannels[Watched Through],MATCH(N2327,tblChannels[Channel ID],0)),0),"Watched","Unwatched"))</f>
        <v/>
      </c>
      <c r="C2327" s="40" t="n"/>
      <c r="D2327" s="41" t="n"/>
      <c r="E2327" s="42" t="n">
        <v>43053.75138888889</v>
      </c>
      <c r="F2327" s="50" t="inlineStr">
        <is>
          <t>Super Carlin Brothers</t>
        </is>
      </c>
      <c r="G2327" t="inlineStr">
        <is>
          <t>Star Wars Theory: Rey’s Parents Confirmed in Battlefront 2?</t>
        </is>
      </c>
      <c r="H2327" s="44" t="n">
        <v>0.008935185185185185</v>
      </c>
      <c r="I2327" s="45" t="n">
        <v>910307</v>
      </c>
      <c r="J2327" s="45" t="n">
        <v>18510</v>
      </c>
      <c r="K2327" s="45" t="n">
        <v>5417</v>
      </c>
      <c r="L2327" s="46" t="n"/>
      <c r="M2327" s="47" t="n"/>
      <c r="N2327" s="47" t="inlineStr">
        <is>
          <t>UCKZo4N0lVPccBkSiuyVh4yg</t>
        </is>
      </c>
      <c r="O2327" s="48" t="n">
        <v>43053.95972222222</v>
      </c>
      <c r="P2327" s="49" t="n">
        <v>43053</v>
      </c>
      <c r="Q2327" s="47" t="n">
        <v>941</v>
      </c>
      <c r="R2327" s="47" t="inlineStr">
        <is>
          <t>No Video ID yet</t>
        </is>
      </c>
      <c r="S2327" s="49" t="n"/>
      <c r="T2327" s="49" t="n"/>
      <c r="U2327" s="47" t="inlineStr">
        <is>
          <t>The most recent addition to the Star Wars Canon: Star Wars Battlefront 2 reveals some interesting information possibly regarding Star Wars biggest mystery: Who are Rey’s Parents?</t>
        </is>
      </c>
      <c r="V2327" s="47">
        <f>IF(AND(P2327&gt;=Calendar!$K$2,P2327&lt;EDATE(Calendar!$K$2,1),OR(Calendar!$K$4="*",N2327=Calendar!$K$4)),P2327*100+COUNTIFS($P$6:$P$3267,P2327,$Q$6:$Q$3267,"&lt;="&amp;Q2327,$N$6:$N$3267,Calendar!$K$4),"")</f>
        <v/>
      </c>
      <c r="W2327" s="47">
        <f>IF(AND(B2327=Queue!$C$4,OR(Queue!$K$4="*",N2327=Queue!$K$4)),Q2327,"")</f>
        <v/>
      </c>
    </row>
    <row r="2328">
      <c r="A2328" s="38">
        <f>IF(M2328="","",HYPERLINK("https://www.youtube.com/watch?v="&amp;M2328,"▶"))</f>
        <v/>
      </c>
      <c r="B2328" s="39">
        <f>IF(C2328&lt;&gt;"",C2328,IF(P2328&lt;=IFERROR(INDEX(tblChannels[Watched Through],MATCH(N2328,tblChannels[Channel ID],0)),0),"Watched","Unwatched"))</f>
        <v/>
      </c>
      <c r="C2328" s="40" t="n"/>
      <c r="D2328" s="41" t="n"/>
      <c r="E2328" s="42" t="n">
        <v>43053.60277777778</v>
      </c>
      <c r="F2328" s="52" t="inlineStr">
        <is>
          <t>Super Carlin Gaming</t>
        </is>
      </c>
      <c r="G2328" t="inlineStr">
        <is>
          <t>Mario Kart Roulette #47: New Friends in New Places</t>
        </is>
      </c>
      <c r="H2328" s="44" t="n">
        <v>0.01056712962962963</v>
      </c>
      <c r="I2328" s="45" t="n">
        <v>10789</v>
      </c>
      <c r="J2328" s="45" t="n">
        <v>418</v>
      </c>
      <c r="K2328" s="45" t="n">
        <v>137</v>
      </c>
      <c r="L2328" s="46" t="n"/>
      <c r="M2328" s="47" t="n"/>
      <c r="N2328" s="47" t="inlineStr">
        <is>
          <t>UCor_9jRnNNZVzTuQ92PKsaQ</t>
        </is>
      </c>
      <c r="O2328" s="48" t="n">
        <v>43053.81111111111</v>
      </c>
      <c r="P2328" s="49" t="n">
        <v>43053</v>
      </c>
      <c r="Q2328" s="47" t="n">
        <v>940</v>
      </c>
      <c r="R2328" s="47" t="inlineStr">
        <is>
          <t>No Video ID yet</t>
        </is>
      </c>
      <c r="S2328" s="49" t="n"/>
      <c r="T2328" s="49" t="n"/>
      <c r="U2328" s="47" t="inlineStr">
        <is>
          <t>The "Frogger" Cup! Also, How do you make new friends in a new places?</t>
        </is>
      </c>
      <c r="V2328" s="47">
        <f>IF(AND(P2328&gt;=Calendar!$K$2,P2328&lt;EDATE(Calendar!$K$2,1),OR(Calendar!$K$4="*",N2328=Calendar!$K$4)),P2328*100+COUNTIFS($P$6:$P$3267,P2328,$Q$6:$Q$3267,"&lt;="&amp;Q2328,$N$6:$N$3267,Calendar!$K$4),"")</f>
        <v/>
      </c>
      <c r="W2328" s="47">
        <f>IF(AND(B2328=Queue!$C$4,OR(Queue!$K$4="*",N2328=Queue!$K$4)),Q2328,"")</f>
        <v/>
      </c>
    </row>
    <row r="2329">
      <c r="A2329" s="38">
        <f>IF(M2329="","",HYPERLINK("https://www.youtube.com/watch?v="&amp;M2329,"▶"))</f>
        <v/>
      </c>
      <c r="B2329" s="39">
        <f>IF(C2329&lt;&gt;"",C2329,IF(P2329&lt;=IFERROR(INDEX(tblChannels[Watched Through],MATCH(N2329,tblChannels[Channel ID],0)),0),"Watched","Unwatched"))</f>
        <v/>
      </c>
      <c r="C2329" s="40" t="n"/>
      <c r="D2329" s="41" t="n"/>
      <c r="E2329" s="42" t="n">
        <v>43052.62916666667</v>
      </c>
      <c r="F2329" s="52" t="inlineStr">
        <is>
          <t>Super Carlin Gaming</t>
        </is>
      </c>
      <c r="G2329" t="inlineStr">
        <is>
          <t>Pokemon Black Nuzlocke #7: BURGH!</t>
        </is>
      </c>
      <c r="H2329" s="44" t="n">
        <v>0.02465277777777778</v>
      </c>
      <c r="I2329" s="45" t="n">
        <v>40526</v>
      </c>
      <c r="J2329" s="45" t="n">
        <v>955</v>
      </c>
      <c r="K2329" s="45" t="n">
        <v>342</v>
      </c>
      <c r="L2329" s="46" t="n"/>
      <c r="M2329" s="47" t="n"/>
      <c r="N2329" s="47" t="inlineStr">
        <is>
          <t>UCor_9jRnNNZVzTuQ92PKsaQ</t>
        </is>
      </c>
      <c r="O2329" s="48" t="n">
        <v>43052.8375</v>
      </c>
      <c r="P2329" s="49" t="n">
        <v>43052</v>
      </c>
      <c r="Q2329" s="47" t="n">
        <v>939</v>
      </c>
      <c r="R2329" s="47" t="inlineStr">
        <is>
          <t>No Video ID yet</t>
        </is>
      </c>
      <c r="S2329" s="49" t="n"/>
      <c r="T2329" s="49" t="n"/>
      <c r="U2329" s="47" t="inlineStr">
        <is>
          <t>Today J and the Team take on their 3rd gym leader: BURGH! His bug pokemon should be no match for Taco, but could he have a trick up his sleeve?!</t>
        </is>
      </c>
      <c r="V2329" s="47">
        <f>IF(AND(P2329&gt;=Calendar!$K$2,P2329&lt;EDATE(Calendar!$K$2,1),OR(Calendar!$K$4="*",N2329=Calendar!$K$4)),P2329*100+COUNTIFS($P$6:$P$3267,P2329,$Q$6:$Q$3267,"&lt;="&amp;Q2329,$N$6:$N$3267,Calendar!$K$4),"")</f>
        <v/>
      </c>
      <c r="W2329" s="47">
        <f>IF(AND(B2329=Queue!$C$4,OR(Queue!$K$4="*",N2329=Queue!$K$4)),Q2329,"")</f>
        <v/>
      </c>
    </row>
    <row r="2330">
      <c r="A2330" s="38">
        <f>IF(M2330="","",HYPERLINK("https://www.youtube.com/watch?v="&amp;M2330,"▶"))</f>
        <v/>
      </c>
      <c r="B2330" s="39">
        <f>IF(C2330&lt;&gt;"",C2330,IF(P2330&lt;=IFERROR(INDEX(tblChannels[Watched Through],MATCH(N2330,tblChannels[Channel ID],0)),0),"Watched","Unwatched"))</f>
        <v/>
      </c>
      <c r="C2330" s="40" t="n"/>
      <c r="D2330" s="41" t="n"/>
      <c r="E2330" s="42" t="n">
        <v>43052.48680555556</v>
      </c>
      <c r="F2330" s="53" t="inlineStr">
        <is>
          <t>Jonathan Carlin</t>
        </is>
      </c>
      <c r="G2330" t="inlineStr">
        <is>
          <t>PARTY LIKE DARTH VADER</t>
        </is>
      </c>
      <c r="H2330" s="44" t="n">
        <v>0.006226851851851851</v>
      </c>
      <c r="I2330" s="45" t="n">
        <v>33920</v>
      </c>
      <c r="J2330" s="45" t="n">
        <v>1627</v>
      </c>
      <c r="K2330" s="45" t="n">
        <v>237</v>
      </c>
      <c r="L2330" s="46" t="n"/>
      <c r="M2330" s="47" t="n"/>
      <c r="N2330" s="47" t="inlineStr">
        <is>
          <t>UCYPKFe86e6nm4TVUYKLsFUQ</t>
        </is>
      </c>
      <c r="O2330" s="48" t="n">
        <v>43052.69513888889</v>
      </c>
      <c r="P2330" s="49" t="n">
        <v>43052</v>
      </c>
      <c r="Q2330" s="47" t="n">
        <v>938</v>
      </c>
      <c r="R2330" s="47" t="inlineStr">
        <is>
          <t>No Video ID yet</t>
        </is>
      </c>
      <c r="S2330" s="49" t="n"/>
      <c r="T2330" s="49" t="n"/>
      <c r="U2330" s="47" t="inlineStr">
        <is>
          <t>Another week of furious adulting in the books! I'll give you hint about the coded message.. its a movie!</t>
        </is>
      </c>
      <c r="V2330" s="47">
        <f>IF(AND(P2330&gt;=Calendar!$K$2,P2330&lt;EDATE(Calendar!$K$2,1),OR(Calendar!$K$4="*",N2330=Calendar!$K$4)),P2330*100+COUNTIFS($P$6:$P$3267,P2330,$Q$6:$Q$3267,"&lt;="&amp;Q2330,$N$6:$N$3267,Calendar!$K$4),"")</f>
        <v/>
      </c>
      <c r="W2330" s="47">
        <f>IF(AND(B2330=Queue!$C$4,OR(Queue!$K$4="*",N2330=Queue!$K$4)),Q2330,"")</f>
        <v/>
      </c>
    </row>
    <row r="2331">
      <c r="A2331" s="38">
        <f>IF(M2331="","",HYPERLINK("https://www.youtube.com/watch?v="&amp;M2331,"▶"))</f>
        <v/>
      </c>
      <c r="B2331" s="39">
        <f>IF(C2331&lt;&gt;"",C2331,IF(P2331&lt;=IFERROR(INDEX(tblChannels[Watched Through],MATCH(N2331,tblChannels[Channel ID],0)),0),"Watched","Unwatched"))</f>
        <v/>
      </c>
      <c r="C2331" s="40" t="n"/>
      <c r="D2331" s="41" t="n"/>
      <c r="E2331" s="42" t="n">
        <v>43049.56388888889</v>
      </c>
      <c r="F2331" s="52" t="inlineStr">
        <is>
          <t>Super Carlin Gaming</t>
        </is>
      </c>
      <c r="G2331" t="inlineStr">
        <is>
          <t>Pokemon Black Nuzlocke #6: Pinwheels and Plasma</t>
        </is>
      </c>
      <c r="H2331" s="44" t="n">
        <v>0.01731481481481481</v>
      </c>
      <c r="I2331" s="45" t="n">
        <v>40309</v>
      </c>
      <c r="J2331" s="45" t="n">
        <v>1024</v>
      </c>
      <c r="K2331" s="45" t="n">
        <v>499</v>
      </c>
      <c r="L2331" s="46" t="n"/>
      <c r="M2331" s="47" t="n"/>
      <c r="N2331" s="47" t="inlineStr">
        <is>
          <t>UCor_9jRnNNZVzTuQ92PKsaQ</t>
        </is>
      </c>
      <c r="O2331" s="48" t="n">
        <v>43049.77222222222</v>
      </c>
      <c r="P2331" s="49" t="n">
        <v>43049</v>
      </c>
      <c r="Q2331" s="47" t="n">
        <v>937</v>
      </c>
      <c r="R2331" s="47" t="inlineStr">
        <is>
          <t>No Video ID yet</t>
        </is>
      </c>
      <c r="S2331" s="49" t="n"/>
      <c r="T2331" s="49" t="n"/>
      <c r="U2331" s="47" t="inlineStr">
        <is>
          <t>Today J and the team hunt down Team Plasma in Pinwheel Forrest - What do you think should the obvious different sections count as different areas??</t>
        </is>
      </c>
      <c r="V2331" s="47">
        <f>IF(AND(P2331&gt;=Calendar!$K$2,P2331&lt;EDATE(Calendar!$K$2,1),OR(Calendar!$K$4="*",N2331=Calendar!$K$4)),P2331*100+COUNTIFS($P$6:$P$3267,P2331,$Q$6:$Q$3267,"&lt;="&amp;Q2331,$N$6:$N$3267,Calendar!$K$4),"")</f>
        <v/>
      </c>
      <c r="W2331" s="47">
        <f>IF(AND(B2331=Queue!$C$4,OR(Queue!$K$4="*",N2331=Queue!$K$4)),Q2331,"")</f>
        <v/>
      </c>
    </row>
    <row r="2332">
      <c r="A2332" s="38">
        <f>IF(M2332="","",HYPERLINK("https://www.youtube.com/watch?v="&amp;M2332,"▶"))</f>
        <v/>
      </c>
      <c r="B2332" s="39">
        <f>IF(C2332&lt;&gt;"",C2332,IF(P2332&lt;=IFERROR(INDEX(tblChannels[Watched Through],MATCH(N2332,tblChannels[Channel ID],0)),0),"Watched","Unwatched"))</f>
        <v/>
      </c>
      <c r="C2332" s="40" t="n"/>
      <c r="D2332" s="41" t="n"/>
      <c r="E2332" s="42" t="n">
        <v>43048.76875</v>
      </c>
      <c r="F2332" s="50" t="inlineStr">
        <is>
          <t>Super Carlin Brothers</t>
        </is>
      </c>
      <c r="G2332" t="inlineStr">
        <is>
          <t>Could Anastasia Become A Disney Princess?</t>
        </is>
      </c>
      <c r="H2332" s="44" t="n">
        <v>0.005925925925925926</v>
      </c>
      <c r="I2332" s="45" t="n">
        <v>470774</v>
      </c>
      <c r="J2332" s="45" t="n">
        <v>14354</v>
      </c>
      <c r="K2332" s="45" t="n">
        <v>3714</v>
      </c>
      <c r="L2332" s="46" t="n"/>
      <c r="M2332" s="47" t="n"/>
      <c r="N2332" s="47" t="inlineStr">
        <is>
          <t>UCKZo4N0lVPccBkSiuyVh4yg</t>
        </is>
      </c>
      <c r="O2332" s="48" t="n">
        <v>43048.97708333333</v>
      </c>
      <c r="P2332" s="49" t="n">
        <v>43048</v>
      </c>
      <c r="Q2332" s="47" t="n">
        <v>936</v>
      </c>
      <c r="R2332" s="47" t="inlineStr">
        <is>
          <t>No Video ID yet</t>
        </is>
      </c>
      <c r="S2332" s="49" t="n"/>
      <c r="T2332" s="49" t="n"/>
      <c r="U2332" s="47" t="inlineStr">
        <is>
          <t>Special Thanks to these Patreons :: Abi Solk, Jennifer, Alan Wolfe, pajanaparty, Sarah E McCartney, Geek_Teach, Zara Caldwell, Cletus McConville, Lasse Buan Charles C. Seymour, Kristhell Lopez, Amy Beerbower With news emerging this week that Disney has entered talks to possibly acquire Fox, we realized that Anastasia, a character often mistaken for a Disney Princess, may actually get to join the Disney family.. But would she qualify for a princess?</t>
        </is>
      </c>
      <c r="V2332" s="47">
        <f>IF(AND(P2332&gt;=Calendar!$K$2,P2332&lt;EDATE(Calendar!$K$2,1),OR(Calendar!$K$4="*",N2332=Calendar!$K$4)),P2332*100+COUNTIFS($P$6:$P$3267,P2332,$Q$6:$Q$3267,"&lt;="&amp;Q2332,$N$6:$N$3267,Calendar!$K$4),"")</f>
        <v/>
      </c>
      <c r="W2332" s="47">
        <f>IF(AND(B2332=Queue!$C$4,OR(Queue!$K$4="*",N2332=Queue!$K$4)),Q2332,"")</f>
        <v/>
      </c>
    </row>
    <row r="2333">
      <c r="A2333" s="38">
        <f>IF(M2333="","",HYPERLINK("https://www.youtube.com/watch?v="&amp;M2333,"▶"))</f>
        <v/>
      </c>
      <c r="B2333" s="39">
        <f>IF(C2333&lt;&gt;"",C2333,IF(P2333&lt;=IFERROR(INDEX(tblChannels[Watched Through],MATCH(N2333,tblChannels[Channel ID],0)),0),"Watched","Unwatched"))</f>
        <v/>
      </c>
      <c r="C2333" s="40" t="n"/>
      <c r="D2333" s="41" t="n"/>
      <c r="E2333" s="42" t="n">
        <v>43048.49930555555</v>
      </c>
      <c r="F2333" s="52" t="inlineStr">
        <is>
          <t>Super Carlin Gaming</t>
        </is>
      </c>
      <c r="G2333" t="inlineStr">
        <is>
          <t>Mario Kart Roulette #46: A Quality 8th Place.</t>
        </is>
      </c>
      <c r="H2333" s="44" t="n">
        <v>0.0102662037037037</v>
      </c>
      <c r="I2333" s="45" t="n">
        <v>11738</v>
      </c>
      <c r="J2333" s="45" t="n">
        <v>439</v>
      </c>
      <c r="K2333" s="45" t="n">
        <v>201</v>
      </c>
      <c r="L2333" s="46" t="n"/>
      <c r="M2333" s="47" t="n"/>
      <c r="N2333" s="47" t="inlineStr">
        <is>
          <t>UCor_9jRnNNZVzTuQ92PKsaQ</t>
        </is>
      </c>
      <c r="O2333" s="48" t="n">
        <v>43048.70763888889</v>
      </c>
      <c r="P2333" s="49" t="n">
        <v>43048</v>
      </c>
      <c r="Q2333" s="47" t="n">
        <v>935</v>
      </c>
      <c r="R2333" s="47" t="inlineStr">
        <is>
          <t>No Video ID yet</t>
        </is>
      </c>
      <c r="S2333" s="49" t="n"/>
      <c r="T2333" s="49" t="n"/>
      <c r="U2333" s="47" t="inlineStr">
        <is>
          <t>It's the Triforce cup! At 200cc this one is HARD!</t>
        </is>
      </c>
      <c r="V2333" s="47">
        <f>IF(AND(P2333&gt;=Calendar!$K$2,P2333&lt;EDATE(Calendar!$K$2,1),OR(Calendar!$K$4="*",N2333=Calendar!$K$4)),P2333*100+COUNTIFS($P$6:$P$3267,P2333,$Q$6:$Q$3267,"&lt;="&amp;Q2333,$N$6:$N$3267,Calendar!$K$4),"")</f>
        <v/>
      </c>
      <c r="W2333" s="47">
        <f>IF(AND(B2333=Queue!$C$4,OR(Queue!$K$4="*",N2333=Queue!$K$4)),Q2333,"")</f>
        <v/>
      </c>
    </row>
    <row r="2334">
      <c r="A2334" s="38">
        <f>IF(M2334="","",HYPERLINK("https://www.youtube.com/watch?v="&amp;M2334,"▶"))</f>
        <v/>
      </c>
      <c r="B2334" s="39">
        <f>IF(C2334&lt;&gt;"",C2334,IF(P2334&lt;=IFERROR(INDEX(tblChannels[Watched Through],MATCH(N2334,tblChannels[Channel ID],0)),0),"Watched","Unwatched"))</f>
        <v/>
      </c>
      <c r="C2334" s="40" t="n"/>
      <c r="D2334" s="41" t="n"/>
      <c r="E2334" s="42" t="n">
        <v>43047.55555555555</v>
      </c>
      <c r="F2334" s="52" t="inlineStr">
        <is>
          <t>Super Carlin Gaming</t>
        </is>
      </c>
      <c r="G2334" t="inlineStr">
        <is>
          <t>Pokemon Black Nuzlocke #5: Taco VS Lenora</t>
        </is>
      </c>
      <c r="H2334" s="44" t="n">
        <v>0.02421296296296296</v>
      </c>
      <c r="I2334" s="45" t="n">
        <v>49080</v>
      </c>
      <c r="J2334" s="45" t="n">
        <v>1144</v>
      </c>
      <c r="K2334" s="45" t="n">
        <v>417</v>
      </c>
      <c r="L2334" s="46" t="n"/>
      <c r="M2334" s="47" t="n"/>
      <c r="N2334" s="47" t="inlineStr">
        <is>
          <t>UCor_9jRnNNZVzTuQ92PKsaQ</t>
        </is>
      </c>
      <c r="O2334" s="48" t="n">
        <v>43047.76388888889</v>
      </c>
      <c r="P2334" s="49" t="n">
        <v>43047</v>
      </c>
      <c r="Q2334" s="47" t="n">
        <v>934</v>
      </c>
      <c r="R2334" s="47" t="inlineStr">
        <is>
          <t>No Video ID yet</t>
        </is>
      </c>
      <c r="S2334" s="49" t="n"/>
      <c r="T2334" s="49" t="n"/>
      <c r="U2334" s="47" t="inlineStr">
        <is>
          <t>Today J and the team take on the their 2nd Gym Leader, the normal type user: Lenora! She may not look tough but her team is well equipped to deal with type disadvantages! Will J and the team survive the battle!</t>
        </is>
      </c>
      <c r="V2334" s="47">
        <f>IF(AND(P2334&gt;=Calendar!$K$2,P2334&lt;EDATE(Calendar!$K$2,1),OR(Calendar!$K$4="*",N2334=Calendar!$K$4)),P2334*100+COUNTIFS($P$6:$P$3267,P2334,$Q$6:$Q$3267,"&lt;="&amp;Q2334,$N$6:$N$3267,Calendar!$K$4),"")</f>
        <v/>
      </c>
      <c r="W2334" s="47">
        <f>IF(AND(B2334=Queue!$C$4,OR(Queue!$K$4="*",N2334=Queue!$K$4)),Q2334,"")</f>
        <v/>
      </c>
    </row>
    <row r="2335">
      <c r="A2335" s="38">
        <f>IF(M2335="","",HYPERLINK("https://www.youtube.com/watch?v="&amp;M2335,"▶"))</f>
        <v/>
      </c>
      <c r="B2335" s="39">
        <f>IF(C2335&lt;&gt;"",C2335,IF(P2335&lt;=IFERROR(INDEX(tblChannels[Watched Through],MATCH(N2335,tblChannels[Channel ID],0)),0),"Watched","Unwatched"))</f>
        <v/>
      </c>
      <c r="C2335" s="40" t="n"/>
      <c r="D2335" s="41" t="n"/>
      <c r="E2335" s="42" t="n">
        <v>43046.72222222222</v>
      </c>
      <c r="F2335" s="50" t="inlineStr">
        <is>
          <t>Super Carlin Brothers</t>
        </is>
      </c>
      <c r="G2335" t="inlineStr">
        <is>
          <t>Top 10 Things To Look For In Coco</t>
        </is>
      </c>
      <c r="H2335" s="44" t="n">
        <v>0.007731481481481482</v>
      </c>
      <c r="I2335" s="45" t="n">
        <v>204580</v>
      </c>
      <c r="J2335" s="45" t="n">
        <v>8414</v>
      </c>
      <c r="K2335" s="45" t="n">
        <v>2308</v>
      </c>
      <c r="L2335" s="46" t="n"/>
      <c r="M2335" s="47" t="n"/>
      <c r="N2335" s="47" t="inlineStr">
        <is>
          <t>UCKZo4N0lVPccBkSiuyVh4yg</t>
        </is>
      </c>
      <c r="O2335" s="48" t="n">
        <v>43046.93055555555</v>
      </c>
      <c r="P2335" s="49" t="n">
        <v>43046</v>
      </c>
      <c r="Q2335" s="47" t="n">
        <v>933</v>
      </c>
      <c r="R2335" s="47" t="inlineStr">
        <is>
          <t>No Video ID yet</t>
        </is>
      </c>
      <c r="S2335" s="49" t="n"/>
      <c r="T2335" s="49" t="n"/>
      <c r="U2335" s="47" t="inlineStr">
        <is>
          <t>Disney Pixar's Coco comes out next week! That means it’s time to bust out the pause button and hunt Easter eggs! Today J runs down the top 10 easter eggs he think you will be able to spot or look for in Coco!</t>
        </is>
      </c>
      <c r="V2335" s="47">
        <f>IF(AND(P2335&gt;=Calendar!$K$2,P2335&lt;EDATE(Calendar!$K$2,1),OR(Calendar!$K$4="*",N2335=Calendar!$K$4)),P2335*100+COUNTIFS($P$6:$P$3267,P2335,$Q$6:$Q$3267,"&lt;="&amp;Q2335,$N$6:$N$3267,Calendar!$K$4),"")</f>
        <v/>
      </c>
      <c r="W2335" s="47">
        <f>IF(AND(B2335=Queue!$C$4,OR(Queue!$K$4="*",N2335=Queue!$K$4)),Q2335,"")</f>
        <v/>
      </c>
    </row>
    <row r="2336">
      <c r="A2336" s="38">
        <f>IF(M2336="","",HYPERLINK("https://www.youtube.com/watch?v="&amp;M2336,"▶"))</f>
        <v/>
      </c>
      <c r="B2336" s="39">
        <f>IF(C2336&lt;&gt;"",C2336,IF(P2336&lt;=IFERROR(INDEX(tblChannels[Watched Through],MATCH(N2336,tblChannels[Channel ID],0)),0),"Watched","Unwatched"))</f>
        <v/>
      </c>
      <c r="C2336" s="40" t="n"/>
      <c r="D2336" s="41" t="n"/>
      <c r="E2336" s="42" t="n">
        <v>43046.44652777778</v>
      </c>
      <c r="F2336" s="52" t="inlineStr">
        <is>
          <t>Super Carlin Gaming</t>
        </is>
      </c>
      <c r="G2336" t="inlineStr">
        <is>
          <t>Mario Kart Roulette #45: How to take life less seriously</t>
        </is>
      </c>
      <c r="H2336" s="44" t="n">
        <v>0.01065972222222222</v>
      </c>
      <c r="I2336" s="45" t="n">
        <v>11831</v>
      </c>
      <c r="J2336" s="45" t="n">
        <v>414</v>
      </c>
      <c r="K2336" s="45" t="n">
        <v>98</v>
      </c>
      <c r="L2336" s="46" t="n"/>
      <c r="M2336" s="47" t="n"/>
      <c r="N2336" s="47" t="inlineStr">
        <is>
          <t>UCor_9jRnNNZVzTuQ92PKsaQ</t>
        </is>
      </c>
      <c r="O2336" s="48" t="n">
        <v>43046.65486111111</v>
      </c>
      <c r="P2336" s="49" t="n">
        <v>43046</v>
      </c>
      <c r="Q2336" s="47" t="n">
        <v>932</v>
      </c>
      <c r="R2336" s="47" t="inlineStr">
        <is>
          <t>No Video ID yet</t>
        </is>
      </c>
      <c r="S2336" s="49" t="n"/>
      <c r="T2336" s="49" t="n"/>
      <c r="U2336" s="47" t="inlineStr">
        <is>
          <t>J &amp; Ben answer your questions and offer their advice while tackling the Egg Cup! Maybe this time we'll come away with some stars!</t>
        </is>
      </c>
      <c r="V2336" s="47">
        <f>IF(AND(P2336&gt;=Calendar!$K$2,P2336&lt;EDATE(Calendar!$K$2,1),OR(Calendar!$K$4="*",N2336=Calendar!$K$4)),P2336*100+COUNTIFS($P$6:$P$3267,P2336,$Q$6:$Q$3267,"&lt;="&amp;Q2336,$N$6:$N$3267,Calendar!$K$4),"")</f>
        <v/>
      </c>
      <c r="W2336" s="47">
        <f>IF(AND(B2336=Queue!$C$4,OR(Queue!$K$4="*",N2336=Queue!$K$4)),Q2336,"")</f>
        <v/>
      </c>
    </row>
    <row r="2337">
      <c r="A2337" s="38">
        <f>IF(M2337="","",HYPERLINK("https://www.youtube.com/watch?v="&amp;M2337,"▶"))</f>
        <v/>
      </c>
      <c r="B2337" s="39">
        <f>IF(C2337&lt;&gt;"",C2337,IF(P2337&lt;=IFERROR(INDEX(tblChannels[Watched Through],MATCH(N2337,tblChannels[Channel ID],0)),0),"Watched","Unwatched"))</f>
        <v/>
      </c>
      <c r="C2337" s="40" t="n"/>
      <c r="D2337" s="41" t="n"/>
      <c r="E2337" s="42" t="n">
        <v>43045.56944444445</v>
      </c>
      <c r="F2337" s="53" t="inlineStr">
        <is>
          <t>Jonathan Carlin</t>
        </is>
      </c>
      <c r="G2337" t="inlineStr">
        <is>
          <t>WEEK OF SEAMUS</t>
        </is>
      </c>
      <c r="H2337" s="44" t="n">
        <v>0.006921296296296296</v>
      </c>
      <c r="I2337" s="45" t="n">
        <v>121218</v>
      </c>
      <c r="J2337" s="45" t="n">
        <v>4887</v>
      </c>
      <c r="K2337" s="45" t="n">
        <v>634</v>
      </c>
      <c r="L2337" s="46" t="n"/>
      <c r="M2337" s="47" t="n"/>
      <c r="N2337" s="47" t="inlineStr">
        <is>
          <t>UCYPKFe86e6nm4TVUYKLsFUQ</t>
        </is>
      </c>
      <c r="O2337" s="48" t="n">
        <v>43045.77777777778</v>
      </c>
      <c r="P2337" s="49" t="n">
        <v>43045</v>
      </c>
      <c r="Q2337" s="47" t="n">
        <v>931</v>
      </c>
      <c r="R2337" s="47" t="inlineStr">
        <is>
          <t>No Video ID yet</t>
        </is>
      </c>
      <c r="S2337" s="49" t="n"/>
      <c r="T2337" s="49" t="n"/>
      <c r="U2337" s="47" t="inlineStr">
        <is>
          <t>This week we are joined by fellow YouTuber and theorist Seamus Gorman, who is just so adorably British. Also in case you were wondering VT beat UNC 59-7 =D Seamus's Channel :: NEW LENS ::</t>
        </is>
      </c>
      <c r="V2337" s="47">
        <f>IF(AND(P2337&gt;=Calendar!$K$2,P2337&lt;EDATE(Calendar!$K$2,1),OR(Calendar!$K$4="*",N2337=Calendar!$K$4)),P2337*100+COUNTIFS($P$6:$P$3267,P2337,$Q$6:$Q$3267,"&lt;="&amp;Q2337,$N$6:$N$3267,Calendar!$K$4),"")</f>
        <v/>
      </c>
      <c r="W2337" s="47">
        <f>IF(AND(B2337=Queue!$C$4,OR(Queue!$K$4="*",N2337=Queue!$K$4)),Q2337,"")</f>
        <v/>
      </c>
    </row>
    <row r="2338">
      <c r="A2338" s="38">
        <f>IF(M2338="","",HYPERLINK("https://www.youtube.com/watch?v="&amp;M2338,"▶"))</f>
        <v/>
      </c>
      <c r="B2338" s="39">
        <f>IF(C2338&lt;&gt;"",C2338,IF(P2338&lt;=IFERROR(INDEX(tblChannels[Watched Through],MATCH(N2338,tblChannels[Channel ID],0)),0),"Watched","Unwatched"))</f>
        <v/>
      </c>
      <c r="C2338" s="40" t="n"/>
      <c r="D2338" s="41" t="n"/>
      <c r="E2338" s="42" t="n">
        <v>43045.46666666667</v>
      </c>
      <c r="F2338" s="52" t="inlineStr">
        <is>
          <t>Super Carlin Gaming</t>
        </is>
      </c>
      <c r="G2338" t="inlineStr">
        <is>
          <t>Pokemon Black Nuzlocke #4: N Means Business!</t>
        </is>
      </c>
      <c r="H2338" s="44" t="n">
        <v>0.02376157407407407</v>
      </c>
      <c r="I2338" s="45" t="n">
        <v>52957</v>
      </c>
      <c r="J2338" s="45" t="n">
        <v>1297</v>
      </c>
      <c r="K2338" s="45" t="n">
        <v>496</v>
      </c>
      <c r="L2338" s="46" t="n"/>
      <c r="M2338" s="47" t="n"/>
      <c r="N2338" s="47" t="inlineStr">
        <is>
          <t>UCor_9jRnNNZVzTuQ92PKsaQ</t>
        </is>
      </c>
      <c r="O2338" s="48" t="n">
        <v>43045.675</v>
      </c>
      <c r="P2338" s="49" t="n">
        <v>43045</v>
      </c>
      <c r="Q2338" s="47" t="n">
        <v>930</v>
      </c>
      <c r="R2338" s="47" t="inlineStr">
        <is>
          <t>No Video ID yet</t>
        </is>
      </c>
      <c r="S2338" s="49" t="n"/>
      <c r="T2338" s="49" t="n"/>
      <c r="U2338" s="47" t="inlineStr">
        <is>
          <t>Today J and the team help rescue a little girls Pokemon and show down with N who looks to be much more formidable than our dumb "friends" Can we survive our next encounter with this cunning young trainer??</t>
        </is>
      </c>
      <c r="V2338" s="47">
        <f>IF(AND(P2338&gt;=Calendar!$K$2,P2338&lt;EDATE(Calendar!$K$2,1),OR(Calendar!$K$4="*",N2338=Calendar!$K$4)),P2338*100+COUNTIFS($P$6:$P$3267,P2338,$Q$6:$Q$3267,"&lt;="&amp;Q2338,$N$6:$N$3267,Calendar!$K$4),"")</f>
        <v/>
      </c>
      <c r="W2338" s="47">
        <f>IF(AND(B2338=Queue!$C$4,OR(Queue!$K$4="*",N2338=Queue!$K$4)),Q2338,"")</f>
        <v/>
      </c>
    </row>
    <row r="2339">
      <c r="A2339" s="38">
        <f>IF(M2339="","",HYPERLINK("https://www.youtube.com/watch?v="&amp;M2339,"▶"))</f>
        <v/>
      </c>
      <c r="B2339" s="39">
        <f>IF(C2339&lt;&gt;"",C2339,IF(P2339&lt;=IFERROR(INDEX(tblChannels[Watched Through],MATCH(N2339,tblChannels[Channel ID],0)),0),"Watched","Unwatched"))</f>
        <v/>
      </c>
      <c r="C2339" s="40" t="n"/>
      <c r="D2339" s="41" t="n"/>
      <c r="E2339" s="42" t="n">
        <v>43042.54583333333</v>
      </c>
      <c r="F2339" s="52" t="inlineStr">
        <is>
          <t>Super Carlin Gaming</t>
        </is>
      </c>
      <c r="G2339" t="inlineStr">
        <is>
          <t>Pokemon Black Nuzlocke #3: The First Gym!</t>
        </is>
      </c>
      <c r="H2339" s="44" t="n">
        <v>0.0177662037037037</v>
      </c>
      <c r="I2339" s="45" t="n">
        <v>53556</v>
      </c>
      <c r="J2339" s="45" t="n">
        <v>1315</v>
      </c>
      <c r="K2339" s="45" t="n">
        <v>483</v>
      </c>
      <c r="L2339" s="46" t="n"/>
      <c r="M2339" s="47" t="n"/>
      <c r="N2339" s="47" t="inlineStr">
        <is>
          <t>UCor_9jRnNNZVzTuQ92PKsaQ</t>
        </is>
      </c>
      <c r="O2339" s="48" t="n">
        <v>43042.7125</v>
      </c>
      <c r="P2339" s="49" t="n">
        <v>43042</v>
      </c>
      <c r="Q2339" s="47" t="n">
        <v>929</v>
      </c>
      <c r="R2339" s="47" t="inlineStr">
        <is>
          <t>No Video ID yet</t>
        </is>
      </c>
      <c r="S2339" s="49" t="n"/>
      <c r="T2339" s="49" t="n"/>
      <c r="U2339" s="47" t="n"/>
      <c r="V2339" s="47">
        <f>IF(AND(P2339&gt;=Calendar!$K$2,P2339&lt;EDATE(Calendar!$K$2,1),OR(Calendar!$K$4="*",N2339=Calendar!$K$4)),P2339*100+COUNTIFS($P$6:$P$3267,P2339,$Q$6:$Q$3267,"&lt;="&amp;Q2339,$N$6:$N$3267,Calendar!$K$4),"")</f>
        <v/>
      </c>
      <c r="W2339" s="47">
        <f>IF(AND(B2339=Queue!$C$4,OR(Queue!$K$4="*",N2339=Queue!$K$4)),Q2339,"")</f>
        <v/>
      </c>
    </row>
    <row r="2340">
      <c r="A2340" s="38">
        <f>IF(M2340="","",HYPERLINK("https://www.youtube.com/watch?v="&amp;M2340,"▶"))</f>
        <v/>
      </c>
      <c r="B2340" s="39">
        <f>IF(C2340&lt;&gt;"",C2340,IF(P2340&lt;=IFERROR(INDEX(tblChannels[Watched Through],MATCH(N2340,tblChannels[Channel ID],0)),0),"Watched","Unwatched"))</f>
        <v/>
      </c>
      <c r="C2340" s="40" t="n"/>
      <c r="D2340" s="41" t="n"/>
      <c r="E2340" s="42" t="n">
        <v>43041.625</v>
      </c>
      <c r="F2340" s="50" t="inlineStr">
        <is>
          <t>Super Carlin Brothers</t>
        </is>
      </c>
      <c r="G2340" t="inlineStr">
        <is>
          <t>Star Wars: Vader Wasn't Always Luke's Father?</t>
        </is>
      </c>
      <c r="H2340" s="44" t="n">
        <v>0.007638888888888889</v>
      </c>
      <c r="I2340" s="45" t="n">
        <v>789347</v>
      </c>
      <c r="J2340" s="45" t="n">
        <v>15579</v>
      </c>
      <c r="K2340" s="45" t="n">
        <v>3659</v>
      </c>
      <c r="L2340" s="46" t="n"/>
      <c r="M2340" s="47" t="n"/>
      <c r="N2340" s="47" t="inlineStr">
        <is>
          <t>UCKZo4N0lVPccBkSiuyVh4yg</t>
        </is>
      </c>
      <c r="O2340" s="48" t="n">
        <v>43041.79166666666</v>
      </c>
      <c r="P2340" s="49" t="n">
        <v>43041</v>
      </c>
      <c r="Q2340" s="47" t="n">
        <v>928</v>
      </c>
      <c r="R2340" s="47" t="inlineStr">
        <is>
          <t>No Video ID yet</t>
        </is>
      </c>
      <c r="S2340" s="49" t="n"/>
      <c r="T2340" s="49" t="n"/>
      <c r="U2340" s="47" t="inlineStr">
        <is>
          <t>Today Ben ventures into the Star Wars Galaxy to explain how many of their most famous and inspiring moments were NOT planned from the beginning!</t>
        </is>
      </c>
      <c r="V2340" s="47">
        <f>IF(AND(P2340&gt;=Calendar!$K$2,P2340&lt;EDATE(Calendar!$K$2,1),OR(Calendar!$K$4="*",N2340=Calendar!$K$4)),P2340*100+COUNTIFS($P$6:$P$3267,P2340,$Q$6:$Q$3267,"&lt;="&amp;Q2340,$N$6:$N$3267,Calendar!$K$4),"")</f>
        <v/>
      </c>
      <c r="W2340" s="47">
        <f>IF(AND(B2340=Queue!$C$4,OR(Queue!$K$4="*",N2340=Queue!$K$4)),Q2340,"")</f>
        <v/>
      </c>
    </row>
    <row r="2341">
      <c r="A2341" s="38">
        <f>IF(M2341="","",HYPERLINK("https://www.youtube.com/watch?v="&amp;M2341,"▶"))</f>
        <v/>
      </c>
      <c r="B2341" s="39">
        <f>IF(C2341&lt;&gt;"",C2341,IF(P2341&lt;=IFERROR(INDEX(tblChannels[Watched Through],MATCH(N2341,tblChannels[Channel ID],0)),0),"Watched","Unwatched"))</f>
        <v/>
      </c>
      <c r="C2341" s="40" t="n"/>
      <c r="D2341" s="41" t="n"/>
      <c r="E2341" s="42" t="n">
        <v>43041.41666666666</v>
      </c>
      <c r="F2341" s="52" t="inlineStr">
        <is>
          <t>Super Carlin Gaming</t>
        </is>
      </c>
      <c r="G2341" t="inlineStr">
        <is>
          <t>Mario Kart Roulette #44: Dealing With Bullies?</t>
        </is>
      </c>
      <c r="H2341" s="44" t="n">
        <v>0.0109837962962963</v>
      </c>
      <c r="I2341" s="45" t="n">
        <v>12907</v>
      </c>
      <c r="J2341" s="45" t="n">
        <v>424</v>
      </c>
      <c r="K2341" s="45" t="n">
        <v>97</v>
      </c>
      <c r="L2341" s="46" t="n"/>
      <c r="M2341" s="47" t="n"/>
      <c r="N2341" s="47" t="inlineStr">
        <is>
          <t>UCor_9jRnNNZVzTuQ92PKsaQ</t>
        </is>
      </c>
      <c r="O2341" s="48" t="n">
        <v>43041.58333333334</v>
      </c>
      <c r="P2341" s="49" t="n">
        <v>43041</v>
      </c>
      <c r="Q2341" s="47" t="n">
        <v>927</v>
      </c>
      <c r="R2341" s="47" t="inlineStr">
        <is>
          <t>No Video ID yet</t>
        </is>
      </c>
      <c r="S2341" s="49" t="n"/>
      <c r="T2341" s="49" t="n"/>
      <c r="U2341" s="47" t="inlineStr">
        <is>
          <t>The Lightning Cup! At 200cc the N64 Mario Kart Rainbow Road is CLEARLY easy enough that we can 3 star this one, right?? Right...</t>
        </is>
      </c>
      <c r="V2341" s="47">
        <f>IF(AND(P2341&gt;=Calendar!$K$2,P2341&lt;EDATE(Calendar!$K$2,1),OR(Calendar!$K$4="*",N2341=Calendar!$K$4)),P2341*100+COUNTIFS($P$6:$P$3267,P2341,$Q$6:$Q$3267,"&lt;="&amp;Q2341,$N$6:$N$3267,Calendar!$K$4),"")</f>
        <v/>
      </c>
      <c r="W2341" s="47">
        <f>IF(AND(B2341=Queue!$C$4,OR(Queue!$K$4="*",N2341=Queue!$K$4)),Q2341,"")</f>
        <v/>
      </c>
    </row>
    <row r="2342">
      <c r="A2342" s="38">
        <f>IF(M2342="","",HYPERLINK("https://www.youtube.com/watch?v="&amp;M2342,"▶"))</f>
        <v/>
      </c>
      <c r="B2342" s="39">
        <f>IF(C2342&lt;&gt;"",C2342,IF(P2342&lt;=IFERROR(INDEX(tblChannels[Watched Through],MATCH(N2342,tblChannels[Channel ID],0)),0),"Watched","Unwatched"))</f>
        <v/>
      </c>
      <c r="C2342" s="40" t="n"/>
      <c r="D2342" s="41" t="n"/>
      <c r="E2342" s="42" t="n">
        <v>43040.46180555555</v>
      </c>
      <c r="F2342" s="52" t="inlineStr">
        <is>
          <t>Super Carlin Gaming</t>
        </is>
      </c>
      <c r="G2342" t="inlineStr">
        <is>
          <t>Pokemon Black Nuzlocke #2: New Teammates!</t>
        </is>
      </c>
      <c r="H2342" s="44" t="n">
        <v>0.01553240740740741</v>
      </c>
      <c r="I2342" s="45" t="n">
        <v>62416</v>
      </c>
      <c r="J2342" s="45" t="n">
        <v>1429</v>
      </c>
      <c r="K2342" s="45" t="n">
        <v>945</v>
      </c>
      <c r="L2342" s="46" t="n"/>
      <c r="M2342" s="47" t="n"/>
      <c r="N2342" s="47" t="inlineStr">
        <is>
          <t>UCor_9jRnNNZVzTuQ92PKsaQ</t>
        </is>
      </c>
      <c r="O2342" s="48" t="n">
        <v>43040.62847222222</v>
      </c>
      <c r="P2342" s="49" t="n">
        <v>43040</v>
      </c>
      <c r="Q2342" s="47" t="n">
        <v>926</v>
      </c>
      <c r="R2342" s="47" t="inlineStr">
        <is>
          <t>No Video ID yet</t>
        </is>
      </c>
      <c r="S2342" s="49" t="n"/>
      <c r="T2342" s="49" t="n"/>
      <c r="U2342" s="47" t="inlineStr">
        <is>
          <t>Finally allowed to explore outside of town, today we catch new team members and start preparing for our first gym battle!</t>
        </is>
      </c>
      <c r="V2342" s="47">
        <f>IF(AND(P2342&gt;=Calendar!$K$2,P2342&lt;EDATE(Calendar!$K$2,1),OR(Calendar!$K$4="*",N2342=Calendar!$K$4)),P2342*100+COUNTIFS($P$6:$P$3267,P2342,$Q$6:$Q$3267,"&lt;="&amp;Q2342,$N$6:$N$3267,Calendar!$K$4),"")</f>
        <v/>
      </c>
      <c r="W2342" s="47">
        <f>IF(AND(B2342=Queue!$C$4,OR(Queue!$K$4="*",N2342=Queue!$K$4)),Q2342,"")</f>
        <v/>
      </c>
    </row>
    <row r="2343">
      <c r="A2343" s="38">
        <f>IF(M2343="","",HYPERLINK("https://www.youtube.com/watch?v="&amp;M2343,"▶"))</f>
        <v/>
      </c>
      <c r="B2343" s="39">
        <f>IF(C2343&lt;&gt;"",C2343,IF(P2343&lt;=IFERROR(INDEX(tblChannels[Watched Through],MATCH(N2343,tblChannels[Channel ID],0)),0),"Watched","Unwatched"))</f>
        <v/>
      </c>
      <c r="C2343" s="40" t="n"/>
      <c r="D2343" s="41" t="n"/>
      <c r="E2343" s="42" t="n">
        <v>43039.64583333334</v>
      </c>
      <c r="F2343" s="50" t="inlineStr">
        <is>
          <t>Super Carlin Brothers</t>
        </is>
      </c>
      <c r="G2343" t="inlineStr">
        <is>
          <t>J vs Ben: Hardest MONSTERS INC Trivia Quiz Ever (ft. Seamus Gorman)</t>
        </is>
      </c>
      <c r="H2343" s="44" t="n">
        <v>0.01664351851851852</v>
      </c>
      <c r="I2343" s="45" t="n">
        <v>841634</v>
      </c>
      <c r="J2343" s="45" t="n">
        <v>16701</v>
      </c>
      <c r="K2343" s="45" t="n">
        <v>2001</v>
      </c>
      <c r="L2343" s="46" t="n"/>
      <c r="M2343" s="47" t="n"/>
      <c r="N2343" s="47" t="inlineStr">
        <is>
          <t>UCKZo4N0lVPccBkSiuyVh4yg</t>
        </is>
      </c>
      <c r="O2343" s="48" t="n">
        <v>43039.8125</v>
      </c>
      <c r="P2343" s="49" t="n">
        <v>43039</v>
      </c>
      <c r="Q2343" s="47" t="n">
        <v>925</v>
      </c>
      <c r="R2343" s="47" t="inlineStr">
        <is>
          <t>No Video ID yet</t>
        </is>
      </c>
      <c r="S2343" s="49" t="n"/>
      <c r="T2343" s="49" t="n"/>
      <c r="U2343" s="47" t="inlineStr">
        <is>
          <t>Play along with us! :: Today Seamus joins Ben and J to determine who has the ultimate knowledge from Disney Pixar's Monsters Inc! What was your score?</t>
        </is>
      </c>
      <c r="V2343" s="47">
        <f>IF(AND(P2343&gt;=Calendar!$K$2,P2343&lt;EDATE(Calendar!$K$2,1),OR(Calendar!$K$4="*",N2343=Calendar!$K$4)),P2343*100+COUNTIFS($P$6:$P$3267,P2343,$Q$6:$Q$3267,"&lt;="&amp;Q2343,$N$6:$N$3267,Calendar!$K$4),"")</f>
        <v/>
      </c>
      <c r="W2343" s="47">
        <f>IF(AND(B2343=Queue!$C$4,OR(Queue!$K$4="*",N2343=Queue!$K$4)),Q2343,"")</f>
        <v/>
      </c>
    </row>
    <row r="2344">
      <c r="A2344" s="38">
        <f>IF(M2344="","",HYPERLINK("https://www.youtube.com/watch?v="&amp;M2344,"▶"))</f>
        <v/>
      </c>
      <c r="B2344" s="39">
        <f>IF(C2344&lt;&gt;"",C2344,IF(P2344&lt;=IFERROR(INDEX(tblChannels[Watched Through],MATCH(N2344,tblChannels[Channel ID],0)),0),"Watched","Unwatched"))</f>
        <v/>
      </c>
      <c r="C2344" s="40" t="n"/>
      <c r="D2344" s="41" t="n"/>
      <c r="E2344" s="42" t="n">
        <v>43039.5625</v>
      </c>
      <c r="F2344" s="53" t="inlineStr">
        <is>
          <t>Jonathan Carlin</t>
        </is>
      </c>
      <c r="G2344" t="inlineStr">
        <is>
          <t>BEER MILE</t>
        </is>
      </c>
      <c r="H2344" s="44" t="n">
        <v>0.008402777777777778</v>
      </c>
      <c r="I2344" s="45" t="n">
        <v>55644</v>
      </c>
      <c r="J2344" s="45" t="n">
        <v>2575</v>
      </c>
      <c r="K2344" s="45" t="n">
        <v>365</v>
      </c>
      <c r="L2344" s="46" t="n"/>
      <c r="M2344" s="47" t="n"/>
      <c r="N2344" s="47" t="inlineStr">
        <is>
          <t>UCYPKFe86e6nm4TVUYKLsFUQ</t>
        </is>
      </c>
      <c r="O2344" s="48" t="n">
        <v>43039.72916666666</v>
      </c>
      <c r="P2344" s="49" t="n">
        <v>43039</v>
      </c>
      <c r="Q2344" s="47" t="n">
        <v>924</v>
      </c>
      <c r="R2344" s="47" t="inlineStr">
        <is>
          <t>No Video ID yet</t>
        </is>
      </c>
      <c r="S2344" s="49" t="n"/>
      <c r="T2344" s="49" t="n"/>
      <c r="U2344" s="47" t="inlineStr">
        <is>
          <t>Welcome to the vlog! This weekend was Go Outside Fest in Roanoke - It was awesome, we ran a beer mile, and saw all sorts of amazing things. Enjoy! NEW LENS ::</t>
        </is>
      </c>
      <c r="V2344" s="47">
        <f>IF(AND(P2344&gt;=Calendar!$K$2,P2344&lt;EDATE(Calendar!$K$2,1),OR(Calendar!$K$4="*",N2344=Calendar!$K$4)),P2344*100+COUNTIFS($P$6:$P$3267,P2344,$Q$6:$Q$3267,"&lt;="&amp;Q2344,$N$6:$N$3267,Calendar!$K$4),"")</f>
        <v/>
      </c>
      <c r="W2344" s="47">
        <f>IF(AND(B2344=Queue!$C$4,OR(Queue!$K$4="*",N2344=Queue!$K$4)),Q2344,"")</f>
        <v/>
      </c>
    </row>
    <row r="2345">
      <c r="A2345" s="38">
        <f>IF(M2345="","",HYPERLINK("https://www.youtube.com/watch?v="&amp;M2345,"▶"))</f>
        <v/>
      </c>
      <c r="B2345" s="39">
        <f>IF(C2345&lt;&gt;"",C2345,IF(P2345&lt;=IFERROR(INDEX(tblChannels[Watched Through],MATCH(N2345,tblChannels[Channel ID],0)),0),"Watched","Unwatched"))</f>
        <v/>
      </c>
      <c r="C2345" s="40" t="n"/>
      <c r="D2345" s="41" t="n"/>
      <c r="E2345" s="42" t="n">
        <v>43039.41666666666</v>
      </c>
      <c r="F2345" s="52" t="inlineStr">
        <is>
          <t>Super Carlin Gaming</t>
        </is>
      </c>
      <c r="G2345" t="inlineStr">
        <is>
          <t>Mario Kart Roulette #43: Dating After a Break Up?</t>
        </is>
      </c>
      <c r="H2345" s="44" t="n">
        <v>0.01207175925925926</v>
      </c>
      <c r="I2345" s="45" t="n">
        <v>14938</v>
      </c>
      <c r="J2345" s="45" t="n">
        <v>417</v>
      </c>
      <c r="K2345" s="45" t="n">
        <v>120</v>
      </c>
      <c r="L2345" s="46" t="n"/>
      <c r="M2345" s="47" t="n"/>
      <c r="N2345" s="47" t="inlineStr">
        <is>
          <t>UCor_9jRnNNZVzTuQ92PKsaQ</t>
        </is>
      </c>
      <c r="O2345" s="48" t="n">
        <v>43039.58333333334</v>
      </c>
      <c r="P2345" s="49" t="n">
        <v>43039</v>
      </c>
      <c r="Q2345" s="47" t="n">
        <v>923</v>
      </c>
      <c r="R2345" s="47" t="inlineStr">
        <is>
          <t>No Video ID yet</t>
        </is>
      </c>
      <c r="S2345" s="49" t="n"/>
      <c r="T2345" s="49" t="n"/>
      <c r="U2345" s="47" t="inlineStr">
        <is>
          <t>Here we go! It's the Special Cup! Last time, we only got a slow-clap, this time we MUST DO BETTER! Also, how do you get back into dating after a break up?</t>
        </is>
      </c>
      <c r="V2345" s="47">
        <f>IF(AND(P2345&gt;=Calendar!$K$2,P2345&lt;EDATE(Calendar!$K$2,1),OR(Calendar!$K$4="*",N2345=Calendar!$K$4)),P2345*100+COUNTIFS($P$6:$P$3267,P2345,$Q$6:$Q$3267,"&lt;="&amp;Q2345,$N$6:$N$3267,Calendar!$K$4),"")</f>
        <v/>
      </c>
      <c r="W2345" s="47">
        <f>IF(AND(B2345=Queue!$C$4,OR(Queue!$K$4="*",N2345=Queue!$K$4)),Q2345,"")</f>
        <v/>
      </c>
    </row>
    <row r="2346">
      <c r="A2346" s="38">
        <f>IF(M2346="","",HYPERLINK("https://www.youtube.com/watch?v="&amp;M2346,"▶"))</f>
        <v/>
      </c>
      <c r="B2346" s="39">
        <f>IF(C2346&lt;&gt;"",C2346,IF(P2346&lt;=IFERROR(INDEX(tblChannels[Watched Through],MATCH(N2346,tblChannels[Channel ID],0)),0),"Watched","Unwatched"))</f>
        <v/>
      </c>
      <c r="C2346" s="40" t="n"/>
      <c r="D2346" s="41" t="n"/>
      <c r="E2346" s="42" t="n">
        <v>43038.43819444445</v>
      </c>
      <c r="F2346" s="52" t="inlineStr">
        <is>
          <t>Super Carlin Gaming</t>
        </is>
      </c>
      <c r="G2346" t="inlineStr">
        <is>
          <t>Pokemon Black Nuzlocke #1: Tepig, Oshawott, or Snivy?</t>
        </is>
      </c>
      <c r="H2346" s="44" t="n">
        <v>0.01232638888888889</v>
      </c>
      <c r="I2346" s="45" t="n">
        <v>119978</v>
      </c>
      <c r="J2346" s="45" t="n">
        <v>2415</v>
      </c>
      <c r="K2346" s="45" t="n">
        <v>1391</v>
      </c>
      <c r="L2346" s="46" t="n"/>
      <c r="M2346" s="47" t="n"/>
      <c r="N2346" s="47" t="inlineStr">
        <is>
          <t>UCor_9jRnNNZVzTuQ92PKsaQ</t>
        </is>
      </c>
      <c r="O2346" s="48" t="n">
        <v>43038.60486111111</v>
      </c>
      <c r="P2346" s="49" t="n">
        <v>43038</v>
      </c>
      <c r="Q2346" s="47" t="n">
        <v>922</v>
      </c>
      <c r="R2346" s="47" t="inlineStr">
        <is>
          <t>No Video ID yet</t>
        </is>
      </c>
      <c r="S2346" s="49" t="n"/>
      <c r="T2346" s="49" t="n"/>
      <c r="U2346" s="47" t="inlineStr">
        <is>
          <t>Welcome to another Nuzlocke journey, this time through Pokemon Black and the Unova region - today we choose a starter and begin our adventure, who should it be? Tepig? Oshawott? Snivy?</t>
        </is>
      </c>
      <c r="V2346" s="47">
        <f>IF(AND(P2346&gt;=Calendar!$K$2,P2346&lt;EDATE(Calendar!$K$2,1),OR(Calendar!$K$4="*",N2346=Calendar!$K$4)),P2346*100+COUNTIFS($P$6:$P$3267,P2346,$Q$6:$Q$3267,"&lt;="&amp;Q2346,$N$6:$N$3267,Calendar!$K$4),"")</f>
        <v/>
      </c>
      <c r="W2346" s="47">
        <f>IF(AND(B2346=Queue!$C$4,OR(Queue!$K$4="*",N2346=Queue!$K$4)),Q2346,"")</f>
        <v/>
      </c>
    </row>
    <row r="2347">
      <c r="A2347" s="38">
        <f>IF(M2347="","",HYPERLINK("https://www.youtube.com/watch?v="&amp;M2347,"▶"))</f>
        <v/>
      </c>
      <c r="B2347" s="39">
        <f>IF(C2347&lt;&gt;"",C2347,IF(P2347&lt;=IFERROR(INDEX(tblChannels[Watched Through],MATCH(N2347,tblChannels[Channel ID],0)),0),"Watched","Unwatched"))</f>
        <v/>
      </c>
      <c r="C2347" s="40" t="n"/>
      <c r="D2347" s="41" t="n"/>
      <c r="E2347" s="42" t="n">
        <v>43034.58333333334</v>
      </c>
      <c r="F2347" s="50" t="inlineStr">
        <is>
          <t>Super Carlin Brothers</t>
        </is>
      </c>
      <c r="G2347" t="inlineStr">
        <is>
          <t>J and Ben vs. DARTH VADER - Star Wars: Jedi Challenges Hands-On!!</t>
        </is>
      </c>
      <c r="H2347" s="44" t="n">
        <v>0.004502314814814815</v>
      </c>
      <c r="I2347" s="45" t="n">
        <v>184688</v>
      </c>
      <c r="J2347" s="45" t="n">
        <v>6346</v>
      </c>
      <c r="K2347" s="45" t="n">
        <v>435</v>
      </c>
      <c r="L2347" s="46" t="n"/>
      <c r="M2347" s="47" t="n"/>
      <c r="N2347" s="47" t="inlineStr">
        <is>
          <t>UCKZo4N0lVPccBkSiuyVh4yg</t>
        </is>
      </c>
      <c r="O2347" s="48" t="n">
        <v>43034.75</v>
      </c>
      <c r="P2347" s="49" t="n">
        <v>43034</v>
      </c>
      <c r="Q2347" s="47" t="n">
        <v>921</v>
      </c>
      <c r="R2347" s="47" t="inlineStr">
        <is>
          <t>No Video ID yet</t>
        </is>
      </c>
      <c r="S2347" s="49" t="n"/>
      <c r="T2347" s="49" t="n"/>
      <c r="U2347" s="47" t="inlineStr">
        <is>
          <t>Find out more about Star Wars™: Jedi Challenges! For availability outside the US, check out www.jedichallenges.com to learn more. Thanks to Lenovo for this paid partnership! #Ad #AwakenYourInnerJedi #JediChallenges Check out the other Star Wars™: Jedi Challenges videos at Today J and Ben train to be Jedi, fight Darth Vader with actual lightsabers and get a full behind the scenes look at Star Wars: Jedi Challenges!</t>
        </is>
      </c>
      <c r="V2347" s="47">
        <f>IF(AND(P2347&gt;=Calendar!$K$2,P2347&lt;EDATE(Calendar!$K$2,1),OR(Calendar!$K$4="*",N2347=Calendar!$K$4)),P2347*100+COUNTIFS($P$6:$P$3267,P2347,$Q$6:$Q$3267,"&lt;="&amp;Q2347,$N$6:$N$3267,Calendar!$K$4),"")</f>
        <v/>
      </c>
      <c r="W2347" s="47">
        <f>IF(AND(B2347=Queue!$C$4,OR(Queue!$K$4="*",N2347=Queue!$K$4)),Q2347,"")</f>
        <v/>
      </c>
    </row>
    <row r="2348">
      <c r="A2348" s="38">
        <f>IF(M2348="","",HYPERLINK("https://www.youtube.com/watch?v="&amp;M2348,"▶"))</f>
        <v/>
      </c>
      <c r="B2348" s="39">
        <f>IF(C2348&lt;&gt;"",C2348,IF(P2348&lt;=IFERROR(INDEX(tblChannels[Watched Through],MATCH(N2348,tblChannels[Channel ID],0)),0),"Watched","Unwatched"))</f>
        <v/>
      </c>
      <c r="C2348" s="40" t="n"/>
      <c r="D2348" s="41" t="n"/>
      <c r="E2348" s="42" t="n">
        <v>43034.57222222222</v>
      </c>
      <c r="F2348" s="52" t="inlineStr">
        <is>
          <t>Super Carlin Gaming</t>
        </is>
      </c>
      <c r="G2348" t="inlineStr">
        <is>
          <t>Mario Kart Roulette #42: Would You Rather #2! (Featuring Seamus Gorman)</t>
        </is>
      </c>
      <c r="H2348" s="44" t="n">
        <v>0.01190972222222222</v>
      </c>
      <c r="I2348" s="45" t="n">
        <v>16994</v>
      </c>
      <c r="J2348" s="45" t="n">
        <v>495</v>
      </c>
      <c r="K2348" s="45" t="n">
        <v>65</v>
      </c>
      <c r="L2348" s="46" t="n"/>
      <c r="M2348" s="47" t="n"/>
      <c r="N2348" s="47" t="inlineStr">
        <is>
          <t>UCor_9jRnNNZVzTuQ92PKsaQ</t>
        </is>
      </c>
      <c r="O2348" s="48" t="n">
        <v>43034.73888888889</v>
      </c>
      <c r="P2348" s="49" t="n">
        <v>43034</v>
      </c>
      <c r="Q2348" s="47" t="n">
        <v>920</v>
      </c>
      <c r="R2348" s="47" t="inlineStr">
        <is>
          <t>No Video ID yet</t>
        </is>
      </c>
      <c r="S2348" s="49" t="n"/>
      <c r="T2348" s="49" t="n"/>
      <c r="U2348" s="47" t="inlineStr">
        <is>
          <t>Just like last time, we asked our Patreon Discord server if they had any good "Would You Rather"s and they did not disappoint - we (try)answer them while trying to steal the shine! Check out Seamus on YouTube:</t>
        </is>
      </c>
      <c r="V2348" s="47">
        <f>IF(AND(P2348&gt;=Calendar!$K$2,P2348&lt;EDATE(Calendar!$K$2,1),OR(Calendar!$K$4="*",N2348=Calendar!$K$4)),P2348*100+COUNTIFS($P$6:$P$3267,P2348,$Q$6:$Q$3267,"&lt;="&amp;Q2348,$N$6:$N$3267,Calendar!$K$4),"")</f>
        <v/>
      </c>
      <c r="W2348" s="47">
        <f>IF(AND(B2348=Queue!$C$4,OR(Queue!$K$4="*",N2348=Queue!$K$4)),Q2348,"")</f>
        <v/>
      </c>
    </row>
    <row r="2349">
      <c r="A2349" s="38">
        <f>IF(M2349="","",HYPERLINK("https://www.youtube.com/watch?v="&amp;M2349,"▶"))</f>
        <v/>
      </c>
      <c r="B2349" s="39">
        <f>IF(C2349&lt;&gt;"",C2349,IF(P2349&lt;=IFERROR(INDEX(tblChannels[Watched Through],MATCH(N2349,tblChannels[Channel ID],0)),0),"Watched","Unwatched"))</f>
        <v/>
      </c>
      <c r="C2349" s="40" t="n"/>
      <c r="D2349" s="41" t="n"/>
      <c r="E2349" s="42" t="n">
        <v>43032.71319444444</v>
      </c>
      <c r="F2349" s="50" t="inlineStr">
        <is>
          <t>Super Carlin Brothers</t>
        </is>
      </c>
      <c r="G2349" t="inlineStr">
        <is>
          <t>Stranger Things Theory: Eleven Is Jean Grey</t>
        </is>
      </c>
      <c r="H2349" s="44" t="n">
        <v>0.006689814814814815</v>
      </c>
      <c r="I2349" s="45" t="n">
        <v>345463</v>
      </c>
      <c r="J2349" s="45" t="n">
        <v>11245</v>
      </c>
      <c r="K2349" s="45" t="n">
        <v>1713</v>
      </c>
      <c r="L2349" s="46" t="n"/>
      <c r="M2349" s="47" t="n"/>
      <c r="N2349" s="47" t="inlineStr">
        <is>
          <t>UCKZo4N0lVPccBkSiuyVh4yg</t>
        </is>
      </c>
      <c r="O2349" s="48" t="n">
        <v>43032.87986111111</v>
      </c>
      <c r="P2349" s="49" t="n">
        <v>43032</v>
      </c>
      <c r="Q2349" s="47" t="n">
        <v>919</v>
      </c>
      <c r="R2349" s="47" t="inlineStr">
        <is>
          <t>No Video ID yet</t>
        </is>
      </c>
      <c r="S2349" s="49" t="n"/>
      <c r="T2349" s="49" t="n"/>
      <c r="U2349" s="47" t="inlineStr">
        <is>
          <t>Today J dives into the Upside Down of Netflix’s Stranger Things to discuss how Eleven is influenced by the X-Men Jean Grey and what that means for her and season 2!</t>
        </is>
      </c>
      <c r="V2349" s="47">
        <f>IF(AND(P2349&gt;=Calendar!$K$2,P2349&lt;EDATE(Calendar!$K$2,1),OR(Calendar!$K$4="*",N2349=Calendar!$K$4)),P2349*100+COUNTIFS($P$6:$P$3267,P2349,$Q$6:$Q$3267,"&lt;="&amp;Q2349,$N$6:$N$3267,Calendar!$K$4),"")</f>
        <v/>
      </c>
      <c r="W2349" s="47">
        <f>IF(AND(B2349=Queue!$C$4,OR(Queue!$K$4="*",N2349=Queue!$K$4)),Q2349,"")</f>
        <v/>
      </c>
    </row>
    <row r="2350">
      <c r="A2350" s="38">
        <f>IF(M2350="","",HYPERLINK("https://www.youtube.com/watch?v="&amp;M2350,"▶"))</f>
        <v/>
      </c>
      <c r="B2350" s="39">
        <f>IF(C2350&lt;&gt;"",C2350,IF(P2350&lt;=IFERROR(INDEX(tblChannels[Watched Through],MATCH(N2350,tblChannels[Channel ID],0)),0),"Watched","Unwatched"))</f>
        <v/>
      </c>
      <c r="C2350" s="40" t="n"/>
      <c r="D2350" s="41" t="n"/>
      <c r="E2350" s="42" t="n">
        <v>43032.63472222222</v>
      </c>
      <c r="F2350" s="52" t="inlineStr">
        <is>
          <t>Super Carlin Gaming</t>
        </is>
      </c>
      <c r="G2350" t="inlineStr">
        <is>
          <t>Mario Kart Roulette #41: Would You Rather #1! (Featuring Seamus Gorman)</t>
        </is>
      </c>
      <c r="H2350" s="44" t="n">
        <v>0.01408564814814815</v>
      </c>
      <c r="I2350" s="45" t="n">
        <v>23521</v>
      </c>
      <c r="J2350" s="45" t="n">
        <v>622</v>
      </c>
      <c r="K2350" s="45" t="n">
        <v>88</v>
      </c>
      <c r="L2350" s="46" t="n"/>
      <c r="M2350" s="47" t="n"/>
      <c r="N2350" s="47" t="inlineStr">
        <is>
          <t>UCor_9jRnNNZVzTuQ92PKsaQ</t>
        </is>
      </c>
      <c r="O2350" s="48" t="n">
        <v>43032.80138888889</v>
      </c>
      <c r="P2350" s="49" t="n">
        <v>43032</v>
      </c>
      <c r="Q2350" s="47" t="n">
        <v>918</v>
      </c>
      <c r="R2350" s="47" t="inlineStr">
        <is>
          <t>No Video ID yet</t>
        </is>
      </c>
      <c r="S2350" s="49" t="n"/>
      <c r="T2350" s="49" t="n"/>
      <c r="U2350" s="47" t="inlineStr">
        <is>
          <t>We asked our Patreon Discord server if they had any good "Would You Rather"s and they did not disappoint - we answer them while trying to steal the shine! Check out Seamus on YouTube:</t>
        </is>
      </c>
      <c r="V2350" s="47">
        <f>IF(AND(P2350&gt;=Calendar!$K$2,P2350&lt;EDATE(Calendar!$K$2,1),OR(Calendar!$K$4="*",N2350=Calendar!$K$4)),P2350*100+COUNTIFS($P$6:$P$3267,P2350,$Q$6:$Q$3267,"&lt;="&amp;Q2350,$N$6:$N$3267,Calendar!$K$4),"")</f>
        <v/>
      </c>
      <c r="W2350" s="47">
        <f>IF(AND(B2350=Queue!$C$4,OR(Queue!$K$4="*",N2350=Queue!$K$4)),Q2350,"")</f>
        <v/>
      </c>
    </row>
    <row r="2351">
      <c r="A2351" s="38">
        <f>IF(M2351="","",HYPERLINK("https://www.youtube.com/watch?v="&amp;M2351,"▶"))</f>
        <v/>
      </c>
      <c r="B2351" s="39">
        <f>IF(C2351&lt;&gt;"",C2351,IF(P2351&lt;=IFERROR(INDEX(tblChannels[Watched Through],MATCH(N2351,tblChannels[Channel ID],0)),0),"Watched","Unwatched"))</f>
        <v/>
      </c>
      <c r="C2351" s="40" t="n"/>
      <c r="D2351" s="41" t="n"/>
      <c r="E2351" s="42" t="n">
        <v>43027.78958333333</v>
      </c>
      <c r="F2351" s="50" t="inlineStr">
        <is>
          <t>Super Carlin Brothers</t>
        </is>
      </c>
      <c r="G2351" t="inlineStr">
        <is>
          <t>Harry Potter Theory: How The Sorcerer's Stone Was Made (ft. Seamus Gorman)</t>
        </is>
      </c>
      <c r="H2351" s="44" t="n">
        <v>0.006180555555555555</v>
      </c>
      <c r="I2351" s="45" t="n">
        <v>994725</v>
      </c>
      <c r="J2351" s="45" t="n">
        <v>27423</v>
      </c>
      <c r="K2351" s="45" t="n">
        <v>4519</v>
      </c>
      <c r="L2351" s="46" t="n"/>
      <c r="M2351" s="47" t="n"/>
      <c r="N2351" s="47" t="inlineStr">
        <is>
          <t>UCKZo4N0lVPccBkSiuyVh4yg</t>
        </is>
      </c>
      <c r="O2351" s="48" t="n">
        <v>43027.95625</v>
      </c>
      <c r="P2351" s="49" t="n">
        <v>43027</v>
      </c>
      <c r="Q2351" s="47" t="n">
        <v>917</v>
      </c>
      <c r="R2351" s="47" t="inlineStr">
        <is>
          <t>No Video ID yet</t>
        </is>
      </c>
      <c r="S2351" s="49" t="n"/>
      <c r="T2351" s="49" t="n"/>
      <c r="U2351" s="47" t="inlineStr">
        <is>
          <t>Fantastic Beasts recently released a photo of a locked suitcase bearing the initials NF for Nicolas Flamel - Today Ben and Seamus distance plunge into the Wizarding World of Harry Potter to determine what how his appearance in the film may uncover the secrets of how he created the Sorcerer's stone.. And why Durmstrang is so bad at the Tri-Wizard Tournament?</t>
        </is>
      </c>
      <c r="V2351" s="47">
        <f>IF(AND(P2351&gt;=Calendar!$K$2,P2351&lt;EDATE(Calendar!$K$2,1),OR(Calendar!$K$4="*",N2351=Calendar!$K$4)),P2351*100+COUNTIFS($P$6:$P$3267,P2351,$Q$6:$Q$3267,"&lt;="&amp;Q2351,$N$6:$N$3267,Calendar!$K$4),"")</f>
        <v/>
      </c>
      <c r="W2351" s="47">
        <f>IF(AND(B2351=Queue!$C$4,OR(Queue!$K$4="*",N2351=Queue!$K$4)),Q2351,"")</f>
        <v/>
      </c>
    </row>
    <row r="2352">
      <c r="A2352" s="38">
        <f>IF(M2352="","",HYPERLINK("https://www.youtube.com/watch?v="&amp;M2352,"▶"))</f>
        <v/>
      </c>
      <c r="B2352" s="39">
        <f>IF(C2352&lt;&gt;"",C2352,IF(P2352&lt;=IFERROR(INDEX(tblChannels[Watched Through],MATCH(N2352,tblChannels[Channel ID],0)),0),"Watched","Unwatched"))</f>
        <v/>
      </c>
      <c r="C2352" s="40" t="n"/>
      <c r="D2352" s="41" t="n"/>
      <c r="E2352" s="42" t="n">
        <v>43027.42708333334</v>
      </c>
      <c r="F2352" s="52" t="inlineStr">
        <is>
          <t>Super Carlin Gaming</t>
        </is>
      </c>
      <c r="G2352" t="inlineStr">
        <is>
          <t>Mario Kart Roulette #40: BATTLE EDITION #2! (Featuring Seamus Gorman)</t>
        </is>
      </c>
      <c r="H2352" s="44" t="n">
        <v>0.01097222222222222</v>
      </c>
      <c r="I2352" s="45" t="n">
        <v>19626</v>
      </c>
      <c r="J2352" s="45" t="n">
        <v>620</v>
      </c>
      <c r="K2352" s="45" t="n">
        <v>114</v>
      </c>
      <c r="L2352" s="46" t="n"/>
      <c r="M2352" s="47" t="n"/>
      <c r="N2352" s="47" t="inlineStr">
        <is>
          <t>UCor_9jRnNNZVzTuQ92PKsaQ</t>
        </is>
      </c>
      <c r="O2352" s="48" t="n">
        <v>43027.59375</v>
      </c>
      <c r="P2352" s="49" t="n">
        <v>43027</v>
      </c>
      <c r="Q2352" s="47" t="n">
        <v>916</v>
      </c>
      <c r="R2352" s="47" t="inlineStr">
        <is>
          <t>No Video ID yet</t>
        </is>
      </c>
      <c r="S2352" s="49" t="n"/>
      <c r="T2352" s="49" t="n"/>
      <c r="U2352" s="47" t="inlineStr">
        <is>
          <t>Seamus is with us again for this week's Mario Kart Roulette, with another Battle! Let's see if he does better this time! Check out Seamus on YouTube:</t>
        </is>
      </c>
      <c r="V2352" s="47">
        <f>IF(AND(P2352&gt;=Calendar!$K$2,P2352&lt;EDATE(Calendar!$K$2,1),OR(Calendar!$K$4="*",N2352=Calendar!$K$4)),P2352*100+COUNTIFS($P$6:$P$3267,P2352,$Q$6:$Q$3267,"&lt;="&amp;Q2352,$N$6:$N$3267,Calendar!$K$4),"")</f>
        <v/>
      </c>
      <c r="W2352" s="47">
        <f>IF(AND(B2352=Queue!$C$4,OR(Queue!$K$4="*",N2352=Queue!$K$4)),Q2352,"")</f>
        <v/>
      </c>
    </row>
    <row r="2353">
      <c r="A2353" s="38">
        <f>IF(M2353="","",HYPERLINK("https://www.youtube.com/watch?v="&amp;M2353,"▶"))</f>
        <v/>
      </c>
      <c r="B2353" s="39">
        <f>IF(C2353&lt;&gt;"",C2353,IF(P2353&lt;=IFERROR(INDEX(tblChannels[Watched Through],MATCH(N2353,tblChannels[Channel ID],0)),0),"Watched","Unwatched"))</f>
        <v/>
      </c>
      <c r="C2353" s="40" t="n"/>
      <c r="D2353" s="41" t="n"/>
      <c r="E2353" s="42" t="n">
        <v>43025.83611111111</v>
      </c>
      <c r="F2353" s="50" t="inlineStr">
        <is>
          <t>Super Carlin Brothers</t>
        </is>
      </c>
      <c r="G2353" t="inlineStr">
        <is>
          <t>Harry Potter Theory: Hufflepuff's Cup And Slytherin's Locket (ft. Seamus Gorman)</t>
        </is>
      </c>
      <c r="H2353" s="44" t="n">
        <v>0.006851851851851852</v>
      </c>
      <c r="I2353" s="45" t="n">
        <v>1234440</v>
      </c>
      <c r="J2353" s="45" t="n">
        <v>33713</v>
      </c>
      <c r="K2353" s="45" t="n">
        <v>4697</v>
      </c>
      <c r="L2353" s="46" t="n"/>
      <c r="M2353" s="47" t="n"/>
      <c r="N2353" s="47" t="inlineStr">
        <is>
          <t>UCKZo4N0lVPccBkSiuyVh4yg</t>
        </is>
      </c>
      <c r="O2353" s="48" t="n">
        <v>43026.00277777778</v>
      </c>
      <c r="P2353" s="49" t="n">
        <v>43025</v>
      </c>
      <c r="Q2353" s="47" t="n">
        <v>915</v>
      </c>
      <c r="R2353" s="47" t="inlineStr">
        <is>
          <t>No Video ID yet</t>
        </is>
      </c>
      <c r="S2353" s="49" t="n"/>
      <c r="T2353" s="49" t="n"/>
      <c r="U2353" s="47" t="inlineStr">
        <is>
          <t>Seamus Gorman - Today J and Seamus dive into the Wizarding World of Harry Potter to discuss one of the few mysteries that unite Hufflepuffs and Slytherins: What are the hidden powers of Hufflepuff’s Cup and Slytherin’s Locket?</t>
        </is>
      </c>
      <c r="V2353" s="47">
        <f>IF(AND(P2353&gt;=Calendar!$K$2,P2353&lt;EDATE(Calendar!$K$2,1),OR(Calendar!$K$4="*",N2353=Calendar!$K$4)),P2353*100+COUNTIFS($P$6:$P$3267,P2353,$Q$6:$Q$3267,"&lt;="&amp;Q2353,$N$6:$N$3267,Calendar!$K$4),"")</f>
        <v/>
      </c>
      <c r="W2353" s="47">
        <f>IF(AND(B2353=Queue!$C$4,OR(Queue!$K$4="*",N2353=Queue!$K$4)),Q2353,"")</f>
        <v/>
      </c>
    </row>
    <row r="2354">
      <c r="A2354" s="38">
        <f>IF(M2354="","",HYPERLINK("https://www.youtube.com/watch?v="&amp;M2354,"▶"))</f>
        <v/>
      </c>
      <c r="B2354" s="39">
        <f>IF(C2354&lt;&gt;"",C2354,IF(P2354&lt;=IFERROR(INDEX(tblChannels[Watched Through],MATCH(N2354,tblChannels[Channel ID],0)),0),"Watched","Unwatched"))</f>
        <v/>
      </c>
      <c r="C2354" s="40" t="n"/>
      <c r="D2354" s="41" t="n"/>
      <c r="E2354" s="42" t="n">
        <v>43025.59652777778</v>
      </c>
      <c r="F2354" s="52" t="inlineStr">
        <is>
          <t>Super Carlin Gaming</t>
        </is>
      </c>
      <c r="G2354" t="inlineStr">
        <is>
          <t>Mario Kart Roulette #39: BATTLE EDITION Featuring Seamus Gorman!</t>
        </is>
      </c>
      <c r="H2354" s="44" t="n">
        <v>0.01265046296296296</v>
      </c>
      <c r="I2354" s="45" t="n">
        <v>32778</v>
      </c>
      <c r="J2354" s="45" t="n">
        <v>1012</v>
      </c>
      <c r="K2354" s="45" t="n">
        <v>163</v>
      </c>
      <c r="L2354" s="46" t="n"/>
      <c r="M2354" s="47" t="n"/>
      <c r="N2354" s="47" t="inlineStr">
        <is>
          <t>UCor_9jRnNNZVzTuQ92PKsaQ</t>
        </is>
      </c>
      <c r="O2354" s="48" t="n">
        <v>43025.76319444444</v>
      </c>
      <c r="P2354" s="49" t="n">
        <v>43025</v>
      </c>
      <c r="Q2354" s="47" t="n">
        <v>914</v>
      </c>
      <c r="R2354" s="47" t="inlineStr">
        <is>
          <t>No Video ID yet</t>
        </is>
      </c>
      <c r="S2354" s="49" t="n"/>
      <c r="T2354" s="49" t="n"/>
      <c r="U2354" s="47" t="inlineStr">
        <is>
          <t>"Ben's Best Hits!" We have a special visitor and we needed to break him into Shine Thief! Check out Seamus on YouTube:</t>
        </is>
      </c>
      <c r="V2354" s="47">
        <f>IF(AND(P2354&gt;=Calendar!$K$2,P2354&lt;EDATE(Calendar!$K$2,1),OR(Calendar!$K$4="*",N2354=Calendar!$K$4)),P2354*100+COUNTIFS($P$6:$P$3267,P2354,$Q$6:$Q$3267,"&lt;="&amp;Q2354,$N$6:$N$3267,Calendar!$K$4),"")</f>
        <v/>
      </c>
      <c r="W2354" s="47">
        <f>IF(AND(B2354=Queue!$C$4,OR(Queue!$K$4="*",N2354=Queue!$K$4)),Q2354,"")</f>
        <v/>
      </c>
    </row>
    <row r="2355">
      <c r="A2355" s="38">
        <f>IF(M2355="","",HYPERLINK("https://www.youtube.com/watch?v="&amp;M2355,"▶"))</f>
        <v/>
      </c>
      <c r="B2355" s="39">
        <f>IF(C2355&lt;&gt;"",C2355,IF(P2355&lt;=IFERROR(INDEX(tblChannels[Watched Through],MATCH(N2355,tblChannels[Channel ID],0)),0),"Watched","Unwatched"))</f>
        <v/>
      </c>
      <c r="C2355" s="40" t="n"/>
      <c r="D2355" s="41" t="n"/>
      <c r="E2355" s="42" t="n">
        <v>43020.8625</v>
      </c>
      <c r="F2355" s="50" t="inlineStr">
        <is>
          <t>Super Carlin Brothers</t>
        </is>
      </c>
      <c r="G2355" t="inlineStr">
        <is>
          <t>Star Wars: Will Rey Join Kylo Ren?</t>
        </is>
      </c>
      <c r="H2355" s="44" t="n">
        <v>0.007939814814814814</v>
      </c>
      <c r="I2355" s="45" t="n">
        <v>255007</v>
      </c>
      <c r="J2355" s="45" t="n">
        <v>9814</v>
      </c>
      <c r="K2355" s="45" t="n">
        <v>1306</v>
      </c>
      <c r="L2355" s="46" t="n"/>
      <c r="M2355" s="47" t="n"/>
      <c r="N2355" s="47" t="inlineStr">
        <is>
          <t>UCKZo4N0lVPccBkSiuyVh4yg</t>
        </is>
      </c>
      <c r="O2355" s="48" t="n">
        <v>43021.02916666667</v>
      </c>
      <c r="P2355" s="49" t="n">
        <v>43020</v>
      </c>
      <c r="Q2355" s="47" t="n">
        <v>913</v>
      </c>
      <c r="R2355" s="47" t="inlineStr">
        <is>
          <t>No Video ID yet</t>
        </is>
      </c>
      <c r="S2355" s="49" t="n"/>
      <c r="T2355" s="49" t="n"/>
      <c r="U2355" s="47" t="inlineStr">
        <is>
          <t>Watch the full trailer here :: Star Wars The Last Jedi just released its first full length trailer and there is a LOT to unpack. Today J jumps into the Star Wars galaxy to give his full in depth review, analysis and predictions about the latest installment to the Star Wars universe.</t>
        </is>
      </c>
      <c r="V2355" s="47">
        <f>IF(AND(P2355&gt;=Calendar!$K$2,P2355&lt;EDATE(Calendar!$K$2,1),OR(Calendar!$K$4="*",N2355=Calendar!$K$4)),P2355*100+COUNTIFS($P$6:$P$3267,P2355,$Q$6:$Q$3267,"&lt;="&amp;Q2355,$N$6:$N$3267,Calendar!$K$4),"")</f>
        <v/>
      </c>
      <c r="W2355" s="47">
        <f>IF(AND(B2355=Queue!$C$4,OR(Queue!$K$4="*",N2355=Queue!$K$4)),Q2355,"")</f>
        <v/>
      </c>
    </row>
    <row r="2356">
      <c r="A2356" s="38">
        <f>IF(M2356="","",HYPERLINK("https://www.youtube.com/watch?v="&amp;M2356,"▶"))</f>
        <v/>
      </c>
      <c r="B2356" s="39">
        <f>IF(C2356&lt;&gt;"",C2356,IF(P2356&lt;=IFERROR(INDEX(tblChannels[Watched Through],MATCH(N2356,tblChannels[Channel ID],0)),0),"Watched","Unwatched"))</f>
        <v/>
      </c>
      <c r="C2356" s="40" t="n"/>
      <c r="D2356" s="41" t="n"/>
      <c r="E2356" s="42" t="n">
        <v>43020.43333333333</v>
      </c>
      <c r="F2356" s="52" t="inlineStr">
        <is>
          <t>Super Carlin Gaming</t>
        </is>
      </c>
      <c r="G2356" t="inlineStr">
        <is>
          <t>Mario Kart Roulette #38: How to Start on Youtube!</t>
        </is>
      </c>
      <c r="H2356" s="44" t="n">
        <v>0.01016203703703704</v>
      </c>
      <c r="I2356" s="45" t="n">
        <v>11547</v>
      </c>
      <c r="J2356" s="45" t="n">
        <v>433</v>
      </c>
      <c r="K2356" s="45" t="n">
        <v>113</v>
      </c>
      <c r="L2356" s="46" t="n"/>
      <c r="M2356" s="47" t="n"/>
      <c r="N2356" s="47" t="inlineStr">
        <is>
          <t>UCor_9jRnNNZVzTuQ92PKsaQ</t>
        </is>
      </c>
      <c r="O2356" s="48" t="n">
        <v>43020.6</v>
      </c>
      <c r="P2356" s="49" t="n">
        <v>43020</v>
      </c>
      <c r="Q2356" s="47" t="n">
        <v>912</v>
      </c>
      <c r="R2356" s="47" t="inlineStr">
        <is>
          <t>No Video ID yet</t>
        </is>
      </c>
      <c r="S2356" s="49" t="n"/>
      <c r="T2356" s="49" t="n"/>
      <c r="U2356" s="47" t="inlineStr">
        <is>
          <t>The second go at the 200cc Star Cup!</t>
        </is>
      </c>
      <c r="V2356" s="47">
        <f>IF(AND(P2356&gt;=Calendar!$K$2,P2356&lt;EDATE(Calendar!$K$2,1),OR(Calendar!$K$4="*",N2356=Calendar!$K$4)),P2356*100+COUNTIFS($P$6:$P$3267,P2356,$Q$6:$Q$3267,"&lt;="&amp;Q2356,$N$6:$N$3267,Calendar!$K$4),"")</f>
        <v/>
      </c>
      <c r="W2356" s="47">
        <f>IF(AND(B2356=Queue!$C$4,OR(Queue!$K$4="*",N2356=Queue!$K$4)),Q2356,"")</f>
        <v/>
      </c>
    </row>
    <row r="2357">
      <c r="A2357" s="38">
        <f>IF(M2357="","",HYPERLINK("https://www.youtube.com/watch?v="&amp;M2357,"▶"))</f>
        <v/>
      </c>
      <c r="B2357" s="39">
        <f>IF(C2357&lt;&gt;"",C2357,IF(P2357&lt;=IFERROR(INDEX(tblChannels[Watched Through],MATCH(N2357,tblChannels[Channel ID],0)),0),"Watched","Unwatched"))</f>
        <v/>
      </c>
      <c r="C2357" s="40" t="n"/>
      <c r="D2357" s="41" t="n"/>
      <c r="E2357" s="42" t="n">
        <v>43018.76319444444</v>
      </c>
      <c r="F2357" s="50" t="inlineStr">
        <is>
          <t>Super Carlin Brothers</t>
        </is>
      </c>
      <c r="G2357" t="inlineStr">
        <is>
          <t>Top 10 Reasons LAVA Is The Best Pixar Short</t>
        </is>
      </c>
      <c r="H2357" s="44" t="n">
        <v>0.00775462962962963</v>
      </c>
      <c r="I2357" s="45" t="n">
        <v>796673</v>
      </c>
      <c r="J2357" s="45" t="n">
        <v>16619</v>
      </c>
      <c r="K2357" s="45" t="n">
        <v>2258</v>
      </c>
      <c r="L2357" s="46" t="n"/>
      <c r="M2357" s="47" t="n"/>
      <c r="N2357" s="47" t="inlineStr">
        <is>
          <t>UCKZo4N0lVPccBkSiuyVh4yg</t>
        </is>
      </c>
      <c r="O2357" s="48" t="n">
        <v>43018.92986111111</v>
      </c>
      <c r="P2357" s="49" t="n">
        <v>43018</v>
      </c>
      <c r="Q2357" s="47" t="n">
        <v>911</v>
      </c>
      <c r="R2357" s="47" t="inlineStr">
        <is>
          <t>No Video ID yet</t>
        </is>
      </c>
      <c r="S2357" s="49" t="n"/>
      <c r="T2357" s="49" t="n"/>
      <c r="U2357" s="47" t="inlineStr">
        <is>
          <t>After weeks of polling you guys have helped vote for and determine the Best Pixar Short: LAVA. Today J runs down the Top 10 reasons why Lava is in fact the best Pixar Short.</t>
        </is>
      </c>
      <c r="V2357" s="47">
        <f>IF(AND(P2357&gt;=Calendar!$K$2,P2357&lt;EDATE(Calendar!$K$2,1),OR(Calendar!$K$4="*",N2357=Calendar!$K$4)),P2357*100+COUNTIFS($P$6:$P$3267,P2357,$Q$6:$Q$3267,"&lt;="&amp;Q2357,$N$6:$N$3267,Calendar!$K$4),"")</f>
        <v/>
      </c>
      <c r="W2357" s="47">
        <f>IF(AND(B2357=Queue!$C$4,OR(Queue!$K$4="*",N2357=Queue!$K$4)),Q2357,"")</f>
        <v/>
      </c>
    </row>
    <row r="2358">
      <c r="A2358" s="38">
        <f>IF(M2358="","",HYPERLINK("https://www.youtube.com/watch?v="&amp;M2358,"▶"))</f>
        <v/>
      </c>
      <c r="B2358" s="39">
        <f>IF(C2358&lt;&gt;"",C2358,IF(P2358&lt;=IFERROR(INDEX(tblChannels[Watched Through],MATCH(N2358,tblChannels[Channel ID],0)),0),"Watched","Unwatched"))</f>
        <v/>
      </c>
      <c r="C2358" s="40" t="n"/>
      <c r="D2358" s="41" t="n"/>
      <c r="E2358" s="42" t="n">
        <v>43018.46111111111</v>
      </c>
      <c r="F2358" s="52" t="inlineStr">
        <is>
          <t>Super Carlin Gaming</t>
        </is>
      </c>
      <c r="G2358" t="inlineStr">
        <is>
          <t>Mario Kart Roulette #37: Advice for Procrastinators!</t>
        </is>
      </c>
      <c r="H2358" s="44" t="n">
        <v>0.01150462962962963</v>
      </c>
      <c r="I2358" s="45" t="n">
        <v>12423</v>
      </c>
      <c r="J2358" s="45" t="n">
        <v>407</v>
      </c>
      <c r="K2358" s="45" t="n">
        <v>144</v>
      </c>
      <c r="L2358" s="46" t="n"/>
      <c r="M2358" s="47" t="n"/>
      <c r="N2358" s="47" t="inlineStr">
        <is>
          <t>UCor_9jRnNNZVzTuQ92PKsaQ</t>
        </is>
      </c>
      <c r="O2358" s="48" t="n">
        <v>43018.62777777778</v>
      </c>
      <c r="P2358" s="49" t="n">
        <v>43018</v>
      </c>
      <c r="Q2358" s="47" t="n">
        <v>910</v>
      </c>
      <c r="R2358" s="47" t="inlineStr">
        <is>
          <t>No Video ID yet</t>
        </is>
      </c>
      <c r="S2358" s="49" t="n"/>
      <c r="T2358" s="49" t="n"/>
      <c r="U2358" s="47" t="inlineStr">
        <is>
          <t>We circle back around to the 200cc Flower cup! Will we get it this time? (please?)</t>
        </is>
      </c>
      <c r="V2358" s="47">
        <f>IF(AND(P2358&gt;=Calendar!$K$2,P2358&lt;EDATE(Calendar!$K$2,1),OR(Calendar!$K$4="*",N2358=Calendar!$K$4)),P2358*100+COUNTIFS($P$6:$P$3267,P2358,$Q$6:$Q$3267,"&lt;="&amp;Q2358,$N$6:$N$3267,Calendar!$K$4),"")</f>
        <v/>
      </c>
      <c r="W2358" s="47">
        <f>IF(AND(B2358=Queue!$C$4,OR(Queue!$K$4="*",N2358=Queue!$K$4)),Q2358,"")</f>
        <v/>
      </c>
    </row>
    <row r="2359">
      <c r="A2359" s="38">
        <f>IF(M2359="","",HYPERLINK("https://www.youtube.com/watch?v="&amp;M2359,"▶"))</f>
        <v/>
      </c>
      <c r="B2359" s="39">
        <f>IF(C2359&lt;&gt;"",C2359,IF(P2359&lt;=IFERROR(INDEX(tblChannels[Watched Through],MATCH(N2359,tblChannels[Channel ID],0)),0),"Watched","Unwatched"))</f>
        <v/>
      </c>
      <c r="C2359" s="40" t="n"/>
      <c r="D2359" s="41" t="n"/>
      <c r="E2359" s="42" t="n">
        <v>43013.75833333333</v>
      </c>
      <c r="F2359" s="50" t="inlineStr">
        <is>
          <t>Super Carlin Brothers</t>
        </is>
      </c>
      <c r="G2359" t="inlineStr">
        <is>
          <t>Frozen Theory: Rapunzel Is Anna &amp; Elsa's Cousin</t>
        </is>
      </c>
      <c r="H2359" s="44" t="n">
        <v>0.005821759259259259</v>
      </c>
      <c r="I2359" s="45" t="n">
        <v>625376</v>
      </c>
      <c r="J2359" s="45" t="n">
        <v>15914</v>
      </c>
      <c r="K2359" s="45" t="n">
        <v>3180</v>
      </c>
      <c r="L2359" s="46" t="n"/>
      <c r="M2359" s="47" t="n"/>
      <c r="N2359" s="47" t="inlineStr">
        <is>
          <t>UCKZo4N0lVPccBkSiuyVh4yg</t>
        </is>
      </c>
      <c r="O2359" s="48" t="n">
        <v>43013.925</v>
      </c>
      <c r="P2359" s="49" t="n">
        <v>43013</v>
      </c>
      <c r="Q2359" s="47" t="n">
        <v>909</v>
      </c>
      <c r="R2359" s="47" t="inlineStr">
        <is>
          <t>No Video ID yet</t>
        </is>
      </c>
      <c r="S2359" s="49" t="n"/>
      <c r="T2359" s="49" t="n"/>
      <c r="U2359" s="47" t="inlineStr">
        <is>
          <t>The idea that Anna, Elsa and Rapunzel are all somehow related has been floating around the internet for awhile, so today Ben dives into the world of Disney’s Frozen and Disney’s Tangled to discover if it’s actually true!</t>
        </is>
      </c>
      <c r="V2359" s="47">
        <f>IF(AND(P2359&gt;=Calendar!$K$2,P2359&lt;EDATE(Calendar!$K$2,1),OR(Calendar!$K$4="*",N2359=Calendar!$K$4)),P2359*100+COUNTIFS($P$6:$P$3267,P2359,$Q$6:$Q$3267,"&lt;="&amp;Q2359,$N$6:$N$3267,Calendar!$K$4),"")</f>
        <v/>
      </c>
      <c r="W2359" s="47">
        <f>IF(AND(B2359=Queue!$C$4,OR(Queue!$K$4="*",N2359=Queue!$K$4)),Q2359,"")</f>
        <v/>
      </c>
    </row>
    <row r="2360">
      <c r="A2360" s="38">
        <f>IF(M2360="","",HYPERLINK("https://www.youtube.com/watch?v="&amp;M2360,"▶"))</f>
        <v/>
      </c>
      <c r="B2360" s="39">
        <f>IF(C2360&lt;&gt;"",C2360,IF(P2360&lt;=IFERROR(INDEX(tblChannels[Watched Through],MATCH(N2360,tblChannels[Channel ID],0)),0),"Watched","Unwatched"))</f>
        <v/>
      </c>
      <c r="C2360" s="40" t="n"/>
      <c r="D2360" s="41" t="n"/>
      <c r="E2360" s="42" t="n">
        <v>43013.45</v>
      </c>
      <c r="F2360" s="52" t="inlineStr">
        <is>
          <t>Super Carlin Gaming</t>
        </is>
      </c>
      <c r="G2360" t="inlineStr">
        <is>
          <t>Mario Kart Roulette #36: Describe Your Brother</t>
        </is>
      </c>
      <c r="H2360" s="44" t="n">
        <v>0.01083333333333333</v>
      </c>
      <c r="I2360" s="45" t="n">
        <v>11732</v>
      </c>
      <c r="J2360" s="45" t="n">
        <v>406</v>
      </c>
      <c r="K2360" s="45" t="n">
        <v>118</v>
      </c>
      <c r="L2360" s="46" t="n"/>
      <c r="M2360" s="47" t="n"/>
      <c r="N2360" s="47" t="inlineStr">
        <is>
          <t>UCor_9jRnNNZVzTuQ92PKsaQ</t>
        </is>
      </c>
      <c r="O2360" s="48" t="n">
        <v>43013.61666666667</v>
      </c>
      <c r="P2360" s="49" t="n">
        <v>43013</v>
      </c>
      <c r="Q2360" s="47" t="n">
        <v>908</v>
      </c>
      <c r="R2360" s="47" t="inlineStr">
        <is>
          <t>No Video ID yet</t>
        </is>
      </c>
      <c r="S2360" s="49" t="n"/>
      <c r="T2360" s="49" t="n"/>
      <c r="U2360" s="47" t="inlineStr">
        <is>
          <t>The Bell Cup! Also, possibly our hardest to answer question yet!</t>
        </is>
      </c>
      <c r="V2360" s="47">
        <f>IF(AND(P2360&gt;=Calendar!$K$2,P2360&lt;EDATE(Calendar!$K$2,1),OR(Calendar!$K$4="*",N2360=Calendar!$K$4)),P2360*100+COUNTIFS($P$6:$P$3267,P2360,$Q$6:$Q$3267,"&lt;="&amp;Q2360,$N$6:$N$3267,Calendar!$K$4),"")</f>
        <v/>
      </c>
      <c r="W2360" s="47">
        <f>IF(AND(B2360=Queue!$C$4,OR(Queue!$K$4="*",N2360=Queue!$K$4)),Q2360,"")</f>
        <v/>
      </c>
    </row>
    <row r="2361">
      <c r="A2361" s="38">
        <f>IF(M2361="","",HYPERLINK("https://www.youtube.com/watch?v="&amp;M2361,"▶"))</f>
        <v/>
      </c>
      <c r="B2361" s="39">
        <f>IF(C2361&lt;&gt;"",C2361,IF(P2361&lt;=IFERROR(INDEX(tblChannels[Watched Through],MATCH(N2361,tblChannels[Channel ID],0)),0),"Watched","Unwatched"))</f>
        <v/>
      </c>
      <c r="C2361" s="40" t="n"/>
      <c r="D2361" s="41" t="n"/>
      <c r="E2361" s="42" t="n">
        <v>43011.73263888889</v>
      </c>
      <c r="F2361" s="50" t="inlineStr">
        <is>
          <t>Super Carlin Brothers</t>
        </is>
      </c>
      <c r="G2361" t="inlineStr">
        <is>
          <t>Robin Williams Was Almost Not Genie?!</t>
        </is>
      </c>
      <c r="H2361" s="44" t="n">
        <v>0.006030092592592593</v>
      </c>
      <c r="I2361" s="45" t="n">
        <v>513534</v>
      </c>
      <c r="J2361" s="45" t="n">
        <v>16158</v>
      </c>
      <c r="K2361" s="45" t="n">
        <v>1362</v>
      </c>
      <c r="L2361" s="46" t="n"/>
      <c r="M2361" s="47" t="n"/>
      <c r="N2361" s="47" t="inlineStr">
        <is>
          <t>UCKZo4N0lVPccBkSiuyVh4yg</t>
        </is>
      </c>
      <c r="O2361" s="48" t="n">
        <v>43011.89930555555</v>
      </c>
      <c r="P2361" s="49" t="n">
        <v>43011</v>
      </c>
      <c r="Q2361" s="47" t="n">
        <v>907</v>
      </c>
      <c r="R2361" s="47" t="inlineStr">
        <is>
          <t>No Video ID yet</t>
        </is>
      </c>
      <c r="S2361" s="49" t="n"/>
      <c r="T2361" s="49" t="n"/>
      <c r="U2361" s="47" t="inlineStr">
        <is>
          <t>Today J jumps into the world of Disney’s Aladdin to discuss how its most iconic character, the Genie, and his voice actor Robin Williams changed the world of animation, voice acting and movie marketing forever. Robin Williams Golden Globes Acceptance :: Special Thanks to these Patrons :: Abi Solk, Zara Caldwell, Cletus McConville, Lasse Buan, Charles C Seymour, Kristhell Lopez, Amy Beerbower</t>
        </is>
      </c>
      <c r="V2361" s="47">
        <f>IF(AND(P2361&gt;=Calendar!$K$2,P2361&lt;EDATE(Calendar!$K$2,1),OR(Calendar!$K$4="*",N2361=Calendar!$K$4)),P2361*100+COUNTIFS($P$6:$P$3267,P2361,$Q$6:$Q$3267,"&lt;="&amp;Q2361,$N$6:$N$3267,Calendar!$K$4),"")</f>
        <v/>
      </c>
      <c r="W2361" s="47">
        <f>IF(AND(B2361=Queue!$C$4,OR(Queue!$K$4="*",N2361=Queue!$K$4)),Q2361,"")</f>
        <v/>
      </c>
    </row>
    <row r="2362">
      <c r="A2362" s="38">
        <f>IF(M2362="","",HYPERLINK("https://www.youtube.com/watch?v="&amp;M2362,"▶"))</f>
        <v/>
      </c>
      <c r="B2362" s="39">
        <f>IF(C2362&lt;&gt;"",C2362,IF(P2362&lt;=IFERROR(INDEX(tblChannels[Watched Through],MATCH(N2362,tblChannels[Channel ID],0)),0),"Watched","Unwatched"))</f>
        <v/>
      </c>
      <c r="C2362" s="40" t="n"/>
      <c r="D2362" s="41" t="n"/>
      <c r="E2362" s="42" t="n">
        <v>43011.43541666667</v>
      </c>
      <c r="F2362" s="52" t="inlineStr">
        <is>
          <t>Super Carlin Gaming</t>
        </is>
      </c>
      <c r="G2362" t="inlineStr">
        <is>
          <t>Mario Kart Roulette #35: Living with Sneks</t>
        </is>
      </c>
      <c r="H2362" s="44" t="n">
        <v>0.01065972222222222</v>
      </c>
      <c r="I2362" s="45" t="n">
        <v>11802</v>
      </c>
      <c r="J2362" s="45" t="n">
        <v>422</v>
      </c>
      <c r="K2362" s="45" t="n">
        <v>118</v>
      </c>
      <c r="L2362" s="46" t="n"/>
      <c r="M2362" s="47" t="n"/>
      <c r="N2362" s="47" t="inlineStr">
        <is>
          <t>UCor_9jRnNNZVzTuQ92PKsaQ</t>
        </is>
      </c>
      <c r="O2362" s="48" t="n">
        <v>43011.60208333333</v>
      </c>
      <c r="P2362" s="49" t="n">
        <v>43011</v>
      </c>
      <c r="Q2362" s="47" t="n">
        <v>906</v>
      </c>
      <c r="R2362" s="47" t="inlineStr">
        <is>
          <t>No Video ID yet</t>
        </is>
      </c>
      <c r="S2362" s="49" t="n"/>
      <c r="T2362" s="49" t="n"/>
      <c r="U2362" s="47" t="inlineStr">
        <is>
          <t>The Frogger Cup! Wait... oh it's the Crossing Cup!</t>
        </is>
      </c>
      <c r="V2362" s="47">
        <f>IF(AND(P2362&gt;=Calendar!$K$2,P2362&lt;EDATE(Calendar!$K$2,1),OR(Calendar!$K$4="*",N2362=Calendar!$K$4)),P2362*100+COUNTIFS($P$6:$P$3267,P2362,$Q$6:$Q$3267,"&lt;="&amp;Q2362,$N$6:$N$3267,Calendar!$K$4),"")</f>
        <v/>
      </c>
      <c r="W2362" s="47">
        <f>IF(AND(B2362=Queue!$C$4,OR(Queue!$K$4="*",N2362=Queue!$K$4)),Q2362,"")</f>
        <v/>
      </c>
    </row>
    <row r="2363">
      <c r="A2363" s="38">
        <f>IF(M2363="","",HYPERLINK("https://www.youtube.com/watch?v="&amp;M2363,"▶"))</f>
        <v/>
      </c>
      <c r="B2363" s="39">
        <f>IF(C2363&lt;&gt;"",C2363,IF(P2363&lt;=IFERROR(INDEX(tblChannels[Watched Through],MATCH(N2363,tblChannels[Channel ID],0)),0),"Watched","Unwatched"))</f>
        <v/>
      </c>
      <c r="C2363" s="40" t="n"/>
      <c r="D2363" s="41" t="n"/>
      <c r="E2363" s="42" t="n">
        <v>43006.63055555556</v>
      </c>
      <c r="F2363" s="50" t="inlineStr">
        <is>
          <t>Super Carlin Brothers</t>
        </is>
      </c>
      <c r="G2363" t="inlineStr">
        <is>
          <t>Aladdin Makes No Sense</t>
        </is>
      </c>
      <c r="H2363" s="44" t="n">
        <v>0.008333333333333333</v>
      </c>
      <c r="I2363" s="45" t="n">
        <v>2730649</v>
      </c>
      <c r="J2363" s="45" t="n">
        <v>44214</v>
      </c>
      <c r="K2363" s="45" t="n">
        <v>6259</v>
      </c>
      <c r="L2363" s="46" t="n"/>
      <c r="M2363" s="47" t="n"/>
      <c r="N2363" s="47" t="inlineStr">
        <is>
          <t>UCKZo4N0lVPccBkSiuyVh4yg</t>
        </is>
      </c>
      <c r="O2363" s="48" t="n">
        <v>43006.79722222222</v>
      </c>
      <c r="P2363" s="49" t="n">
        <v>43006</v>
      </c>
      <c r="Q2363" s="47" t="n">
        <v>905</v>
      </c>
      <c r="R2363" s="47" t="inlineStr">
        <is>
          <t>No Video ID yet</t>
        </is>
      </c>
      <c r="S2363" s="49" t="n"/>
      <c r="T2363" s="49" t="n"/>
      <c r="U2363" s="47" t="inlineStr">
        <is>
          <t>Today Ben dives into the world of Agrabah and Disney’s Aladdin to determine if it even makes sense. Does the Genie owe Aladdin a wish? Why does Jafar even need the Genie? Is Aladdin even a good guy?</t>
        </is>
      </c>
      <c r="V2363" s="47">
        <f>IF(AND(P2363&gt;=Calendar!$K$2,P2363&lt;EDATE(Calendar!$K$2,1),OR(Calendar!$K$4="*",N2363=Calendar!$K$4)),P2363*100+COUNTIFS($P$6:$P$3267,P2363,$Q$6:$Q$3267,"&lt;="&amp;Q2363,$N$6:$N$3267,Calendar!$K$4),"")</f>
        <v/>
      </c>
      <c r="W2363" s="47">
        <f>IF(AND(B2363=Queue!$C$4,OR(Queue!$K$4="*",N2363=Queue!$K$4)),Q2363,"")</f>
        <v/>
      </c>
    </row>
    <row r="2364">
      <c r="A2364" s="38">
        <f>IF(M2364="","",HYPERLINK("https://www.youtube.com/watch?v="&amp;M2364,"▶"))</f>
        <v/>
      </c>
      <c r="B2364" s="39">
        <f>IF(C2364&lt;&gt;"",C2364,IF(P2364&lt;=IFERROR(INDEX(tblChannels[Watched Through],MATCH(N2364,tblChannels[Channel ID],0)),0),"Watched","Unwatched"))</f>
        <v/>
      </c>
      <c r="C2364" s="40" t="n"/>
      <c r="D2364" s="41" t="n"/>
      <c r="E2364" s="42" t="n">
        <v>43006.42361111111</v>
      </c>
      <c r="F2364" s="52" t="inlineStr">
        <is>
          <t>Super Carlin Gaming</t>
        </is>
      </c>
      <c r="G2364" t="inlineStr">
        <is>
          <t>Mario Kart Roulette #34: College Parties!</t>
        </is>
      </c>
      <c r="H2364" s="44" t="n">
        <v>0.01069444444444444</v>
      </c>
      <c r="I2364" s="45" t="n">
        <v>12689</v>
      </c>
      <c r="J2364" s="45" t="n">
        <v>418</v>
      </c>
      <c r="K2364" s="45" t="n">
        <v>88</v>
      </c>
      <c r="L2364" s="46" t="n"/>
      <c r="M2364" s="47" t="n"/>
      <c r="N2364" s="47" t="inlineStr">
        <is>
          <t>UCor_9jRnNNZVzTuQ92PKsaQ</t>
        </is>
      </c>
      <c r="O2364" s="48" t="n">
        <v>43006.59027777778</v>
      </c>
      <c r="P2364" s="49" t="n">
        <v>43006</v>
      </c>
      <c r="Q2364" s="47" t="n">
        <v>904</v>
      </c>
      <c r="R2364" s="47" t="inlineStr">
        <is>
          <t>No Video ID yet</t>
        </is>
      </c>
      <c r="S2364" s="49" t="n"/>
      <c r="T2364" s="49" t="n"/>
      <c r="U2364" s="47" t="inlineStr">
        <is>
          <t>To the Triforce Cup! This time is definitely the time. It'll happen. It'll definitely happen this time...</t>
        </is>
      </c>
      <c r="V2364" s="47">
        <f>IF(AND(P2364&gt;=Calendar!$K$2,P2364&lt;EDATE(Calendar!$K$2,1),OR(Calendar!$K$4="*",N2364=Calendar!$K$4)),P2364*100+COUNTIFS($P$6:$P$3267,P2364,$Q$6:$Q$3267,"&lt;="&amp;Q2364,$N$6:$N$3267,Calendar!$K$4),"")</f>
        <v/>
      </c>
      <c r="W2364" s="47">
        <f>IF(AND(B2364=Queue!$C$4,OR(Queue!$K$4="*",N2364=Queue!$K$4)),Q2364,"")</f>
        <v/>
      </c>
    </row>
    <row r="2365">
      <c r="A2365" s="38">
        <f>IF(M2365="","",HYPERLINK("https://www.youtube.com/watch?v="&amp;M2365,"▶"))</f>
        <v/>
      </c>
      <c r="B2365" s="39">
        <f>IF(C2365&lt;&gt;"",C2365,IF(P2365&lt;=IFERROR(INDEX(tblChannels[Watched Through],MATCH(N2365,tblChannels[Channel ID],0)),0),"Watched","Unwatched"))</f>
        <v/>
      </c>
      <c r="C2365" s="40" t="n"/>
      <c r="D2365" s="41" t="n"/>
      <c r="E2365" s="42" t="n">
        <v>43004.69444444445</v>
      </c>
      <c r="F2365" s="52" t="inlineStr">
        <is>
          <t>Super Carlin Gaming</t>
        </is>
      </c>
      <c r="G2365" t="inlineStr">
        <is>
          <t>Mario Kart Roulette #33: The BEST Vacations!</t>
        </is>
      </c>
      <c r="H2365" s="44" t="n">
        <v>0.01010416666666667</v>
      </c>
      <c r="I2365" s="45" t="n">
        <v>12770</v>
      </c>
      <c r="J2365" s="45" t="n">
        <v>363</v>
      </c>
      <c r="K2365" s="45" t="n">
        <v>82</v>
      </c>
      <c r="L2365" s="46" t="n"/>
      <c r="M2365" s="47" t="n"/>
      <c r="N2365" s="47" t="inlineStr">
        <is>
          <t>UCor_9jRnNNZVzTuQ92PKsaQ</t>
        </is>
      </c>
      <c r="O2365" s="48" t="n">
        <v>43004.86111111111</v>
      </c>
      <c r="P2365" s="49" t="n">
        <v>43004</v>
      </c>
      <c r="Q2365" s="47" t="n">
        <v>903</v>
      </c>
      <c r="R2365" s="47" t="inlineStr">
        <is>
          <t>No Video ID yet</t>
        </is>
      </c>
      <c r="S2365" s="49" t="n"/>
      <c r="T2365" s="49" t="n"/>
      <c r="U2365" s="47" t="inlineStr">
        <is>
          <t>Next up is the Egg Cup! Boy oh boy 200cc is hard, let's see if we can't get another three star this time!</t>
        </is>
      </c>
      <c r="V2365" s="47">
        <f>IF(AND(P2365&gt;=Calendar!$K$2,P2365&lt;EDATE(Calendar!$K$2,1),OR(Calendar!$K$4="*",N2365=Calendar!$K$4)),P2365*100+COUNTIFS($P$6:$P$3267,P2365,$Q$6:$Q$3267,"&lt;="&amp;Q2365,$N$6:$N$3267,Calendar!$K$4),"")</f>
        <v/>
      </c>
      <c r="W2365" s="47">
        <f>IF(AND(B2365=Queue!$C$4,OR(Queue!$K$4="*",N2365=Queue!$K$4)),Q2365,"")</f>
        <v/>
      </c>
    </row>
    <row r="2366">
      <c r="A2366" s="38">
        <f>IF(M2366="","",HYPERLINK("https://www.youtube.com/watch?v="&amp;M2366,"▶"))</f>
        <v/>
      </c>
      <c r="B2366" s="39">
        <f>IF(C2366&lt;&gt;"",C2366,IF(P2366&lt;=IFERROR(INDEX(tblChannels[Watched Through],MATCH(N2366,tblChannels[Channel ID],0)),0),"Watched","Unwatched"))</f>
        <v/>
      </c>
      <c r="C2366" s="40" t="n"/>
      <c r="D2366" s="41" t="n"/>
      <c r="E2366" s="42" t="n">
        <v>43004.68125</v>
      </c>
      <c r="F2366" s="50" t="inlineStr">
        <is>
          <t>Super Carlin Brothers</t>
        </is>
      </c>
      <c r="G2366" t="inlineStr">
        <is>
          <t>J vs Ben: Hardest TOY STORY Trivia Quiz Ever</t>
        </is>
      </c>
      <c r="H2366" s="44" t="n">
        <v>0.01553240740740741</v>
      </c>
      <c r="I2366" s="45" t="n">
        <v>885949</v>
      </c>
      <c r="J2366" s="45" t="n">
        <v>17781</v>
      </c>
      <c r="K2366" s="45" t="n">
        <v>2686</v>
      </c>
      <c r="L2366" s="46" t="n"/>
      <c r="M2366" s="47" t="n"/>
      <c r="N2366" s="47" t="inlineStr">
        <is>
          <t>UCKZo4N0lVPccBkSiuyVh4yg</t>
        </is>
      </c>
      <c r="O2366" s="48" t="n">
        <v>43004.84791666667</v>
      </c>
      <c r="P2366" s="49" t="n">
        <v>43004</v>
      </c>
      <c r="Q2366" s="47" t="n">
        <v>902</v>
      </c>
      <c r="R2366" s="47" t="inlineStr">
        <is>
          <t>No Video ID yet</t>
        </is>
      </c>
      <c r="S2366" s="49" t="n"/>
      <c r="T2366" s="49" t="n"/>
      <c r="U2366" s="47" t="inlineStr">
        <is>
          <t>Play along with us! :: Today J and Ben face off to decide who has the ultimate knowledge from Disney Pixar's Toy Story! What was your score?</t>
        </is>
      </c>
      <c r="V2366" s="47">
        <f>IF(AND(P2366&gt;=Calendar!$K$2,P2366&lt;EDATE(Calendar!$K$2,1),OR(Calendar!$K$4="*",N2366=Calendar!$K$4)),P2366*100+COUNTIFS($P$6:$P$3267,P2366,$Q$6:$Q$3267,"&lt;="&amp;Q2366,$N$6:$N$3267,Calendar!$K$4),"")</f>
        <v/>
      </c>
      <c r="W2366" s="47">
        <f>IF(AND(B2366=Queue!$C$4,OR(Queue!$K$4="*",N2366=Queue!$K$4)),Q2366,"")</f>
        <v/>
      </c>
    </row>
    <row r="2367">
      <c r="A2367" s="38">
        <f>IF(M2367="","",HYPERLINK("https://www.youtube.com/watch?v="&amp;M2367,"▶"))</f>
        <v/>
      </c>
      <c r="B2367" s="39">
        <f>IF(C2367&lt;&gt;"",C2367,IF(P2367&lt;=IFERROR(INDEX(tblChannels[Watched Through],MATCH(N2367,tblChannels[Channel ID],0)),0),"Watched","Unwatched"))</f>
        <v/>
      </c>
      <c r="C2367" s="40" t="n"/>
      <c r="D2367" s="41" t="n"/>
      <c r="E2367" s="42" t="n">
        <v>42999.71875</v>
      </c>
      <c r="F2367" s="50" t="inlineStr">
        <is>
          <t>Super Carlin Brothers</t>
        </is>
      </c>
      <c r="G2367" t="inlineStr">
        <is>
          <t>How Snape Saved Baby Harry</t>
        </is>
      </c>
      <c r="H2367" s="44" t="n">
        <v>0.005671296296296297</v>
      </c>
      <c r="I2367" s="45" t="n">
        <v>1118773</v>
      </c>
      <c r="J2367" s="45" t="n">
        <v>28520</v>
      </c>
      <c r="K2367" s="45" t="n">
        <v>4394</v>
      </c>
      <c r="L2367" s="46" t="n"/>
      <c r="M2367" s="47" t="n"/>
      <c r="N2367" s="47" t="inlineStr">
        <is>
          <t>UCKZo4N0lVPccBkSiuyVh4yg</t>
        </is>
      </c>
      <c r="O2367" s="48" t="n">
        <v>42999.88541666666</v>
      </c>
      <c r="P2367" s="49" t="n">
        <v>42999</v>
      </c>
      <c r="Q2367" s="47" t="n">
        <v>901</v>
      </c>
      <c r="R2367" s="47" t="inlineStr">
        <is>
          <t>No Video ID yet</t>
        </is>
      </c>
      <c r="S2367" s="49" t="n"/>
      <c r="T2367" s="49" t="n"/>
      <c r="U2367" s="47" t="inlineStr">
        <is>
          <t>Today Ben dives into the wizarding world of Harry Potter to discuss the duality of everyone’s favorite potions master: Severus Snape. In the end he seems to have performed some heroic acts, but does that clear all the bullying he’s been committing towards the students for years?</t>
        </is>
      </c>
      <c r="V2367" s="47">
        <f>IF(AND(P2367&gt;=Calendar!$K$2,P2367&lt;EDATE(Calendar!$K$2,1),OR(Calendar!$K$4="*",N2367=Calendar!$K$4)),P2367*100+COUNTIFS($P$6:$P$3267,P2367,$Q$6:$Q$3267,"&lt;="&amp;Q2367,$N$6:$N$3267,Calendar!$K$4),"")</f>
        <v/>
      </c>
      <c r="W2367" s="47">
        <f>IF(AND(B2367=Queue!$C$4,OR(Queue!$K$4="*",N2367=Queue!$K$4)),Q2367,"")</f>
        <v/>
      </c>
    </row>
    <row r="2368">
      <c r="A2368" s="38">
        <f>IF(M2368="","",HYPERLINK("https://www.youtube.com/watch?v="&amp;M2368,"▶"))</f>
        <v/>
      </c>
      <c r="B2368" s="39">
        <f>IF(C2368&lt;&gt;"",C2368,IF(P2368&lt;=IFERROR(INDEX(tblChannels[Watched Through],MATCH(N2368,tblChannels[Channel ID],0)),0),"Watched","Unwatched"))</f>
        <v/>
      </c>
      <c r="C2368" s="40" t="n"/>
      <c r="D2368" s="41" t="n"/>
      <c r="E2368" s="42" t="n">
        <v>42999.41319444445</v>
      </c>
      <c r="F2368" s="52" t="inlineStr">
        <is>
          <t>Super Carlin Gaming</t>
        </is>
      </c>
      <c r="G2368" t="inlineStr">
        <is>
          <t>Mario Kart Roulette #32: Books that aren't Harry Potter!</t>
        </is>
      </c>
      <c r="H2368" s="44" t="n">
        <v>0.01039351851851852</v>
      </c>
      <c r="I2368" s="45" t="n">
        <v>13775</v>
      </c>
      <c r="J2368" s="45" t="n">
        <v>425</v>
      </c>
      <c r="K2368" s="45" t="n">
        <v>141</v>
      </c>
      <c r="L2368" s="46" t="n"/>
      <c r="M2368" s="47" t="n"/>
      <c r="N2368" s="47" t="inlineStr">
        <is>
          <t>UCor_9jRnNNZVzTuQ92PKsaQ</t>
        </is>
      </c>
      <c r="O2368" s="48" t="n">
        <v>42999.57986111111</v>
      </c>
      <c r="P2368" s="49" t="n">
        <v>42999</v>
      </c>
      <c r="Q2368" s="47" t="n">
        <v>900</v>
      </c>
      <c r="R2368" s="47" t="inlineStr">
        <is>
          <t>No Video ID yet</t>
        </is>
      </c>
      <c r="S2368" s="49" t="n"/>
      <c r="T2368" s="49" t="n"/>
      <c r="U2368" s="47" t="inlineStr">
        <is>
          <t>On to the 200cc Lightning Cup! The last one didn't go so well, here's hoping we can do it this time! p.s. we had some issues where the mics would randomly cut out :-(</t>
        </is>
      </c>
      <c r="V2368" s="47">
        <f>IF(AND(P2368&gt;=Calendar!$K$2,P2368&lt;EDATE(Calendar!$K$2,1),OR(Calendar!$K$4="*",N2368=Calendar!$K$4)),P2368*100+COUNTIFS($P$6:$P$3267,P2368,$Q$6:$Q$3267,"&lt;="&amp;Q2368,$N$6:$N$3267,Calendar!$K$4),"")</f>
        <v/>
      </c>
      <c r="W2368" s="47">
        <f>IF(AND(B2368=Queue!$C$4,OR(Queue!$K$4="*",N2368=Queue!$K$4)),Q2368,"")</f>
        <v/>
      </c>
    </row>
    <row r="2369">
      <c r="A2369" s="38">
        <f>IF(M2369="","",HYPERLINK("https://www.youtube.com/watch?v="&amp;M2369,"▶"))</f>
        <v/>
      </c>
      <c r="B2369" s="39">
        <f>IF(C2369&lt;&gt;"",C2369,IF(P2369&lt;=IFERROR(INDEX(tblChannels[Watched Through],MATCH(N2369,tblChannels[Channel ID],0)),0),"Watched","Unwatched"))</f>
        <v/>
      </c>
      <c r="C2369" s="40" t="n"/>
      <c r="D2369" s="41" t="n"/>
      <c r="E2369" s="42" t="n">
        <v>42997.82013888889</v>
      </c>
      <c r="F2369" s="50" t="inlineStr">
        <is>
          <t>Super Carlin Brothers</t>
        </is>
      </c>
      <c r="G2369" t="inlineStr">
        <is>
          <t>Coco's New  Monster Explained</t>
        </is>
      </c>
      <c r="H2369" s="44" t="n">
        <v>0.006168981481481482</v>
      </c>
      <c r="I2369" s="45" t="n">
        <v>1004885</v>
      </c>
      <c r="J2369" s="45" t="n">
        <v>17930</v>
      </c>
      <c r="K2369" s="45" t="n">
        <v>2820</v>
      </c>
      <c r="L2369" s="46" t="n"/>
      <c r="M2369" s="47" t="n"/>
      <c r="N2369" s="47" t="inlineStr">
        <is>
          <t>UCKZo4N0lVPccBkSiuyVh4yg</t>
        </is>
      </c>
      <c r="O2369" s="48" t="n">
        <v>42997.98680555556</v>
      </c>
      <c r="P2369" s="49" t="n">
        <v>42997</v>
      </c>
      <c r="Q2369" s="47" t="n">
        <v>899</v>
      </c>
      <c r="R2369" s="47" t="inlineStr">
        <is>
          <t>No Video ID yet</t>
        </is>
      </c>
      <c r="S2369" s="49" t="n"/>
      <c r="T2369" s="49" t="n"/>
      <c r="U2369" s="47" t="inlineStr">
        <is>
          <t>Disney Pixar released a new trailer for their upcoming movie Coco last week! Today J dives into the world of the dead to uncover the crazy background of the mysterious Tiger-Ram-Eagle-Iguana monster seen chasing Miguel!</t>
        </is>
      </c>
      <c r="V2369" s="47">
        <f>IF(AND(P2369&gt;=Calendar!$K$2,P2369&lt;EDATE(Calendar!$K$2,1),OR(Calendar!$K$4="*",N2369=Calendar!$K$4)),P2369*100+COUNTIFS($P$6:$P$3267,P2369,$Q$6:$Q$3267,"&lt;="&amp;Q2369,$N$6:$N$3267,Calendar!$K$4),"")</f>
        <v/>
      </c>
      <c r="W2369" s="47">
        <f>IF(AND(B2369=Queue!$C$4,OR(Queue!$K$4="*",N2369=Queue!$K$4)),Q2369,"")</f>
        <v/>
      </c>
    </row>
    <row r="2370">
      <c r="A2370" s="38">
        <f>IF(M2370="","",HYPERLINK("https://www.youtube.com/watch?v="&amp;M2370,"▶"))</f>
        <v/>
      </c>
      <c r="B2370" s="39">
        <f>IF(C2370&lt;&gt;"",C2370,IF(P2370&lt;=IFERROR(INDEX(tblChannels[Watched Through],MATCH(N2370,tblChannels[Channel ID],0)),0),"Watched","Unwatched"))</f>
        <v/>
      </c>
      <c r="C2370" s="40" t="n"/>
      <c r="D2370" s="41" t="n"/>
      <c r="E2370" s="42" t="n">
        <v>42997.42291666667</v>
      </c>
      <c r="F2370" s="52" t="inlineStr">
        <is>
          <t>Super Carlin Gaming</t>
        </is>
      </c>
      <c r="G2370" t="inlineStr">
        <is>
          <t>Mario Kart Roulette #31: Why So Much Harry Potter?</t>
        </is>
      </c>
      <c r="H2370" s="44" t="n">
        <v>0.01116898148148148</v>
      </c>
      <c r="I2370" s="45" t="n">
        <v>14916</v>
      </c>
      <c r="J2370" s="45" t="n">
        <v>502</v>
      </c>
      <c r="K2370" s="45" t="n">
        <v>113</v>
      </c>
      <c r="L2370" s="46" t="n"/>
      <c r="M2370" s="47" t="n"/>
      <c r="N2370" s="47" t="inlineStr">
        <is>
          <t>UCor_9jRnNNZVzTuQ92PKsaQ</t>
        </is>
      </c>
      <c r="O2370" s="48" t="n">
        <v>42997.58958333333</v>
      </c>
      <c r="P2370" s="49" t="n">
        <v>42997</v>
      </c>
      <c r="Q2370" s="47" t="n">
        <v>898</v>
      </c>
      <c r="R2370" s="47" t="inlineStr">
        <is>
          <t>No Video ID yet</t>
        </is>
      </c>
      <c r="S2370" s="49" t="n"/>
      <c r="T2370" s="49" t="n"/>
      <c r="U2370" s="47" t="inlineStr">
        <is>
          <t>The 200cc 'Special Cup' just doesn't sound like it's all that pleasant... Spoiler Alert: It's not.</t>
        </is>
      </c>
      <c r="V2370" s="47">
        <f>IF(AND(P2370&gt;=Calendar!$K$2,P2370&lt;EDATE(Calendar!$K$2,1),OR(Calendar!$K$4="*",N2370=Calendar!$K$4)),P2370*100+COUNTIFS($P$6:$P$3267,P2370,$Q$6:$Q$3267,"&lt;="&amp;Q2370,$N$6:$N$3267,Calendar!$K$4),"")</f>
        <v/>
      </c>
      <c r="W2370" s="47">
        <f>IF(AND(B2370=Queue!$C$4,OR(Queue!$K$4="*",N2370=Queue!$K$4)),Q2370,"")</f>
        <v/>
      </c>
    </row>
    <row r="2371">
      <c r="A2371" s="38">
        <f>IF(M2371="","",HYPERLINK("https://www.youtube.com/watch?v="&amp;M2371,"▶"))</f>
        <v/>
      </c>
      <c r="B2371" s="39">
        <f>IF(C2371&lt;&gt;"",C2371,IF(P2371&lt;=IFERROR(INDEX(tblChannels[Watched Through],MATCH(N2371,tblChannels[Channel ID],0)),0),"Watched","Unwatched"))</f>
        <v/>
      </c>
      <c r="C2371" s="40" t="n"/>
      <c r="D2371" s="41" t="n"/>
      <c r="E2371" s="42" t="n">
        <v>42992.73402777778</v>
      </c>
      <c r="F2371" s="50" t="inlineStr">
        <is>
          <t>Super Carlin Brothers</t>
        </is>
      </c>
      <c r="G2371" t="inlineStr">
        <is>
          <t>Harry Potter Theory: Voldemort’s FULL Tri-Wizard Cup Plan!</t>
        </is>
      </c>
      <c r="H2371" s="44" t="n">
        <v>0.005914351851851852</v>
      </c>
      <c r="I2371" s="45" t="n">
        <v>1396048</v>
      </c>
      <c r="J2371" s="45" t="n">
        <v>34417</v>
      </c>
      <c r="K2371" s="45" t="n">
        <v>3038</v>
      </c>
      <c r="L2371" s="46" t="n"/>
      <c r="M2371" s="47" t="n"/>
      <c r="N2371" s="47" t="inlineStr">
        <is>
          <t>UCKZo4N0lVPccBkSiuyVh4yg</t>
        </is>
      </c>
      <c r="O2371" s="48" t="n">
        <v>42992.90069444444</v>
      </c>
      <c r="P2371" s="49" t="n">
        <v>42992</v>
      </c>
      <c r="Q2371" s="47" t="n">
        <v>897</v>
      </c>
      <c r="R2371" s="47" t="inlineStr">
        <is>
          <t>No Video ID yet</t>
        </is>
      </c>
      <c r="S2371" s="49" t="n"/>
      <c r="T2371" s="49" t="n"/>
      <c r="U2371" s="47" t="inlineStr">
        <is>
          <t>Original Article :: Today Ben dives into the wizarding world of Harry Potter to try and answer a long standing question: Why did Barty Crouch Jr. set up the tri-wizard cup to return to the school? Check out the Patreon for all those extra goodies: The original article:</t>
        </is>
      </c>
      <c r="V2371" s="47">
        <f>IF(AND(P2371&gt;=Calendar!$K$2,P2371&lt;EDATE(Calendar!$K$2,1),OR(Calendar!$K$4="*",N2371=Calendar!$K$4)),P2371*100+COUNTIFS($P$6:$P$3267,P2371,$Q$6:$Q$3267,"&lt;="&amp;Q2371,$N$6:$N$3267,Calendar!$K$4),"")</f>
        <v/>
      </c>
      <c r="W2371" s="47">
        <f>IF(AND(B2371=Queue!$C$4,OR(Queue!$K$4="*",N2371=Queue!$K$4)),Q2371,"")</f>
        <v/>
      </c>
    </row>
    <row r="2372">
      <c r="A2372" s="38">
        <f>IF(M2372="","",HYPERLINK("https://www.youtube.com/watch?v="&amp;M2372,"▶"))</f>
        <v/>
      </c>
      <c r="B2372" s="39">
        <f>IF(C2372&lt;&gt;"",C2372,IF(P2372&lt;=IFERROR(INDEX(tblChannels[Watched Through],MATCH(N2372,tblChannels[Channel ID],0)),0),"Watched","Unwatched"))</f>
        <v/>
      </c>
      <c r="C2372" s="40" t="n"/>
      <c r="D2372" s="41" t="n"/>
      <c r="E2372" s="42" t="n">
        <v>42992.58888888889</v>
      </c>
      <c r="F2372" s="52" t="inlineStr">
        <is>
          <t>Super Carlin Gaming</t>
        </is>
      </c>
      <c r="G2372" t="inlineStr">
        <is>
          <t>Mario Kart Roulette #30: A Few of our Favorite Things!</t>
        </is>
      </c>
      <c r="H2372" s="44" t="n">
        <v>0.0112962962962963</v>
      </c>
      <c r="I2372" s="45" t="n">
        <v>14449</v>
      </c>
      <c r="J2372" s="45" t="n">
        <v>430</v>
      </c>
      <c r="K2372" s="45" t="n">
        <v>84</v>
      </c>
      <c r="L2372" s="46" t="n"/>
      <c r="M2372" s="47" t="n"/>
      <c r="N2372" s="47" t="inlineStr">
        <is>
          <t>UCor_9jRnNNZVzTuQ92PKsaQ</t>
        </is>
      </c>
      <c r="O2372" s="48" t="n">
        <v>42992.75555555556</v>
      </c>
      <c r="P2372" s="49" t="n">
        <v>42992</v>
      </c>
      <c r="Q2372" s="47" t="n">
        <v>896</v>
      </c>
      <c r="R2372" s="47" t="inlineStr">
        <is>
          <t>No Video ID yet</t>
        </is>
      </c>
      <c r="S2372" s="49" t="n"/>
      <c r="T2372" s="49" t="n"/>
      <c r="U2372" s="47" t="inlineStr">
        <is>
          <t>Moving to the 200cc Leaf Cup, J &amp; Ben talk about some of their favorite things!</t>
        </is>
      </c>
      <c r="V2372" s="47">
        <f>IF(AND(P2372&gt;=Calendar!$K$2,P2372&lt;EDATE(Calendar!$K$2,1),OR(Calendar!$K$4="*",N2372=Calendar!$K$4)),P2372*100+COUNTIFS($P$6:$P$3267,P2372,$Q$6:$Q$3267,"&lt;="&amp;Q2372,$N$6:$N$3267,Calendar!$K$4),"")</f>
        <v/>
      </c>
      <c r="W2372" s="47">
        <f>IF(AND(B2372=Queue!$C$4,OR(Queue!$K$4="*",N2372=Queue!$K$4)),Q2372,"")</f>
        <v/>
      </c>
    </row>
    <row r="2373">
      <c r="A2373" s="38">
        <f>IF(M2373="","",HYPERLINK("https://www.youtube.com/watch?v="&amp;M2373,"▶"))</f>
        <v/>
      </c>
      <c r="B2373" s="39">
        <f>IF(C2373&lt;&gt;"",C2373,IF(P2373&lt;=IFERROR(INDEX(tblChannels[Watched Through],MATCH(N2373,tblChannels[Channel ID],0)),0),"Watched","Unwatched"))</f>
        <v/>
      </c>
      <c r="C2373" s="40" t="n"/>
      <c r="D2373" s="41" t="n"/>
      <c r="E2373" s="42" t="n">
        <v>42990.73472222222</v>
      </c>
      <c r="F2373" s="52" t="inlineStr">
        <is>
          <t>Super Carlin Gaming</t>
        </is>
      </c>
      <c r="G2373" t="inlineStr">
        <is>
          <t>Mario Kart Roulette #29: Advice for Starting Something New</t>
        </is>
      </c>
      <c r="H2373" s="44" t="n">
        <v>0.00982638888888889</v>
      </c>
      <c r="I2373" s="45" t="n">
        <v>13166</v>
      </c>
      <c r="J2373" s="45" t="n">
        <v>462</v>
      </c>
      <c r="K2373" s="45" t="n">
        <v>78</v>
      </c>
      <c r="L2373" s="46" t="n"/>
      <c r="M2373" s="47" t="n"/>
      <c r="N2373" s="47" t="inlineStr">
        <is>
          <t>UCor_9jRnNNZVzTuQ92PKsaQ</t>
        </is>
      </c>
      <c r="O2373" s="48" t="n">
        <v>42990.90138888889</v>
      </c>
      <c r="P2373" s="49" t="n">
        <v>42990</v>
      </c>
      <c r="Q2373" s="47" t="n">
        <v>895</v>
      </c>
      <c r="R2373" s="47" t="inlineStr">
        <is>
          <t>No Video ID yet</t>
        </is>
      </c>
      <c r="S2373" s="49" t="n"/>
      <c r="T2373" s="49" t="n"/>
      <c r="U2373" s="47" t="inlineStr">
        <is>
          <t>Heading over to the 200cc Star Cup, J &amp; Ben give their advice for starting something new and how to avoid starting it "tomorrow". If you have any questions you would like for J and Ben to answer in the next few videos, comment down below and your question might get picked to answer!</t>
        </is>
      </c>
      <c r="V2373" s="47">
        <f>IF(AND(P2373&gt;=Calendar!$K$2,P2373&lt;EDATE(Calendar!$K$2,1),OR(Calendar!$K$4="*",N2373=Calendar!$K$4)),P2373*100+COUNTIFS($P$6:$P$3267,P2373,$Q$6:$Q$3267,"&lt;="&amp;Q2373,$N$6:$N$3267,Calendar!$K$4),"")</f>
        <v/>
      </c>
      <c r="W2373" s="47">
        <f>IF(AND(B2373=Queue!$C$4,OR(Queue!$K$4="*",N2373=Queue!$K$4)),Q2373,"")</f>
        <v/>
      </c>
    </row>
    <row r="2374">
      <c r="A2374" s="38">
        <f>IF(M2374="","",HYPERLINK("https://www.youtube.com/watch?v="&amp;M2374,"▶"))</f>
        <v/>
      </c>
      <c r="B2374" s="39">
        <f>IF(C2374&lt;&gt;"",C2374,IF(P2374&lt;=IFERROR(INDEX(tblChannels[Watched Through],MATCH(N2374,tblChannels[Channel ID],0)),0),"Watched","Unwatched"))</f>
        <v/>
      </c>
      <c r="C2374" s="40" t="n"/>
      <c r="D2374" s="41" t="n"/>
      <c r="E2374" s="42" t="n">
        <v>42990.73194444444</v>
      </c>
      <c r="F2374" s="50" t="inlineStr">
        <is>
          <t>Super Carlin Brothers</t>
        </is>
      </c>
      <c r="G2374" t="inlineStr">
        <is>
          <t>EVERY PIXAR SHORT RANKED!</t>
        </is>
      </c>
      <c r="H2374" s="44" t="n">
        <v>0.02857638888888889</v>
      </c>
      <c r="I2374" s="45" t="n">
        <v>394454</v>
      </c>
      <c r="J2374" s="45" t="n">
        <v>11422</v>
      </c>
      <c r="K2374" s="45" t="n">
        <v>2404</v>
      </c>
      <c r="L2374" s="46" t="n"/>
      <c r="M2374" s="47" t="n"/>
      <c r="N2374" s="47" t="inlineStr">
        <is>
          <t>UCKZo4N0lVPccBkSiuyVh4yg</t>
        </is>
      </c>
      <c r="O2374" s="48" t="n">
        <v>42990.89861111111</v>
      </c>
      <c r="P2374" s="49" t="n">
        <v>42990</v>
      </c>
      <c r="Q2374" s="47" t="n">
        <v>894</v>
      </c>
      <c r="R2374" s="47" t="inlineStr">
        <is>
          <t>No Video ID yet</t>
        </is>
      </c>
      <c r="S2374" s="49" t="n"/>
      <c r="T2374" s="49" t="n"/>
      <c r="U2374" s="47" t="inlineStr">
        <is>
          <t>J and Ben reveal their own person ranking of the Pixar Shorts, from Luxo Jr. to Lou! What is your favorite Pixar Short!?</t>
        </is>
      </c>
      <c r="V2374" s="47">
        <f>IF(AND(P2374&gt;=Calendar!$K$2,P2374&lt;EDATE(Calendar!$K$2,1),OR(Calendar!$K$4="*",N2374=Calendar!$K$4)),P2374*100+COUNTIFS($P$6:$P$3267,P2374,$Q$6:$Q$3267,"&lt;="&amp;Q2374,$N$6:$N$3267,Calendar!$K$4),"")</f>
        <v/>
      </c>
      <c r="W2374" s="47">
        <f>IF(AND(B2374=Queue!$C$4,OR(Queue!$K$4="*",N2374=Queue!$K$4)),Q2374,"")</f>
        <v/>
      </c>
    </row>
    <row r="2375">
      <c r="A2375" s="38">
        <f>IF(M2375="","",HYPERLINK("https://www.youtube.com/watch?v="&amp;M2375,"▶"))</f>
        <v/>
      </c>
      <c r="B2375" s="39">
        <f>IF(C2375&lt;&gt;"",C2375,IF(P2375&lt;=IFERROR(INDEX(tblChannels[Watched Through],MATCH(N2375,tblChannels[Channel ID],0)),0),"Watched","Unwatched"))</f>
        <v/>
      </c>
      <c r="C2375" s="40" t="n"/>
      <c r="D2375" s="41" t="n"/>
      <c r="E2375" s="42" t="n">
        <v>42985.74236111111</v>
      </c>
      <c r="F2375" s="50" t="inlineStr">
        <is>
          <t>Super Carlin Brothers</t>
        </is>
      </c>
      <c r="G2375" t="inlineStr">
        <is>
          <t>Harry Potter Theory: The History Of Hagrid’s Wand</t>
        </is>
      </c>
      <c r="H2375" s="44" t="n">
        <v>0.005497685185185185</v>
      </c>
      <c r="I2375" s="45" t="n">
        <v>1758875</v>
      </c>
      <c r="J2375" s="45" t="n">
        <v>45245</v>
      </c>
      <c r="K2375" s="45" t="n">
        <v>3750</v>
      </c>
      <c r="L2375" s="46" t="n"/>
      <c r="M2375" s="47" t="n"/>
      <c r="N2375" s="47" t="inlineStr">
        <is>
          <t>UCKZo4N0lVPccBkSiuyVh4yg</t>
        </is>
      </c>
      <c r="O2375" s="48" t="n">
        <v>42985.90902777778</v>
      </c>
      <c r="P2375" s="49" t="n">
        <v>42985</v>
      </c>
      <c r="Q2375" s="47" t="n">
        <v>893</v>
      </c>
      <c r="R2375" s="47" t="inlineStr">
        <is>
          <t>No Video ID yet</t>
        </is>
      </c>
      <c r="S2375" s="49" t="n"/>
      <c r="T2375" s="49" t="n"/>
      <c r="U2375" s="47" t="inlineStr">
        <is>
          <t>Today Ben dives into the Wizarding World of Harry Potter and Fantastic Beasts and Where to Find Them to answer one of the oldest mysteries of the series: What happened to Hagrid’s wand and how is he able to do magic with that pink umbrella at all?</t>
        </is>
      </c>
      <c r="V2375" s="47">
        <f>IF(AND(P2375&gt;=Calendar!$K$2,P2375&lt;EDATE(Calendar!$K$2,1),OR(Calendar!$K$4="*",N2375=Calendar!$K$4)),P2375*100+COUNTIFS($P$6:$P$3267,P2375,$Q$6:$Q$3267,"&lt;="&amp;Q2375,$N$6:$N$3267,Calendar!$K$4),"")</f>
        <v/>
      </c>
      <c r="W2375" s="47">
        <f>IF(AND(B2375=Queue!$C$4,OR(Queue!$K$4="*",N2375=Queue!$K$4)),Q2375,"")</f>
        <v/>
      </c>
    </row>
    <row r="2376">
      <c r="A2376" s="38">
        <f>IF(M2376="","",HYPERLINK("https://www.youtube.com/watch?v="&amp;M2376,"▶"))</f>
        <v/>
      </c>
      <c r="B2376" s="39">
        <f>IF(C2376&lt;&gt;"",C2376,IF(P2376&lt;=IFERROR(INDEX(tblChannels[Watched Through],MATCH(N2376,tblChannels[Channel ID],0)),0),"Watched","Unwatched"))</f>
        <v/>
      </c>
      <c r="C2376" s="40" t="n"/>
      <c r="D2376" s="41" t="n"/>
      <c r="E2376" s="42" t="n">
        <v>42985.44166666667</v>
      </c>
      <c r="F2376" s="52" t="inlineStr">
        <is>
          <t>Super Carlin Gaming</t>
        </is>
      </c>
      <c r="G2376" t="inlineStr">
        <is>
          <t>Mario Kart Roulette #28: Nutrition and Favorite meal!</t>
        </is>
      </c>
      <c r="H2376" s="44" t="n">
        <v>0.009907407407407408</v>
      </c>
      <c r="I2376" s="45" t="n">
        <v>14220</v>
      </c>
      <c r="J2376" s="45" t="n">
        <v>449</v>
      </c>
      <c r="K2376" s="45" t="n">
        <v>114</v>
      </c>
      <c r="L2376" s="46" t="n"/>
      <c r="M2376" s="47" t="n"/>
      <c r="N2376" s="47" t="inlineStr">
        <is>
          <t>UCor_9jRnNNZVzTuQ92PKsaQ</t>
        </is>
      </c>
      <c r="O2376" s="48" t="n">
        <v>42985.60833333333</v>
      </c>
      <c r="P2376" s="49" t="n">
        <v>42985</v>
      </c>
      <c r="Q2376" s="47" t="n">
        <v>892</v>
      </c>
      <c r="R2376" s="47" t="inlineStr">
        <is>
          <t>No Video ID yet</t>
        </is>
      </c>
      <c r="S2376" s="49" t="n"/>
      <c r="T2376" s="49" t="n"/>
      <c r="U2376" s="47" t="inlineStr">
        <is>
          <t>200cc is a lot. J &amp; Ben answer questions about Nutrition while doing their best at the Banana Cup On the 200cc circuit, J &amp; Ben answer questions about what motivates them and then also give some Fitness Tips! If you have any questions you would like for J and Ben to answer in the next few videos, comment down below and your question might get picked to answer!</t>
        </is>
      </c>
      <c r="V2376" s="47">
        <f>IF(AND(P2376&gt;=Calendar!$K$2,P2376&lt;EDATE(Calendar!$K$2,1),OR(Calendar!$K$4="*",N2376=Calendar!$K$4)),P2376*100+COUNTIFS($P$6:$P$3267,P2376,$Q$6:$Q$3267,"&lt;="&amp;Q2376,$N$6:$N$3267,Calendar!$K$4),"")</f>
        <v/>
      </c>
      <c r="W2376" s="47">
        <f>IF(AND(B2376=Queue!$C$4,OR(Queue!$K$4="*",N2376=Queue!$K$4)),Q2376,"")</f>
        <v/>
      </c>
    </row>
    <row r="2377">
      <c r="A2377" s="38">
        <f>IF(M2377="","",HYPERLINK("https://www.youtube.com/watch?v="&amp;M2377,"▶"))</f>
        <v/>
      </c>
      <c r="B2377" s="39">
        <f>IF(C2377&lt;&gt;"",C2377,IF(P2377&lt;=IFERROR(INDEX(tblChannels[Watched Through],MATCH(N2377,tblChannels[Channel ID],0)),0),"Watched","Unwatched"))</f>
        <v/>
      </c>
      <c r="C2377" s="40" t="n"/>
      <c r="D2377" s="41" t="n"/>
      <c r="E2377" s="42" t="n">
        <v>42983.73194444444</v>
      </c>
      <c r="F2377" s="50" t="inlineStr">
        <is>
          <t>Super Carlin Brothers</t>
        </is>
      </c>
      <c r="G2377" t="inlineStr">
        <is>
          <t>Were The Dursleys Good For Harry?</t>
        </is>
      </c>
      <c r="H2377" s="44" t="n">
        <v>0.007083333333333333</v>
      </c>
      <c r="I2377" s="45" t="n">
        <v>1167536</v>
      </c>
      <c r="J2377" s="45" t="n">
        <v>31329</v>
      </c>
      <c r="K2377" s="45" t="n">
        <v>4380</v>
      </c>
      <c r="L2377" s="46" t="n"/>
      <c r="M2377" s="47" t="n"/>
      <c r="N2377" s="47" t="inlineStr">
        <is>
          <t>UCKZo4N0lVPccBkSiuyVh4yg</t>
        </is>
      </c>
      <c r="O2377" s="48" t="n">
        <v>42983.89861111111</v>
      </c>
      <c r="P2377" s="49" t="n">
        <v>42983</v>
      </c>
      <c r="Q2377" s="47" t="n">
        <v>891</v>
      </c>
      <c r="R2377" s="47" t="inlineStr">
        <is>
          <t>No Video ID yet</t>
        </is>
      </c>
      <c r="S2377" s="49" t="n"/>
      <c r="T2377" s="49" t="n"/>
      <c r="U2377" s="47" t="inlineStr">
        <is>
          <t>Today J dives into the wizarding world of Harry Potter to discuss the worst relatives anybody has ever had: The Dursleys. Could it be that despite their awfulness they were actually the key to defeating Voldemort?</t>
        </is>
      </c>
      <c r="V2377" s="47">
        <f>IF(AND(P2377&gt;=Calendar!$K$2,P2377&lt;EDATE(Calendar!$K$2,1),OR(Calendar!$K$4="*",N2377=Calendar!$K$4)),P2377*100+COUNTIFS($P$6:$P$3267,P2377,$Q$6:$Q$3267,"&lt;="&amp;Q2377,$N$6:$N$3267,Calendar!$K$4),"")</f>
        <v/>
      </c>
      <c r="W2377" s="47">
        <f>IF(AND(B2377=Queue!$C$4,OR(Queue!$K$4="*",N2377=Queue!$K$4)),Q2377,"")</f>
        <v/>
      </c>
    </row>
    <row r="2378">
      <c r="A2378" s="38">
        <f>IF(M2378="","",HYPERLINK("https://www.youtube.com/watch?v="&amp;M2378,"▶"))</f>
        <v/>
      </c>
      <c r="B2378" s="39">
        <f>IF(C2378&lt;&gt;"",C2378,IF(P2378&lt;=IFERROR(INDEX(tblChannels[Watched Through],MATCH(N2378,tblChannels[Channel ID],0)),0),"Watched","Unwatched"))</f>
        <v/>
      </c>
      <c r="C2378" s="40" t="n"/>
      <c r="D2378" s="41" t="n"/>
      <c r="E2378" s="42" t="n">
        <v>42983.47986111111</v>
      </c>
      <c r="F2378" s="52" t="inlineStr">
        <is>
          <t>Super Carlin Gaming</t>
        </is>
      </c>
      <c r="G2378" t="inlineStr">
        <is>
          <t>Mario Kart Roulette #27: Motivation &amp; Fitness Tips</t>
        </is>
      </c>
      <c r="H2378" s="44" t="n">
        <v>0.00962962962962963</v>
      </c>
      <c r="I2378" s="45" t="n">
        <v>14073</v>
      </c>
      <c r="J2378" s="45" t="n">
        <v>435</v>
      </c>
      <c r="K2378" s="45" t="n">
        <v>81</v>
      </c>
      <c r="L2378" s="46" t="n"/>
      <c r="M2378" s="47" t="n"/>
      <c r="N2378" s="47" t="inlineStr">
        <is>
          <t>UCor_9jRnNNZVzTuQ92PKsaQ</t>
        </is>
      </c>
      <c r="O2378" s="48" t="n">
        <v>42983.64652777778</v>
      </c>
      <c r="P2378" s="49" t="n">
        <v>42983</v>
      </c>
      <c r="Q2378" s="47" t="n">
        <v>890</v>
      </c>
      <c r="R2378" s="47" t="inlineStr">
        <is>
          <t>No Video ID yet</t>
        </is>
      </c>
      <c r="S2378" s="49" t="n"/>
      <c r="T2378" s="49" t="n"/>
      <c r="U2378" s="47" t="inlineStr">
        <is>
          <t>On the 200cc circuit, J &amp; Ben answer questions about what motivates them and then also give some Fitness Tips! If you have any questions you would like for J and Ben to answer in the next few videos, comment down below and your question might get picked to answer!</t>
        </is>
      </c>
      <c r="V2378" s="47">
        <f>IF(AND(P2378&gt;=Calendar!$K$2,P2378&lt;EDATE(Calendar!$K$2,1),OR(Calendar!$K$4="*",N2378=Calendar!$K$4)),P2378*100+COUNTIFS($P$6:$P$3267,P2378,$Q$6:$Q$3267,"&lt;="&amp;Q2378,$N$6:$N$3267,Calendar!$K$4),"")</f>
        <v/>
      </c>
      <c r="W2378" s="47">
        <f>IF(AND(B2378=Queue!$C$4,OR(Queue!$K$4="*",N2378=Queue!$K$4)),Q2378,"")</f>
        <v/>
      </c>
    </row>
    <row r="2379">
      <c r="A2379" s="38">
        <f>IF(M2379="","",HYPERLINK("https://www.youtube.com/watch?v="&amp;M2379,"▶"))</f>
        <v/>
      </c>
      <c r="B2379" s="39">
        <f>IF(C2379&lt;&gt;"",C2379,IF(P2379&lt;=IFERROR(INDEX(tblChannels[Watched Through],MATCH(N2379,tblChannels[Channel ID],0)),0),"Watched","Unwatched"))</f>
        <v/>
      </c>
      <c r="C2379" s="40" t="n"/>
      <c r="D2379" s="41" t="n"/>
      <c r="E2379" s="42" t="n">
        <v>42978.66319444445</v>
      </c>
      <c r="F2379" s="50" t="inlineStr">
        <is>
          <t>Super Carlin Brothers</t>
        </is>
      </c>
      <c r="G2379" t="inlineStr">
        <is>
          <t>The Disney Vault Explained</t>
        </is>
      </c>
      <c r="H2379" s="44" t="n">
        <v>0.007708333333333334</v>
      </c>
      <c r="I2379" s="45" t="n">
        <v>1444314</v>
      </c>
      <c r="J2379" s="45" t="n">
        <v>36054</v>
      </c>
      <c r="K2379" s="45" t="n">
        <v>4713</v>
      </c>
      <c r="L2379" s="46" t="n"/>
      <c r="M2379" s="47" t="n"/>
      <c r="N2379" s="47" t="inlineStr">
        <is>
          <t>UCKZo4N0lVPccBkSiuyVh4yg</t>
        </is>
      </c>
      <c r="O2379" s="48" t="n">
        <v>42978.82986111111</v>
      </c>
      <c r="P2379" s="49" t="n">
        <v>42978</v>
      </c>
      <c r="Q2379" s="47" t="n">
        <v>889</v>
      </c>
      <c r="R2379" s="47" t="inlineStr">
        <is>
          <t>No Video ID yet</t>
        </is>
      </c>
      <c r="S2379" s="49" t="n"/>
      <c r="T2379" s="49" t="n"/>
      <c r="U2379" s="47" t="inlineStr">
        <is>
          <t>Ever try to buy a Disney movie like The Lion King or Snow White but couldn’t for some reason? Today J dives into Disney’s past to discover the fascinating origin of the Disney Vault! Amazing article if you want to read more ::</t>
        </is>
      </c>
      <c r="V2379" s="47">
        <f>IF(AND(P2379&gt;=Calendar!$K$2,P2379&lt;EDATE(Calendar!$K$2,1),OR(Calendar!$K$4="*",N2379=Calendar!$K$4)),P2379*100+COUNTIFS($P$6:$P$3267,P2379,$Q$6:$Q$3267,"&lt;="&amp;Q2379,$N$6:$N$3267,Calendar!$K$4),"")</f>
        <v/>
      </c>
      <c r="W2379" s="47">
        <f>IF(AND(B2379=Queue!$C$4,OR(Queue!$K$4="*",N2379=Queue!$K$4)),Q2379,"")</f>
        <v/>
      </c>
    </row>
    <row r="2380">
      <c r="A2380" s="38">
        <f>IF(M2380="","",HYPERLINK("https://www.youtube.com/watch?v="&amp;M2380,"▶"))</f>
        <v/>
      </c>
      <c r="B2380" s="39">
        <f>IF(C2380&lt;&gt;"",C2380,IF(P2380&lt;=IFERROR(INDEX(tblChannels[Watched Through],MATCH(N2380,tblChannels[Channel ID],0)),0),"Watched","Unwatched"))</f>
        <v/>
      </c>
      <c r="C2380" s="40" t="n"/>
      <c r="D2380" s="41" t="n"/>
      <c r="E2380" s="42" t="n">
        <v>42978.49236111111</v>
      </c>
      <c r="F2380" s="52" t="inlineStr">
        <is>
          <t>Super Carlin Gaming</t>
        </is>
      </c>
      <c r="G2380" t="inlineStr">
        <is>
          <t>Mario Kart Roulette #26: Back to School!</t>
        </is>
      </c>
      <c r="H2380" s="44" t="n">
        <v>0.009293981481481481</v>
      </c>
      <c r="I2380" s="45" t="n">
        <v>15239</v>
      </c>
      <c r="J2380" s="45" t="n">
        <v>574</v>
      </c>
      <c r="K2380" s="45" t="n">
        <v>102</v>
      </c>
      <c r="L2380" s="46" t="n"/>
      <c r="M2380" s="47" t="n"/>
      <c r="N2380" s="47" t="inlineStr">
        <is>
          <t>UCor_9jRnNNZVzTuQ92PKsaQ</t>
        </is>
      </c>
      <c r="O2380" s="48" t="n">
        <v>42978.65902777778</v>
      </c>
      <c r="P2380" s="49" t="n">
        <v>42978</v>
      </c>
      <c r="Q2380" s="47" t="n">
        <v>888</v>
      </c>
      <c r="R2380" s="47" t="inlineStr">
        <is>
          <t>No Video ID yet</t>
        </is>
      </c>
      <c r="S2380" s="49" t="n"/>
      <c r="T2380" s="49" t="n"/>
      <c r="U2380" s="47" t="inlineStr">
        <is>
          <t>In this episode, J and Ben continue on the 200cc circuit and answer your questions about starting up at school! If you have any questions you would like for J and Ben to answer in the next few videos, comment down below and your question might get picked to answer!</t>
        </is>
      </c>
      <c r="V2380" s="47">
        <f>IF(AND(P2380&gt;=Calendar!$K$2,P2380&lt;EDATE(Calendar!$K$2,1),OR(Calendar!$K$4="*",N2380=Calendar!$K$4)),P2380*100+COUNTIFS($P$6:$P$3267,P2380,$Q$6:$Q$3267,"&lt;="&amp;Q2380,$N$6:$N$3267,Calendar!$K$4),"")</f>
        <v/>
      </c>
      <c r="W2380" s="47">
        <f>IF(AND(B2380=Queue!$C$4,OR(Queue!$K$4="*",N2380=Queue!$K$4)),Q2380,"")</f>
        <v/>
      </c>
    </row>
    <row r="2381">
      <c r="A2381" s="38">
        <f>IF(M2381="","",HYPERLINK("https://www.youtube.com/watch?v="&amp;M2381,"▶"))</f>
        <v/>
      </c>
      <c r="B2381" s="39">
        <f>IF(C2381&lt;&gt;"",C2381,IF(P2381&lt;=IFERROR(INDEX(tblChannels[Watched Through],MATCH(N2381,tblChannels[Channel ID],0)),0),"Watched","Unwatched"))</f>
        <v/>
      </c>
      <c r="C2381" s="40" t="n"/>
      <c r="D2381" s="41" t="n"/>
      <c r="E2381" s="42" t="n">
        <v>42976.70902777778</v>
      </c>
      <c r="F2381" s="50" t="inlineStr">
        <is>
          <t>Super Carlin Brothers</t>
        </is>
      </c>
      <c r="G2381" t="inlineStr">
        <is>
          <t>J vs Ben: The HARDEST Harry Potter Trivia Quiz EVER!</t>
        </is>
      </c>
      <c r="H2381" s="44" t="n">
        <v>0.01958333333333333</v>
      </c>
      <c r="I2381" s="45" t="n">
        <v>1699623</v>
      </c>
      <c r="J2381" s="45" t="n">
        <v>25914</v>
      </c>
      <c r="K2381" s="45" t="n">
        <v>7122</v>
      </c>
      <c r="L2381" s="46" t="n"/>
      <c r="M2381" s="47" t="n"/>
      <c r="N2381" s="47" t="inlineStr">
        <is>
          <t>UCKZo4N0lVPccBkSiuyVh4yg</t>
        </is>
      </c>
      <c r="O2381" s="48" t="n">
        <v>42976.87569444445</v>
      </c>
      <c r="P2381" s="49" t="n">
        <v>42976</v>
      </c>
      <c r="Q2381" s="47" t="n">
        <v>887</v>
      </c>
      <c r="R2381" s="47" t="inlineStr">
        <is>
          <t>No Video ID yet</t>
        </is>
      </c>
      <c r="S2381" s="49" t="n"/>
      <c r="T2381" s="49" t="n"/>
      <c r="U2381" s="47" t="inlineStr">
        <is>
          <t>Take the quiz! :: Today J and Ben go head to head in the hardest Harry Potter quiz on Pottermore to see who knows the wizarding world best! Who will win? What was your score??</t>
        </is>
      </c>
      <c r="V2381" s="47">
        <f>IF(AND(P2381&gt;=Calendar!$K$2,P2381&lt;EDATE(Calendar!$K$2,1),OR(Calendar!$K$4="*",N2381=Calendar!$K$4)),P2381*100+COUNTIFS($P$6:$P$3267,P2381,$Q$6:$Q$3267,"&lt;="&amp;Q2381,$N$6:$N$3267,Calendar!$K$4),"")</f>
        <v/>
      </c>
      <c r="W2381" s="47">
        <f>IF(AND(B2381=Queue!$C$4,OR(Queue!$K$4="*",N2381=Queue!$K$4)),Q2381,"")</f>
        <v/>
      </c>
    </row>
    <row r="2382">
      <c r="A2382" s="38">
        <f>IF(M2382="","",HYPERLINK("https://www.youtube.com/watch?v="&amp;M2382,"▶"))</f>
        <v/>
      </c>
      <c r="B2382" s="39">
        <f>IF(C2382&lt;&gt;"",C2382,IF(P2382&lt;=IFERROR(INDEX(tblChannels[Watched Through],MATCH(N2382,tblChannels[Channel ID],0)),0),"Watched","Unwatched"))</f>
        <v/>
      </c>
      <c r="C2382" s="40" t="n"/>
      <c r="D2382" s="41" t="n"/>
      <c r="E2382" s="42" t="n">
        <v>42971.72152777778</v>
      </c>
      <c r="F2382" s="50" t="inlineStr">
        <is>
          <t>Super Carlin Brothers</t>
        </is>
      </c>
      <c r="G2382" t="inlineStr">
        <is>
          <t>Mufasa And Scar Aren't Brothers?!</t>
        </is>
      </c>
      <c r="H2382" s="44" t="n">
        <v>0.0053125</v>
      </c>
      <c r="I2382" s="45" t="n">
        <v>1631562</v>
      </c>
      <c r="J2382" s="45" t="n">
        <v>35924</v>
      </c>
      <c r="K2382" s="45" t="n">
        <v>4131</v>
      </c>
      <c r="L2382" s="46" t="n"/>
      <c r="M2382" s="47" t="n"/>
      <c r="N2382" s="47" t="inlineStr">
        <is>
          <t>UCKZo4N0lVPccBkSiuyVh4yg</t>
        </is>
      </c>
      <c r="O2382" s="48" t="n">
        <v>42971.88819444444</v>
      </c>
      <c r="P2382" s="49" t="n">
        <v>42971</v>
      </c>
      <c r="Q2382" s="47" t="n">
        <v>886</v>
      </c>
      <c r="R2382" s="47" t="inlineStr">
        <is>
          <t>No Video ID yet</t>
        </is>
      </c>
      <c r="S2382" s="49" t="n"/>
      <c r="T2382" s="49" t="n"/>
      <c r="U2382" s="47" t="inlineStr">
        <is>
          <t>Last week Rob Minkoff and Don Hahn, Director and Producer of Disney’s The Lion King respectively, revealed that Scar and Mufasa were not brothers?! Today Ben examines if this could possibly be true.</t>
        </is>
      </c>
      <c r="V2382" s="47">
        <f>IF(AND(P2382&gt;=Calendar!$K$2,P2382&lt;EDATE(Calendar!$K$2,1),OR(Calendar!$K$4="*",N2382=Calendar!$K$4)),P2382*100+COUNTIFS($P$6:$P$3267,P2382,$Q$6:$Q$3267,"&lt;="&amp;Q2382,$N$6:$N$3267,Calendar!$K$4),"")</f>
        <v/>
      </c>
      <c r="W2382" s="47">
        <f>IF(AND(B2382=Queue!$C$4,OR(Queue!$K$4="*",N2382=Queue!$K$4)),Q2382,"")</f>
        <v/>
      </c>
    </row>
    <row r="2383">
      <c r="A2383" s="38">
        <f>IF(M2383="","",HYPERLINK("https://www.youtube.com/watch?v="&amp;M2383,"▶"))</f>
        <v/>
      </c>
      <c r="B2383" s="39">
        <f>IF(C2383&lt;&gt;"",C2383,IF(P2383&lt;=IFERROR(INDEX(tblChannels[Watched Through],MATCH(N2383,tblChannels[Channel ID],0)),0),"Watched","Unwatched"))</f>
        <v/>
      </c>
      <c r="C2383" s="40" t="n"/>
      <c r="D2383" s="41" t="n"/>
      <c r="E2383" s="42" t="n">
        <v>42969.68541666667</v>
      </c>
      <c r="F2383" s="50" t="inlineStr">
        <is>
          <t>Super Carlin Brothers</t>
        </is>
      </c>
      <c r="G2383" t="inlineStr">
        <is>
          <t>Why Cornelius Fudge Is The Worst</t>
        </is>
      </c>
      <c r="H2383" s="44" t="n">
        <v>0.007337962962962963</v>
      </c>
      <c r="I2383" s="45" t="n">
        <v>1937153</v>
      </c>
      <c r="J2383" s="45" t="n">
        <v>44448</v>
      </c>
      <c r="K2383" s="45" t="n">
        <v>6081</v>
      </c>
      <c r="L2383" s="46" t="n"/>
      <c r="M2383" s="47" t="n"/>
      <c r="N2383" s="47" t="inlineStr">
        <is>
          <t>UCKZo4N0lVPccBkSiuyVh4yg</t>
        </is>
      </c>
      <c r="O2383" s="48" t="n">
        <v>42969.85208333333</v>
      </c>
      <c r="P2383" s="49" t="n">
        <v>42969</v>
      </c>
      <c r="Q2383" s="47" t="n">
        <v>885</v>
      </c>
      <c r="R2383" s="47" t="inlineStr">
        <is>
          <t>No Video ID yet</t>
        </is>
      </c>
      <c r="S2383" s="49" t="n"/>
      <c r="T2383" s="49" t="n"/>
      <c r="U2383" s="47" t="inlineStr">
        <is>
          <t>SCB Survey :: Patreon :: There are many villains in the wizarding world of Harry Potter: Belatrix, Umbridge, Barty Crouch Jr. and of course Voldemort himself, but today we discuss another great villain of the series who never really seems to get called out as much as he should, none other than Ex Minister of Magic Cornelius Fudge. Today’s video was inspired by this lovely Facebook post ::</t>
        </is>
      </c>
      <c r="V2383" s="47">
        <f>IF(AND(P2383&gt;=Calendar!$K$2,P2383&lt;EDATE(Calendar!$K$2,1),OR(Calendar!$K$4="*",N2383=Calendar!$K$4)),P2383*100+COUNTIFS($P$6:$P$3267,P2383,$Q$6:$Q$3267,"&lt;="&amp;Q2383,$N$6:$N$3267,Calendar!$K$4),"")</f>
        <v/>
      </c>
      <c r="W2383" s="47">
        <f>IF(AND(B2383=Queue!$C$4,OR(Queue!$K$4="*",N2383=Queue!$K$4)),Q2383,"")</f>
        <v/>
      </c>
    </row>
    <row r="2384">
      <c r="A2384" s="38">
        <f>IF(M2384="","",HYPERLINK("https://www.youtube.com/watch?v="&amp;M2384,"▶"))</f>
        <v/>
      </c>
      <c r="B2384" s="39">
        <f>IF(C2384&lt;&gt;"",C2384,IF(P2384&lt;=IFERROR(INDEX(tblChannels[Watched Through],MATCH(N2384,tblChannels[Channel ID],0)),0),"Watched","Unwatched"))</f>
        <v/>
      </c>
      <c r="C2384" s="40" t="n"/>
      <c r="D2384" s="41" t="n"/>
      <c r="E2384" s="42" t="n">
        <v>42969.41666666666</v>
      </c>
      <c r="F2384" s="52" t="inlineStr">
        <is>
          <t>Super Carlin Gaming</t>
        </is>
      </c>
      <c r="G2384" t="inlineStr">
        <is>
          <t>Mario Kart Roulette #25: Taking on 200 cc!</t>
        </is>
      </c>
      <c r="H2384" s="44" t="n">
        <v>0.009791666666666667</v>
      </c>
      <c r="I2384" s="45" t="n">
        <v>15846</v>
      </c>
      <c r="J2384" s="45" t="n">
        <v>510</v>
      </c>
      <c r="K2384" s="45" t="n">
        <v>68</v>
      </c>
      <c r="L2384" s="46" t="n"/>
      <c r="M2384" s="47" t="n"/>
      <c r="N2384" s="47" t="inlineStr">
        <is>
          <t>UCor_9jRnNNZVzTuQ92PKsaQ</t>
        </is>
      </c>
      <c r="O2384" s="48" t="n">
        <v>42969.58333333334</v>
      </c>
      <c r="P2384" s="49" t="n">
        <v>42969</v>
      </c>
      <c r="Q2384" s="47" t="n">
        <v>884</v>
      </c>
      <c r="R2384" s="47" t="inlineStr">
        <is>
          <t>No Video ID yet</t>
        </is>
      </c>
      <c r="S2384" s="49" t="n"/>
      <c r="T2384" s="49" t="n"/>
      <c r="U2384" s="47" t="inlineStr">
        <is>
          <t>In this episode, J and Ben advance to 200 cc after 3-starring all cups at 150 cc! While they play in this high-speed cup, they attempt to answer some more of your FAQs. If you have any questions you would like for J and Ben to answer in the next few videos, comment down below and your question might get picked to answer!</t>
        </is>
      </c>
      <c r="V2384" s="47">
        <f>IF(AND(P2384&gt;=Calendar!$K$2,P2384&lt;EDATE(Calendar!$K$2,1),OR(Calendar!$K$4="*",N2384=Calendar!$K$4)),P2384*100+COUNTIFS($P$6:$P$3267,P2384,$Q$6:$Q$3267,"&lt;="&amp;Q2384,$N$6:$N$3267,Calendar!$K$4),"")</f>
        <v/>
      </c>
      <c r="W2384" s="47">
        <f>IF(AND(B2384=Queue!$C$4,OR(Queue!$K$4="*",N2384=Queue!$K$4)),Q2384,"")</f>
        <v/>
      </c>
    </row>
    <row r="2385">
      <c r="A2385" s="38">
        <f>IF(M2385="","",HYPERLINK("https://www.youtube.com/watch?v="&amp;M2385,"▶"))</f>
        <v/>
      </c>
      <c r="B2385" s="39">
        <f>IF(C2385&lt;&gt;"",C2385,IF(P2385&lt;=IFERROR(INDEX(tblChannels[Watched Through],MATCH(N2385,tblChannels[Channel ID],0)),0),"Watched","Unwatched"))</f>
        <v/>
      </c>
      <c r="C2385" s="40" t="n"/>
      <c r="D2385" s="41" t="n"/>
      <c r="E2385" s="42" t="n">
        <v>42964.79166666666</v>
      </c>
      <c r="F2385" s="50" t="inlineStr">
        <is>
          <t>Super Carlin Brothers</t>
        </is>
      </c>
      <c r="G2385" t="inlineStr">
        <is>
          <t>Pixar Theory: Why Are Monsters Told Kids Are Toxic?</t>
        </is>
      </c>
      <c r="H2385" s="44" t="n">
        <v>0.007280092592592592</v>
      </c>
      <c r="I2385" s="45" t="n">
        <v>2388352</v>
      </c>
      <c r="J2385" s="45" t="n">
        <v>51827</v>
      </c>
      <c r="K2385" s="45" t="n">
        <v>7335</v>
      </c>
      <c r="L2385" s="46" t="n"/>
      <c r="M2385" s="47" t="n"/>
      <c r="N2385" s="47" t="inlineStr">
        <is>
          <t>UCKZo4N0lVPccBkSiuyVh4yg</t>
        </is>
      </c>
      <c r="O2385" s="48" t="n">
        <v>42964.95833333334</v>
      </c>
      <c r="P2385" s="49" t="n">
        <v>42964</v>
      </c>
      <c r="Q2385" s="47" t="n">
        <v>883</v>
      </c>
      <c r="R2385" s="47" t="inlineStr">
        <is>
          <t>No Video ID yet</t>
        </is>
      </c>
      <c r="S2385" s="49" t="n"/>
      <c r="T2385" s="49" t="n"/>
      <c r="U2385" s="47" t="inlineStr">
        <is>
          <t>Survey :: Today Ben dives into the world of Pixar’s Monsters Inc. to answer one of the most basic questions from the movie: What are the monsters ever even told the kids are toxic, when it is so clearly not true?</t>
        </is>
      </c>
      <c r="V2385" s="47">
        <f>IF(AND(P2385&gt;=Calendar!$K$2,P2385&lt;EDATE(Calendar!$K$2,1),OR(Calendar!$K$4="*",N2385=Calendar!$K$4)),P2385*100+COUNTIFS($P$6:$P$3267,P2385,$Q$6:$Q$3267,"&lt;="&amp;Q2385,$N$6:$N$3267,Calendar!$K$4),"")</f>
        <v/>
      </c>
      <c r="W2385" s="47">
        <f>IF(AND(B2385=Queue!$C$4,OR(Queue!$K$4="*",N2385=Queue!$K$4)),Q2385,"")</f>
        <v/>
      </c>
    </row>
    <row r="2386">
      <c r="A2386" s="38">
        <f>IF(M2386="","",HYPERLINK("https://www.youtube.com/watch?v="&amp;M2386,"▶"))</f>
        <v/>
      </c>
      <c r="B2386" s="39">
        <f>IF(C2386&lt;&gt;"",C2386,IF(P2386&lt;=IFERROR(INDEX(tblChannels[Watched Through],MATCH(N2386,tblChannels[Channel ID],0)),0),"Watched","Unwatched"))</f>
        <v/>
      </c>
      <c r="C2386" s="40" t="n"/>
      <c r="D2386" s="41" t="n"/>
      <c r="E2386" s="42" t="n">
        <v>42964.41666666666</v>
      </c>
      <c r="F2386" s="52" t="inlineStr">
        <is>
          <t>Super Carlin Gaming</t>
        </is>
      </c>
      <c r="G2386" t="inlineStr">
        <is>
          <t>Mario Kart Roulette #24: Most Tolerable Star Wars Prequel</t>
        </is>
      </c>
      <c r="H2386" s="44" t="n">
        <v>0.01109953703703704</v>
      </c>
      <c r="I2386" s="45" t="n">
        <v>17169</v>
      </c>
      <c r="J2386" s="45" t="n">
        <v>571</v>
      </c>
      <c r="K2386" s="45" t="n">
        <v>144</v>
      </c>
      <c r="L2386" s="46" t="n"/>
      <c r="M2386" s="47" t="n"/>
      <c r="N2386" s="47" t="inlineStr">
        <is>
          <t>UCor_9jRnNNZVzTuQ92PKsaQ</t>
        </is>
      </c>
      <c r="O2386" s="48" t="n">
        <v>42964.58333333334</v>
      </c>
      <c r="P2386" s="49" t="n">
        <v>42964</v>
      </c>
      <c r="Q2386" s="47" t="n">
        <v>882</v>
      </c>
      <c r="R2386" s="47" t="inlineStr">
        <is>
          <t>No Video ID yet</t>
        </is>
      </c>
      <c r="S2386" s="49" t="n"/>
      <c r="T2386" s="49" t="n"/>
      <c r="U2386" s="47" t="inlineStr">
        <is>
          <t>In this episode, J and Ben attempt to 3 star the Flower Cup at 150 cc (yet again) BOTH as Villager Girl...can they do it? While they play, they discuss/answer some more of your questions.</t>
        </is>
      </c>
      <c r="V2386" s="47">
        <f>IF(AND(P2386&gt;=Calendar!$K$2,P2386&lt;EDATE(Calendar!$K$2,1),OR(Calendar!$K$4="*",N2386=Calendar!$K$4)),P2386*100+COUNTIFS($P$6:$P$3267,P2386,$Q$6:$Q$3267,"&lt;="&amp;Q2386,$N$6:$N$3267,Calendar!$K$4),"")</f>
        <v/>
      </c>
      <c r="W2386" s="47">
        <f>IF(AND(B2386=Queue!$C$4,OR(Queue!$K$4="*",N2386=Queue!$K$4)),Q2386,"")</f>
        <v/>
      </c>
    </row>
    <row r="2387">
      <c r="A2387" s="38">
        <f>IF(M2387="","",HYPERLINK("https://www.youtube.com/watch?v="&amp;M2387,"▶"))</f>
        <v/>
      </c>
      <c r="B2387" s="39">
        <f>IF(C2387&lt;&gt;"",C2387,IF(P2387&lt;=IFERROR(INDEX(tblChannels[Watched Through],MATCH(N2387,tblChannels[Channel ID],0)),0),"Watched","Unwatched"))</f>
        <v/>
      </c>
      <c r="C2387" s="40" t="n"/>
      <c r="D2387" s="41" t="n"/>
      <c r="E2387" s="42" t="n">
        <v>42962.80763888889</v>
      </c>
      <c r="F2387" s="50" t="inlineStr">
        <is>
          <t>Super Carlin Brothers</t>
        </is>
      </c>
      <c r="G2387" t="inlineStr">
        <is>
          <t>Marvel Theory: Why J. Jonah Jameson Hates Spider-Man (Feat. NerdSync)</t>
        </is>
      </c>
      <c r="H2387" s="44" t="n">
        <v>0.006377314814814815</v>
      </c>
      <c r="I2387" s="45" t="n">
        <v>861090</v>
      </c>
      <c r="J2387" s="45" t="n">
        <v>24503</v>
      </c>
      <c r="K2387" s="45" t="n">
        <v>2234</v>
      </c>
      <c r="L2387" s="46" t="n"/>
      <c r="M2387" s="47" t="n"/>
      <c r="N2387" s="47" t="inlineStr">
        <is>
          <t>UCKZo4N0lVPccBkSiuyVh4yg</t>
        </is>
      </c>
      <c r="O2387" s="48" t="n">
        <v>42962.97430555556</v>
      </c>
      <c r="P2387" s="49" t="n">
        <v>42962</v>
      </c>
      <c r="Q2387" s="47" t="n">
        <v>881</v>
      </c>
      <c r="R2387" s="47" t="inlineStr">
        <is>
          <t>No Video ID yet</t>
        </is>
      </c>
      <c r="S2387" s="49" t="n"/>
      <c r="T2387" s="49" t="n"/>
      <c r="U2387" s="47" t="inlineStr">
        <is>
          <t>Check out NerdSync Today J and Scott dive into the Marvel Universe to uncover an age old mystery.. Why does J. Jonah Jameson HATE Spider-Man? Also.. have you heard of his son.. You know, the astronaut?</t>
        </is>
      </c>
      <c r="V2387" s="47">
        <f>IF(AND(P2387&gt;=Calendar!$K$2,P2387&lt;EDATE(Calendar!$K$2,1),OR(Calendar!$K$4="*",N2387=Calendar!$K$4)),P2387*100+COUNTIFS($P$6:$P$3267,P2387,$Q$6:$Q$3267,"&lt;="&amp;Q2387,$N$6:$N$3267,Calendar!$K$4),"")</f>
        <v/>
      </c>
      <c r="W2387" s="47">
        <f>IF(AND(B2387=Queue!$C$4,OR(Queue!$K$4="*",N2387=Queue!$K$4)),Q2387,"")</f>
        <v/>
      </c>
    </row>
    <row r="2388">
      <c r="A2388" s="38">
        <f>IF(M2388="","",HYPERLINK("https://www.youtube.com/watch?v="&amp;M2388,"▶"))</f>
        <v/>
      </c>
      <c r="B2388" s="39">
        <f>IF(C2388&lt;&gt;"",C2388,IF(P2388&lt;=IFERROR(INDEX(tblChannels[Watched Through],MATCH(N2388,tblChannels[Channel ID],0)),0),"Watched","Unwatched"))</f>
        <v/>
      </c>
      <c r="C2388" s="40" t="n"/>
      <c r="D2388" s="41" t="n"/>
      <c r="E2388" s="42" t="n">
        <v>42962.41666666666</v>
      </c>
      <c r="F2388" s="52" t="inlineStr">
        <is>
          <t>Super Carlin Gaming</t>
        </is>
      </c>
      <c r="G2388" t="inlineStr">
        <is>
          <t>Mario Kart: SPECIAL EDITION BATTLE #2 with J, Ben, DK and Kallie!</t>
        </is>
      </c>
      <c r="H2388" s="44" t="n">
        <v>0.02248842592592593</v>
      </c>
      <c r="I2388" s="45" t="n">
        <v>12615</v>
      </c>
      <c r="J2388" s="45" t="n">
        <v>391</v>
      </c>
      <c r="K2388" s="45" t="n">
        <v>200</v>
      </c>
      <c r="L2388" s="46" t="n"/>
      <c r="M2388" s="47" t="n"/>
      <c r="N2388" s="47" t="inlineStr">
        <is>
          <t>UCor_9jRnNNZVzTuQ92PKsaQ</t>
        </is>
      </c>
      <c r="O2388" s="48" t="n">
        <v>42962.58333333334</v>
      </c>
      <c r="P2388" s="49" t="n">
        <v>42962</v>
      </c>
      <c r="Q2388" s="47" t="n">
        <v>880</v>
      </c>
      <c r="R2388" s="47" t="inlineStr">
        <is>
          <t>No Video ID yet</t>
        </is>
      </c>
      <c r="S2388" s="49" t="n"/>
      <c r="T2388" s="49" t="n"/>
      <c r="U2388" s="47" t="inlineStr">
        <is>
          <t>J and Ben join up with DK and Kallie in this special edition battle episode where they play two rounds of Shine Thief on Mario Kart 8! Go subscribe to Kallie's and DK's channels! Kallie: DK: Our Twitch:</t>
        </is>
      </c>
      <c r="V2388" s="47">
        <f>IF(AND(P2388&gt;=Calendar!$K$2,P2388&lt;EDATE(Calendar!$K$2,1),OR(Calendar!$K$4="*",N2388=Calendar!$K$4)),P2388*100+COUNTIFS($P$6:$P$3267,P2388,$Q$6:$Q$3267,"&lt;="&amp;Q2388,$N$6:$N$3267,Calendar!$K$4),"")</f>
        <v/>
      </c>
      <c r="W2388" s="47">
        <f>IF(AND(B2388=Queue!$C$4,OR(Queue!$K$4="*",N2388=Queue!$K$4)),Q2388,"")</f>
        <v/>
      </c>
    </row>
    <row r="2389">
      <c r="A2389" s="38">
        <f>IF(M2389="","",HYPERLINK("https://www.youtube.com/watch?v="&amp;M2389,"▶"))</f>
        <v/>
      </c>
      <c r="B2389" s="39">
        <f>IF(C2389&lt;&gt;"",C2389,IF(P2389&lt;=IFERROR(INDEX(tblChannels[Watched Through],MATCH(N2389,tblChannels[Channel ID],0)),0),"Watched","Unwatched"))</f>
        <v/>
      </c>
      <c r="C2389" s="40" t="n"/>
      <c r="D2389" s="41" t="n"/>
      <c r="E2389" s="42" t="n">
        <v>42957.72291666667</v>
      </c>
      <c r="F2389" s="50" t="inlineStr">
        <is>
          <t>Super Carlin Brothers</t>
        </is>
      </c>
      <c r="G2389" t="inlineStr">
        <is>
          <t>How Harry Potter Will Show Up In Fantastic Beasts</t>
        </is>
      </c>
      <c r="H2389" s="44" t="n">
        <v>0.005300925925925926</v>
      </c>
      <c r="I2389" s="45" t="n">
        <v>1084512</v>
      </c>
      <c r="J2389" s="45" t="n">
        <v>29038</v>
      </c>
      <c r="K2389" s="45" t="n">
        <v>2980</v>
      </c>
      <c r="L2389" s="46" t="n"/>
      <c r="M2389" s="47" t="n"/>
      <c r="N2389" s="47" t="inlineStr">
        <is>
          <t>UCKZo4N0lVPccBkSiuyVh4yg</t>
        </is>
      </c>
      <c r="O2389" s="48" t="n">
        <v>42957.88958333333</v>
      </c>
      <c r="P2389" s="49" t="n">
        <v>42957</v>
      </c>
      <c r="Q2389" s="47" t="n">
        <v>879</v>
      </c>
      <c r="R2389" s="47" t="inlineStr">
        <is>
          <t>No Video ID yet</t>
        </is>
      </c>
      <c r="S2389" s="49" t="n"/>
      <c r="T2389" s="49" t="n"/>
      <c r="U2389" s="47" t="inlineStr">
        <is>
          <t>Could we see Harry Potter in the upcoming Fantastic Beasts and Where To Find Them Movie? Today Ben dives into the history of the Wizarding World of Harry Potter to find out! #HarryPotterAndWhereToFindHim</t>
        </is>
      </c>
      <c r="V2389" s="47">
        <f>IF(AND(P2389&gt;=Calendar!$K$2,P2389&lt;EDATE(Calendar!$K$2,1),OR(Calendar!$K$4="*",N2389=Calendar!$K$4)),P2389*100+COUNTIFS($P$6:$P$3267,P2389,$Q$6:$Q$3267,"&lt;="&amp;Q2389,$N$6:$N$3267,Calendar!$K$4),"")</f>
        <v/>
      </c>
      <c r="W2389" s="47">
        <f>IF(AND(B2389=Queue!$C$4,OR(Queue!$K$4="*",N2389=Queue!$K$4)),Q2389,"")</f>
        <v/>
      </c>
    </row>
    <row r="2390">
      <c r="A2390" s="38">
        <f>IF(M2390="","",HYPERLINK("https://www.youtube.com/watch?v="&amp;M2390,"▶"))</f>
        <v/>
      </c>
      <c r="B2390" s="39">
        <f>IF(C2390&lt;&gt;"",C2390,IF(P2390&lt;=IFERROR(INDEX(tblChannels[Watched Through],MATCH(N2390,tblChannels[Channel ID],0)),0),"Watched","Unwatched"))</f>
        <v/>
      </c>
      <c r="C2390" s="40" t="n"/>
      <c r="D2390" s="41" t="n"/>
      <c r="E2390" s="42" t="n">
        <v>42957.41666666666</v>
      </c>
      <c r="F2390" s="52" t="inlineStr">
        <is>
          <t>Super Carlin Gaming</t>
        </is>
      </c>
      <c r="G2390" t="inlineStr">
        <is>
          <t>Mario Kart Roulette #23: Your Problems Don't Mean Anything</t>
        </is>
      </c>
      <c r="H2390" s="44" t="n">
        <v>0.01076388888888889</v>
      </c>
      <c r="I2390" s="45" t="n">
        <v>14495</v>
      </c>
      <c r="J2390" s="45" t="n">
        <v>479</v>
      </c>
      <c r="K2390" s="45" t="n">
        <v>81</v>
      </c>
      <c r="L2390" s="46" t="n"/>
      <c r="M2390" s="47" t="n"/>
      <c r="N2390" s="47" t="inlineStr">
        <is>
          <t>UCor_9jRnNNZVzTuQ92PKsaQ</t>
        </is>
      </c>
      <c r="O2390" s="48" t="n">
        <v>42957.58333333334</v>
      </c>
      <c r="P2390" s="49" t="n">
        <v>42957</v>
      </c>
      <c r="Q2390" s="47" t="n">
        <v>878</v>
      </c>
      <c r="R2390" s="47" t="inlineStr">
        <is>
          <t>No Video ID yet</t>
        </is>
      </c>
      <c r="S2390" s="49" t="n"/>
      <c r="T2390" s="49" t="n"/>
      <c r="U2390" s="47" t="inlineStr">
        <is>
          <t>In this episode, J and Ben take another shot at the Leaf Cup (again) in their efforts to 3-star as Link and Baby Peach. J and Ben continue to discuss Ben's "Rules to Life." If you have any questions you would like for J and Ben to answer in the next video, leave them in the comments below and yours might get picked!</t>
        </is>
      </c>
      <c r="V2390" s="47">
        <f>IF(AND(P2390&gt;=Calendar!$K$2,P2390&lt;EDATE(Calendar!$K$2,1),OR(Calendar!$K$4="*",N2390=Calendar!$K$4)),P2390*100+COUNTIFS($P$6:$P$3267,P2390,$Q$6:$Q$3267,"&lt;="&amp;Q2390,$N$6:$N$3267,Calendar!$K$4),"")</f>
        <v/>
      </c>
      <c r="W2390" s="47">
        <f>IF(AND(B2390=Queue!$C$4,OR(Queue!$K$4="*",N2390=Queue!$K$4)),Q2390,"")</f>
        <v/>
      </c>
    </row>
    <row r="2391">
      <c r="A2391" s="38">
        <f>IF(M2391="","",HYPERLINK("https://www.youtube.com/watch?v="&amp;M2391,"▶"))</f>
        <v/>
      </c>
      <c r="B2391" s="39">
        <f>IF(C2391&lt;&gt;"",C2391,IF(P2391&lt;=IFERROR(INDEX(tblChannels[Watched Through],MATCH(N2391,tblChannels[Channel ID],0)),0),"Watched","Unwatched"))</f>
        <v/>
      </c>
      <c r="C2391" s="40" t="n"/>
      <c r="D2391" s="41" t="n"/>
      <c r="E2391" s="42" t="n">
        <v>42955.62430555555</v>
      </c>
      <c r="F2391" s="50" t="inlineStr">
        <is>
          <t>Super Carlin Brothers</t>
        </is>
      </c>
      <c r="G2391" t="inlineStr">
        <is>
          <t>Will O' The Wisps Explained</t>
        </is>
      </c>
      <c r="H2391" s="44" t="n">
        <v>0.007916666666666667</v>
      </c>
      <c r="I2391" s="45" t="n">
        <v>532138</v>
      </c>
      <c r="J2391" s="45" t="n">
        <v>19267</v>
      </c>
      <c r="K2391" s="45" t="n">
        <v>2516</v>
      </c>
      <c r="L2391" s="46" t="n"/>
      <c r="M2391" s="47" t="n"/>
      <c r="N2391" s="47" t="inlineStr">
        <is>
          <t>UCKZo4N0lVPccBkSiuyVh4yg</t>
        </is>
      </c>
      <c r="O2391" s="48" t="n">
        <v>42955.79097222222</v>
      </c>
      <c r="P2391" s="49" t="n">
        <v>42955</v>
      </c>
      <c r="Q2391" s="47" t="n">
        <v>877</v>
      </c>
      <c r="R2391" s="47" t="inlineStr">
        <is>
          <t>No Video ID yet</t>
        </is>
      </c>
      <c r="S2391" s="49" t="n"/>
      <c r="T2391" s="49" t="n"/>
      <c r="U2391" s="47" t="inlineStr">
        <is>
          <t>Discover details about your unique family history. Go to and get a 10% discount! Thanks to AncestryDNA for sponsoring this video. Ever wonder about those little blue flame guys from Pixar’s Brave? Today J delves into their interesting backstory, widespread folklore and the actual science behind them</t>
        </is>
      </c>
      <c r="V2391" s="47">
        <f>IF(AND(P2391&gt;=Calendar!$K$2,P2391&lt;EDATE(Calendar!$K$2,1),OR(Calendar!$K$4="*",N2391=Calendar!$K$4)),P2391*100+COUNTIFS($P$6:$P$3267,P2391,$Q$6:$Q$3267,"&lt;="&amp;Q2391,$N$6:$N$3267,Calendar!$K$4),"")</f>
        <v/>
      </c>
      <c r="W2391" s="47">
        <f>IF(AND(B2391=Queue!$C$4,OR(Queue!$K$4="*",N2391=Queue!$K$4)),Q2391,"")</f>
        <v/>
      </c>
    </row>
    <row r="2392">
      <c r="A2392" s="38">
        <f>IF(M2392="","",HYPERLINK("https://www.youtube.com/watch?v="&amp;M2392,"▶"))</f>
        <v/>
      </c>
      <c r="B2392" s="39">
        <f>IF(C2392&lt;&gt;"",C2392,IF(P2392&lt;=IFERROR(INDEX(tblChannels[Watched Through],MATCH(N2392,tblChannels[Channel ID],0)),0),"Watched","Unwatched"))</f>
        <v/>
      </c>
      <c r="C2392" s="40" t="n"/>
      <c r="D2392" s="41" t="n"/>
      <c r="E2392" s="42" t="n">
        <v>42955.45277777778</v>
      </c>
      <c r="F2392" s="52" t="inlineStr">
        <is>
          <t>Super Carlin Gaming</t>
        </is>
      </c>
      <c r="G2392" t="inlineStr">
        <is>
          <t>Mario Kart Roulette #22: Don't Watch This Video If You're Pregnant</t>
        </is>
      </c>
      <c r="H2392" s="44" t="n">
        <v>0.01170138888888889</v>
      </c>
      <c r="I2392" s="45" t="n">
        <v>15552</v>
      </c>
      <c r="J2392" s="45" t="n">
        <v>522</v>
      </c>
      <c r="K2392" s="45" t="n">
        <v>170</v>
      </c>
      <c r="L2392" s="46" t="n"/>
      <c r="M2392" s="47" t="n"/>
      <c r="N2392" s="47" t="inlineStr">
        <is>
          <t>UCor_9jRnNNZVzTuQ92PKsaQ</t>
        </is>
      </c>
      <c r="O2392" s="48" t="n">
        <v>42955.61944444444</v>
      </c>
      <c r="P2392" s="49" t="n">
        <v>42955</v>
      </c>
      <c r="Q2392" s="47" t="n">
        <v>876</v>
      </c>
      <c r="R2392" s="47" t="inlineStr">
        <is>
          <t>No Video ID yet</t>
        </is>
      </c>
      <c r="S2392" s="49" t="n"/>
      <c r="T2392" s="49" t="n"/>
      <c r="U2392" s="47" t="inlineStr">
        <is>
          <t>In this episode, Ben and J take on the flower cup (again) in their efforts to 3-star. Can they do it? We shall see... They play as Villager Girl and Lakitu as they discuss Ben's "Rules to Life!" If you have any questions that you'd like for Ben and J to answer in the next video, leave them in the comments below and direct them at KALLIE so she'll see it!</t>
        </is>
      </c>
      <c r="V2392" s="47">
        <f>IF(AND(P2392&gt;=Calendar!$K$2,P2392&lt;EDATE(Calendar!$K$2,1),OR(Calendar!$K$4="*",N2392=Calendar!$K$4)),P2392*100+COUNTIFS($P$6:$P$3267,P2392,$Q$6:$Q$3267,"&lt;="&amp;Q2392,$N$6:$N$3267,Calendar!$K$4),"")</f>
        <v/>
      </c>
      <c r="W2392" s="47">
        <f>IF(AND(B2392=Queue!$C$4,OR(Queue!$K$4="*",N2392=Queue!$K$4)),Q2392,"")</f>
        <v/>
      </c>
    </row>
    <row r="2393">
      <c r="A2393" s="38">
        <f>IF(M2393="","",HYPERLINK("https://www.youtube.com/watch?v="&amp;M2393,"▶"))</f>
        <v/>
      </c>
      <c r="B2393" s="39">
        <f>IF(C2393&lt;&gt;"",C2393,IF(P2393&lt;=IFERROR(INDEX(tblChannels[Watched Through],MATCH(N2393,tblChannels[Channel ID],0)),0),"Watched","Unwatched"))</f>
        <v/>
      </c>
      <c r="C2393" s="40" t="n"/>
      <c r="D2393" s="41" t="n"/>
      <c r="E2393" s="42" t="n">
        <v>42951.74722222222</v>
      </c>
      <c r="F2393" s="52" t="inlineStr">
        <is>
          <t>Super Carlin Gaming</t>
        </is>
      </c>
      <c r="G2393" t="inlineStr">
        <is>
          <t>Pokemon Pearl Nuzlocke #30: THE FINAL BATTLE!</t>
        </is>
      </c>
      <c r="H2393" s="44" t="n">
        <v>0.02143518518518519</v>
      </c>
      <c r="I2393" s="45" t="n">
        <v>33624</v>
      </c>
      <c r="J2393" s="45" t="n">
        <v>1080</v>
      </c>
      <c r="K2393" s="45" t="n">
        <v>462</v>
      </c>
      <c r="L2393" s="46" t="n"/>
      <c r="M2393" s="47" t="n"/>
      <c r="N2393" s="47" t="inlineStr">
        <is>
          <t>UCor_9jRnNNZVzTuQ92PKsaQ</t>
        </is>
      </c>
      <c r="O2393" s="48" t="n">
        <v>42951.91388888889</v>
      </c>
      <c r="P2393" s="49" t="n">
        <v>42951</v>
      </c>
      <c r="Q2393" s="47" t="n">
        <v>875</v>
      </c>
      <c r="R2393" s="47" t="inlineStr">
        <is>
          <t>No Video ID yet</t>
        </is>
      </c>
      <c r="S2393" s="49" t="n"/>
      <c r="T2393" s="49" t="n"/>
      <c r="U2393" s="47" t="inlineStr">
        <is>
          <t>J and the team take on Cynthia - It all comes down to this! Will the team be victorious?!? Who will we lose along the way?! DK's Twitter:</t>
        </is>
      </c>
      <c r="V2393" s="47">
        <f>IF(AND(P2393&gt;=Calendar!$K$2,P2393&lt;EDATE(Calendar!$K$2,1),OR(Calendar!$K$4="*",N2393=Calendar!$K$4)),P2393*100+COUNTIFS($P$6:$P$3267,P2393,$Q$6:$Q$3267,"&lt;="&amp;Q2393,$N$6:$N$3267,Calendar!$K$4),"")</f>
        <v/>
      </c>
      <c r="W2393" s="47">
        <f>IF(AND(B2393=Queue!$C$4,OR(Queue!$K$4="*",N2393=Queue!$K$4)),Q2393,"")</f>
        <v/>
      </c>
    </row>
    <row r="2394">
      <c r="A2394" s="38">
        <f>IF(M2394="","",HYPERLINK("https://www.youtube.com/watch?v="&amp;M2394,"▶"))</f>
        <v/>
      </c>
      <c r="B2394" s="39">
        <f>IF(C2394&lt;&gt;"",C2394,IF(P2394&lt;=IFERROR(INDEX(tblChannels[Watched Through],MATCH(N2394,tblChannels[Channel ID],0)),0),"Watched","Unwatched"))</f>
        <v/>
      </c>
      <c r="C2394" s="40" t="n"/>
      <c r="D2394" s="41" t="n"/>
      <c r="E2394" s="42" t="n">
        <v>42950.725</v>
      </c>
      <c r="F2394" s="50" t="inlineStr">
        <is>
          <t>Super Carlin Brothers</t>
        </is>
      </c>
      <c r="G2394" t="inlineStr">
        <is>
          <t>Harry Potter Theory: Why Harry Had To Compete In The Tri-Wizard Tournament</t>
        </is>
      </c>
      <c r="H2394" s="44" t="n">
        <v>0.005231481481481481</v>
      </c>
      <c r="I2394" s="45" t="n">
        <v>1962475</v>
      </c>
      <c r="J2394" s="45" t="n">
        <v>35881</v>
      </c>
      <c r="K2394" s="45" t="n">
        <v>4005</v>
      </c>
      <c r="L2394" s="46" t="n"/>
      <c r="M2394" s="47" t="n"/>
      <c r="N2394" s="47" t="inlineStr">
        <is>
          <t>UCKZo4N0lVPccBkSiuyVh4yg</t>
        </is>
      </c>
      <c r="O2394" s="48" t="n">
        <v>42950.89166666667</v>
      </c>
      <c r="P2394" s="49" t="n">
        <v>42950</v>
      </c>
      <c r="Q2394" s="47" t="n">
        <v>874</v>
      </c>
      <c r="R2394" s="47" t="inlineStr">
        <is>
          <t>No Video ID yet</t>
        </is>
      </c>
      <c r="S2394" s="49" t="n"/>
      <c r="T2394" s="49" t="n"/>
      <c r="U2394" s="47" t="inlineStr">
        <is>
          <t>Ever wonder why Harry HAD to compete in the Tri-Wizard Cup? Why he couldn’t just stand aside or forfeit each task so it was fair to the other schools? Today Ben dives into the wizarding world of Harry Potter to find out.</t>
        </is>
      </c>
      <c r="V2394" s="47">
        <f>IF(AND(P2394&gt;=Calendar!$K$2,P2394&lt;EDATE(Calendar!$K$2,1),OR(Calendar!$K$4="*",N2394=Calendar!$K$4)),P2394*100+COUNTIFS($P$6:$P$3267,P2394,$Q$6:$Q$3267,"&lt;="&amp;Q2394,$N$6:$N$3267,Calendar!$K$4),"")</f>
        <v/>
      </c>
      <c r="W2394" s="47">
        <f>IF(AND(B2394=Queue!$C$4,OR(Queue!$K$4="*",N2394=Queue!$K$4)),Q2394,"")</f>
        <v/>
      </c>
    </row>
    <row r="2395">
      <c r="A2395" s="38">
        <f>IF(M2395="","",HYPERLINK("https://www.youtube.com/watch?v="&amp;M2395,"▶"))</f>
        <v/>
      </c>
      <c r="B2395" s="39">
        <f>IF(C2395&lt;&gt;"",C2395,IF(P2395&lt;=IFERROR(INDEX(tblChannels[Watched Through],MATCH(N2395,tblChannels[Channel ID],0)),0),"Watched","Unwatched"))</f>
        <v/>
      </c>
      <c r="C2395" s="40" t="n"/>
      <c r="D2395" s="41" t="n"/>
      <c r="E2395" s="42" t="n">
        <v>42950.49097222222</v>
      </c>
      <c r="F2395" s="52" t="inlineStr">
        <is>
          <t>Super Carlin Gaming</t>
        </is>
      </c>
      <c r="G2395" t="inlineStr">
        <is>
          <t>Mario Kart Roulette #21: Which Deathly Hallow Would You Choose?</t>
        </is>
      </c>
      <c r="H2395" s="44" t="n">
        <v>0.01185185185185185</v>
      </c>
      <c r="I2395" s="45" t="n">
        <v>14768</v>
      </c>
      <c r="J2395" s="45" t="n">
        <v>453</v>
      </c>
      <c r="K2395" s="45" t="n">
        <v>146</v>
      </c>
      <c r="L2395" s="46" t="n"/>
      <c r="M2395" s="47" t="n"/>
      <c r="N2395" s="47" t="inlineStr">
        <is>
          <t>UCor_9jRnNNZVzTuQ92PKsaQ</t>
        </is>
      </c>
      <c r="O2395" s="48" t="n">
        <v>42950.65763888889</v>
      </c>
      <c r="P2395" s="49" t="n">
        <v>42950</v>
      </c>
      <c r="Q2395" s="47" t="n">
        <v>873</v>
      </c>
      <c r="R2395" s="47" t="inlineStr">
        <is>
          <t>No Video ID yet</t>
        </is>
      </c>
      <c r="S2395" s="49" t="n"/>
      <c r="T2395" s="49" t="n"/>
      <c r="U2395" s="47" t="inlineStr">
        <is>
          <t>In this episode, J and Ben play as Bowser and Baby Daisy while they try to 3-star the Leaf Cup! If you would like for J and Ben to answer any of your questions in the next video, leave them in the comments below!</t>
        </is>
      </c>
      <c r="V2395" s="47">
        <f>IF(AND(P2395&gt;=Calendar!$K$2,P2395&lt;EDATE(Calendar!$K$2,1),OR(Calendar!$K$4="*",N2395=Calendar!$K$4)),P2395*100+COUNTIFS($P$6:$P$3267,P2395,$Q$6:$Q$3267,"&lt;="&amp;Q2395,$N$6:$N$3267,Calendar!$K$4),"")</f>
        <v/>
      </c>
      <c r="W2395" s="47">
        <f>IF(AND(B2395=Queue!$C$4,OR(Queue!$K$4="*",N2395=Queue!$K$4)),Q2395,"")</f>
        <v/>
      </c>
    </row>
    <row r="2396">
      <c r="A2396" s="38">
        <f>IF(M2396="","",HYPERLINK("https://www.youtube.com/watch?v="&amp;M2396,"▶"))</f>
        <v/>
      </c>
      <c r="B2396" s="39">
        <f>IF(C2396&lt;&gt;"",C2396,IF(P2396&lt;=IFERROR(INDEX(tblChannels[Watched Through],MATCH(N2396,tblChannels[Channel ID],0)),0),"Watched","Unwatched"))</f>
        <v/>
      </c>
      <c r="C2396" s="40" t="n"/>
      <c r="D2396" s="41" t="n"/>
      <c r="E2396" s="42" t="n">
        <v>42949.67152777778</v>
      </c>
      <c r="F2396" s="52" t="inlineStr">
        <is>
          <t>Super Carlin Gaming</t>
        </is>
      </c>
      <c r="G2396" t="inlineStr">
        <is>
          <t>Pokemon Pearl Nuzlocke #29: THE ELITE FOUR</t>
        </is>
      </c>
      <c r="H2396" s="44" t="n">
        <v>0.0249537037037037</v>
      </c>
      <c r="I2396" s="45" t="n">
        <v>27429</v>
      </c>
      <c r="J2396" s="45" t="n">
        <v>798</v>
      </c>
      <c r="K2396" s="45" t="n">
        <v>172</v>
      </c>
      <c r="L2396" s="46" t="n"/>
      <c r="M2396" s="47" t="n"/>
      <c r="N2396" s="47" t="inlineStr">
        <is>
          <t>UCor_9jRnNNZVzTuQ92PKsaQ</t>
        </is>
      </c>
      <c r="O2396" s="48" t="n">
        <v>42949.83819444444</v>
      </c>
      <c r="P2396" s="49" t="n">
        <v>42949</v>
      </c>
      <c r="Q2396" s="47" t="n">
        <v>872</v>
      </c>
      <c r="R2396" s="47" t="inlineStr">
        <is>
          <t>No Video ID yet</t>
        </is>
      </c>
      <c r="S2396" s="49" t="n"/>
      <c r="T2396" s="49" t="n"/>
      <c r="U2396" s="47" t="inlineStr">
        <is>
          <t>J and the Team take on the Elite Four! Will everyone make it out alive?</t>
        </is>
      </c>
      <c r="V2396" s="47">
        <f>IF(AND(P2396&gt;=Calendar!$K$2,P2396&lt;EDATE(Calendar!$K$2,1),OR(Calendar!$K$4="*",N2396=Calendar!$K$4)),P2396*100+COUNTIFS($P$6:$P$3267,P2396,$Q$6:$Q$3267,"&lt;="&amp;Q2396,$N$6:$N$3267,Calendar!$K$4),"")</f>
        <v/>
      </c>
      <c r="W2396" s="47">
        <f>IF(AND(B2396=Queue!$C$4,OR(Queue!$K$4="*",N2396=Queue!$K$4)),Q2396,"")</f>
        <v/>
      </c>
    </row>
    <row r="2397">
      <c r="A2397" s="38">
        <f>IF(M2397="","",HYPERLINK("https://www.youtube.com/watch?v="&amp;M2397,"▶"))</f>
        <v/>
      </c>
      <c r="B2397" s="39">
        <f>IF(C2397&lt;&gt;"",C2397,IF(P2397&lt;=IFERROR(INDEX(tblChannels[Watched Through],MATCH(N2397,tblChannels[Channel ID],0)),0),"Watched","Unwatched"))</f>
        <v/>
      </c>
      <c r="C2397" s="40" t="n"/>
      <c r="D2397" s="41" t="n"/>
      <c r="E2397" s="42" t="n">
        <v>42948.72777777778</v>
      </c>
      <c r="F2397" s="50" t="inlineStr">
        <is>
          <t>Super Carlin Brothers</t>
        </is>
      </c>
      <c r="G2397" t="inlineStr">
        <is>
          <t>Harry Potter Theory: How The Resurrection Stone Actually Works</t>
        </is>
      </c>
      <c r="H2397" s="44" t="n">
        <v>0.005868055555555555</v>
      </c>
      <c r="I2397" s="45" t="n">
        <v>1705097</v>
      </c>
      <c r="J2397" s="45" t="n">
        <v>36454</v>
      </c>
      <c r="K2397" s="45" t="n">
        <v>7712</v>
      </c>
      <c r="L2397" s="46" t="n"/>
      <c r="M2397" s="47" t="n"/>
      <c r="N2397" s="47" t="inlineStr">
        <is>
          <t>UCKZo4N0lVPccBkSiuyVh4yg</t>
        </is>
      </c>
      <c r="O2397" s="48" t="n">
        <v>42948.89444444444</v>
      </c>
      <c r="P2397" s="49" t="n">
        <v>42948</v>
      </c>
      <c r="Q2397" s="47" t="n">
        <v>871</v>
      </c>
      <c r="R2397" s="47" t="inlineStr">
        <is>
          <t>No Video ID yet</t>
        </is>
      </c>
      <c r="S2397" s="49" t="n"/>
      <c r="T2397" s="49" t="n"/>
      <c r="U2397" s="47" t="inlineStr">
        <is>
          <t>Today J dives into the wizarding world of Harry Potter to determine the true nature of the 2nd Deathly Hallow: The Resurrection Stone, and discusses if Harry’s final moments before facing Voldemort are really what they seem. Special thanks to these patrons on Patreon: Charles C. Seymour, Qui Le, Kristhell Lopez, Elizabeth Jack, Tj Hammerlund, Amy Beerbower, Isabella</t>
        </is>
      </c>
      <c r="V2397" s="47">
        <f>IF(AND(P2397&gt;=Calendar!$K$2,P2397&lt;EDATE(Calendar!$K$2,1),OR(Calendar!$K$4="*",N2397=Calendar!$K$4)),P2397*100+COUNTIFS($P$6:$P$3267,P2397,$Q$6:$Q$3267,"&lt;="&amp;Q2397,$N$6:$N$3267,Calendar!$K$4),"")</f>
        <v/>
      </c>
      <c r="W2397" s="47">
        <f>IF(AND(B2397=Queue!$C$4,OR(Queue!$K$4="*",N2397=Queue!$K$4)),Q2397,"")</f>
        <v/>
      </c>
    </row>
    <row r="2398">
      <c r="A2398" s="38">
        <f>IF(M2398="","",HYPERLINK("https://www.youtube.com/watch?v="&amp;M2398,"▶"))</f>
        <v/>
      </c>
      <c r="B2398" s="39">
        <f>IF(C2398&lt;&gt;"",C2398,IF(P2398&lt;=IFERROR(INDEX(tblChannels[Watched Through],MATCH(N2398,tblChannels[Channel ID],0)),0),"Watched","Unwatched"))</f>
        <v/>
      </c>
      <c r="C2398" s="40" t="n"/>
      <c r="D2398" s="41" t="n"/>
      <c r="E2398" s="42" t="n">
        <v>42948.48402777778</v>
      </c>
      <c r="F2398" s="52" t="inlineStr">
        <is>
          <t>Super Carlin Gaming</t>
        </is>
      </c>
      <c r="G2398" t="inlineStr">
        <is>
          <t>Mario Kart Roulette #20: Ice Cream and Pizza Toppings</t>
        </is>
      </c>
      <c r="H2398" s="44" t="n">
        <v>0.01055555555555556</v>
      </c>
      <c r="I2398" s="45" t="n">
        <v>16245</v>
      </c>
      <c r="J2398" s="45" t="n">
        <v>462</v>
      </c>
      <c r="K2398" s="45" t="n">
        <v>153</v>
      </c>
      <c r="L2398" s="46" t="n"/>
      <c r="M2398" s="47" t="n"/>
      <c r="N2398" s="47" t="inlineStr">
        <is>
          <t>UCor_9jRnNNZVzTuQ92PKsaQ</t>
        </is>
      </c>
      <c r="O2398" s="48" t="n">
        <v>42948.65069444444</v>
      </c>
      <c r="P2398" s="49" t="n">
        <v>42948</v>
      </c>
      <c r="Q2398" s="47" t="n">
        <v>870</v>
      </c>
      <c r="R2398" s="47" t="inlineStr">
        <is>
          <t>No Video ID yet</t>
        </is>
      </c>
      <c r="S2398" s="49" t="n"/>
      <c r="T2398" s="49" t="n"/>
      <c r="U2398" s="47" t="inlineStr">
        <is>
          <t>In this episode, J and Ben play as Donkey Kong and Daisy in their efforts to 3-star the Banana Cup... again. If you would like for J and Ben to answer any of your questions in the next video, leave them in the comments below!</t>
        </is>
      </c>
      <c r="V2398" s="47">
        <f>IF(AND(P2398&gt;=Calendar!$K$2,P2398&lt;EDATE(Calendar!$K$2,1),OR(Calendar!$K$4="*",N2398=Calendar!$K$4)),P2398*100+COUNTIFS($P$6:$P$3267,P2398,$Q$6:$Q$3267,"&lt;="&amp;Q2398,$N$6:$N$3267,Calendar!$K$4),"")</f>
        <v/>
      </c>
      <c r="W2398" s="47">
        <f>IF(AND(B2398=Queue!$C$4,OR(Queue!$K$4="*",N2398=Queue!$K$4)),Q2398,"")</f>
        <v/>
      </c>
    </row>
    <row r="2399">
      <c r="A2399" s="38">
        <f>IF(M2399="","",HYPERLINK("https://www.youtube.com/watch?v="&amp;M2399,"▶"))</f>
        <v/>
      </c>
      <c r="B2399" s="39">
        <f>IF(C2399&lt;&gt;"",C2399,IF(P2399&lt;=IFERROR(INDEX(tblChannels[Watched Through],MATCH(N2399,tblChannels[Channel ID],0)),0),"Watched","Unwatched"))</f>
        <v/>
      </c>
      <c r="C2399" s="40" t="n"/>
      <c r="D2399" s="41" t="n"/>
      <c r="E2399" s="42" t="n">
        <v>42947.67083333333</v>
      </c>
      <c r="F2399" s="52" t="inlineStr">
        <is>
          <t>Super Carlin Gaming</t>
        </is>
      </c>
      <c r="G2399" t="inlineStr">
        <is>
          <t>Pokemon Pearl Nuzlocke #28: Final Preparations!</t>
        </is>
      </c>
      <c r="H2399" s="44" t="n">
        <v>0.02297453703703704</v>
      </c>
      <c r="I2399" s="45" t="n">
        <v>24240</v>
      </c>
      <c r="J2399" s="45" t="n">
        <v>633</v>
      </c>
      <c r="K2399" s="45" t="n">
        <v>181</v>
      </c>
      <c r="L2399" s="46" t="n"/>
      <c r="M2399" s="47" t="n"/>
      <c r="N2399" s="47" t="inlineStr">
        <is>
          <t>UCor_9jRnNNZVzTuQ92PKsaQ</t>
        </is>
      </c>
      <c r="O2399" s="48" t="n">
        <v>42947.8375</v>
      </c>
      <c r="P2399" s="49" t="n">
        <v>42947</v>
      </c>
      <c r="Q2399" s="47" t="n">
        <v>869</v>
      </c>
      <c r="R2399" s="47" t="inlineStr">
        <is>
          <t>No Video ID yet</t>
        </is>
      </c>
      <c r="S2399" s="49" t="n"/>
      <c r="T2399" s="49" t="n"/>
      <c r="U2399" s="47" t="inlineStr">
        <is>
          <t>J and the team prepare to face the Elite 4!</t>
        </is>
      </c>
      <c r="V2399" s="47">
        <f>IF(AND(P2399&gt;=Calendar!$K$2,P2399&lt;EDATE(Calendar!$K$2,1),OR(Calendar!$K$4="*",N2399=Calendar!$K$4)),P2399*100+COUNTIFS($P$6:$P$3267,P2399,$Q$6:$Q$3267,"&lt;="&amp;Q2399,$N$6:$N$3267,Calendar!$K$4),"")</f>
        <v/>
      </c>
      <c r="W2399" s="47">
        <f>IF(AND(B2399=Queue!$C$4,OR(Queue!$K$4="*",N2399=Queue!$K$4)),Q2399,"")</f>
        <v/>
      </c>
    </row>
    <row r="2400">
      <c r="A2400" s="38">
        <f>IF(M2400="","",HYPERLINK("https://www.youtube.com/watch?v="&amp;M2400,"▶"))</f>
        <v/>
      </c>
      <c r="B2400" s="39">
        <f>IF(C2400&lt;&gt;"",C2400,IF(P2400&lt;=IFERROR(INDEX(tblChannels[Watched Through],MATCH(N2400,tblChannels[Channel ID],0)),0),"Watched","Unwatched"))</f>
        <v/>
      </c>
      <c r="C2400" s="40" t="n"/>
      <c r="D2400" s="41" t="n"/>
      <c r="E2400" s="42" t="n">
        <v>42944.65763888889</v>
      </c>
      <c r="F2400" s="52" t="inlineStr">
        <is>
          <t>Super Carlin Gaming</t>
        </is>
      </c>
      <c r="G2400" t="inlineStr">
        <is>
          <t>Pokemon Pearl Nuzlocke #27: Graveler Surprise!</t>
        </is>
      </c>
      <c r="H2400" s="44" t="n">
        <v>0.01350694444444444</v>
      </c>
      <c r="I2400" s="45" t="n">
        <v>22152</v>
      </c>
      <c r="J2400" s="45" t="n">
        <v>778</v>
      </c>
      <c r="K2400" s="45" t="n">
        <v>290</v>
      </c>
      <c r="L2400" s="46" t="n"/>
      <c r="M2400" s="47" t="n"/>
      <c r="N2400" s="47" t="inlineStr">
        <is>
          <t>UCor_9jRnNNZVzTuQ92PKsaQ</t>
        </is>
      </c>
      <c r="O2400" s="48" t="n">
        <v>42944.82430555556</v>
      </c>
      <c r="P2400" s="49" t="n">
        <v>42944</v>
      </c>
      <c r="Q2400" s="47" t="n">
        <v>868</v>
      </c>
      <c r="R2400" s="47" t="inlineStr">
        <is>
          <t>No Video ID yet</t>
        </is>
      </c>
      <c r="S2400" s="49" t="n"/>
      <c r="T2400" s="49" t="n"/>
      <c r="U2400" s="47" t="inlineStr">
        <is>
          <t>J and the team do a little grinding, and then go up against Sprouts! Can the team make it through the battle without the loss of another member?</t>
        </is>
      </c>
      <c r="V2400" s="47">
        <f>IF(AND(P2400&gt;=Calendar!$K$2,P2400&lt;EDATE(Calendar!$K$2,1),OR(Calendar!$K$4="*",N2400=Calendar!$K$4)),P2400*100+COUNTIFS($P$6:$P$3267,P2400,$Q$6:$Q$3267,"&lt;="&amp;Q2400,$N$6:$N$3267,Calendar!$K$4),"")</f>
        <v/>
      </c>
      <c r="W2400" s="47">
        <f>IF(AND(B2400=Queue!$C$4,OR(Queue!$K$4="*",N2400=Queue!$K$4)),Q2400,"")</f>
        <v/>
      </c>
    </row>
    <row r="2401">
      <c r="A2401" s="38">
        <f>IF(M2401="","",HYPERLINK("https://www.youtube.com/watch?v="&amp;M2401,"▶"))</f>
        <v/>
      </c>
      <c r="B2401" s="39">
        <f>IF(C2401&lt;&gt;"",C2401,IF(P2401&lt;=IFERROR(INDEX(tblChannels[Watched Through],MATCH(N2401,tblChannels[Channel ID],0)),0),"Watched","Unwatched"))</f>
        <v/>
      </c>
      <c r="C2401" s="40" t="n"/>
      <c r="D2401" s="41" t="n"/>
      <c r="E2401" s="42" t="n">
        <v>42943.90763888889</v>
      </c>
      <c r="F2401" s="50" t="inlineStr">
        <is>
          <t>Super Carlin Brothers</t>
        </is>
      </c>
      <c r="G2401" t="inlineStr">
        <is>
          <t>How to Get Accepted into Hogwarts!</t>
        </is>
      </c>
      <c r="H2401" s="44" t="n">
        <v>0.005081018518518519</v>
      </c>
      <c r="I2401" s="45" t="n">
        <v>1696420</v>
      </c>
      <c r="J2401" s="45" t="n">
        <v>39503</v>
      </c>
      <c r="K2401" s="45" t="n">
        <v>7272</v>
      </c>
      <c r="L2401" s="46" t="n"/>
      <c r="M2401" s="47" t="n"/>
      <c r="N2401" s="47" t="inlineStr">
        <is>
          <t>UCKZo4N0lVPccBkSiuyVh4yg</t>
        </is>
      </c>
      <c r="O2401" s="48" t="n">
        <v>42944.07430555556</v>
      </c>
      <c r="P2401" s="49" t="n">
        <v>42943</v>
      </c>
      <c r="Q2401" s="47" t="n">
        <v>867</v>
      </c>
      <c r="R2401" s="47" t="inlineStr">
        <is>
          <t>No Video ID yet</t>
        </is>
      </c>
      <c r="S2401" s="49" t="n"/>
      <c r="T2401" s="49" t="n"/>
      <c r="U2401" s="47" t="inlineStr">
        <is>
          <t>Sure you need to get your acceptance letter, but how the heck do you get one!?</t>
        </is>
      </c>
      <c r="V2401" s="47">
        <f>IF(AND(P2401&gt;=Calendar!$K$2,P2401&lt;EDATE(Calendar!$K$2,1),OR(Calendar!$K$4="*",N2401=Calendar!$K$4)),P2401*100+COUNTIFS($P$6:$P$3267,P2401,$Q$6:$Q$3267,"&lt;="&amp;Q2401,$N$6:$N$3267,Calendar!$K$4),"")</f>
        <v/>
      </c>
      <c r="W2401" s="47">
        <f>IF(AND(B2401=Queue!$C$4,OR(Queue!$K$4="*",N2401=Queue!$K$4)),Q2401,"")</f>
        <v/>
      </c>
    </row>
    <row r="2402">
      <c r="A2402" s="38">
        <f>IF(M2402="","",HYPERLINK("https://www.youtube.com/watch?v="&amp;M2402,"▶"))</f>
        <v/>
      </c>
      <c r="B2402" s="39">
        <f>IF(C2402&lt;&gt;"",C2402,IF(P2402&lt;=IFERROR(INDEX(tblChannels[Watched Through],MATCH(N2402,tblChannels[Channel ID],0)),0),"Watched","Unwatched"))</f>
        <v/>
      </c>
      <c r="C2402" s="40" t="n"/>
      <c r="D2402" s="41" t="n"/>
      <c r="E2402" s="42" t="n">
        <v>42943.41666666666</v>
      </c>
      <c r="F2402" s="52" t="inlineStr">
        <is>
          <t>Super Carlin Gaming</t>
        </is>
      </c>
      <c r="G2402" t="inlineStr">
        <is>
          <t>Mario Kart Roulette #19: Crossing Cup? More like Frogger Cup, am I right?</t>
        </is>
      </c>
      <c r="H2402" s="44" t="n">
        <v>0.0124537037037037</v>
      </c>
      <c r="I2402" s="45" t="n">
        <v>17321</v>
      </c>
      <c r="J2402" s="45" t="n">
        <v>496</v>
      </c>
      <c r="K2402" s="45" t="n">
        <v>181</v>
      </c>
      <c r="L2402" s="46" t="n"/>
      <c r="M2402" s="47" t="n"/>
      <c r="N2402" s="47" t="inlineStr">
        <is>
          <t>UCor_9jRnNNZVzTuQ92PKsaQ</t>
        </is>
      </c>
      <c r="O2402" s="48" t="n">
        <v>42943.58333333334</v>
      </c>
      <c r="P2402" s="49" t="n">
        <v>42943</v>
      </c>
      <c r="Q2402" s="47" t="n">
        <v>866</v>
      </c>
      <c r="R2402" s="47" t="inlineStr">
        <is>
          <t>No Video ID yet</t>
        </is>
      </c>
      <c r="S2402" s="49" t="n"/>
      <c r="T2402" s="49" t="n"/>
      <c r="U2402" s="47" t="inlineStr">
        <is>
          <t>In this episode, J and Ben play as Luigi and Lemmy in their efforts to 3-star the Crossing Cup. If you would like for J and Ben to answer any of your questions in the next video, leave them in the comments below!</t>
        </is>
      </c>
      <c r="V2402" s="47">
        <f>IF(AND(P2402&gt;=Calendar!$K$2,P2402&lt;EDATE(Calendar!$K$2,1),OR(Calendar!$K$4="*",N2402=Calendar!$K$4)),P2402*100+COUNTIFS($P$6:$P$3267,P2402,$Q$6:$Q$3267,"&lt;="&amp;Q2402,$N$6:$N$3267,Calendar!$K$4),"")</f>
        <v/>
      </c>
      <c r="W2402" s="47">
        <f>IF(AND(B2402=Queue!$C$4,OR(Queue!$K$4="*",N2402=Queue!$K$4)),Q2402,"")</f>
        <v/>
      </c>
    </row>
    <row r="2403">
      <c r="A2403" s="38">
        <f>IF(M2403="","",HYPERLINK("https://www.youtube.com/watch?v="&amp;M2403,"▶"))</f>
        <v/>
      </c>
      <c r="B2403" s="39">
        <f>IF(C2403&lt;&gt;"",C2403,IF(P2403&lt;=IFERROR(INDEX(tblChannels[Watched Through],MATCH(N2403,tblChannels[Channel ID],0)),0),"Watched","Unwatched"))</f>
        <v/>
      </c>
      <c r="C2403" s="40" t="n"/>
      <c r="D2403" s="41" t="n"/>
      <c r="E2403" s="42" t="n">
        <v>42942.62847222222</v>
      </c>
      <c r="F2403" s="52" t="inlineStr">
        <is>
          <t>Super Carlin Gaming</t>
        </is>
      </c>
      <c r="G2403" t="inlineStr">
        <is>
          <t>Pokemon Pearl Nuzlocke #26: Aniki is stronger than you.</t>
        </is>
      </c>
      <c r="H2403" s="44" t="n">
        <v>0.03050925925925926</v>
      </c>
      <c r="I2403" s="45" t="n">
        <v>27509</v>
      </c>
      <c r="J2403" s="45" t="n">
        <v>679</v>
      </c>
      <c r="K2403" s="45" t="n">
        <v>404</v>
      </c>
      <c r="L2403" s="46" t="n"/>
      <c r="M2403" s="47" t="n"/>
      <c r="N2403" s="47" t="inlineStr">
        <is>
          <t>UCor_9jRnNNZVzTuQ92PKsaQ</t>
        </is>
      </c>
      <c r="O2403" s="48" t="n">
        <v>42942.79513888889</v>
      </c>
      <c r="P2403" s="49" t="n">
        <v>42942</v>
      </c>
      <c r="Q2403" s="47" t="n">
        <v>865</v>
      </c>
      <c r="R2403" s="47" t="inlineStr">
        <is>
          <t>No Video ID yet</t>
        </is>
      </c>
      <c r="S2403" s="49" t="n"/>
      <c r="T2403" s="49" t="n"/>
      <c r="U2403" s="47" t="n"/>
      <c r="V2403" s="47">
        <f>IF(AND(P2403&gt;=Calendar!$K$2,P2403&lt;EDATE(Calendar!$K$2,1),OR(Calendar!$K$4="*",N2403=Calendar!$K$4)),P2403*100+COUNTIFS($P$6:$P$3267,P2403,$Q$6:$Q$3267,"&lt;="&amp;Q2403,$N$6:$N$3267,Calendar!$K$4),"")</f>
        <v/>
      </c>
      <c r="W2403" s="47">
        <f>IF(AND(B2403=Queue!$C$4,OR(Queue!$K$4="*",N2403=Queue!$K$4)),Q2403,"")</f>
        <v/>
      </c>
    </row>
    <row r="2404">
      <c r="A2404" s="38">
        <f>IF(M2404="","",HYPERLINK("https://www.youtube.com/watch?v="&amp;M2404,"▶"))</f>
        <v/>
      </c>
      <c r="B2404" s="39">
        <f>IF(C2404&lt;&gt;"",C2404,IF(P2404&lt;=IFERROR(INDEX(tblChannels[Watched Through],MATCH(N2404,tblChannels[Channel ID],0)),0),"Watched","Unwatched"))</f>
        <v/>
      </c>
      <c r="C2404" s="40" t="n"/>
      <c r="D2404" s="41" t="n"/>
      <c r="E2404" s="42" t="n">
        <v>42941.62708333333</v>
      </c>
      <c r="F2404" s="50" t="inlineStr">
        <is>
          <t>Super Carlin Brothers</t>
        </is>
      </c>
      <c r="G2404" t="inlineStr">
        <is>
          <t>J vs Ben: The HARDEST Dumbledore Trivia Quiz EVER!</t>
        </is>
      </c>
      <c r="H2404" s="44" t="n">
        <v>0.02212962962962963</v>
      </c>
      <c r="I2404" s="45" t="n">
        <v>1548625</v>
      </c>
      <c r="J2404" s="45" t="n">
        <v>27628</v>
      </c>
      <c r="K2404" s="45" t="n">
        <v>5714</v>
      </c>
      <c r="L2404" s="46" t="n"/>
      <c r="M2404" s="47" t="n"/>
      <c r="N2404" s="47" t="inlineStr">
        <is>
          <t>UCKZo4N0lVPccBkSiuyVh4yg</t>
        </is>
      </c>
      <c r="O2404" s="48" t="n">
        <v>42941.79375</v>
      </c>
      <c r="P2404" s="49" t="n">
        <v>42941</v>
      </c>
      <c r="Q2404" s="47" t="n">
        <v>864</v>
      </c>
      <c r="R2404" s="47" t="inlineStr">
        <is>
          <t>No Video ID yet</t>
        </is>
      </c>
      <c r="S2404" s="49" t="n"/>
      <c r="T2404" s="49" t="n"/>
      <c r="U2404" s="47" t="inlineStr">
        <is>
          <t>Today Ben and J face off to find out just who would know Dumbledore from a Death Eater in disguise! Take the quiz with us! ::</t>
        </is>
      </c>
      <c r="V2404" s="47">
        <f>IF(AND(P2404&gt;=Calendar!$K$2,P2404&lt;EDATE(Calendar!$K$2,1),OR(Calendar!$K$4="*",N2404=Calendar!$K$4)),P2404*100+COUNTIFS($P$6:$P$3267,P2404,$Q$6:$Q$3267,"&lt;="&amp;Q2404,$N$6:$N$3267,Calendar!$K$4),"")</f>
        <v/>
      </c>
      <c r="W2404" s="47">
        <f>IF(AND(B2404=Queue!$C$4,OR(Queue!$K$4="*",N2404=Queue!$K$4)),Q2404,"")</f>
        <v/>
      </c>
    </row>
    <row r="2405">
      <c r="A2405" s="38">
        <f>IF(M2405="","",HYPERLINK("https://www.youtube.com/watch?v="&amp;M2405,"▶"))</f>
        <v/>
      </c>
      <c r="B2405" s="39">
        <f>IF(C2405&lt;&gt;"",C2405,IF(P2405&lt;=IFERROR(INDEX(tblChannels[Watched Through],MATCH(N2405,tblChannels[Channel ID],0)),0),"Watched","Unwatched"))</f>
        <v/>
      </c>
      <c r="C2405" s="40" t="n"/>
      <c r="D2405" s="41" t="n"/>
      <c r="E2405" s="42" t="n">
        <v>42941.41666666666</v>
      </c>
      <c r="F2405" s="52" t="inlineStr">
        <is>
          <t>Super Carlin Gaming</t>
        </is>
      </c>
      <c r="G2405" t="inlineStr">
        <is>
          <t>Mario Kart Roulette #18: Favorite YouTubers</t>
        </is>
      </c>
      <c r="H2405" s="44" t="n">
        <v>0.01146990740740741</v>
      </c>
      <c r="I2405" s="45" t="n">
        <v>17391</v>
      </c>
      <c r="J2405" s="45" t="n">
        <v>512</v>
      </c>
      <c r="K2405" s="45" t="n">
        <v>92</v>
      </c>
      <c r="L2405" s="46" t="n"/>
      <c r="M2405" s="47" t="n"/>
      <c r="N2405" s="47" t="inlineStr">
        <is>
          <t>UCor_9jRnNNZVzTuQ92PKsaQ</t>
        </is>
      </c>
      <c r="O2405" s="48" t="n">
        <v>42941.58333333334</v>
      </c>
      <c r="P2405" s="49" t="n">
        <v>42941</v>
      </c>
      <c r="Q2405" s="47" t="n">
        <v>863</v>
      </c>
      <c r="R2405" s="47" t="inlineStr">
        <is>
          <t>No Video ID yet</t>
        </is>
      </c>
      <c r="S2405" s="49" t="n"/>
      <c r="T2405" s="49" t="n"/>
      <c r="U2405" s="47" t="inlineStr">
        <is>
          <t>In this episode, J and Ben discuss their favorite YouTube channels as they take on the Egg Cup as Dry Bones and Waluigi. Good Mythical Morning (Rhett and Link): Learn Quick (Mike Boyd): Drawfee: CGP Grey: Nerdy and Quirky: Playlist of Scott Sterling videos:</t>
        </is>
      </c>
      <c r="V2405" s="47">
        <f>IF(AND(P2405&gt;=Calendar!$K$2,P2405&lt;EDATE(Calendar!$K$2,1),OR(Calendar!$K$4="*",N2405=Calendar!$K$4)),P2405*100+COUNTIFS($P$6:$P$3267,P2405,$Q$6:$Q$3267,"&lt;="&amp;Q2405,$N$6:$N$3267,Calendar!$K$4),"")</f>
        <v/>
      </c>
      <c r="W2405" s="47">
        <f>IF(AND(B2405=Queue!$C$4,OR(Queue!$K$4="*",N2405=Queue!$K$4)),Q2405,"")</f>
        <v/>
      </c>
    </row>
    <row r="2406">
      <c r="A2406" s="38">
        <f>IF(M2406="","",HYPERLINK("https://www.youtube.com/watch?v="&amp;M2406,"▶"))</f>
        <v/>
      </c>
      <c r="B2406" s="39">
        <f>IF(C2406&lt;&gt;"",C2406,IF(P2406&lt;=IFERROR(INDEX(tblChannels[Watched Through],MATCH(N2406,tblChannels[Channel ID],0)),0),"Watched","Unwatched"))</f>
        <v/>
      </c>
      <c r="C2406" s="40" t="n"/>
      <c r="D2406" s="41" t="n"/>
      <c r="E2406" s="42" t="n">
        <v>42940.60833333333</v>
      </c>
      <c r="F2406" s="52" t="inlineStr">
        <is>
          <t>Super Carlin Gaming</t>
        </is>
      </c>
      <c r="G2406" t="inlineStr">
        <is>
          <t>Pokemon Pearl Nuzlocke #25: The road to Victory Road.</t>
        </is>
      </c>
      <c r="H2406" s="44" t="n">
        <v>0.01930555555555555</v>
      </c>
      <c r="I2406" s="45" t="n">
        <v>24582</v>
      </c>
      <c r="J2406" s="45" t="n">
        <v>659</v>
      </c>
      <c r="K2406" s="45" t="n">
        <v>146</v>
      </c>
      <c r="L2406" s="46" t="n"/>
      <c r="M2406" s="47" t="n"/>
      <c r="N2406" s="47" t="inlineStr">
        <is>
          <t>UCor_9jRnNNZVzTuQ92PKsaQ</t>
        </is>
      </c>
      <c r="O2406" s="48" t="n">
        <v>42940.775</v>
      </c>
      <c r="P2406" s="49" t="n">
        <v>42940</v>
      </c>
      <c r="Q2406" s="47" t="n">
        <v>862</v>
      </c>
      <c r="R2406" s="47" t="inlineStr">
        <is>
          <t>No Video ID yet</t>
        </is>
      </c>
      <c r="S2406" s="49" t="n"/>
      <c r="T2406" s="49" t="n"/>
      <c r="U2406" s="47" t="inlineStr">
        <is>
          <t>After some line up changes, J brings the team to Victory Road!</t>
        </is>
      </c>
      <c r="V2406" s="47">
        <f>IF(AND(P2406&gt;=Calendar!$K$2,P2406&lt;EDATE(Calendar!$K$2,1),OR(Calendar!$K$4="*",N2406=Calendar!$K$4)),P2406*100+COUNTIFS($P$6:$P$3267,P2406,$Q$6:$Q$3267,"&lt;="&amp;Q2406,$N$6:$N$3267,Calendar!$K$4),"")</f>
        <v/>
      </c>
      <c r="W2406" s="47">
        <f>IF(AND(B2406=Queue!$C$4,OR(Queue!$K$4="*",N2406=Queue!$K$4)),Q2406,"")</f>
        <v/>
      </c>
    </row>
    <row r="2407">
      <c r="A2407" s="38">
        <f>IF(M2407="","",HYPERLINK("https://www.youtube.com/watch?v="&amp;M2407,"▶"))</f>
        <v/>
      </c>
      <c r="B2407" s="39">
        <f>IF(C2407&lt;&gt;"",C2407,IF(P2407&lt;=IFERROR(INDEX(tblChannels[Watched Through],MATCH(N2407,tblChannels[Channel ID],0)),0),"Watched","Unwatched"))</f>
        <v/>
      </c>
      <c r="C2407" s="40" t="n"/>
      <c r="D2407" s="41" t="n"/>
      <c r="E2407" s="42" t="n">
        <v>42937.57708333333</v>
      </c>
      <c r="F2407" s="52" t="inlineStr">
        <is>
          <t>Super Carlin Gaming</t>
        </is>
      </c>
      <c r="G2407" t="inlineStr">
        <is>
          <t>Pokemon Pearl Nuzlocke #24: Hunting Legendaries!</t>
        </is>
      </c>
      <c r="H2407" s="44" t="n">
        <v>0.01743055555555556</v>
      </c>
      <c r="I2407" s="45" t="n">
        <v>24026</v>
      </c>
      <c r="J2407" s="45" t="n">
        <v>676</v>
      </c>
      <c r="K2407" s="45" t="n">
        <v>376</v>
      </c>
      <c r="L2407" s="46" t="n"/>
      <c r="M2407" s="47" t="n"/>
      <c r="N2407" s="47" t="inlineStr">
        <is>
          <t>UCor_9jRnNNZVzTuQ92PKsaQ</t>
        </is>
      </c>
      <c r="O2407" s="48" t="n">
        <v>42937.74375</v>
      </c>
      <c r="P2407" s="49" t="n">
        <v>42937</v>
      </c>
      <c r="Q2407" s="47" t="n">
        <v>861</v>
      </c>
      <c r="R2407" s="47" t="inlineStr">
        <is>
          <t>No Video ID yet</t>
        </is>
      </c>
      <c r="S2407" s="49" t="n"/>
      <c r="T2407" s="49" t="n"/>
      <c r="U2407" s="47" t="inlineStr">
        <is>
          <t>J and the gang venture to catch the remaining Legendary Pokémon, but without a masterball, can it be done? What is the cost?</t>
        </is>
      </c>
      <c r="V2407" s="47">
        <f>IF(AND(P2407&gt;=Calendar!$K$2,P2407&lt;EDATE(Calendar!$K$2,1),OR(Calendar!$K$4="*",N2407=Calendar!$K$4)),P2407*100+COUNTIFS($P$6:$P$3267,P2407,$Q$6:$Q$3267,"&lt;="&amp;Q2407,$N$6:$N$3267,Calendar!$K$4),"")</f>
        <v/>
      </c>
      <c r="W2407" s="47">
        <f>IF(AND(B2407=Queue!$C$4,OR(Queue!$K$4="*",N2407=Queue!$K$4)),Q2407,"")</f>
        <v/>
      </c>
    </row>
    <row r="2408">
      <c r="A2408" s="38">
        <f>IF(M2408="","",HYPERLINK("https://www.youtube.com/watch?v="&amp;M2408,"▶"))</f>
        <v/>
      </c>
      <c r="B2408" s="39">
        <f>IF(C2408&lt;&gt;"",C2408,IF(P2408&lt;=IFERROR(INDEX(tblChannels[Watched Through],MATCH(N2408,tblChannels[Channel ID],0)),0),"Watched","Unwatched"))</f>
        <v/>
      </c>
      <c r="C2408" s="40" t="n"/>
      <c r="D2408" s="41" t="n"/>
      <c r="E2408" s="42" t="n">
        <v>42936.66597222222</v>
      </c>
      <c r="F2408" s="50" t="inlineStr">
        <is>
          <t>Super Carlin Brothers</t>
        </is>
      </c>
      <c r="G2408" t="inlineStr">
        <is>
          <t>How Pixar Was Almost Pixaren't!</t>
        </is>
      </c>
      <c r="H2408" s="44" t="n">
        <v>0.004513888888888888</v>
      </c>
      <c r="I2408" s="45" t="n">
        <v>456156</v>
      </c>
      <c r="J2408" s="45" t="n">
        <v>15303</v>
      </c>
      <c r="K2408" s="45" t="n">
        <v>1841</v>
      </c>
      <c r="L2408" s="46" t="n"/>
      <c r="M2408" s="47" t="n"/>
      <c r="N2408" s="47" t="inlineStr">
        <is>
          <t>UCKZo4N0lVPccBkSiuyVh4yg</t>
        </is>
      </c>
      <c r="O2408" s="48" t="n">
        <v>42936.83263888889</v>
      </c>
      <c r="P2408" s="49" t="n">
        <v>42936</v>
      </c>
      <c r="Q2408" s="47" t="n">
        <v>860</v>
      </c>
      <c r="R2408" s="47" t="inlineStr">
        <is>
          <t>No Video ID yet</t>
        </is>
      </c>
      <c r="S2408" s="49" t="n"/>
      <c r="T2408" s="49" t="n"/>
      <c r="U2408" s="47" t="inlineStr">
        <is>
          <t>Pixar was almost not Pixar! Well then, what was it? Ben lets us in on some Pixar history!</t>
        </is>
      </c>
      <c r="V2408" s="47">
        <f>IF(AND(P2408&gt;=Calendar!$K$2,P2408&lt;EDATE(Calendar!$K$2,1),OR(Calendar!$K$4="*",N2408=Calendar!$K$4)),P2408*100+COUNTIFS($P$6:$P$3267,P2408,$Q$6:$Q$3267,"&lt;="&amp;Q2408,$N$6:$N$3267,Calendar!$K$4),"")</f>
        <v/>
      </c>
      <c r="W2408" s="47">
        <f>IF(AND(B2408=Queue!$C$4,OR(Queue!$K$4="*",N2408=Queue!$K$4)),Q2408,"")</f>
        <v/>
      </c>
    </row>
    <row r="2409">
      <c r="A2409" s="38">
        <f>IF(M2409="","",HYPERLINK("https://www.youtube.com/watch?v="&amp;M2409,"▶"))</f>
        <v/>
      </c>
      <c r="B2409" s="39">
        <f>IF(C2409&lt;&gt;"",C2409,IF(P2409&lt;=IFERROR(INDEX(tblChannels[Watched Through],MATCH(N2409,tblChannels[Channel ID],0)),0),"Watched","Unwatched"))</f>
        <v/>
      </c>
      <c r="C2409" s="40" t="n"/>
      <c r="D2409" s="41" t="n"/>
      <c r="E2409" s="42" t="n">
        <v>42936.41666666666</v>
      </c>
      <c r="F2409" s="52" t="inlineStr">
        <is>
          <t>Super Carlin Gaming</t>
        </is>
      </c>
      <c r="G2409" t="inlineStr">
        <is>
          <t>Mario Kart Roulette #17: How Many Times Can Ben Fall Off the Course?</t>
        </is>
      </c>
      <c r="H2409" s="44" t="n">
        <v>0.0140162037037037</v>
      </c>
      <c r="I2409" s="45" t="n">
        <v>18343</v>
      </c>
      <c r="J2409" s="45" t="n">
        <v>499</v>
      </c>
      <c r="K2409" s="45" t="n">
        <v>108</v>
      </c>
      <c r="L2409" s="46" t="n"/>
      <c r="M2409" s="47" t="n"/>
      <c r="N2409" s="47" t="inlineStr">
        <is>
          <t>UCor_9jRnNNZVzTuQ92PKsaQ</t>
        </is>
      </c>
      <c r="O2409" s="48" t="n">
        <v>42936.58333333334</v>
      </c>
      <c r="P2409" s="49" t="n">
        <v>42936</v>
      </c>
      <c r="Q2409" s="47" t="n">
        <v>859</v>
      </c>
      <c r="R2409" s="47" t="inlineStr">
        <is>
          <t>No Video ID yet</t>
        </is>
      </c>
      <c r="S2409" s="49" t="n"/>
      <c r="T2409" s="49" t="n"/>
      <c r="U2409" s="47" t="inlineStr">
        <is>
          <t>In this episode, J and Ben take on the Special Cup as Pink Gold Peach and Luigi while they continue answering some of your questions. If you have any questions you would like J and Ben to answer in the next video, leave them in the comments below!</t>
        </is>
      </c>
      <c r="V2409" s="47">
        <f>IF(AND(P2409&gt;=Calendar!$K$2,P2409&lt;EDATE(Calendar!$K$2,1),OR(Calendar!$K$4="*",N2409=Calendar!$K$4)),P2409*100+COUNTIFS($P$6:$P$3267,P2409,$Q$6:$Q$3267,"&lt;="&amp;Q2409,$N$6:$N$3267,Calendar!$K$4),"")</f>
        <v/>
      </c>
      <c r="W2409" s="47">
        <f>IF(AND(B2409=Queue!$C$4,OR(Queue!$K$4="*",N2409=Queue!$K$4)),Q2409,"")</f>
        <v/>
      </c>
    </row>
    <row r="2410">
      <c r="A2410" s="38">
        <f>IF(M2410="","",HYPERLINK("https://www.youtube.com/watch?v="&amp;M2410,"▶"))</f>
        <v/>
      </c>
      <c r="B2410" s="39">
        <f>IF(C2410&lt;&gt;"",C2410,IF(P2410&lt;=IFERROR(INDEX(tblChannels[Watched Through],MATCH(N2410,tblChannels[Channel ID],0)),0),"Watched","Unwatched"))</f>
        <v/>
      </c>
      <c r="C2410" s="40" t="n"/>
      <c r="D2410" s="41" t="n"/>
      <c r="E2410" s="42" t="n">
        <v>42935.67152777778</v>
      </c>
      <c r="F2410" s="52" t="inlineStr">
        <is>
          <t>Super Carlin Gaming</t>
        </is>
      </c>
      <c r="G2410" t="inlineStr">
        <is>
          <t>Pokemon Pearl Nuzlocke #23: The Last Badge</t>
        </is>
      </c>
      <c r="H2410" s="44" t="n">
        <v>0.02965277777777778</v>
      </c>
      <c r="I2410" s="45" t="n">
        <v>29932</v>
      </c>
      <c r="J2410" s="45" t="n">
        <v>783</v>
      </c>
      <c r="K2410" s="45" t="n">
        <v>222</v>
      </c>
      <c r="L2410" s="46" t="n"/>
      <c r="M2410" s="47" t="n"/>
      <c r="N2410" s="47" t="inlineStr">
        <is>
          <t>UCor_9jRnNNZVzTuQ92PKsaQ</t>
        </is>
      </c>
      <c r="O2410" s="48" t="n">
        <v>42935.83819444444</v>
      </c>
      <c r="P2410" s="49" t="n">
        <v>42935</v>
      </c>
      <c r="Q2410" s="47" t="n">
        <v>858</v>
      </c>
      <c r="R2410" s="47" t="inlineStr">
        <is>
          <t>No Video ID yet</t>
        </is>
      </c>
      <c r="S2410" s="49" t="n"/>
      <c r="T2410" s="49" t="n"/>
      <c r="U2410" s="47" t="inlineStr">
        <is>
          <t>J and the team head to the final gym to take on Volkner! Will everyone make it out alive??</t>
        </is>
      </c>
      <c r="V2410" s="47">
        <f>IF(AND(P2410&gt;=Calendar!$K$2,P2410&lt;EDATE(Calendar!$K$2,1),OR(Calendar!$K$4="*",N2410=Calendar!$K$4)),P2410*100+COUNTIFS($P$6:$P$3267,P2410,$Q$6:$Q$3267,"&lt;="&amp;Q2410,$N$6:$N$3267,Calendar!$K$4),"")</f>
        <v/>
      </c>
      <c r="W2410" s="47">
        <f>IF(AND(B2410=Queue!$C$4,OR(Queue!$K$4="*",N2410=Queue!$K$4)),Q2410,"")</f>
        <v/>
      </c>
    </row>
    <row r="2411">
      <c r="A2411" s="38">
        <f>IF(M2411="","",HYPERLINK("https://www.youtube.com/watch?v="&amp;M2411,"▶"))</f>
        <v/>
      </c>
      <c r="B2411" s="39">
        <f>IF(C2411&lt;&gt;"",C2411,IF(P2411&lt;=IFERROR(INDEX(tblChannels[Watched Through],MATCH(N2411,tblChannels[Channel ID],0)),0),"Watched","Unwatched"))</f>
        <v/>
      </c>
      <c r="C2411" s="40" t="n"/>
      <c r="D2411" s="41" t="n"/>
      <c r="E2411" s="42" t="n">
        <v>42934.71597222222</v>
      </c>
      <c r="F2411" s="50" t="inlineStr">
        <is>
          <t>Super Carlin Brothers</t>
        </is>
      </c>
      <c r="G2411" t="inlineStr">
        <is>
          <t>How Pixar Almost Deleted Itself</t>
        </is>
      </c>
      <c r="H2411" s="44" t="n">
        <v>0.007546296296296297</v>
      </c>
      <c r="I2411" s="45" t="n">
        <v>1487088</v>
      </c>
      <c r="J2411" s="45" t="n">
        <v>36983</v>
      </c>
      <c r="K2411" s="45" t="n">
        <v>5633</v>
      </c>
      <c r="L2411" s="46" t="n"/>
      <c r="M2411" s="47" t="n"/>
      <c r="N2411" s="47" t="inlineStr">
        <is>
          <t>UCKZo4N0lVPccBkSiuyVh4yg</t>
        </is>
      </c>
      <c r="O2411" s="48" t="n">
        <v>42934.88263888889</v>
      </c>
      <c r="P2411" s="49" t="n">
        <v>42934</v>
      </c>
      <c r="Q2411" s="47" t="n">
        <v>857</v>
      </c>
      <c r="R2411" s="47" t="inlineStr">
        <is>
          <t>No Video ID yet</t>
        </is>
      </c>
      <c r="S2411" s="49" t="n"/>
      <c r="T2411" s="49" t="n"/>
      <c r="U2411" s="47" t="inlineStr">
        <is>
          <t>Today J dives into Pixar's History and tells the story of how they almost almost deleted themselves from existence... on accident.</t>
        </is>
      </c>
      <c r="V2411" s="47">
        <f>IF(AND(P2411&gt;=Calendar!$K$2,P2411&lt;EDATE(Calendar!$K$2,1),OR(Calendar!$K$4="*",N2411=Calendar!$K$4)),P2411*100+COUNTIFS($P$6:$P$3267,P2411,$Q$6:$Q$3267,"&lt;="&amp;Q2411,$N$6:$N$3267,Calendar!$K$4),"")</f>
        <v/>
      </c>
      <c r="W2411" s="47">
        <f>IF(AND(B2411=Queue!$C$4,OR(Queue!$K$4="*",N2411=Queue!$K$4)),Q2411,"")</f>
        <v/>
      </c>
    </row>
    <row r="2412">
      <c r="A2412" s="38">
        <f>IF(M2412="","",HYPERLINK("https://www.youtube.com/watch?v="&amp;M2412,"▶"))</f>
        <v/>
      </c>
      <c r="B2412" s="39">
        <f>IF(C2412&lt;&gt;"",C2412,IF(P2412&lt;=IFERROR(INDEX(tblChannels[Watched Through],MATCH(N2412,tblChannels[Channel ID],0)),0),"Watched","Unwatched"))</f>
        <v/>
      </c>
      <c r="C2412" s="40" t="n"/>
      <c r="D2412" s="41" t="n"/>
      <c r="E2412" s="42" t="n">
        <v>42934.41666666666</v>
      </c>
      <c r="F2412" s="52" t="inlineStr">
        <is>
          <t>Super Carlin Gaming</t>
        </is>
      </c>
      <c r="G2412" t="inlineStr">
        <is>
          <t>Mario Kart Roulette #16: I Don't Wanna Walk Your Crazy Dog, Homes (Roommate Tips)</t>
        </is>
      </c>
      <c r="H2412" s="44" t="n">
        <v>0.01099537037037037</v>
      </c>
      <c r="I2412" s="45" t="n">
        <v>15493</v>
      </c>
      <c r="J2412" s="45" t="n">
        <v>456</v>
      </c>
      <c r="K2412" s="45" t="n">
        <v>53</v>
      </c>
      <c r="L2412" s="46" t="n"/>
      <c r="M2412" s="47" t="n"/>
      <c r="N2412" s="47" t="inlineStr">
        <is>
          <t>UCor_9jRnNNZVzTuQ92PKsaQ</t>
        </is>
      </c>
      <c r="O2412" s="48" t="n">
        <v>42934.58333333334</v>
      </c>
      <c r="P2412" s="49" t="n">
        <v>42934</v>
      </c>
      <c r="Q2412" s="47" t="n">
        <v>856</v>
      </c>
      <c r="R2412" s="47" t="inlineStr">
        <is>
          <t>No Video ID yet</t>
        </is>
      </c>
      <c r="S2412" s="49" t="n"/>
      <c r="T2412" s="49" t="n"/>
      <c r="U2412" s="47" t="inlineStr">
        <is>
          <t>In this episode, J and Ben continue answering your questions while they take on the Star Cup as Bowser and Baby Daisy. Have any questions you'd like for Jonathan and Ben to answer in the next video? Leave them in the comments below!</t>
        </is>
      </c>
      <c r="V2412" s="47">
        <f>IF(AND(P2412&gt;=Calendar!$K$2,P2412&lt;EDATE(Calendar!$K$2,1),OR(Calendar!$K$4="*",N2412=Calendar!$K$4)),P2412*100+COUNTIFS($P$6:$P$3267,P2412,$Q$6:$Q$3267,"&lt;="&amp;Q2412,$N$6:$N$3267,Calendar!$K$4),"")</f>
        <v/>
      </c>
      <c r="W2412" s="47">
        <f>IF(AND(B2412=Queue!$C$4,OR(Queue!$K$4="*",N2412=Queue!$K$4)),Q2412,"")</f>
        <v/>
      </c>
    </row>
    <row r="2413">
      <c r="A2413" s="38">
        <f>IF(M2413="","",HYPERLINK("https://www.youtube.com/watch?v="&amp;M2413,"▶"))</f>
        <v/>
      </c>
      <c r="B2413" s="39">
        <f>IF(C2413&lt;&gt;"",C2413,IF(P2413&lt;=IFERROR(INDEX(tblChannels[Watched Through],MATCH(N2413,tblChannels[Channel ID],0)),0),"Watched","Unwatched"))</f>
        <v/>
      </c>
      <c r="C2413" s="40" t="n"/>
      <c r="D2413" s="41" t="n"/>
      <c r="E2413" s="42" t="n">
        <v>42933.63541666666</v>
      </c>
      <c r="F2413" s="52" t="inlineStr">
        <is>
          <t>Super Carlin Gaming</t>
        </is>
      </c>
      <c r="G2413" t="inlineStr">
        <is>
          <t>Pokemon Pearl Nuzlocke #22: Final Battle w/ Team Galactic</t>
        </is>
      </c>
      <c r="H2413" s="44" t="n">
        <v>0.03040509259259259</v>
      </c>
      <c r="I2413" s="45" t="n">
        <v>32514</v>
      </c>
      <c r="J2413" s="45" t="n">
        <v>742</v>
      </c>
      <c r="K2413" s="45" t="n">
        <v>248</v>
      </c>
      <c r="L2413" s="46" t="n"/>
      <c r="M2413" s="47" t="n"/>
      <c r="N2413" s="47" t="inlineStr">
        <is>
          <t>UCor_9jRnNNZVzTuQ92PKsaQ</t>
        </is>
      </c>
      <c r="O2413" s="48" t="n">
        <v>42933.80208333334</v>
      </c>
      <c r="P2413" s="49" t="n">
        <v>42933</v>
      </c>
      <c r="Q2413" s="47" t="n">
        <v>855</v>
      </c>
      <c r="R2413" s="47" t="inlineStr">
        <is>
          <t>No Video ID yet</t>
        </is>
      </c>
      <c r="S2413" s="49" t="n"/>
      <c r="T2413" s="49" t="n"/>
      <c r="U2413" s="47" t="inlineStr">
        <is>
          <t>We have chased Team Galactic to the top of Mt. Coronet.. but can we survive another encounter with the their most elite officers?</t>
        </is>
      </c>
      <c r="V2413" s="47">
        <f>IF(AND(P2413&gt;=Calendar!$K$2,P2413&lt;EDATE(Calendar!$K$2,1),OR(Calendar!$K$4="*",N2413=Calendar!$K$4)),P2413*100+COUNTIFS($P$6:$P$3267,P2413,$Q$6:$Q$3267,"&lt;="&amp;Q2413,$N$6:$N$3267,Calendar!$K$4),"")</f>
        <v/>
      </c>
      <c r="W2413" s="47">
        <f>IF(AND(B2413=Queue!$C$4,OR(Queue!$K$4="*",N2413=Queue!$K$4)),Q2413,"")</f>
        <v/>
      </c>
    </row>
    <row r="2414">
      <c r="A2414" s="38">
        <f>IF(M2414="","",HYPERLINK("https://www.youtube.com/watch?v="&amp;M2414,"▶"))</f>
        <v/>
      </c>
      <c r="B2414" s="39">
        <f>IF(C2414&lt;&gt;"",C2414,IF(P2414&lt;=IFERROR(INDEX(tblChannels[Watched Through],MATCH(N2414,tblChannels[Channel ID],0)),0),"Watched","Unwatched"))</f>
        <v/>
      </c>
      <c r="C2414" s="40" t="n"/>
      <c r="D2414" s="41" t="n"/>
      <c r="E2414" s="42" t="n">
        <v>42929.65069444444</v>
      </c>
      <c r="F2414" s="50" t="inlineStr">
        <is>
          <t>Super Carlin Brothers</t>
        </is>
      </c>
      <c r="G2414" t="inlineStr">
        <is>
          <t>Will Moana Be A Disney Princess?</t>
        </is>
      </c>
      <c r="H2414" s="44" t="n">
        <v>0.005173611111111111</v>
      </c>
      <c r="I2414" s="45" t="n">
        <v>489808</v>
      </c>
      <c r="J2414" s="45" t="n">
        <v>17022</v>
      </c>
      <c r="K2414" s="45" t="n">
        <v>2951</v>
      </c>
      <c r="L2414" s="46" t="n"/>
      <c r="M2414" s="47" t="n"/>
      <c r="N2414" s="47" t="inlineStr">
        <is>
          <t>UCKZo4N0lVPccBkSiuyVh4yg</t>
        </is>
      </c>
      <c r="O2414" s="48" t="n">
        <v>42929.81736111111</v>
      </c>
      <c r="P2414" s="49" t="n">
        <v>42929</v>
      </c>
      <c r="Q2414" s="47" t="n">
        <v>854</v>
      </c>
      <c r="R2414" s="47" t="inlineStr">
        <is>
          <t>No Video ID yet</t>
        </is>
      </c>
      <c r="S2414" s="49" t="n"/>
      <c r="T2414" s="49" t="n"/>
      <c r="U2414" s="47" t="inlineStr">
        <is>
          <t>Today Ben discusses whether or not Disney's latest heroine, Moana, will join the ranks of the Disney Princesses!</t>
        </is>
      </c>
      <c r="V2414" s="47">
        <f>IF(AND(P2414&gt;=Calendar!$K$2,P2414&lt;EDATE(Calendar!$K$2,1),OR(Calendar!$K$4="*",N2414=Calendar!$K$4)),P2414*100+COUNTIFS($P$6:$P$3267,P2414,$Q$6:$Q$3267,"&lt;="&amp;Q2414,$N$6:$N$3267,Calendar!$K$4),"")</f>
        <v/>
      </c>
      <c r="W2414" s="47">
        <f>IF(AND(B2414=Queue!$C$4,OR(Queue!$K$4="*",N2414=Queue!$K$4)),Q2414,"")</f>
        <v/>
      </c>
    </row>
    <row r="2415">
      <c r="A2415" s="38">
        <f>IF(M2415="","",HYPERLINK("https://www.youtube.com/watch?v="&amp;M2415,"▶"))</f>
        <v/>
      </c>
      <c r="B2415" s="39">
        <f>IF(C2415&lt;&gt;"",C2415,IF(P2415&lt;=IFERROR(INDEX(tblChannels[Watched Through],MATCH(N2415,tblChannels[Channel ID],0)),0),"Watched","Unwatched"))</f>
        <v/>
      </c>
      <c r="C2415" s="40" t="n"/>
      <c r="D2415" s="41" t="n"/>
      <c r="E2415" s="42" t="n">
        <v>42929.41666666666</v>
      </c>
      <c r="F2415" s="52" t="inlineStr">
        <is>
          <t>Super Carlin Gaming</t>
        </is>
      </c>
      <c r="G2415" t="inlineStr">
        <is>
          <t>Mario Kart Roulette #15: J Invented PROMposals</t>
        </is>
      </c>
      <c r="H2415" s="44" t="n">
        <v>0.01184027777777778</v>
      </c>
      <c r="I2415" s="45" t="n">
        <v>17282</v>
      </c>
      <c r="J2415" s="45" t="n">
        <v>497</v>
      </c>
      <c r="K2415" s="45" t="n">
        <v>93</v>
      </c>
      <c r="L2415" s="46" t="n"/>
      <c r="M2415" s="47" t="n"/>
      <c r="N2415" s="47" t="inlineStr">
        <is>
          <t>UCor_9jRnNNZVzTuQ92PKsaQ</t>
        </is>
      </c>
      <c r="O2415" s="48" t="n">
        <v>42929.58333333334</v>
      </c>
      <c r="P2415" s="49" t="n">
        <v>42929</v>
      </c>
      <c r="Q2415" s="47" t="n">
        <v>853</v>
      </c>
      <c r="R2415" s="47" t="inlineStr">
        <is>
          <t>No Video ID yet</t>
        </is>
      </c>
      <c r="S2415" s="49" t="n"/>
      <c r="T2415" s="49" t="n"/>
      <c r="U2415" s="47" t="inlineStr">
        <is>
          <t>In this episode, J and Ben answer some more of your questions while they take on the Flower Cup as Villager and Cat Peach.</t>
        </is>
      </c>
      <c r="V2415" s="47">
        <f>IF(AND(P2415&gt;=Calendar!$K$2,P2415&lt;EDATE(Calendar!$K$2,1),OR(Calendar!$K$4="*",N2415=Calendar!$K$4)),P2415*100+COUNTIFS($P$6:$P$3267,P2415,$Q$6:$Q$3267,"&lt;="&amp;Q2415,$N$6:$N$3267,Calendar!$K$4),"")</f>
        <v/>
      </c>
      <c r="W2415" s="47">
        <f>IF(AND(B2415=Queue!$C$4,OR(Queue!$K$4="*",N2415=Queue!$K$4)),Q2415,"")</f>
        <v/>
      </c>
    </row>
    <row r="2416">
      <c r="A2416" s="38">
        <f>IF(M2416="","",HYPERLINK("https://www.youtube.com/watch?v="&amp;M2416,"▶"))</f>
        <v/>
      </c>
      <c r="B2416" s="39">
        <f>IF(C2416&lt;&gt;"",C2416,IF(P2416&lt;=IFERROR(INDEX(tblChannels[Watched Through],MATCH(N2416,tblChannels[Channel ID],0)),0),"Watched","Unwatched"))</f>
        <v/>
      </c>
      <c r="C2416" s="40" t="n"/>
      <c r="D2416" s="41" t="n"/>
      <c r="E2416" s="42" t="n">
        <v>42927.71111111111</v>
      </c>
      <c r="F2416" s="50" t="inlineStr">
        <is>
          <t>Super Carlin Brothers</t>
        </is>
      </c>
      <c r="G2416" t="inlineStr">
        <is>
          <t>Is This The Best Spider Man Yet? | HOMECOMING REVIEW</t>
        </is>
      </c>
      <c r="H2416" s="44" t="n">
        <v>0.0249537037037037</v>
      </c>
      <c r="I2416" s="45" t="n">
        <v>574025</v>
      </c>
      <c r="J2416" s="45" t="n">
        <v>13228</v>
      </c>
      <c r="K2416" s="45" t="n">
        <v>3148</v>
      </c>
      <c r="L2416" s="46" t="n"/>
      <c r="M2416" s="47" t="n"/>
      <c r="N2416" s="47" t="inlineStr">
        <is>
          <t>UCKZo4N0lVPccBkSiuyVh4yg</t>
        </is>
      </c>
      <c r="O2416" s="48" t="n">
        <v>42927.87777777778</v>
      </c>
      <c r="P2416" s="49" t="n">
        <v>42927</v>
      </c>
      <c r="Q2416" s="47" t="n">
        <v>852</v>
      </c>
      <c r="R2416" s="47" t="inlineStr">
        <is>
          <t>No Video ID yet</t>
        </is>
      </c>
      <c r="S2416" s="49" t="n"/>
      <c r="T2416" s="49" t="n"/>
      <c r="U2416" s="47" t="inlineStr">
        <is>
          <t>Today J and Ben give their full spoiler review of Sony and Marvel's latest movie: Spider Man Homecoming! Is this the best Spider Man movie to date? Who is your favorite Spider Man??</t>
        </is>
      </c>
      <c r="V2416" s="47">
        <f>IF(AND(P2416&gt;=Calendar!$K$2,P2416&lt;EDATE(Calendar!$K$2,1),OR(Calendar!$K$4="*",N2416=Calendar!$K$4)),P2416*100+COUNTIFS($P$6:$P$3267,P2416,$Q$6:$Q$3267,"&lt;="&amp;Q2416,$N$6:$N$3267,Calendar!$K$4),"")</f>
        <v/>
      </c>
      <c r="W2416" s="47">
        <f>IF(AND(B2416=Queue!$C$4,OR(Queue!$K$4="*",N2416=Queue!$K$4)),Q2416,"")</f>
        <v/>
      </c>
    </row>
    <row r="2417">
      <c r="A2417" s="38">
        <f>IF(M2417="","",HYPERLINK("https://www.youtube.com/watch?v="&amp;M2417,"▶"))</f>
        <v/>
      </c>
      <c r="B2417" s="39">
        <f>IF(C2417&lt;&gt;"",C2417,IF(P2417&lt;=IFERROR(INDEX(tblChannels[Watched Through],MATCH(N2417,tblChannels[Channel ID],0)),0),"Watched","Unwatched"))</f>
        <v/>
      </c>
      <c r="C2417" s="40" t="n"/>
      <c r="D2417" s="41" t="n"/>
      <c r="E2417" s="42" t="n">
        <v>42927.41666666666</v>
      </c>
      <c r="F2417" s="52" t="inlineStr">
        <is>
          <t>Super Carlin Gaming</t>
        </is>
      </c>
      <c r="G2417" t="inlineStr">
        <is>
          <t>Mario Kart Roulette #14: Fourth of July Stories</t>
        </is>
      </c>
      <c r="H2417" s="44" t="n">
        <v>0.01020833333333333</v>
      </c>
      <c r="I2417" s="45" t="n">
        <v>16510</v>
      </c>
      <c r="J2417" s="45" t="n">
        <v>452</v>
      </c>
      <c r="K2417" s="45" t="n">
        <v>91</v>
      </c>
      <c r="L2417" s="46" t="n"/>
      <c r="M2417" s="47" t="n"/>
      <c r="N2417" s="47" t="inlineStr">
        <is>
          <t>UCor_9jRnNNZVzTuQ92PKsaQ</t>
        </is>
      </c>
      <c r="O2417" s="48" t="n">
        <v>42927.58333333334</v>
      </c>
      <c r="P2417" s="49" t="n">
        <v>42927</v>
      </c>
      <c r="Q2417" s="47" t="n">
        <v>851</v>
      </c>
      <c r="R2417" s="47" t="inlineStr">
        <is>
          <t>No Video ID yet</t>
        </is>
      </c>
      <c r="S2417" s="49" t="n"/>
      <c r="T2417" s="49" t="n"/>
      <c r="U2417" s="47" t="inlineStr">
        <is>
          <t>In this episode, Ben and J are back at it again with the Mushroom Cup in their effort to three-star.</t>
        </is>
      </c>
      <c r="V2417" s="47">
        <f>IF(AND(P2417&gt;=Calendar!$K$2,P2417&lt;EDATE(Calendar!$K$2,1),OR(Calendar!$K$4="*",N2417=Calendar!$K$4)),P2417*100+COUNTIFS($P$6:$P$3267,P2417,$Q$6:$Q$3267,"&lt;="&amp;Q2417,$N$6:$N$3267,Calendar!$K$4),"")</f>
        <v/>
      </c>
      <c r="W2417" s="47">
        <f>IF(AND(B2417=Queue!$C$4,OR(Queue!$K$4="*",N2417=Queue!$K$4)),Q2417,"")</f>
        <v/>
      </c>
    </row>
    <row r="2418">
      <c r="A2418" s="38">
        <f>IF(M2418="","",HYPERLINK("https://www.youtube.com/watch?v="&amp;M2418,"▶"))</f>
        <v/>
      </c>
      <c r="B2418" s="39">
        <f>IF(C2418&lt;&gt;"",C2418,IF(P2418&lt;=IFERROR(INDEX(tblChannels[Watched Through],MATCH(N2418,tblChannels[Channel ID],0)),0),"Watched","Unwatched"))</f>
        <v/>
      </c>
      <c r="C2418" s="40" t="n"/>
      <c r="D2418" s="41" t="n"/>
      <c r="E2418" s="42" t="n">
        <v>42924.41666666666</v>
      </c>
      <c r="F2418" s="52" t="inlineStr">
        <is>
          <t>Super Carlin Gaming</t>
        </is>
      </c>
      <c r="G2418" t="inlineStr">
        <is>
          <t>Mario Kart Roulette #13: SPECIAL EDITION BATTLE (feat. J, Ben, DK and Kallie)</t>
        </is>
      </c>
      <c r="H2418" s="44" t="n">
        <v>0.01412037037037037</v>
      </c>
      <c r="I2418" s="45" t="n">
        <v>20275</v>
      </c>
      <c r="J2418" s="45" t="n">
        <v>578</v>
      </c>
      <c r="K2418" s="45" t="n">
        <v>88</v>
      </c>
      <c r="L2418" s="46" t="n"/>
      <c r="M2418" s="47" t="n"/>
      <c r="N2418" s="47" t="inlineStr">
        <is>
          <t>UCor_9jRnNNZVzTuQ92PKsaQ</t>
        </is>
      </c>
      <c r="O2418" s="48" t="n">
        <v>42924.58333333334</v>
      </c>
      <c r="P2418" s="49" t="n">
        <v>42924</v>
      </c>
      <c r="Q2418" s="47" t="n">
        <v>850</v>
      </c>
      <c r="R2418" s="47" t="inlineStr">
        <is>
          <t>No Video ID yet</t>
        </is>
      </c>
      <c r="S2418" s="49" t="n"/>
      <c r="T2418" s="49" t="n"/>
      <c r="U2418" s="47" t="inlineStr">
        <is>
          <t>In this special edition episode, J, Ben, DK and Kallie compete against each other in four Shine Battle rounds.</t>
        </is>
      </c>
      <c r="V2418" s="47">
        <f>IF(AND(P2418&gt;=Calendar!$K$2,P2418&lt;EDATE(Calendar!$K$2,1),OR(Calendar!$K$4="*",N2418=Calendar!$K$4)),P2418*100+COUNTIFS($P$6:$P$3267,P2418,$Q$6:$Q$3267,"&lt;="&amp;Q2418,$N$6:$N$3267,Calendar!$K$4),"")</f>
        <v/>
      </c>
      <c r="W2418" s="47">
        <f>IF(AND(B2418=Queue!$C$4,OR(Queue!$K$4="*",N2418=Queue!$K$4)),Q2418,"")</f>
        <v/>
      </c>
    </row>
    <row r="2419">
      <c r="A2419" s="38">
        <f>IF(M2419="","",HYPERLINK("https://www.youtube.com/watch?v="&amp;M2419,"▶"))</f>
        <v/>
      </c>
      <c r="B2419" s="39">
        <f>IF(C2419&lt;&gt;"",C2419,IF(P2419&lt;=IFERROR(INDEX(tblChannels[Watched Through],MATCH(N2419,tblChannels[Channel ID],0)),0),"Watched","Unwatched"))</f>
        <v/>
      </c>
      <c r="C2419" s="40" t="n"/>
      <c r="D2419" s="41" t="n"/>
      <c r="E2419" s="42" t="n">
        <v>42923.54722222222</v>
      </c>
      <c r="F2419" s="52" t="inlineStr">
        <is>
          <t>Super Carlin Gaming</t>
        </is>
      </c>
      <c r="G2419" t="inlineStr">
        <is>
          <t>Pokemon Pearl Nuzlocke #21: Hamilton's Shiny Quest</t>
        </is>
      </c>
      <c r="H2419" s="44" t="n">
        <v>0.0169212962962963</v>
      </c>
      <c r="I2419" s="45" t="n">
        <v>26898</v>
      </c>
      <c r="J2419" s="45" t="n">
        <v>740</v>
      </c>
      <c r="K2419" s="45" t="n">
        <v>320</v>
      </c>
      <c r="L2419" s="46" t="n"/>
      <c r="M2419" s="47" t="n"/>
      <c r="N2419" s="47" t="inlineStr">
        <is>
          <t>UCor_9jRnNNZVzTuQ92PKsaQ</t>
        </is>
      </c>
      <c r="O2419" s="48" t="n">
        <v>42923.71388888889</v>
      </c>
      <c r="P2419" s="49" t="n">
        <v>42923</v>
      </c>
      <c r="Q2419" s="47" t="n">
        <v>849</v>
      </c>
      <c r="R2419" s="47" t="inlineStr">
        <is>
          <t>No Video ID yet</t>
        </is>
      </c>
      <c r="S2419" s="49" t="n"/>
      <c r="T2419" s="49" t="n"/>
      <c r="U2419" s="47" t="inlineStr">
        <is>
          <t>Before heading to Mt. Coronet and finishing off Team Galactic J and the team make a side quest to the Iron Island to help their stoic leader achieve his full potential.. but will they make it though the steel cave's trainers and traps and reach the prize? Also.. I totally forgot to turn the face cam on.. ugh.</t>
        </is>
      </c>
      <c r="V2419" s="47">
        <f>IF(AND(P2419&gt;=Calendar!$K$2,P2419&lt;EDATE(Calendar!$K$2,1),OR(Calendar!$K$4="*",N2419=Calendar!$K$4)),P2419*100+COUNTIFS($P$6:$P$3267,P2419,$Q$6:$Q$3267,"&lt;="&amp;Q2419,$N$6:$N$3267,Calendar!$K$4),"")</f>
        <v/>
      </c>
      <c r="W2419" s="47">
        <f>IF(AND(B2419=Queue!$C$4,OR(Queue!$K$4="*",N2419=Queue!$K$4)),Q2419,"")</f>
        <v/>
      </c>
    </row>
    <row r="2420">
      <c r="A2420" s="38">
        <f>IF(M2420="","",HYPERLINK("https://www.youtube.com/watch?v="&amp;M2420,"▶"))</f>
        <v/>
      </c>
      <c r="B2420" s="39">
        <f>IF(C2420&lt;&gt;"",C2420,IF(P2420&lt;=IFERROR(INDEX(tblChannels[Watched Through],MATCH(N2420,tblChannels[Channel ID],0)),0),"Watched","Unwatched"))</f>
        <v/>
      </c>
      <c r="C2420" s="40" t="n"/>
      <c r="D2420" s="41" t="n"/>
      <c r="E2420" s="42" t="n">
        <v>42922.77361111111</v>
      </c>
      <c r="F2420" s="50" t="inlineStr">
        <is>
          <t>Super Carlin Brothers</t>
        </is>
      </c>
      <c r="G2420" t="inlineStr">
        <is>
          <t>Star Wars: Why Are Sith Lightsabers Red</t>
        </is>
      </c>
      <c r="H2420" s="44" t="n">
        <v>0.00636574074074074</v>
      </c>
      <c r="I2420" s="45" t="n">
        <v>280798</v>
      </c>
      <c r="J2420" s="45" t="n">
        <v>9132</v>
      </c>
      <c r="K2420" s="45" t="n">
        <v>1841</v>
      </c>
      <c r="L2420" s="46" t="n"/>
      <c r="M2420" s="47" t="n"/>
      <c r="N2420" s="47" t="inlineStr">
        <is>
          <t>UCKZo4N0lVPccBkSiuyVh4yg</t>
        </is>
      </c>
      <c r="O2420" s="48" t="n">
        <v>42922.94027777778</v>
      </c>
      <c r="P2420" s="49" t="n">
        <v>42922</v>
      </c>
      <c r="Q2420" s="47" t="n">
        <v>848</v>
      </c>
      <c r="R2420" s="47" t="inlineStr">
        <is>
          <t>No Video ID yet</t>
        </is>
      </c>
      <c r="S2420" s="49" t="n"/>
      <c r="T2420" s="49" t="n"/>
      <c r="U2420" s="47" t="inlineStr">
        <is>
          <t>Today Ben dives into the world of Star Wars to discuss why and how red lightsabers come to be including the origin of Darth Vader’s own lightsaber and what implications this may have for the future of Star Wars.</t>
        </is>
      </c>
      <c r="V2420" s="47">
        <f>IF(AND(P2420&gt;=Calendar!$K$2,P2420&lt;EDATE(Calendar!$K$2,1),OR(Calendar!$K$4="*",N2420=Calendar!$K$4)),P2420*100+COUNTIFS($P$6:$P$3267,P2420,$Q$6:$Q$3267,"&lt;="&amp;Q2420,$N$6:$N$3267,Calendar!$K$4),"")</f>
        <v/>
      </c>
      <c r="W2420" s="47">
        <f>IF(AND(B2420=Queue!$C$4,OR(Queue!$K$4="*",N2420=Queue!$K$4)),Q2420,"")</f>
        <v/>
      </c>
    </row>
    <row r="2421">
      <c r="A2421" s="38">
        <f>IF(M2421="","",HYPERLINK("https://www.youtube.com/watch?v="&amp;M2421,"▶"))</f>
        <v/>
      </c>
      <c r="B2421" s="39">
        <f>IF(C2421&lt;&gt;"",C2421,IF(P2421&lt;=IFERROR(INDEX(tblChannels[Watched Through],MATCH(N2421,tblChannels[Channel ID],0)),0),"Watched","Unwatched"))</f>
        <v/>
      </c>
      <c r="C2421" s="40" t="n"/>
      <c r="D2421" s="41" t="n"/>
      <c r="E2421" s="42" t="n">
        <v>42922.41666666666</v>
      </c>
      <c r="F2421" s="52" t="inlineStr">
        <is>
          <t>Super Carlin Gaming</t>
        </is>
      </c>
      <c r="G2421" t="inlineStr">
        <is>
          <t>Mario Kart Roulette #12: Complaining About How Awful We Are</t>
        </is>
      </c>
      <c r="H2421" s="44" t="n">
        <v>0.01034722222222222</v>
      </c>
      <c r="I2421" s="45" t="n">
        <v>18458</v>
      </c>
      <c r="J2421" s="45" t="n">
        <v>558</v>
      </c>
      <c r="K2421" s="45" t="n">
        <v>81</v>
      </c>
      <c r="L2421" s="46" t="n"/>
      <c r="M2421" s="47" t="n"/>
      <c r="N2421" s="47" t="inlineStr">
        <is>
          <t>UCor_9jRnNNZVzTuQ92PKsaQ</t>
        </is>
      </c>
      <c r="O2421" s="48" t="n">
        <v>42922.58333333334</v>
      </c>
      <c r="P2421" s="49" t="n">
        <v>42922</v>
      </c>
      <c r="Q2421" s="47" t="n">
        <v>847</v>
      </c>
      <c r="R2421" s="47" t="inlineStr">
        <is>
          <t>No Video ID yet</t>
        </is>
      </c>
      <c r="S2421" s="49" t="n"/>
      <c r="T2421" s="49" t="n"/>
      <c r="U2421" s="47" t="inlineStr">
        <is>
          <t>In this episode, J and Ben take on the Bell Cup as Roy and Inkling Girl as they continue discussing their strengths and weaknesses (but mostly still weaknesses.)</t>
        </is>
      </c>
      <c r="V2421" s="47">
        <f>IF(AND(P2421&gt;=Calendar!$K$2,P2421&lt;EDATE(Calendar!$K$2,1),OR(Calendar!$K$4="*",N2421=Calendar!$K$4)),P2421*100+COUNTIFS($P$6:$P$3267,P2421,$Q$6:$Q$3267,"&lt;="&amp;Q2421,$N$6:$N$3267,Calendar!$K$4),"")</f>
        <v/>
      </c>
      <c r="W2421" s="47">
        <f>IF(AND(B2421=Queue!$C$4,OR(Queue!$K$4="*",N2421=Queue!$K$4)),Q2421,"")</f>
        <v/>
      </c>
    </row>
    <row r="2422">
      <c r="A2422" s="38">
        <f>IF(M2422="","",HYPERLINK("https://www.youtube.com/watch?v="&amp;M2422,"▶"))</f>
        <v/>
      </c>
      <c r="B2422" s="39">
        <f>IF(C2422&lt;&gt;"",C2422,IF(P2422&lt;=IFERROR(INDEX(tblChannels[Watched Through],MATCH(N2422,tblChannels[Channel ID],0)),0),"Watched","Unwatched"))</f>
        <v/>
      </c>
      <c r="C2422" s="40" t="n"/>
      <c r="D2422" s="41" t="n"/>
      <c r="E2422" s="42" t="n">
        <v>42921.625</v>
      </c>
      <c r="F2422" s="52" t="inlineStr">
        <is>
          <t>Super Carlin Gaming</t>
        </is>
      </c>
      <c r="G2422" t="inlineStr">
        <is>
          <t>Pokemon Pearl Nuzlocke #20: Galactic HQ</t>
        </is>
      </c>
      <c r="H2422" s="44" t="n">
        <v>0.01890046296296296</v>
      </c>
      <c r="I2422" s="45" t="n">
        <v>28349</v>
      </c>
      <c r="J2422" s="45" t="n">
        <v>743</v>
      </c>
      <c r="K2422" s="45" t="n">
        <v>192</v>
      </c>
      <c r="L2422" s="46" t="n"/>
      <c r="M2422" s="47" t="n"/>
      <c r="N2422" s="47" t="inlineStr">
        <is>
          <t>UCor_9jRnNNZVzTuQ92PKsaQ</t>
        </is>
      </c>
      <c r="O2422" s="48" t="n">
        <v>42921.79166666666</v>
      </c>
      <c r="P2422" s="49" t="n">
        <v>42921</v>
      </c>
      <c r="Q2422" s="47" t="n">
        <v>846</v>
      </c>
      <c r="R2422" s="47" t="inlineStr">
        <is>
          <t>No Video ID yet</t>
        </is>
      </c>
      <c r="S2422" s="49" t="n"/>
      <c r="T2422" s="49" t="n"/>
      <c r="U2422" s="47" t="inlineStr">
        <is>
          <t>With their 7th gym badge in hand J and the team set off to finish off what remains of Team Galactic. They have killed our pokemon before.. can the team survive another encounter with their elite?</t>
        </is>
      </c>
      <c r="V2422" s="47">
        <f>IF(AND(P2422&gt;=Calendar!$K$2,P2422&lt;EDATE(Calendar!$K$2,1),OR(Calendar!$K$4="*",N2422=Calendar!$K$4)),P2422*100+COUNTIFS($P$6:$P$3267,P2422,$Q$6:$Q$3267,"&lt;="&amp;Q2422,$N$6:$N$3267,Calendar!$K$4),"")</f>
        <v/>
      </c>
      <c r="W2422" s="47">
        <f>IF(AND(B2422=Queue!$C$4,OR(Queue!$K$4="*",N2422=Queue!$K$4)),Q2422,"")</f>
        <v/>
      </c>
    </row>
    <row r="2423">
      <c r="A2423" s="38">
        <f>IF(M2423="","",HYPERLINK("https://www.youtube.com/watch?v="&amp;M2423,"▶"))</f>
        <v/>
      </c>
      <c r="B2423" s="39">
        <f>IF(C2423&lt;&gt;"",C2423,IF(P2423&lt;=IFERROR(INDEX(tblChannels[Watched Through],MATCH(N2423,tblChannels[Channel ID],0)),0),"Watched","Unwatched"))</f>
        <v/>
      </c>
      <c r="C2423" s="40" t="n"/>
      <c r="D2423" s="41" t="n"/>
      <c r="E2423" s="42" t="n">
        <v>42920.67152777778</v>
      </c>
      <c r="F2423" s="50" t="inlineStr">
        <is>
          <t>Super Carlin Brothers</t>
        </is>
      </c>
      <c r="G2423" t="inlineStr">
        <is>
          <t>Spider Man And The American Flag Explained</t>
        </is>
      </c>
      <c r="H2423" s="44" t="n">
        <v>0.005543981481481481</v>
      </c>
      <c r="I2423" s="45" t="n">
        <v>588252</v>
      </c>
      <c r="J2423" s="45" t="n">
        <v>18466</v>
      </c>
      <c r="K2423" s="45" t="n">
        <v>2574</v>
      </c>
      <c r="L2423" s="46" t="n"/>
      <c r="M2423" s="47" t="n"/>
      <c r="N2423" s="47" t="inlineStr">
        <is>
          <t>UCKZo4N0lVPccBkSiuyVh4yg</t>
        </is>
      </c>
      <c r="O2423" s="48" t="n">
        <v>42920.83819444444</v>
      </c>
      <c r="P2423" s="49" t="n">
        <v>42920</v>
      </c>
      <c r="Q2423" s="47" t="n">
        <v>845</v>
      </c>
      <c r="R2423" s="47" t="inlineStr">
        <is>
          <t>No Video ID yet</t>
        </is>
      </c>
      <c r="S2423" s="49" t="n"/>
      <c r="T2423" s="49" t="n"/>
      <c r="U2423" s="47" t="inlineStr">
        <is>
          <t>Happy Independence Day! Today J discusses the odd relationship that has recently developed between Spider Man and the American Flag.</t>
        </is>
      </c>
      <c r="V2423" s="47">
        <f>IF(AND(P2423&gt;=Calendar!$K$2,P2423&lt;EDATE(Calendar!$K$2,1),OR(Calendar!$K$4="*",N2423=Calendar!$K$4)),P2423*100+COUNTIFS($P$6:$P$3267,P2423,$Q$6:$Q$3267,"&lt;="&amp;Q2423,$N$6:$N$3267,Calendar!$K$4),"")</f>
        <v/>
      </c>
      <c r="W2423" s="47">
        <f>IF(AND(B2423=Queue!$C$4,OR(Queue!$K$4="*",N2423=Queue!$K$4)),Q2423,"")</f>
        <v/>
      </c>
    </row>
    <row r="2424">
      <c r="A2424" s="38">
        <f>IF(M2424="","",HYPERLINK("https://www.youtube.com/watch?v="&amp;M2424,"▶"))</f>
        <v/>
      </c>
      <c r="B2424" s="39">
        <f>IF(C2424&lt;&gt;"",C2424,IF(P2424&lt;=IFERROR(INDEX(tblChannels[Watched Through],MATCH(N2424,tblChannels[Channel ID],0)),0),"Watched","Unwatched"))</f>
        <v/>
      </c>
      <c r="C2424" s="40" t="n"/>
      <c r="D2424" s="41" t="n"/>
      <c r="E2424" s="42" t="n">
        <v>42920.41666666666</v>
      </c>
      <c r="F2424" s="52" t="inlineStr">
        <is>
          <t>Super Carlin Gaming</t>
        </is>
      </c>
      <c r="G2424" t="inlineStr">
        <is>
          <t>Mario Kart Roulette #11: Strengths and Weaknesses (literally)</t>
        </is>
      </c>
      <c r="H2424" s="44" t="n">
        <v>0.01116898148148148</v>
      </c>
      <c r="I2424" s="45" t="n">
        <v>19269</v>
      </c>
      <c r="J2424" s="45" t="n">
        <v>532</v>
      </c>
      <c r="K2424" s="45" t="n">
        <v>58</v>
      </c>
      <c r="L2424" s="46" t="n"/>
      <c r="M2424" s="47" t="n"/>
      <c r="N2424" s="47" t="inlineStr">
        <is>
          <t>UCor_9jRnNNZVzTuQ92PKsaQ</t>
        </is>
      </c>
      <c r="O2424" s="48" t="n">
        <v>42920.58333333334</v>
      </c>
      <c r="P2424" s="49" t="n">
        <v>42920</v>
      </c>
      <c r="Q2424" s="47" t="n">
        <v>844</v>
      </c>
      <c r="R2424" s="47" t="inlineStr">
        <is>
          <t>No Video ID yet</t>
        </is>
      </c>
      <c r="S2424" s="49" t="n"/>
      <c r="T2424" s="49" t="n"/>
      <c r="U2424" s="47" t="inlineStr">
        <is>
          <t>In this episode, J and Ben discuss their strengths and weaknesses while they compete in the Triforce Cup as White Yoshi and Pink Gold Peach.</t>
        </is>
      </c>
      <c r="V2424" s="47">
        <f>IF(AND(P2424&gt;=Calendar!$K$2,P2424&lt;EDATE(Calendar!$K$2,1),OR(Calendar!$K$4="*",N2424=Calendar!$K$4)),P2424*100+COUNTIFS($P$6:$P$3267,P2424,$Q$6:$Q$3267,"&lt;="&amp;Q2424,$N$6:$N$3267,Calendar!$K$4),"")</f>
        <v/>
      </c>
      <c r="W2424" s="47">
        <f>IF(AND(B2424=Queue!$C$4,OR(Queue!$K$4="*",N2424=Queue!$K$4)),Q2424,"")</f>
        <v/>
      </c>
    </row>
    <row r="2425">
      <c r="A2425" s="38">
        <f>IF(M2425="","",HYPERLINK("https://www.youtube.com/watch?v="&amp;M2425,"▶"))</f>
        <v/>
      </c>
      <c r="B2425" s="39">
        <f>IF(C2425&lt;&gt;"",C2425,IF(P2425&lt;=IFERROR(INDEX(tblChannels[Watched Through],MATCH(N2425,tblChannels[Channel ID],0)),0),"Watched","Unwatched"))</f>
        <v/>
      </c>
      <c r="C2425" s="40" t="n"/>
      <c r="D2425" s="41" t="n"/>
      <c r="E2425" s="42" t="n">
        <v>42919.63958333333</v>
      </c>
      <c r="F2425" s="52" t="inlineStr">
        <is>
          <t>Super Carlin Gaming</t>
        </is>
      </c>
      <c r="G2425" t="inlineStr">
        <is>
          <t>Pokemon Pearl Nuzlocke #19: A Raging Starfire</t>
        </is>
      </c>
      <c r="H2425" s="44" t="n">
        <v>0.01732638888888889</v>
      </c>
      <c r="I2425" s="45" t="n">
        <v>29530</v>
      </c>
      <c r="J2425" s="45" t="n">
        <v>793</v>
      </c>
      <c r="K2425" s="45" t="n">
        <v>210</v>
      </c>
      <c r="L2425" s="46" t="n"/>
      <c r="M2425" s="47" t="n"/>
      <c r="N2425" s="47" t="inlineStr">
        <is>
          <t>UCor_9jRnNNZVzTuQ92PKsaQ</t>
        </is>
      </c>
      <c r="O2425" s="48" t="n">
        <v>42919.80625</v>
      </c>
      <c r="P2425" s="49" t="n">
        <v>42919</v>
      </c>
      <c r="Q2425" s="47" t="n">
        <v>843</v>
      </c>
      <c r="R2425" s="47" t="inlineStr">
        <is>
          <t>No Video ID yet</t>
        </is>
      </c>
      <c r="S2425" s="49" t="n"/>
      <c r="T2425" s="49" t="n"/>
      <c r="U2425" s="47" t="inlineStr">
        <is>
          <t>#HailContinuesToFall In the wake of Ozzy's death the team must carry on and tries for its 7th badge.. will the loss be more than they can bear?</t>
        </is>
      </c>
      <c r="V2425" s="47">
        <f>IF(AND(P2425&gt;=Calendar!$K$2,P2425&lt;EDATE(Calendar!$K$2,1),OR(Calendar!$K$4="*",N2425=Calendar!$K$4)),P2425*100+COUNTIFS($P$6:$P$3267,P2425,$Q$6:$Q$3267,"&lt;="&amp;Q2425,$N$6:$N$3267,Calendar!$K$4),"")</f>
        <v/>
      </c>
      <c r="W2425" s="47">
        <f>IF(AND(B2425=Queue!$C$4,OR(Queue!$K$4="*",N2425=Queue!$K$4)),Q2425,"")</f>
        <v/>
      </c>
    </row>
    <row r="2426">
      <c r="A2426" s="38">
        <f>IF(M2426="","",HYPERLINK("https://www.youtube.com/watch?v="&amp;M2426,"▶"))</f>
        <v/>
      </c>
      <c r="B2426" s="39">
        <f>IF(C2426&lt;&gt;"",C2426,IF(P2426&lt;=IFERROR(INDEX(tblChannels[Watched Through],MATCH(N2426,tblChannels[Channel ID],0)),0),"Watched","Unwatched"))</f>
        <v/>
      </c>
      <c r="C2426" s="40" t="n"/>
      <c r="D2426" s="41" t="n"/>
      <c r="E2426" s="42" t="n">
        <v>42916.64930555555</v>
      </c>
      <c r="F2426" s="52" t="inlineStr">
        <is>
          <t>Super Carlin Gaming</t>
        </is>
      </c>
      <c r="G2426" t="inlineStr">
        <is>
          <t>Pokemon Pearl Nuzlocke #18: Hail Continues To Fall</t>
        </is>
      </c>
      <c r="H2426" s="44" t="n">
        <v>0.02387731481481482</v>
      </c>
      <c r="I2426" s="45" t="n">
        <v>33803</v>
      </c>
      <c r="J2426" s="45" t="n">
        <v>1005</v>
      </c>
      <c r="K2426" s="45" t="n">
        <v>691</v>
      </c>
      <c r="L2426" s="46" t="n"/>
      <c r="M2426" s="47" t="n"/>
      <c r="N2426" s="47" t="inlineStr">
        <is>
          <t>UCor_9jRnNNZVzTuQ92PKsaQ</t>
        </is>
      </c>
      <c r="O2426" s="48" t="n">
        <v>42916.81597222222</v>
      </c>
      <c r="P2426" s="49" t="n">
        <v>42916</v>
      </c>
      <c r="Q2426" s="47" t="n">
        <v>842</v>
      </c>
      <c r="R2426" s="47" t="inlineStr">
        <is>
          <t>No Video ID yet</t>
        </is>
      </c>
      <c r="S2426" s="49" t="n"/>
      <c r="T2426" s="49" t="n"/>
      <c r="U2426" s="47" t="inlineStr">
        <is>
          <t>Today J and the team continue North to Lake Accuity and our 7th gym badge.. there are many tough trainers along way.. can the team weather the blizzard and make it to Snow Point City?</t>
        </is>
      </c>
      <c r="V2426" s="47">
        <f>IF(AND(P2426&gt;=Calendar!$K$2,P2426&lt;EDATE(Calendar!$K$2,1),OR(Calendar!$K$4="*",N2426=Calendar!$K$4)),P2426*100+COUNTIFS($P$6:$P$3267,P2426,$Q$6:$Q$3267,"&lt;="&amp;Q2426,$N$6:$N$3267,Calendar!$K$4),"")</f>
        <v/>
      </c>
      <c r="W2426" s="47">
        <f>IF(AND(B2426=Queue!$C$4,OR(Queue!$K$4="*",N2426=Queue!$K$4)),Q2426,"")</f>
        <v/>
      </c>
    </row>
    <row r="2427">
      <c r="A2427" s="38">
        <f>IF(M2427="","",HYPERLINK("https://www.youtube.com/watch?v="&amp;M2427,"▶"))</f>
        <v/>
      </c>
      <c r="B2427" s="39">
        <f>IF(C2427&lt;&gt;"",C2427,IF(P2427&lt;=IFERROR(INDEX(tblChannels[Watched Through],MATCH(N2427,tblChannels[Channel ID],0)),0),"Watched","Unwatched"))</f>
        <v/>
      </c>
      <c r="C2427" s="40" t="n"/>
      <c r="D2427" s="41" t="n"/>
      <c r="E2427" s="42" t="n">
        <v>42915.80138888889</v>
      </c>
      <c r="F2427" s="50" t="inlineStr">
        <is>
          <t>Super Carlin Brothers</t>
        </is>
      </c>
      <c r="G2427" t="inlineStr">
        <is>
          <t>Pixar Theory: The Origin Of Al's Toy Barn (ft. Mike Mozart)</t>
        </is>
      </c>
      <c r="H2427" s="44" t="n">
        <v>0.006631944444444445</v>
      </c>
      <c r="I2427" s="45" t="n">
        <v>1259236</v>
      </c>
      <c r="J2427" s="45" t="n">
        <v>33431</v>
      </c>
      <c r="K2427" s="45" t="n">
        <v>3034</v>
      </c>
      <c r="L2427" s="46" t="n"/>
      <c r="M2427" s="47" t="n"/>
      <c r="N2427" s="47" t="inlineStr">
        <is>
          <t>UCKZo4N0lVPccBkSiuyVh4yg</t>
        </is>
      </c>
      <c r="O2427" s="48" t="n">
        <v>42915.96805555555</v>
      </c>
      <c r="P2427" s="49" t="n">
        <v>42915</v>
      </c>
      <c r="Q2427" s="47" t="n">
        <v>841</v>
      </c>
      <c r="R2427" s="47" t="inlineStr">
        <is>
          <t>No Video ID yet</t>
        </is>
      </c>
      <c r="S2427" s="49" t="n"/>
      <c r="T2427" s="49" t="n"/>
      <c r="U2427" s="47" t="inlineStr">
        <is>
          <t>Today Ben continues with Mike Mozart’s tale of Andy’s father and discover the origins of Al from Al’s Toy Barn. Little did we know that hidden deep inside this story was the answer to one of our oldest Pixar questions ever!</t>
        </is>
      </c>
      <c r="V2427" s="47">
        <f>IF(AND(P2427&gt;=Calendar!$K$2,P2427&lt;EDATE(Calendar!$K$2,1),OR(Calendar!$K$4="*",N2427=Calendar!$K$4)),P2427*100+COUNTIFS($P$6:$P$3267,P2427,$Q$6:$Q$3267,"&lt;="&amp;Q2427,$N$6:$N$3267,Calendar!$K$4),"")</f>
        <v/>
      </c>
      <c r="W2427" s="47">
        <f>IF(AND(B2427=Queue!$C$4,OR(Queue!$K$4="*",N2427=Queue!$K$4)),Q2427,"")</f>
        <v/>
      </c>
    </row>
    <row r="2428">
      <c r="A2428" s="38">
        <f>IF(M2428="","",HYPERLINK("https://www.youtube.com/watch?v="&amp;M2428,"▶"))</f>
        <v/>
      </c>
      <c r="B2428" s="39">
        <f>IF(C2428&lt;&gt;"",C2428,IF(P2428&lt;=IFERROR(INDEX(tblChannels[Watched Through],MATCH(N2428,tblChannels[Channel ID],0)),0),"Watched","Unwatched"))</f>
        <v/>
      </c>
      <c r="C2428" s="40" t="n"/>
      <c r="D2428" s="41" t="n"/>
      <c r="E2428" s="42" t="n">
        <v>42915.41666666666</v>
      </c>
      <c r="F2428" s="52" t="inlineStr">
        <is>
          <t>Super Carlin Gaming</t>
        </is>
      </c>
      <c r="G2428" t="inlineStr">
        <is>
          <t>Mario Kart Roulette #10: Dragons and Nifflers</t>
        </is>
      </c>
      <c r="H2428" s="44" t="n">
        <v>0.01131944444444444</v>
      </c>
      <c r="I2428" s="45" t="n">
        <v>21293</v>
      </c>
      <c r="J2428" s="45" t="n">
        <v>548</v>
      </c>
      <c r="K2428" s="45" t="n">
        <v>127</v>
      </c>
      <c r="L2428" s="46" t="n"/>
      <c r="M2428" s="47" t="n"/>
      <c r="N2428" s="47" t="inlineStr">
        <is>
          <t>UCor_9jRnNNZVzTuQ92PKsaQ</t>
        </is>
      </c>
      <c r="O2428" s="48" t="n">
        <v>42915.58333333334</v>
      </c>
      <c r="P2428" s="49" t="n">
        <v>42915</v>
      </c>
      <c r="Q2428" s="47" t="n">
        <v>840</v>
      </c>
      <c r="R2428" s="47" t="inlineStr">
        <is>
          <t>No Video ID yet</t>
        </is>
      </c>
      <c r="S2428" s="49" t="n"/>
      <c r="T2428" s="49" t="n"/>
      <c r="U2428" s="47" t="inlineStr">
        <is>
          <t>In this episode, J and Ben continue answering some of your questions while they take on the Lightning Cup as Wario and Inkling Boy.</t>
        </is>
      </c>
      <c r="V2428" s="47">
        <f>IF(AND(P2428&gt;=Calendar!$K$2,P2428&lt;EDATE(Calendar!$K$2,1),OR(Calendar!$K$4="*",N2428=Calendar!$K$4)),P2428*100+COUNTIFS($P$6:$P$3267,P2428,$Q$6:$Q$3267,"&lt;="&amp;Q2428,$N$6:$N$3267,Calendar!$K$4),"")</f>
        <v/>
      </c>
      <c r="W2428" s="47">
        <f>IF(AND(B2428=Queue!$C$4,OR(Queue!$K$4="*",N2428=Queue!$K$4)),Q2428,"")</f>
        <v/>
      </c>
    </row>
    <row r="2429">
      <c r="A2429" s="38">
        <f>IF(M2429="","",HYPERLINK("https://www.youtube.com/watch?v="&amp;M2429,"▶"))</f>
        <v/>
      </c>
      <c r="B2429" s="39">
        <f>IF(C2429&lt;&gt;"",C2429,IF(P2429&lt;=IFERROR(INDEX(tblChannels[Watched Through],MATCH(N2429,tblChannels[Channel ID],0)),0),"Watched","Unwatched"))</f>
        <v/>
      </c>
      <c r="C2429" s="40" t="n"/>
      <c r="D2429" s="41" t="n"/>
      <c r="E2429" s="42" t="n">
        <v>42914.62083333333</v>
      </c>
      <c r="F2429" s="52" t="inlineStr">
        <is>
          <t>Super Carlin Gaming</t>
        </is>
      </c>
      <c r="G2429" t="inlineStr">
        <is>
          <t>Pokemon Pearl Nuzlocke #17: Beak Unit Alpha</t>
        </is>
      </c>
      <c r="H2429" s="44" t="n">
        <v>0.02050925925925926</v>
      </c>
      <c r="I2429" s="45" t="n">
        <v>31396</v>
      </c>
      <c r="J2429" s="45" t="n">
        <v>807</v>
      </c>
      <c r="K2429" s="45" t="n">
        <v>295</v>
      </c>
      <c r="L2429" s="46" t="n"/>
      <c r="M2429" s="47" t="n"/>
      <c r="N2429" s="47" t="inlineStr">
        <is>
          <t>UCor_9jRnNNZVzTuQ92PKsaQ</t>
        </is>
      </c>
      <c r="O2429" s="48" t="n">
        <v>42914.7875</v>
      </c>
      <c r="P2429" s="49" t="n">
        <v>42914</v>
      </c>
      <c r="Q2429" s="47" t="n">
        <v>839</v>
      </c>
      <c r="R2429" s="47" t="inlineStr">
        <is>
          <t>No Video ID yet</t>
        </is>
      </c>
      <c r="S2429" s="49" t="n"/>
      <c r="T2429" s="49" t="n"/>
      <c r="U2429" s="47" t="inlineStr">
        <is>
          <t>A new friend, a new evolution and the founding of Beak Unit Alpha! Today J and the team take on Team Galactic and chase them around the region, but will their admins be to tough to take?</t>
        </is>
      </c>
      <c r="V2429" s="47">
        <f>IF(AND(P2429&gt;=Calendar!$K$2,P2429&lt;EDATE(Calendar!$K$2,1),OR(Calendar!$K$4="*",N2429=Calendar!$K$4)),P2429*100+COUNTIFS($P$6:$P$3267,P2429,$Q$6:$Q$3267,"&lt;="&amp;Q2429,$N$6:$N$3267,Calendar!$K$4),"")</f>
        <v/>
      </c>
      <c r="W2429" s="47">
        <f>IF(AND(B2429=Queue!$C$4,OR(Queue!$K$4="*",N2429=Queue!$K$4)),Q2429,"")</f>
        <v/>
      </c>
    </row>
    <row r="2430">
      <c r="A2430" s="38">
        <f>IF(M2430="","",HYPERLINK("https://www.youtube.com/watch?v="&amp;M2430,"▶"))</f>
        <v/>
      </c>
      <c r="B2430" s="39">
        <f>IF(C2430&lt;&gt;"",C2430,IF(P2430&lt;=IFERROR(INDEX(tblChannels[Watched Through],MATCH(N2430,tblChannels[Channel ID],0)),0),"Watched","Unwatched"))</f>
        <v/>
      </c>
      <c r="C2430" s="40" t="n"/>
      <c r="D2430" s="41" t="n"/>
      <c r="E2430" s="42" t="n">
        <v>42913.79236111111</v>
      </c>
      <c r="F2430" s="50" t="inlineStr">
        <is>
          <t>Super Carlin Brothers</t>
        </is>
      </c>
      <c r="G2430" t="inlineStr">
        <is>
          <t>How Cars 3 Fits Into the Pixar Theory</t>
        </is>
      </c>
      <c r="H2430" s="44" t="n">
        <v>0.007673611111111111</v>
      </c>
      <c r="I2430" s="45" t="n">
        <v>747828</v>
      </c>
      <c r="J2430" s="45" t="n">
        <v>19450</v>
      </c>
      <c r="K2430" s="45" t="n">
        <v>2990</v>
      </c>
      <c r="L2430" s="46" t="n"/>
      <c r="M2430" s="47" t="n"/>
      <c r="N2430" s="47" t="inlineStr">
        <is>
          <t>UCKZo4N0lVPccBkSiuyVh4yg</t>
        </is>
      </c>
      <c r="O2430" s="48" t="n">
        <v>42913.95902777778</v>
      </c>
      <c r="P2430" s="49" t="n">
        <v>42913</v>
      </c>
      <c r="Q2430" s="47" t="n">
        <v>838</v>
      </c>
      <c r="R2430" s="47" t="inlineStr">
        <is>
          <t>No Video ID yet</t>
        </is>
      </c>
      <c r="S2430" s="49" t="n"/>
      <c r="T2430" s="49" t="n"/>
      <c r="U2430" s="47" t="inlineStr">
        <is>
          <t>Today we discuss how Cars 3 Fits into the Pixar Theory! Jon Negroni’s Pixar Theory :: A new Pixar movie means a new entry into the Pixar Theory, today J drives into the world of Cars 3 to discover how the world of cars connects to the rest of the Pixar universe!</t>
        </is>
      </c>
      <c r="V2430" s="47">
        <f>IF(AND(P2430&gt;=Calendar!$K$2,P2430&lt;EDATE(Calendar!$K$2,1),OR(Calendar!$K$4="*",N2430=Calendar!$K$4)),P2430*100+COUNTIFS($P$6:$P$3267,P2430,$Q$6:$Q$3267,"&lt;="&amp;Q2430,$N$6:$N$3267,Calendar!$K$4),"")</f>
        <v/>
      </c>
      <c r="W2430" s="47">
        <f>IF(AND(B2430=Queue!$C$4,OR(Queue!$K$4="*",N2430=Queue!$K$4)),Q2430,"")</f>
        <v/>
      </c>
    </row>
    <row r="2431">
      <c r="A2431" s="38">
        <f>IF(M2431="","",HYPERLINK("https://www.youtube.com/watch?v="&amp;M2431,"▶"))</f>
        <v/>
      </c>
      <c r="B2431" s="39">
        <f>IF(C2431&lt;&gt;"",C2431,IF(P2431&lt;=IFERROR(INDEX(tblChannels[Watched Through],MATCH(N2431,tblChannels[Channel ID],0)),0),"Watched","Unwatched"))</f>
        <v/>
      </c>
      <c r="C2431" s="40" t="n"/>
      <c r="D2431" s="41" t="n"/>
      <c r="E2431" s="42" t="n">
        <v>42913.41666666666</v>
      </c>
      <c r="F2431" s="52" t="inlineStr">
        <is>
          <t>Super Carlin Gaming</t>
        </is>
      </c>
      <c r="G2431" t="inlineStr">
        <is>
          <t>Mario Kart Roulette #9: Ask J and Ben</t>
        </is>
      </c>
      <c r="H2431" s="44" t="n">
        <v>0.01099537037037037</v>
      </c>
      <c r="I2431" s="45" t="n">
        <v>21420</v>
      </c>
      <c r="J2431" s="45" t="n">
        <v>536</v>
      </c>
      <c r="K2431" s="45" t="n">
        <v>100</v>
      </c>
      <c r="L2431" s="46" t="n"/>
      <c r="M2431" s="47" t="n"/>
      <c r="N2431" s="47" t="inlineStr">
        <is>
          <t>UCor_9jRnNNZVzTuQ92PKsaQ</t>
        </is>
      </c>
      <c r="O2431" s="48" t="n">
        <v>42913.58333333334</v>
      </c>
      <c r="P2431" s="49" t="n">
        <v>42913</v>
      </c>
      <c r="Q2431" s="47" t="n">
        <v>837</v>
      </c>
      <c r="R2431" s="47" t="inlineStr">
        <is>
          <t>No Video ID yet</t>
        </is>
      </c>
      <c r="S2431" s="49" t="n"/>
      <c r="T2431" s="49" t="n"/>
      <c r="U2431" s="47" t="inlineStr">
        <is>
          <t>In this episode of the Mario Kart Roulette Challenge, J and Ben take on the Leaf Cup as Baby Luigi and Link as they discuss and answer some of your questions! If you have any questions you would like answered in the next video, leave them in the towel section below!</t>
        </is>
      </c>
      <c r="V2431" s="47">
        <f>IF(AND(P2431&gt;=Calendar!$K$2,P2431&lt;EDATE(Calendar!$K$2,1),OR(Calendar!$K$4="*",N2431=Calendar!$K$4)),P2431*100+COUNTIFS($P$6:$P$3267,P2431,$Q$6:$Q$3267,"&lt;="&amp;Q2431,$N$6:$N$3267,Calendar!$K$4),"")</f>
        <v/>
      </c>
      <c r="W2431" s="47">
        <f>IF(AND(B2431=Queue!$C$4,OR(Queue!$K$4="*",N2431=Queue!$K$4)),Q2431,"")</f>
        <v/>
      </c>
    </row>
    <row r="2432">
      <c r="A2432" s="38">
        <f>IF(M2432="","",HYPERLINK("https://www.youtube.com/watch?v="&amp;M2432,"▶"))</f>
        <v/>
      </c>
      <c r="B2432" s="39">
        <f>IF(C2432&lt;&gt;"",C2432,IF(P2432&lt;=IFERROR(INDEX(tblChannels[Watched Through],MATCH(N2432,tblChannels[Channel ID],0)),0),"Watched","Unwatched"))</f>
        <v/>
      </c>
      <c r="C2432" s="40" t="n"/>
      <c r="D2432" s="41" t="n"/>
      <c r="E2432" s="42" t="n">
        <v>42912.64652777778</v>
      </c>
      <c r="F2432" s="52" t="inlineStr">
        <is>
          <t>Super Carlin Gaming</t>
        </is>
      </c>
      <c r="G2432" t="inlineStr">
        <is>
          <t>Pokemon Pearl Nuzlocke #16: A Steel Gym?</t>
        </is>
      </c>
      <c r="H2432" s="44" t="n">
        <v>0.02186342592592593</v>
      </c>
      <c r="I2432" s="45" t="n">
        <v>33738</v>
      </c>
      <c r="J2432" s="45" t="n">
        <v>814</v>
      </c>
      <c r="K2432" s="45" t="n">
        <v>257</v>
      </c>
      <c r="L2432" s="46" t="n"/>
      <c r="M2432" s="47" t="n"/>
      <c r="N2432" s="47" t="inlineStr">
        <is>
          <t>UCor_9jRnNNZVzTuQ92PKsaQ</t>
        </is>
      </c>
      <c r="O2432" s="48" t="n">
        <v>42912.81319444445</v>
      </c>
      <c r="P2432" s="49" t="n">
        <v>42912</v>
      </c>
      <c r="Q2432" s="47" t="n">
        <v>836</v>
      </c>
      <c r="R2432" s="47" t="inlineStr">
        <is>
          <t>No Video ID yet</t>
        </is>
      </c>
      <c r="S2432" s="49" t="n"/>
      <c r="T2432" s="49" t="n"/>
      <c r="U2432" s="47" t="inlineStr">
        <is>
          <t>J and the team make their way to the 6th gym which uh, claims to be a Steel gym, but uh... is it? Can they survive another gym battle or will another member fall?!</t>
        </is>
      </c>
      <c r="V2432" s="47">
        <f>IF(AND(P2432&gt;=Calendar!$K$2,P2432&lt;EDATE(Calendar!$K$2,1),OR(Calendar!$K$4="*",N2432=Calendar!$K$4)),P2432*100+COUNTIFS($P$6:$P$3267,P2432,$Q$6:$Q$3267,"&lt;="&amp;Q2432,$N$6:$N$3267,Calendar!$K$4),"")</f>
        <v/>
      </c>
      <c r="W2432" s="47">
        <f>IF(AND(B2432=Queue!$C$4,OR(Queue!$K$4="*",N2432=Queue!$K$4)),Q2432,"")</f>
        <v/>
      </c>
    </row>
    <row r="2433">
      <c r="A2433" s="38">
        <f>IF(M2433="","",HYPERLINK("https://www.youtube.com/watch?v="&amp;M2433,"▶"))</f>
        <v/>
      </c>
      <c r="B2433" s="39">
        <f>IF(C2433&lt;&gt;"",C2433,IF(P2433&lt;=IFERROR(INDEX(tblChannels[Watched Through],MATCH(N2433,tblChannels[Channel ID],0)),0),"Watched","Unwatched"))</f>
        <v/>
      </c>
      <c r="C2433" s="40" t="n"/>
      <c r="D2433" s="41" t="n"/>
      <c r="E2433" s="42" t="n">
        <v>42909.61458333334</v>
      </c>
      <c r="F2433" s="52" t="inlineStr">
        <is>
          <t>Super Carlin Gaming</t>
        </is>
      </c>
      <c r="G2433" t="inlineStr">
        <is>
          <t>Pokemon Pearl Nuzlocke #15: Ghosts and Zombies</t>
        </is>
      </c>
      <c r="H2433" s="44" t="n">
        <v>0.02427083333333333</v>
      </c>
      <c r="I2433" s="45" t="n">
        <v>35488</v>
      </c>
      <c r="J2433" s="45" t="n">
        <v>826</v>
      </c>
      <c r="K2433" s="45" t="n">
        <v>287</v>
      </c>
      <c r="L2433" s="46" t="n"/>
      <c r="M2433" s="47" t="n"/>
      <c r="N2433" s="47" t="inlineStr">
        <is>
          <t>UCor_9jRnNNZVzTuQ92PKsaQ</t>
        </is>
      </c>
      <c r="O2433" s="48" t="n">
        <v>42909.78125</v>
      </c>
      <c r="P2433" s="49" t="n">
        <v>42909</v>
      </c>
      <c r="Q2433" s="47" t="n">
        <v>835</v>
      </c>
      <c r="R2433" s="47" t="inlineStr">
        <is>
          <t>No Video ID yet</t>
        </is>
      </c>
      <c r="S2433" s="49" t="n"/>
      <c r="T2433" s="49" t="n"/>
      <c r="U2433" s="47" t="inlineStr">
        <is>
          <t>Today J and team face the grave reality that a zombie walks among them and then prepare for their next Ghostly Gym battle.. will the team survive so many horrors or will the dead prevail?!</t>
        </is>
      </c>
      <c r="V2433" s="47">
        <f>IF(AND(P2433&gt;=Calendar!$K$2,P2433&lt;EDATE(Calendar!$K$2,1),OR(Calendar!$K$4="*",N2433=Calendar!$K$4)),P2433*100+COUNTIFS($P$6:$P$3267,P2433,$Q$6:$Q$3267,"&lt;="&amp;Q2433,$N$6:$N$3267,Calendar!$K$4),"")</f>
        <v/>
      </c>
      <c r="W2433" s="47">
        <f>IF(AND(B2433=Queue!$C$4,OR(Queue!$K$4="*",N2433=Queue!$K$4)),Q2433,"")</f>
        <v/>
      </c>
    </row>
    <row r="2434">
      <c r="A2434" s="38">
        <f>IF(M2434="","",HYPERLINK("https://www.youtube.com/watch?v="&amp;M2434,"▶"))</f>
        <v/>
      </c>
      <c r="B2434" s="39">
        <f>IF(C2434&lt;&gt;"",C2434,IF(P2434&lt;=IFERROR(INDEX(tblChannels[Watched Through],MATCH(N2434,tblChannels[Channel ID],0)),0),"Watched","Unwatched"))</f>
        <v/>
      </c>
      <c r="C2434" s="40" t="n"/>
      <c r="D2434" s="41" t="n"/>
      <c r="E2434" s="42" t="n">
        <v>42908.80555555555</v>
      </c>
      <c r="F2434" s="50" t="inlineStr">
        <is>
          <t>Super Carlin Brothers</t>
        </is>
      </c>
      <c r="G2434" t="inlineStr">
        <is>
          <t>Toy Story Zero: The True Story Of Andy’s Dad &amp; Woody’s Origin (ft. Mike Mozart)</t>
        </is>
      </c>
      <c r="H2434" s="44" t="n">
        <v>0.01224537037037037</v>
      </c>
      <c r="I2434" s="45" t="n">
        <v>5115951</v>
      </c>
      <c r="J2434" s="45" t="n">
        <v>154040</v>
      </c>
      <c r="K2434" s="45" t="n">
        <v>14123</v>
      </c>
      <c r="L2434" s="46" t="n"/>
      <c r="M2434" s="47" t="n"/>
      <c r="N2434" s="47" t="inlineStr">
        <is>
          <t>UCKZo4N0lVPccBkSiuyVh4yg</t>
        </is>
      </c>
      <c r="O2434" s="48" t="n">
        <v>42908.97222222222</v>
      </c>
      <c r="P2434" s="49" t="n">
        <v>42908</v>
      </c>
      <c r="Q2434" s="47" t="n">
        <v>834</v>
      </c>
      <c r="R2434" s="47" t="inlineStr">
        <is>
          <t>No Video ID yet</t>
        </is>
      </c>
      <c r="S2434" s="49" t="n"/>
      <c r="T2434" s="49" t="n"/>
      <c r="U2434" s="47" t="inlineStr">
        <is>
          <t>One of the longest standing mysteries about Pixar’s Toy Story movies is what happened to Andy’s dad? It turns out the secret was once revealed by Pixar’s Head Writer Joe Ranft to his friend Mike Mozart. Today J sits down with Mike to discuss and retell the amazing story that happened before Toy Story. Follow Mike on Instagram ::</t>
        </is>
      </c>
      <c r="V2434" s="47">
        <f>IF(AND(P2434&gt;=Calendar!$K$2,P2434&lt;EDATE(Calendar!$K$2,1),OR(Calendar!$K$4="*",N2434=Calendar!$K$4)),P2434*100+COUNTIFS($P$6:$P$3267,P2434,$Q$6:$Q$3267,"&lt;="&amp;Q2434,$N$6:$N$3267,Calendar!$K$4),"")</f>
        <v/>
      </c>
      <c r="W2434" s="47">
        <f>IF(AND(B2434=Queue!$C$4,OR(Queue!$K$4="*",N2434=Queue!$K$4)),Q2434,"")</f>
        <v/>
      </c>
    </row>
    <row r="2435">
      <c r="A2435" s="38">
        <f>IF(M2435="","",HYPERLINK("https://www.youtube.com/watch?v="&amp;M2435,"▶"))</f>
        <v/>
      </c>
      <c r="B2435" s="39">
        <f>IF(C2435&lt;&gt;"",C2435,IF(P2435&lt;=IFERROR(INDEX(tblChannels[Watched Through],MATCH(N2435,tblChannels[Channel ID],0)),0),"Watched","Unwatched"))</f>
        <v/>
      </c>
      <c r="C2435" s="40" t="n"/>
      <c r="D2435" s="41" t="n"/>
      <c r="E2435" s="42" t="n">
        <v>42908.41666666666</v>
      </c>
      <c r="F2435" s="52" t="inlineStr">
        <is>
          <t>Super Carlin Gaming</t>
        </is>
      </c>
      <c r="G2435" t="inlineStr">
        <is>
          <t>Mario Kart Roulette #8: Animal Crossing Is Basically Frogger Right?</t>
        </is>
      </c>
      <c r="H2435" s="44" t="n">
        <v>0.01138888888888889</v>
      </c>
      <c r="I2435" s="45" t="n">
        <v>23833</v>
      </c>
      <c r="J2435" s="45" t="n">
        <v>624</v>
      </c>
      <c r="K2435" s="45" t="n">
        <v>221</v>
      </c>
      <c r="L2435" s="46" t="n"/>
      <c r="M2435" s="47" t="n"/>
      <c r="N2435" s="47" t="inlineStr">
        <is>
          <t>UCor_9jRnNNZVzTuQ92PKsaQ</t>
        </is>
      </c>
      <c r="O2435" s="48" t="n">
        <v>42908.58333333334</v>
      </c>
      <c r="P2435" s="49" t="n">
        <v>42908</v>
      </c>
      <c r="Q2435" s="47" t="n">
        <v>833</v>
      </c>
      <c r="R2435" s="47" t="inlineStr">
        <is>
          <t>No Video ID yet</t>
        </is>
      </c>
      <c r="S2435" s="49" t="n"/>
      <c r="T2435" s="49" t="n"/>
      <c r="U2435" s="47" t="inlineStr">
        <is>
          <t>In this episode, J and Ben will be competing in the Banana Cup at 150 cc as Baby Mario and Baby Luigi.</t>
        </is>
      </c>
      <c r="V2435" s="47">
        <f>IF(AND(P2435&gt;=Calendar!$K$2,P2435&lt;EDATE(Calendar!$K$2,1),OR(Calendar!$K$4="*",N2435=Calendar!$K$4)),P2435*100+COUNTIFS($P$6:$P$3267,P2435,$Q$6:$Q$3267,"&lt;="&amp;Q2435,$N$6:$N$3267,Calendar!$K$4),"")</f>
        <v/>
      </c>
      <c r="W2435" s="47">
        <f>IF(AND(B2435=Queue!$C$4,OR(Queue!$K$4="*",N2435=Queue!$K$4)),Q2435,"")</f>
        <v/>
      </c>
    </row>
    <row r="2436">
      <c r="A2436" s="38">
        <f>IF(M2436="","",HYPERLINK("https://www.youtube.com/watch?v="&amp;M2436,"▶"))</f>
        <v/>
      </c>
      <c r="B2436" s="39">
        <f>IF(C2436&lt;&gt;"",C2436,IF(P2436&lt;=IFERROR(INDEX(tblChannels[Watched Through],MATCH(N2436,tblChannels[Channel ID],0)),0),"Watched","Unwatched"))</f>
        <v/>
      </c>
      <c r="C2436" s="40" t="n"/>
      <c r="D2436" s="41" t="n"/>
      <c r="E2436" s="42" t="n">
        <v>42907.70138888889</v>
      </c>
      <c r="F2436" s="52" t="inlineStr">
        <is>
          <t>Super Carlin Gaming</t>
        </is>
      </c>
      <c r="G2436" t="inlineStr">
        <is>
          <t>Pokemon Pearl Nuzlocke #14: Cynthia's Mission</t>
        </is>
      </c>
      <c r="H2436" s="44" t="n">
        <v>0.02881944444444445</v>
      </c>
      <c r="I2436" s="45" t="n">
        <v>37191</v>
      </c>
      <c r="J2436" s="45" t="n">
        <v>866</v>
      </c>
      <c r="K2436" s="45" t="n">
        <v>401</v>
      </c>
      <c r="L2436" s="46" t="n"/>
      <c r="M2436" s="47" t="n"/>
      <c r="N2436" s="47" t="inlineStr">
        <is>
          <t>UCor_9jRnNNZVzTuQ92PKsaQ</t>
        </is>
      </c>
      <c r="O2436" s="48" t="n">
        <v>42907.86805555555</v>
      </c>
      <c r="P2436" s="49" t="n">
        <v>42907</v>
      </c>
      <c r="Q2436" s="47" t="n">
        <v>832</v>
      </c>
      <c r="R2436" s="47" t="inlineStr">
        <is>
          <t>No Video ID yet</t>
        </is>
      </c>
      <c r="S2436" s="49" t="n"/>
      <c r="T2436" s="49" t="n"/>
      <c r="U2436" s="47" t="inlineStr">
        <is>
          <t>J and the team quickly encounter sprouts before receiving a new mission from Cynthia, will they survive the foggy journey north?</t>
        </is>
      </c>
      <c r="V2436" s="47">
        <f>IF(AND(P2436&gt;=Calendar!$K$2,P2436&lt;EDATE(Calendar!$K$2,1),OR(Calendar!$K$4="*",N2436=Calendar!$K$4)),P2436*100+COUNTIFS($P$6:$P$3267,P2436,$Q$6:$Q$3267,"&lt;="&amp;Q2436,$N$6:$N$3267,Calendar!$K$4),"")</f>
        <v/>
      </c>
      <c r="W2436" s="47">
        <f>IF(AND(B2436=Queue!$C$4,OR(Queue!$K$4="*",N2436=Queue!$K$4)),Q2436,"")</f>
        <v/>
      </c>
    </row>
    <row r="2437">
      <c r="A2437" s="38">
        <f>IF(M2437="","",HYPERLINK("https://www.youtube.com/watch?v="&amp;M2437,"▶"))</f>
        <v/>
      </c>
      <c r="B2437" s="39">
        <f>IF(C2437&lt;&gt;"",C2437,IF(P2437&lt;=IFERROR(INDEX(tblChannels[Watched Through],MATCH(N2437,tblChannels[Channel ID],0)),0),"Watched","Unwatched"))</f>
        <v/>
      </c>
      <c r="C2437" s="40" t="n"/>
      <c r="D2437" s="41" t="n"/>
      <c r="E2437" s="42" t="n">
        <v>42906.78541666667</v>
      </c>
      <c r="F2437" s="50" t="inlineStr">
        <is>
          <t>Super Carlin Brothers</t>
        </is>
      </c>
      <c r="G2437" t="inlineStr">
        <is>
          <t>Is Cars 3 The Best Cars Movie? | REVIEW</t>
        </is>
      </c>
      <c r="H2437" s="44" t="n">
        <v>0.02993055555555555</v>
      </c>
      <c r="I2437" s="45" t="n">
        <v>606419</v>
      </c>
      <c r="J2437" s="45" t="n">
        <v>10586</v>
      </c>
      <c r="K2437" s="45" t="n">
        <v>3059</v>
      </c>
      <c r="L2437" s="46" t="n"/>
      <c r="M2437" s="47" t="n"/>
      <c r="N2437" s="47" t="inlineStr">
        <is>
          <t>UCKZo4N0lVPccBkSiuyVh4yg</t>
        </is>
      </c>
      <c r="O2437" s="48" t="n">
        <v>42906.95208333333</v>
      </c>
      <c r="P2437" s="49" t="n">
        <v>42906</v>
      </c>
      <c r="Q2437" s="47" t="n">
        <v>831</v>
      </c>
      <c r="R2437" s="47" t="inlineStr">
        <is>
          <t>No Video ID yet</t>
        </is>
      </c>
      <c r="S2437" s="49" t="n"/>
      <c r="T2437" s="49" t="n"/>
      <c r="U2437" s="47" t="inlineStr">
        <is>
          <t>Last week Disney Pixar’s Cars 3 came out so today J and Ben are giving their full spoiler review to determine if the final chapter of Lightning McQueen is also the best one.</t>
        </is>
      </c>
      <c r="V2437" s="47">
        <f>IF(AND(P2437&gt;=Calendar!$K$2,P2437&lt;EDATE(Calendar!$K$2,1),OR(Calendar!$K$4="*",N2437=Calendar!$K$4)),P2437*100+COUNTIFS($P$6:$P$3267,P2437,$Q$6:$Q$3267,"&lt;="&amp;Q2437,$N$6:$N$3267,Calendar!$K$4),"")</f>
        <v/>
      </c>
      <c r="W2437" s="47">
        <f>IF(AND(B2437=Queue!$C$4,OR(Queue!$K$4="*",N2437=Queue!$K$4)),Q2437,"")</f>
        <v/>
      </c>
    </row>
    <row r="2438">
      <c r="A2438" s="38">
        <f>IF(M2438="","",HYPERLINK("https://www.youtube.com/watch?v="&amp;M2438,"▶"))</f>
        <v/>
      </c>
      <c r="B2438" s="39">
        <f>IF(C2438&lt;&gt;"",C2438,IF(P2438&lt;=IFERROR(INDEX(tblChannels[Watched Through],MATCH(N2438,tblChannels[Channel ID],0)),0),"Watched","Unwatched"))</f>
        <v/>
      </c>
      <c r="C2438" s="40" t="n"/>
      <c r="D2438" s="41" t="n"/>
      <c r="E2438" s="42" t="n">
        <v>42906.41666666666</v>
      </c>
      <c r="F2438" s="52" t="inlineStr">
        <is>
          <t>Super Carlin Gaming</t>
        </is>
      </c>
      <c r="G2438" t="inlineStr">
        <is>
          <t>Mario Kart Roulette #7: J and Ben Take on the Shell Cup!</t>
        </is>
      </c>
      <c r="H2438" s="44" t="n">
        <v>0.01032407407407407</v>
      </c>
      <c r="I2438" s="45" t="n">
        <v>30120</v>
      </c>
      <c r="J2438" s="45" t="n">
        <v>754</v>
      </c>
      <c r="K2438" s="45" t="n">
        <v>177</v>
      </c>
      <c r="L2438" s="46" t="n"/>
      <c r="M2438" s="47" t="n"/>
      <c r="N2438" s="47" t="inlineStr">
        <is>
          <t>UCor_9jRnNNZVzTuQ92PKsaQ</t>
        </is>
      </c>
      <c r="O2438" s="48" t="n">
        <v>42906.58333333334</v>
      </c>
      <c r="P2438" s="49" t="n">
        <v>42906</v>
      </c>
      <c r="Q2438" s="47" t="n">
        <v>830</v>
      </c>
      <c r="R2438" s="47" t="inlineStr">
        <is>
          <t>No Video ID yet</t>
        </is>
      </c>
      <c r="S2438" s="49" t="n"/>
      <c r="T2438" s="49" t="n"/>
      <c r="U2438" s="47" t="inlineStr">
        <is>
          <t>In this episode, J and Ben take on the Shell Cup at 150 cc as Shy Guy and Koopa Troopa!</t>
        </is>
      </c>
      <c r="V2438" s="47">
        <f>IF(AND(P2438&gt;=Calendar!$K$2,P2438&lt;EDATE(Calendar!$K$2,1),OR(Calendar!$K$4="*",N2438=Calendar!$K$4)),P2438*100+COUNTIFS($P$6:$P$3267,P2438,$Q$6:$Q$3267,"&lt;="&amp;Q2438,$N$6:$N$3267,Calendar!$K$4),"")</f>
        <v/>
      </c>
      <c r="W2438" s="47">
        <f>IF(AND(B2438=Queue!$C$4,OR(Queue!$K$4="*",N2438=Queue!$K$4)),Q2438,"")</f>
        <v/>
      </c>
    </row>
    <row r="2439">
      <c r="A2439" s="38">
        <f>IF(M2439="","",HYPERLINK("https://www.youtube.com/watch?v="&amp;M2439,"▶"))</f>
        <v/>
      </c>
      <c r="B2439" s="39">
        <f>IF(C2439&lt;&gt;"",C2439,IF(P2439&lt;=IFERROR(INDEX(tblChannels[Watched Through],MATCH(N2439,tblChannels[Channel ID],0)),0),"Watched","Unwatched"))</f>
        <v/>
      </c>
      <c r="C2439" s="40" t="n"/>
      <c r="D2439" s="41" t="n"/>
      <c r="E2439" s="42" t="n">
        <v>42905.62638888889</v>
      </c>
      <c r="F2439" s="52" t="inlineStr">
        <is>
          <t>Super Carlin Gaming</t>
        </is>
      </c>
      <c r="G2439" t="inlineStr">
        <is>
          <t>Pokemon Pearl Nuzlocke #13: Soloman vs Wake</t>
        </is>
      </c>
      <c r="H2439" s="44" t="n">
        <v>0.02141203703703704</v>
      </c>
      <c r="I2439" s="45" t="n">
        <v>33588</v>
      </c>
      <c r="J2439" s="45" t="n">
        <v>853</v>
      </c>
      <c r="K2439" s="45" t="n">
        <v>251</v>
      </c>
      <c r="L2439" s="46" t="n"/>
      <c r="M2439" s="47" t="n"/>
      <c r="N2439" s="47" t="inlineStr">
        <is>
          <t>UCor_9jRnNNZVzTuQ92PKsaQ</t>
        </is>
      </c>
      <c r="O2439" s="48" t="n">
        <v>42905.79305555556</v>
      </c>
      <c r="P2439" s="49" t="n">
        <v>42905</v>
      </c>
      <c r="Q2439" s="47" t="n">
        <v>829</v>
      </c>
      <c r="R2439" s="47" t="inlineStr">
        <is>
          <t>No Video ID yet</t>
        </is>
      </c>
      <c r="S2439" s="49" t="n"/>
      <c r="T2439" s="49" t="n"/>
      <c r="U2439" s="47" t="inlineStr">
        <is>
          <t>Today J and the team take on a their next gym battle and put their newest member to the test.. he look promising, but will his small HP be enough to tackle a gym leader?!</t>
        </is>
      </c>
      <c r="V2439" s="47">
        <f>IF(AND(P2439&gt;=Calendar!$K$2,P2439&lt;EDATE(Calendar!$K$2,1),OR(Calendar!$K$4="*",N2439=Calendar!$K$4)),P2439*100+COUNTIFS($P$6:$P$3267,P2439,$Q$6:$Q$3267,"&lt;="&amp;Q2439,$N$6:$N$3267,Calendar!$K$4),"")</f>
        <v/>
      </c>
      <c r="W2439" s="47">
        <f>IF(AND(B2439=Queue!$C$4,OR(Queue!$K$4="*",N2439=Queue!$K$4)),Q2439,"")</f>
        <v/>
      </c>
    </row>
    <row r="2440">
      <c r="A2440" s="38">
        <f>IF(M2440="","",HYPERLINK("https://www.youtube.com/watch?v="&amp;M2440,"▶"))</f>
        <v/>
      </c>
      <c r="B2440" s="39">
        <f>IF(C2440&lt;&gt;"",C2440,IF(P2440&lt;=IFERROR(INDEX(tblChannels[Watched Through],MATCH(N2440,tblChannels[Channel ID],0)),0),"Watched","Unwatched"))</f>
        <v/>
      </c>
      <c r="C2440" s="40" t="n"/>
      <c r="D2440" s="41" t="n"/>
      <c r="E2440" s="42" t="n">
        <v>42902.64375</v>
      </c>
      <c r="F2440" s="52" t="inlineStr">
        <is>
          <t>Super Carlin Gaming</t>
        </is>
      </c>
      <c r="G2440" t="inlineStr">
        <is>
          <t>Pokemon Pearl Nuzlocke #12: A New Recruit!</t>
        </is>
      </c>
      <c r="H2440" s="44" t="n">
        <v>0.01900462962962963</v>
      </c>
      <c r="I2440" s="45" t="n">
        <v>34716</v>
      </c>
      <c r="J2440" s="45" t="n">
        <v>758</v>
      </c>
      <c r="K2440" s="45" t="n">
        <v>324</v>
      </c>
      <c r="L2440" s="46" t="n"/>
      <c r="M2440" s="47" t="n"/>
      <c r="N2440" s="47" t="inlineStr">
        <is>
          <t>UCor_9jRnNNZVzTuQ92PKsaQ</t>
        </is>
      </c>
      <c r="O2440" s="48" t="n">
        <v>42902.81041666667</v>
      </c>
      <c r="P2440" s="49" t="n">
        <v>42902</v>
      </c>
      <c r="Q2440" s="47" t="n">
        <v>828</v>
      </c>
      <c r="R2440" s="47" t="inlineStr">
        <is>
          <t>No Video ID yet</t>
        </is>
      </c>
      <c r="S2440" s="49" t="n"/>
      <c r="T2440" s="49" t="n"/>
      <c r="U2440" s="47" t="inlineStr">
        <is>
          <t>J and the team roll around in the mud and the rain in preparation for the next gym - but then a new hero emerges!</t>
        </is>
      </c>
      <c r="V2440" s="47">
        <f>IF(AND(P2440&gt;=Calendar!$K$2,P2440&lt;EDATE(Calendar!$K$2,1),OR(Calendar!$K$4="*",N2440=Calendar!$K$4)),P2440*100+COUNTIFS($P$6:$P$3267,P2440,$Q$6:$Q$3267,"&lt;="&amp;Q2440,$N$6:$N$3267,Calendar!$K$4),"")</f>
        <v/>
      </c>
      <c r="W2440" s="47">
        <f>IF(AND(B2440=Queue!$C$4,OR(Queue!$K$4="*",N2440=Queue!$K$4)),Q2440,"")</f>
        <v/>
      </c>
    </row>
    <row r="2441">
      <c r="A2441" s="38">
        <f>IF(M2441="","",HYPERLINK("https://www.youtube.com/watch?v="&amp;M2441,"▶"))</f>
        <v/>
      </c>
      <c r="B2441" s="39">
        <f>IF(C2441&lt;&gt;"",C2441,IF(P2441&lt;=IFERROR(INDEX(tblChannels[Watched Through],MATCH(N2441,tblChannels[Channel ID],0)),0),"Watched","Unwatched"))</f>
        <v/>
      </c>
      <c r="C2441" s="40" t="n"/>
      <c r="D2441" s="41" t="n"/>
      <c r="E2441" s="42" t="n">
        <v>42901.62777777778</v>
      </c>
      <c r="F2441" s="50" t="inlineStr">
        <is>
          <t>Super Carlin Brothers</t>
        </is>
      </c>
      <c r="G2441" t="inlineStr">
        <is>
          <t>Disney Theory: What is Moana's Spirit Animal?</t>
        </is>
      </c>
      <c r="H2441" s="44" t="n">
        <v>0.004467592592592592</v>
      </c>
      <c r="I2441" s="45" t="n">
        <v>1353477</v>
      </c>
      <c r="J2441" s="45" t="n">
        <v>27559</v>
      </c>
      <c r="K2441" s="45" t="n">
        <v>9437</v>
      </c>
      <c r="L2441" s="46" t="n"/>
      <c r="M2441" s="47" t="n"/>
      <c r="N2441" s="47" t="inlineStr">
        <is>
          <t>UCKZo4N0lVPccBkSiuyVh4yg</t>
        </is>
      </c>
      <c r="O2441" s="48" t="n">
        <v>42901.79444444444</v>
      </c>
      <c r="P2441" s="49" t="n">
        <v>42901</v>
      </c>
      <c r="Q2441" s="47" t="n">
        <v>827</v>
      </c>
      <c r="R2441" s="47" t="inlineStr">
        <is>
          <t>No Video ID yet</t>
        </is>
      </c>
      <c r="S2441" s="49" t="n"/>
      <c r="T2441" s="49" t="n"/>
      <c r="U2441" s="47" t="inlineStr">
        <is>
          <t>If Moana's Grandmother's Spirit Animal is a ray, then what is Moana's? Ben has an idea!</t>
        </is>
      </c>
      <c r="V2441" s="47">
        <f>IF(AND(P2441&gt;=Calendar!$K$2,P2441&lt;EDATE(Calendar!$K$2,1),OR(Calendar!$K$4="*",N2441=Calendar!$K$4)),P2441*100+COUNTIFS($P$6:$P$3267,P2441,$Q$6:$Q$3267,"&lt;="&amp;Q2441,$N$6:$N$3267,Calendar!$K$4),"")</f>
        <v/>
      </c>
      <c r="W2441" s="47">
        <f>IF(AND(B2441=Queue!$C$4,OR(Queue!$K$4="*",N2441=Queue!$K$4)),Q2441,"")</f>
        <v/>
      </c>
    </row>
    <row r="2442">
      <c r="A2442" s="38">
        <f>IF(M2442="","",HYPERLINK("https://www.youtube.com/watch?v="&amp;M2442,"▶"))</f>
        <v/>
      </c>
      <c r="B2442" s="39">
        <f>IF(C2442&lt;&gt;"",C2442,IF(P2442&lt;=IFERROR(INDEX(tblChannels[Watched Through],MATCH(N2442,tblChannels[Channel ID],0)),0),"Watched","Unwatched"))</f>
        <v/>
      </c>
      <c r="C2442" s="40" t="n"/>
      <c r="D2442" s="41" t="n"/>
      <c r="E2442" s="42" t="n">
        <v>42901.41666666666</v>
      </c>
      <c r="F2442" s="52" t="inlineStr">
        <is>
          <t>Super Carlin Gaming</t>
        </is>
      </c>
      <c r="G2442" t="inlineStr">
        <is>
          <t>Mario Kart Roulette #6: Ask J (pt. 2)</t>
        </is>
      </c>
      <c r="H2442" s="44" t="n">
        <v>0.0096875</v>
      </c>
      <c r="I2442" s="45" t="n">
        <v>17360</v>
      </c>
      <c r="J2442" s="45" t="n">
        <v>456</v>
      </c>
      <c r="K2442" s="45" t="n">
        <v>121</v>
      </c>
      <c r="L2442" s="46" t="n"/>
      <c r="M2442" s="47" t="n"/>
      <c r="N2442" s="47" t="inlineStr">
        <is>
          <t>UCor_9jRnNNZVzTuQ92PKsaQ</t>
        </is>
      </c>
      <c r="O2442" s="48" t="n">
        <v>42901.58333333334</v>
      </c>
      <c r="P2442" s="49" t="n">
        <v>42901</v>
      </c>
      <c r="Q2442" s="47" t="n">
        <v>826</v>
      </c>
      <c r="R2442" s="47" t="inlineStr">
        <is>
          <t>No Video ID yet</t>
        </is>
      </c>
      <c r="S2442" s="49" t="n"/>
      <c r="T2442" s="49" t="n"/>
      <c r="U2442" s="47" t="inlineStr">
        <is>
          <t>In this episode of the Mario Kart 8 Roulette challenge, J plays the Crossing Cup as Bowser while he continues to answer more viewer questions.</t>
        </is>
      </c>
      <c r="V2442" s="47">
        <f>IF(AND(P2442&gt;=Calendar!$K$2,P2442&lt;EDATE(Calendar!$K$2,1),OR(Calendar!$K$4="*",N2442=Calendar!$K$4)),P2442*100+COUNTIFS($P$6:$P$3267,P2442,$Q$6:$Q$3267,"&lt;="&amp;Q2442,$N$6:$N$3267,Calendar!$K$4),"")</f>
        <v/>
      </c>
      <c r="W2442" s="47">
        <f>IF(AND(B2442=Queue!$C$4,OR(Queue!$K$4="*",N2442=Queue!$K$4)),Q2442,"")</f>
        <v/>
      </c>
    </row>
    <row r="2443">
      <c r="A2443" s="38">
        <f>IF(M2443="","",HYPERLINK("https://www.youtube.com/watch?v="&amp;M2443,"▶"))</f>
        <v/>
      </c>
      <c r="B2443" s="39">
        <f>IF(C2443&lt;&gt;"",C2443,IF(P2443&lt;=IFERROR(INDEX(tblChannels[Watched Through],MATCH(N2443,tblChannels[Channel ID],0)),0),"Watched","Unwatched"))</f>
        <v/>
      </c>
      <c r="C2443" s="40" t="n"/>
      <c r="D2443" s="41" t="n"/>
      <c r="E2443" s="42" t="n">
        <v>42900.69722222222</v>
      </c>
      <c r="F2443" s="52" t="inlineStr">
        <is>
          <t>Super Carlin Gaming</t>
        </is>
      </c>
      <c r="G2443" t="inlineStr">
        <is>
          <t>Pokémon Pearl Nuzlocke #11: The Veilstone Gym</t>
        </is>
      </c>
      <c r="H2443" s="44" t="n">
        <v>0.01756944444444444</v>
      </c>
      <c r="I2443" s="45" t="n">
        <v>35690</v>
      </c>
      <c r="J2443" s="45" t="n">
        <v>827</v>
      </c>
      <c r="K2443" s="45" t="n">
        <v>357</v>
      </c>
      <c r="L2443" s="46" t="n"/>
      <c r="M2443" s="47" t="n"/>
      <c r="N2443" s="47" t="inlineStr">
        <is>
          <t>UCor_9jRnNNZVzTuQ92PKsaQ</t>
        </is>
      </c>
      <c r="O2443" s="48" t="n">
        <v>42900.86388888889</v>
      </c>
      <c r="P2443" s="49" t="n">
        <v>42900</v>
      </c>
      <c r="Q2443" s="47" t="n">
        <v>825</v>
      </c>
      <c r="R2443" s="47" t="inlineStr">
        <is>
          <t>No Video ID yet</t>
        </is>
      </c>
      <c r="S2443" s="49" t="n"/>
      <c r="T2443" s="49" t="n"/>
      <c r="U2443" s="47" t="inlineStr">
        <is>
          <t>J and his Pokémon take Maylene at the Veilstone City Gym, but is it worth the cost?</t>
        </is>
      </c>
      <c r="V2443" s="47">
        <f>IF(AND(P2443&gt;=Calendar!$K$2,P2443&lt;EDATE(Calendar!$K$2,1),OR(Calendar!$K$4="*",N2443=Calendar!$K$4)),P2443*100+COUNTIFS($P$6:$P$3267,P2443,$Q$6:$Q$3267,"&lt;="&amp;Q2443,$N$6:$N$3267,Calendar!$K$4),"")</f>
        <v/>
      </c>
      <c r="W2443" s="47">
        <f>IF(AND(B2443=Queue!$C$4,OR(Queue!$K$4="*",N2443=Queue!$K$4)),Q2443,"")</f>
        <v/>
      </c>
    </row>
    <row r="2444">
      <c r="A2444" s="38">
        <f>IF(M2444="","",HYPERLINK("https://www.youtube.com/watch?v="&amp;M2444,"▶"))</f>
        <v/>
      </c>
      <c r="B2444" s="39">
        <f>IF(C2444&lt;&gt;"",C2444,IF(P2444&lt;=IFERROR(INDEX(tblChannels[Watched Through],MATCH(N2444,tblChannels[Channel ID],0)),0),"Watched","Unwatched"))</f>
        <v/>
      </c>
      <c r="C2444" s="40" t="n"/>
      <c r="D2444" s="41" t="n"/>
      <c r="E2444" s="42" t="n">
        <v>42899.73958333334</v>
      </c>
      <c r="F2444" s="50" t="inlineStr">
        <is>
          <t>Super Carlin Brothers</t>
        </is>
      </c>
      <c r="G2444" t="inlineStr">
        <is>
          <t>Harry Potter Theory: Why is Ravenclaw's Mascot an Eagle?!</t>
        </is>
      </c>
      <c r="H2444" s="44" t="n">
        <v>0.007696759259259259</v>
      </c>
      <c r="I2444" s="45" t="n">
        <v>1564792</v>
      </c>
      <c r="J2444" s="45" t="n">
        <v>46678</v>
      </c>
      <c r="K2444" s="45" t="n">
        <v>14406</v>
      </c>
      <c r="L2444" s="46" t="n"/>
      <c r="M2444" s="47" t="n"/>
      <c r="N2444" s="47" t="inlineStr">
        <is>
          <t>UCKZo4N0lVPccBkSiuyVh4yg</t>
        </is>
      </c>
      <c r="O2444" s="48" t="n">
        <v>42899.90625</v>
      </c>
      <c r="P2444" s="49" t="n">
        <v>42899</v>
      </c>
      <c r="Q2444" s="47" t="n">
        <v>824</v>
      </c>
      <c r="R2444" s="47" t="inlineStr">
        <is>
          <t>No Video ID yet</t>
        </is>
      </c>
      <c r="S2444" s="49" t="n"/>
      <c r="T2444" s="49" t="n"/>
      <c r="U2444" s="47" t="inlineStr">
        <is>
          <t>Why on earth isn't Ravenclaws mascot a Raven?? Today J goes in depth in figuring out why they chose an Eagle instead.</t>
        </is>
      </c>
      <c r="V2444" s="47">
        <f>IF(AND(P2444&gt;=Calendar!$K$2,P2444&lt;EDATE(Calendar!$K$2,1),OR(Calendar!$K$4="*",N2444=Calendar!$K$4)),P2444*100+COUNTIFS($P$6:$P$3267,P2444,$Q$6:$Q$3267,"&lt;="&amp;Q2444,$N$6:$N$3267,Calendar!$K$4),"")</f>
        <v/>
      </c>
      <c r="W2444" s="47">
        <f>IF(AND(B2444=Queue!$C$4,OR(Queue!$K$4="*",N2444=Queue!$K$4)),Q2444,"")</f>
        <v/>
      </c>
    </row>
    <row r="2445">
      <c r="A2445" s="38">
        <f>IF(M2445="","",HYPERLINK("https://www.youtube.com/watch?v="&amp;M2445,"▶"))</f>
        <v/>
      </c>
      <c r="B2445" s="39">
        <f>IF(C2445&lt;&gt;"",C2445,IF(P2445&lt;=IFERROR(INDEX(tblChannels[Watched Through],MATCH(N2445,tblChannels[Channel ID],0)),0),"Watched","Unwatched"))</f>
        <v/>
      </c>
      <c r="C2445" s="40" t="n"/>
      <c r="D2445" s="41" t="n"/>
      <c r="E2445" s="42" t="n">
        <v>42899.41666666666</v>
      </c>
      <c r="F2445" s="52" t="inlineStr">
        <is>
          <t>Super Carlin Gaming</t>
        </is>
      </c>
      <c r="G2445" t="inlineStr">
        <is>
          <t>Mario Kart Roulette #5: Ask J</t>
        </is>
      </c>
      <c r="H2445" s="44" t="n">
        <v>0.01021990740740741</v>
      </c>
      <c r="I2445" s="45" t="n">
        <v>20402</v>
      </c>
      <c r="J2445" s="45" t="n">
        <v>576</v>
      </c>
      <c r="K2445" s="45" t="n">
        <v>164</v>
      </c>
      <c r="L2445" s="46" t="n"/>
      <c r="M2445" s="47" t="n"/>
      <c r="N2445" s="47" t="inlineStr">
        <is>
          <t>UCor_9jRnNNZVzTuQ92PKsaQ</t>
        </is>
      </c>
      <c r="O2445" s="48" t="n">
        <v>42899.58333333334</v>
      </c>
      <c r="P2445" s="49" t="n">
        <v>42899</v>
      </c>
      <c r="Q2445" s="47" t="n">
        <v>823</v>
      </c>
      <c r="R2445" s="47" t="inlineStr">
        <is>
          <t>No Video ID yet</t>
        </is>
      </c>
      <c r="S2445" s="49" t="n"/>
      <c r="T2445" s="49" t="n"/>
      <c r="U2445" s="47" t="inlineStr">
        <is>
          <t>In this episode, J will be competing in the Egg Cup as Link as he answers some viewer questions. If you have any questions you would like for J to answer in future videos, leave them in the towel section below!</t>
        </is>
      </c>
      <c r="V2445" s="47">
        <f>IF(AND(P2445&gt;=Calendar!$K$2,P2445&lt;EDATE(Calendar!$K$2,1),OR(Calendar!$K$4="*",N2445=Calendar!$K$4)),P2445*100+COUNTIFS($P$6:$P$3267,P2445,$Q$6:$Q$3267,"&lt;="&amp;Q2445,$N$6:$N$3267,Calendar!$K$4),"")</f>
        <v/>
      </c>
      <c r="W2445" s="47">
        <f>IF(AND(B2445=Queue!$C$4,OR(Queue!$K$4="*",N2445=Queue!$K$4)),Q2445,"")</f>
        <v/>
      </c>
    </row>
    <row r="2446">
      <c r="A2446" s="38">
        <f>IF(M2446="","",HYPERLINK("https://www.youtube.com/watch?v="&amp;M2446,"▶"))</f>
        <v/>
      </c>
      <c r="B2446" s="39">
        <f>IF(C2446&lt;&gt;"",C2446,IF(P2446&lt;=IFERROR(INDEX(tblChannels[Watched Through],MATCH(N2446,tblChannels[Channel ID],0)),0),"Watched","Unwatched"))</f>
        <v/>
      </c>
      <c r="C2446" s="40" t="n"/>
      <c r="D2446" s="41" t="n"/>
      <c r="E2446" s="42" t="n">
        <v>42898.625</v>
      </c>
      <c r="F2446" s="52" t="inlineStr">
        <is>
          <t>Super Carlin Gaming</t>
        </is>
      </c>
      <c r="G2446" t="inlineStr">
        <is>
          <t>Pokemon Pearl Nuzlocke #10: Gyarados Surprise!</t>
        </is>
      </c>
      <c r="H2446" s="44" t="n">
        <v>0.02846064814814815</v>
      </c>
      <c r="I2446" s="45" t="n">
        <v>41375</v>
      </c>
      <c r="J2446" s="45" t="n">
        <v>899</v>
      </c>
      <c r="K2446" s="45" t="n">
        <v>285</v>
      </c>
      <c r="L2446" s="46" t="n"/>
      <c r="M2446" s="47" t="n"/>
      <c r="N2446" s="47" t="inlineStr">
        <is>
          <t>UCor_9jRnNNZVzTuQ92PKsaQ</t>
        </is>
      </c>
      <c r="O2446" s="48" t="n">
        <v>42898.79166666666</v>
      </c>
      <c r="P2446" s="49" t="n">
        <v>42898</v>
      </c>
      <c r="Q2446" s="47" t="n">
        <v>822</v>
      </c>
      <c r="R2446" s="47" t="inlineStr">
        <is>
          <t>No Video ID yet</t>
        </is>
      </c>
      <c r="S2446" s="49" t="n"/>
      <c r="T2446" s="49" t="n"/>
      <c r="U2446" s="47" t="inlineStr">
        <is>
          <t>J and the team continue towards their next Gym Battle but are surprised by a cunning Gyarados, can they survive and make it to their next badge?</t>
        </is>
      </c>
      <c r="V2446" s="47">
        <f>IF(AND(P2446&gt;=Calendar!$K$2,P2446&lt;EDATE(Calendar!$K$2,1),OR(Calendar!$K$4="*",N2446=Calendar!$K$4)),P2446*100+COUNTIFS($P$6:$P$3267,P2446,$Q$6:$Q$3267,"&lt;="&amp;Q2446,$N$6:$N$3267,Calendar!$K$4),"")</f>
        <v/>
      </c>
      <c r="W2446" s="47">
        <f>IF(AND(B2446=Queue!$C$4,OR(Queue!$K$4="*",N2446=Queue!$K$4)),Q2446,"")</f>
        <v/>
      </c>
    </row>
    <row r="2447">
      <c r="A2447" s="38">
        <f>IF(M2447="","",HYPERLINK("https://www.youtube.com/watch?v="&amp;M2447,"▶"))</f>
        <v/>
      </c>
      <c r="B2447" s="39">
        <f>IF(C2447&lt;&gt;"",C2447,IF(P2447&lt;=IFERROR(INDEX(tblChannels[Watched Through],MATCH(N2447,tblChannels[Channel ID],0)),0),"Watched","Unwatched"))</f>
        <v/>
      </c>
      <c r="C2447" s="40" t="n"/>
      <c r="D2447" s="41" t="n"/>
      <c r="E2447" s="42" t="n">
        <v>42895.625</v>
      </c>
      <c r="F2447" s="52" t="inlineStr">
        <is>
          <t>Super Carlin Gaming</t>
        </is>
      </c>
      <c r="G2447" t="inlineStr">
        <is>
          <t>Pokemon Pearl Nuzlocke #9: There Is A Mole In Our Ranks</t>
        </is>
      </c>
      <c r="H2447" s="44" t="n">
        <v>0.0258912037037037</v>
      </c>
      <c r="I2447" s="45" t="n">
        <v>42371</v>
      </c>
      <c r="J2447" s="45" t="n">
        <v>950</v>
      </c>
      <c r="K2447" s="45" t="n">
        <v>445</v>
      </c>
      <c r="L2447" s="46" t="n"/>
      <c r="M2447" s="47" t="n"/>
      <c r="N2447" s="47" t="inlineStr">
        <is>
          <t>UCor_9jRnNNZVzTuQ92PKsaQ</t>
        </is>
      </c>
      <c r="O2447" s="48" t="n">
        <v>42895.79166666666</v>
      </c>
      <c r="P2447" s="49" t="n">
        <v>42895</v>
      </c>
      <c r="Q2447" s="47" t="n">
        <v>821</v>
      </c>
      <c r="R2447" s="47" t="inlineStr">
        <is>
          <t>No Video ID yet</t>
        </is>
      </c>
      <c r="S2447" s="49" t="n"/>
      <c r="T2447" s="49" t="n"/>
      <c r="U2447" s="47" t="inlineStr">
        <is>
          <t>J and the team continue on towards their next gym battle and uncover a mole in our ranks.. We also fight lots of trainers and visit a graveyard! Fun!</t>
        </is>
      </c>
      <c r="V2447" s="47">
        <f>IF(AND(P2447&gt;=Calendar!$K$2,P2447&lt;EDATE(Calendar!$K$2,1),OR(Calendar!$K$4="*",N2447=Calendar!$K$4)),P2447*100+COUNTIFS($P$6:$P$3267,P2447,$Q$6:$Q$3267,"&lt;="&amp;Q2447,$N$6:$N$3267,Calendar!$K$4),"")</f>
        <v/>
      </c>
      <c r="W2447" s="47">
        <f>IF(AND(B2447=Queue!$C$4,OR(Queue!$K$4="*",N2447=Queue!$K$4)),Q2447,"")</f>
        <v/>
      </c>
    </row>
    <row r="2448">
      <c r="A2448" s="38">
        <f>IF(M2448="","",HYPERLINK("https://www.youtube.com/watch?v="&amp;M2448,"▶"))</f>
        <v/>
      </c>
      <c r="B2448" s="39">
        <f>IF(C2448&lt;&gt;"",C2448,IF(P2448&lt;=IFERROR(INDEX(tblChannels[Watched Through],MATCH(N2448,tblChannels[Channel ID],0)),0),"Watched","Unwatched"))</f>
        <v/>
      </c>
      <c r="C2448" s="40" t="n"/>
      <c r="D2448" s="41" t="n"/>
      <c r="E2448" s="42" t="n">
        <v>42894.7625</v>
      </c>
      <c r="F2448" s="50" t="inlineStr">
        <is>
          <t>Super Carlin Brothers</t>
        </is>
      </c>
      <c r="G2448" t="inlineStr">
        <is>
          <t>Frozen Theory: How Do Elsa's Gloves Work?</t>
        </is>
      </c>
      <c r="H2448" s="44" t="n">
        <v>0.005763888888888889</v>
      </c>
      <c r="I2448" s="45" t="n">
        <v>1519396</v>
      </c>
      <c r="J2448" s="45" t="n">
        <v>34165</v>
      </c>
      <c r="K2448" s="45" t="n">
        <v>6393</v>
      </c>
      <c r="L2448" s="46" t="n"/>
      <c r="M2448" s="47" t="n"/>
      <c r="N2448" s="47" t="inlineStr">
        <is>
          <t>UCKZo4N0lVPccBkSiuyVh4yg</t>
        </is>
      </c>
      <c r="O2448" s="48" t="n">
        <v>42894.92916666667</v>
      </c>
      <c r="P2448" s="49" t="n">
        <v>42894</v>
      </c>
      <c r="Q2448" s="47" t="n">
        <v>820</v>
      </c>
      <c r="R2448" s="47" t="inlineStr">
        <is>
          <t>No Video ID yet</t>
        </is>
      </c>
      <c r="S2448" s="49" t="n"/>
      <c r="T2448" s="49" t="n"/>
      <c r="U2448" s="47" t="inlineStr">
        <is>
          <t>Well it’s Summer so naturally its time for Ben to rediscover Disney’s Frozen once again. He has been searching for the source of Elsa’s powers FOREVER and thinks he is one step closer to understanding it via her gloves.</t>
        </is>
      </c>
      <c r="V2448" s="47">
        <f>IF(AND(P2448&gt;=Calendar!$K$2,P2448&lt;EDATE(Calendar!$K$2,1),OR(Calendar!$K$4="*",N2448=Calendar!$K$4)),P2448*100+COUNTIFS($P$6:$P$3267,P2448,$Q$6:$Q$3267,"&lt;="&amp;Q2448,$N$6:$N$3267,Calendar!$K$4),"")</f>
        <v/>
      </c>
      <c r="W2448" s="47">
        <f>IF(AND(B2448=Queue!$C$4,OR(Queue!$K$4="*",N2448=Queue!$K$4)),Q2448,"")</f>
        <v/>
      </c>
    </row>
    <row r="2449">
      <c r="A2449" s="38">
        <f>IF(M2449="","",HYPERLINK("https://www.youtube.com/watch?v="&amp;M2449,"▶"))</f>
        <v/>
      </c>
      <c r="B2449" s="39">
        <f>IF(C2449&lt;&gt;"",C2449,IF(P2449&lt;=IFERROR(INDEX(tblChannels[Watched Through],MATCH(N2449,tblChannels[Channel ID],0)),0),"Watched","Unwatched"))</f>
        <v/>
      </c>
      <c r="C2449" s="40" t="n"/>
      <c r="D2449" s="41" t="n"/>
      <c r="E2449" s="42" t="n">
        <v>42893.625</v>
      </c>
      <c r="F2449" s="52" t="inlineStr">
        <is>
          <t>Super Carlin Gaming</t>
        </is>
      </c>
      <c r="G2449" t="inlineStr">
        <is>
          <t>Pokemon Pearl Nuzlocke #8: Return Of The Sprouts</t>
        </is>
      </c>
      <c r="H2449" s="44" t="n">
        <v>0.01629629629629629</v>
      </c>
      <c r="I2449" s="45" t="n">
        <v>38695</v>
      </c>
      <c r="J2449" s="45" t="n">
        <v>871</v>
      </c>
      <c r="K2449" s="45" t="n">
        <v>277</v>
      </c>
      <c r="L2449" s="46" t="n"/>
      <c r="M2449" s="47" t="n"/>
      <c r="N2449" s="47" t="inlineStr">
        <is>
          <t>UCor_9jRnNNZVzTuQ92PKsaQ</t>
        </is>
      </c>
      <c r="O2449" s="48" t="n">
        <v>42893.79166666666</v>
      </c>
      <c r="P2449" s="49" t="n">
        <v>42893</v>
      </c>
      <c r="Q2449" s="47" t="n">
        <v>819</v>
      </c>
      <c r="R2449" s="47" t="inlineStr">
        <is>
          <t>No Video ID yet</t>
        </is>
      </c>
      <c r="S2449" s="49" t="n"/>
      <c r="T2449" s="49" t="n"/>
      <c r="U2449" s="47" t="inlineStr">
        <is>
          <t>J and the team continue towards their next gym battle, but first must deal with the a tricky double battle and a surprise rival battle! Will the team survive the dual threats?</t>
        </is>
      </c>
      <c r="V2449" s="47">
        <f>IF(AND(P2449&gt;=Calendar!$K$2,P2449&lt;EDATE(Calendar!$K$2,1),OR(Calendar!$K$4="*",N2449=Calendar!$K$4)),P2449*100+COUNTIFS($P$6:$P$3267,P2449,$Q$6:$Q$3267,"&lt;="&amp;Q2449,$N$6:$N$3267,Calendar!$K$4),"")</f>
        <v/>
      </c>
      <c r="W2449" s="47">
        <f>IF(AND(B2449=Queue!$C$4,OR(Queue!$K$4="*",N2449=Queue!$K$4)),Q2449,"")</f>
        <v/>
      </c>
    </row>
    <row r="2450">
      <c r="A2450" s="38">
        <f>IF(M2450="","",HYPERLINK("https://www.youtube.com/watch?v="&amp;M2450,"▶"))</f>
        <v/>
      </c>
      <c r="B2450" s="39">
        <f>IF(C2450&lt;&gt;"",C2450,IF(P2450&lt;=IFERROR(INDEX(tblChannels[Watched Through],MATCH(N2450,tblChannels[Channel ID],0)),0),"Watched","Unwatched"))</f>
        <v/>
      </c>
      <c r="C2450" s="40" t="n"/>
      <c r="D2450" s="41" t="n"/>
      <c r="E2450" s="42" t="n">
        <v>42892.63541666666</v>
      </c>
      <c r="F2450" s="50" t="inlineStr">
        <is>
          <t>Super Carlin Brothers</t>
        </is>
      </c>
      <c r="G2450" t="inlineStr">
        <is>
          <t>Top 10 Things To Look For In Cars 3</t>
        </is>
      </c>
      <c r="H2450" s="44" t="n">
        <v>0.00662037037037037</v>
      </c>
      <c r="I2450" s="45" t="n">
        <v>302055</v>
      </c>
      <c r="J2450" s="45" t="n">
        <v>8894</v>
      </c>
      <c r="K2450" s="45" t="n">
        <v>2293</v>
      </c>
      <c r="L2450" s="46" t="n"/>
      <c r="M2450" s="47" t="n"/>
      <c r="N2450" s="47" t="inlineStr">
        <is>
          <t>UCKZo4N0lVPccBkSiuyVh4yg</t>
        </is>
      </c>
      <c r="O2450" s="48" t="n">
        <v>42892.80208333334</v>
      </c>
      <c r="P2450" s="49" t="n">
        <v>42892</v>
      </c>
      <c r="Q2450" s="47" t="n">
        <v>818</v>
      </c>
      <c r="R2450" s="47" t="inlineStr">
        <is>
          <t>No Video ID yet</t>
        </is>
      </c>
      <c r="S2450" s="49" t="n"/>
      <c r="T2450" s="49" t="n"/>
      <c r="U2450" s="47" t="inlineStr">
        <is>
          <t>Disney Pixar's Cars 3 comes out next week! That means its time to bust out the pause button and hunt Easter eggs! Today J runs down the top 10 easter eggs he think you will be able to spot or look for in Cars 3!</t>
        </is>
      </c>
      <c r="V2450" s="47">
        <f>IF(AND(P2450&gt;=Calendar!$K$2,P2450&lt;EDATE(Calendar!$K$2,1),OR(Calendar!$K$4="*",N2450=Calendar!$K$4)),P2450*100+COUNTIFS($P$6:$P$3267,P2450,$Q$6:$Q$3267,"&lt;="&amp;Q2450,$N$6:$N$3267,Calendar!$K$4),"")</f>
        <v/>
      </c>
      <c r="W2450" s="47">
        <f>IF(AND(B2450=Queue!$C$4,OR(Queue!$K$4="*",N2450=Queue!$K$4)),Q2450,"")</f>
        <v/>
      </c>
    </row>
    <row r="2451">
      <c r="A2451" s="38">
        <f>IF(M2451="","",HYPERLINK("https://www.youtube.com/watch?v="&amp;M2451,"▶"))</f>
        <v/>
      </c>
      <c r="B2451" s="39">
        <f>IF(C2451&lt;&gt;"",C2451,IF(P2451&lt;=IFERROR(INDEX(tblChannels[Watched Through],MATCH(N2451,tblChannels[Channel ID],0)),0),"Watched","Unwatched"))</f>
        <v/>
      </c>
      <c r="C2451" s="40" t="n"/>
      <c r="D2451" s="41" t="n"/>
      <c r="E2451" s="42" t="n">
        <v>42892.42291666667</v>
      </c>
      <c r="F2451" s="52" t="inlineStr">
        <is>
          <t>Super Carlin Gaming</t>
        </is>
      </c>
      <c r="G2451" t="inlineStr">
        <is>
          <t>Mario Kart Roulette #4: Hand-Held Gaming</t>
        </is>
      </c>
      <c r="H2451" s="44" t="n">
        <v>0.01116898148148148</v>
      </c>
      <c r="I2451" s="45" t="n">
        <v>21399</v>
      </c>
      <c r="J2451" s="45" t="n">
        <v>575</v>
      </c>
      <c r="K2451" s="45" t="n">
        <v>129</v>
      </c>
      <c r="L2451" s="46" t="n"/>
      <c r="M2451" s="47" t="n"/>
      <c r="N2451" s="47" t="inlineStr">
        <is>
          <t>UCor_9jRnNNZVzTuQ92PKsaQ</t>
        </is>
      </c>
      <c r="O2451" s="48" t="n">
        <v>42892.58958333333</v>
      </c>
      <c r="P2451" s="49" t="n">
        <v>42892</v>
      </c>
      <c r="Q2451" s="47" t="n">
        <v>817</v>
      </c>
      <c r="R2451" s="47" t="inlineStr">
        <is>
          <t>No Video ID yet</t>
        </is>
      </c>
      <c r="S2451" s="49" t="n"/>
      <c r="T2451" s="49" t="n"/>
      <c r="U2451" s="47" t="inlineStr">
        <is>
          <t>In this episode, J plays the Crown Cup as Inkling Girl as he discusses hand-held gaming systems.</t>
        </is>
      </c>
      <c r="V2451" s="47">
        <f>IF(AND(P2451&gt;=Calendar!$K$2,P2451&lt;EDATE(Calendar!$K$2,1),OR(Calendar!$K$4="*",N2451=Calendar!$K$4)),P2451*100+COUNTIFS($P$6:$P$3267,P2451,$Q$6:$Q$3267,"&lt;="&amp;Q2451,$N$6:$N$3267,Calendar!$K$4),"")</f>
        <v/>
      </c>
      <c r="W2451" s="47">
        <f>IF(AND(B2451=Queue!$C$4,OR(Queue!$K$4="*",N2451=Queue!$K$4)),Q2451,"")</f>
        <v/>
      </c>
    </row>
    <row r="2452">
      <c r="A2452" s="38">
        <f>IF(M2452="","",HYPERLINK("https://www.youtube.com/watch?v="&amp;M2452,"▶"))</f>
        <v/>
      </c>
      <c r="B2452" s="39">
        <f>IF(C2452&lt;&gt;"",C2452,IF(P2452&lt;=IFERROR(INDEX(tblChannels[Watched Through],MATCH(N2452,tblChannels[Channel ID],0)),0),"Watched","Unwatched"))</f>
        <v/>
      </c>
      <c r="C2452" s="40" t="n"/>
      <c r="D2452" s="41" t="n"/>
      <c r="E2452" s="42" t="n">
        <v>42892.41666666666</v>
      </c>
      <c r="F2452" s="52" t="inlineStr">
        <is>
          <t>Super Carlin Gaming</t>
        </is>
      </c>
      <c r="G2452" t="inlineStr">
        <is>
          <t>Mario Kart Roulette #3: J's History of Gaming</t>
        </is>
      </c>
      <c r="H2452" s="44" t="n">
        <v>0.009907407407407408</v>
      </c>
      <c r="I2452" s="45" t="n">
        <v>24061</v>
      </c>
      <c r="J2452" s="45" t="n">
        <v>659</v>
      </c>
      <c r="K2452" s="45" t="n">
        <v>127</v>
      </c>
      <c r="L2452" s="46" t="n"/>
      <c r="M2452" s="47" t="n"/>
      <c r="N2452" s="47" t="inlineStr">
        <is>
          <t>UCor_9jRnNNZVzTuQ92PKsaQ</t>
        </is>
      </c>
      <c r="O2452" s="48" t="n">
        <v>42892.58333333334</v>
      </c>
      <c r="P2452" s="49" t="n">
        <v>42892</v>
      </c>
      <c r="Q2452" s="47" t="n">
        <v>816</v>
      </c>
      <c r="R2452" s="47" t="inlineStr">
        <is>
          <t>No Video ID yet</t>
        </is>
      </c>
      <c r="S2452" s="49" t="n"/>
      <c r="T2452" s="49" t="n"/>
      <c r="U2452" s="47" t="inlineStr">
        <is>
          <t>In this episode, J will be playing the Star Cup as Waluigi as he answers some questions and tells stories about his childhood/history of gaming.</t>
        </is>
      </c>
      <c r="V2452" s="47">
        <f>IF(AND(P2452&gt;=Calendar!$K$2,P2452&lt;EDATE(Calendar!$K$2,1),OR(Calendar!$K$4="*",N2452=Calendar!$K$4)),P2452*100+COUNTIFS($P$6:$P$3267,P2452,$Q$6:$Q$3267,"&lt;="&amp;Q2452,$N$6:$N$3267,Calendar!$K$4),"")</f>
        <v/>
      </c>
      <c r="W2452" s="47">
        <f>IF(AND(B2452=Queue!$C$4,OR(Queue!$K$4="*",N2452=Queue!$K$4)),Q2452,"")</f>
        <v/>
      </c>
    </row>
    <row r="2453">
      <c r="A2453" s="38">
        <f>IF(M2453="","",HYPERLINK("https://www.youtube.com/watch?v="&amp;M2453,"▶"))</f>
        <v/>
      </c>
      <c r="B2453" s="39">
        <f>IF(C2453&lt;&gt;"",C2453,IF(P2453&lt;=IFERROR(INDEX(tblChannels[Watched Through],MATCH(N2453,tblChannels[Channel ID],0)),0),"Watched","Unwatched"))</f>
        <v/>
      </c>
      <c r="C2453" s="40" t="n"/>
      <c r="D2453" s="41" t="n"/>
      <c r="E2453" s="42" t="n">
        <v>42891.70208333333</v>
      </c>
      <c r="F2453" s="52" t="inlineStr">
        <is>
          <t>Super Carlin Gaming</t>
        </is>
      </c>
      <c r="G2453" t="inlineStr">
        <is>
          <t>Pokemon Pearl Nuzlocke #7: A Deadly Galactic Battle</t>
        </is>
      </c>
      <c r="H2453" s="44" t="n">
        <v>0.02644675925925926</v>
      </c>
      <c r="I2453" s="45" t="n">
        <v>47601</v>
      </c>
      <c r="J2453" s="45" t="n">
        <v>1018</v>
      </c>
      <c r="K2453" s="45" t="n">
        <v>519</v>
      </c>
      <c r="L2453" s="46" t="n"/>
      <c r="M2453" s="47" t="n"/>
      <c r="N2453" s="47" t="inlineStr">
        <is>
          <t>UCor_9jRnNNZVzTuQ92PKsaQ</t>
        </is>
      </c>
      <c r="O2453" s="48" t="n">
        <v>42891.86875</v>
      </c>
      <c r="P2453" s="49" t="n">
        <v>42891</v>
      </c>
      <c r="Q2453" s="47" t="n">
        <v>815</v>
      </c>
      <c r="R2453" s="47" t="inlineStr">
        <is>
          <t>No Video ID yet</t>
        </is>
      </c>
      <c r="S2453" s="49" t="n"/>
      <c r="T2453" s="49" t="n"/>
      <c r="U2453" s="47" t="inlineStr">
        <is>
          <t>The stakes are higher than ever when J and the team take on the next member of Team Galactics Admin staff... Can they all make it to the end??</t>
        </is>
      </c>
      <c r="V2453" s="47">
        <f>IF(AND(P2453&gt;=Calendar!$K$2,P2453&lt;EDATE(Calendar!$K$2,1),OR(Calendar!$K$4="*",N2453=Calendar!$K$4)),P2453*100+COUNTIFS($P$6:$P$3267,P2453,$Q$6:$Q$3267,"&lt;="&amp;Q2453,$N$6:$N$3267,Calendar!$K$4),"")</f>
        <v/>
      </c>
      <c r="W2453" s="47">
        <f>IF(AND(B2453=Queue!$C$4,OR(Queue!$K$4="*",N2453=Queue!$K$4)),Q2453,"")</f>
        <v/>
      </c>
    </row>
    <row r="2454">
      <c r="A2454" s="38">
        <f>IF(M2454="","",HYPERLINK("https://www.youtube.com/watch?v="&amp;M2454,"▶"))</f>
        <v/>
      </c>
      <c r="B2454" s="39">
        <f>IF(C2454&lt;&gt;"",C2454,IF(P2454&lt;=IFERROR(INDEX(tblChannels[Watched Through],MATCH(N2454,tblChannels[Channel ID],0)),0),"Watched","Unwatched"))</f>
        <v/>
      </c>
      <c r="C2454" s="40" t="n"/>
      <c r="D2454" s="41" t="n"/>
      <c r="E2454" s="42" t="n">
        <v>42888.625</v>
      </c>
      <c r="F2454" s="52" t="inlineStr">
        <is>
          <t>Super Carlin Gaming</t>
        </is>
      </c>
      <c r="G2454" t="inlineStr">
        <is>
          <t>Pokemon Pearl Nuzlocke #6: Romera VS Gardenia!</t>
        </is>
      </c>
      <c r="H2454" s="44" t="n">
        <v>0.01358796296296296</v>
      </c>
      <c r="I2454" s="45" t="n">
        <v>41309</v>
      </c>
      <c r="J2454" s="45" t="n">
        <v>954</v>
      </c>
      <c r="K2454" s="45" t="n">
        <v>384</v>
      </c>
      <c r="L2454" s="46" t="n"/>
      <c r="M2454" s="47" t="n"/>
      <c r="N2454" s="47" t="inlineStr">
        <is>
          <t>UCor_9jRnNNZVzTuQ92PKsaQ</t>
        </is>
      </c>
      <c r="O2454" s="48" t="n">
        <v>42888.79166666666</v>
      </c>
      <c r="P2454" s="49" t="n">
        <v>42888</v>
      </c>
      <c r="Q2454" s="47" t="n">
        <v>814</v>
      </c>
      <c r="R2454" s="47" t="inlineStr">
        <is>
          <t>No Video ID yet</t>
        </is>
      </c>
      <c r="S2454" s="49" t="n"/>
      <c r="T2454" s="49" t="n"/>
      <c r="U2454" s="47" t="inlineStr">
        <is>
          <t>J and the team take on the grass gym of Gardenia! Romera has been training hard just for this occasion, but is she ready for all of Gardenia's tricks??</t>
        </is>
      </c>
      <c r="V2454" s="47">
        <f>IF(AND(P2454&gt;=Calendar!$K$2,P2454&lt;EDATE(Calendar!$K$2,1),OR(Calendar!$K$4="*",N2454=Calendar!$K$4)),P2454*100+COUNTIFS($P$6:$P$3267,P2454,$Q$6:$Q$3267,"&lt;="&amp;Q2454,$N$6:$N$3267,Calendar!$K$4),"")</f>
        <v/>
      </c>
      <c r="W2454" s="47">
        <f>IF(AND(B2454=Queue!$C$4,OR(Queue!$K$4="*",N2454=Queue!$K$4)),Q2454,"")</f>
        <v/>
      </c>
    </row>
    <row r="2455">
      <c r="A2455" s="38">
        <f>IF(M2455="","",HYPERLINK("https://www.youtube.com/watch?v="&amp;M2455,"▶"))</f>
        <v/>
      </c>
      <c r="B2455" s="39">
        <f>IF(C2455&lt;&gt;"",C2455,IF(P2455&lt;=IFERROR(INDEX(tblChannels[Watched Through],MATCH(N2455,tblChannels[Channel ID],0)),0),"Watched","Unwatched"))</f>
        <v/>
      </c>
      <c r="C2455" s="40" t="n"/>
      <c r="D2455" s="41" t="n"/>
      <c r="E2455" s="42" t="n">
        <v>42887.67013888889</v>
      </c>
      <c r="F2455" s="50" t="inlineStr">
        <is>
          <t>Super Carlin Brothers</t>
        </is>
      </c>
      <c r="G2455" t="inlineStr">
        <is>
          <t>In Defense of Dudley Dursley</t>
        </is>
      </c>
      <c r="H2455" s="44" t="n">
        <v>0.004895833333333334</v>
      </c>
      <c r="I2455" s="45" t="n">
        <v>2302459</v>
      </c>
      <c r="J2455" s="45" t="n">
        <v>50983</v>
      </c>
      <c r="K2455" s="45" t="n">
        <v>4764</v>
      </c>
      <c r="L2455" s="46" t="n"/>
      <c r="M2455" s="47" t="n"/>
      <c r="N2455" s="47" t="inlineStr">
        <is>
          <t>UCKZo4N0lVPccBkSiuyVh4yg</t>
        </is>
      </c>
      <c r="O2455" s="48" t="n">
        <v>42887.83680555555</v>
      </c>
      <c r="P2455" s="49" t="n">
        <v>42887</v>
      </c>
      <c r="Q2455" s="47" t="n">
        <v>813</v>
      </c>
      <c r="R2455" s="47" t="inlineStr">
        <is>
          <t>No Video ID yet</t>
        </is>
      </c>
      <c r="S2455" s="49" t="n"/>
      <c r="T2455" s="49" t="n"/>
      <c r="U2455" s="47" t="inlineStr">
        <is>
          <t>Ever wonder why Dudley Dursley saw when he was attacked by the Dementors at the beginning of Harry Potter and the Order of the Phoenix? Today Ben dives into the wizarding world once again to find out! Special thanks to the Patrons who support Super Carlin Brothers on Patreon :: Kristhell Lopez, Ian Carrillo, Elizabeth Jack, Jonathan, Amy Beerbower, Isabella</t>
        </is>
      </c>
      <c r="V2455" s="47">
        <f>IF(AND(P2455&gt;=Calendar!$K$2,P2455&lt;EDATE(Calendar!$K$2,1),OR(Calendar!$K$4="*",N2455=Calendar!$K$4)),P2455*100+COUNTIFS($P$6:$P$3267,P2455,$Q$6:$Q$3267,"&lt;="&amp;Q2455,$N$6:$N$3267,Calendar!$K$4),"")</f>
        <v/>
      </c>
      <c r="W2455" s="47">
        <f>IF(AND(B2455=Queue!$C$4,OR(Queue!$K$4="*",N2455=Queue!$K$4)),Q2455,"")</f>
        <v/>
      </c>
    </row>
    <row r="2456">
      <c r="A2456" s="38">
        <f>IF(M2456="","",HYPERLINK("https://www.youtube.com/watch?v="&amp;M2456,"▶"))</f>
        <v/>
      </c>
      <c r="B2456" s="39">
        <f>IF(C2456&lt;&gt;"",C2456,IF(P2456&lt;=IFERROR(INDEX(tblChannels[Watched Through],MATCH(N2456,tblChannels[Channel ID],0)),0),"Watched","Unwatched"))</f>
        <v/>
      </c>
      <c r="C2456" s="40" t="n"/>
      <c r="D2456" s="41" t="n"/>
      <c r="E2456" s="42" t="n">
        <v>42887.41666666666</v>
      </c>
      <c r="F2456" s="52" t="inlineStr">
        <is>
          <t>Super Carlin Gaming</t>
        </is>
      </c>
      <c r="G2456" t="inlineStr">
        <is>
          <t>Mario Kart 8 Roulette #2: Best and Worst Tracks</t>
        </is>
      </c>
      <c r="H2456" s="44" t="n">
        <v>0.01063657407407407</v>
      </c>
      <c r="I2456" s="45" t="n">
        <v>29826</v>
      </c>
      <c r="J2456" s="45" t="n">
        <v>730</v>
      </c>
      <c r="K2456" s="45" t="n">
        <v>163</v>
      </c>
      <c r="L2456" s="46" t="n"/>
      <c r="M2456" s="47" t="n"/>
      <c r="N2456" s="47" t="inlineStr">
        <is>
          <t>UCor_9jRnNNZVzTuQ92PKsaQ</t>
        </is>
      </c>
      <c r="O2456" s="48" t="n">
        <v>42887.58333333334</v>
      </c>
      <c r="P2456" s="49" t="n">
        <v>42887</v>
      </c>
      <c r="Q2456" s="47" t="n">
        <v>812</v>
      </c>
      <c r="R2456" s="47" t="inlineStr">
        <is>
          <t>No Video ID yet</t>
        </is>
      </c>
      <c r="S2456" s="49" t="n"/>
      <c r="T2456" s="49" t="n"/>
      <c r="U2456" s="47" t="inlineStr">
        <is>
          <t>J continues his quest to 3 Star every Grand Prix in Nintendo's Mario Kart 8 Deluxe! Today he takes on the Flower Cup with Wario and discusses his favorite tracks from different Mario Kart games.</t>
        </is>
      </c>
      <c r="V2456" s="47">
        <f>IF(AND(P2456&gt;=Calendar!$K$2,P2456&lt;EDATE(Calendar!$K$2,1),OR(Calendar!$K$4="*",N2456=Calendar!$K$4)),P2456*100+COUNTIFS($P$6:$P$3267,P2456,$Q$6:$Q$3267,"&lt;="&amp;Q2456,$N$6:$N$3267,Calendar!$K$4),"")</f>
        <v/>
      </c>
      <c r="W2456" s="47">
        <f>IF(AND(B2456=Queue!$C$4,OR(Queue!$K$4="*",N2456=Queue!$K$4)),Q2456,"")</f>
        <v/>
      </c>
    </row>
    <row r="2457">
      <c r="A2457" s="38">
        <f>IF(M2457="","",HYPERLINK("https://www.youtube.com/watch?v="&amp;M2457,"▶"))</f>
        <v/>
      </c>
      <c r="B2457" s="39">
        <f>IF(C2457&lt;&gt;"",C2457,IF(P2457&lt;=IFERROR(INDEX(tblChannels[Watched Through],MATCH(N2457,tblChannels[Channel ID],0)),0),"Watched","Unwatched"))</f>
        <v/>
      </c>
      <c r="C2457" s="40" t="n"/>
      <c r="D2457" s="41" t="n"/>
      <c r="E2457" s="42" t="n">
        <v>42886.625</v>
      </c>
      <c r="F2457" s="52" t="inlineStr">
        <is>
          <t>Super Carlin Gaming</t>
        </is>
      </c>
      <c r="G2457" t="inlineStr">
        <is>
          <t>Pokemon Pearl Nuzlocke #5: Budew or Budont There Is No Try</t>
        </is>
      </c>
      <c r="H2457" s="44" t="n">
        <v>0.01996527777777778</v>
      </c>
      <c r="I2457" s="45" t="n">
        <v>46895</v>
      </c>
      <c r="J2457" s="45" t="n">
        <v>1074</v>
      </c>
      <c r="K2457" s="45" t="n">
        <v>464</v>
      </c>
      <c r="L2457" s="46" t="n"/>
      <c r="M2457" s="47" t="n"/>
      <c r="N2457" s="47" t="inlineStr">
        <is>
          <t>UCor_9jRnNNZVzTuQ92PKsaQ</t>
        </is>
      </c>
      <c r="O2457" s="48" t="n">
        <v>42886.79166666666</v>
      </c>
      <c r="P2457" s="49" t="n">
        <v>42886</v>
      </c>
      <c r="Q2457" s="47" t="n">
        <v>811</v>
      </c>
      <c r="R2457" s="47" t="inlineStr">
        <is>
          <t>No Video ID yet</t>
        </is>
      </c>
      <c r="S2457" s="49" t="n"/>
      <c r="T2457" s="49" t="n"/>
      <c r="U2457" s="47" t="inlineStr">
        <is>
          <t>J and the team venture through Eterna Forest and Hamilton tries his best to evolve.. will the team survive the forest unharmed and make it to our 2nd gym battle?</t>
        </is>
      </c>
      <c r="V2457" s="47">
        <f>IF(AND(P2457&gt;=Calendar!$K$2,P2457&lt;EDATE(Calendar!$K$2,1),OR(Calendar!$K$4="*",N2457=Calendar!$K$4)),P2457*100+COUNTIFS($P$6:$P$3267,P2457,$Q$6:$Q$3267,"&lt;="&amp;Q2457,$N$6:$N$3267,Calendar!$K$4),"")</f>
        <v/>
      </c>
      <c r="W2457" s="47">
        <f>IF(AND(B2457=Queue!$C$4,OR(Queue!$K$4="*",N2457=Queue!$K$4)),Q2457,"")</f>
        <v/>
      </c>
    </row>
    <row r="2458">
      <c r="A2458" s="38">
        <f>IF(M2458="","",HYPERLINK("https://www.youtube.com/watch?v="&amp;M2458,"▶"))</f>
        <v/>
      </c>
      <c r="B2458" s="39">
        <f>IF(C2458&lt;&gt;"",C2458,IF(P2458&lt;=IFERROR(INDEX(tblChannels[Watched Through],MATCH(N2458,tblChannels[Channel ID],0)),0),"Watched","Unwatched"))</f>
        <v/>
      </c>
      <c r="C2458" s="40" t="n"/>
      <c r="D2458" s="41" t="n"/>
      <c r="E2458" s="42" t="n">
        <v>42885.66458333333</v>
      </c>
      <c r="F2458" s="50" t="inlineStr">
        <is>
          <t>Super Carlin Brothers</t>
        </is>
      </c>
      <c r="G2458" t="inlineStr">
        <is>
          <t>J vs Ben: Hardest UP Trivia Quiz Ever</t>
        </is>
      </c>
      <c r="H2458" s="44" t="n">
        <v>0.01142361111111111</v>
      </c>
      <c r="I2458" s="45" t="n">
        <v>609379</v>
      </c>
      <c r="J2458" s="45" t="n">
        <v>16681</v>
      </c>
      <c r="K2458" s="45" t="n">
        <v>3817</v>
      </c>
      <c r="L2458" s="46" t="n"/>
      <c r="M2458" s="47" t="n"/>
      <c r="N2458" s="47" t="inlineStr">
        <is>
          <t>UCKZo4N0lVPccBkSiuyVh4yg</t>
        </is>
      </c>
      <c r="O2458" s="48" t="n">
        <v>42885.83125</v>
      </c>
      <c r="P2458" s="49" t="n">
        <v>42885</v>
      </c>
      <c r="Q2458" s="47" t="n">
        <v>810</v>
      </c>
      <c r="R2458" s="47" t="inlineStr">
        <is>
          <t>No Video ID yet</t>
        </is>
      </c>
      <c r="S2458" s="49" t="n"/>
      <c r="T2458" s="49" t="n"/>
      <c r="U2458" s="47" t="inlineStr">
        <is>
          <t>Play along with us! :: Today J and Ben face off to decide who has the ultimate knowledge from Disney Pixar's Up! What was your score?</t>
        </is>
      </c>
      <c r="V2458" s="47">
        <f>IF(AND(P2458&gt;=Calendar!$K$2,P2458&lt;EDATE(Calendar!$K$2,1),OR(Calendar!$K$4="*",N2458=Calendar!$K$4)),P2458*100+COUNTIFS($P$6:$P$3267,P2458,$Q$6:$Q$3267,"&lt;="&amp;Q2458,$N$6:$N$3267,Calendar!$K$4),"")</f>
        <v/>
      </c>
      <c r="W2458" s="47">
        <f>IF(AND(B2458=Queue!$C$4,OR(Queue!$K$4="*",N2458=Queue!$K$4)),Q2458,"")</f>
        <v/>
      </c>
    </row>
    <row r="2459">
      <c r="A2459" s="38">
        <f>IF(M2459="","",HYPERLINK("https://www.youtube.com/watch?v="&amp;M2459,"▶"))</f>
        <v/>
      </c>
      <c r="B2459" s="39">
        <f>IF(C2459&lt;&gt;"",C2459,IF(P2459&lt;=IFERROR(INDEX(tblChannels[Watched Through],MATCH(N2459,tblChannels[Channel ID],0)),0),"Watched","Unwatched"))</f>
        <v/>
      </c>
      <c r="C2459" s="40" t="n"/>
      <c r="D2459" s="41" t="n"/>
      <c r="E2459" s="42" t="n">
        <v>42885.41666666666</v>
      </c>
      <c r="F2459" s="52" t="inlineStr">
        <is>
          <t>Super Carlin Gaming</t>
        </is>
      </c>
      <c r="G2459" t="inlineStr">
        <is>
          <t>Mario Kart Roulette #1: Favorite/Least Favorite Characters</t>
        </is>
      </c>
      <c r="H2459" s="44" t="n">
        <v>0.01115740740740741</v>
      </c>
      <c r="I2459" s="45" t="n">
        <v>63973</v>
      </c>
      <c r="J2459" s="45" t="n">
        <v>1398</v>
      </c>
      <c r="K2459" s="45" t="n">
        <v>304</v>
      </c>
      <c r="L2459" s="46" t="n"/>
      <c r="M2459" s="47" t="n"/>
      <c r="N2459" s="47" t="inlineStr">
        <is>
          <t>UCor_9jRnNNZVzTuQ92PKsaQ</t>
        </is>
      </c>
      <c r="O2459" s="48" t="n">
        <v>42885.58333333334</v>
      </c>
      <c r="P2459" s="49" t="n">
        <v>42885</v>
      </c>
      <c r="Q2459" s="47" t="n">
        <v>809</v>
      </c>
      <c r="R2459" s="47" t="inlineStr">
        <is>
          <t>No Video ID yet</t>
        </is>
      </c>
      <c r="S2459" s="49" t="n"/>
      <c r="T2459" s="49" t="n"/>
      <c r="U2459" s="47" t="inlineStr">
        <is>
          <t>In this episode, J will be playing the Mushroom Cup and discussing his favorite/least favorite characters on Mario Kart 8.</t>
        </is>
      </c>
      <c r="V2459" s="47">
        <f>IF(AND(P2459&gt;=Calendar!$K$2,P2459&lt;EDATE(Calendar!$K$2,1),OR(Calendar!$K$4="*",N2459=Calendar!$K$4)),P2459*100+COUNTIFS($P$6:$P$3267,P2459,$Q$6:$Q$3267,"&lt;="&amp;Q2459,$N$6:$N$3267,Calendar!$K$4),"")</f>
        <v/>
      </c>
      <c r="W2459" s="47">
        <f>IF(AND(B2459=Queue!$C$4,OR(Queue!$K$4="*",N2459=Queue!$K$4)),Q2459,"")</f>
        <v/>
      </c>
    </row>
    <row r="2460">
      <c r="A2460" s="38">
        <f>IF(M2460="","",HYPERLINK("https://www.youtube.com/watch?v="&amp;M2460,"▶"))</f>
        <v/>
      </c>
      <c r="B2460" s="39">
        <f>IF(C2460&lt;&gt;"",C2460,IF(P2460&lt;=IFERROR(INDEX(tblChannels[Watched Through],MATCH(N2460,tblChannels[Channel ID],0)),0),"Watched","Unwatched"))</f>
        <v/>
      </c>
      <c r="C2460" s="40" t="n"/>
      <c r="D2460" s="41" t="n"/>
      <c r="E2460" s="42" t="n">
        <v>42884.625</v>
      </c>
      <c r="F2460" s="52" t="inlineStr">
        <is>
          <t>Super Carlin Gaming</t>
        </is>
      </c>
      <c r="G2460" t="inlineStr">
        <is>
          <t>Pokemon Pearl Nuzlocke #4: Enter Team Galactic</t>
        </is>
      </c>
      <c r="H2460" s="44" t="n">
        <v>0.01446759259259259</v>
      </c>
      <c r="I2460" s="45" t="n">
        <v>47169</v>
      </c>
      <c r="J2460" s="45" t="n">
        <v>1074</v>
      </c>
      <c r="K2460" s="45" t="n">
        <v>472</v>
      </c>
      <c r="L2460" s="46" t="n"/>
      <c r="M2460" s="47" t="n"/>
      <c r="N2460" s="47" t="inlineStr">
        <is>
          <t>UCor_9jRnNNZVzTuQ92PKsaQ</t>
        </is>
      </c>
      <c r="O2460" s="48" t="n">
        <v>42884.79166666666</v>
      </c>
      <c r="P2460" s="49" t="n">
        <v>42884</v>
      </c>
      <c r="Q2460" s="47" t="n">
        <v>808</v>
      </c>
      <c r="R2460" s="47" t="inlineStr">
        <is>
          <t>No Video ID yet</t>
        </is>
      </c>
      <c r="S2460" s="49" t="n"/>
      <c r="T2460" s="49" t="n"/>
      <c r="U2460" s="47" t="inlineStr">
        <is>
          <t>J and the team advance to Valley Windworks where they encounter the first boss battle of Team Galactic.. can they handle their first real test or will Team Galactic strike someone down??</t>
        </is>
      </c>
      <c r="V2460" s="47">
        <f>IF(AND(P2460&gt;=Calendar!$K$2,P2460&lt;EDATE(Calendar!$K$2,1),OR(Calendar!$K$4="*",N2460=Calendar!$K$4)),P2460*100+COUNTIFS($P$6:$P$3267,P2460,$Q$6:$Q$3267,"&lt;="&amp;Q2460,$N$6:$N$3267,Calendar!$K$4),"")</f>
        <v/>
      </c>
      <c r="W2460" s="47">
        <f>IF(AND(B2460=Queue!$C$4,OR(Queue!$K$4="*",N2460=Queue!$K$4)),Q2460,"")</f>
        <v/>
      </c>
    </row>
    <row r="2461">
      <c r="A2461" s="38">
        <f>IF(M2461="","",HYPERLINK("https://www.youtube.com/watch?v="&amp;M2461,"▶"))</f>
        <v/>
      </c>
      <c r="B2461" s="39">
        <f>IF(C2461&lt;&gt;"",C2461,IF(P2461&lt;=IFERROR(INDEX(tblChannels[Watched Through],MATCH(N2461,tblChannels[Channel ID],0)),0),"Watched","Unwatched"))</f>
        <v/>
      </c>
      <c r="C2461" s="40" t="n"/>
      <c r="D2461" s="41" t="n"/>
      <c r="E2461" s="42" t="n">
        <v>42881.625</v>
      </c>
      <c r="F2461" s="52" t="inlineStr">
        <is>
          <t>Super Carlin Gaming</t>
        </is>
      </c>
      <c r="G2461" t="inlineStr">
        <is>
          <t>Pokemon Pearl Nuzlocke #3: Ozzy VS Roark</t>
        </is>
      </c>
      <c r="H2461" s="44" t="n">
        <v>0.0191087962962963</v>
      </c>
      <c r="I2461" s="45" t="n">
        <v>55065</v>
      </c>
      <c r="J2461" s="45" t="n">
        <v>1151</v>
      </c>
      <c r="K2461" s="45" t="n">
        <v>496</v>
      </c>
      <c r="L2461" s="46" t="n"/>
      <c r="M2461" s="47" t="n"/>
      <c r="N2461" s="47" t="inlineStr">
        <is>
          <t>UCor_9jRnNNZVzTuQ92PKsaQ</t>
        </is>
      </c>
      <c r="O2461" s="48" t="n">
        <v>42881.79166666666</v>
      </c>
      <c r="P2461" s="49" t="n">
        <v>42881</v>
      </c>
      <c r="Q2461" s="47" t="n">
        <v>807</v>
      </c>
      <c r="R2461" s="47" t="inlineStr">
        <is>
          <t>No Video ID yet</t>
        </is>
      </c>
      <c r="S2461" s="49" t="n"/>
      <c r="T2461" s="49" t="n"/>
      <c r="U2461" s="47" t="inlineStr">
        <is>
          <t>It is finally time for our first Gym Battle! Ozzy has been a little shaky on the confidence side, but maybe her first gym battle will lift her spirits.. that is if she can survive!</t>
        </is>
      </c>
      <c r="V2461" s="47">
        <f>IF(AND(P2461&gt;=Calendar!$K$2,P2461&lt;EDATE(Calendar!$K$2,1),OR(Calendar!$K$4="*",N2461=Calendar!$K$4)),P2461*100+COUNTIFS($P$6:$P$3267,P2461,$Q$6:$Q$3267,"&lt;="&amp;Q2461,$N$6:$N$3267,Calendar!$K$4),"")</f>
        <v/>
      </c>
      <c r="W2461" s="47">
        <f>IF(AND(B2461=Queue!$C$4,OR(Queue!$K$4="*",N2461=Queue!$K$4)),Q2461,"")</f>
        <v/>
      </c>
    </row>
    <row r="2462">
      <c r="A2462" s="38">
        <f>IF(M2462="","",HYPERLINK("https://www.youtube.com/watch?v="&amp;M2462,"▶"))</f>
        <v/>
      </c>
      <c r="B2462" s="39">
        <f>IF(C2462&lt;&gt;"",C2462,IF(P2462&lt;=IFERROR(INDEX(tblChannels[Watched Through],MATCH(N2462,tblChannels[Channel ID],0)),0),"Watched","Unwatched"))</f>
        <v/>
      </c>
      <c r="C2462" s="40" t="n"/>
      <c r="D2462" s="41" t="n"/>
      <c r="E2462" s="42" t="n">
        <v>42880.72638888889</v>
      </c>
      <c r="F2462" s="50" t="inlineStr">
        <is>
          <t>Super Carlin Brothers</t>
        </is>
      </c>
      <c r="G2462" t="inlineStr">
        <is>
          <t>Big Hero 6 Kites Explained</t>
        </is>
      </c>
      <c r="H2462" s="44" t="n">
        <v>0.004699074074074074</v>
      </c>
      <c r="I2462" s="45" t="n">
        <v>357973</v>
      </c>
      <c r="J2462" s="45" t="n">
        <v>12443</v>
      </c>
      <c r="K2462" s="45" t="n">
        <v>1410</v>
      </c>
      <c r="L2462" s="46" t="n"/>
      <c r="M2462" s="47" t="n"/>
      <c r="N2462" s="47" t="inlineStr">
        <is>
          <t>UCKZo4N0lVPccBkSiuyVh4yg</t>
        </is>
      </c>
      <c r="O2462" s="48" t="n">
        <v>42880.89305555556</v>
      </c>
      <c r="P2462" s="49" t="n">
        <v>42880</v>
      </c>
      <c r="Q2462" s="47" t="n">
        <v>806</v>
      </c>
      <c r="R2462" s="47" t="inlineStr">
        <is>
          <t>No Video ID yet</t>
        </is>
      </c>
      <c r="S2462" s="49" t="n"/>
      <c r="T2462" s="49" t="n"/>
      <c r="U2462" s="47" t="inlineStr">
        <is>
          <t>Today Ben dives in to Disney's Big Hero 6 and the world of San Fransokyo to explain what all those odd kite/blimp things Hiro and Baymax fly through are.</t>
        </is>
      </c>
      <c r="V2462" s="47">
        <f>IF(AND(P2462&gt;=Calendar!$K$2,P2462&lt;EDATE(Calendar!$K$2,1),OR(Calendar!$K$4="*",N2462=Calendar!$K$4)),P2462*100+COUNTIFS($P$6:$P$3267,P2462,$Q$6:$Q$3267,"&lt;="&amp;Q2462,$N$6:$N$3267,Calendar!$K$4),"")</f>
        <v/>
      </c>
      <c r="W2462" s="47">
        <f>IF(AND(B2462=Queue!$C$4,OR(Queue!$K$4="*",N2462=Queue!$K$4)),Q2462,"")</f>
        <v/>
      </c>
    </row>
    <row r="2463">
      <c r="A2463" s="38">
        <f>IF(M2463="","",HYPERLINK("https://www.youtube.com/watch?v="&amp;M2463,"▶"))</f>
        <v/>
      </c>
      <c r="B2463" s="39">
        <f>IF(C2463&lt;&gt;"",C2463,IF(P2463&lt;=IFERROR(INDEX(tblChannels[Watched Through],MATCH(N2463,tblChannels[Channel ID],0)),0),"Watched","Unwatched"))</f>
        <v/>
      </c>
      <c r="C2463" s="40" t="n"/>
      <c r="D2463" s="41" t="n"/>
      <c r="E2463" s="42" t="n">
        <v>42879.625</v>
      </c>
      <c r="F2463" s="52" t="inlineStr">
        <is>
          <t>Super Carlin Gaming</t>
        </is>
      </c>
      <c r="G2463" t="inlineStr">
        <is>
          <t>Pokemon Pearl Nuzlocke #2: Team Building!</t>
        </is>
      </c>
      <c r="H2463" s="44" t="n">
        <v>0.01353009259259259</v>
      </c>
      <c r="I2463" s="45" t="n">
        <v>58533</v>
      </c>
      <c r="J2463" s="45" t="n">
        <v>1193</v>
      </c>
      <c r="K2463" s="45" t="n">
        <v>525</v>
      </c>
      <c r="L2463" s="46" t="n"/>
      <c r="M2463" s="47" t="n"/>
      <c r="N2463" s="47" t="inlineStr">
        <is>
          <t>UCor_9jRnNNZVzTuQ92PKsaQ</t>
        </is>
      </c>
      <c r="O2463" s="48" t="n">
        <v>42879.79166666666</v>
      </c>
      <c r="P2463" s="49" t="n">
        <v>42879</v>
      </c>
      <c r="Q2463" s="47" t="n">
        <v>805</v>
      </c>
      <c r="R2463" s="47" t="inlineStr">
        <is>
          <t>No Video ID yet</t>
        </is>
      </c>
      <c r="S2463" s="49" t="n"/>
      <c r="T2463" s="49" t="n"/>
      <c r="U2463" s="47" t="inlineStr">
        <is>
          <t>As J and Ozzy head toward their first badge they, first must add some extra team members to fill out the ranks, who will they encounter and join the squad??</t>
        </is>
      </c>
      <c r="V2463" s="47">
        <f>IF(AND(P2463&gt;=Calendar!$K$2,P2463&lt;EDATE(Calendar!$K$2,1),OR(Calendar!$K$4="*",N2463=Calendar!$K$4)),P2463*100+COUNTIFS($P$6:$P$3267,P2463,$Q$6:$Q$3267,"&lt;="&amp;Q2463,$N$6:$N$3267,Calendar!$K$4),"")</f>
        <v/>
      </c>
      <c r="W2463" s="47">
        <f>IF(AND(B2463=Queue!$C$4,OR(Queue!$K$4="*",N2463=Queue!$K$4)),Q2463,"")</f>
        <v/>
      </c>
    </row>
    <row r="2464">
      <c r="A2464" s="38">
        <f>IF(M2464="","",HYPERLINK("https://www.youtube.com/watch?v="&amp;M2464,"▶"))</f>
        <v/>
      </c>
      <c r="B2464" s="39">
        <f>IF(C2464&lt;&gt;"",C2464,IF(P2464&lt;=IFERROR(INDEX(tblChannels[Watched Through],MATCH(N2464,tblChannels[Channel ID],0)),0),"Watched","Unwatched"))</f>
        <v/>
      </c>
      <c r="C2464" s="40" t="n"/>
      <c r="D2464" s="41" t="n"/>
      <c r="E2464" s="42" t="n">
        <v>42878.69652777778</v>
      </c>
      <c r="F2464" s="50" t="inlineStr">
        <is>
          <t>Super Carlin Brothers</t>
        </is>
      </c>
      <c r="G2464" t="inlineStr">
        <is>
          <t>The Truth About Doc Hudson</t>
        </is>
      </c>
      <c r="H2464" s="44" t="n">
        <v>0.006840277777777778</v>
      </c>
      <c r="I2464" s="45" t="n">
        <v>1879545</v>
      </c>
      <c r="J2464" s="45" t="n">
        <v>34847</v>
      </c>
      <c r="K2464" s="45" t="n">
        <v>5145</v>
      </c>
      <c r="L2464" s="46" t="n"/>
      <c r="M2464" s="47" t="n"/>
      <c r="N2464" s="47" t="inlineStr">
        <is>
          <t>UCKZo4N0lVPccBkSiuyVh4yg</t>
        </is>
      </c>
      <c r="O2464" s="48" t="n">
        <v>42878.86319444444</v>
      </c>
      <c r="P2464" s="49" t="n">
        <v>42878</v>
      </c>
      <c r="Q2464" s="47" t="n">
        <v>804</v>
      </c>
      <c r="R2464" s="47" t="inlineStr">
        <is>
          <t>No Video ID yet</t>
        </is>
      </c>
      <c r="S2464" s="49" t="n"/>
      <c r="T2464" s="49" t="n"/>
      <c r="U2464" s="47" t="inlineStr">
        <is>
          <t>Disney Pixar's Cars 3 comes out in just 4 weeks! Today J dives into the world of Cars and explores the history of the Fabulous Hudson Hornet Doc Hudson. His real world NASCAR history may just hold the key to Lightning McQueen's victory over his new rival Jackson Storm.</t>
        </is>
      </c>
      <c r="V2464" s="47">
        <f>IF(AND(P2464&gt;=Calendar!$K$2,P2464&lt;EDATE(Calendar!$K$2,1),OR(Calendar!$K$4="*",N2464=Calendar!$K$4)),P2464*100+COUNTIFS($P$6:$P$3267,P2464,$Q$6:$Q$3267,"&lt;="&amp;Q2464,$N$6:$N$3267,Calendar!$K$4),"")</f>
        <v/>
      </c>
      <c r="W2464" s="47">
        <f>IF(AND(B2464=Queue!$C$4,OR(Queue!$K$4="*",N2464=Queue!$K$4)),Q2464,"")</f>
        <v/>
      </c>
    </row>
    <row r="2465">
      <c r="A2465" s="38">
        <f>IF(M2465="","",HYPERLINK("https://www.youtube.com/watch?v="&amp;M2465,"▶"))</f>
        <v/>
      </c>
      <c r="B2465" s="39">
        <f>IF(C2465&lt;&gt;"",C2465,IF(P2465&lt;=IFERROR(INDEX(tblChannels[Watched Through],MATCH(N2465,tblChannels[Channel ID],0)),0),"Watched","Unwatched"))</f>
        <v/>
      </c>
      <c r="C2465" s="40" t="n"/>
      <c r="D2465" s="41" t="n"/>
      <c r="E2465" s="42" t="n">
        <v>42877.63472222222</v>
      </c>
      <c r="F2465" s="52" t="inlineStr">
        <is>
          <t>Super Carlin Gaming</t>
        </is>
      </c>
      <c r="G2465" t="inlineStr">
        <is>
          <t>Pokemon Pearl Nuzlocke #1: Piplup, Turtwig or Chimchar?</t>
        </is>
      </c>
      <c r="H2465" s="44" t="n">
        <v>0.01609953703703704</v>
      </c>
      <c r="I2465" s="45" t="n">
        <v>129045</v>
      </c>
      <c r="J2465" s="45" t="n">
        <v>2234</v>
      </c>
      <c r="K2465" s="45" t="n">
        <v>1388</v>
      </c>
      <c r="L2465" s="46" t="n"/>
      <c r="M2465" s="47" t="n"/>
      <c r="N2465" s="47" t="inlineStr">
        <is>
          <t>UCor_9jRnNNZVzTuQ92PKsaQ</t>
        </is>
      </c>
      <c r="O2465" s="48" t="n">
        <v>42877.80138888889</v>
      </c>
      <c r="P2465" s="49" t="n">
        <v>42877</v>
      </c>
      <c r="Q2465" s="47" t="n">
        <v>803</v>
      </c>
      <c r="R2465" s="47" t="inlineStr">
        <is>
          <t>No Video ID yet</t>
        </is>
      </c>
      <c r="S2465" s="49" t="n"/>
      <c r="T2465" s="49" t="n"/>
      <c r="U2465" s="47" t="inlineStr">
        <is>
          <t>Welcome to Sinnoh! Our next Nuzlocke journey kicks off with a new rival, a new starter and a few new friends! Who is your favorite starter pokemon in Gen 4?</t>
        </is>
      </c>
      <c r="V2465" s="47">
        <f>IF(AND(P2465&gt;=Calendar!$K$2,P2465&lt;EDATE(Calendar!$K$2,1),OR(Calendar!$K$4="*",N2465=Calendar!$K$4)),P2465*100+COUNTIFS($P$6:$P$3267,P2465,$Q$6:$Q$3267,"&lt;="&amp;Q2465,$N$6:$N$3267,Calendar!$K$4),"")</f>
        <v/>
      </c>
      <c r="W2465" s="47">
        <f>IF(AND(B2465=Queue!$C$4,OR(Queue!$K$4="*",N2465=Queue!$K$4)),Q2465,"")</f>
        <v/>
      </c>
    </row>
    <row r="2466">
      <c r="A2466" s="38">
        <f>IF(M2466="","",HYPERLINK("https://www.youtube.com/watch?v="&amp;M2466,"▶"))</f>
        <v/>
      </c>
      <c r="B2466" s="39">
        <f>IF(C2466&lt;&gt;"",C2466,IF(P2466&lt;=IFERROR(INDEX(tblChannels[Watched Through],MATCH(N2466,tblChannels[Channel ID],0)),0),"Watched","Unwatched"))</f>
        <v/>
      </c>
      <c r="C2466" s="40" t="n"/>
      <c r="D2466" s="41" t="n"/>
      <c r="E2466" s="42" t="n">
        <v>42873.75972222222</v>
      </c>
      <c r="F2466" s="50" t="inlineStr">
        <is>
          <t>Super Carlin Brothers</t>
        </is>
      </c>
      <c r="G2466" t="inlineStr">
        <is>
          <t>Marvel Theory: Stan Lee's Cameos Explained</t>
        </is>
      </c>
      <c r="H2466" s="44" t="n">
        <v>0.007152777777777778</v>
      </c>
      <c r="I2466" s="45" t="n">
        <v>765766</v>
      </c>
      <c r="J2466" s="45" t="n">
        <v>19452</v>
      </c>
      <c r="K2466" s="45" t="n">
        <v>2834</v>
      </c>
      <c r="L2466" s="46" t="n"/>
      <c r="M2466" s="47" t="n"/>
      <c r="N2466" s="47" t="inlineStr">
        <is>
          <t>UCKZo4N0lVPccBkSiuyVh4yg</t>
        </is>
      </c>
      <c r="O2466" s="48" t="n">
        <v>42873.92638888889</v>
      </c>
      <c r="P2466" s="49" t="n">
        <v>42873</v>
      </c>
      <c r="Q2466" s="47" t="n">
        <v>802</v>
      </c>
      <c r="R2466" s="47" t="inlineStr">
        <is>
          <t>No Video ID yet</t>
        </is>
      </c>
      <c r="S2466" s="49" t="n"/>
      <c r="T2466" s="49" t="n"/>
      <c r="U2466" s="47" t="inlineStr">
        <is>
          <t>If you have ever seen a Marvel movie than no doubt you have noticed at some point the random appearance of comic book author Stan Lee. He is in ALL of them, but why? Is this just a polite cameo appearance or is there more to it, today Ben dives into the Marvel multiverse to find out!</t>
        </is>
      </c>
      <c r="V2466" s="47">
        <f>IF(AND(P2466&gt;=Calendar!$K$2,P2466&lt;EDATE(Calendar!$K$2,1),OR(Calendar!$K$4="*",N2466=Calendar!$K$4)),P2466*100+COUNTIFS($P$6:$P$3267,P2466,$Q$6:$Q$3267,"&lt;="&amp;Q2466,$N$6:$N$3267,Calendar!$K$4),"")</f>
        <v/>
      </c>
      <c r="W2466" s="47">
        <f>IF(AND(B2466=Queue!$C$4,OR(Queue!$K$4="*",N2466=Queue!$K$4)),Q2466,"")</f>
        <v/>
      </c>
    </row>
    <row r="2467">
      <c r="A2467" s="38">
        <f>IF(M2467="","",HYPERLINK("https://www.youtube.com/watch?v="&amp;M2467,"▶"))</f>
        <v/>
      </c>
      <c r="B2467" s="39">
        <f>IF(C2467&lt;&gt;"",C2467,IF(P2467&lt;=IFERROR(INDEX(tblChannels[Watched Through],MATCH(N2467,tblChannels[Channel ID],0)),0),"Watched","Unwatched"))</f>
        <v/>
      </c>
      <c r="C2467" s="40" t="n"/>
      <c r="D2467" s="41" t="n"/>
      <c r="E2467" s="42" t="n">
        <v>42871.63333333333</v>
      </c>
      <c r="F2467" s="50" t="inlineStr">
        <is>
          <t>Super Carlin Brothers</t>
        </is>
      </c>
      <c r="G2467" t="inlineStr">
        <is>
          <t>Does Lightning Google Autofill</t>
        </is>
      </c>
      <c r="H2467" s="44" t="n">
        <v>0.005185185185185185</v>
      </c>
      <c r="I2467" s="45" t="n">
        <v>274023</v>
      </c>
      <c r="J2467" s="45" t="n">
        <v>8831</v>
      </c>
      <c r="K2467" s="45" t="n">
        <v>1344</v>
      </c>
      <c r="L2467" s="46" t="n"/>
      <c r="M2467" s="47" t="n"/>
      <c r="N2467" s="47" t="inlineStr">
        <is>
          <t>UCKZo4N0lVPccBkSiuyVh4yg</t>
        </is>
      </c>
      <c r="O2467" s="48" t="n">
        <v>42871.8</v>
      </c>
      <c r="P2467" s="49" t="n">
        <v>42871</v>
      </c>
      <c r="Q2467" s="47" t="n">
        <v>801</v>
      </c>
      <c r="R2467" s="47" t="inlineStr">
        <is>
          <t>No Video ID yet</t>
        </is>
      </c>
      <c r="S2467" s="49" t="n"/>
      <c r="T2467" s="49" t="n"/>
      <c r="U2467" s="47" t="inlineStr">
        <is>
          <t>Pixar's Cars 3 is just 5 weeks away so today J plays everyone's favorite game and asks Does Lightning Google Autofill?!</t>
        </is>
      </c>
      <c r="V2467" s="47">
        <f>IF(AND(P2467&gt;=Calendar!$K$2,P2467&lt;EDATE(Calendar!$K$2,1),OR(Calendar!$K$4="*",N2467=Calendar!$K$4)),P2467*100+COUNTIFS($P$6:$P$3267,P2467,$Q$6:$Q$3267,"&lt;="&amp;Q2467,$N$6:$N$3267,Calendar!$K$4),"")</f>
        <v/>
      </c>
      <c r="W2467" s="47">
        <f>IF(AND(B2467=Queue!$C$4,OR(Queue!$K$4="*",N2467=Queue!$K$4)),Q2467,"")</f>
        <v/>
      </c>
    </row>
    <row r="2468">
      <c r="A2468" s="38">
        <f>IF(M2468="","",HYPERLINK("https://www.youtube.com/watch?v="&amp;M2468,"▶"))</f>
        <v/>
      </c>
      <c r="B2468" s="39">
        <f>IF(C2468&lt;&gt;"",C2468,IF(P2468&lt;=IFERROR(INDEX(tblChannels[Watched Through],MATCH(N2468,tblChannels[Channel ID],0)),0),"Watched","Unwatched"))</f>
        <v/>
      </c>
      <c r="C2468" s="40" t="n"/>
      <c r="D2468" s="41" t="n"/>
      <c r="E2468" s="42" t="n">
        <v>42866.79305555556</v>
      </c>
      <c r="F2468" s="50" t="inlineStr">
        <is>
          <t>Super Carlin Brothers</t>
        </is>
      </c>
      <c r="G2468" t="inlineStr">
        <is>
          <t>Harry Potter Theory: Slughorn's Darkest Secret</t>
        </is>
      </c>
      <c r="H2468" s="44" t="n">
        <v>0.005856481481481482</v>
      </c>
      <c r="I2468" s="45" t="n">
        <v>2288588</v>
      </c>
      <c r="J2468" s="45" t="n">
        <v>48512</v>
      </c>
      <c r="K2468" s="45" t="n">
        <v>3682</v>
      </c>
      <c r="L2468" s="46" t="n"/>
      <c r="M2468" s="47" t="n"/>
      <c r="N2468" s="47" t="inlineStr">
        <is>
          <t>UCKZo4N0lVPccBkSiuyVh4yg</t>
        </is>
      </c>
      <c r="O2468" s="48" t="n">
        <v>42866.95972222222</v>
      </c>
      <c r="P2468" s="49" t="n">
        <v>42866</v>
      </c>
      <c r="Q2468" s="47" t="n">
        <v>800</v>
      </c>
      <c r="R2468" s="47" t="inlineStr">
        <is>
          <t>No Video ID yet</t>
        </is>
      </c>
      <c r="S2468" s="49" t="n"/>
      <c r="T2468" s="49" t="n"/>
      <c r="U2468" s="47" t="inlineStr">
        <is>
          <t>Harry spends a good portion of the Half Blood Prince trying to retrieve one of Slughorn’s memories, but what other secrets is he hiding? We think we have discovered an even greater secret of the potions master!</t>
        </is>
      </c>
      <c r="V2468" s="47">
        <f>IF(AND(P2468&gt;=Calendar!$K$2,P2468&lt;EDATE(Calendar!$K$2,1),OR(Calendar!$K$4="*",N2468=Calendar!$K$4)),P2468*100+COUNTIFS($P$6:$P$3267,P2468,$Q$6:$Q$3267,"&lt;="&amp;Q2468,$N$6:$N$3267,Calendar!$K$4),"")</f>
        <v/>
      </c>
      <c r="W2468" s="47">
        <f>IF(AND(B2468=Queue!$C$4,OR(Queue!$K$4="*",N2468=Queue!$K$4)),Q2468,"")</f>
        <v/>
      </c>
    </row>
    <row r="2469">
      <c r="A2469" s="38">
        <f>IF(M2469="","",HYPERLINK("https://www.youtube.com/watch?v="&amp;M2469,"▶"))</f>
        <v/>
      </c>
      <c r="B2469" s="39">
        <f>IF(C2469&lt;&gt;"",C2469,IF(P2469&lt;=IFERROR(INDEX(tblChannels[Watched Through],MATCH(N2469,tblChannels[Channel ID],0)),0),"Watched","Unwatched"))</f>
        <v/>
      </c>
      <c r="C2469" s="40" t="n"/>
      <c r="D2469" s="41" t="n"/>
      <c r="E2469" s="42" t="n">
        <v>42864.80902777778</v>
      </c>
      <c r="F2469" s="50" t="inlineStr">
        <is>
          <t>Super Carlin Brothers</t>
        </is>
      </c>
      <c r="G2469" t="inlineStr">
        <is>
          <t>Disney Theory: Big Hero 6 Brother Is Alive</t>
        </is>
      </c>
      <c r="H2469" s="44" t="n">
        <v>0.007569444444444445</v>
      </c>
      <c r="I2469" s="45" t="n">
        <v>4373502</v>
      </c>
      <c r="J2469" s="45" t="n">
        <v>81951</v>
      </c>
      <c r="K2469" s="45" t="n">
        <v>12411</v>
      </c>
      <c r="L2469" s="46" t="n"/>
      <c r="M2469" s="47" t="n"/>
      <c r="N2469" s="47" t="inlineStr">
        <is>
          <t>UCKZo4N0lVPccBkSiuyVh4yg</t>
        </is>
      </c>
      <c r="O2469" s="48" t="n">
        <v>42864.97569444445</v>
      </c>
      <c r="P2469" s="49" t="n">
        <v>42864</v>
      </c>
      <c r="Q2469" s="47" t="n">
        <v>799</v>
      </c>
      <c r="R2469" s="47" t="inlineStr">
        <is>
          <t>No Video ID yet</t>
        </is>
      </c>
      <c r="S2469" s="49" t="n"/>
      <c r="T2469" s="49" t="n"/>
      <c r="U2469" s="47" t="inlineStr">
        <is>
          <t>Today J dives into San Fransokyo and the world of Disney's Big Hero 6 to determine if Hiro's brother Tadashi truly died and if not.. who is he?</t>
        </is>
      </c>
      <c r="V2469" s="47">
        <f>IF(AND(P2469&gt;=Calendar!$K$2,P2469&lt;EDATE(Calendar!$K$2,1),OR(Calendar!$K$4="*",N2469=Calendar!$K$4)),P2469*100+COUNTIFS($P$6:$P$3267,P2469,$Q$6:$Q$3267,"&lt;="&amp;Q2469,$N$6:$N$3267,Calendar!$K$4),"")</f>
        <v/>
      </c>
      <c r="W2469" s="47">
        <f>IF(AND(B2469=Queue!$C$4,OR(Queue!$K$4="*",N2469=Queue!$K$4)),Q2469,"")</f>
        <v/>
      </c>
    </row>
    <row r="2470">
      <c r="A2470" s="38">
        <f>IF(M2470="","",HYPERLINK("https://www.youtube.com/watch?v="&amp;M2470,"▶"))</f>
        <v/>
      </c>
      <c r="B2470" s="39">
        <f>IF(C2470&lt;&gt;"",C2470,IF(P2470&lt;=IFERROR(INDEX(tblChannels[Watched Through],MATCH(N2470,tblChannels[Channel ID],0)),0),"Watched","Unwatched"))</f>
        <v/>
      </c>
      <c r="C2470" s="40" t="n"/>
      <c r="D2470" s="41" t="n"/>
      <c r="E2470" s="42" t="n">
        <v>42861.41666666666</v>
      </c>
      <c r="F2470" s="50" t="inlineStr">
        <is>
          <t>Super Carlin Brothers</t>
        </is>
      </c>
      <c r="G2470" t="inlineStr">
        <is>
          <t>Loot Crate Unboxing | INVESTIGATE</t>
        </is>
      </c>
      <c r="H2470" s="44" t="n">
        <v>0.00880787037037037</v>
      </c>
      <c r="I2470" s="45" t="n">
        <v>93940</v>
      </c>
      <c r="J2470" s="45" t="n">
        <v>3730</v>
      </c>
      <c r="K2470" s="45" t="n">
        <v>799</v>
      </c>
      <c r="L2470" s="46" t="n"/>
      <c r="M2470" s="47" t="n"/>
      <c r="N2470" s="47" t="inlineStr">
        <is>
          <t>UCKZo4N0lVPccBkSiuyVh4yg</t>
        </is>
      </c>
      <c r="O2470" s="48" t="n">
        <v>42861.58333333334</v>
      </c>
      <c r="P2470" s="49" t="n">
        <v>42861</v>
      </c>
      <c r="Q2470" s="47" t="n">
        <v>798</v>
      </c>
      <c r="R2470" s="47" t="inlineStr">
        <is>
          <t>No Video ID yet</t>
        </is>
      </c>
      <c r="S2470" s="49" t="n"/>
      <c r="T2470" s="49" t="n"/>
      <c r="U2470" s="47" t="inlineStr">
        <is>
          <t>Get 10% Off your first month of LootCrate at: Promo Code: CARLIN J and Ben unbox the INVESTIGATE Loot Crate - It has all sorts of fun stuff including things from Batman, Jessica Jones, The X-Files and Stranger Things.</t>
        </is>
      </c>
      <c r="V2470" s="47">
        <f>IF(AND(P2470&gt;=Calendar!$K$2,P2470&lt;EDATE(Calendar!$K$2,1),OR(Calendar!$K$4="*",N2470=Calendar!$K$4)),P2470*100+COUNTIFS($P$6:$P$3267,P2470,$Q$6:$Q$3267,"&lt;="&amp;Q2470,$N$6:$N$3267,Calendar!$K$4),"")</f>
        <v/>
      </c>
      <c r="W2470" s="47">
        <f>IF(AND(B2470=Queue!$C$4,OR(Queue!$K$4="*",N2470=Queue!$K$4)),Q2470,"")</f>
        <v/>
      </c>
    </row>
    <row r="2471">
      <c r="A2471" s="38">
        <f>IF(M2471="","",HYPERLINK("https://www.youtube.com/watch?v="&amp;M2471,"▶"))</f>
        <v/>
      </c>
      <c r="B2471" s="39">
        <f>IF(C2471&lt;&gt;"",C2471,IF(P2471&lt;=IFERROR(INDEX(tblChannels[Watched Through],MATCH(N2471,tblChannels[Channel ID],0)),0),"Watched","Unwatched"))</f>
        <v/>
      </c>
      <c r="C2471" s="40" t="n"/>
      <c r="D2471" s="41" t="n"/>
      <c r="E2471" s="42" t="n">
        <v>42859.71111111111</v>
      </c>
      <c r="F2471" s="50" t="inlineStr">
        <is>
          <t>Super Carlin Brothers</t>
        </is>
      </c>
      <c r="G2471" t="inlineStr">
        <is>
          <t>Harry Potter Theory: Newt's Patronus</t>
        </is>
      </c>
      <c r="H2471" s="44" t="n">
        <v>0.00587962962962963</v>
      </c>
      <c r="I2471" s="45" t="n">
        <v>1534251</v>
      </c>
      <c r="J2471" s="45" t="n">
        <v>37678</v>
      </c>
      <c r="K2471" s="45" t="n">
        <v>8807</v>
      </c>
      <c r="L2471" s="46" t="n"/>
      <c r="M2471" s="47" t="n"/>
      <c r="N2471" s="47" t="inlineStr">
        <is>
          <t>UCKZo4N0lVPccBkSiuyVh4yg</t>
        </is>
      </c>
      <c r="O2471" s="48" t="n">
        <v>42859.87777777778</v>
      </c>
      <c r="P2471" s="49" t="n">
        <v>42859</v>
      </c>
      <c r="Q2471" s="47" t="n">
        <v>797</v>
      </c>
      <c r="R2471" s="47" t="inlineStr">
        <is>
          <t>No Video ID yet</t>
        </is>
      </c>
      <c r="S2471" s="49" t="n"/>
      <c r="T2471" s="49" t="n"/>
      <c r="U2471" s="47" t="inlineStr">
        <is>
          <t>Harry Potter author JK Rowling recently said revealing Newt's patronus would be spoilery.. naturally we had to investigate! Today Ben tries to deduce what form it will take in the next Fantastic Beasts movie. Also at 5:45 obviously Newt and Tina were so uncomfortable we decided to go to black.. =P Read more about the Patronus Charm here ::</t>
        </is>
      </c>
      <c r="V2471" s="47">
        <f>IF(AND(P2471&gt;=Calendar!$K$2,P2471&lt;EDATE(Calendar!$K$2,1),OR(Calendar!$K$4="*",N2471=Calendar!$K$4)),P2471*100+COUNTIFS($P$6:$P$3267,P2471,$Q$6:$Q$3267,"&lt;="&amp;Q2471,$N$6:$N$3267,Calendar!$K$4),"")</f>
        <v/>
      </c>
      <c r="W2471" s="47">
        <f>IF(AND(B2471=Queue!$C$4,OR(Queue!$K$4="*",N2471=Queue!$K$4)),Q2471,"")</f>
        <v/>
      </c>
    </row>
    <row r="2472">
      <c r="A2472" s="38">
        <f>IF(M2472="","",HYPERLINK("https://www.youtube.com/watch?v="&amp;M2472,"▶"))</f>
        <v/>
      </c>
      <c r="B2472" s="39">
        <f>IF(C2472&lt;&gt;"",C2472,IF(P2472&lt;=IFERROR(INDEX(tblChannels[Watched Through],MATCH(N2472,tblChannels[Channel ID],0)),0),"Watched","Unwatched"))</f>
        <v/>
      </c>
      <c r="C2472" s="40" t="n"/>
      <c r="D2472" s="41" t="n"/>
      <c r="E2472" s="42" t="n">
        <v>42857.74513888889</v>
      </c>
      <c r="F2472" s="50" t="inlineStr">
        <is>
          <t>Super Carlin Brothers</t>
        </is>
      </c>
      <c r="G2472" t="inlineStr">
        <is>
          <t>Cars Theory: Who Is The True Villain of Cars 3?</t>
        </is>
      </c>
      <c r="H2472" s="44" t="n">
        <v>0.005868055555555555</v>
      </c>
      <c r="I2472" s="45" t="n">
        <v>1134813</v>
      </c>
      <c r="J2472" s="45" t="n">
        <v>19864</v>
      </c>
      <c r="K2472" s="45" t="n">
        <v>2506</v>
      </c>
      <c r="L2472" s="46" t="n"/>
      <c r="M2472" s="47" t="n"/>
      <c r="N2472" s="47" t="inlineStr">
        <is>
          <t>UCKZo4N0lVPccBkSiuyVh4yg</t>
        </is>
      </c>
      <c r="O2472" s="48" t="n">
        <v>42857.91180555556</v>
      </c>
      <c r="P2472" s="49" t="n">
        <v>42857</v>
      </c>
      <c r="Q2472" s="47" t="n">
        <v>796</v>
      </c>
      <c r="R2472" s="47" t="inlineStr">
        <is>
          <t>No Video ID yet</t>
        </is>
      </c>
      <c r="S2472" s="49" t="n"/>
      <c r="T2472" s="49" t="n"/>
      <c r="U2472" s="47" t="inlineStr">
        <is>
          <t>Cars 3 just released its first full trailer and naturally we have a lot to say! Today J dives into the unexplored world of Cars 3 to try and determine who the true villain of the movie is!</t>
        </is>
      </c>
      <c r="V2472" s="47">
        <f>IF(AND(P2472&gt;=Calendar!$K$2,P2472&lt;EDATE(Calendar!$K$2,1),OR(Calendar!$K$4="*",N2472=Calendar!$K$4)),P2472*100+COUNTIFS($P$6:$P$3267,P2472,$Q$6:$Q$3267,"&lt;="&amp;Q2472,$N$6:$N$3267,Calendar!$K$4),"")</f>
        <v/>
      </c>
      <c r="W2472" s="47">
        <f>IF(AND(B2472=Queue!$C$4,OR(Queue!$K$4="*",N2472=Queue!$K$4)),Q2472,"")</f>
        <v/>
      </c>
    </row>
    <row r="2473">
      <c r="A2473" s="38">
        <f>IF(M2473="","",HYPERLINK("https://www.youtube.com/watch?v="&amp;M2473,"▶"))</f>
        <v/>
      </c>
      <c r="B2473" s="39">
        <f>IF(C2473&lt;&gt;"",C2473,IF(P2473&lt;=IFERROR(INDEX(tblChannels[Watched Through],MATCH(N2473,tblChannels[Channel ID],0)),0),"Watched","Unwatched"))</f>
        <v/>
      </c>
      <c r="C2473" s="40" t="n"/>
      <c r="D2473" s="41" t="n"/>
      <c r="E2473" s="42" t="n">
        <v>42852.71736111111</v>
      </c>
      <c r="F2473" s="50" t="inlineStr">
        <is>
          <t>Super Carlin Brothers</t>
        </is>
      </c>
      <c r="G2473" t="inlineStr">
        <is>
          <t>Top 10 Favorite Harry Potter Movie Moments</t>
        </is>
      </c>
      <c r="H2473" s="44" t="n">
        <v>0.00775462962962963</v>
      </c>
      <c r="I2473" s="45" t="n">
        <v>1157377</v>
      </c>
      <c r="J2473" s="45" t="n">
        <v>30685</v>
      </c>
      <c r="K2473" s="45" t="n">
        <v>8028</v>
      </c>
      <c r="L2473" s="46" t="n"/>
      <c r="M2473" s="47" t="n"/>
      <c r="N2473" s="47" t="inlineStr">
        <is>
          <t>UCKZo4N0lVPccBkSiuyVh4yg</t>
        </is>
      </c>
      <c r="O2473" s="48" t="n">
        <v>42852.88402777778</v>
      </c>
      <c r="P2473" s="49" t="n">
        <v>42852</v>
      </c>
      <c r="Q2473" s="47" t="n">
        <v>795</v>
      </c>
      <c r="R2473" s="47" t="inlineStr">
        <is>
          <t>No Video ID yet</t>
        </is>
      </c>
      <c r="S2473" s="49" t="n"/>
      <c r="T2473" s="49" t="n"/>
      <c r="U2473" s="47" t="inlineStr">
        <is>
          <t>The Harry Potter movies are great, but with over 4000 pages of books to cover there was undoubtedly going to be some stuff left out, but that doesn't mean we don't LOVE some of the things they did include. Today Ben reveals his Top 10 Favorite moments in Harry Potter movies!</t>
        </is>
      </c>
      <c r="V2473" s="47">
        <f>IF(AND(P2473&gt;=Calendar!$K$2,P2473&lt;EDATE(Calendar!$K$2,1),OR(Calendar!$K$4="*",N2473=Calendar!$K$4)),P2473*100+COUNTIFS($P$6:$P$3267,P2473,$Q$6:$Q$3267,"&lt;="&amp;Q2473,$N$6:$N$3267,Calendar!$K$4),"")</f>
        <v/>
      </c>
      <c r="W2473" s="47">
        <f>IF(AND(B2473=Queue!$C$4,OR(Queue!$K$4="*",N2473=Queue!$K$4)),Q2473,"")</f>
        <v/>
      </c>
    </row>
    <row r="2474">
      <c r="A2474" s="38">
        <f>IF(M2474="","",HYPERLINK("https://www.youtube.com/watch?v="&amp;M2474,"▶"))</f>
        <v/>
      </c>
      <c r="B2474" s="39">
        <f>IF(C2474&lt;&gt;"",C2474,IF(P2474&lt;=IFERROR(INDEX(tblChannels[Watched Through],MATCH(N2474,tblChannels[Channel ID],0)),0),"Watched","Unwatched"))</f>
        <v/>
      </c>
      <c r="C2474" s="40" t="n"/>
      <c r="D2474" s="41" t="n"/>
      <c r="E2474" s="42" t="n">
        <v>42850.80208333334</v>
      </c>
      <c r="F2474" s="50" t="inlineStr">
        <is>
          <t>Super Carlin Brothers</t>
        </is>
      </c>
      <c r="G2474" t="inlineStr">
        <is>
          <t>Harry Potter Theory: The Truth About Felix Felicis</t>
        </is>
      </c>
      <c r="H2474" s="44" t="n">
        <v>0.008645833333333333</v>
      </c>
      <c r="I2474" s="45" t="n">
        <v>2588467</v>
      </c>
      <c r="J2474" s="45" t="n">
        <v>56099</v>
      </c>
      <c r="K2474" s="45" t="n">
        <v>6219</v>
      </c>
      <c r="L2474" s="46" t="n"/>
      <c r="M2474" s="47" t="n"/>
      <c r="N2474" s="47" t="inlineStr">
        <is>
          <t>UCKZo4N0lVPccBkSiuyVh4yg</t>
        </is>
      </c>
      <c r="O2474" s="48" t="n">
        <v>42850.96875</v>
      </c>
      <c r="P2474" s="49" t="n">
        <v>42850</v>
      </c>
      <c r="Q2474" s="47" t="n">
        <v>794</v>
      </c>
      <c r="R2474" s="47" t="inlineStr">
        <is>
          <t>No Video ID yet</t>
        </is>
      </c>
      <c r="S2474" s="49" t="n"/>
      <c r="T2474" s="49" t="n"/>
      <c r="U2474" s="47" t="inlineStr">
        <is>
          <t>Today J dives into the wizarding world of Harry Potter to try and explain the truth about the mysterious potion Felix Felicis, commonly known as Liquid Luck.</t>
        </is>
      </c>
      <c r="V2474" s="47">
        <f>IF(AND(P2474&gt;=Calendar!$K$2,P2474&lt;EDATE(Calendar!$K$2,1),OR(Calendar!$K$4="*",N2474=Calendar!$K$4)),P2474*100+COUNTIFS($P$6:$P$3267,P2474,$Q$6:$Q$3267,"&lt;="&amp;Q2474,$N$6:$N$3267,Calendar!$K$4),"")</f>
        <v/>
      </c>
      <c r="W2474" s="47">
        <f>IF(AND(B2474=Queue!$C$4,OR(Queue!$K$4="*",N2474=Queue!$K$4)),Q2474,"")</f>
        <v/>
      </c>
    </row>
    <row r="2475">
      <c r="A2475" s="38">
        <f>IF(M2475="","",HYPERLINK("https://www.youtube.com/watch?v="&amp;M2475,"▶"))</f>
        <v/>
      </c>
      <c r="B2475" s="39">
        <f>IF(C2475&lt;&gt;"",C2475,IF(P2475&lt;=IFERROR(INDEX(tblChannels[Watched Through],MATCH(N2475,tblChannels[Channel ID],0)),0),"Watched","Unwatched"))</f>
        <v/>
      </c>
      <c r="C2475" s="40" t="n"/>
      <c r="D2475" s="41" t="n"/>
      <c r="E2475" s="42" t="n">
        <v>42845.81944444445</v>
      </c>
      <c r="F2475" s="50" t="inlineStr">
        <is>
          <t>Super Carlin Brothers</t>
        </is>
      </c>
      <c r="G2475" t="inlineStr">
        <is>
          <t>Star Wars Theory: Will Luke Be Evil?!</t>
        </is>
      </c>
      <c r="H2475" s="44" t="n">
        <v>0.008657407407407407</v>
      </c>
      <c r="I2475" s="45" t="n">
        <v>356954</v>
      </c>
      <c r="J2475" s="45" t="n">
        <v>10995</v>
      </c>
      <c r="K2475" s="45" t="n">
        <v>2174</v>
      </c>
      <c r="L2475" s="46" t="n"/>
      <c r="M2475" s="47" t="n"/>
      <c r="N2475" s="47" t="inlineStr">
        <is>
          <t>UCKZo4N0lVPccBkSiuyVh4yg</t>
        </is>
      </c>
      <c r="O2475" s="48" t="n">
        <v>42845.98611111111</v>
      </c>
      <c r="P2475" s="49" t="n">
        <v>42845</v>
      </c>
      <c r="Q2475" s="47" t="n">
        <v>793</v>
      </c>
      <c r="R2475" s="47" t="inlineStr">
        <is>
          <t>No Video ID yet</t>
        </is>
      </c>
      <c r="S2475" s="49" t="n"/>
      <c r="T2475" s="49" t="n"/>
      <c r="U2475" s="47" t="inlineStr">
        <is>
          <t>Holy cow guys does anyone ever get more excited than when there is new Star Wars content?! We have been pouring over the newest trailer for hours upon hours and I think we have a really good prediction as to what we might expect in the upcoming film! Thanks as always for watching!!</t>
        </is>
      </c>
      <c r="V2475" s="47">
        <f>IF(AND(P2475&gt;=Calendar!$K$2,P2475&lt;EDATE(Calendar!$K$2,1),OR(Calendar!$K$4="*",N2475=Calendar!$K$4)),P2475*100+COUNTIFS($P$6:$P$3267,P2475,$Q$6:$Q$3267,"&lt;="&amp;Q2475,$N$6:$N$3267,Calendar!$K$4),"")</f>
        <v/>
      </c>
      <c r="W2475" s="47">
        <f>IF(AND(B2475=Queue!$C$4,OR(Queue!$K$4="*",N2475=Queue!$K$4)),Q2475,"")</f>
        <v/>
      </c>
    </row>
    <row r="2476">
      <c r="A2476" s="38">
        <f>IF(M2476="","",HYPERLINK("https://www.youtube.com/watch?v="&amp;M2476,"▶"))</f>
        <v/>
      </c>
      <c r="B2476" s="39">
        <f>IF(C2476&lt;&gt;"",C2476,IF(P2476&lt;=IFERROR(INDEX(tblChannels[Watched Through],MATCH(N2476,tblChannels[Channel ID],0)),0),"Watched","Unwatched"))</f>
        <v/>
      </c>
      <c r="C2476" s="40" t="n"/>
      <c r="D2476" s="41" t="n"/>
      <c r="E2476" s="42" t="n">
        <v>42844.65138888889</v>
      </c>
      <c r="F2476" s="52" t="inlineStr">
        <is>
          <t>Super Carlin Gaming</t>
        </is>
      </c>
      <c r="G2476" t="inlineStr">
        <is>
          <t>Pokemon Emerald Nuzlocke #32: THE FINAL BATTLE!</t>
        </is>
      </c>
      <c r="H2476" s="44" t="n">
        <v>0.01618055555555556</v>
      </c>
      <c r="I2476" s="45" t="n">
        <v>30224</v>
      </c>
      <c r="J2476" s="45" t="n">
        <v>905</v>
      </c>
      <c r="K2476" s="45" t="n">
        <v>450</v>
      </c>
      <c r="L2476" s="46" t="n"/>
      <c r="M2476" s="47" t="n"/>
      <c r="N2476" s="47" t="inlineStr">
        <is>
          <t>UCor_9jRnNNZVzTuQ92PKsaQ</t>
        </is>
      </c>
      <c r="O2476" s="48" t="n">
        <v>42844.81805555556</v>
      </c>
      <c r="P2476" s="49" t="n">
        <v>42844</v>
      </c>
      <c r="Q2476" s="47" t="n">
        <v>792</v>
      </c>
      <c r="R2476" s="47" t="inlineStr">
        <is>
          <t>No Video ID yet</t>
        </is>
      </c>
      <c r="S2476" s="49" t="n"/>
      <c r="T2476" s="49" t="n"/>
      <c r="U2476" s="47" t="inlineStr">
        <is>
          <t>It all comes down to THIS! Do J, Flo, and the remaining team members have what it takes to handle Wallace, the strongest trainer in Hoenn, or will they fall just short of their goal!</t>
        </is>
      </c>
      <c r="V2476" s="47">
        <f>IF(AND(P2476&gt;=Calendar!$K$2,P2476&lt;EDATE(Calendar!$K$2,1),OR(Calendar!$K$4="*",N2476=Calendar!$K$4)),P2476*100+COUNTIFS($P$6:$P$3267,P2476,$Q$6:$Q$3267,"&lt;="&amp;Q2476,$N$6:$N$3267,Calendar!$K$4),"")</f>
        <v/>
      </c>
      <c r="W2476" s="47">
        <f>IF(AND(B2476=Queue!$C$4,OR(Queue!$K$4="*",N2476=Queue!$K$4)),Q2476,"")</f>
        <v/>
      </c>
    </row>
    <row r="2477">
      <c r="A2477" s="38">
        <f>IF(M2477="","",HYPERLINK("https://www.youtube.com/watch?v="&amp;M2477,"▶"))</f>
        <v/>
      </c>
      <c r="B2477" s="39">
        <f>IF(C2477&lt;&gt;"",C2477,IF(P2477&lt;=IFERROR(INDEX(tblChannels[Watched Through],MATCH(N2477,tblChannels[Channel ID],0)),0),"Watched","Unwatched"))</f>
        <v/>
      </c>
      <c r="C2477" s="40" t="n"/>
      <c r="D2477" s="41" t="n"/>
      <c r="E2477" s="42" t="n">
        <v>42843.70902777778</v>
      </c>
      <c r="F2477" s="50" t="inlineStr">
        <is>
          <t>Super Carlin Brothers</t>
        </is>
      </c>
      <c r="G2477" t="inlineStr">
        <is>
          <t>Harry Potter Theory: Who Was Crookshanks Original Owner?</t>
        </is>
      </c>
      <c r="H2477" s="44" t="n">
        <v>0.005983796296296296</v>
      </c>
      <c r="I2477" s="45" t="n">
        <v>2069985</v>
      </c>
      <c r="J2477" s="45" t="n">
        <v>51736</v>
      </c>
      <c r="K2477" s="45" t="n">
        <v>5531</v>
      </c>
      <c r="L2477" s="46" t="n"/>
      <c r="M2477" s="47" t="n"/>
      <c r="N2477" s="47" t="inlineStr">
        <is>
          <t>UCKZo4N0lVPccBkSiuyVh4yg</t>
        </is>
      </c>
      <c r="O2477" s="48" t="n">
        <v>42843.87569444445</v>
      </c>
      <c r="P2477" s="49" t="n">
        <v>42843</v>
      </c>
      <c r="Q2477" s="47" t="n">
        <v>791</v>
      </c>
      <c r="R2477" s="47" t="inlineStr">
        <is>
          <t>No Video ID yet</t>
        </is>
      </c>
      <c r="S2477" s="49" t="n"/>
      <c r="T2477" s="49" t="n"/>
      <c r="U2477" s="47" t="inlineStr">
        <is>
          <t>Today we discuss a theory that we like so much we'd almost call it canon... and that is figuring out who may have been the original owner of Crookshanks the cat.</t>
        </is>
      </c>
      <c r="V2477" s="47">
        <f>IF(AND(P2477&gt;=Calendar!$K$2,P2477&lt;EDATE(Calendar!$K$2,1),OR(Calendar!$K$4="*",N2477=Calendar!$K$4)),P2477*100+COUNTIFS($P$6:$P$3267,P2477,$Q$6:$Q$3267,"&lt;="&amp;Q2477,$N$6:$N$3267,Calendar!$K$4),"")</f>
        <v/>
      </c>
      <c r="W2477" s="47">
        <f>IF(AND(B2477=Queue!$C$4,OR(Queue!$K$4="*",N2477=Queue!$K$4)),Q2477,"")</f>
        <v/>
      </c>
    </row>
    <row r="2478">
      <c r="A2478" s="38">
        <f>IF(M2478="","",HYPERLINK("https://www.youtube.com/watch?v="&amp;M2478,"▶"))</f>
        <v/>
      </c>
      <c r="B2478" s="39">
        <f>IF(C2478&lt;&gt;"",C2478,IF(P2478&lt;=IFERROR(INDEX(tblChannels[Watched Through],MATCH(N2478,tblChannels[Channel ID],0)),0),"Watched","Unwatched"))</f>
        <v/>
      </c>
      <c r="C2478" s="40" t="n"/>
      <c r="D2478" s="41" t="n"/>
      <c r="E2478" s="42" t="n">
        <v>42842.69375</v>
      </c>
      <c r="F2478" s="52" t="inlineStr">
        <is>
          <t>Super Carlin Gaming</t>
        </is>
      </c>
      <c r="G2478" t="inlineStr">
        <is>
          <t>Pokemon Emerald Nuzlocke #31: ICE AND DRAGONS</t>
        </is>
      </c>
      <c r="H2478" s="44" t="n">
        <v>0.01604166666666667</v>
      </c>
      <c r="I2478" s="45" t="n">
        <v>22208</v>
      </c>
      <c r="J2478" s="45" t="n">
        <v>576</v>
      </c>
      <c r="K2478" s="45" t="n">
        <v>195</v>
      </c>
      <c r="L2478" s="46" t="n"/>
      <c r="M2478" s="47" t="n"/>
      <c r="N2478" s="47" t="inlineStr">
        <is>
          <t>UCor_9jRnNNZVzTuQ92PKsaQ</t>
        </is>
      </c>
      <c r="O2478" s="48" t="n">
        <v>42842.86041666667</v>
      </c>
      <c r="P2478" s="49" t="n">
        <v>42842</v>
      </c>
      <c r="Q2478" s="47" t="n">
        <v>790</v>
      </c>
      <c r="R2478" s="47" t="inlineStr">
        <is>
          <t>No Video ID yet</t>
        </is>
      </c>
      <c r="S2478" s="49" t="n"/>
      <c r="T2478" s="49" t="n"/>
      <c r="U2478" s="47" t="inlineStr">
        <is>
          <t>J and the team continue their trial against the Elite 4! Down one member, can they all survive Glacia's sheer cold tactics and Drakes deadly dragons?!</t>
        </is>
      </c>
      <c r="V2478" s="47">
        <f>IF(AND(P2478&gt;=Calendar!$K$2,P2478&lt;EDATE(Calendar!$K$2,1),OR(Calendar!$K$4="*",N2478=Calendar!$K$4)),P2478*100+COUNTIFS($P$6:$P$3267,P2478,$Q$6:$Q$3267,"&lt;="&amp;Q2478,$N$6:$N$3267,Calendar!$K$4),"")</f>
        <v/>
      </c>
      <c r="W2478" s="47">
        <f>IF(AND(B2478=Queue!$C$4,OR(Queue!$K$4="*",N2478=Queue!$K$4)),Q2478,"")</f>
        <v/>
      </c>
    </row>
    <row r="2479">
      <c r="A2479" s="38">
        <f>IF(M2479="","",HYPERLINK("https://www.youtube.com/watch?v="&amp;M2479,"▶"))</f>
        <v/>
      </c>
      <c r="B2479" s="39">
        <f>IF(C2479&lt;&gt;"",C2479,IF(P2479&lt;=IFERROR(INDEX(tblChannels[Watched Through],MATCH(N2479,tblChannels[Channel ID],0)),0),"Watched","Unwatched"))</f>
        <v/>
      </c>
      <c r="C2479" s="40" t="n"/>
      <c r="D2479" s="41" t="n"/>
      <c r="E2479" s="42" t="n">
        <v>42840.41666666666</v>
      </c>
      <c r="F2479" s="50" t="inlineStr">
        <is>
          <t>Super Carlin Brothers</t>
        </is>
      </c>
      <c r="G2479" t="inlineStr">
        <is>
          <t>Loot Crate Unboxing | PRIMAL</t>
        </is>
      </c>
      <c r="H2479" s="44" t="n">
        <v>0.009016203703703703</v>
      </c>
      <c r="I2479" s="45" t="n">
        <v>95166</v>
      </c>
      <c r="J2479" s="45" t="n">
        <v>3763</v>
      </c>
      <c r="K2479" s="45" t="n">
        <v>860</v>
      </c>
      <c r="L2479" s="46" t="n"/>
      <c r="M2479" s="47" t="n"/>
      <c r="N2479" s="47" t="inlineStr">
        <is>
          <t>UCKZo4N0lVPccBkSiuyVh4yg</t>
        </is>
      </c>
      <c r="O2479" s="48" t="n">
        <v>42840.58333333334</v>
      </c>
      <c r="P2479" s="49" t="n">
        <v>42840</v>
      </c>
      <c r="Q2479" s="47" t="n">
        <v>789</v>
      </c>
      <c r="R2479" s="47" t="inlineStr">
        <is>
          <t>No Video ID yet</t>
        </is>
      </c>
      <c r="S2479" s="49" t="n"/>
      <c r="T2479" s="49" t="n"/>
      <c r="U2479" s="47" t="inlineStr">
        <is>
          <t>Get 10% Off your first month of LootCrate at: Promo Code: CARLIN J and Ben unbox the PRIMAL Loot Crate - It has all sorts of fun stuff including things from Logan, Overwatch, Predator &amp; Jurassic Park!</t>
        </is>
      </c>
      <c r="V2479" s="47">
        <f>IF(AND(P2479&gt;=Calendar!$K$2,P2479&lt;EDATE(Calendar!$K$2,1),OR(Calendar!$K$4="*",N2479=Calendar!$K$4)),P2479*100+COUNTIFS($P$6:$P$3267,P2479,$Q$6:$Q$3267,"&lt;="&amp;Q2479,$N$6:$N$3267,Calendar!$K$4),"")</f>
        <v/>
      </c>
      <c r="W2479" s="47">
        <f>IF(AND(B2479=Queue!$C$4,OR(Queue!$K$4="*",N2479=Queue!$K$4)),Q2479,"")</f>
        <v/>
      </c>
    </row>
    <row r="2480">
      <c r="A2480" s="38">
        <f>IF(M2480="","",HYPERLINK("https://www.youtube.com/watch?v="&amp;M2480,"▶"))</f>
        <v/>
      </c>
      <c r="B2480" s="39">
        <f>IF(C2480&lt;&gt;"",C2480,IF(P2480&lt;=IFERROR(INDEX(tblChannels[Watched Through],MATCH(N2480,tblChannels[Channel ID],0)),0),"Watched","Unwatched"))</f>
        <v/>
      </c>
      <c r="C2480" s="40" t="n"/>
      <c r="D2480" s="41" t="n"/>
      <c r="E2480" s="42" t="n">
        <v>42839.74444444444</v>
      </c>
      <c r="F2480" s="52" t="inlineStr">
        <is>
          <t>Super Carlin Gaming</t>
        </is>
      </c>
      <c r="G2480" t="inlineStr">
        <is>
          <t>Pokemon Emerald Nuzlocke #30: ENTER THE ELITE 4</t>
        </is>
      </c>
      <c r="H2480" s="44" t="n">
        <v>0.01876157407407407</v>
      </c>
      <c r="I2480" s="45" t="n">
        <v>24853</v>
      </c>
      <c r="J2480" s="45" t="n">
        <v>611</v>
      </c>
      <c r="K2480" s="45" t="n">
        <v>192</v>
      </c>
      <c r="L2480" s="46" t="n"/>
      <c r="M2480" s="47" t="n"/>
      <c r="N2480" s="47" t="inlineStr">
        <is>
          <t>UCor_9jRnNNZVzTuQ92PKsaQ</t>
        </is>
      </c>
      <c r="O2480" s="48" t="n">
        <v>42839.91111111111</v>
      </c>
      <c r="P2480" s="49" t="n">
        <v>42839</v>
      </c>
      <c r="Q2480" s="47" t="n">
        <v>788</v>
      </c>
      <c r="R2480" s="47" t="inlineStr">
        <is>
          <t>No Video ID yet</t>
        </is>
      </c>
      <c r="S2480" s="49" t="n"/>
      <c r="T2480" s="49" t="n"/>
      <c r="U2480" s="47" t="inlineStr">
        <is>
          <t>Today is finally the day, the day we enter the Elite 4 to try and complete our quest to become the Pokemon Champion! Will the team survive the Best Hoenn has to offer??</t>
        </is>
      </c>
      <c r="V2480" s="47">
        <f>IF(AND(P2480&gt;=Calendar!$K$2,P2480&lt;EDATE(Calendar!$K$2,1),OR(Calendar!$K$4="*",N2480=Calendar!$K$4)),P2480*100+COUNTIFS($P$6:$P$3267,P2480,$Q$6:$Q$3267,"&lt;="&amp;Q2480,$N$6:$N$3267,Calendar!$K$4),"")</f>
        <v/>
      </c>
      <c r="W2480" s="47">
        <f>IF(AND(B2480=Queue!$C$4,OR(Queue!$K$4="*",N2480=Queue!$K$4)),Q2480,"")</f>
        <v/>
      </c>
    </row>
    <row r="2481">
      <c r="A2481" s="38">
        <f>IF(M2481="","",HYPERLINK("https://www.youtube.com/watch?v="&amp;M2481,"▶"))</f>
        <v/>
      </c>
      <c r="B2481" s="39">
        <f>IF(C2481&lt;&gt;"",C2481,IF(P2481&lt;=IFERROR(INDEX(tblChannels[Watched Through],MATCH(N2481,tblChannels[Channel ID],0)),0),"Watched","Unwatched"))</f>
        <v/>
      </c>
      <c r="C2481" s="40" t="n"/>
      <c r="D2481" s="41" t="n"/>
      <c r="E2481" s="42" t="n">
        <v>42838.74930555555</v>
      </c>
      <c r="F2481" s="50" t="inlineStr">
        <is>
          <t>Super Carlin Brothers</t>
        </is>
      </c>
      <c r="G2481" t="inlineStr">
        <is>
          <t>Why Are Disney Parents Always So Dead?</t>
        </is>
      </c>
      <c r="H2481" s="44" t="n">
        <v>0.004814814814814815</v>
      </c>
      <c r="I2481" s="45" t="n">
        <v>1229896</v>
      </c>
      <c r="J2481" s="45" t="n">
        <v>31795</v>
      </c>
      <c r="K2481" s="45" t="n">
        <v>4313</v>
      </c>
      <c r="L2481" s="46" t="n"/>
      <c r="M2481" s="47" t="n"/>
      <c r="N2481" s="47" t="inlineStr">
        <is>
          <t>UCKZo4N0lVPccBkSiuyVh4yg</t>
        </is>
      </c>
      <c r="O2481" s="48" t="n">
        <v>42838.91597222222</v>
      </c>
      <c r="P2481" s="49" t="n">
        <v>42838</v>
      </c>
      <c r="Q2481" s="47" t="n">
        <v>787</v>
      </c>
      <c r="R2481" s="47" t="inlineStr">
        <is>
          <t>No Video ID yet</t>
        </is>
      </c>
      <c r="S2481" s="49" t="n"/>
      <c r="T2481" s="49" t="n"/>
      <c r="U2481" s="47" t="inlineStr">
        <is>
          <t>Every wonder why in almost every Disney movie at least one of the parents is dead or missing? Today Ben dives into Disney's history to try and answer this odd question.</t>
        </is>
      </c>
      <c r="V2481" s="47">
        <f>IF(AND(P2481&gt;=Calendar!$K$2,P2481&lt;EDATE(Calendar!$K$2,1),OR(Calendar!$K$4="*",N2481=Calendar!$K$4)),P2481*100+COUNTIFS($P$6:$P$3267,P2481,$Q$6:$Q$3267,"&lt;="&amp;Q2481,$N$6:$N$3267,Calendar!$K$4),"")</f>
        <v/>
      </c>
      <c r="W2481" s="47">
        <f>IF(AND(B2481=Queue!$C$4,OR(Queue!$K$4="*",N2481=Queue!$K$4)),Q2481,"")</f>
        <v/>
      </c>
    </row>
    <row r="2482">
      <c r="A2482" s="38">
        <f>IF(M2482="","",HYPERLINK("https://www.youtube.com/watch?v="&amp;M2482,"▶"))</f>
        <v/>
      </c>
      <c r="B2482" s="39">
        <f>IF(C2482&lt;&gt;"",C2482,IF(P2482&lt;=IFERROR(INDEX(tblChannels[Watched Through],MATCH(N2482,tblChannels[Channel ID],0)),0),"Watched","Unwatched"))</f>
        <v/>
      </c>
      <c r="C2482" s="40" t="n"/>
      <c r="D2482" s="41" t="n"/>
      <c r="E2482" s="42" t="n">
        <v>42837.72013888889</v>
      </c>
      <c r="F2482" s="52" t="inlineStr">
        <is>
          <t>Super Carlin Gaming</t>
        </is>
      </c>
      <c r="G2482" t="inlineStr">
        <is>
          <t>Pokemon Emerald Nuzlocke #29: ONLY 5 SURVIVE</t>
        </is>
      </c>
      <c r="H2482" s="44" t="n">
        <v>0.03540509259259259</v>
      </c>
      <c r="I2482" s="45" t="n">
        <v>26632</v>
      </c>
      <c r="J2482" s="45" t="n">
        <v>621</v>
      </c>
      <c r="K2482" s="45" t="n">
        <v>369</v>
      </c>
      <c r="L2482" s="46" t="n"/>
      <c r="M2482" s="47" t="n"/>
      <c r="N2482" s="47" t="inlineStr">
        <is>
          <t>UCor_9jRnNNZVzTuQ92PKsaQ</t>
        </is>
      </c>
      <c r="O2482" s="48" t="n">
        <v>42837.88680555556</v>
      </c>
      <c r="P2482" s="49" t="n">
        <v>42837</v>
      </c>
      <c r="Q2482" s="47" t="n">
        <v>786</v>
      </c>
      <c r="R2482" s="47" t="inlineStr">
        <is>
          <t>No Video ID yet</t>
        </is>
      </c>
      <c r="S2482" s="49" t="n"/>
      <c r="T2482" s="49" t="n"/>
      <c r="U2482" s="47" t="inlineStr">
        <is>
          <t>Victory Road is the ultimate test for trainers.. its our final step before the Elite 4, J and the team have come a long way, but only 5 will make it out of the cave...</t>
        </is>
      </c>
      <c r="V2482" s="47">
        <f>IF(AND(P2482&gt;=Calendar!$K$2,P2482&lt;EDATE(Calendar!$K$2,1),OR(Calendar!$K$4="*",N2482=Calendar!$K$4)),P2482*100+COUNTIFS($P$6:$P$3267,P2482,$Q$6:$Q$3267,"&lt;="&amp;Q2482,$N$6:$N$3267,Calendar!$K$4),"")</f>
        <v/>
      </c>
      <c r="W2482" s="47">
        <f>IF(AND(B2482=Queue!$C$4,OR(Queue!$K$4="*",N2482=Queue!$K$4)),Q2482,"")</f>
        <v/>
      </c>
    </row>
    <row r="2483">
      <c r="A2483" s="38">
        <f>IF(M2483="","",HYPERLINK("https://www.youtube.com/watch?v="&amp;M2483,"▶"))</f>
        <v/>
      </c>
      <c r="B2483" s="39">
        <f>IF(C2483&lt;&gt;"",C2483,IF(P2483&lt;=IFERROR(INDEX(tblChannels[Watched Through],MATCH(N2483,tblChannels[Channel ID],0)),0),"Watched","Unwatched"))</f>
        <v/>
      </c>
      <c r="C2483" s="40" t="n"/>
      <c r="D2483" s="41" t="n"/>
      <c r="E2483" s="42" t="n">
        <v>42836.69097222222</v>
      </c>
      <c r="F2483" s="50" t="inlineStr">
        <is>
          <t>Super Carlin Brothers</t>
        </is>
      </c>
      <c r="G2483" t="inlineStr">
        <is>
          <t>The Gaston Song Explained</t>
        </is>
      </c>
      <c r="H2483" s="44" t="n">
        <v>0.006099537037037037</v>
      </c>
      <c r="I2483" s="45" t="n">
        <v>1128878</v>
      </c>
      <c r="J2483" s="45" t="n">
        <v>32387</v>
      </c>
      <c r="K2483" s="45" t="n">
        <v>7643</v>
      </c>
      <c r="L2483" s="46" t="n"/>
      <c r="M2483" s="47" t="n"/>
      <c r="N2483" s="47" t="inlineStr">
        <is>
          <t>UCKZo4N0lVPccBkSiuyVh4yg</t>
        </is>
      </c>
      <c r="O2483" s="48" t="n">
        <v>42836.85763888889</v>
      </c>
      <c r="P2483" s="49" t="n">
        <v>42836</v>
      </c>
      <c r="Q2483" s="47" t="n">
        <v>785</v>
      </c>
      <c r="R2483" s="47" t="inlineStr">
        <is>
          <t>No Video ID yet</t>
        </is>
      </c>
      <c r="S2483" s="49" t="n"/>
      <c r="T2483" s="49" t="n"/>
      <c r="U2483" s="47" t="inlineStr">
        <is>
          <t>Why is it that Le Fou knows what “Je ne sais quoi” means but can’t spell Gaston? And what does taking your lumps mean? And What is a Paragon? Yea Beauty and the Beast still doesnt make much sense so today J tries to sort it all out</t>
        </is>
      </c>
      <c r="V2483" s="47">
        <f>IF(AND(P2483&gt;=Calendar!$K$2,P2483&lt;EDATE(Calendar!$K$2,1),OR(Calendar!$K$4="*",N2483=Calendar!$K$4)),P2483*100+COUNTIFS($P$6:$P$3267,P2483,$Q$6:$Q$3267,"&lt;="&amp;Q2483,$N$6:$N$3267,Calendar!$K$4),"")</f>
        <v/>
      </c>
      <c r="W2483" s="47">
        <f>IF(AND(B2483=Queue!$C$4,OR(Queue!$K$4="*",N2483=Queue!$K$4)),Q2483,"")</f>
        <v/>
      </c>
    </row>
    <row r="2484">
      <c r="A2484" s="38">
        <f>IF(M2484="","",HYPERLINK("https://www.youtube.com/watch?v="&amp;M2484,"▶"))</f>
        <v/>
      </c>
      <c r="B2484" s="39">
        <f>IF(C2484&lt;&gt;"",C2484,IF(P2484&lt;=IFERROR(INDEX(tblChannels[Watched Through],MATCH(N2484,tblChannels[Channel ID],0)),0),"Watched","Unwatched"))</f>
        <v/>
      </c>
      <c r="C2484" s="40" t="n"/>
      <c r="D2484" s="41" t="n"/>
      <c r="E2484" s="42" t="n">
        <v>42835.67430555556</v>
      </c>
      <c r="F2484" s="52" t="inlineStr">
        <is>
          <t>Super Carlin Gaming</t>
        </is>
      </c>
      <c r="G2484" t="inlineStr">
        <is>
          <t>Pokemon Emerald Nuzlocke #28: Mayonnaise Surprise!</t>
        </is>
      </c>
      <c r="H2484" s="44" t="n">
        <v>0.01543981481481481</v>
      </c>
      <c r="I2484" s="45" t="n">
        <v>20759</v>
      </c>
      <c r="J2484" s="45" t="n">
        <v>545</v>
      </c>
      <c r="K2484" s="45" t="n">
        <v>225</v>
      </c>
      <c r="L2484" s="46" t="n"/>
      <c r="M2484" s="47" t="n"/>
      <c r="N2484" s="47" t="inlineStr">
        <is>
          <t>UCor_9jRnNNZVzTuQ92PKsaQ</t>
        </is>
      </c>
      <c r="O2484" s="48" t="n">
        <v>42835.84097222222</v>
      </c>
      <c r="P2484" s="49" t="n">
        <v>42835</v>
      </c>
      <c r="Q2484" s="47" t="n">
        <v>784</v>
      </c>
      <c r="R2484" s="47" t="inlineStr">
        <is>
          <t>No Video ID yet</t>
        </is>
      </c>
      <c r="S2484" s="49" t="n"/>
      <c r="T2484" s="49" t="n"/>
      <c r="U2484" s="47" t="inlineStr">
        <is>
          <t>J hems and haws over new team mates before heading to Victory Road, everything is looking great until suddenly.. Mayonnaise Surprise! Mayo is not joking around this time, can the team survive his newly enhanced lineup.</t>
        </is>
      </c>
      <c r="V2484" s="47">
        <f>IF(AND(P2484&gt;=Calendar!$K$2,P2484&lt;EDATE(Calendar!$K$2,1),OR(Calendar!$K$4="*",N2484=Calendar!$K$4)),P2484*100+COUNTIFS($P$6:$P$3267,P2484,$Q$6:$Q$3267,"&lt;="&amp;Q2484,$N$6:$N$3267,Calendar!$K$4),"")</f>
        <v/>
      </c>
      <c r="W2484" s="47">
        <f>IF(AND(B2484=Queue!$C$4,OR(Queue!$K$4="*",N2484=Queue!$K$4)),Q2484,"")</f>
        <v/>
      </c>
    </row>
    <row r="2485">
      <c r="A2485" s="38">
        <f>IF(M2485="","",HYPERLINK("https://www.youtube.com/watch?v="&amp;M2485,"▶"))</f>
        <v/>
      </c>
      <c r="B2485" s="39">
        <f>IF(C2485&lt;&gt;"",C2485,IF(P2485&lt;=IFERROR(INDEX(tblChannels[Watched Through],MATCH(N2485,tblChannels[Channel ID],0)),0),"Watched","Unwatched"))</f>
        <v/>
      </c>
      <c r="C2485" s="40" t="n"/>
      <c r="D2485" s="41" t="n"/>
      <c r="E2485" s="42" t="n">
        <v>42832.72916666666</v>
      </c>
      <c r="F2485" s="52" t="inlineStr">
        <is>
          <t>Super Carlin Gaming</t>
        </is>
      </c>
      <c r="G2485" t="inlineStr">
        <is>
          <t>Pokemon Emerald Nuzlocke #27: Regice Is Hard To Find!</t>
        </is>
      </c>
      <c r="H2485" s="44" t="n">
        <v>0.0162037037037037</v>
      </c>
      <c r="I2485" s="45" t="n">
        <v>20741</v>
      </c>
      <c r="J2485" s="45" t="n">
        <v>582</v>
      </c>
      <c r="K2485" s="45" t="n">
        <v>224</v>
      </c>
      <c r="L2485" s="46" t="n"/>
      <c r="M2485" s="47" t="n"/>
      <c r="N2485" s="47" t="inlineStr">
        <is>
          <t>UCor_9jRnNNZVzTuQ92PKsaQ</t>
        </is>
      </c>
      <c r="O2485" s="48" t="n">
        <v>42832.89583333334</v>
      </c>
      <c r="P2485" s="49" t="n">
        <v>42832</v>
      </c>
      <c r="Q2485" s="47" t="n">
        <v>783</v>
      </c>
      <c r="R2485" s="47" t="inlineStr">
        <is>
          <t>No Video ID yet</t>
        </is>
      </c>
      <c r="S2485" s="49" t="n"/>
      <c r="T2485" s="49" t="n"/>
      <c r="U2485" s="47" t="inlineStr">
        <is>
          <t>With our 8th gym badge in hand J and his Pokemon are feeling confident enough to go after a Legendary pokemon! But finding it might be harder than we thought...</t>
        </is>
      </c>
      <c r="V2485" s="47">
        <f>IF(AND(P2485&gt;=Calendar!$K$2,P2485&lt;EDATE(Calendar!$K$2,1),OR(Calendar!$K$4="*",N2485=Calendar!$K$4)),P2485*100+COUNTIFS($P$6:$P$3267,P2485,$Q$6:$Q$3267,"&lt;="&amp;Q2485,$N$6:$N$3267,Calendar!$K$4),"")</f>
        <v/>
      </c>
      <c r="W2485" s="47">
        <f>IF(AND(B2485=Queue!$C$4,OR(Queue!$K$4="*",N2485=Queue!$K$4)),Q2485,"")</f>
        <v/>
      </c>
    </row>
    <row r="2486">
      <c r="A2486" s="38">
        <f>IF(M2486="","",HYPERLINK("https://www.youtube.com/watch?v="&amp;M2486,"▶"))</f>
        <v/>
      </c>
      <c r="B2486" s="39">
        <f>IF(C2486&lt;&gt;"",C2486,IF(P2486&lt;=IFERROR(INDEX(tblChannels[Watched Through],MATCH(N2486,tblChannels[Channel ID],0)),0),"Watched","Unwatched"))</f>
        <v/>
      </c>
      <c r="C2486" s="40" t="n"/>
      <c r="D2486" s="41" t="n"/>
      <c r="E2486" s="42" t="n">
        <v>42831.72708333333</v>
      </c>
      <c r="F2486" s="50" t="inlineStr">
        <is>
          <t>Super Carlin Brothers</t>
        </is>
      </c>
      <c r="G2486" t="inlineStr">
        <is>
          <t>Who Was Harry's Best Defense Against The Dark Arts Professor?</t>
        </is>
      </c>
      <c r="H2486" s="44" t="n">
        <v>0.0065625</v>
      </c>
      <c r="I2486" s="45" t="n">
        <v>4241857</v>
      </c>
      <c r="J2486" s="45" t="n">
        <v>77597</v>
      </c>
      <c r="K2486" s="45" t="n">
        <v>15693</v>
      </c>
      <c r="L2486" s="46" t="n"/>
      <c r="M2486" s="47" t="n"/>
      <c r="N2486" s="47" t="inlineStr">
        <is>
          <t>UCKZo4N0lVPccBkSiuyVh4yg</t>
        </is>
      </c>
      <c r="O2486" s="48" t="n">
        <v>42831.89375</v>
      </c>
      <c r="P2486" s="49" t="n">
        <v>42831</v>
      </c>
      <c r="Q2486" s="47" t="n">
        <v>782</v>
      </c>
      <c r="R2486" s="47" t="inlineStr">
        <is>
          <t>No Video ID yet</t>
        </is>
      </c>
      <c r="S2486" s="49" t="n"/>
      <c r="T2486" s="49" t="n"/>
      <c r="U2486" s="47" t="inlineStr">
        <is>
          <t>Throughout the years Harry Potter has a lot of Defense Against The Dark Arts teachers, so today Ben gives a full break down of each to determine who was the best and who was the worst!</t>
        </is>
      </c>
      <c r="V2486" s="47">
        <f>IF(AND(P2486&gt;=Calendar!$K$2,P2486&lt;EDATE(Calendar!$K$2,1),OR(Calendar!$K$4="*",N2486=Calendar!$K$4)),P2486*100+COUNTIFS($P$6:$P$3267,P2486,$Q$6:$Q$3267,"&lt;="&amp;Q2486,$N$6:$N$3267,Calendar!$K$4),"")</f>
        <v/>
      </c>
      <c r="W2486" s="47">
        <f>IF(AND(B2486=Queue!$C$4,OR(Queue!$K$4="*",N2486=Queue!$K$4)),Q2486,"")</f>
        <v/>
      </c>
    </row>
    <row r="2487">
      <c r="A2487" s="38">
        <f>IF(M2487="","",HYPERLINK("https://www.youtube.com/watch?v="&amp;M2487,"▶"))</f>
        <v/>
      </c>
      <c r="B2487" s="39">
        <f>IF(C2487&lt;&gt;"",C2487,IF(P2487&lt;=IFERROR(INDEX(tblChannels[Watched Through],MATCH(N2487,tblChannels[Channel ID],0)),0),"Watched","Unwatched"))</f>
        <v/>
      </c>
      <c r="C2487" s="40" t="n"/>
      <c r="D2487" s="41" t="n"/>
      <c r="E2487" s="42" t="n">
        <v>42830.62916666667</v>
      </c>
      <c r="F2487" s="52" t="inlineStr">
        <is>
          <t>Super Carlin Gaming</t>
        </is>
      </c>
      <c r="G2487" t="inlineStr">
        <is>
          <t>Pokemon Emerald Nuzlocke #26: FLO vs JUAN!</t>
        </is>
      </c>
      <c r="H2487" s="44" t="n">
        <v>0.0141087962962963</v>
      </c>
      <c r="I2487" s="45" t="n">
        <v>19926</v>
      </c>
      <c r="J2487" s="45" t="n">
        <v>597</v>
      </c>
      <c r="K2487" s="45" t="n">
        <v>141</v>
      </c>
      <c r="L2487" s="46" t="n"/>
      <c r="M2487" s="47" t="n"/>
      <c r="N2487" s="47" t="inlineStr">
        <is>
          <t>UCor_9jRnNNZVzTuQ92PKsaQ</t>
        </is>
      </c>
      <c r="O2487" s="48" t="n">
        <v>42830.79583333333</v>
      </c>
      <c r="P2487" s="49" t="n">
        <v>42830</v>
      </c>
      <c r="Q2487" s="47" t="n">
        <v>781</v>
      </c>
      <c r="R2487" s="47" t="inlineStr">
        <is>
          <t>No Video ID yet</t>
        </is>
      </c>
      <c r="S2487" s="49" t="n"/>
      <c r="T2487" s="49" t="n"/>
      <c r="U2487" s="47" t="inlineStr">
        <is>
          <t>With the 8th gym on the line it's Juan the Water type gym leader vs the courageous might of Flo, will her immense training and determination pay off or will Juan's tricks cause her to slip?!</t>
        </is>
      </c>
      <c r="V2487" s="47">
        <f>IF(AND(P2487&gt;=Calendar!$K$2,P2487&lt;EDATE(Calendar!$K$2,1),OR(Calendar!$K$4="*",N2487=Calendar!$K$4)),P2487*100+COUNTIFS($P$6:$P$3267,P2487,$Q$6:$Q$3267,"&lt;="&amp;Q2487,$N$6:$N$3267,Calendar!$K$4),"")</f>
        <v/>
      </c>
      <c r="W2487" s="47">
        <f>IF(AND(B2487=Queue!$C$4,OR(Queue!$K$4="*",N2487=Queue!$K$4)),Q2487,"")</f>
        <v/>
      </c>
    </row>
    <row r="2488">
      <c r="A2488" s="38">
        <f>IF(M2488="","",HYPERLINK("https://www.youtube.com/watch?v="&amp;M2488,"▶"))</f>
        <v/>
      </c>
      <c r="B2488" s="39">
        <f>IF(C2488&lt;&gt;"",C2488,IF(P2488&lt;=IFERROR(INDEX(tblChannels[Watched Through],MATCH(N2488,tblChannels[Channel ID],0)),0),"Watched","Unwatched"))</f>
        <v/>
      </c>
      <c r="C2488" s="40" t="n"/>
      <c r="D2488" s="41" t="n"/>
      <c r="E2488" s="42" t="n">
        <v>42829.73194444444</v>
      </c>
      <c r="F2488" s="50" t="inlineStr">
        <is>
          <t>Super Carlin Brothers</t>
        </is>
      </c>
      <c r="G2488" t="inlineStr">
        <is>
          <t>Why Star Wars Is Actually So Popular</t>
        </is>
      </c>
      <c r="H2488" s="44" t="n">
        <v>0.005752314814814815</v>
      </c>
      <c r="I2488" s="45" t="n">
        <v>287957</v>
      </c>
      <c r="J2488" s="45" t="n">
        <v>10963</v>
      </c>
      <c r="K2488" s="45" t="n">
        <v>1271</v>
      </c>
      <c r="L2488" s="46" t="n"/>
      <c r="M2488" s="47" t="n"/>
      <c r="N2488" s="47" t="inlineStr">
        <is>
          <t>UCKZo4N0lVPccBkSiuyVh4yg</t>
        </is>
      </c>
      <c r="O2488" s="48" t="n">
        <v>42829.89861111111</v>
      </c>
      <c r="P2488" s="49" t="n">
        <v>42829</v>
      </c>
      <c r="Q2488" s="47" t="n">
        <v>780</v>
      </c>
      <c r="R2488" s="47" t="inlineStr">
        <is>
          <t>No Video ID yet</t>
        </is>
      </c>
      <c r="S2488" s="49" t="n"/>
      <c r="T2488" s="49" t="n"/>
      <c r="U2488" s="47" t="inlineStr">
        <is>
          <t>Ever wonder why Star Wars is so popular? I mean besides ya know the lightsabers and The Force and Darth Vader and Yoda and well all of it.. Today J, dives into the fabric of the plot itself to unveil the Star Wars Secret formula. The Hero with 1000 Faces :: T. Michael Martin :: Mr. Fahrenheit :: The End Games ::</t>
        </is>
      </c>
      <c r="V2488" s="47">
        <f>IF(AND(P2488&gt;=Calendar!$K$2,P2488&lt;EDATE(Calendar!$K$2,1),OR(Calendar!$K$4="*",N2488=Calendar!$K$4)),P2488*100+COUNTIFS($P$6:$P$3267,P2488,$Q$6:$Q$3267,"&lt;="&amp;Q2488,$N$6:$N$3267,Calendar!$K$4),"")</f>
        <v/>
      </c>
      <c r="W2488" s="47">
        <f>IF(AND(B2488=Queue!$C$4,OR(Queue!$K$4="*",N2488=Queue!$K$4)),Q2488,"")</f>
        <v/>
      </c>
    </row>
    <row r="2489">
      <c r="A2489" s="38">
        <f>IF(M2489="","",HYPERLINK("https://www.youtube.com/watch?v="&amp;M2489,"▶"))</f>
        <v/>
      </c>
      <c r="B2489" s="39">
        <f>IF(C2489&lt;&gt;"",C2489,IF(P2489&lt;=IFERROR(INDEX(tblChannels[Watched Through],MATCH(N2489,tblChannels[Channel ID],0)),0),"Watched","Unwatched"))</f>
        <v/>
      </c>
      <c r="C2489" s="40" t="n"/>
      <c r="D2489" s="41" t="n"/>
      <c r="E2489" s="42" t="n">
        <v>42828.65277777778</v>
      </c>
      <c r="F2489" s="52" t="inlineStr">
        <is>
          <t>Super Carlin Gaming</t>
        </is>
      </c>
      <c r="G2489" t="inlineStr">
        <is>
          <t>Pokemon Emerald Nuzlocke #25: Rayquaza Awakens!</t>
        </is>
      </c>
      <c r="H2489" s="44" t="n">
        <v>0.01868055555555555</v>
      </c>
      <c r="I2489" s="45" t="n">
        <v>21717</v>
      </c>
      <c r="J2489" s="45" t="n">
        <v>550</v>
      </c>
      <c r="K2489" s="45" t="n">
        <v>178</v>
      </c>
      <c r="L2489" s="46" t="n"/>
      <c r="M2489" s="47" t="n"/>
      <c r="N2489" s="47" t="inlineStr">
        <is>
          <t>UCor_9jRnNNZVzTuQ92PKsaQ</t>
        </is>
      </c>
      <c r="O2489" s="48" t="n">
        <v>42828.81944444445</v>
      </c>
      <c r="P2489" s="49" t="n">
        <v>42828</v>
      </c>
      <c r="Q2489" s="47" t="n">
        <v>779</v>
      </c>
      <c r="R2489" s="47" t="inlineStr">
        <is>
          <t>No Video ID yet</t>
        </is>
      </c>
      <c r="S2489" s="49" t="n"/>
      <c r="T2489" s="49" t="n"/>
      <c r="U2489" s="47" t="inlineStr">
        <is>
          <t>With the entire world at stake J and the team surf around raging legendaries for fun and trek to summon a giant green sky snake to save the day but that doesnt mean we dont have time to battle trainers! Can the team survive the trip to the Sky Pillar and save the world?!</t>
        </is>
      </c>
      <c r="V2489" s="47">
        <f>IF(AND(P2489&gt;=Calendar!$K$2,P2489&lt;EDATE(Calendar!$K$2,1),OR(Calendar!$K$4="*",N2489=Calendar!$K$4)),P2489*100+COUNTIFS($P$6:$P$3267,P2489,$Q$6:$Q$3267,"&lt;="&amp;Q2489,$N$6:$N$3267,Calendar!$K$4),"")</f>
        <v/>
      </c>
      <c r="W2489" s="47">
        <f>IF(AND(B2489=Queue!$C$4,OR(Queue!$K$4="*",N2489=Queue!$K$4)),Q2489,"")</f>
        <v/>
      </c>
    </row>
    <row r="2490">
      <c r="A2490" s="38">
        <f>IF(M2490="","",HYPERLINK("https://www.youtube.com/watch?v="&amp;M2490,"▶"))</f>
        <v/>
      </c>
      <c r="B2490" s="39">
        <f>IF(C2490&lt;&gt;"",C2490,IF(P2490&lt;=IFERROR(INDEX(tblChannels[Watched Through],MATCH(N2490,tblChannels[Channel ID],0)),0),"Watched","Unwatched"))</f>
        <v/>
      </c>
      <c r="C2490" s="40" t="n"/>
      <c r="D2490" s="41" t="n"/>
      <c r="E2490" s="42" t="n">
        <v>42825.66527777778</v>
      </c>
      <c r="F2490" s="52" t="inlineStr">
        <is>
          <t>Super Carlin Gaming</t>
        </is>
      </c>
      <c r="G2490" t="inlineStr">
        <is>
          <t>Pokemon Emerald Nuzlocke #24: Showdown w/Maxie and Archie!</t>
        </is>
      </c>
      <c r="H2490" s="44" t="n">
        <v>0.02454861111111111</v>
      </c>
      <c r="I2490" s="45" t="n">
        <v>23685</v>
      </c>
      <c r="J2490" s="45" t="n">
        <v>557</v>
      </c>
      <c r="K2490" s="45" t="n">
        <v>145</v>
      </c>
      <c r="L2490" s="46" t="n"/>
      <c r="M2490" s="47" t="n"/>
      <c r="N2490" s="47" t="inlineStr">
        <is>
          <t>UCor_9jRnNNZVzTuQ92PKsaQ</t>
        </is>
      </c>
      <c r="O2490" s="48" t="n">
        <v>42825.83194444444</v>
      </c>
      <c r="P2490" s="49" t="n">
        <v>42825</v>
      </c>
      <c r="Q2490" s="47" t="n">
        <v>778</v>
      </c>
      <c r="R2490" s="47" t="inlineStr">
        <is>
          <t>No Video ID yet</t>
        </is>
      </c>
      <c r="S2490" s="49" t="n"/>
      <c r="T2490" s="49" t="n"/>
      <c r="U2490" s="47" t="inlineStr">
        <is>
          <t>With their 7th gym badge in hand J and the team pursue Team Magma... AGAIN and face off with Maxie... AGAIN before chasing Team Aqua to the ocean floor where we battle with Archie. Will the team survive both Crime bosses???</t>
        </is>
      </c>
      <c r="V2490" s="47">
        <f>IF(AND(P2490&gt;=Calendar!$K$2,P2490&lt;EDATE(Calendar!$K$2,1),OR(Calendar!$K$4="*",N2490=Calendar!$K$4)),P2490*100+COUNTIFS($P$6:$P$3267,P2490,$Q$6:$Q$3267,"&lt;="&amp;Q2490,$N$6:$N$3267,Calendar!$K$4),"")</f>
        <v/>
      </c>
      <c r="W2490" s="47">
        <f>IF(AND(B2490=Queue!$C$4,OR(Queue!$K$4="*",N2490=Queue!$K$4)),Q2490,"")</f>
        <v/>
      </c>
    </row>
    <row r="2491">
      <c r="A2491" s="38">
        <f>IF(M2491="","",HYPERLINK("https://www.youtube.com/watch?v="&amp;M2491,"▶"))</f>
        <v/>
      </c>
      <c r="B2491" s="39">
        <f>IF(C2491&lt;&gt;"",C2491,IF(P2491&lt;=IFERROR(INDEX(tblChannels[Watched Through],MATCH(N2491,tblChannels[Channel ID],0)),0),"Watched","Unwatched"))</f>
        <v/>
      </c>
      <c r="C2491" s="40" t="n"/>
      <c r="D2491" s="41" t="n"/>
      <c r="E2491" s="42" t="n">
        <v>42824.78888888889</v>
      </c>
      <c r="F2491" s="50" t="inlineStr">
        <is>
          <t>Super Carlin Brothers</t>
        </is>
      </c>
      <c r="G2491" t="inlineStr">
        <is>
          <t>Moana Theory: Why The Ocean Chose Moana</t>
        </is>
      </c>
      <c r="H2491" s="44" t="n">
        <v>0.006527777777777778</v>
      </c>
      <c r="I2491" s="45" t="n">
        <v>2461811</v>
      </c>
      <c r="J2491" s="45" t="n">
        <v>47882</v>
      </c>
      <c r="K2491" s="45" t="n">
        <v>5078</v>
      </c>
      <c r="L2491" s="46" t="n"/>
      <c r="M2491" s="47" t="n"/>
      <c r="N2491" s="47" t="inlineStr">
        <is>
          <t>UCKZo4N0lVPccBkSiuyVh4yg</t>
        </is>
      </c>
      <c r="O2491" s="48" t="n">
        <v>42824.95555555556</v>
      </c>
      <c r="P2491" s="49" t="n">
        <v>42824</v>
      </c>
      <c r="Q2491" s="47" t="n">
        <v>777</v>
      </c>
      <c r="R2491" s="47" t="inlineStr">
        <is>
          <t>No Video ID yet</t>
        </is>
      </c>
      <c r="S2491" s="49" t="n"/>
      <c r="T2491" s="49" t="n"/>
      <c r="U2491" s="47" t="inlineStr">
        <is>
          <t>Today Ben dives into the world of Disney's Moana to figure out why the ocean chose her to deliver Maui across the ocean and restore the Heart of Tafiti and if she was the only person ever chosen!</t>
        </is>
      </c>
      <c r="V2491" s="47">
        <f>IF(AND(P2491&gt;=Calendar!$K$2,P2491&lt;EDATE(Calendar!$K$2,1),OR(Calendar!$K$4="*",N2491=Calendar!$K$4)),P2491*100+COUNTIFS($P$6:$P$3267,P2491,$Q$6:$Q$3267,"&lt;="&amp;Q2491,$N$6:$N$3267,Calendar!$K$4),"")</f>
        <v/>
      </c>
      <c r="W2491" s="47">
        <f>IF(AND(B2491=Queue!$C$4,OR(Queue!$K$4="*",N2491=Queue!$K$4)),Q2491,"")</f>
        <v/>
      </c>
    </row>
    <row r="2492">
      <c r="A2492" s="38">
        <f>IF(M2492="","",HYPERLINK("https://www.youtube.com/watch?v="&amp;M2492,"▶"))</f>
        <v/>
      </c>
      <c r="B2492" s="39">
        <f>IF(C2492&lt;&gt;"",C2492,IF(P2492&lt;=IFERROR(INDEX(tblChannels[Watched Through],MATCH(N2492,tblChannels[Channel ID],0)),0),"Watched","Unwatched"))</f>
        <v/>
      </c>
      <c r="C2492" s="40" t="n"/>
      <c r="D2492" s="41" t="n"/>
      <c r="E2492" s="42" t="n">
        <v>42823.62569444445</v>
      </c>
      <c r="F2492" s="52" t="inlineStr">
        <is>
          <t>Super Carlin Gaming</t>
        </is>
      </c>
      <c r="G2492" t="inlineStr">
        <is>
          <t>Pokemon Emerald Nuzlocke #23: Liza, Tate &amp; Kybou</t>
        </is>
      </c>
      <c r="H2492" s="44" t="n">
        <v>0.01579861111111111</v>
      </c>
      <c r="I2492" s="45" t="n">
        <v>21998</v>
      </c>
      <c r="J2492" s="45" t="n">
        <v>621</v>
      </c>
      <c r="K2492" s="45" t="n">
        <v>149</v>
      </c>
      <c r="L2492" s="46" t="n"/>
      <c r="M2492" s="47" t="n"/>
      <c r="N2492" s="47" t="inlineStr">
        <is>
          <t>UCor_9jRnNNZVzTuQ92PKsaQ</t>
        </is>
      </c>
      <c r="O2492" s="48" t="n">
        <v>42823.79236111111</v>
      </c>
      <c r="P2492" s="49" t="n">
        <v>42823</v>
      </c>
      <c r="Q2492" s="47" t="n">
        <v>776</v>
      </c>
      <c r="R2492" s="47" t="inlineStr">
        <is>
          <t>No Video ID yet</t>
        </is>
      </c>
      <c r="S2492" s="49" t="n"/>
      <c r="T2492" s="49" t="n"/>
      <c r="U2492" s="47" t="inlineStr">
        <is>
          <t>Before we can continue pursuing Team Aqua we must confront our next Gym Battle in Mossdeep city with Liza and Tate. They double battle with Psychic types, which means its Kybou's time to shine - but can his low defenses hold up until the end of the battle??</t>
        </is>
      </c>
      <c r="V2492" s="47">
        <f>IF(AND(P2492&gt;=Calendar!$K$2,P2492&lt;EDATE(Calendar!$K$2,1),OR(Calendar!$K$4="*",N2492=Calendar!$K$4)),P2492*100+COUNTIFS($P$6:$P$3267,P2492,$Q$6:$Q$3267,"&lt;="&amp;Q2492,$N$6:$N$3267,Calendar!$K$4),"")</f>
        <v/>
      </c>
      <c r="W2492" s="47">
        <f>IF(AND(B2492=Queue!$C$4,OR(Queue!$K$4="*",N2492=Queue!$K$4)),Q2492,"")</f>
        <v/>
      </c>
    </row>
    <row r="2493">
      <c r="A2493" s="38">
        <f>IF(M2493="","",HYPERLINK("https://www.youtube.com/watch?v="&amp;M2493,"▶"))</f>
        <v/>
      </c>
      <c r="B2493" s="39">
        <f>IF(C2493&lt;&gt;"",C2493,IF(P2493&lt;=IFERROR(INDEX(tblChannels[Watched Through],MATCH(N2493,tblChannels[Channel ID],0)),0),"Watched","Unwatched"))</f>
        <v/>
      </c>
      <c r="C2493" s="40" t="n"/>
      <c r="D2493" s="41" t="n"/>
      <c r="E2493" s="42" t="n">
        <v>42822.81458333333</v>
      </c>
      <c r="F2493" s="50" t="inlineStr">
        <is>
          <t>Super Carlin Brothers</t>
        </is>
      </c>
      <c r="G2493" t="inlineStr">
        <is>
          <t>Moana Theory: Tamatoa's True Identity</t>
        </is>
      </c>
      <c r="H2493" s="44" t="n">
        <v>0.006782407407407407</v>
      </c>
      <c r="I2493" s="45" t="n">
        <v>4297680</v>
      </c>
      <c r="J2493" s="45" t="n">
        <v>57635</v>
      </c>
      <c r="K2493" s="45" t="n">
        <v>10832</v>
      </c>
      <c r="L2493" s="46" t="n"/>
      <c r="M2493" s="47" t="n"/>
      <c r="N2493" s="47" t="inlineStr">
        <is>
          <t>UCKZo4N0lVPccBkSiuyVh4yg</t>
        </is>
      </c>
      <c r="O2493" s="48" t="n">
        <v>42822.98125</v>
      </c>
      <c r="P2493" s="49" t="n">
        <v>42822</v>
      </c>
      <c r="Q2493" s="47" t="n">
        <v>775</v>
      </c>
      <c r="R2493" s="47" t="inlineStr">
        <is>
          <t>No Video ID yet</t>
        </is>
      </c>
      <c r="S2493" s="49" t="n"/>
      <c r="T2493" s="49" t="n"/>
      <c r="U2493" s="47" t="inlineStr">
        <is>
          <t>Today is the day! The day we answer the long unanswered question from Disney's Moana of Tamatoa's true identity!</t>
        </is>
      </c>
      <c r="V2493" s="47">
        <f>IF(AND(P2493&gt;=Calendar!$K$2,P2493&lt;EDATE(Calendar!$K$2,1),OR(Calendar!$K$4="*",N2493=Calendar!$K$4)),P2493*100+COUNTIFS($P$6:$P$3267,P2493,$Q$6:$Q$3267,"&lt;="&amp;Q2493,$N$6:$N$3267,Calendar!$K$4),"")</f>
        <v/>
      </c>
      <c r="W2493" s="47">
        <f>IF(AND(B2493=Queue!$C$4,OR(Queue!$K$4="*",N2493=Queue!$K$4)),Q2493,"")</f>
        <v/>
      </c>
    </row>
    <row r="2494">
      <c r="A2494" s="38">
        <f>IF(M2494="","",HYPERLINK("https://www.youtube.com/watch?v="&amp;M2494,"▶"))</f>
        <v/>
      </c>
      <c r="B2494" s="39">
        <f>IF(C2494&lt;&gt;"",C2494,IF(P2494&lt;=IFERROR(INDEX(tblChannels[Watched Through],MATCH(N2494,tblChannels[Channel ID],0)),0),"Watched","Unwatched"))</f>
        <v/>
      </c>
      <c r="C2494" s="40" t="n"/>
      <c r="D2494" s="41" t="n"/>
      <c r="E2494" s="42" t="n">
        <v>42821.68125</v>
      </c>
      <c r="F2494" s="52" t="inlineStr">
        <is>
          <t>Super Carlin Gaming</t>
        </is>
      </c>
      <c r="G2494" t="inlineStr">
        <is>
          <t>Pokemon Emerald Nuzlocke #22: The Team Aqua Hideout!</t>
        </is>
      </c>
      <c r="H2494" s="44" t="n">
        <v>0.0175</v>
      </c>
      <c r="I2494" s="45" t="n">
        <v>22069</v>
      </c>
      <c r="J2494" s="45" t="n">
        <v>578</v>
      </c>
      <c r="K2494" s="45" t="n">
        <v>198</v>
      </c>
      <c r="L2494" s="46" t="n"/>
      <c r="M2494" s="47" t="n"/>
      <c r="N2494" s="47" t="inlineStr">
        <is>
          <t>UCor_9jRnNNZVzTuQ92PKsaQ</t>
        </is>
      </c>
      <c r="O2494" s="48" t="n">
        <v>42821.84791666667</v>
      </c>
      <c r="P2494" s="49" t="n">
        <v>42821</v>
      </c>
      <c r="Q2494" s="47" t="n">
        <v>774</v>
      </c>
      <c r="R2494" s="47" t="inlineStr">
        <is>
          <t>No Video ID yet</t>
        </is>
      </c>
      <c r="S2494" s="49" t="n"/>
      <c r="T2494" s="49" t="n"/>
      <c r="U2494" s="47" t="inlineStr">
        <is>
          <t>With Team Magma taken care of it is time to turn our attention to Team Aqua! J and the team pursue them to their "secret" hideout and start taking them down, but have to be careful for their traps!</t>
        </is>
      </c>
      <c r="V2494" s="47">
        <f>IF(AND(P2494&gt;=Calendar!$K$2,P2494&lt;EDATE(Calendar!$K$2,1),OR(Calendar!$K$4="*",N2494=Calendar!$K$4)),P2494*100+COUNTIFS($P$6:$P$3267,P2494,$Q$6:$Q$3267,"&lt;="&amp;Q2494,$N$6:$N$3267,Calendar!$K$4),"")</f>
        <v/>
      </c>
      <c r="W2494" s="47">
        <f>IF(AND(B2494=Queue!$C$4,OR(Queue!$K$4="*",N2494=Queue!$K$4)),Q2494,"")</f>
        <v/>
      </c>
    </row>
    <row r="2495">
      <c r="A2495" s="38">
        <f>IF(M2495="","",HYPERLINK("https://www.youtube.com/watch?v="&amp;M2495,"▶"))</f>
        <v/>
      </c>
      <c r="B2495" s="39">
        <f>IF(C2495&lt;&gt;"",C2495,IF(P2495&lt;=IFERROR(INDEX(tblChannels[Watched Through],MATCH(N2495,tblChannels[Channel ID],0)),0),"Watched","Unwatched"))</f>
        <v/>
      </c>
      <c r="C2495" s="40" t="n"/>
      <c r="D2495" s="41" t="n"/>
      <c r="E2495" s="42" t="n">
        <v>42818.70625</v>
      </c>
      <c r="F2495" s="52" t="inlineStr">
        <is>
          <t>Super Carlin Gaming</t>
        </is>
      </c>
      <c r="G2495" t="inlineStr">
        <is>
          <t>Pokemon Emerald Nuzlocke #21: Rematch with Maxie</t>
        </is>
      </c>
      <c r="H2495" s="44" t="n">
        <v>0.02418981481481481</v>
      </c>
      <c r="I2495" s="45" t="n">
        <v>24981</v>
      </c>
      <c r="J2495" s="45" t="n">
        <v>628</v>
      </c>
      <c r="K2495" s="45" t="n">
        <v>172</v>
      </c>
      <c r="L2495" s="46" t="n"/>
      <c r="M2495" s="47" t="n"/>
      <c r="N2495" s="47" t="inlineStr">
        <is>
          <t>UCor_9jRnNNZVzTuQ92PKsaQ</t>
        </is>
      </c>
      <c r="O2495" s="48" t="n">
        <v>42818.87291666667</v>
      </c>
      <c r="P2495" s="49" t="n">
        <v>42818</v>
      </c>
      <c r="Q2495" s="47" t="n">
        <v>773</v>
      </c>
      <c r="R2495" s="47" t="inlineStr">
        <is>
          <t>No Video ID yet</t>
        </is>
      </c>
      <c r="S2495" s="49" t="n"/>
      <c r="T2495" s="49" t="n"/>
      <c r="U2495" s="47" t="inlineStr">
        <is>
          <t>J and the team pursue Team Magma to the Jagged Pass and face off once more with Maxie - Can we survive another battle with the man who killed Morphin??</t>
        </is>
      </c>
      <c r="V2495" s="47">
        <f>IF(AND(P2495&gt;=Calendar!$K$2,P2495&lt;EDATE(Calendar!$K$2,1),OR(Calendar!$K$4="*",N2495=Calendar!$K$4)),P2495*100+COUNTIFS($P$6:$P$3267,P2495,$Q$6:$Q$3267,"&lt;="&amp;Q2495,$N$6:$N$3267,Calendar!$K$4),"")</f>
        <v/>
      </c>
      <c r="W2495" s="47">
        <f>IF(AND(B2495=Queue!$C$4,OR(Queue!$K$4="*",N2495=Queue!$K$4)),Q2495,"")</f>
        <v/>
      </c>
    </row>
    <row r="2496">
      <c r="A2496" s="38">
        <f>IF(M2496="","",HYPERLINK("https://www.youtube.com/watch?v="&amp;M2496,"▶"))</f>
        <v/>
      </c>
      <c r="B2496" s="39">
        <f>IF(C2496&lt;&gt;"",C2496,IF(P2496&lt;=IFERROR(INDEX(tblChannels[Watched Through],MATCH(N2496,tblChannels[Channel ID],0)),0),"Watched","Unwatched"))</f>
        <v/>
      </c>
      <c r="C2496" s="40" t="n"/>
      <c r="D2496" s="41" t="n"/>
      <c r="E2496" s="42" t="n">
        <v>42818.62638888889</v>
      </c>
      <c r="F2496" s="50" t="inlineStr">
        <is>
          <t>Super Carlin Brothers</t>
        </is>
      </c>
      <c r="G2496" t="inlineStr">
        <is>
          <t>Is Beauty And The Beast The Best Live Action Remake? | REVIEW</t>
        </is>
      </c>
      <c r="H2496" s="44" t="n">
        <v>0.0302662037037037</v>
      </c>
      <c r="I2496" s="45" t="n">
        <v>689793</v>
      </c>
      <c r="J2496" s="45" t="n">
        <v>15140</v>
      </c>
      <c r="K2496" s="45" t="n">
        <v>5896</v>
      </c>
      <c r="L2496" s="46" t="n"/>
      <c r="M2496" s="47" t="n"/>
      <c r="N2496" s="47" t="inlineStr">
        <is>
          <t>UCKZo4N0lVPccBkSiuyVh4yg</t>
        </is>
      </c>
      <c r="O2496" s="48" t="n">
        <v>42818.79305555556</v>
      </c>
      <c r="P2496" s="49" t="n">
        <v>42818</v>
      </c>
      <c r="Q2496" s="47" t="n">
        <v>772</v>
      </c>
      <c r="R2496" s="47" t="inlineStr">
        <is>
          <t>No Video ID yet</t>
        </is>
      </c>
      <c r="S2496" s="49" t="n"/>
      <c r="T2496" s="49" t="n"/>
      <c r="U2496" s="47" t="inlineStr">
        <is>
          <t>Beauty and the Beast is Disney's latest live action remake, but is it as good as all the hype suggests? Today J and Ben give their full SPOILER review of Beauty and the Beast</t>
        </is>
      </c>
      <c r="V2496" s="47">
        <f>IF(AND(P2496&gt;=Calendar!$K$2,P2496&lt;EDATE(Calendar!$K$2,1),OR(Calendar!$K$4="*",N2496=Calendar!$K$4)),P2496*100+COUNTIFS($P$6:$P$3267,P2496,$Q$6:$Q$3267,"&lt;="&amp;Q2496,$N$6:$N$3267,Calendar!$K$4),"")</f>
        <v/>
      </c>
      <c r="W2496" s="47">
        <f>IF(AND(B2496=Queue!$C$4,OR(Queue!$K$4="*",N2496=Queue!$K$4)),Q2496,"")</f>
        <v/>
      </c>
    </row>
    <row r="2497">
      <c r="A2497" s="38">
        <f>IF(M2497="","",HYPERLINK("https://www.youtube.com/watch?v="&amp;M2497,"▶"))</f>
        <v/>
      </c>
      <c r="B2497" s="39">
        <f>IF(C2497&lt;&gt;"",C2497,IF(P2497&lt;=IFERROR(INDEX(tblChannels[Watched Through],MATCH(N2497,tblChannels[Channel ID],0)),0),"Watched","Unwatched"))</f>
        <v/>
      </c>
      <c r="C2497" s="40" t="n"/>
      <c r="D2497" s="41" t="n"/>
      <c r="E2497" s="42" t="n">
        <v>42816.65486111111</v>
      </c>
      <c r="F2497" s="52" t="inlineStr">
        <is>
          <t>Super Carlin Gaming</t>
        </is>
      </c>
      <c r="G2497" t="inlineStr">
        <is>
          <t>Pokemon Emerald Nuzlocke #20: Wobbuffet is the WORST</t>
        </is>
      </c>
      <c r="H2497" s="44" t="n">
        <v>0.02420138888888889</v>
      </c>
      <c r="I2497" s="45" t="n">
        <v>28607</v>
      </c>
      <c r="J2497" s="45" t="n">
        <v>680</v>
      </c>
      <c r="K2497" s="45" t="n">
        <v>291</v>
      </c>
      <c r="L2497" s="46" t="n"/>
      <c r="M2497" s="47" t="n"/>
      <c r="N2497" s="47" t="inlineStr">
        <is>
          <t>UCor_9jRnNNZVzTuQ92PKsaQ</t>
        </is>
      </c>
      <c r="O2497" s="48" t="n">
        <v>42816.82152777778</v>
      </c>
      <c r="P2497" s="49" t="n">
        <v>42816</v>
      </c>
      <c r="Q2497" s="47" t="n">
        <v>771</v>
      </c>
      <c r="R2497" s="47" t="inlineStr">
        <is>
          <t>No Video ID yet</t>
        </is>
      </c>
      <c r="S2497" s="49" t="n"/>
      <c r="T2497" s="49" t="n"/>
      <c r="U2497" s="47" t="inlineStr">
        <is>
          <t>J and the team make their way to Mt. Pyre and begin their ascent by challenging every trainer in sight.. some of them are using Wobbuffet and Wobbuffet is the freaking worst!</t>
        </is>
      </c>
      <c r="V2497" s="47">
        <f>IF(AND(P2497&gt;=Calendar!$K$2,P2497&lt;EDATE(Calendar!$K$2,1),OR(Calendar!$K$4="*",N2497=Calendar!$K$4)),P2497*100+COUNTIFS($P$6:$P$3267,P2497,$Q$6:$Q$3267,"&lt;="&amp;Q2497,$N$6:$N$3267,Calendar!$K$4),"")</f>
        <v/>
      </c>
      <c r="W2497" s="47">
        <f>IF(AND(B2497=Queue!$C$4,OR(Queue!$K$4="*",N2497=Queue!$K$4)),Q2497,"")</f>
        <v/>
      </c>
    </row>
    <row r="2498">
      <c r="A2498" s="38">
        <f>IF(M2498="","",HYPERLINK("https://www.youtube.com/watch?v="&amp;M2498,"▶"))</f>
        <v/>
      </c>
      <c r="B2498" s="39">
        <f>IF(C2498&lt;&gt;"",C2498,IF(P2498&lt;=IFERROR(INDEX(tblChannels[Watched Through],MATCH(N2498,tblChannels[Channel ID],0)),0),"Watched","Unwatched"))</f>
        <v/>
      </c>
      <c r="C2498" s="40" t="n"/>
      <c r="D2498" s="41" t="n"/>
      <c r="E2498" s="42" t="n">
        <v>42815.76597222222</v>
      </c>
      <c r="F2498" s="50" t="inlineStr">
        <is>
          <t>Super Carlin Brothers</t>
        </is>
      </c>
      <c r="G2498" t="inlineStr">
        <is>
          <t>The Truth About Kakamora</t>
        </is>
      </c>
      <c r="H2498" s="44" t="n">
        <v>0.00537037037037037</v>
      </c>
      <c r="I2498" s="45" t="n">
        <v>1861413</v>
      </c>
      <c r="J2498" s="45" t="n">
        <v>31415</v>
      </c>
      <c r="K2498" s="45" t="n">
        <v>3484</v>
      </c>
      <c r="L2498" s="46" t="n"/>
      <c r="M2498" s="47" t="n"/>
      <c r="N2498" s="47" t="inlineStr">
        <is>
          <t>UCKZo4N0lVPccBkSiuyVh4yg</t>
        </is>
      </c>
      <c r="O2498" s="48" t="n">
        <v>42815.93263888889</v>
      </c>
      <c r="P2498" s="49" t="n">
        <v>42815</v>
      </c>
      <c r="Q2498" s="47" t="n">
        <v>770</v>
      </c>
      <c r="R2498" s="47" t="inlineStr">
        <is>
          <t>No Video ID yet</t>
        </is>
      </c>
      <c r="S2498" s="49" t="n"/>
      <c r="T2498" s="49" t="n"/>
      <c r="U2498" s="47" t="inlineStr">
        <is>
          <t>Today J dives into the world of Disney’s Moana and tries to uncover the truth about the unusual little coconut pirates known as Kakamora.</t>
        </is>
      </c>
      <c r="V2498" s="47">
        <f>IF(AND(P2498&gt;=Calendar!$K$2,P2498&lt;EDATE(Calendar!$K$2,1),OR(Calendar!$K$4="*",N2498=Calendar!$K$4)),P2498*100+COUNTIFS($P$6:$P$3267,P2498,$Q$6:$Q$3267,"&lt;="&amp;Q2498,$N$6:$N$3267,Calendar!$K$4),"")</f>
        <v/>
      </c>
      <c r="W2498" s="47">
        <f>IF(AND(B2498=Queue!$C$4,OR(Queue!$K$4="*",N2498=Queue!$K$4)),Q2498,"")</f>
        <v/>
      </c>
    </row>
    <row r="2499">
      <c r="A2499" s="38">
        <f>IF(M2499="","",HYPERLINK("https://www.youtube.com/watch?v="&amp;M2499,"▶"))</f>
        <v/>
      </c>
      <c r="B2499" s="39">
        <f>IF(C2499&lt;&gt;"",C2499,IF(P2499&lt;=IFERROR(INDEX(tblChannels[Watched Through],MATCH(N2499,tblChannels[Channel ID],0)),0),"Watched","Unwatched"))</f>
        <v/>
      </c>
      <c r="C2499" s="40" t="n"/>
      <c r="D2499" s="41" t="n"/>
      <c r="E2499" s="42" t="n">
        <v>42814.71805555555</v>
      </c>
      <c r="F2499" s="52" t="inlineStr">
        <is>
          <t>Super Carlin Gaming</t>
        </is>
      </c>
      <c r="G2499" t="inlineStr">
        <is>
          <t>Pokemon Emerald Nuzlocke #19: Double Dragon</t>
        </is>
      </c>
      <c r="H2499" s="44" t="n">
        <v>0.02778935185185185</v>
      </c>
      <c r="I2499" s="45" t="n">
        <v>28202</v>
      </c>
      <c r="J2499" s="45" t="n">
        <v>648</v>
      </c>
      <c r="K2499" s="45" t="n">
        <v>287</v>
      </c>
      <c r="L2499" s="46" t="n"/>
      <c r="M2499" s="47" t="n"/>
      <c r="N2499" s="47" t="inlineStr">
        <is>
          <t>UCor_9jRnNNZVzTuQ92PKsaQ</t>
        </is>
      </c>
      <c r="O2499" s="48" t="n">
        <v>42814.88472222222</v>
      </c>
      <c r="P2499" s="49" t="n">
        <v>42814</v>
      </c>
      <c r="Q2499" s="47" t="n">
        <v>769</v>
      </c>
      <c r="R2499" s="47" t="inlineStr">
        <is>
          <t>No Video ID yet</t>
        </is>
      </c>
      <c r="S2499" s="49" t="n"/>
      <c r="T2499" s="49" t="n"/>
      <c r="U2499" s="47" t="inlineStr">
        <is>
          <t>In the wake of Belzin's death J adds a new member to the team and spends some time doing a little team bonding whilst we make our way to Mt. Pyre.</t>
        </is>
      </c>
      <c r="V2499" s="47">
        <f>IF(AND(P2499&gt;=Calendar!$K$2,P2499&lt;EDATE(Calendar!$K$2,1),OR(Calendar!$K$4="*",N2499=Calendar!$K$4)),P2499*100+COUNTIFS($P$6:$P$3267,P2499,$Q$6:$Q$3267,"&lt;="&amp;Q2499,$N$6:$N$3267,Calendar!$K$4),"")</f>
        <v/>
      </c>
      <c r="W2499" s="47">
        <f>IF(AND(B2499=Queue!$C$4,OR(Queue!$K$4="*",N2499=Queue!$K$4)),Q2499,"")</f>
        <v/>
      </c>
    </row>
    <row r="2500">
      <c r="A2500" s="38">
        <f>IF(M2500="","",HYPERLINK("https://www.youtube.com/watch?v="&amp;M2500,"▶"))</f>
        <v/>
      </c>
      <c r="B2500" s="39">
        <f>IF(C2500&lt;&gt;"",C2500,IF(P2500&lt;=IFERROR(INDEX(tblChannels[Watched Through],MATCH(N2500,tblChannels[Channel ID],0)),0),"Watched","Unwatched"))</f>
        <v/>
      </c>
      <c r="C2500" s="40" t="n"/>
      <c r="D2500" s="41" t="n"/>
      <c r="E2500" s="42" t="n">
        <v>42811.6625</v>
      </c>
      <c r="F2500" s="52" t="inlineStr">
        <is>
          <t>Super Carlin Gaming</t>
        </is>
      </c>
      <c r="G2500" t="inlineStr">
        <is>
          <t>Pokemon Emerald Nuzlocke #18: EARTHQUAKE</t>
        </is>
      </c>
      <c r="H2500" s="44" t="n">
        <v>0.01625</v>
      </c>
      <c r="I2500" s="45" t="n">
        <v>24331</v>
      </c>
      <c r="J2500" s="45" t="n">
        <v>594</v>
      </c>
      <c r="K2500" s="45" t="n">
        <v>422</v>
      </c>
      <c r="L2500" s="46" t="n"/>
      <c r="M2500" s="47" t="n"/>
      <c r="N2500" s="47" t="inlineStr">
        <is>
          <t>UCor_9jRnNNZVzTuQ92PKsaQ</t>
        </is>
      </c>
      <c r="O2500" s="48" t="n">
        <v>42811.82916666667</v>
      </c>
      <c r="P2500" s="49" t="n">
        <v>42811</v>
      </c>
      <c r="Q2500" s="47" t="n">
        <v>768</v>
      </c>
      <c r="R2500" s="47" t="inlineStr">
        <is>
          <t>No Video ID yet</t>
        </is>
      </c>
      <c r="S2500" s="49" t="n"/>
      <c r="T2500" s="49" t="n"/>
      <c r="U2500" s="47" t="inlineStr">
        <is>
          <t>T-SHIRTS :: The day has finally come for J and the team to take on our 6th Gym Leader: Winona. Her Altaria boasts a nasty earthquake, but J and Belzin have been training hard to avoid it, will the team survive the encounter with the Master of the Skies??</t>
        </is>
      </c>
      <c r="V2500" s="47">
        <f>IF(AND(P2500&gt;=Calendar!$K$2,P2500&lt;EDATE(Calendar!$K$2,1),OR(Calendar!$K$4="*",N2500=Calendar!$K$4)),P2500*100+COUNTIFS($P$6:$P$3267,P2500,$Q$6:$Q$3267,"&lt;="&amp;Q2500,$N$6:$N$3267,Calendar!$K$4),"")</f>
        <v/>
      </c>
      <c r="W2500" s="47">
        <f>IF(AND(B2500=Queue!$C$4,OR(Queue!$K$4="*",N2500=Queue!$K$4)),Q2500,"")</f>
        <v/>
      </c>
    </row>
    <row r="2501">
      <c r="A2501" s="38">
        <f>IF(M2501="","",HYPERLINK("https://www.youtube.com/watch?v="&amp;M2501,"▶"))</f>
        <v/>
      </c>
      <c r="B2501" s="39">
        <f>IF(C2501&lt;&gt;"",C2501,IF(P2501&lt;=IFERROR(INDEX(tblChannels[Watched Through],MATCH(N2501,tblChannels[Channel ID],0)),0),"Watched","Unwatched"))</f>
        <v/>
      </c>
      <c r="C2501" s="40" t="n"/>
      <c r="D2501" s="41" t="n"/>
      <c r="E2501" s="42" t="n">
        <v>42810.81388888889</v>
      </c>
      <c r="F2501" s="50" t="inlineStr">
        <is>
          <t>Super Carlin Brothers</t>
        </is>
      </c>
      <c r="G2501" t="inlineStr">
        <is>
          <t>Why Coco Is Going To Be Amazing</t>
        </is>
      </c>
      <c r="H2501" s="44" t="n">
        <v>0.006180555555555555</v>
      </c>
      <c r="I2501" s="45" t="n">
        <v>573100</v>
      </c>
      <c r="J2501" s="45" t="n">
        <v>17110</v>
      </c>
      <c r="K2501" s="45" t="n">
        <v>3951</v>
      </c>
      <c r="L2501" s="46" t="n"/>
      <c r="M2501" s="47" t="n"/>
      <c r="N2501" s="47" t="inlineStr">
        <is>
          <t>UCKZo4N0lVPccBkSiuyVh4yg</t>
        </is>
      </c>
      <c r="O2501" s="48" t="n">
        <v>42810.98055555556</v>
      </c>
      <c r="P2501" s="49" t="n">
        <v>42810</v>
      </c>
      <c r="Q2501" s="47" t="n">
        <v>767</v>
      </c>
      <c r="R2501" s="47" t="inlineStr">
        <is>
          <t>No Video ID yet</t>
        </is>
      </c>
      <c r="S2501" s="49" t="n"/>
      <c r="T2501" s="49" t="n"/>
      <c r="U2501" s="47" t="inlineStr">
        <is>
          <t>T-SHIRTS :: Pixar just released the first teaser trailer for the next original movie: Coco and it looks to as epic as it is beautifully animated. Today Ben breaks down the trailer and its many nods and references to the Mexican holiday Dia De Los Muertos. Trailer for Coco ::</t>
        </is>
      </c>
      <c r="V2501" s="47">
        <f>IF(AND(P2501&gt;=Calendar!$K$2,P2501&lt;EDATE(Calendar!$K$2,1),OR(Calendar!$K$4="*",N2501=Calendar!$K$4)),P2501*100+COUNTIFS($P$6:$P$3267,P2501,$Q$6:$Q$3267,"&lt;="&amp;Q2501,$N$6:$N$3267,Calendar!$K$4),"")</f>
        <v/>
      </c>
      <c r="W2501" s="47">
        <f>IF(AND(B2501=Queue!$C$4,OR(Queue!$K$4="*",N2501=Queue!$K$4)),Q2501,"")</f>
        <v/>
      </c>
    </row>
    <row r="2502">
      <c r="A2502" s="38">
        <f>IF(M2502="","",HYPERLINK("https://www.youtube.com/watch?v="&amp;M2502,"▶"))</f>
        <v/>
      </c>
      <c r="B2502" s="39">
        <f>IF(C2502&lt;&gt;"",C2502,IF(P2502&lt;=IFERROR(INDEX(tblChannels[Watched Through],MATCH(N2502,tblChannels[Channel ID],0)),0),"Watched","Unwatched"))</f>
        <v/>
      </c>
      <c r="C2502" s="40" t="n"/>
      <c r="D2502" s="41" t="n"/>
      <c r="E2502" s="42" t="n">
        <v>42809.62361111111</v>
      </c>
      <c r="F2502" s="52" t="inlineStr">
        <is>
          <t>Super Carlin Gaming</t>
        </is>
      </c>
      <c r="G2502" t="inlineStr">
        <is>
          <t>Pokemon Emerald Nuzlocke #17: Grapefruit Surprise!</t>
        </is>
      </c>
      <c r="H2502" s="44" t="n">
        <v>0.01679398148148148</v>
      </c>
      <c r="I2502" s="45" t="n">
        <v>24326</v>
      </c>
      <c r="J2502" s="45" t="n">
        <v>606</v>
      </c>
      <c r="K2502" s="45" t="n">
        <v>231</v>
      </c>
      <c r="L2502" s="46" t="n"/>
      <c r="M2502" s="47" t="n"/>
      <c r="N2502" s="47" t="inlineStr">
        <is>
          <t>UCor_9jRnNNZVzTuQ92PKsaQ</t>
        </is>
      </c>
      <c r="O2502" s="48" t="n">
        <v>42809.79027777778</v>
      </c>
      <c r="P2502" s="49" t="n">
        <v>42809</v>
      </c>
      <c r="Q2502" s="47" t="n">
        <v>766</v>
      </c>
      <c r="R2502" s="47" t="inlineStr">
        <is>
          <t>No Video ID yet</t>
        </is>
      </c>
      <c r="S2502" s="49" t="n"/>
      <c r="T2502" s="49" t="n"/>
      <c r="U2502" s="47" t="inlineStr">
        <is>
          <t>J and the team battle Team Aqua at the weather center and then get AMBUSHED by Grapefruit - Can the team survive each challenge unscathed and make it to Fortree City??</t>
        </is>
      </c>
      <c r="V2502" s="47">
        <f>IF(AND(P2502&gt;=Calendar!$K$2,P2502&lt;EDATE(Calendar!$K$2,1),OR(Calendar!$K$4="*",N2502=Calendar!$K$4)),P2502*100+COUNTIFS($P$6:$P$3267,P2502,$Q$6:$Q$3267,"&lt;="&amp;Q2502,$N$6:$N$3267,Calendar!$K$4),"")</f>
        <v/>
      </c>
      <c r="W2502" s="47">
        <f>IF(AND(B2502=Queue!$C$4,OR(Queue!$K$4="*",N2502=Queue!$K$4)),Q2502,"")</f>
        <v/>
      </c>
    </row>
    <row r="2503">
      <c r="A2503" s="38">
        <f>IF(M2503="","",HYPERLINK("https://www.youtube.com/watch?v="&amp;M2503,"▶"))</f>
        <v/>
      </c>
      <c r="B2503" s="39">
        <f>IF(C2503&lt;&gt;"",C2503,IF(P2503&lt;=IFERROR(INDEX(tblChannels[Watched Through],MATCH(N2503,tblChannels[Channel ID],0)),0),"Watched","Unwatched"))</f>
        <v/>
      </c>
      <c r="C2503" s="40" t="n"/>
      <c r="D2503" s="41" t="n"/>
      <c r="E2503" s="42" t="n">
        <v>42808.625</v>
      </c>
      <c r="F2503" s="50" t="inlineStr">
        <is>
          <t>Super Carlin Brothers</t>
        </is>
      </c>
      <c r="G2503" t="inlineStr">
        <is>
          <t>Why Is He Called Winnie the Pooh?</t>
        </is>
      </c>
      <c r="H2503" s="44" t="n">
        <v>0.004583333333333333</v>
      </c>
      <c r="I2503" s="45" t="n">
        <v>1285484</v>
      </c>
      <c r="J2503" s="45" t="n">
        <v>31967</v>
      </c>
      <c r="K2503" s="45" t="n">
        <v>4607</v>
      </c>
      <c r="L2503" s="46" t="n"/>
      <c r="M2503" s="47" t="n"/>
      <c r="N2503" s="47" t="inlineStr">
        <is>
          <t>UCKZo4N0lVPccBkSiuyVh4yg</t>
        </is>
      </c>
      <c r="O2503" s="48" t="n">
        <v>42808.79166666666</v>
      </c>
      <c r="P2503" s="49" t="n">
        <v>42808</v>
      </c>
      <c r="Q2503" s="47" t="n">
        <v>765</v>
      </c>
      <c r="R2503" s="47" t="inlineStr">
        <is>
          <t>No Video ID yet</t>
        </is>
      </c>
      <c r="S2503" s="49" t="n"/>
      <c r="T2503" s="49" t="n"/>
      <c r="U2503" s="47" t="inlineStr">
        <is>
          <t>Finding Winnie :: How did they get away with calling a children's character... Pooh? In fact none of Winnie the Pooh's name seems to make a lot of sense, so J dives into Pooh's past to discover why he is called Winnie the Pooh.</t>
        </is>
      </c>
      <c r="V2503" s="47">
        <f>IF(AND(P2503&gt;=Calendar!$K$2,P2503&lt;EDATE(Calendar!$K$2,1),OR(Calendar!$K$4="*",N2503=Calendar!$K$4)),P2503*100+COUNTIFS($P$6:$P$3267,P2503,$Q$6:$Q$3267,"&lt;="&amp;Q2503,$N$6:$N$3267,Calendar!$K$4),"")</f>
        <v/>
      </c>
      <c r="W2503" s="47">
        <f>IF(AND(B2503=Queue!$C$4,OR(Queue!$K$4="*",N2503=Queue!$K$4)),Q2503,"")</f>
        <v/>
      </c>
    </row>
    <row r="2504">
      <c r="A2504" s="38">
        <f>IF(M2504="","",HYPERLINK("https://www.youtube.com/watch?v="&amp;M2504,"▶"))</f>
        <v/>
      </c>
      <c r="B2504" s="39">
        <f>IF(C2504&lt;&gt;"",C2504,IF(P2504&lt;=IFERROR(INDEX(tblChannels[Watched Through],MATCH(N2504,tblChannels[Channel ID],0)),0),"Watched","Unwatched"))</f>
        <v/>
      </c>
      <c r="C2504" s="40" t="n"/>
      <c r="D2504" s="41" t="n"/>
      <c r="E2504" s="42" t="n">
        <v>42807.65</v>
      </c>
      <c r="F2504" s="52" t="inlineStr">
        <is>
          <t>Super Carlin Gaming</t>
        </is>
      </c>
      <c r="G2504" t="inlineStr">
        <is>
          <t>Pokemon Emerald Nuzlocke #16: CAN'T ESCAPE!</t>
        </is>
      </c>
      <c r="H2504" s="44" t="n">
        <v>0.02076388888888889</v>
      </c>
      <c r="I2504" s="45" t="n">
        <v>26414</v>
      </c>
      <c r="J2504" s="45" t="n">
        <v>630</v>
      </c>
      <c r="K2504" s="45" t="n">
        <v>252</v>
      </c>
      <c r="L2504" s="46" t="n"/>
      <c r="M2504" s="47" t="n"/>
      <c r="N2504" s="47" t="inlineStr">
        <is>
          <t>UCor_9jRnNNZVzTuQ92PKsaQ</t>
        </is>
      </c>
      <c r="O2504" s="48" t="n">
        <v>42807.81666666667</v>
      </c>
      <c r="P2504" s="49" t="n">
        <v>42807</v>
      </c>
      <c r="Q2504" s="47" t="n">
        <v>764</v>
      </c>
      <c r="R2504" s="47" t="inlineStr">
        <is>
          <t>No Video ID yet</t>
        </is>
      </c>
      <c r="S2504" s="49" t="n"/>
      <c r="T2504" s="49" t="n"/>
      <c r="U2504" s="47" t="inlineStr">
        <is>
          <t>J and the team continue their journey to Fortree City for our next gym badge. We try out our new Good Rod and attempt to catch some new friends and of course battle lots of trainers.. will the team survive Route 119 100% in tact? High Tension by Audionautix is licensed under a Creative Commons Attribution license ( Artist:</t>
        </is>
      </c>
      <c r="V2504" s="47">
        <f>IF(AND(P2504&gt;=Calendar!$K$2,P2504&lt;EDATE(Calendar!$K$2,1),OR(Calendar!$K$4="*",N2504=Calendar!$K$4)),P2504*100+COUNTIFS($P$6:$P$3267,P2504,$Q$6:$Q$3267,"&lt;="&amp;Q2504,$N$6:$N$3267,Calendar!$K$4),"")</f>
        <v/>
      </c>
      <c r="W2504" s="47">
        <f>IF(AND(B2504=Queue!$C$4,OR(Queue!$K$4="*",N2504=Queue!$K$4)),Q2504,"")</f>
        <v/>
      </c>
    </row>
    <row r="2505">
      <c r="A2505" s="38">
        <f>IF(M2505="","",HYPERLINK("https://www.youtube.com/watch?v="&amp;M2505,"▶"))</f>
        <v/>
      </c>
      <c r="B2505" s="39">
        <f>IF(C2505&lt;&gt;"",C2505,IF(P2505&lt;=IFERROR(INDEX(tblChannels[Watched Through],MATCH(N2505,tblChannels[Channel ID],0)),0),"Watched","Unwatched"))</f>
        <v/>
      </c>
      <c r="C2505" s="40" t="n"/>
      <c r="D2505" s="41" t="n"/>
      <c r="E2505" s="42" t="n">
        <v>42805.69375</v>
      </c>
      <c r="F2505" s="52" t="inlineStr">
        <is>
          <t>Super Carlin Gaming</t>
        </is>
      </c>
      <c r="G2505" t="inlineStr">
        <is>
          <t>Pokemon Emerald Nuzlocke #15: THUNDER BOLT</t>
        </is>
      </c>
      <c r="H2505" s="44" t="n">
        <v>0.01508101851851852</v>
      </c>
      <c r="I2505" s="45" t="n">
        <v>26157</v>
      </c>
      <c r="J2505" s="45" t="n">
        <v>674</v>
      </c>
      <c r="K2505" s="45" t="n">
        <v>387</v>
      </c>
      <c r="L2505" s="46" t="n"/>
      <c r="M2505" s="47" t="n"/>
      <c r="N2505" s="47" t="inlineStr">
        <is>
          <t>UCor_9jRnNNZVzTuQ92PKsaQ</t>
        </is>
      </c>
      <c r="O2505" s="48" t="n">
        <v>42805.90208333333</v>
      </c>
      <c r="P2505" s="49" t="n">
        <v>42805</v>
      </c>
      <c r="Q2505" s="47" t="n">
        <v>763</v>
      </c>
      <c r="R2505" s="47" t="inlineStr">
        <is>
          <t>No Video ID yet</t>
        </is>
      </c>
      <c r="S2505" s="49" t="n"/>
      <c r="T2505" s="49" t="n"/>
      <c r="U2505" s="47" t="inlineStr">
        <is>
          <t>On our way to Fortree City we get stopped by Wattson who sends us on an new side quest. Can the team handle a new wave of electric shocks?</t>
        </is>
      </c>
      <c r="V2505" s="47">
        <f>IF(AND(P2505&gt;=Calendar!$K$2,P2505&lt;EDATE(Calendar!$K$2,1),OR(Calendar!$K$4="*",N2505=Calendar!$K$4)),P2505*100+COUNTIFS($P$6:$P$3267,P2505,$Q$6:$Q$3267,"&lt;="&amp;Q2505,$N$6:$N$3267,Calendar!$K$4),"")</f>
        <v/>
      </c>
      <c r="W2505" s="47">
        <f>IF(AND(B2505=Queue!$C$4,OR(Queue!$K$4="*",N2505=Queue!$K$4)),Q2505,"")</f>
        <v/>
      </c>
    </row>
    <row r="2506">
      <c r="A2506" s="38">
        <f>IF(M2506="","",HYPERLINK("https://www.youtube.com/watch?v="&amp;M2506,"▶"))</f>
        <v/>
      </c>
      <c r="B2506" s="39">
        <f>IF(C2506&lt;&gt;"",C2506,IF(P2506&lt;=IFERROR(INDEX(tblChannels[Watched Through],MATCH(N2506,tblChannels[Channel ID],0)),0),"Watched","Unwatched"))</f>
        <v/>
      </c>
      <c r="C2506" s="40" t="n"/>
      <c r="D2506" s="41" t="n"/>
      <c r="E2506" s="42" t="n">
        <v>42803.77222222222</v>
      </c>
      <c r="F2506" s="50" t="inlineStr">
        <is>
          <t>Super Carlin Brothers</t>
        </is>
      </c>
      <c r="G2506" t="inlineStr">
        <is>
          <t>Disney Theory: Who is Belle's Mother?</t>
        </is>
      </c>
      <c r="H2506" s="44" t="n">
        <v>0.005543981481481481</v>
      </c>
      <c r="I2506" s="45" t="n">
        <v>1726272</v>
      </c>
      <c r="J2506" s="45" t="n">
        <v>36853</v>
      </c>
      <c r="K2506" s="45" t="n">
        <v>5616</v>
      </c>
      <c r="L2506" s="46" t="n"/>
      <c r="M2506" s="47" t="n"/>
      <c r="N2506" s="47" t="inlineStr">
        <is>
          <t>UCKZo4N0lVPccBkSiuyVh4yg</t>
        </is>
      </c>
      <c r="O2506" s="48" t="n">
        <v>42803.98055555556</v>
      </c>
      <c r="P2506" s="49" t="n">
        <v>42803</v>
      </c>
      <c r="Q2506" s="47" t="n">
        <v>762</v>
      </c>
      <c r="R2506" s="47" t="inlineStr">
        <is>
          <t>No Video ID yet</t>
        </is>
      </c>
      <c r="S2506" s="49" t="n"/>
      <c r="T2506" s="49" t="n"/>
      <c r="U2506" s="47" t="inlineStr">
        <is>
          <t>SCB STICKERS :: One of the longest standing questions we have about Disney's Beauty and the Beast is who is Belle's mother? Today Ben goes over every thing we know about her thus far!</t>
        </is>
      </c>
      <c r="V2506" s="47">
        <f>IF(AND(P2506&gt;=Calendar!$K$2,P2506&lt;EDATE(Calendar!$K$2,1),OR(Calendar!$K$4="*",N2506=Calendar!$K$4)),P2506*100+COUNTIFS($P$6:$P$3267,P2506,$Q$6:$Q$3267,"&lt;="&amp;Q2506,$N$6:$N$3267,Calendar!$K$4),"")</f>
        <v/>
      </c>
      <c r="W2506" s="47">
        <f>IF(AND(B2506=Queue!$C$4,OR(Queue!$K$4="*",N2506=Queue!$K$4)),Q2506,"")</f>
        <v/>
      </c>
    </row>
    <row r="2507">
      <c r="A2507" s="38">
        <f>IF(M2507="","",HYPERLINK("https://www.youtube.com/watch?v="&amp;M2507,"▶"))</f>
        <v/>
      </c>
      <c r="B2507" s="39">
        <f>IF(C2507&lt;&gt;"",C2507,IF(P2507&lt;=IFERROR(INDEX(tblChannels[Watched Through],MATCH(N2507,tblChannels[Channel ID],0)),0),"Watched","Unwatched"))</f>
        <v/>
      </c>
      <c r="C2507" s="40" t="n"/>
      <c r="D2507" s="41" t="n"/>
      <c r="E2507" s="42" t="n">
        <v>42802.62638888889</v>
      </c>
      <c r="F2507" s="52" t="inlineStr">
        <is>
          <t>Super Carlin Gaming</t>
        </is>
      </c>
      <c r="G2507" t="inlineStr">
        <is>
          <t>Pokemon Emerald Nuzlocke #14: Flo vs EVERYTHING!</t>
        </is>
      </c>
      <c r="H2507" s="44" t="n">
        <v>0.0269212962962963</v>
      </c>
      <c r="I2507" s="45" t="n">
        <v>31155</v>
      </c>
      <c r="J2507" s="45" t="n">
        <v>714</v>
      </c>
      <c r="K2507" s="45" t="n">
        <v>376</v>
      </c>
      <c r="L2507" s="46" t="n"/>
      <c r="M2507" s="47" t="n"/>
      <c r="N2507" s="47" t="inlineStr">
        <is>
          <t>UCor_9jRnNNZVzTuQ92PKsaQ</t>
        </is>
      </c>
      <c r="O2507" s="48" t="n">
        <v>42802.83472222222</v>
      </c>
      <c r="P2507" s="49" t="n">
        <v>42802</v>
      </c>
      <c r="Q2507" s="47" t="n">
        <v>761</v>
      </c>
      <c r="R2507" s="47" t="inlineStr">
        <is>
          <t>No Video ID yet</t>
        </is>
      </c>
      <c r="S2507" s="49" t="n"/>
      <c r="T2507" s="49" t="n"/>
      <c r="U2507" s="47" t="inlineStr">
        <is>
          <t>Flo has sat in the back seat for the last 2 gym battles and she is itching to stretch her legs on some new routes! This does mean we need to get someone to surf us there though.. hmmm</t>
        </is>
      </c>
      <c r="V2507" s="47">
        <f>IF(AND(P2507&gt;=Calendar!$K$2,P2507&lt;EDATE(Calendar!$K$2,1),OR(Calendar!$K$4="*",N2507=Calendar!$K$4)),P2507*100+COUNTIFS($P$6:$P$3267,P2507,$Q$6:$Q$3267,"&lt;="&amp;Q2507,$N$6:$N$3267,Calendar!$K$4),"")</f>
        <v/>
      </c>
      <c r="W2507" s="47">
        <f>IF(AND(B2507=Queue!$C$4,OR(Queue!$K$4="*",N2507=Queue!$K$4)),Q2507,"")</f>
        <v/>
      </c>
    </row>
    <row r="2508">
      <c r="A2508" s="38">
        <f>IF(M2508="","",HYPERLINK("https://www.youtube.com/watch?v="&amp;M2508,"▶"))</f>
        <v/>
      </c>
      <c r="B2508" s="39">
        <f>IF(C2508&lt;&gt;"",C2508,IF(P2508&lt;=IFERROR(INDEX(tblChannels[Watched Through],MATCH(N2508,tblChannels[Channel ID],0)),0),"Watched","Unwatched"))</f>
        <v/>
      </c>
      <c r="C2508" s="40" t="n"/>
      <c r="D2508" s="41" t="n"/>
      <c r="E2508" s="42" t="n">
        <v>42801.66666666666</v>
      </c>
      <c r="F2508" s="50" t="inlineStr">
        <is>
          <t>Super Carlin Brothers</t>
        </is>
      </c>
      <c r="G2508" t="inlineStr">
        <is>
          <t>Harry Potter Theory: Why Is Peeves Allowed To Stay At Hogwarts?</t>
        </is>
      </c>
      <c r="H2508" s="44" t="n">
        <v>0.006041666666666667</v>
      </c>
      <c r="I2508" s="45" t="n">
        <v>1884681</v>
      </c>
      <c r="J2508" s="45" t="n">
        <v>40066</v>
      </c>
      <c r="K2508" s="45" t="n">
        <v>6730</v>
      </c>
      <c r="L2508" s="46" t="n"/>
      <c r="M2508" s="47" t="n"/>
      <c r="N2508" s="47" t="inlineStr">
        <is>
          <t>UCKZo4N0lVPccBkSiuyVh4yg</t>
        </is>
      </c>
      <c r="O2508" s="48" t="n">
        <v>42801.875</v>
      </c>
      <c r="P2508" s="49" t="n">
        <v>42801</v>
      </c>
      <c r="Q2508" s="47" t="n">
        <v>760</v>
      </c>
      <c r="R2508" s="47" t="inlineStr">
        <is>
          <t>No Video ID yet</t>
        </is>
      </c>
      <c r="S2508" s="49" t="n"/>
      <c r="T2508" s="49" t="n"/>
      <c r="U2508" s="47" t="inlineStr">
        <is>
          <t>SCB STICKERS! Today J dives into the wizarding world of Harry Potter to discuss Peeves the Poltergeists, Ghosts and ghouls and tries to determine where Peeves came from and why he is allowed to stay at Hogwarts. Short Stories from Hogwarts of Power, Politics and Pesky Poltergeists:</t>
        </is>
      </c>
      <c r="V2508" s="47">
        <f>IF(AND(P2508&gt;=Calendar!$K$2,P2508&lt;EDATE(Calendar!$K$2,1),OR(Calendar!$K$4="*",N2508=Calendar!$K$4)),P2508*100+COUNTIFS($P$6:$P$3267,P2508,$Q$6:$Q$3267,"&lt;="&amp;Q2508,$N$6:$N$3267,Calendar!$K$4),"")</f>
        <v/>
      </c>
      <c r="W2508" s="47">
        <f>IF(AND(B2508=Queue!$C$4,OR(Queue!$K$4="*",N2508=Queue!$K$4)),Q2508,"")</f>
        <v/>
      </c>
    </row>
    <row r="2509">
      <c r="A2509" s="38">
        <f>IF(M2509="","",HYPERLINK("https://www.youtube.com/watch?v="&amp;M2509,"▶"))</f>
        <v/>
      </c>
      <c r="B2509" s="39">
        <f>IF(C2509&lt;&gt;"",C2509,IF(P2509&lt;=IFERROR(INDEX(tblChannels[Watched Through],MATCH(N2509,tblChannels[Channel ID],0)),0),"Watched","Unwatched"))</f>
        <v/>
      </c>
      <c r="C2509" s="40" t="n"/>
      <c r="D2509" s="41" t="n"/>
      <c r="E2509" s="42" t="n">
        <v>42800.625</v>
      </c>
      <c r="F2509" s="52" t="inlineStr">
        <is>
          <t>Super Carlin Gaming</t>
        </is>
      </c>
      <c r="G2509" t="inlineStr">
        <is>
          <t>Pokemon Emerald Nuzlocke #13: Showdown with DAD</t>
        </is>
      </c>
      <c r="H2509" s="44" t="n">
        <v>0.01930555555555555</v>
      </c>
      <c r="I2509" s="45" t="n">
        <v>28740</v>
      </c>
      <c r="J2509" s="45" t="n">
        <v>693</v>
      </c>
      <c r="K2509" s="45" t="n">
        <v>342</v>
      </c>
      <c r="L2509" s="46" t="n"/>
      <c r="M2509" s="47" t="n"/>
      <c r="N2509" s="47" t="inlineStr">
        <is>
          <t>UCor_9jRnNNZVzTuQ92PKsaQ</t>
        </is>
      </c>
      <c r="O2509" s="48" t="n">
        <v>42800.83333333334</v>
      </c>
      <c r="P2509" s="49" t="n">
        <v>42800</v>
      </c>
      <c r="Q2509" s="47" t="n">
        <v>759</v>
      </c>
      <c r="R2509" s="47" t="inlineStr">
        <is>
          <t>No Video ID yet</t>
        </is>
      </c>
      <c r="S2509" s="49" t="n"/>
      <c r="T2509" s="49" t="n"/>
      <c r="U2509" s="47" t="inlineStr">
        <is>
          <t>J and the team are feeling good coming off of their victory at the Fire Gym! Today they head into the dessert in search on new pokemon before returning to Petalburg to face off with Norman for the Balance Badge... Will everyone survive this family showdown?</t>
        </is>
      </c>
      <c r="V2509" s="47">
        <f>IF(AND(P2509&gt;=Calendar!$K$2,P2509&lt;EDATE(Calendar!$K$2,1),OR(Calendar!$K$4="*",N2509=Calendar!$K$4)),P2509*100+COUNTIFS($P$6:$P$3267,P2509,$Q$6:$Q$3267,"&lt;="&amp;Q2509,$N$6:$N$3267,Calendar!$K$4),"")</f>
        <v/>
      </c>
      <c r="W2509" s="47">
        <f>IF(AND(B2509=Queue!$C$4,OR(Queue!$K$4="*",N2509=Queue!$K$4)),Q2509,"")</f>
        <v/>
      </c>
    </row>
    <row r="2510">
      <c r="A2510" s="38">
        <f>IF(M2510="","",HYPERLINK("https://www.youtube.com/watch?v="&amp;M2510,"▶"))</f>
        <v/>
      </c>
      <c r="B2510" s="39">
        <f>IF(C2510&lt;&gt;"",C2510,IF(P2510&lt;=IFERROR(INDEX(tblChannels[Watched Through],MATCH(N2510,tblChannels[Channel ID],0)),0),"Watched","Unwatched"))</f>
        <v/>
      </c>
      <c r="C2510" s="40" t="n"/>
      <c r="D2510" s="41" t="n"/>
      <c r="E2510" s="42" t="n">
        <v>42798.41666666666</v>
      </c>
      <c r="F2510" s="50" t="inlineStr">
        <is>
          <t>Super Carlin Brothers</t>
        </is>
      </c>
      <c r="G2510" t="inlineStr">
        <is>
          <t>Loot Crate Unboxing | BUILD</t>
        </is>
      </c>
      <c r="H2510" s="44" t="n">
        <v>0.01041666666666667</v>
      </c>
      <c r="I2510" s="45" t="n">
        <v>104744</v>
      </c>
      <c r="J2510" s="45" t="n">
        <v>3844</v>
      </c>
      <c r="K2510" s="45" t="n">
        <v>782</v>
      </c>
      <c r="L2510" s="46" t="n"/>
      <c r="M2510" s="47" t="n"/>
      <c r="N2510" s="47" t="inlineStr">
        <is>
          <t>UCKZo4N0lVPccBkSiuyVh4yg</t>
        </is>
      </c>
      <c r="O2510" s="48" t="n">
        <v>42798.625</v>
      </c>
      <c r="P2510" s="49" t="n">
        <v>42798</v>
      </c>
      <c r="Q2510" s="47" t="n">
        <v>758</v>
      </c>
      <c r="R2510" s="47" t="inlineStr">
        <is>
          <t>No Video ID yet</t>
        </is>
      </c>
      <c r="S2510" s="49" t="n"/>
      <c r="T2510" s="49" t="n"/>
      <c r="U2510" s="47" t="inlineStr">
        <is>
          <t>Get 10% Off your first month of LootCrate at: Promo Code: CARLIN J and Ben unbox the BUILD Loot Crate - It has all sorts of fun stuff including things from batman, lego, power rangers and tetris!</t>
        </is>
      </c>
      <c r="V2510" s="47">
        <f>IF(AND(P2510&gt;=Calendar!$K$2,P2510&lt;EDATE(Calendar!$K$2,1),OR(Calendar!$K$4="*",N2510=Calendar!$K$4)),P2510*100+COUNTIFS($P$6:$P$3267,P2510,$Q$6:$Q$3267,"&lt;="&amp;Q2510,$N$6:$N$3267,Calendar!$K$4),"")</f>
        <v/>
      </c>
      <c r="W2510" s="47">
        <f>IF(AND(B2510=Queue!$C$4,OR(Queue!$K$4="*",N2510=Queue!$K$4)),Q2510,"")</f>
        <v/>
      </c>
    </row>
    <row r="2511">
      <c r="A2511" s="38">
        <f>IF(M2511="","",HYPERLINK("https://www.youtube.com/watch?v="&amp;M2511,"▶"))</f>
        <v/>
      </c>
      <c r="B2511" s="39">
        <f>IF(C2511&lt;&gt;"",C2511,IF(P2511&lt;=IFERROR(INDEX(tblChannels[Watched Through],MATCH(N2511,tblChannels[Channel ID],0)),0),"Watched","Unwatched"))</f>
        <v/>
      </c>
      <c r="C2511" s="40" t="n"/>
      <c r="D2511" s="41" t="n"/>
      <c r="E2511" s="42" t="n">
        <v>42797.75972222222</v>
      </c>
      <c r="F2511" s="52" t="inlineStr">
        <is>
          <t>Super Carlin Gaming</t>
        </is>
      </c>
      <c r="G2511" t="inlineStr">
        <is>
          <t>Pokemon Emerald Nuzlocke #12: Heating Up!</t>
        </is>
      </c>
      <c r="H2511" s="44" t="n">
        <v>0.02221064814814815</v>
      </c>
      <c r="I2511" s="45" t="n">
        <v>30506</v>
      </c>
      <c r="J2511" s="45" t="n">
        <v>802</v>
      </c>
      <c r="K2511" s="45" t="n">
        <v>355</v>
      </c>
      <c r="L2511" s="46" t="n"/>
      <c r="M2511" s="47" t="n"/>
      <c r="N2511" s="47" t="inlineStr">
        <is>
          <t>UCor_9jRnNNZVzTuQ92PKsaQ</t>
        </is>
      </c>
      <c r="O2511" s="48" t="n">
        <v>42797.96805555555</v>
      </c>
      <c r="P2511" s="49" t="n">
        <v>42797</v>
      </c>
      <c r="Q2511" s="47" t="n">
        <v>757</v>
      </c>
      <c r="R2511" s="47" t="inlineStr">
        <is>
          <t>No Video ID yet</t>
        </is>
      </c>
      <c r="S2511" s="49" t="n"/>
      <c r="T2511" s="49" t="n"/>
      <c r="U2511" s="47" t="inlineStr">
        <is>
          <t>Things are heating up! In the wake of Morphin's death the team comes together in a massive training session and welcome's a new member before taking on Flannery for our 4th gym battle.. can we survive the heat?</t>
        </is>
      </c>
      <c r="V2511" s="47">
        <f>IF(AND(P2511&gt;=Calendar!$K$2,P2511&lt;EDATE(Calendar!$K$2,1),OR(Calendar!$K$4="*",N2511=Calendar!$K$4)),P2511*100+COUNTIFS($P$6:$P$3267,P2511,$Q$6:$Q$3267,"&lt;="&amp;Q2511,$N$6:$N$3267,Calendar!$K$4),"")</f>
        <v/>
      </c>
      <c r="W2511" s="47">
        <f>IF(AND(B2511=Queue!$C$4,OR(Queue!$K$4="*",N2511=Queue!$K$4)),Q2511,"")</f>
        <v/>
      </c>
    </row>
    <row r="2512">
      <c r="A2512" s="38">
        <f>IF(M2512="","",HYPERLINK("https://www.youtube.com/watch?v="&amp;M2512,"▶"))</f>
        <v/>
      </c>
      <c r="B2512" s="39">
        <f>IF(C2512&lt;&gt;"",C2512,IF(P2512&lt;=IFERROR(INDEX(tblChannels[Watched Through],MATCH(N2512,tblChannels[Channel ID],0)),0),"Watched","Unwatched"))</f>
        <v/>
      </c>
      <c r="C2512" s="40" t="n"/>
      <c r="D2512" s="41" t="n"/>
      <c r="E2512" s="42" t="n">
        <v>42796.89236111111</v>
      </c>
      <c r="F2512" s="50" t="inlineStr">
        <is>
          <t>Super Carlin Brothers</t>
        </is>
      </c>
      <c r="G2512" t="inlineStr">
        <is>
          <t>Disney Theory: What Book Is Belle Actually Reading?</t>
        </is>
      </c>
      <c r="H2512" s="44" t="n">
        <v>0.006053240740740741</v>
      </c>
      <c r="I2512" s="45" t="n">
        <v>2011369</v>
      </c>
      <c r="J2512" s="45" t="n">
        <v>39138</v>
      </c>
      <c r="K2512" s="45" t="n">
        <v>6586</v>
      </c>
      <c r="L2512" s="46" t="n"/>
      <c r="M2512" s="47" t="n"/>
      <c r="N2512" s="47" t="inlineStr">
        <is>
          <t>UCKZo4N0lVPccBkSiuyVh4yg</t>
        </is>
      </c>
      <c r="O2512" s="48" t="n">
        <v>42797.10069444445</v>
      </c>
      <c r="P2512" s="49" t="n">
        <v>42796</v>
      </c>
      <c r="Q2512" s="47" t="n">
        <v>756</v>
      </c>
      <c r="R2512" s="47" t="inlineStr">
        <is>
          <t>No Video ID yet</t>
        </is>
      </c>
      <c r="S2512" s="49" t="n"/>
      <c r="T2512" s="49" t="n"/>
      <c r="U2512" s="47" t="inlineStr">
        <is>
          <t>Today Ben dives into one of Disney’s Beauty and the Beasts biggest mysteries and tries to answer what book is Belle reading? Check out Le Songe d’une femme ::</t>
        </is>
      </c>
      <c r="V2512" s="47">
        <f>IF(AND(P2512&gt;=Calendar!$K$2,P2512&lt;EDATE(Calendar!$K$2,1),OR(Calendar!$K$4="*",N2512=Calendar!$K$4)),P2512*100+COUNTIFS($P$6:$P$3267,P2512,$Q$6:$Q$3267,"&lt;="&amp;Q2512,$N$6:$N$3267,Calendar!$K$4),"")</f>
        <v/>
      </c>
      <c r="W2512" s="47">
        <f>IF(AND(B2512=Queue!$C$4,OR(Queue!$K$4="*",N2512=Queue!$K$4)),Q2512,"")</f>
        <v/>
      </c>
    </row>
    <row r="2513">
      <c r="A2513" s="38">
        <f>IF(M2513="","",HYPERLINK("https://www.youtube.com/watch?v="&amp;M2513,"▶"))</f>
        <v/>
      </c>
      <c r="B2513" s="39">
        <f>IF(C2513&lt;&gt;"",C2513,IF(P2513&lt;=IFERROR(INDEX(tblChannels[Watched Through],MATCH(N2513,tblChannels[Channel ID],0)),0),"Watched","Unwatched"))</f>
        <v/>
      </c>
      <c r="C2513" s="40" t="n"/>
      <c r="D2513" s="41" t="n"/>
      <c r="E2513" s="42" t="n">
        <v>42795.65694444445</v>
      </c>
      <c r="F2513" s="52" t="inlineStr">
        <is>
          <t>Super Carlin Gaming</t>
        </is>
      </c>
      <c r="G2513" t="inlineStr">
        <is>
          <t>Pokemon Emerald Nuzlocke #11: The Imposter</t>
        </is>
      </c>
      <c r="H2513" s="44" t="n">
        <v>0.01701388888888889</v>
      </c>
      <c r="I2513" s="45" t="n">
        <v>29614</v>
      </c>
      <c r="J2513" s="45" t="n">
        <v>705</v>
      </c>
      <c r="K2513" s="45" t="n">
        <v>420</v>
      </c>
      <c r="L2513" s="46" t="n"/>
      <c r="M2513" s="47" t="n"/>
      <c r="N2513" s="47" t="inlineStr">
        <is>
          <t>UCor_9jRnNNZVzTuQ92PKsaQ</t>
        </is>
      </c>
      <c r="O2513" s="48" t="n">
        <v>42795.86527777778</v>
      </c>
      <c r="P2513" s="49" t="n">
        <v>42795</v>
      </c>
      <c r="Q2513" s="47" t="n">
        <v>755</v>
      </c>
      <c r="R2513" s="47" t="inlineStr">
        <is>
          <t>No Video ID yet</t>
        </is>
      </c>
      <c r="S2513" s="49" t="n"/>
      <c r="T2513" s="49" t="n"/>
      <c r="U2513" s="47" t="inlineStr">
        <is>
          <t>J discovers an imposter on the team and deals with a possible mole, before heading to Mt. Chimney to challenge Team Magma - Can the team survives Maxey's might??!</t>
        </is>
      </c>
      <c r="V2513" s="47">
        <f>IF(AND(P2513&gt;=Calendar!$K$2,P2513&lt;EDATE(Calendar!$K$2,1),OR(Calendar!$K$4="*",N2513=Calendar!$K$4)),P2513*100+COUNTIFS($P$6:$P$3267,P2513,$Q$6:$Q$3267,"&lt;="&amp;Q2513,$N$6:$N$3267,Calendar!$K$4),"")</f>
        <v/>
      </c>
      <c r="W2513" s="47">
        <f>IF(AND(B2513=Queue!$C$4,OR(Queue!$K$4="*",N2513=Queue!$K$4)),Q2513,"")</f>
        <v/>
      </c>
    </row>
    <row r="2514">
      <c r="A2514" s="38">
        <f>IF(M2514="","",HYPERLINK("https://www.youtube.com/watch?v="&amp;M2514,"▶"))</f>
        <v/>
      </c>
      <c r="B2514" s="39">
        <f>IF(C2514&lt;&gt;"",C2514,IF(P2514&lt;=IFERROR(INDEX(tblChannels[Watched Through],MATCH(N2514,tblChannels[Channel ID],0)),0),"Watched","Unwatched"))</f>
        <v/>
      </c>
      <c r="C2514" s="40" t="n"/>
      <c r="D2514" s="41" t="n"/>
      <c r="E2514" s="42" t="n">
        <v>42794.84791666667</v>
      </c>
      <c r="F2514" s="50" t="inlineStr">
        <is>
          <t>Super Carlin Brothers</t>
        </is>
      </c>
      <c r="G2514" t="inlineStr">
        <is>
          <t>Cars Theory: How Lightning Will Defeat Jackson Storm</t>
        </is>
      </c>
      <c r="H2514" s="44" t="n">
        <v>0.007164351851851851</v>
      </c>
      <c r="I2514" s="45" t="n">
        <v>618391</v>
      </c>
      <c r="J2514" s="45" t="n">
        <v>14171</v>
      </c>
      <c r="K2514" s="45" t="n">
        <v>2479</v>
      </c>
      <c r="L2514" s="46" t="n"/>
      <c r="M2514" s="47" t="n"/>
      <c r="N2514" s="47" t="inlineStr">
        <is>
          <t>UCKZo4N0lVPccBkSiuyVh4yg</t>
        </is>
      </c>
      <c r="O2514" s="48" t="n">
        <v>42795.05625</v>
      </c>
      <c r="P2514" s="49" t="n">
        <v>42794</v>
      </c>
      <c r="Q2514" s="47" t="n">
        <v>754</v>
      </c>
      <c r="R2514" s="47" t="inlineStr">
        <is>
          <t>No Video ID yet</t>
        </is>
      </c>
      <c r="S2514" s="49" t="n"/>
      <c r="T2514" s="49" t="n"/>
      <c r="U2514" s="47" t="inlineStr">
        <is>
          <t>Pixar just released a new trailer for Cars 3 at the Daytona 500 so today J is going frame by frame to give you his in depth review, analysis and predicts for Cars 3 including how he think Lightning will ultimately defeat Jackson Storm. Full Trailer ::</t>
        </is>
      </c>
      <c r="V2514" s="47">
        <f>IF(AND(P2514&gt;=Calendar!$K$2,P2514&lt;EDATE(Calendar!$K$2,1),OR(Calendar!$K$4="*",N2514=Calendar!$K$4)),P2514*100+COUNTIFS($P$6:$P$3267,P2514,$Q$6:$Q$3267,"&lt;="&amp;Q2514,$N$6:$N$3267,Calendar!$K$4),"")</f>
        <v/>
      </c>
      <c r="W2514" s="47">
        <f>IF(AND(B2514=Queue!$C$4,OR(Queue!$K$4="*",N2514=Queue!$K$4)),Q2514,"")</f>
        <v/>
      </c>
    </row>
    <row r="2515">
      <c r="A2515" s="38">
        <f>IF(M2515="","",HYPERLINK("https://www.youtube.com/watch?v="&amp;M2515,"▶"))</f>
        <v/>
      </c>
      <c r="B2515" s="39">
        <f>IF(C2515&lt;&gt;"",C2515,IF(P2515&lt;=IFERROR(INDEX(tblChannels[Watched Through],MATCH(N2515,tblChannels[Channel ID],0)),0),"Watched","Unwatched"))</f>
        <v/>
      </c>
      <c r="C2515" s="40" t="n"/>
      <c r="D2515" s="41" t="n"/>
      <c r="E2515" s="42" t="n">
        <v>42791.41666666666</v>
      </c>
      <c r="F2515" s="52" t="inlineStr">
        <is>
          <t>Super Carlin Gaming</t>
        </is>
      </c>
      <c r="G2515" t="inlineStr">
        <is>
          <t>Pokemon Emerald Nuzlocke #10: Fang Unit Gamma</t>
        </is>
      </c>
      <c r="H2515" s="44" t="n">
        <v>0.02069444444444445</v>
      </c>
      <c r="I2515" s="45" t="n">
        <v>33829</v>
      </c>
      <c r="J2515" s="45" t="n">
        <v>733</v>
      </c>
      <c r="K2515" s="45" t="n">
        <v>336</v>
      </c>
      <c r="L2515" s="46" t="n"/>
      <c r="M2515" s="47" t="n"/>
      <c r="N2515" s="47" t="inlineStr">
        <is>
          <t>UCor_9jRnNNZVzTuQ92PKsaQ</t>
        </is>
      </c>
      <c r="O2515" s="48" t="n">
        <v>42791.625</v>
      </c>
      <c r="P2515" s="49" t="n">
        <v>42791</v>
      </c>
      <c r="Q2515" s="47" t="n">
        <v>753</v>
      </c>
      <c r="R2515" s="47" t="inlineStr">
        <is>
          <t>No Video ID yet</t>
        </is>
      </c>
      <c r="S2515" s="49" t="n"/>
      <c r="T2515" s="49" t="n"/>
      <c r="U2515" s="47" t="inlineStr">
        <is>
          <t>More double battles ensue on our way to Lavaridge and with it a new Fang Unit emerges! ARI :: I am aware that I caught Ari as the 2nd pokemon on Route 112, this will be addressed in the next episode, this one was recorded before that one was released, and now I'm at NerdCon =D - In the meantime ENJOY!</t>
        </is>
      </c>
      <c r="V2515" s="47">
        <f>IF(AND(P2515&gt;=Calendar!$K$2,P2515&lt;EDATE(Calendar!$K$2,1),OR(Calendar!$K$4="*",N2515=Calendar!$K$4)),P2515*100+COUNTIFS($P$6:$P$3267,P2515,$Q$6:$Q$3267,"&lt;="&amp;Q2515,$N$6:$N$3267,Calendar!$K$4),"")</f>
        <v/>
      </c>
      <c r="W2515" s="47">
        <f>IF(AND(B2515=Queue!$C$4,OR(Queue!$K$4="*",N2515=Queue!$K$4)),Q2515,"")</f>
        <v/>
      </c>
    </row>
    <row r="2516">
      <c r="A2516" s="38">
        <f>IF(M2516="","",HYPERLINK("https://www.youtube.com/watch?v="&amp;M2516,"▶"))</f>
        <v/>
      </c>
      <c r="B2516" s="39">
        <f>IF(C2516&lt;&gt;"",C2516,IF(P2516&lt;=IFERROR(INDEX(tblChannels[Watched Through],MATCH(N2516,tblChannels[Channel ID],0)),0),"Watched","Unwatched"))</f>
        <v/>
      </c>
      <c r="C2516" s="40" t="n"/>
      <c r="D2516" s="41" t="n"/>
      <c r="E2516" s="42" t="n">
        <v>42789.70347222222</v>
      </c>
      <c r="F2516" s="50" t="inlineStr">
        <is>
          <t>Super Carlin Brothers</t>
        </is>
      </c>
      <c r="G2516" t="inlineStr">
        <is>
          <t>Harry Potter Theory: Was Professor Quirrell a Horcrux?</t>
        </is>
      </c>
      <c r="H2516" s="44" t="n">
        <v>0.004918981481481482</v>
      </c>
      <c r="I2516" s="45" t="n">
        <v>1178190</v>
      </c>
      <c r="J2516" s="45" t="n">
        <v>25167</v>
      </c>
      <c r="K2516" s="45" t="n">
        <v>3416</v>
      </c>
      <c r="L2516" s="46" t="n"/>
      <c r="M2516" s="47" t="n"/>
      <c r="N2516" s="47" t="inlineStr">
        <is>
          <t>UCKZo4N0lVPccBkSiuyVh4yg</t>
        </is>
      </c>
      <c r="O2516" s="48" t="n">
        <v>42789.91180555556</v>
      </c>
      <c r="P2516" s="49" t="n">
        <v>42789</v>
      </c>
      <c r="Q2516" s="47" t="n">
        <v>752</v>
      </c>
      <c r="R2516" s="47" t="inlineStr">
        <is>
          <t>No Video ID yet</t>
        </is>
      </c>
      <c r="S2516" s="49" t="n"/>
      <c r="T2516" s="49" t="n"/>
      <c r="U2516" s="47" t="inlineStr">
        <is>
          <t>Today Ben discusses the complex ins and outs of Horcruxes, what it takes to be one. And how maybe even you.... could be a horcrux. Well maybe not that last bit. But we will answer the question as to whether or not Professor Quirrell was a Horcrux.</t>
        </is>
      </c>
      <c r="V2516" s="47">
        <f>IF(AND(P2516&gt;=Calendar!$K$2,P2516&lt;EDATE(Calendar!$K$2,1),OR(Calendar!$K$4="*",N2516=Calendar!$K$4)),P2516*100+COUNTIFS($P$6:$P$3267,P2516,$Q$6:$Q$3267,"&lt;="&amp;Q2516,$N$6:$N$3267,Calendar!$K$4),"")</f>
        <v/>
      </c>
      <c r="W2516" s="47">
        <f>IF(AND(B2516=Queue!$C$4,OR(Queue!$K$4="*",N2516=Queue!$K$4)),Q2516,"")</f>
        <v/>
      </c>
    </row>
    <row r="2517">
      <c r="A2517" s="38">
        <f>IF(M2517="","",HYPERLINK("https://www.youtube.com/watch?v="&amp;M2517,"▶"))</f>
        <v/>
      </c>
      <c r="B2517" s="39">
        <f>IF(C2517&lt;&gt;"",C2517,IF(P2517&lt;=IFERROR(INDEX(tblChannels[Watched Through],MATCH(N2517,tblChannels[Channel ID],0)),0),"Watched","Unwatched"))</f>
        <v/>
      </c>
      <c r="C2517" s="40" t="n"/>
      <c r="D2517" s="41" t="n"/>
      <c r="E2517" s="42" t="n">
        <v>42788.78194444445</v>
      </c>
      <c r="F2517" s="52" t="inlineStr">
        <is>
          <t>Super Carlin Gaming</t>
        </is>
      </c>
      <c r="G2517" t="inlineStr">
        <is>
          <t>Pokemon Emerald Nuzlocke #9: The Long Road</t>
        </is>
      </c>
      <c r="H2517" s="44" t="n">
        <v>0.02320601851851852</v>
      </c>
      <c r="I2517" s="45" t="n">
        <v>32472</v>
      </c>
      <c r="J2517" s="45" t="n">
        <v>709</v>
      </c>
      <c r="K2517" s="45" t="n">
        <v>416</v>
      </c>
      <c r="L2517" s="46" t="n"/>
      <c r="M2517" s="47" t="n"/>
      <c r="N2517" s="47" t="inlineStr">
        <is>
          <t>UCor_9jRnNNZVzTuQ92PKsaQ</t>
        </is>
      </c>
      <c r="O2517" s="48" t="n">
        <v>42788.99027777778</v>
      </c>
      <c r="P2517" s="49" t="n">
        <v>42788</v>
      </c>
      <c r="Q2517" s="47" t="n">
        <v>751</v>
      </c>
      <c r="R2517" s="47" t="inlineStr">
        <is>
          <t>No Video ID yet</t>
        </is>
      </c>
      <c r="S2517" s="49" t="n"/>
      <c r="T2517" s="49" t="n"/>
      <c r="U2517" s="47" t="n"/>
      <c r="V2517" s="47">
        <f>IF(AND(P2517&gt;=Calendar!$K$2,P2517&lt;EDATE(Calendar!$K$2,1),OR(Calendar!$K$4="*",N2517=Calendar!$K$4)),P2517*100+COUNTIFS($P$6:$P$3267,P2517,$Q$6:$Q$3267,"&lt;="&amp;Q2517,$N$6:$N$3267,Calendar!$K$4),"")</f>
        <v/>
      </c>
      <c r="W2517" s="47">
        <f>IF(AND(B2517=Queue!$C$4,OR(Queue!$K$4="*",N2517=Queue!$K$4)),Q2517,"")</f>
        <v/>
      </c>
    </row>
    <row r="2518">
      <c r="A2518" s="38">
        <f>IF(M2518="","",HYPERLINK("https://www.youtube.com/watch?v="&amp;M2518,"▶"))</f>
        <v/>
      </c>
      <c r="B2518" s="39">
        <f>IF(C2518&lt;&gt;"",C2518,IF(P2518&lt;=IFERROR(INDEX(tblChannels[Watched Through],MATCH(N2518,tblChannels[Channel ID],0)),0),"Watched","Unwatched"))</f>
        <v/>
      </c>
      <c r="C2518" s="40" t="n"/>
      <c r="D2518" s="41" t="n"/>
      <c r="E2518" s="42" t="n">
        <v>42786.78263888889</v>
      </c>
      <c r="F2518" s="52" t="inlineStr">
        <is>
          <t>Super Carlin Gaming</t>
        </is>
      </c>
      <c r="G2518" t="inlineStr">
        <is>
          <t>Pokemon Emerald Nuzlocke #8: An Electric Shock</t>
        </is>
      </c>
      <c r="H2518" s="44" t="n">
        <v>0.01908564814814815</v>
      </c>
      <c r="I2518" s="45" t="n">
        <v>34084</v>
      </c>
      <c r="J2518" s="45" t="n">
        <v>760</v>
      </c>
      <c r="K2518" s="45" t="n">
        <v>469</v>
      </c>
      <c r="L2518" s="46" t="n"/>
      <c r="M2518" s="47" t="n"/>
      <c r="N2518" s="47" t="inlineStr">
        <is>
          <t>UCor_9jRnNNZVzTuQ92PKsaQ</t>
        </is>
      </c>
      <c r="O2518" s="48" t="n">
        <v>42786.99097222222</v>
      </c>
      <c r="P2518" s="49" t="n">
        <v>42786</v>
      </c>
      <c r="Q2518" s="47" t="n">
        <v>750</v>
      </c>
      <c r="R2518" s="47" t="inlineStr">
        <is>
          <t>No Video ID yet</t>
        </is>
      </c>
      <c r="S2518" s="49" t="n"/>
      <c r="T2518" s="49" t="n"/>
      <c r="U2518" s="47" t="inlineStr">
        <is>
          <t>On our way to defeat Wattson and receive the Dynamo badge!</t>
        </is>
      </c>
      <c r="V2518" s="47">
        <f>IF(AND(P2518&gt;=Calendar!$K$2,P2518&lt;EDATE(Calendar!$K$2,1),OR(Calendar!$K$4="*",N2518=Calendar!$K$4)),P2518*100+COUNTIFS($P$6:$P$3267,P2518,$Q$6:$Q$3267,"&lt;="&amp;Q2518,$N$6:$N$3267,Calendar!$K$4),"")</f>
        <v/>
      </c>
      <c r="W2518" s="47">
        <f>IF(AND(B2518=Queue!$C$4,OR(Queue!$K$4="*",N2518=Queue!$K$4)),Q2518,"")</f>
        <v/>
      </c>
    </row>
    <row r="2519">
      <c r="A2519" s="38">
        <f>IF(M2519="","",HYPERLINK("https://www.youtube.com/watch?v="&amp;M2519,"▶"))</f>
        <v/>
      </c>
      <c r="B2519" s="39">
        <f>IF(C2519&lt;&gt;"",C2519,IF(P2519&lt;=IFERROR(INDEX(tblChannels[Watched Through],MATCH(N2519,tblChannels[Channel ID],0)),0),"Watched","Unwatched"))</f>
        <v/>
      </c>
      <c r="C2519" s="40" t="n"/>
      <c r="D2519" s="41" t="n"/>
      <c r="E2519" s="42" t="n">
        <v>42786.625</v>
      </c>
      <c r="F2519" s="50" t="inlineStr">
        <is>
          <t>Super Carlin Brothers</t>
        </is>
      </c>
      <c r="G2519" t="inlineStr">
        <is>
          <t>Can Wolverine Google Autofill</t>
        </is>
      </c>
      <c r="H2519" s="44" t="n">
        <v>0.005069444444444444</v>
      </c>
      <c r="I2519" s="45" t="n">
        <v>206789</v>
      </c>
      <c r="J2519" s="45" t="n">
        <v>7143</v>
      </c>
      <c r="K2519" s="45" t="n">
        <v>1817</v>
      </c>
      <c r="L2519" s="46" t="n"/>
      <c r="M2519" s="47" t="n"/>
      <c r="N2519" s="47" t="inlineStr">
        <is>
          <t>UCKZo4N0lVPccBkSiuyVh4yg</t>
        </is>
      </c>
      <c r="O2519" s="48" t="n">
        <v>42786.83333333334</v>
      </c>
      <c r="P2519" s="49" t="n">
        <v>42786</v>
      </c>
      <c r="Q2519" s="47" t="n">
        <v>749</v>
      </c>
      <c r="R2519" s="47" t="inlineStr">
        <is>
          <t>No Video ID yet</t>
        </is>
      </c>
      <c r="S2519" s="49" t="n"/>
      <c r="T2519" s="49" t="n"/>
      <c r="U2519" s="47" t="inlineStr">
        <is>
          <t>With Marvel's latest addition to the Wolverine series "Logan" coming out soon J decided to play the Google Autofill game and ask Can Wolverine Google Autofill?</t>
        </is>
      </c>
      <c r="V2519" s="47">
        <f>IF(AND(P2519&gt;=Calendar!$K$2,P2519&lt;EDATE(Calendar!$K$2,1),OR(Calendar!$K$4="*",N2519=Calendar!$K$4)),P2519*100+COUNTIFS($P$6:$P$3267,P2519,$Q$6:$Q$3267,"&lt;="&amp;Q2519,$N$6:$N$3267,Calendar!$K$4),"")</f>
        <v/>
      </c>
      <c r="W2519" s="47">
        <f>IF(AND(B2519=Queue!$C$4,OR(Queue!$K$4="*",N2519=Queue!$K$4)),Q2519,"")</f>
        <v/>
      </c>
    </row>
    <row r="2520">
      <c r="A2520" s="38">
        <f>IF(M2520="","",HYPERLINK("https://www.youtube.com/watch?v="&amp;M2520,"▶"))</f>
        <v/>
      </c>
      <c r="B2520" s="39">
        <f>IF(C2520&lt;&gt;"",C2520,IF(P2520&lt;=IFERROR(INDEX(tblChannels[Watched Through],MATCH(N2520,tblChannels[Channel ID],0)),0),"Watched","Unwatched"))</f>
        <v/>
      </c>
      <c r="C2520" s="40" t="n"/>
      <c r="D2520" s="41" t="n"/>
      <c r="E2520" s="42" t="n">
        <v>42783.59513888889</v>
      </c>
      <c r="F2520" s="52" t="inlineStr">
        <is>
          <t>Super Carlin Gaming</t>
        </is>
      </c>
      <c r="G2520" t="inlineStr">
        <is>
          <t>Pokemon Emerald Nuzlocke #7: The Dustox Showdown</t>
        </is>
      </c>
      <c r="H2520" s="44" t="n">
        <v>0.01967592592592593</v>
      </c>
      <c r="I2520" s="45" t="n">
        <v>37837</v>
      </c>
      <c r="J2520" s="45" t="n">
        <v>764</v>
      </c>
      <c r="K2520" s="45" t="n">
        <v>383</v>
      </c>
      <c r="L2520" s="46" t="n"/>
      <c r="M2520" s="47" t="n"/>
      <c r="N2520" s="47" t="inlineStr">
        <is>
          <t>UCor_9jRnNNZVzTuQ92PKsaQ</t>
        </is>
      </c>
      <c r="O2520" s="48" t="n">
        <v>42783.80347222222</v>
      </c>
      <c r="P2520" s="49" t="n">
        <v>42783</v>
      </c>
      <c r="Q2520" s="47" t="n">
        <v>748</v>
      </c>
      <c r="R2520" s="47" t="inlineStr">
        <is>
          <t>No Video ID yet</t>
        </is>
      </c>
      <c r="S2520" s="49" t="n"/>
      <c r="T2520" s="49" t="n"/>
      <c r="U2520" s="47" t="inlineStr">
        <is>
          <t>Training continues for our 3rd Gym Battle! Mayonnaise makes another appearance and someone tries to claim Dustox dominance - Will Astro and Siru prevail??</t>
        </is>
      </c>
      <c r="V2520" s="47">
        <f>IF(AND(P2520&gt;=Calendar!$K$2,P2520&lt;EDATE(Calendar!$K$2,1),OR(Calendar!$K$4="*",N2520=Calendar!$K$4)),P2520*100+COUNTIFS($P$6:$P$3267,P2520,$Q$6:$Q$3267,"&lt;="&amp;Q2520,$N$6:$N$3267,Calendar!$K$4),"")</f>
        <v/>
      </c>
      <c r="W2520" s="47">
        <f>IF(AND(B2520=Queue!$C$4,OR(Queue!$K$4="*",N2520=Queue!$K$4)),Q2520,"")</f>
        <v/>
      </c>
    </row>
    <row r="2521">
      <c r="A2521" s="38">
        <f>IF(M2521="","",HYPERLINK("https://www.youtube.com/watch?v="&amp;M2521,"▶"))</f>
        <v/>
      </c>
      <c r="B2521" s="39">
        <f>IF(C2521&lt;&gt;"",C2521,IF(P2521&lt;=IFERROR(INDEX(tblChannels[Watched Through],MATCH(N2521,tblChannels[Channel ID],0)),0),"Watched","Unwatched"))</f>
        <v/>
      </c>
      <c r="C2521" s="40" t="n"/>
      <c r="D2521" s="41" t="n"/>
      <c r="E2521" s="42" t="n">
        <v>42782.80416666667</v>
      </c>
      <c r="F2521" s="50" t="inlineStr">
        <is>
          <t>Super Carlin Brothers</t>
        </is>
      </c>
      <c r="G2521" t="inlineStr">
        <is>
          <t>Is LEGO Batman The Best Batman Movie? | REVIEW</t>
        </is>
      </c>
      <c r="H2521" s="44" t="n">
        <v>0.01760416666666667</v>
      </c>
      <c r="I2521" s="45" t="n">
        <v>232912</v>
      </c>
      <c r="J2521" s="45" t="n">
        <v>5902</v>
      </c>
      <c r="K2521" s="45" t="n">
        <v>1515</v>
      </c>
      <c r="L2521" s="46" t="n"/>
      <c r="M2521" s="47" t="n"/>
      <c r="N2521" s="47" t="inlineStr">
        <is>
          <t>UCKZo4N0lVPccBkSiuyVh4yg</t>
        </is>
      </c>
      <c r="O2521" s="48" t="n">
        <v>42783.0125</v>
      </c>
      <c r="P2521" s="49" t="n">
        <v>42782</v>
      </c>
      <c r="Q2521" s="47" t="n">
        <v>747</v>
      </c>
      <c r="R2521" s="47" t="inlineStr">
        <is>
          <t>No Video ID yet</t>
        </is>
      </c>
      <c r="S2521" s="49" t="n"/>
      <c r="T2521" s="49" t="n"/>
      <c r="U2521" s="47" t="inlineStr">
        <is>
          <t>J and Ben review the LEGO Batman movie to determine if it is in fact the BEST Batman movie? What were you're thoughts? Better or worse than The LEGO Movie?</t>
        </is>
      </c>
      <c r="V2521" s="47">
        <f>IF(AND(P2521&gt;=Calendar!$K$2,P2521&lt;EDATE(Calendar!$K$2,1),OR(Calendar!$K$4="*",N2521=Calendar!$K$4)),P2521*100+COUNTIFS($P$6:$P$3267,P2521,$Q$6:$Q$3267,"&lt;="&amp;Q2521,$N$6:$N$3267,Calendar!$K$4),"")</f>
        <v/>
      </c>
      <c r="W2521" s="47">
        <f>IF(AND(B2521=Queue!$C$4,OR(Queue!$K$4="*",N2521=Queue!$K$4)),Q2521,"")</f>
        <v/>
      </c>
    </row>
    <row r="2522">
      <c r="A2522" s="38">
        <f>IF(M2522="","",HYPERLINK("https://www.youtube.com/watch?v="&amp;M2522,"▶"))</f>
        <v/>
      </c>
      <c r="B2522" s="39">
        <f>IF(C2522&lt;&gt;"",C2522,IF(P2522&lt;=IFERROR(INDEX(tblChannels[Watched Through],MATCH(N2522,tblChannels[Channel ID],0)),0),"Watched","Unwatched"))</f>
        <v/>
      </c>
      <c r="C2522" s="40" t="n"/>
      <c r="D2522" s="41" t="n"/>
      <c r="E2522" s="42" t="n">
        <v>42781.625</v>
      </c>
      <c r="F2522" s="52" t="inlineStr">
        <is>
          <t>Super Carlin Gaming</t>
        </is>
      </c>
      <c r="G2522" t="inlineStr">
        <is>
          <t>Pokemon Emerald Nuzlocke #6: Grapefruit Returns!</t>
        </is>
      </c>
      <c r="H2522" s="44" t="n">
        <v>0.01476851851851852</v>
      </c>
      <c r="I2522" s="45" t="n">
        <v>35280</v>
      </c>
      <c r="J2522" s="45" t="n">
        <v>766</v>
      </c>
      <c r="K2522" s="45" t="n">
        <v>313</v>
      </c>
      <c r="L2522" s="46" t="n"/>
      <c r="M2522" s="47" t="n"/>
      <c r="N2522" s="47" t="inlineStr">
        <is>
          <t>UCor_9jRnNNZVzTuQ92PKsaQ</t>
        </is>
      </c>
      <c r="O2522" s="48" t="n">
        <v>42781.83333333334</v>
      </c>
      <c r="P2522" s="49" t="n">
        <v>42781</v>
      </c>
      <c r="Q2522" s="47" t="n">
        <v>746</v>
      </c>
      <c r="R2522" s="47" t="inlineStr">
        <is>
          <t>No Video ID yet</t>
        </is>
      </c>
      <c r="S2522" s="49" t="n"/>
      <c r="T2522" s="49" t="n"/>
      <c r="U2522" s="47" t="inlineStr">
        <is>
          <t>A new member joins the team, and we face off once more with our hated rival GRAPEFRUIT! We gotten a lot stronger since our last encounter.. but is it enough to survive?</t>
        </is>
      </c>
      <c r="V2522" s="47">
        <f>IF(AND(P2522&gt;=Calendar!$K$2,P2522&lt;EDATE(Calendar!$K$2,1),OR(Calendar!$K$4="*",N2522=Calendar!$K$4)),P2522*100+COUNTIFS($P$6:$P$3267,P2522,$Q$6:$Q$3267,"&lt;="&amp;Q2522,$N$6:$N$3267,Calendar!$K$4),"")</f>
        <v/>
      </c>
      <c r="W2522" s="47">
        <f>IF(AND(B2522=Queue!$C$4,OR(Queue!$K$4="*",N2522=Queue!$K$4)),Q2522,"")</f>
        <v/>
      </c>
    </row>
    <row r="2523">
      <c r="A2523" s="38">
        <f>IF(M2523="","",HYPERLINK("https://www.youtube.com/watch?v="&amp;M2523,"▶"))</f>
        <v/>
      </c>
      <c r="B2523" s="39">
        <f>IF(C2523&lt;&gt;"",C2523,IF(P2523&lt;=IFERROR(INDEX(tblChannels[Watched Through],MATCH(N2523,tblChannels[Channel ID],0)),0),"Watched","Unwatched"))</f>
        <v/>
      </c>
      <c r="C2523" s="40" t="n"/>
      <c r="D2523" s="41" t="n"/>
      <c r="E2523" s="42" t="n">
        <v>42780.66527777778</v>
      </c>
      <c r="F2523" s="50" t="inlineStr">
        <is>
          <t>Super Carlin Brothers</t>
        </is>
      </c>
      <c r="G2523" t="inlineStr">
        <is>
          <t>Top 10 Most Romantic Moments In Pixar</t>
        </is>
      </c>
      <c r="H2523" s="44" t="n">
        <v>0.006585648148148148</v>
      </c>
      <c r="I2523" s="45" t="n">
        <v>453423</v>
      </c>
      <c r="J2523" s="45" t="n">
        <v>15653</v>
      </c>
      <c r="K2523" s="45" t="n">
        <v>2238</v>
      </c>
      <c r="L2523" s="46" t="n"/>
      <c r="M2523" s="47" t="n"/>
      <c r="N2523" s="47" t="inlineStr">
        <is>
          <t>UCKZo4N0lVPccBkSiuyVh4yg</t>
        </is>
      </c>
      <c r="O2523" s="48" t="n">
        <v>42780.87361111111</v>
      </c>
      <c r="P2523" s="49" t="n">
        <v>42780</v>
      </c>
      <c r="Q2523" s="47" t="n">
        <v>745</v>
      </c>
      <c r="R2523" s="47" t="inlineStr">
        <is>
          <t>No Video ID yet</t>
        </is>
      </c>
      <c r="S2523" s="49" t="n"/>
      <c r="T2523" s="49" t="n"/>
      <c r="U2523" s="47" t="inlineStr">
        <is>
          <t>Happy Valentines Day! Ah the holiday of Love and here and Super Carlin Brothers we love Pixar, so today we are counting down the Top 10 Most Romantic Moments in Pixar. Pizza Planet Shirt ::</t>
        </is>
      </c>
      <c r="V2523" s="47">
        <f>IF(AND(P2523&gt;=Calendar!$K$2,P2523&lt;EDATE(Calendar!$K$2,1),OR(Calendar!$K$4="*",N2523=Calendar!$K$4)),P2523*100+COUNTIFS($P$6:$P$3267,P2523,$Q$6:$Q$3267,"&lt;="&amp;Q2523,$N$6:$N$3267,Calendar!$K$4),"")</f>
        <v/>
      </c>
      <c r="W2523" s="47">
        <f>IF(AND(B2523=Queue!$C$4,OR(Queue!$K$4="*",N2523=Queue!$K$4)),Q2523,"")</f>
        <v/>
      </c>
    </row>
    <row r="2524">
      <c r="A2524" s="38">
        <f>IF(M2524="","",HYPERLINK("https://www.youtube.com/watch?v="&amp;M2524,"▶"))</f>
        <v/>
      </c>
      <c r="B2524" s="39">
        <f>IF(C2524&lt;&gt;"",C2524,IF(P2524&lt;=IFERROR(INDEX(tblChannels[Watched Through],MATCH(N2524,tblChannels[Channel ID],0)),0),"Watched","Unwatched"))</f>
        <v/>
      </c>
      <c r="C2524" s="40" t="n"/>
      <c r="D2524" s="41" t="n"/>
      <c r="E2524" s="42" t="n">
        <v>42779.625</v>
      </c>
      <c r="F2524" s="52" t="inlineStr">
        <is>
          <t>Super Carlin Gaming</t>
        </is>
      </c>
      <c r="G2524" t="inlineStr">
        <is>
          <t>Pokemon Emerald Nuzlocke #5: Journey to Slateport</t>
        </is>
      </c>
      <c r="H2524" s="44" t="n">
        <v>0.02141203703703704</v>
      </c>
      <c r="I2524" s="45" t="n">
        <v>41554</v>
      </c>
      <c r="J2524" s="45" t="n">
        <v>805</v>
      </c>
      <c r="K2524" s="45" t="n">
        <v>552</v>
      </c>
      <c r="L2524" s="46" t="n"/>
      <c r="M2524" s="47" t="n"/>
      <c r="N2524" s="47" t="inlineStr">
        <is>
          <t>UCor_9jRnNNZVzTuQ92PKsaQ</t>
        </is>
      </c>
      <c r="O2524" s="48" t="n">
        <v>42779.83333333334</v>
      </c>
      <c r="P2524" s="49" t="n">
        <v>42779</v>
      </c>
      <c r="Q2524" s="47" t="n">
        <v>744</v>
      </c>
      <c r="R2524" s="47" t="inlineStr">
        <is>
          <t>No Video ID yet</t>
        </is>
      </c>
      <c r="S2524" s="49" t="n"/>
      <c r="T2524" s="49" t="n"/>
      <c r="U2524" s="47" t="inlineStr">
        <is>
          <t>J and the team are recovering to from the tragic loss of Yarden and moving on by.. running errands? Geez, why do all of the adults in this game dump all of their responsibilities on us? At least we get to continue our journey by heading to Slateport!</t>
        </is>
      </c>
      <c r="V2524" s="47">
        <f>IF(AND(P2524&gt;=Calendar!$K$2,P2524&lt;EDATE(Calendar!$K$2,1),OR(Calendar!$K$4="*",N2524=Calendar!$K$4)),P2524*100+COUNTIFS($P$6:$P$3267,P2524,$Q$6:$Q$3267,"&lt;="&amp;Q2524,$N$6:$N$3267,Calendar!$K$4),"")</f>
        <v/>
      </c>
      <c r="W2524" s="47">
        <f>IF(AND(B2524=Queue!$C$4,OR(Queue!$K$4="*",N2524=Queue!$K$4)),Q2524,"")</f>
        <v/>
      </c>
    </row>
    <row r="2525">
      <c r="A2525" s="38">
        <f>IF(M2525="","",HYPERLINK("https://www.youtube.com/watch?v="&amp;M2525,"▶"))</f>
        <v/>
      </c>
      <c r="B2525" s="39">
        <f>IF(C2525&lt;&gt;"",C2525,IF(P2525&lt;=IFERROR(INDEX(tblChannels[Watched Through],MATCH(N2525,tblChannels[Channel ID],0)),0),"Watched","Unwatched"))</f>
        <v/>
      </c>
      <c r="C2525" s="40" t="n"/>
      <c r="D2525" s="41" t="n"/>
      <c r="E2525" s="42" t="n">
        <v>42776.625</v>
      </c>
      <c r="F2525" s="52" t="inlineStr">
        <is>
          <t>Super Carlin Gaming</t>
        </is>
      </c>
      <c r="G2525" t="inlineStr">
        <is>
          <t>Pokemon Emerald Nuzlocke #4: It's Time To Brawly</t>
        </is>
      </c>
      <c r="H2525" s="44" t="n">
        <v>0.02518518518518519</v>
      </c>
      <c r="I2525" s="45" t="n">
        <v>49197</v>
      </c>
      <c r="J2525" s="45" t="n">
        <v>1111</v>
      </c>
      <c r="K2525" s="45" t="n">
        <v>492</v>
      </c>
      <c r="L2525" s="46" t="n"/>
      <c r="M2525" s="47" t="n"/>
      <c r="N2525" s="47" t="inlineStr">
        <is>
          <t>UCor_9jRnNNZVzTuQ92PKsaQ</t>
        </is>
      </c>
      <c r="O2525" s="48" t="n">
        <v>42776.83333333334</v>
      </c>
      <c r="P2525" s="49" t="n">
        <v>42776</v>
      </c>
      <c r="Q2525" s="47" t="n">
        <v>743</v>
      </c>
      <c r="R2525" s="47" t="inlineStr">
        <is>
          <t>No Video ID yet</t>
        </is>
      </c>
      <c r="S2525" s="49" t="n"/>
      <c r="T2525" s="49" t="n"/>
      <c r="U2525" s="47" t="inlineStr">
        <is>
          <t>J, Flo and Co. head to Dewford to deliver a letter and show down with the next gym leader: Brawly. His fighting types are hard hitting, can the team survive the battle?</t>
        </is>
      </c>
      <c r="V2525" s="47">
        <f>IF(AND(P2525&gt;=Calendar!$K$2,P2525&lt;EDATE(Calendar!$K$2,1),OR(Calendar!$K$4="*",N2525=Calendar!$K$4)),P2525*100+COUNTIFS($P$6:$P$3267,P2525,$Q$6:$Q$3267,"&lt;="&amp;Q2525,$N$6:$N$3267,Calendar!$K$4),"")</f>
        <v/>
      </c>
      <c r="W2525" s="47">
        <f>IF(AND(B2525=Queue!$C$4,OR(Queue!$K$4="*",N2525=Queue!$K$4)),Q2525,"")</f>
        <v/>
      </c>
    </row>
    <row r="2526">
      <c r="A2526" s="38">
        <f>IF(M2526="","",HYPERLINK("https://www.youtube.com/watch?v="&amp;M2526,"▶"))</f>
        <v/>
      </c>
      <c r="B2526" s="39">
        <f>IF(C2526&lt;&gt;"",C2526,IF(P2526&lt;=IFERROR(INDEX(tblChannels[Watched Through],MATCH(N2526,tblChannels[Channel ID],0)),0),"Watched","Unwatched"))</f>
        <v/>
      </c>
      <c r="C2526" s="40" t="n"/>
      <c r="D2526" s="41" t="n"/>
      <c r="E2526" s="42" t="n">
        <v>42775.76458333333</v>
      </c>
      <c r="F2526" s="50" t="inlineStr">
        <is>
          <t>Super Carlin Brothers</t>
        </is>
      </c>
      <c r="G2526" t="inlineStr">
        <is>
          <t>Star Wars Theory: Did Han Solo Commit Suicide?</t>
        </is>
      </c>
      <c r="H2526" s="44" t="n">
        <v>0.004444444444444444</v>
      </c>
      <c r="I2526" s="45" t="n">
        <v>587318</v>
      </c>
      <c r="J2526" s="45" t="n">
        <v>19467</v>
      </c>
      <c r="K2526" s="45" t="n">
        <v>3245</v>
      </c>
      <c r="L2526" s="46" t="n"/>
      <c r="M2526" s="47" t="n"/>
      <c r="N2526" s="47" t="inlineStr">
        <is>
          <t>UCKZo4N0lVPccBkSiuyVh4yg</t>
        </is>
      </c>
      <c r="O2526" s="48" t="n">
        <v>42775.97291666667</v>
      </c>
      <c r="P2526" s="49" t="n">
        <v>42775</v>
      </c>
      <c r="Q2526" s="47" t="n">
        <v>742</v>
      </c>
      <c r="R2526" s="47" t="inlineStr">
        <is>
          <t>No Video ID yet</t>
        </is>
      </c>
      <c r="S2526" s="49" t="n"/>
      <c r="T2526" s="49" t="n"/>
      <c r="U2526" s="47" t="inlineStr">
        <is>
          <t>Today Ben dives into the Star Wars universe to tackle a much debated topic - How and Why did Han Solo die? Did he know Kylo Ren was going to kill him? Did he kill himself?</t>
        </is>
      </c>
      <c r="V2526" s="47">
        <f>IF(AND(P2526&gt;=Calendar!$K$2,P2526&lt;EDATE(Calendar!$K$2,1),OR(Calendar!$K$4="*",N2526=Calendar!$K$4)),P2526*100+COUNTIFS($P$6:$P$3267,P2526,$Q$6:$Q$3267,"&lt;="&amp;Q2526,$N$6:$N$3267,Calendar!$K$4),"")</f>
        <v/>
      </c>
      <c r="W2526" s="47">
        <f>IF(AND(B2526=Queue!$C$4,OR(Queue!$K$4="*",N2526=Queue!$K$4)),Q2526,"")</f>
        <v/>
      </c>
    </row>
    <row r="2527">
      <c r="A2527" s="38">
        <f>IF(M2527="","",HYPERLINK("https://www.youtube.com/watch?v="&amp;M2527,"▶"))</f>
        <v/>
      </c>
      <c r="B2527" s="39">
        <f>IF(C2527&lt;&gt;"",C2527,IF(P2527&lt;=IFERROR(INDEX(tblChannels[Watched Through],MATCH(N2527,tblChannels[Channel ID],0)),0),"Watched","Unwatched"))</f>
        <v/>
      </c>
      <c r="C2527" s="40" t="n"/>
      <c r="D2527" s="41" t="n"/>
      <c r="E2527" s="42" t="n">
        <v>42774.625</v>
      </c>
      <c r="F2527" s="52" t="inlineStr">
        <is>
          <t>Super Carlin Gaming</t>
        </is>
      </c>
      <c r="G2527" t="inlineStr">
        <is>
          <t>Pokemon Emerald Nuzlocke #3: A Shiny New Badge</t>
        </is>
      </c>
      <c r="H2527" s="44" t="n">
        <v>0.02074074074074074</v>
      </c>
      <c r="I2527" s="45" t="n">
        <v>52250</v>
      </c>
      <c r="J2527" s="45" t="n">
        <v>1073</v>
      </c>
      <c r="K2527" s="45" t="n">
        <v>645</v>
      </c>
      <c r="L2527" s="46" t="n"/>
      <c r="M2527" s="47" t="n"/>
      <c r="N2527" s="47" t="inlineStr">
        <is>
          <t>UCor_9jRnNNZVzTuQ92PKsaQ</t>
        </is>
      </c>
      <c r="O2527" s="48" t="n">
        <v>42774.83333333334</v>
      </c>
      <c r="P2527" s="49" t="n">
        <v>42774</v>
      </c>
      <c r="Q2527" s="47" t="n">
        <v>741</v>
      </c>
      <c r="R2527" s="47" t="inlineStr">
        <is>
          <t>No Video ID yet</t>
        </is>
      </c>
      <c r="S2527" s="49" t="n"/>
      <c r="T2527" s="49" t="n"/>
      <c r="U2527" s="47" t="inlineStr">
        <is>
          <t>J and the Team are ready for their first Gym battle, but can they handle Roxanne's Nosepass without any casualties and earn a shiny new badge?</t>
        </is>
      </c>
      <c r="V2527" s="47">
        <f>IF(AND(P2527&gt;=Calendar!$K$2,P2527&lt;EDATE(Calendar!$K$2,1),OR(Calendar!$K$4="*",N2527=Calendar!$K$4)),P2527*100+COUNTIFS($P$6:$P$3267,P2527,$Q$6:$Q$3267,"&lt;="&amp;Q2527,$N$6:$N$3267,Calendar!$K$4),"")</f>
        <v/>
      </c>
      <c r="W2527" s="47">
        <f>IF(AND(B2527=Queue!$C$4,OR(Queue!$K$4="*",N2527=Queue!$K$4)),Q2527,"")</f>
        <v/>
      </c>
    </row>
    <row r="2528">
      <c r="A2528" s="38">
        <f>IF(M2528="","",HYPERLINK("https://www.youtube.com/watch?v="&amp;M2528,"▶"))</f>
        <v/>
      </c>
      <c r="B2528" s="39">
        <f>IF(C2528&lt;&gt;"",C2528,IF(P2528&lt;=IFERROR(INDEX(tblChannels[Watched Through],MATCH(N2528,tblChannels[Channel ID],0)),0),"Watched","Unwatched"))</f>
        <v/>
      </c>
      <c r="C2528" s="40" t="n"/>
      <c r="D2528" s="41" t="n"/>
      <c r="E2528" s="42" t="n">
        <v>42773.83472222222</v>
      </c>
      <c r="F2528" s="50" t="inlineStr">
        <is>
          <t>Super Carlin Brothers</t>
        </is>
      </c>
      <c r="G2528" t="inlineStr">
        <is>
          <t>Is Radiator Springs A Real Town?</t>
        </is>
      </c>
      <c r="H2528" s="44" t="n">
        <v>0.005844907407407407</v>
      </c>
      <c r="I2528" s="45" t="n">
        <v>757410</v>
      </c>
      <c r="J2528" s="45" t="n">
        <v>19128</v>
      </c>
      <c r="K2528" s="45" t="n">
        <v>2806</v>
      </c>
      <c r="L2528" s="46" t="n"/>
      <c r="M2528" s="47" t="n"/>
      <c r="N2528" s="47" t="inlineStr">
        <is>
          <t>UCKZo4N0lVPccBkSiuyVh4yg</t>
        </is>
      </c>
      <c r="O2528" s="48" t="n">
        <v>42774.04305555556</v>
      </c>
      <c r="P2528" s="49" t="n">
        <v>42773</v>
      </c>
      <c r="Q2528" s="47" t="n">
        <v>740</v>
      </c>
      <c r="R2528" s="47" t="inlineStr">
        <is>
          <t>No Video ID yet</t>
        </is>
      </c>
      <c r="S2528" s="49" t="n"/>
      <c r="T2528" s="49" t="n"/>
      <c r="U2528" s="47" t="inlineStr">
        <is>
          <t>Today J dives into the world of Disney Pixar's Cars and takes a trip down Historic Route 66 to determine: Is Radiator Springs a Real Town? Nuzlocke Challenge ::</t>
        </is>
      </c>
      <c r="V2528" s="47">
        <f>IF(AND(P2528&gt;=Calendar!$K$2,P2528&lt;EDATE(Calendar!$K$2,1),OR(Calendar!$K$4="*",N2528=Calendar!$K$4)),P2528*100+COUNTIFS($P$6:$P$3267,P2528,$Q$6:$Q$3267,"&lt;="&amp;Q2528,$N$6:$N$3267,Calendar!$K$4),"")</f>
        <v/>
      </c>
      <c r="W2528" s="47">
        <f>IF(AND(B2528=Queue!$C$4,OR(Queue!$K$4="*",N2528=Queue!$K$4)),Q2528,"")</f>
        <v/>
      </c>
    </row>
    <row r="2529">
      <c r="A2529" s="38">
        <f>IF(M2529="","",HYPERLINK("https://www.youtube.com/watch?v="&amp;M2529,"▶"))</f>
        <v/>
      </c>
      <c r="B2529" s="39">
        <f>IF(C2529&lt;&gt;"",C2529,IF(P2529&lt;=IFERROR(INDEX(tblChannels[Watched Through],MATCH(N2529,tblChannels[Channel ID],0)),0),"Watched","Unwatched"))</f>
        <v/>
      </c>
      <c r="C2529" s="40" t="n"/>
      <c r="D2529" s="41" t="n"/>
      <c r="E2529" s="42" t="n">
        <v>42772.625</v>
      </c>
      <c r="F2529" s="52" t="inlineStr">
        <is>
          <t>Super Carlin Gaming</t>
        </is>
      </c>
      <c r="G2529" t="inlineStr">
        <is>
          <t>Pokemon Emerald Nuzlocke #2: Team Building</t>
        </is>
      </c>
      <c r="H2529" s="44" t="n">
        <v>0.02224537037037037</v>
      </c>
      <c r="I2529" s="45" t="n">
        <v>59674</v>
      </c>
      <c r="J2529" s="45" t="n">
        <v>1172</v>
      </c>
      <c r="K2529" s="45" t="n">
        <v>667</v>
      </c>
      <c r="L2529" s="46" t="n"/>
      <c r="M2529" s="47" t="n"/>
      <c r="N2529" s="47" t="inlineStr">
        <is>
          <t>UCor_9jRnNNZVzTuQ92PKsaQ</t>
        </is>
      </c>
      <c r="O2529" s="48" t="n">
        <v>42772.83333333334</v>
      </c>
      <c r="P2529" s="49" t="n">
        <v>42772</v>
      </c>
      <c r="Q2529" s="47" t="n">
        <v>739</v>
      </c>
      <c r="R2529" s="47" t="inlineStr">
        <is>
          <t>No Video ID yet</t>
        </is>
      </c>
      <c r="S2529" s="49" t="n"/>
      <c r="T2529" s="49" t="n"/>
      <c r="U2529" s="47" t="inlineStr">
        <is>
          <t>J and Flo head out of Verdanturf town towards their first Gym, but first we need to a little team building.. hopefully none get away...</t>
        </is>
      </c>
      <c r="V2529" s="47">
        <f>IF(AND(P2529&gt;=Calendar!$K$2,P2529&lt;EDATE(Calendar!$K$2,1),OR(Calendar!$K$4="*",N2529=Calendar!$K$4)),P2529*100+COUNTIFS($P$6:$P$3267,P2529,$Q$6:$Q$3267,"&lt;="&amp;Q2529,$N$6:$N$3267,Calendar!$K$4),"")</f>
        <v/>
      </c>
      <c r="W2529" s="47">
        <f>IF(AND(B2529=Queue!$C$4,OR(Queue!$K$4="*",N2529=Queue!$K$4)),Q2529,"")</f>
        <v/>
      </c>
    </row>
    <row r="2530">
      <c r="A2530" s="38">
        <f>IF(M2530="","",HYPERLINK("https://www.youtube.com/watch?v="&amp;M2530,"▶"))</f>
        <v/>
      </c>
      <c r="B2530" s="39">
        <f>IF(C2530&lt;&gt;"",C2530,IF(P2530&lt;=IFERROR(INDEX(tblChannels[Watched Through],MATCH(N2530,tblChannels[Channel ID],0)),0),"Watched","Unwatched"))</f>
        <v/>
      </c>
      <c r="C2530" s="40" t="n"/>
      <c r="D2530" s="41" t="n"/>
      <c r="E2530" s="42" t="n">
        <v>42770.41666666666</v>
      </c>
      <c r="F2530" s="50" t="inlineStr">
        <is>
          <t>Super Carlin Brothers</t>
        </is>
      </c>
      <c r="G2530" t="inlineStr">
        <is>
          <t>Loot Crate Unboxing | ORIGINS</t>
        </is>
      </c>
      <c r="H2530" s="44" t="n">
        <v>0.007592592592592593</v>
      </c>
      <c r="I2530" s="45" t="n">
        <v>106528</v>
      </c>
      <c r="J2530" s="45" t="n">
        <v>4334</v>
      </c>
      <c r="K2530" s="45" t="n">
        <v>1524</v>
      </c>
      <c r="L2530" s="46" t="n"/>
      <c r="M2530" s="47" t="n"/>
      <c r="N2530" s="47" t="inlineStr">
        <is>
          <t>UCKZo4N0lVPccBkSiuyVh4yg</t>
        </is>
      </c>
      <c r="O2530" s="48" t="n">
        <v>42770.625</v>
      </c>
      <c r="P2530" s="49" t="n">
        <v>42770</v>
      </c>
      <c r="Q2530" s="47" t="n">
        <v>738</v>
      </c>
      <c r="R2530" s="47" t="inlineStr">
        <is>
          <t>No Video ID yet</t>
        </is>
      </c>
      <c r="S2530" s="49" t="n"/>
      <c r="T2530" s="49" t="n"/>
      <c r="U2530" s="47" t="inlineStr">
        <is>
          <t>Get 10% Off your Loot Crate order at: Promo Code: CARLIN J and Ben are unboxing another Loot Crate and this months theme is Origins! They uncover all sorts of awesome stuff from Super Mario Brothers, Captain America, Teenage Mutant Ninja Turtles and Super Man!</t>
        </is>
      </c>
      <c r="V2530" s="47">
        <f>IF(AND(P2530&gt;=Calendar!$K$2,P2530&lt;EDATE(Calendar!$K$2,1),OR(Calendar!$K$4="*",N2530=Calendar!$K$4)),P2530*100+COUNTIFS($P$6:$P$3267,P2530,$Q$6:$Q$3267,"&lt;="&amp;Q2530,$N$6:$N$3267,Calendar!$K$4),"")</f>
        <v/>
      </c>
      <c r="W2530" s="47">
        <f>IF(AND(B2530=Queue!$C$4,OR(Queue!$K$4="*",N2530=Queue!$K$4)),Q2530,"")</f>
        <v/>
      </c>
    </row>
    <row r="2531">
      <c r="A2531" s="38">
        <f>IF(M2531="","",HYPERLINK("https://www.youtube.com/watch?v="&amp;M2531,"▶"))</f>
        <v/>
      </c>
      <c r="B2531" s="39">
        <f>IF(C2531&lt;&gt;"",C2531,IF(P2531&lt;=IFERROR(INDEX(tblChannels[Watched Through],MATCH(N2531,tblChannels[Channel ID],0)),0),"Watched","Unwatched"))</f>
        <v/>
      </c>
      <c r="C2531" s="40" t="n"/>
      <c r="D2531" s="41" t="n"/>
      <c r="E2531" s="42" t="n">
        <v>42769.625</v>
      </c>
      <c r="F2531" s="52" t="inlineStr">
        <is>
          <t>Super Carlin Gaming</t>
        </is>
      </c>
      <c r="G2531" t="inlineStr">
        <is>
          <t>Pokemon Emerald Nuzlocke #1: Our Journey Begins!</t>
        </is>
      </c>
      <c r="H2531" s="44" t="n">
        <v>0.0112962962962963</v>
      </c>
      <c r="I2531" s="45" t="n">
        <v>107841</v>
      </c>
      <c r="J2531" s="45" t="n">
        <v>2062</v>
      </c>
      <c r="K2531" s="45" t="n">
        <v>1206</v>
      </c>
      <c r="L2531" s="46" t="n"/>
      <c r="M2531" s="47" t="n"/>
      <c r="N2531" s="47" t="inlineStr">
        <is>
          <t>UCor_9jRnNNZVzTuQ92PKsaQ</t>
        </is>
      </c>
      <c r="O2531" s="48" t="n">
        <v>42769.83333333334</v>
      </c>
      <c r="P2531" s="49" t="n">
        <v>42769</v>
      </c>
      <c r="Q2531" s="47" t="n">
        <v>737</v>
      </c>
      <c r="R2531" s="47" t="inlineStr">
        <is>
          <t>No Video ID yet</t>
        </is>
      </c>
      <c r="S2531" s="49" t="n"/>
      <c r="T2531" s="49" t="n"/>
      <c r="U2531" s="47" t="inlineStr">
        <is>
          <t>We are back! J starts his next Nuzlocke adventure in the Hoenn region as he takes on Pokemon Emerald - What will his starter pokemon be?? 5. Shiny Clause - Any shiny pokemon at all is catchable regardless of when you run into it.</t>
        </is>
      </c>
      <c r="V2531" s="47">
        <f>IF(AND(P2531&gt;=Calendar!$K$2,P2531&lt;EDATE(Calendar!$K$2,1),OR(Calendar!$K$4="*",N2531=Calendar!$K$4)),P2531*100+COUNTIFS($P$6:$P$3267,P2531,$Q$6:$Q$3267,"&lt;="&amp;Q2531,$N$6:$N$3267,Calendar!$K$4),"")</f>
        <v/>
      </c>
      <c r="W2531" s="47">
        <f>IF(AND(B2531=Queue!$C$4,OR(Queue!$K$4="*",N2531=Queue!$K$4)),Q2531,"")</f>
        <v/>
      </c>
    </row>
    <row r="2532">
      <c r="A2532" s="38">
        <f>IF(M2532="","",HYPERLINK("https://www.youtube.com/watch?v="&amp;M2532,"▶"))</f>
        <v/>
      </c>
      <c r="B2532" s="39">
        <f>IF(C2532&lt;&gt;"",C2532,IF(P2532&lt;=IFERROR(INDEX(tblChannels[Watched Through],MATCH(N2532,tblChannels[Channel ID],0)),0),"Watched","Unwatched"))</f>
        <v/>
      </c>
      <c r="C2532" s="40" t="n"/>
      <c r="D2532" s="41" t="n"/>
      <c r="E2532" s="42" t="n">
        <v>42768.74097222222</v>
      </c>
      <c r="F2532" s="50" t="inlineStr">
        <is>
          <t>Super Carlin Brothers</t>
        </is>
      </c>
      <c r="G2532" t="inlineStr">
        <is>
          <t>Harry Potter Theory: Golden Flames Explained</t>
        </is>
      </c>
      <c r="H2532" s="44" t="n">
        <v>0.005972222222222223</v>
      </c>
      <c r="I2532" s="45" t="n">
        <v>1562964</v>
      </c>
      <c r="J2532" s="45" t="n">
        <v>34720</v>
      </c>
      <c r="K2532" s="45" t="n">
        <v>3713</v>
      </c>
      <c r="L2532" s="46" t="n"/>
      <c r="M2532" s="47" t="n"/>
      <c r="N2532" s="47" t="inlineStr">
        <is>
          <t>UCKZo4N0lVPccBkSiuyVh4yg</t>
        </is>
      </c>
      <c r="O2532" s="48" t="n">
        <v>42768.94930555556</v>
      </c>
      <c r="P2532" s="49" t="n">
        <v>42768</v>
      </c>
      <c r="Q2532" s="47" t="n">
        <v>736</v>
      </c>
      <c r="R2532" s="47" t="inlineStr">
        <is>
          <t>No Video ID yet</t>
        </is>
      </c>
      <c r="S2532" s="49" t="n"/>
      <c r="T2532" s="49" t="n"/>
      <c r="U2532" s="47" t="inlineStr">
        <is>
          <t>Today Ben dives into the wizarding world of Harry Potter with a new theory to explain how Harry ACTUALLY created the golden flames he uses against Voldemort in the Deathly Hallows.</t>
        </is>
      </c>
      <c r="V2532" s="47">
        <f>IF(AND(P2532&gt;=Calendar!$K$2,P2532&lt;EDATE(Calendar!$K$2,1),OR(Calendar!$K$4="*",N2532=Calendar!$K$4)),P2532*100+COUNTIFS($P$6:$P$3267,P2532,$Q$6:$Q$3267,"&lt;="&amp;Q2532,$N$6:$N$3267,Calendar!$K$4),"")</f>
        <v/>
      </c>
      <c r="W2532" s="47">
        <f>IF(AND(B2532=Queue!$C$4,OR(Queue!$K$4="*",N2532=Queue!$K$4)),Q2532,"")</f>
        <v/>
      </c>
    </row>
    <row r="2533">
      <c r="A2533" s="38">
        <f>IF(M2533="","",HYPERLINK("https://www.youtube.com/watch?v="&amp;M2533,"▶"))</f>
        <v/>
      </c>
      <c r="B2533" s="39">
        <f>IF(C2533&lt;&gt;"",C2533,IF(P2533&lt;=IFERROR(INDEX(tblChannels[Watched Through],MATCH(N2533,tblChannels[Channel ID],0)),0),"Watched","Unwatched"))</f>
        <v/>
      </c>
      <c r="C2533" s="40" t="n"/>
      <c r="D2533" s="41" t="n"/>
      <c r="E2533" s="42" t="n">
        <v>42768.41666666666</v>
      </c>
      <c r="F2533" s="52" t="inlineStr">
        <is>
          <t>Super Carlin Gaming</t>
        </is>
      </c>
      <c r="G2533" t="inlineStr">
        <is>
          <t>Castle Crashers #9: THE FINAL BATTLE</t>
        </is>
      </c>
      <c r="H2533" s="44" t="n">
        <v>0.01943287037037037</v>
      </c>
      <c r="I2533" s="45" t="n">
        <v>7642</v>
      </c>
      <c r="J2533" s="45" t="n">
        <v>186</v>
      </c>
      <c r="K2533" s="45" t="n">
        <v>86</v>
      </c>
      <c r="L2533" s="46" t="n"/>
      <c r="M2533" s="47" t="n"/>
      <c r="N2533" s="47" t="inlineStr">
        <is>
          <t>UCor_9jRnNNZVzTuQ92PKsaQ</t>
        </is>
      </c>
      <c r="O2533" s="48" t="n">
        <v>42768.625</v>
      </c>
      <c r="P2533" s="49" t="n">
        <v>42768</v>
      </c>
      <c r="Q2533" s="47" t="n">
        <v>735</v>
      </c>
      <c r="R2533" s="47" t="inlineStr">
        <is>
          <t>No Video ID yet</t>
        </is>
      </c>
      <c r="S2533" s="49" t="n"/>
      <c r="T2533" s="49" t="n"/>
      <c r="U2533" s="47" t="inlineStr">
        <is>
          <t>J and the Iron Peach continue their Castle Crasher adventure and take on the final boss of the game as well as a gauntlet of big bosses, can they succeed and win the heart of the orange princess??</t>
        </is>
      </c>
      <c r="V2533" s="47">
        <f>IF(AND(P2533&gt;=Calendar!$K$2,P2533&lt;EDATE(Calendar!$K$2,1),OR(Calendar!$K$4="*",N2533=Calendar!$K$4)),P2533*100+COUNTIFS($P$6:$P$3267,P2533,$Q$6:$Q$3267,"&lt;="&amp;Q2533,$N$6:$N$3267,Calendar!$K$4),"")</f>
        <v/>
      </c>
      <c r="W2533" s="47">
        <f>IF(AND(B2533=Queue!$C$4,OR(Queue!$K$4="*",N2533=Queue!$K$4)),Q2533,"")</f>
        <v/>
      </c>
    </row>
    <row r="2534">
      <c r="A2534" s="38">
        <f>IF(M2534="","",HYPERLINK("https://www.youtube.com/watch?v="&amp;M2534,"▶"))</f>
        <v/>
      </c>
      <c r="B2534" s="39">
        <f>IF(C2534&lt;&gt;"",C2534,IF(P2534&lt;=IFERROR(INDEX(tblChannels[Watched Through],MATCH(N2534,tblChannels[Channel ID],0)),0),"Watched","Unwatched"))</f>
        <v/>
      </c>
      <c r="C2534" s="40" t="n"/>
      <c r="D2534" s="41" t="n"/>
      <c r="E2534" s="42" t="n">
        <v>42766.625</v>
      </c>
      <c r="F2534" s="50" t="inlineStr">
        <is>
          <t>Super Carlin Brothers</t>
        </is>
      </c>
      <c r="G2534" t="inlineStr">
        <is>
          <t>Who Is The Last Jedi?</t>
        </is>
      </c>
      <c r="H2534" s="44" t="n">
        <v>0.005590277777777777</v>
      </c>
      <c r="I2534" s="45" t="n">
        <v>362078</v>
      </c>
      <c r="J2534" s="45" t="n">
        <v>11204</v>
      </c>
      <c r="K2534" s="45" t="n">
        <v>2706</v>
      </c>
      <c r="L2534" s="46" t="n"/>
      <c r="M2534" s="47" t="n"/>
      <c r="N2534" s="47" t="inlineStr">
        <is>
          <t>UCKZo4N0lVPccBkSiuyVh4yg</t>
        </is>
      </c>
      <c r="O2534" s="48" t="n">
        <v>42766.83333333334</v>
      </c>
      <c r="P2534" s="49" t="n">
        <v>42766</v>
      </c>
      <c r="Q2534" s="47" t="n">
        <v>734</v>
      </c>
      <c r="R2534" s="47" t="inlineStr">
        <is>
          <t>No Video ID yet</t>
        </is>
      </c>
      <c r="S2534" s="49" t="n"/>
      <c r="T2534" s="49" t="n"/>
      <c r="U2534" s="47" t="inlineStr">
        <is>
          <t>Star Wars just released the new name for Episode VIII: The Last Jedi, which means today we are going to try and figure out who is the last jedi? Luke? Rey? Kylo Ren? Someone else????</t>
        </is>
      </c>
      <c r="V2534" s="47">
        <f>IF(AND(P2534&gt;=Calendar!$K$2,P2534&lt;EDATE(Calendar!$K$2,1),OR(Calendar!$K$4="*",N2534=Calendar!$K$4)),P2534*100+COUNTIFS($P$6:$P$3267,P2534,$Q$6:$Q$3267,"&lt;="&amp;Q2534,$N$6:$N$3267,Calendar!$K$4),"")</f>
        <v/>
      </c>
      <c r="W2534" s="47">
        <f>IF(AND(B2534=Queue!$C$4,OR(Queue!$K$4="*",N2534=Queue!$K$4)),Q2534,"")</f>
        <v/>
      </c>
    </row>
    <row r="2535">
      <c r="A2535" s="38">
        <f>IF(M2535="","",HYPERLINK("https://www.youtube.com/watch?v="&amp;M2535,"▶"))</f>
        <v/>
      </c>
      <c r="B2535" s="39">
        <f>IF(C2535&lt;&gt;"",C2535,IF(P2535&lt;=IFERROR(INDEX(tblChannels[Watched Through],MATCH(N2535,tblChannels[Channel ID],0)),0),"Watched","Unwatched"))</f>
        <v/>
      </c>
      <c r="C2535" s="40" t="n"/>
      <c r="D2535" s="41" t="n"/>
      <c r="E2535" s="42" t="n">
        <v>42765.77222222222</v>
      </c>
      <c r="F2535" s="52" t="inlineStr">
        <is>
          <t>Super Carlin Gaming</t>
        </is>
      </c>
      <c r="G2535" t="inlineStr">
        <is>
          <t>Castle Crashers #8: J vs Iron Peach Round 3!</t>
        </is>
      </c>
      <c r="H2535" s="44" t="n">
        <v>0.0166087962962963</v>
      </c>
      <c r="I2535" s="45" t="n">
        <v>5790</v>
      </c>
      <c r="J2535" s="45" t="n">
        <v>145</v>
      </c>
      <c r="K2535" s="45" t="n">
        <v>82</v>
      </c>
      <c r="L2535" s="46" t="n"/>
      <c r="M2535" s="47" t="n"/>
      <c r="N2535" s="47" t="inlineStr">
        <is>
          <t>UCor_9jRnNNZVzTuQ92PKsaQ</t>
        </is>
      </c>
      <c r="O2535" s="48" t="n">
        <v>42765.98055555556</v>
      </c>
      <c r="P2535" s="49" t="n">
        <v>42765</v>
      </c>
      <c r="Q2535" s="47" t="n">
        <v>733</v>
      </c>
      <c r="R2535" s="47" t="inlineStr">
        <is>
          <t>No Video ID yet</t>
        </is>
      </c>
      <c r="S2535" s="49" t="n"/>
      <c r="T2535" s="49" t="n"/>
      <c r="U2535" s="47" t="inlineStr">
        <is>
          <t>Today J and the Iron Peach continue their Castle Crashers adventure by battling and Ice King and also EACH OTHER for the love of another princess, but who will come out on top??</t>
        </is>
      </c>
      <c r="V2535" s="47">
        <f>IF(AND(P2535&gt;=Calendar!$K$2,P2535&lt;EDATE(Calendar!$K$2,1),OR(Calendar!$K$4="*",N2535=Calendar!$K$4)),P2535*100+COUNTIFS($P$6:$P$3267,P2535,$Q$6:$Q$3267,"&lt;="&amp;Q2535,$N$6:$N$3267,Calendar!$K$4),"")</f>
        <v/>
      </c>
      <c r="W2535" s="47">
        <f>IF(AND(B2535=Queue!$C$4,OR(Queue!$K$4="*",N2535=Queue!$K$4)),Q2535,"")</f>
        <v/>
      </c>
    </row>
    <row r="2536">
      <c r="A2536" s="38">
        <f>IF(M2536="","",HYPERLINK("https://www.youtube.com/watch?v="&amp;M2536,"▶"))</f>
        <v/>
      </c>
      <c r="B2536" s="39">
        <f>IF(C2536&lt;&gt;"",C2536,IF(P2536&lt;=IFERROR(INDEX(tblChannels[Watched Through],MATCH(N2536,tblChannels[Channel ID],0)),0),"Watched","Unwatched"))</f>
        <v/>
      </c>
      <c r="C2536" s="40" t="n"/>
      <c r="D2536" s="41" t="n"/>
      <c r="E2536" s="42" t="n">
        <v>42762.70833333334</v>
      </c>
      <c r="F2536" s="52" t="inlineStr">
        <is>
          <t>Super Carlin Gaming</t>
        </is>
      </c>
      <c r="G2536" t="inlineStr">
        <is>
          <t>Castle Crashers #7: Super Corny</t>
        </is>
      </c>
      <c r="H2536" s="44" t="n">
        <v>0.01356481481481481</v>
      </c>
      <c r="I2536" s="45" t="n">
        <v>5537</v>
      </c>
      <c r="J2536" s="45" t="n">
        <v>144</v>
      </c>
      <c r="K2536" s="45" t="n">
        <v>34</v>
      </c>
      <c r="L2536" s="46" t="n"/>
      <c r="M2536" s="47" t="n"/>
      <c r="N2536" s="47" t="inlineStr">
        <is>
          <t>UCor_9jRnNNZVzTuQ92PKsaQ</t>
        </is>
      </c>
      <c r="O2536" s="48" t="n">
        <v>42762.91666666666</v>
      </c>
      <c r="P2536" s="49" t="n">
        <v>42762</v>
      </c>
      <c r="Q2536" s="47" t="n">
        <v>732</v>
      </c>
      <c r="R2536" s="47" t="inlineStr">
        <is>
          <t>No Video ID yet</t>
        </is>
      </c>
      <c r="S2536" s="49" t="n"/>
      <c r="T2536" s="49" t="n"/>
      <c r="U2536" s="47" t="inlineStr">
        <is>
          <t>Today on Castle Crashers J and the Iron Peach work their way through another 'maise' of enemies and keep and 'ear' out for todays' big boss and make lots of 'Super Corny' jokes =P.</t>
        </is>
      </c>
      <c r="V2536" s="47">
        <f>IF(AND(P2536&gt;=Calendar!$K$2,P2536&lt;EDATE(Calendar!$K$2,1),OR(Calendar!$K$4="*",N2536=Calendar!$K$4)),P2536*100+COUNTIFS($P$6:$P$3267,P2536,$Q$6:$Q$3267,"&lt;="&amp;Q2536,$N$6:$N$3267,Calendar!$K$4),"")</f>
        <v/>
      </c>
      <c r="W2536" s="47">
        <f>IF(AND(B2536=Queue!$C$4,OR(Queue!$K$4="*",N2536=Queue!$K$4)),Q2536,"")</f>
        <v/>
      </c>
    </row>
    <row r="2537">
      <c r="A2537" s="38">
        <f>IF(M2537="","",HYPERLINK("https://www.youtube.com/watch?v="&amp;M2537,"▶"))</f>
        <v/>
      </c>
      <c r="B2537" s="39">
        <f>IF(C2537&lt;&gt;"",C2537,IF(P2537&lt;=IFERROR(INDEX(tblChannels[Watched Through],MATCH(N2537,tblChannels[Channel ID],0)),0),"Watched","Unwatched"))</f>
        <v/>
      </c>
      <c r="C2537" s="40" t="n"/>
      <c r="D2537" s="41" t="n"/>
      <c r="E2537" s="42" t="n">
        <v>42761.74236111111</v>
      </c>
      <c r="F2537" s="50" t="inlineStr">
        <is>
          <t>Super Carlin Brothers</t>
        </is>
      </c>
      <c r="G2537" t="inlineStr">
        <is>
          <t>Did Pixar Confirm The Pixar Theory?!</t>
        </is>
      </c>
      <c r="H2537" s="44" t="n">
        <v>0.0046875</v>
      </c>
      <c r="I2537" s="45" t="n">
        <v>1232357</v>
      </c>
      <c r="J2537" s="45" t="n">
        <v>34137</v>
      </c>
      <c r="K2537" s="45" t="n">
        <v>2867</v>
      </c>
      <c r="L2537" s="46" t="n"/>
      <c r="M2537" s="47" t="n"/>
      <c r="N2537" s="47" t="inlineStr">
        <is>
          <t>UCKZo4N0lVPccBkSiuyVh4yg</t>
        </is>
      </c>
      <c r="O2537" s="48" t="n">
        <v>42761.95069444444</v>
      </c>
      <c r="P2537" s="49" t="n">
        <v>42761</v>
      </c>
      <c r="Q2537" s="47" t="n">
        <v>731</v>
      </c>
      <c r="R2537" s="47" t="inlineStr">
        <is>
          <t>No Video ID yet</t>
        </is>
      </c>
      <c r="S2537" s="49" t="n"/>
      <c r="T2537" s="49" t="n"/>
      <c r="U2537" s="47" t="inlineStr">
        <is>
          <t>Pixar's New Vid :: Read Jon Negroni's Pixar Theory :: We have heard the tweets! Pixar recently released a video showcasing some of their best easter eggs from across all of their movies, but did this video CONFIRM the Pixar Theory?</t>
        </is>
      </c>
      <c r="V2537" s="47">
        <f>IF(AND(P2537&gt;=Calendar!$K$2,P2537&lt;EDATE(Calendar!$K$2,1),OR(Calendar!$K$4="*",N2537=Calendar!$K$4)),P2537*100+COUNTIFS($P$6:$P$3267,P2537,$Q$6:$Q$3267,"&lt;="&amp;Q2537,$N$6:$N$3267,Calendar!$K$4),"")</f>
        <v/>
      </c>
      <c r="W2537" s="47">
        <f>IF(AND(B2537=Queue!$C$4,OR(Queue!$K$4="*",N2537=Queue!$K$4)),Q2537,"")</f>
        <v/>
      </c>
    </row>
    <row r="2538">
      <c r="A2538" s="38">
        <f>IF(M2538="","",HYPERLINK("https://www.youtube.com/watch?v="&amp;M2538,"▶"))</f>
        <v/>
      </c>
      <c r="B2538" s="39">
        <f>IF(C2538&lt;&gt;"",C2538,IF(P2538&lt;=IFERROR(INDEX(tblChannels[Watched Through],MATCH(N2538,tblChannels[Channel ID],0)),0),"Watched","Unwatched"))</f>
        <v/>
      </c>
      <c r="C2538" s="40" t="n"/>
      <c r="D2538" s="41" t="n"/>
      <c r="E2538" s="42" t="n">
        <v>42760.70833333334</v>
      </c>
      <c r="F2538" s="52" t="inlineStr">
        <is>
          <t>Super Carlin Gaming</t>
        </is>
      </c>
      <c r="G2538" t="inlineStr">
        <is>
          <t>Castle Crashers #6: TEAM GIRAFFALENT!</t>
        </is>
      </c>
      <c r="H2538" s="44" t="n">
        <v>0.01461805555555556</v>
      </c>
      <c r="I2538" s="45" t="n">
        <v>5997</v>
      </c>
      <c r="J2538" s="45" t="n">
        <v>146</v>
      </c>
      <c r="K2538" s="45" t="n">
        <v>117</v>
      </c>
      <c r="L2538" s="46" t="n"/>
      <c r="M2538" s="47" t="n"/>
      <c r="N2538" s="47" t="inlineStr">
        <is>
          <t>UCor_9jRnNNZVzTuQ92PKsaQ</t>
        </is>
      </c>
      <c r="O2538" s="48" t="n">
        <v>42760.91666666666</v>
      </c>
      <c r="P2538" s="49" t="n">
        <v>42760</v>
      </c>
      <c r="Q2538" s="47" t="n">
        <v>730</v>
      </c>
      <c r="R2538" s="47" t="inlineStr">
        <is>
          <t>No Video ID yet</t>
        </is>
      </c>
      <c r="S2538" s="49" t="n"/>
      <c r="T2538" s="49" t="n"/>
      <c r="U2538" s="47" t="inlineStr">
        <is>
          <t>In today's episode of Castle Crashers J and the Iron Peach are abducted by Alien Homind's... can they escape their ship in time??? Also we recruit a Giraffe.. uh oh..</t>
        </is>
      </c>
      <c r="V2538" s="47">
        <f>IF(AND(P2538&gt;=Calendar!$K$2,P2538&lt;EDATE(Calendar!$K$2,1),OR(Calendar!$K$4="*",N2538=Calendar!$K$4)),P2538*100+COUNTIFS($P$6:$P$3267,P2538,$Q$6:$Q$3267,"&lt;="&amp;Q2538,$N$6:$N$3267,Calendar!$K$4),"")</f>
        <v/>
      </c>
      <c r="W2538" s="47">
        <f>IF(AND(B2538=Queue!$C$4,OR(Queue!$K$4="*",N2538=Queue!$K$4)),Q2538,"")</f>
        <v/>
      </c>
    </row>
    <row r="2539">
      <c r="A2539" s="38">
        <f>IF(M2539="","",HYPERLINK("https://www.youtube.com/watch?v="&amp;M2539,"▶"))</f>
        <v/>
      </c>
      <c r="B2539" s="39">
        <f>IF(C2539&lt;&gt;"",C2539,IF(P2539&lt;=IFERROR(INDEX(tblChannels[Watched Through],MATCH(N2539,tblChannels[Channel ID],0)),0),"Watched","Unwatched"))</f>
        <v/>
      </c>
      <c r="C2539" s="40" t="n"/>
      <c r="D2539" s="41" t="n"/>
      <c r="E2539" s="42" t="n">
        <v>42759.67638888889</v>
      </c>
      <c r="F2539" s="50" t="inlineStr">
        <is>
          <t>Super Carlin Brothers</t>
        </is>
      </c>
      <c r="G2539" t="inlineStr">
        <is>
          <t>Top 5 Snubbed Disney Princes</t>
        </is>
      </c>
      <c r="H2539" s="44" t="n">
        <v>0.006111111111111111</v>
      </c>
      <c r="I2539" s="45" t="n">
        <v>880961</v>
      </c>
      <c r="J2539" s="45" t="n">
        <v>23808</v>
      </c>
      <c r="K2539" s="45" t="n">
        <v>5516</v>
      </c>
      <c r="L2539" s="46" t="n"/>
      <c r="M2539" s="47" t="n"/>
      <c r="N2539" s="47" t="inlineStr">
        <is>
          <t>UCKZo4N0lVPccBkSiuyVh4yg</t>
        </is>
      </c>
      <c r="O2539" s="48" t="n">
        <v>42759.88472222222</v>
      </c>
      <c r="P2539" s="49" t="n">
        <v>42759</v>
      </c>
      <c r="Q2539" s="47" t="n">
        <v>729</v>
      </c>
      <c r="R2539" s="47" t="inlineStr">
        <is>
          <t>No Video ID yet</t>
        </is>
      </c>
      <c r="S2539" s="49" t="n"/>
      <c r="T2539" s="49" t="n"/>
      <c r="U2539" s="47" t="inlineStr">
        <is>
          <t>You guys know how much we love Disney Princesses, but what about their significant others the Disney Princes? YES, there is an official list and that means there are characters being left off the list, so today J is counting down the Top 5 Snubbed Disney Princes.</t>
        </is>
      </c>
      <c r="V2539" s="47">
        <f>IF(AND(P2539&gt;=Calendar!$K$2,P2539&lt;EDATE(Calendar!$K$2,1),OR(Calendar!$K$4="*",N2539=Calendar!$K$4)),P2539*100+COUNTIFS($P$6:$P$3267,P2539,$Q$6:$Q$3267,"&lt;="&amp;Q2539,$N$6:$N$3267,Calendar!$K$4),"")</f>
        <v/>
      </c>
      <c r="W2539" s="47">
        <f>IF(AND(B2539=Queue!$C$4,OR(Queue!$K$4="*",N2539=Queue!$K$4)),Q2539,"")</f>
        <v/>
      </c>
    </row>
    <row r="2540">
      <c r="A2540" s="38">
        <f>IF(M2540="","",HYPERLINK("https://www.youtube.com/watch?v="&amp;M2540,"▶"))</f>
        <v/>
      </c>
      <c r="B2540" s="39">
        <f>IF(C2540&lt;&gt;"",C2540,IF(P2540&lt;=IFERROR(INDEX(tblChannels[Watched Through],MATCH(N2540,tblChannels[Channel ID],0)),0),"Watched","Unwatched"))</f>
        <v/>
      </c>
      <c r="C2540" s="40" t="n"/>
      <c r="D2540" s="41" t="n"/>
      <c r="E2540" s="42" t="n">
        <v>42758.70833333334</v>
      </c>
      <c r="F2540" s="52" t="inlineStr">
        <is>
          <t>Super Carlin Gaming</t>
        </is>
      </c>
      <c r="G2540" t="inlineStr">
        <is>
          <t>Castle Crashers #5: BOOBY TRAPPED!</t>
        </is>
      </c>
      <c r="H2540" s="44" t="n">
        <v>0.01125</v>
      </c>
      <c r="I2540" s="45" t="n">
        <v>5990</v>
      </c>
      <c r="J2540" s="45" t="n">
        <v>151</v>
      </c>
      <c r="K2540" s="45" t="n">
        <v>45</v>
      </c>
      <c r="L2540" s="46" t="n"/>
      <c r="M2540" s="47" t="n"/>
      <c r="N2540" s="47" t="inlineStr">
        <is>
          <t>UCor_9jRnNNZVzTuQ92PKsaQ</t>
        </is>
      </c>
      <c r="O2540" s="48" t="n">
        <v>42758.91666666666</v>
      </c>
      <c r="P2540" s="49" t="n">
        <v>42758</v>
      </c>
      <c r="Q2540" s="47" t="n">
        <v>728</v>
      </c>
      <c r="R2540" s="47" t="inlineStr">
        <is>
          <t>No Video ID yet</t>
        </is>
      </c>
      <c r="S2540" s="49" t="n"/>
      <c r="T2540" s="49" t="n"/>
      <c r="U2540" s="47" t="inlineStr">
        <is>
          <t>Full of Sandwiches J and the Iron Peach continue their quest through Castle Crashers and take on a booby trapped factory, depth perception and a giant hand.</t>
        </is>
      </c>
      <c r="V2540" s="47">
        <f>IF(AND(P2540&gt;=Calendar!$K$2,P2540&lt;EDATE(Calendar!$K$2,1),OR(Calendar!$K$4="*",N2540=Calendar!$K$4)),P2540*100+COUNTIFS($P$6:$P$3267,P2540,$Q$6:$Q$3267,"&lt;="&amp;Q2540,$N$6:$N$3267,Calendar!$K$4),"")</f>
        <v/>
      </c>
      <c r="W2540" s="47">
        <f>IF(AND(B2540=Queue!$C$4,OR(Queue!$K$4="*",N2540=Queue!$K$4)),Q2540,"")</f>
        <v/>
      </c>
    </row>
    <row r="2541">
      <c r="A2541" s="38">
        <f>IF(M2541="","",HYPERLINK("https://www.youtube.com/watch?v="&amp;M2541,"▶"))</f>
        <v/>
      </c>
      <c r="B2541" s="39">
        <f>IF(C2541&lt;&gt;"",C2541,IF(P2541&lt;=IFERROR(INDEX(tblChannels[Watched Through],MATCH(N2541,tblChannels[Channel ID],0)),0),"Watched","Unwatched"))</f>
        <v/>
      </c>
      <c r="C2541" s="40" t="n"/>
      <c r="D2541" s="41" t="n"/>
      <c r="E2541" s="42" t="n">
        <v>42754.81319444445</v>
      </c>
      <c r="F2541" s="50" t="inlineStr">
        <is>
          <t>Super Carlin Brothers</t>
        </is>
      </c>
      <c r="G2541" t="inlineStr">
        <is>
          <t>Star Wars Theory: The Truth About Captain Phasma</t>
        </is>
      </c>
      <c r="H2541" s="44" t="n">
        <v>0.006273148148148148</v>
      </c>
      <c r="I2541" s="45" t="n">
        <v>702201</v>
      </c>
      <c r="J2541" s="45" t="n">
        <v>18263</v>
      </c>
      <c r="K2541" s="45" t="n">
        <v>2883</v>
      </c>
      <c r="L2541" s="46" t="n"/>
      <c r="M2541" s="47" t="n"/>
      <c r="N2541" s="47" t="inlineStr">
        <is>
          <t>UCKZo4N0lVPccBkSiuyVh4yg</t>
        </is>
      </c>
      <c r="O2541" s="48" t="n">
        <v>42755.02152777778</v>
      </c>
      <c r="P2541" s="49" t="n">
        <v>42754</v>
      </c>
      <c r="Q2541" s="47" t="n">
        <v>727</v>
      </c>
      <c r="R2541" s="47" t="inlineStr">
        <is>
          <t>No Video ID yet</t>
        </is>
      </c>
      <c r="S2541" s="49" t="n"/>
      <c r="T2541" s="49" t="n"/>
      <c r="U2541" s="47" t="inlineStr">
        <is>
          <t>One of our biggest questions from Star Wars The Force Awakens was… Why is Captain Phasma so lame?? Well, upon my latest viewing I noticed something that may explain everything and reveal the truth about Captain Phasma!</t>
        </is>
      </c>
      <c r="V2541" s="47">
        <f>IF(AND(P2541&gt;=Calendar!$K$2,P2541&lt;EDATE(Calendar!$K$2,1),OR(Calendar!$K$4="*",N2541=Calendar!$K$4)),P2541*100+COUNTIFS($P$6:$P$3267,P2541,$Q$6:$Q$3267,"&lt;="&amp;Q2541,$N$6:$N$3267,Calendar!$K$4),"")</f>
        <v/>
      </c>
      <c r="W2541" s="47">
        <f>IF(AND(B2541=Queue!$C$4,OR(Queue!$K$4="*",N2541=Queue!$K$4)),Q2541,"")</f>
        <v/>
      </c>
    </row>
    <row r="2542">
      <c r="A2542" s="38">
        <f>IF(M2542="","",HYPERLINK("https://www.youtube.com/watch?v="&amp;M2542,"▶"))</f>
        <v/>
      </c>
      <c r="B2542" s="39">
        <f>IF(C2542&lt;&gt;"",C2542,IF(P2542&lt;=IFERROR(INDEX(tblChannels[Watched Through],MATCH(N2542,tblChannels[Channel ID],0)),0),"Watched","Unwatched"))</f>
        <v/>
      </c>
      <c r="C2542" s="40" t="n"/>
      <c r="D2542" s="41" t="n"/>
      <c r="E2542" s="42" t="n">
        <v>42752.78333333333</v>
      </c>
      <c r="F2542" s="50" t="inlineStr">
        <is>
          <t>Super Carlin Brothers</t>
        </is>
      </c>
      <c r="G2542" t="inlineStr">
        <is>
          <t>Do I Deserve Google Autofill</t>
        </is>
      </c>
      <c r="H2542" s="44" t="n">
        <v>0.004398148148148148</v>
      </c>
      <c r="I2542" s="45" t="n">
        <v>355822</v>
      </c>
      <c r="J2542" s="45" t="n">
        <v>11614</v>
      </c>
      <c r="K2542" s="45" t="n">
        <v>2015</v>
      </c>
      <c r="L2542" s="46" t="n"/>
      <c r="M2542" s="47" t="n"/>
      <c r="N2542" s="47" t="inlineStr">
        <is>
          <t>UCKZo4N0lVPccBkSiuyVh4yg</t>
        </is>
      </c>
      <c r="O2542" s="48" t="n">
        <v>42752.99166666667</v>
      </c>
      <c r="P2542" s="49" t="n">
        <v>42752</v>
      </c>
      <c r="Q2542" s="47" t="n">
        <v>726</v>
      </c>
      <c r="R2542" s="47" t="inlineStr">
        <is>
          <t>No Video ID yet</t>
        </is>
      </c>
      <c r="S2542" s="49" t="n"/>
      <c r="T2542" s="49" t="n"/>
      <c r="U2542" s="47" t="inlineStr">
        <is>
          <t>Today J plays everyone's favorite game and asks: Do I Deserve Google Autofill? Quotes Answers :: 1. Empire Strikes Back 2. Catch Me If You Can 3. Wall-E 4. The Emperor's New Groove 5. The Incredibles</t>
        </is>
      </c>
      <c r="V2542" s="47">
        <f>IF(AND(P2542&gt;=Calendar!$K$2,P2542&lt;EDATE(Calendar!$K$2,1),OR(Calendar!$K$4="*",N2542=Calendar!$K$4)),P2542*100+COUNTIFS($P$6:$P$3267,P2542,$Q$6:$Q$3267,"&lt;="&amp;Q2542,$N$6:$N$3267,Calendar!$K$4),"")</f>
        <v/>
      </c>
      <c r="W2542" s="47">
        <f>IF(AND(B2542=Queue!$C$4,OR(Queue!$K$4="*",N2542=Queue!$K$4)),Q2542,"")</f>
        <v/>
      </c>
    </row>
    <row r="2543">
      <c r="A2543" s="38">
        <f>IF(M2543="","",HYPERLINK("https://www.youtube.com/watch?v="&amp;M2543,"▶"))</f>
        <v/>
      </c>
      <c r="B2543" s="39">
        <f>IF(C2543&lt;&gt;"",C2543,IF(P2543&lt;=IFERROR(INDEX(tblChannels[Watched Through],MATCH(N2543,tblChannels[Channel ID],0)),0),"Watched","Unwatched"))</f>
        <v/>
      </c>
      <c r="C2543" s="40" t="n"/>
      <c r="D2543" s="41" t="n"/>
      <c r="E2543" s="42" t="n">
        <v>42747.78125</v>
      </c>
      <c r="F2543" s="50" t="inlineStr">
        <is>
          <t>Super Carlin Brothers</t>
        </is>
      </c>
      <c r="G2543" t="inlineStr">
        <is>
          <t>Will Cars 3 Be The Sequel We Deserve?</t>
        </is>
      </c>
      <c r="H2543" s="44" t="n">
        <v>0.00693287037037037</v>
      </c>
      <c r="I2543" s="45" t="n">
        <v>610863</v>
      </c>
      <c r="J2543" s="45" t="n">
        <v>14837</v>
      </c>
      <c r="K2543" s="45" t="n">
        <v>2689</v>
      </c>
      <c r="L2543" s="46" t="n"/>
      <c r="M2543" s="47" t="n"/>
      <c r="N2543" s="47" t="inlineStr">
        <is>
          <t>UCKZo4N0lVPccBkSiuyVh4yg</t>
        </is>
      </c>
      <c r="O2543" s="48" t="n">
        <v>42747.98958333334</v>
      </c>
      <c r="P2543" s="49" t="n">
        <v>42747</v>
      </c>
      <c r="Q2543" s="47" t="n">
        <v>725</v>
      </c>
      <c r="R2543" s="47" t="inlineStr">
        <is>
          <t>No Video ID yet</t>
        </is>
      </c>
      <c r="S2543" s="49" t="n"/>
      <c r="T2543" s="49" t="n"/>
      <c r="U2543" s="47" t="inlineStr">
        <is>
          <t>Watch the Trailer here :: Pixar just dropped the Extended Cars 3 Teaser Trailer to today we are going frame by frame to give you our review, analysis and predictions to determine if Cars 3 is the sequel we deserve!</t>
        </is>
      </c>
      <c r="V2543" s="47">
        <f>IF(AND(P2543&gt;=Calendar!$K$2,P2543&lt;EDATE(Calendar!$K$2,1),OR(Calendar!$K$4="*",N2543=Calendar!$K$4)),P2543*100+COUNTIFS($P$6:$P$3267,P2543,$Q$6:$Q$3267,"&lt;="&amp;Q2543,$N$6:$N$3267,Calendar!$K$4),"")</f>
        <v/>
      </c>
      <c r="W2543" s="47">
        <f>IF(AND(B2543=Queue!$C$4,OR(Queue!$K$4="*",N2543=Queue!$K$4)),Q2543,"")</f>
        <v/>
      </c>
    </row>
    <row r="2544">
      <c r="A2544" s="38">
        <f>IF(M2544="","",HYPERLINK("https://www.youtube.com/watch?v="&amp;M2544,"▶"))</f>
        <v/>
      </c>
      <c r="B2544" s="39">
        <f>IF(C2544&lt;&gt;"",C2544,IF(P2544&lt;=IFERROR(INDEX(tblChannels[Watched Through],MATCH(N2544,tblChannels[Channel ID],0)),0),"Watched","Unwatched"))</f>
        <v/>
      </c>
      <c r="C2544" s="40" t="n"/>
      <c r="D2544" s="41" t="n"/>
      <c r="E2544" s="42" t="n">
        <v>42745.58888888889</v>
      </c>
      <c r="F2544" s="50" t="inlineStr">
        <is>
          <t>Super Carlin Brothers</t>
        </is>
      </c>
      <c r="G2544" t="inlineStr">
        <is>
          <t>Anna and Elsa Are NOT Disney Princesses?!</t>
        </is>
      </c>
      <c r="H2544" s="44" t="n">
        <v>0.004953703703703704</v>
      </c>
      <c r="I2544" s="45" t="n">
        <v>783795</v>
      </c>
      <c r="J2544" s="45" t="n">
        <v>21958</v>
      </c>
      <c r="K2544" s="45" t="n">
        <v>3525</v>
      </c>
      <c r="L2544" s="46" t="n"/>
      <c r="M2544" s="47" t="n"/>
      <c r="N2544" s="47" t="inlineStr">
        <is>
          <t>UCKZo4N0lVPccBkSiuyVh4yg</t>
        </is>
      </c>
      <c r="O2544" s="48" t="n">
        <v>42745.79722222222</v>
      </c>
      <c r="P2544" s="49" t="n">
        <v>42745</v>
      </c>
      <c r="Q2544" s="47" t="n">
        <v>724</v>
      </c>
      <c r="R2544" s="47" t="inlineStr">
        <is>
          <t>No Video ID yet</t>
        </is>
      </c>
      <c r="S2544" s="49" t="n"/>
      <c r="T2544" s="49" t="n"/>
      <c r="U2544" s="47" t="inlineStr">
        <is>
          <t>Here at Super Carlin Brothers we love Disney Princesses but were recently alarmed to find out that Frozen's Anna and Elsa are NOT on the official list! How did we miss this? What's the story? Today J gets to the bottom this weird discovery.</t>
        </is>
      </c>
      <c r="V2544" s="47">
        <f>IF(AND(P2544&gt;=Calendar!$K$2,P2544&lt;EDATE(Calendar!$K$2,1),OR(Calendar!$K$4="*",N2544=Calendar!$K$4)),P2544*100+COUNTIFS($P$6:$P$3267,P2544,$Q$6:$Q$3267,"&lt;="&amp;Q2544,$N$6:$N$3267,Calendar!$K$4),"")</f>
        <v/>
      </c>
      <c r="W2544" s="47">
        <f>IF(AND(B2544=Queue!$C$4,OR(Queue!$K$4="*",N2544=Queue!$K$4)),Q2544,"")</f>
        <v/>
      </c>
    </row>
    <row r="2545">
      <c r="A2545" s="38">
        <f>IF(M2545="","",HYPERLINK("https://www.youtube.com/watch?v="&amp;M2545,"▶"))</f>
        <v/>
      </c>
      <c r="B2545" s="39">
        <f>IF(C2545&lt;&gt;"",C2545,IF(P2545&lt;=IFERROR(INDEX(tblChannels[Watched Through],MATCH(N2545,tblChannels[Channel ID],0)),0),"Watched","Unwatched"))</f>
        <v/>
      </c>
      <c r="C2545" s="40" t="n"/>
      <c r="D2545" s="41" t="n"/>
      <c r="E2545" s="42" t="n">
        <v>42740.76736111111</v>
      </c>
      <c r="F2545" s="50" t="inlineStr">
        <is>
          <t>Super Carlin Brothers</t>
        </is>
      </c>
      <c r="G2545" t="inlineStr">
        <is>
          <t>Why Does Yoda Use A Cane?</t>
        </is>
      </c>
      <c r="H2545" s="44" t="n">
        <v>0.004467592592592592</v>
      </c>
      <c r="I2545" s="45" t="n">
        <v>906806</v>
      </c>
      <c r="J2545" s="45" t="n">
        <v>18812</v>
      </c>
      <c r="K2545" s="45" t="n">
        <v>4014</v>
      </c>
      <c r="L2545" s="46" t="n"/>
      <c r="M2545" s="47" t="n"/>
      <c r="N2545" s="47" t="inlineStr">
        <is>
          <t>UCKZo4N0lVPccBkSiuyVh4yg</t>
        </is>
      </c>
      <c r="O2545" s="48" t="n">
        <v>42740.97569444445</v>
      </c>
      <c r="P2545" s="49" t="n">
        <v>42740</v>
      </c>
      <c r="Q2545" s="47" t="n">
        <v>723</v>
      </c>
      <c r="R2545" s="47" t="inlineStr">
        <is>
          <t>No Video ID yet</t>
        </is>
      </c>
      <c r="S2545" s="49" t="n"/>
      <c r="T2545" s="49" t="n"/>
      <c r="U2545" s="47" t="inlineStr">
        <is>
          <t>You know what has always bothered me? In the Star Wars prequels we learn Yoda can jump around and do all of the acrobatics so.... Why does Yoda use a cane?</t>
        </is>
      </c>
      <c r="V2545" s="47">
        <f>IF(AND(P2545&gt;=Calendar!$K$2,P2545&lt;EDATE(Calendar!$K$2,1),OR(Calendar!$K$4="*",N2545=Calendar!$K$4)),P2545*100+COUNTIFS($P$6:$P$3267,P2545,$Q$6:$Q$3267,"&lt;="&amp;Q2545,$N$6:$N$3267,Calendar!$K$4),"")</f>
        <v/>
      </c>
      <c r="W2545" s="47">
        <f>IF(AND(B2545=Queue!$C$4,OR(Queue!$K$4="*",N2545=Queue!$K$4)),Q2545,"")</f>
        <v/>
      </c>
    </row>
    <row r="2546">
      <c r="A2546" s="38">
        <f>IF(M2546="","",HYPERLINK("https://www.youtube.com/watch?v="&amp;M2546,"▶"))</f>
        <v/>
      </c>
      <c r="B2546" s="39">
        <f>IF(C2546&lt;&gt;"",C2546,IF(P2546&lt;=IFERROR(INDEX(tblChannels[Watched Through],MATCH(N2546,tblChannels[Channel ID],0)),0),"Watched","Unwatched"))</f>
        <v/>
      </c>
      <c r="C2546" s="40" t="n"/>
      <c r="D2546" s="41" t="n"/>
      <c r="E2546" s="42" t="n">
        <v>42738.66527777778</v>
      </c>
      <c r="F2546" s="50" t="inlineStr">
        <is>
          <t>Super Carlin Brothers</t>
        </is>
      </c>
      <c r="G2546" t="inlineStr">
        <is>
          <t>Should Vanellope Be A Disney Princess?</t>
        </is>
      </c>
      <c r="H2546" s="44" t="n">
        <v>0.006203703703703703</v>
      </c>
      <c r="I2546" s="45" t="n">
        <v>1472289</v>
      </c>
      <c r="J2546" s="45" t="n">
        <v>27312</v>
      </c>
      <c r="K2546" s="45" t="n">
        <v>6133</v>
      </c>
      <c r="L2546" s="46" t="n"/>
      <c r="M2546" s="47" t="n"/>
      <c r="N2546" s="47" t="inlineStr">
        <is>
          <t>UCKZo4N0lVPccBkSiuyVh4yg</t>
        </is>
      </c>
      <c r="O2546" s="48" t="n">
        <v>42738.87361111111</v>
      </c>
      <c r="P2546" s="49" t="n">
        <v>42738</v>
      </c>
      <c r="Q2546" s="47" t="n">
        <v>722</v>
      </c>
      <c r="R2546" s="47" t="inlineStr">
        <is>
          <t>No Video ID yet</t>
        </is>
      </c>
      <c r="S2546" s="49" t="n"/>
      <c r="T2546" s="49" t="n"/>
      <c r="U2546" s="47" t="inlineStr">
        <is>
          <t>Just being a Princess in a Disney movie doesn't guarantee a characters status as a Disney Princess. Today J asks Should Vanellope von Schweetz from Wreck It Ralph be a Disney Princess?</t>
        </is>
      </c>
      <c r="V2546" s="47">
        <f>IF(AND(P2546&gt;=Calendar!$K$2,P2546&lt;EDATE(Calendar!$K$2,1),OR(Calendar!$K$4="*",N2546=Calendar!$K$4)),P2546*100+COUNTIFS($P$6:$P$3267,P2546,$Q$6:$Q$3267,"&lt;="&amp;Q2546,$N$6:$N$3267,Calendar!$K$4),"")</f>
        <v/>
      </c>
      <c r="W2546" s="47">
        <f>IF(AND(B2546=Queue!$C$4,OR(Queue!$K$4="*",N2546=Queue!$K$4)),Q2546,"")</f>
        <v/>
      </c>
    </row>
    <row r="2547">
      <c r="A2547" s="38">
        <f>IF(M2547="","",HYPERLINK("https://www.youtube.com/watch?v="&amp;M2547,"▶"))</f>
        <v/>
      </c>
      <c r="B2547" s="39">
        <f>IF(C2547&lt;&gt;"",C2547,IF(P2547&lt;=IFERROR(INDEX(tblChannels[Watched Through],MATCH(N2547,tblChannels[Channel ID],0)),0),"Watched","Unwatched"))</f>
        <v/>
      </c>
      <c r="C2547" s="40" t="n"/>
      <c r="D2547" s="41" t="n"/>
      <c r="E2547" s="42" t="n">
        <v>42735.53402777778</v>
      </c>
      <c r="F2547" s="50" t="inlineStr">
        <is>
          <t>Super Carlin Brothers</t>
        </is>
      </c>
      <c r="G2547" t="inlineStr">
        <is>
          <t>Loot Crate Unboxing | REVOLUTION</t>
        </is>
      </c>
      <c r="H2547" s="44" t="n">
        <v>0.005219907407407407</v>
      </c>
      <c r="I2547" s="45" t="n">
        <v>89193</v>
      </c>
      <c r="J2547" s="45" t="n">
        <v>3015</v>
      </c>
      <c r="K2547" s="45" t="n">
        <v>809</v>
      </c>
      <c r="L2547" s="46" t="n"/>
      <c r="M2547" s="47" t="n"/>
      <c r="N2547" s="47" t="inlineStr">
        <is>
          <t>UCKZo4N0lVPccBkSiuyVh4yg</t>
        </is>
      </c>
      <c r="O2547" s="48" t="n">
        <v>42735.74236111111</v>
      </c>
      <c r="P2547" s="49" t="n">
        <v>42735</v>
      </c>
      <c r="Q2547" s="47" t="n">
        <v>721</v>
      </c>
      <c r="R2547" s="47" t="inlineStr">
        <is>
          <t>No Video ID yet</t>
        </is>
      </c>
      <c r="S2547" s="49" t="n"/>
      <c r="T2547" s="49" t="n"/>
      <c r="U2547" s="47" t="inlineStr">
        <is>
          <t>Get 10% Off your Loot Crate order at: Promo Code: CARLIN This week Ben and J are unboxing the latest Loot Crate - the theme is REVOLUTION and includes all sorts of cool things from Assassins Creed, Mr. Robot, Star Wars: Rogue One and Firefly!</t>
        </is>
      </c>
      <c r="V2547" s="47">
        <f>IF(AND(P2547&gt;=Calendar!$K$2,P2547&lt;EDATE(Calendar!$K$2,1),OR(Calendar!$K$4="*",N2547=Calendar!$K$4)),P2547*100+COUNTIFS($P$6:$P$3267,P2547,$Q$6:$Q$3267,"&lt;="&amp;Q2547,$N$6:$N$3267,Calendar!$K$4),"")</f>
        <v/>
      </c>
      <c r="W2547" s="47">
        <f>IF(AND(B2547=Queue!$C$4,OR(Queue!$K$4="*",N2547=Queue!$K$4)),Q2547,"")</f>
        <v/>
      </c>
    </row>
    <row r="2548">
      <c r="A2548" s="38">
        <f>IF(M2548="","",HYPERLINK("https://www.youtube.com/watch?v="&amp;M2548,"▶"))</f>
        <v/>
      </c>
      <c r="B2548" s="39">
        <f>IF(C2548&lt;&gt;"",C2548,IF(P2548&lt;=IFERROR(INDEX(tblChannels[Watched Through],MATCH(N2548,tblChannels[Channel ID],0)),0),"Watched","Unwatched"))</f>
        <v/>
      </c>
      <c r="C2548" s="40" t="n"/>
      <c r="D2548" s="41" t="n"/>
      <c r="E2548" s="42" t="n">
        <v>42733.73819444444</v>
      </c>
      <c r="F2548" s="50" t="inlineStr">
        <is>
          <t>Super Carlin Brothers</t>
        </is>
      </c>
      <c r="G2548" t="inlineStr">
        <is>
          <t>Harry Potter Theory: Why Harry Wasn't An Obscurial</t>
        </is>
      </c>
      <c r="H2548" s="44" t="n">
        <v>0.004282407407407408</v>
      </c>
      <c r="I2548" s="45" t="n">
        <v>2144014</v>
      </c>
      <c r="J2548" s="45" t="n">
        <v>39426</v>
      </c>
      <c r="K2548" s="45" t="n">
        <v>4794</v>
      </c>
      <c r="L2548" s="46" t="n"/>
      <c r="M2548" s="47" t="n"/>
      <c r="N2548" s="47" t="inlineStr">
        <is>
          <t>UCKZo4N0lVPccBkSiuyVh4yg</t>
        </is>
      </c>
      <c r="O2548" s="48" t="n">
        <v>42733.94652777778</v>
      </c>
      <c r="P2548" s="49" t="n">
        <v>42733</v>
      </c>
      <c r="Q2548" s="47" t="n">
        <v>720</v>
      </c>
      <c r="R2548" s="47" t="inlineStr">
        <is>
          <t>No Video ID yet</t>
        </is>
      </c>
      <c r="S2548" s="49" t="n"/>
      <c r="T2548" s="49" t="n"/>
      <c r="U2548" s="47" t="inlineStr">
        <is>
          <t>One of the most common questions we have received since Fantastic Beasts and Where to Find Them came out is Why wasn't Harry an obscurial? Today Ben goes over our own Harry Potter Theory as to why this was the case.</t>
        </is>
      </c>
      <c r="V2548" s="47">
        <f>IF(AND(P2548&gt;=Calendar!$K$2,P2548&lt;EDATE(Calendar!$K$2,1),OR(Calendar!$K$4="*",N2548=Calendar!$K$4)),P2548*100+COUNTIFS($P$6:$P$3267,P2548,$Q$6:$Q$3267,"&lt;="&amp;Q2548,$N$6:$N$3267,Calendar!$K$4),"")</f>
        <v/>
      </c>
      <c r="W2548" s="47">
        <f>IF(AND(B2548=Queue!$C$4,OR(Queue!$K$4="*",N2548=Queue!$K$4)),Q2548,"")</f>
        <v/>
      </c>
    </row>
    <row r="2549">
      <c r="A2549" s="38">
        <f>IF(M2549="","",HYPERLINK("https://www.youtube.com/watch?v="&amp;M2549,"▶"))</f>
        <v/>
      </c>
      <c r="B2549" s="39">
        <f>IF(C2549&lt;&gt;"",C2549,IF(P2549&lt;=IFERROR(INDEX(tblChannels[Watched Through],MATCH(N2549,tblChannels[Channel ID],0)),0),"Watched","Unwatched"))</f>
        <v/>
      </c>
      <c r="C2549" s="40" t="n"/>
      <c r="D2549" s="41" t="n"/>
      <c r="E2549" s="42" t="n">
        <v>42729.5</v>
      </c>
      <c r="F2549" s="50" t="inlineStr">
        <is>
          <t>Super Carlin Brothers</t>
        </is>
      </c>
      <c r="G2549" t="inlineStr">
        <is>
          <t>Wall-E and the Meaning of Christmas</t>
        </is>
      </c>
      <c r="H2549" s="44" t="n">
        <v>0.005891203703703704</v>
      </c>
      <c r="I2549" s="45" t="n">
        <v>266342</v>
      </c>
      <c r="J2549" s="45" t="n">
        <v>9812</v>
      </c>
      <c r="K2549" s="45" t="n">
        <v>1997</v>
      </c>
      <c r="L2549" s="46" t="n"/>
      <c r="M2549" s="47" t="n"/>
      <c r="N2549" s="47" t="inlineStr">
        <is>
          <t>UCKZo4N0lVPccBkSiuyVh4yg</t>
        </is>
      </c>
      <c r="O2549" s="48" t="n">
        <v>42729.70833333334</v>
      </c>
      <c r="P2549" s="49" t="n">
        <v>42729</v>
      </c>
      <c r="Q2549" s="47" t="n">
        <v>719</v>
      </c>
      <c r="R2549" s="47" t="inlineStr">
        <is>
          <t>No Video ID yet</t>
        </is>
      </c>
      <c r="S2549" s="49" t="n"/>
      <c r="T2549" s="49" t="n"/>
      <c r="U2549" s="47" t="inlineStr">
        <is>
          <t>Merry Christmas! Massive thanks to Andy Herndon from the D-Cast and Tim Henderson from Church of the Holy Spirit for helping us research this video, could not have done it without you guys! Check out the D-Cast here :: We have talked a lot about Wall-E this year, is he good? Is he Evil? Is he alive?! Today we are looking once more at Disney Pixar's Wall-E to determine if it is in fact a Christmas Movie. What is your favorite Christmas movie?</t>
        </is>
      </c>
      <c r="V2549" s="47">
        <f>IF(AND(P2549&gt;=Calendar!$K$2,P2549&lt;EDATE(Calendar!$K$2,1),OR(Calendar!$K$4="*",N2549=Calendar!$K$4)),P2549*100+COUNTIFS($P$6:$P$3267,P2549,$Q$6:$Q$3267,"&lt;="&amp;Q2549,$N$6:$N$3267,Calendar!$K$4),"")</f>
        <v/>
      </c>
      <c r="W2549" s="47">
        <f>IF(AND(B2549=Queue!$C$4,OR(Queue!$K$4="*",N2549=Queue!$K$4)),Q2549,"")</f>
        <v/>
      </c>
    </row>
    <row r="2550">
      <c r="A2550" s="38">
        <f>IF(M2550="","",HYPERLINK("https://www.youtube.com/watch?v="&amp;M2550,"▶"))</f>
        <v/>
      </c>
      <c r="B2550" s="39">
        <f>IF(C2550&lt;&gt;"",C2550,IF(P2550&lt;=IFERROR(INDEX(tblChannels[Watched Through],MATCH(N2550,tblChannels[Channel ID],0)),0),"Watched","Unwatched"))</f>
        <v/>
      </c>
      <c r="C2550" s="40" t="n"/>
      <c r="D2550" s="41" t="n"/>
      <c r="E2550" s="42" t="n">
        <v>42726.6625</v>
      </c>
      <c r="F2550" s="50" t="inlineStr">
        <is>
          <t>Super Carlin Brothers</t>
        </is>
      </c>
      <c r="G2550" t="inlineStr">
        <is>
          <t>Rogue One: A Star Wars Story | REVIEW</t>
        </is>
      </c>
      <c r="H2550" s="44" t="n">
        <v>0.03587962962962963</v>
      </c>
      <c r="I2550" s="45" t="n">
        <v>271397</v>
      </c>
      <c r="J2550" s="45" t="n">
        <v>7047</v>
      </c>
      <c r="K2550" s="45" t="n">
        <v>3056</v>
      </c>
      <c r="L2550" s="46" t="n"/>
      <c r="M2550" s="47" t="n"/>
      <c r="N2550" s="47" t="inlineStr">
        <is>
          <t>UCKZo4N0lVPccBkSiuyVh4yg</t>
        </is>
      </c>
      <c r="O2550" s="48" t="n">
        <v>42726.87083333333</v>
      </c>
      <c r="P2550" s="49" t="n">
        <v>42726</v>
      </c>
      <c r="Q2550" s="47" t="n">
        <v>718</v>
      </c>
      <c r="R2550" s="47" t="inlineStr">
        <is>
          <t>No Video ID yet</t>
        </is>
      </c>
      <c r="S2550" s="49" t="n"/>
      <c r="T2550" s="49" t="n"/>
      <c r="U2550" s="47" t="inlineStr">
        <is>
          <t>Today J and Ben give their full in depth SPOILER review of Rogue One: A Star Wars Story. We cover everything from Jyn Erso to Darth Vader to the blue milk and every other easter egg we spotted! What did you think of Rogue One? Where does it rank amongst other Star Wars movies for you?</t>
        </is>
      </c>
      <c r="V2550" s="47">
        <f>IF(AND(P2550&gt;=Calendar!$K$2,P2550&lt;EDATE(Calendar!$K$2,1),OR(Calendar!$K$4="*",N2550=Calendar!$K$4)),P2550*100+COUNTIFS($P$6:$P$3267,P2550,$Q$6:$Q$3267,"&lt;="&amp;Q2550,$N$6:$N$3267,Calendar!$K$4),"")</f>
        <v/>
      </c>
      <c r="W2550" s="47">
        <f>IF(AND(B2550=Queue!$C$4,OR(Queue!$K$4="*",N2550=Queue!$K$4)),Q2550,"")</f>
        <v/>
      </c>
    </row>
    <row r="2551">
      <c r="A2551" s="38">
        <f>IF(M2551="","",HYPERLINK("https://www.youtube.com/watch?v="&amp;M2551,"▶"))</f>
        <v/>
      </c>
      <c r="B2551" s="39">
        <f>IF(C2551&lt;&gt;"",C2551,IF(P2551&lt;=IFERROR(INDEX(tblChannels[Watched Through],MATCH(N2551,tblChannels[Channel ID],0)),0),"Watched","Unwatched"))</f>
        <v/>
      </c>
      <c r="C2551" s="40" t="n"/>
      <c r="D2551" s="41" t="n"/>
      <c r="E2551" s="42" t="n">
        <v>42724.83055555556</v>
      </c>
      <c r="F2551" s="50" t="inlineStr">
        <is>
          <t>Super Carlin Brothers</t>
        </is>
      </c>
      <c r="G2551" t="inlineStr">
        <is>
          <t>Star Wars: Lightsaber Colors Explained</t>
        </is>
      </c>
      <c r="H2551" s="44" t="n">
        <v>0.006643518518518518</v>
      </c>
      <c r="I2551" s="45" t="n">
        <v>5179787</v>
      </c>
      <c r="J2551" s="45" t="n">
        <v>69914</v>
      </c>
      <c r="K2551" s="45" t="n">
        <v>22850</v>
      </c>
      <c r="L2551" s="46" t="n"/>
      <c r="M2551" s="47" t="n"/>
      <c r="N2551" s="47" t="inlineStr">
        <is>
          <t>UCKZo4N0lVPccBkSiuyVh4yg</t>
        </is>
      </c>
      <c r="O2551" s="48" t="n">
        <v>42725.03888888889</v>
      </c>
      <c r="P2551" s="49" t="n">
        <v>42724</v>
      </c>
      <c r="Q2551" s="47" t="n">
        <v>717</v>
      </c>
      <c r="R2551" s="47" t="inlineStr">
        <is>
          <t>No Video ID yet</t>
        </is>
      </c>
      <c r="S2551" s="49" t="n"/>
      <c r="T2551" s="49" t="n"/>
      <c r="U2551" s="47" t="inlineStr">
        <is>
          <t>Ever wondered by lightsaber colors vary from Jedi to Jedi but not from Sith to Sith? Today J dives into the world of Star Wars and explains why everyones favorite weapon has so many different shades.</t>
        </is>
      </c>
      <c r="V2551" s="47">
        <f>IF(AND(P2551&gt;=Calendar!$K$2,P2551&lt;EDATE(Calendar!$K$2,1),OR(Calendar!$K$4="*",N2551=Calendar!$K$4)),P2551*100+COUNTIFS($P$6:$P$3267,P2551,$Q$6:$Q$3267,"&lt;="&amp;Q2551,$N$6:$N$3267,Calendar!$K$4),"")</f>
        <v/>
      </c>
      <c r="W2551" s="47">
        <f>IF(AND(B2551=Queue!$C$4,OR(Queue!$K$4="*",N2551=Queue!$K$4)),Q2551,"")</f>
        <v/>
      </c>
    </row>
    <row r="2552">
      <c r="A2552" s="38">
        <f>IF(M2552="","",HYPERLINK("https://www.youtube.com/watch?v="&amp;M2552,"▶"))</f>
        <v/>
      </c>
      <c r="B2552" s="39">
        <f>IF(C2552&lt;&gt;"",C2552,IF(P2552&lt;=IFERROR(INDEX(tblChannels[Watched Through],MATCH(N2552,tblChannels[Channel ID],0)),0),"Watched","Unwatched"))</f>
        <v/>
      </c>
      <c r="C2552" s="40" t="n"/>
      <c r="D2552" s="41" t="n"/>
      <c r="E2552" s="42" t="n">
        <v>42719.80625</v>
      </c>
      <c r="F2552" s="50" t="inlineStr">
        <is>
          <t>Super Carlin Brothers</t>
        </is>
      </c>
      <c r="G2552" t="inlineStr">
        <is>
          <t>Tamatoa is REAL?!?</t>
        </is>
      </c>
      <c r="H2552" s="44" t="n">
        <v>0.004224537037037037</v>
      </c>
      <c r="I2552" s="45" t="n">
        <v>2624082</v>
      </c>
      <c r="J2552" s="45" t="n">
        <v>36855</v>
      </c>
      <c r="K2552" s="45" t="n">
        <v>7123</v>
      </c>
      <c r="L2552" s="46" t="n"/>
      <c r="M2552" s="47" t="n"/>
      <c r="N2552" s="47" t="inlineStr">
        <is>
          <t>UCKZo4N0lVPccBkSiuyVh4yg</t>
        </is>
      </c>
      <c r="O2552" s="48" t="n">
        <v>42720.01458333333</v>
      </c>
      <c r="P2552" s="49" t="n">
        <v>42719</v>
      </c>
      <c r="Q2552" s="47" t="n">
        <v>716</v>
      </c>
      <c r="R2552" s="47" t="inlineStr">
        <is>
          <t>No Video ID yet</t>
        </is>
      </c>
      <c r="S2552" s="49" t="n"/>
      <c r="T2552" s="49" t="n"/>
      <c r="U2552" s="47" t="inlineStr">
        <is>
          <t>Today we ask: Is Tamatoa real?! Ben dives into Disney's Moana to reveal the startling truth about the villainous 50-foot crab Tamatoa and if he actually exists!</t>
        </is>
      </c>
      <c r="V2552" s="47">
        <f>IF(AND(P2552&gt;=Calendar!$K$2,P2552&lt;EDATE(Calendar!$K$2,1),OR(Calendar!$K$4="*",N2552=Calendar!$K$4)),P2552*100+COUNTIFS($P$6:$P$3267,P2552,$Q$6:$Q$3267,"&lt;="&amp;Q2552,$N$6:$N$3267,Calendar!$K$4),"")</f>
        <v/>
      </c>
      <c r="W2552" s="47">
        <f>IF(AND(B2552=Queue!$C$4,OR(Queue!$K$4="*",N2552=Queue!$K$4)),Q2552,"")</f>
        <v/>
      </c>
    </row>
    <row r="2553">
      <c r="A2553" s="38">
        <f>IF(M2553="","",HYPERLINK("https://www.youtube.com/watch?v="&amp;M2553,"▶"))</f>
        <v/>
      </c>
      <c r="B2553" s="39">
        <f>IF(C2553&lt;&gt;"",C2553,IF(P2553&lt;=IFERROR(INDEX(tblChannels[Watched Through],MATCH(N2553,tblChannels[Channel ID],0)),0),"Watched","Unwatched"))</f>
        <v/>
      </c>
      <c r="C2553" s="40" t="n"/>
      <c r="D2553" s="41" t="n"/>
      <c r="E2553" s="42" t="n">
        <v>42717.68472222222</v>
      </c>
      <c r="F2553" s="50" t="inlineStr">
        <is>
          <t>Super Carlin Brothers</t>
        </is>
      </c>
      <c r="G2553" t="inlineStr">
        <is>
          <t>Is Olaf Google Autofill</t>
        </is>
      </c>
      <c r="H2553" s="44" t="n">
        <v>0.004976851851851852</v>
      </c>
      <c r="I2553" s="45" t="n">
        <v>448043</v>
      </c>
      <c r="J2553" s="45" t="n">
        <v>11588</v>
      </c>
      <c r="K2553" s="45" t="n">
        <v>3045</v>
      </c>
      <c r="L2553" s="46" t="n"/>
      <c r="M2553" s="47" t="n"/>
      <c r="N2553" s="47" t="inlineStr">
        <is>
          <t>UCKZo4N0lVPccBkSiuyVh4yg</t>
        </is>
      </c>
      <c r="O2553" s="48" t="n">
        <v>42717.89305555556</v>
      </c>
      <c r="P2553" s="49" t="n">
        <v>42717</v>
      </c>
      <c r="Q2553" s="47" t="n">
        <v>715</v>
      </c>
      <c r="R2553" s="47" t="inlineStr">
        <is>
          <t>No Video ID yet</t>
        </is>
      </c>
      <c r="S2553" s="49" t="n"/>
      <c r="T2553" s="49" t="n"/>
      <c r="U2553" s="47" t="inlineStr">
        <is>
          <t>Today we are playing the Google Autofill game with Disney's Frozen and asking Is Olaf Google Autofill?!</t>
        </is>
      </c>
      <c r="V2553" s="47">
        <f>IF(AND(P2553&gt;=Calendar!$K$2,P2553&lt;EDATE(Calendar!$K$2,1),OR(Calendar!$K$4="*",N2553=Calendar!$K$4)),P2553*100+COUNTIFS($P$6:$P$3267,P2553,$Q$6:$Q$3267,"&lt;="&amp;Q2553,$N$6:$N$3267,Calendar!$K$4),"")</f>
        <v/>
      </c>
      <c r="W2553" s="47">
        <f>IF(AND(B2553=Queue!$C$4,OR(Queue!$K$4="*",N2553=Queue!$K$4)),Q2553,"")</f>
        <v/>
      </c>
    </row>
    <row r="2554">
      <c r="A2554" s="38">
        <f>IF(M2554="","",HYPERLINK("https://www.youtube.com/watch?v="&amp;M2554,"▶"))</f>
        <v/>
      </c>
      <c r="B2554" s="39">
        <f>IF(C2554&lt;&gt;"",C2554,IF(P2554&lt;=IFERROR(INDEX(tblChannels[Watched Through],MATCH(N2554,tblChannels[Channel ID],0)),0),"Watched","Unwatched"))</f>
        <v/>
      </c>
      <c r="C2554" s="40" t="n"/>
      <c r="D2554" s="41" t="n"/>
      <c r="E2554" s="42" t="n">
        <v>42712.83541666667</v>
      </c>
      <c r="F2554" s="50" t="inlineStr">
        <is>
          <t>Super Carlin Brothers</t>
        </is>
      </c>
      <c r="G2554" t="inlineStr">
        <is>
          <t>Star Wars Theory: Could Jyn Be Rey's Mother?!</t>
        </is>
      </c>
      <c r="H2554" s="44" t="n">
        <v>0.005497685185185185</v>
      </c>
      <c r="I2554" s="45" t="n">
        <v>322137</v>
      </c>
      <c r="J2554" s="45" t="n">
        <v>8353</v>
      </c>
      <c r="K2554" s="45" t="n">
        <v>2601</v>
      </c>
      <c r="L2554" s="46" t="n"/>
      <c r="M2554" s="47" t="n"/>
      <c r="N2554" s="47" t="inlineStr">
        <is>
          <t>UCKZo4N0lVPccBkSiuyVh4yg</t>
        </is>
      </c>
      <c r="O2554" s="48" t="n">
        <v>42713.04375</v>
      </c>
      <c r="P2554" s="49" t="n">
        <v>42712</v>
      </c>
      <c r="Q2554" s="47" t="n">
        <v>714</v>
      </c>
      <c r="R2554" s="47" t="inlineStr">
        <is>
          <t>No Video ID yet</t>
        </is>
      </c>
      <c r="S2554" s="49" t="n"/>
      <c r="T2554" s="49" t="n"/>
      <c r="U2554" s="47" t="inlineStr">
        <is>
          <t>Star Wars Rogue One comes out in just next weeks and today we are discussing if Jyn Erso could in fact be Rey's mother! Also do you guys think Ben has a shot with Daisy Ridley?? 😍 Roanoke, Va, 24015</t>
        </is>
      </c>
      <c r="V2554" s="47">
        <f>IF(AND(P2554&gt;=Calendar!$K$2,P2554&lt;EDATE(Calendar!$K$2,1),OR(Calendar!$K$4="*",N2554=Calendar!$K$4)),P2554*100+COUNTIFS($P$6:$P$3267,P2554,$Q$6:$Q$3267,"&lt;="&amp;Q2554,$N$6:$N$3267,Calendar!$K$4),"")</f>
        <v/>
      </c>
      <c r="W2554" s="47">
        <f>IF(AND(B2554=Queue!$C$4,OR(Queue!$K$4="*",N2554=Queue!$K$4)),Q2554,"")</f>
        <v/>
      </c>
    </row>
    <row r="2555">
      <c r="A2555" s="38">
        <f>IF(M2555="","",HYPERLINK("https://www.youtube.com/watch?v="&amp;M2555,"▶"))</f>
        <v/>
      </c>
      <c r="B2555" s="39">
        <f>IF(C2555&lt;&gt;"",C2555,IF(P2555&lt;=IFERROR(INDEX(tblChannels[Watched Through],MATCH(N2555,tblChannels[Channel ID],0)),0),"Watched","Unwatched"))</f>
        <v/>
      </c>
      <c r="C2555" s="40" t="n"/>
      <c r="D2555" s="41" t="n"/>
      <c r="E2555" s="42" t="n">
        <v>42710.82013888889</v>
      </c>
      <c r="F2555" s="50" t="inlineStr">
        <is>
          <t>Super Carlin Brothers</t>
        </is>
      </c>
      <c r="G2555" t="inlineStr">
        <is>
          <t>Top 10 Things To Look For In Star Wars Rogue One</t>
        </is>
      </c>
      <c r="H2555" s="44" t="n">
        <v>0.007685185185185186</v>
      </c>
      <c r="I2555" s="45" t="n">
        <v>237029</v>
      </c>
      <c r="J2555" s="45" t="n">
        <v>6644</v>
      </c>
      <c r="K2555" s="45" t="n">
        <v>2303</v>
      </c>
      <c r="L2555" s="46" t="n"/>
      <c r="M2555" s="47" t="n"/>
      <c r="N2555" s="47" t="inlineStr">
        <is>
          <t>UCKZo4N0lVPccBkSiuyVh4yg</t>
        </is>
      </c>
      <c r="O2555" s="48" t="n">
        <v>42711.02847222222</v>
      </c>
      <c r="P2555" s="49" t="n">
        <v>42710</v>
      </c>
      <c r="Q2555" s="47" t="n">
        <v>713</v>
      </c>
      <c r="R2555" s="47" t="inlineStr">
        <is>
          <t>No Video ID yet</t>
        </is>
      </c>
      <c r="S2555" s="49" t="n"/>
      <c r="T2555" s="49" t="n"/>
      <c r="U2555" s="47" t="inlineStr">
        <is>
          <t>Star Wars Rogue One comes out in just 2 weeks! Today we are going over our Top 10 Things and easter eggs to look out for when you see it!</t>
        </is>
      </c>
      <c r="V2555" s="47">
        <f>IF(AND(P2555&gt;=Calendar!$K$2,P2555&lt;EDATE(Calendar!$K$2,1),OR(Calendar!$K$4="*",N2555=Calendar!$K$4)),P2555*100+COUNTIFS($P$6:$P$3267,P2555,$Q$6:$Q$3267,"&lt;="&amp;Q2555,$N$6:$N$3267,Calendar!$K$4),"")</f>
        <v/>
      </c>
      <c r="W2555" s="47">
        <f>IF(AND(B2555=Queue!$C$4,OR(Queue!$K$4="*",N2555=Queue!$K$4)),Q2555,"")</f>
        <v/>
      </c>
    </row>
    <row r="2556">
      <c r="A2556" s="38">
        <f>IF(M2556="","",HYPERLINK("https://www.youtube.com/watch?v="&amp;M2556,"▶"))</f>
        <v/>
      </c>
      <c r="B2556" s="39">
        <f>IF(C2556&lt;&gt;"",C2556,IF(P2556&lt;=IFERROR(INDEX(tblChannels[Watched Through],MATCH(N2556,tblChannels[Channel ID],0)),0),"Watched","Unwatched"))</f>
        <v/>
      </c>
      <c r="C2556" s="40" t="n"/>
      <c r="D2556" s="41" t="n"/>
      <c r="E2556" s="42" t="n">
        <v>42710.53194444445</v>
      </c>
      <c r="F2556" s="52" t="inlineStr">
        <is>
          <t>Super Carlin Gaming</t>
        </is>
      </c>
      <c r="G2556" t="inlineStr">
        <is>
          <t>Pokemon HeartGold Nuzlocke #31: THE FINAL BATTLE</t>
        </is>
      </c>
      <c r="H2556" s="44" t="n">
        <v>0.01260416666666667</v>
      </c>
      <c r="I2556" s="45" t="n">
        <v>26169</v>
      </c>
      <c r="J2556" s="45" t="n">
        <v>616</v>
      </c>
      <c r="K2556" s="45" t="n">
        <v>149</v>
      </c>
      <c r="L2556" s="46" t="n"/>
      <c r="M2556" s="47" t="n"/>
      <c r="N2556" s="47" t="inlineStr">
        <is>
          <t>UCor_9jRnNNZVzTuQ92PKsaQ</t>
        </is>
      </c>
      <c r="O2556" s="48" t="n">
        <v>42710.74027777778</v>
      </c>
      <c r="P2556" s="49" t="n">
        <v>42710</v>
      </c>
      <c r="Q2556" s="47" t="n">
        <v>712</v>
      </c>
      <c r="R2556" s="47" t="inlineStr">
        <is>
          <t>No Video ID yet</t>
        </is>
      </c>
      <c r="S2556" s="49" t="n"/>
      <c r="T2556" s="49" t="n"/>
      <c r="U2556" s="47" t="inlineStr">
        <is>
          <t>Just one battle left in the Pokemon HeartGold Nuzlocke Challenge! Today we face off against Lance and his Dragons.. can the team prevail against its toughest opponent yet???</t>
        </is>
      </c>
      <c r="V2556" s="47">
        <f>IF(AND(P2556&gt;=Calendar!$K$2,P2556&lt;EDATE(Calendar!$K$2,1),OR(Calendar!$K$4="*",N2556=Calendar!$K$4)),P2556*100+COUNTIFS($P$6:$P$3267,P2556,$Q$6:$Q$3267,"&lt;="&amp;Q2556,$N$6:$N$3267,Calendar!$K$4),"")</f>
        <v/>
      </c>
      <c r="W2556" s="47">
        <f>IF(AND(B2556=Queue!$C$4,OR(Queue!$K$4="*",N2556=Queue!$K$4)),Q2556,"")</f>
        <v/>
      </c>
    </row>
    <row r="2557">
      <c r="A2557" s="38">
        <f>IF(M2557="","",HYPERLINK("https://www.youtube.com/watch?v="&amp;M2557,"▶"))</f>
        <v/>
      </c>
      <c r="B2557" s="39">
        <f>IF(C2557&lt;&gt;"",C2557,IF(P2557&lt;=IFERROR(INDEX(tblChannels[Watched Through],MATCH(N2557,tblChannels[Channel ID],0)),0),"Watched","Unwatched"))</f>
        <v/>
      </c>
      <c r="C2557" s="40" t="n"/>
      <c r="D2557" s="41" t="n"/>
      <c r="E2557" s="42" t="n">
        <v>42707.625</v>
      </c>
      <c r="F2557" s="50" t="inlineStr">
        <is>
          <t>Super Carlin Brothers</t>
        </is>
      </c>
      <c r="G2557" t="inlineStr">
        <is>
          <t>Loot Crate Unboxing | MAGICAL</t>
        </is>
      </c>
      <c r="H2557" s="44" t="n">
        <v>0.005011574074074074</v>
      </c>
      <c r="I2557" s="45" t="n">
        <v>152533</v>
      </c>
      <c r="J2557" s="45" t="n">
        <v>5194</v>
      </c>
      <c r="K2557" s="45" t="n">
        <v>927</v>
      </c>
      <c r="L2557" s="46" t="n"/>
      <c r="M2557" s="47" t="n"/>
      <c r="N2557" s="47" t="inlineStr">
        <is>
          <t>UCKZo4N0lVPccBkSiuyVh4yg</t>
        </is>
      </c>
      <c r="O2557" s="48" t="n">
        <v>42707.83333333334</v>
      </c>
      <c r="P2557" s="49" t="n">
        <v>42707</v>
      </c>
      <c r="Q2557" s="47" t="n">
        <v>711</v>
      </c>
      <c r="R2557" s="47" t="inlineStr">
        <is>
          <t>No Video ID yet</t>
        </is>
      </c>
      <c r="S2557" s="49" t="n"/>
      <c r="T2557" s="49" t="n"/>
      <c r="U2557" s="47" t="inlineStr">
        <is>
          <t>Get 10% Off your Loot Crate order at: Promo Code: CARLIN This week Ben and J are unboxing the latest Loot Crate - the theme is MAGICAL and includes all sorts of cool things from Fantastic Beasts, Doctor Strange, Game of Thrones &amp; more! Every time you give us a thumbs up a Narwhal gets its horn! (maybe..) PO BOX 4339 Roanoke, Va, 24015 =D</t>
        </is>
      </c>
      <c r="V2557" s="47">
        <f>IF(AND(P2557&gt;=Calendar!$K$2,P2557&lt;EDATE(Calendar!$K$2,1),OR(Calendar!$K$4="*",N2557=Calendar!$K$4)),P2557*100+COUNTIFS($P$6:$P$3267,P2557,$Q$6:$Q$3267,"&lt;="&amp;Q2557,$N$6:$N$3267,Calendar!$K$4),"")</f>
        <v/>
      </c>
      <c r="W2557" s="47">
        <f>IF(AND(B2557=Queue!$C$4,OR(Queue!$K$4="*",N2557=Queue!$K$4)),Q2557,"")</f>
        <v/>
      </c>
    </row>
    <row r="2558">
      <c r="A2558" s="38">
        <f>IF(M2558="","",HYPERLINK("https://www.youtube.com/watch?v="&amp;M2558,"▶"))</f>
        <v/>
      </c>
      <c r="B2558" s="39">
        <f>IF(C2558&lt;&gt;"",C2558,IF(P2558&lt;=IFERROR(INDEX(tblChannels[Watched Through],MATCH(N2558,tblChannels[Channel ID],0)),0),"Watched","Unwatched"))</f>
        <v/>
      </c>
      <c r="C2558" s="40" t="n"/>
      <c r="D2558" s="41" t="n"/>
      <c r="E2558" s="42" t="n">
        <v>42706.02013888889</v>
      </c>
      <c r="F2558" s="50" t="inlineStr">
        <is>
          <t>Super Carlin Brothers</t>
        </is>
      </c>
      <c r="G2558" t="inlineStr">
        <is>
          <t>EVERY PIXAR MOVIE RANKED</t>
        </is>
      </c>
      <c r="H2558" s="44" t="n">
        <v>0.02390046296296296</v>
      </c>
      <c r="I2558" s="45" t="n">
        <v>1761327</v>
      </c>
      <c r="J2558" s="45" t="n">
        <v>45774</v>
      </c>
      <c r="K2558" s="45" t="n">
        <v>14291</v>
      </c>
      <c r="L2558" s="46" t="n"/>
      <c r="M2558" s="47" t="n"/>
      <c r="N2558" s="47" t="inlineStr">
        <is>
          <t>UCKZo4N0lVPccBkSiuyVh4yg</t>
        </is>
      </c>
      <c r="O2558" s="48" t="n">
        <v>42706.22847222222</v>
      </c>
      <c r="P2558" s="49" t="n">
        <v>42706</v>
      </c>
      <c r="Q2558" s="47" t="n">
        <v>710</v>
      </c>
      <c r="R2558" s="47" t="inlineStr">
        <is>
          <t>No Video ID yet</t>
        </is>
      </c>
      <c r="S2558" s="49" t="n"/>
      <c r="T2558" s="49" t="n"/>
      <c r="U2558" s="47" t="inlineStr">
        <is>
          <t>OMG TODAY WE HIT 1,000,000 MILLION SUBSCRIBERS!!!! To celebrate we are finally revealing our personal rankings of all the Pixar movies! What is your favorite Pixar Movie? Thank you guys all so much for watching us for the past 4.5 years, and making YouTube possible for us, as long as you keep watching we'll keep making vids! Every time you give us a thumbs up a Narwhal gets its horn! (maybe..) PO BOX 4339 Roanoke, Va, 24015 =D</t>
        </is>
      </c>
      <c r="V2558" s="47">
        <f>IF(AND(P2558&gt;=Calendar!$K$2,P2558&lt;EDATE(Calendar!$K$2,1),OR(Calendar!$K$4="*",N2558=Calendar!$K$4)),P2558*100+COUNTIFS($P$6:$P$3267,P2558,$Q$6:$Q$3267,"&lt;="&amp;Q2558,$N$6:$N$3267,Calendar!$K$4),"")</f>
        <v/>
      </c>
      <c r="W2558" s="47">
        <f>IF(AND(B2558=Queue!$C$4,OR(Queue!$K$4="*",N2558=Queue!$K$4)),Q2558,"")</f>
        <v/>
      </c>
    </row>
    <row r="2559">
      <c r="A2559" s="38">
        <f>IF(M2559="","",HYPERLINK("https://www.youtube.com/watch?v="&amp;M2559,"▶"))</f>
        <v/>
      </c>
      <c r="B2559" s="39">
        <f>IF(C2559&lt;&gt;"",C2559,IF(P2559&lt;=IFERROR(INDEX(tblChannels[Watched Through],MATCH(N2559,tblChannels[Channel ID],0)),0),"Watched","Unwatched"))</f>
        <v/>
      </c>
      <c r="C2559" s="40" t="n"/>
      <c r="D2559" s="41" t="n"/>
      <c r="E2559" s="42" t="n">
        <v>42704.86458333334</v>
      </c>
      <c r="F2559" s="52" t="inlineStr">
        <is>
          <t>Super Carlin Gaming</t>
        </is>
      </c>
      <c r="G2559" t="inlineStr">
        <is>
          <t>Pokemon HeartGold Nuzlocke #30: ELITE 4 (Part 2)</t>
        </is>
      </c>
      <c r="H2559" s="44" t="n">
        <v>0.01608796296296296</v>
      </c>
      <c r="I2559" s="45" t="n">
        <v>16958</v>
      </c>
      <c r="J2559" s="45" t="n">
        <v>431</v>
      </c>
      <c r="K2559" s="45" t="n">
        <v>104</v>
      </c>
      <c r="L2559" s="46" t="n"/>
      <c r="M2559" s="47" t="n"/>
      <c r="N2559" s="47" t="inlineStr">
        <is>
          <t>UCor_9jRnNNZVzTuQ92PKsaQ</t>
        </is>
      </c>
      <c r="O2559" s="48" t="n">
        <v>42705.07291666666</v>
      </c>
      <c r="P2559" s="49" t="n">
        <v>42704</v>
      </c>
      <c r="Q2559" s="47" t="n">
        <v>709</v>
      </c>
      <c r="R2559" s="47" t="inlineStr">
        <is>
          <t>No Video ID yet</t>
        </is>
      </c>
      <c r="S2559" s="49" t="n"/>
      <c r="T2559" s="49" t="n"/>
      <c r="U2559" s="47" t="inlineStr">
        <is>
          <t>Will and Koga are defeated.. can the team survive the next 2 members of the Elite 4, or will Bruno and Karen take us out?!</t>
        </is>
      </c>
      <c r="V2559" s="47">
        <f>IF(AND(P2559&gt;=Calendar!$K$2,P2559&lt;EDATE(Calendar!$K$2,1),OR(Calendar!$K$4="*",N2559=Calendar!$K$4)),P2559*100+COUNTIFS($P$6:$P$3267,P2559,$Q$6:$Q$3267,"&lt;="&amp;Q2559,$N$6:$N$3267,Calendar!$K$4),"")</f>
        <v/>
      </c>
      <c r="W2559" s="47">
        <f>IF(AND(B2559=Queue!$C$4,OR(Queue!$K$4="*",N2559=Queue!$K$4)),Q2559,"")</f>
        <v/>
      </c>
    </row>
    <row r="2560">
      <c r="A2560" s="38">
        <f>IF(M2560="","",HYPERLINK("https://www.youtube.com/watch?v="&amp;M2560,"▶"))</f>
        <v/>
      </c>
      <c r="B2560" s="39">
        <f>IF(C2560&lt;&gt;"",C2560,IF(P2560&lt;=IFERROR(INDEX(tblChannels[Watched Through],MATCH(N2560,tblChannels[Channel ID],0)),0),"Watched","Unwatched"))</f>
        <v/>
      </c>
      <c r="C2560" s="40" t="n"/>
      <c r="D2560" s="41" t="n"/>
      <c r="E2560" s="42" t="n">
        <v>42704.69652777778</v>
      </c>
      <c r="F2560" s="50" t="inlineStr">
        <is>
          <t>Super Carlin Brothers</t>
        </is>
      </c>
      <c r="G2560" t="inlineStr">
        <is>
          <t>SCB December GIVE-A-THON Announcement!</t>
        </is>
      </c>
      <c r="H2560" s="44" t="n">
        <v>0.00287037037037037</v>
      </c>
      <c r="I2560" s="45" t="n">
        <v>75445</v>
      </c>
      <c r="J2560" s="45" t="n">
        <v>5340</v>
      </c>
      <c r="K2560" s="45" t="n">
        <v>1128</v>
      </c>
      <c r="L2560" s="46" t="n"/>
      <c r="M2560" s="47" t="n"/>
      <c r="N2560" s="47" t="inlineStr">
        <is>
          <t>UCKZo4N0lVPccBkSiuyVh4yg</t>
        </is>
      </c>
      <c r="O2560" s="48" t="n">
        <v>42704.90486111111</v>
      </c>
      <c r="P2560" s="49" t="n">
        <v>42704</v>
      </c>
      <c r="Q2560" s="47" t="n">
        <v>708</v>
      </c>
      <c r="R2560" s="47" t="inlineStr">
        <is>
          <t>No Video ID yet</t>
        </is>
      </c>
      <c r="S2560" s="49" t="n"/>
      <c r="T2560" s="49" t="n"/>
      <c r="U2560" s="47" t="inlineStr">
        <is>
          <t>We are doing giveaways everyday for the first 25 days of December! To enter each day all you have to do is follow each of us on instagram and like the photo of the day! We are donating 10 cents to our local chapter of Big Brothers Big Sisters for each follower we get up to 20,000 followers!</t>
        </is>
      </c>
      <c r="V2560" s="47">
        <f>IF(AND(P2560&gt;=Calendar!$K$2,P2560&lt;EDATE(Calendar!$K$2,1),OR(Calendar!$K$4="*",N2560=Calendar!$K$4)),P2560*100+COUNTIFS($P$6:$P$3267,P2560,$Q$6:$Q$3267,"&lt;="&amp;Q2560,$N$6:$N$3267,Calendar!$K$4),"")</f>
        <v/>
      </c>
      <c r="W2560" s="47">
        <f>IF(AND(B2560=Queue!$C$4,OR(Queue!$K$4="*",N2560=Queue!$K$4)),Q2560,"")</f>
        <v/>
      </c>
    </row>
    <row r="2561">
      <c r="A2561" s="38">
        <f>IF(M2561="","",HYPERLINK("https://www.youtube.com/watch?v="&amp;M2561,"▶"))</f>
        <v/>
      </c>
      <c r="B2561" s="39">
        <f>IF(C2561&lt;&gt;"",C2561,IF(P2561&lt;=IFERROR(INDEX(tblChannels[Watched Through],MATCH(N2561,tblChannels[Channel ID],0)),0),"Watched","Unwatched"))</f>
        <v/>
      </c>
      <c r="C2561" s="40" t="n"/>
      <c r="D2561" s="41" t="n"/>
      <c r="E2561" s="42" t="n">
        <v>42703.85347222222</v>
      </c>
      <c r="F2561" s="50" t="inlineStr">
        <is>
          <t>Super Carlin Brothers</t>
        </is>
      </c>
      <c r="G2561" t="inlineStr">
        <is>
          <t>Could Cars 3 Actually Be Awesome?!</t>
        </is>
      </c>
      <c r="H2561" s="44" t="n">
        <v>0.007789351851851852</v>
      </c>
      <c r="I2561" s="45" t="n">
        <v>1086509</v>
      </c>
      <c r="J2561" s="45" t="n">
        <v>25151</v>
      </c>
      <c r="K2561" s="45" t="n">
        <v>5481</v>
      </c>
      <c r="L2561" s="46" t="n"/>
      <c r="M2561" s="47" t="n"/>
      <c r="N2561" s="47" t="inlineStr">
        <is>
          <t>UCKZo4N0lVPccBkSiuyVh4yg</t>
        </is>
      </c>
      <c r="O2561" s="48" t="n">
        <v>42704.06180555555</v>
      </c>
      <c r="P2561" s="49" t="n">
        <v>42703</v>
      </c>
      <c r="Q2561" s="47" t="n">
        <v>707</v>
      </c>
      <c r="R2561" s="47" t="inlineStr">
        <is>
          <t>No Video ID yet</t>
        </is>
      </c>
      <c r="S2561" s="49" t="n"/>
      <c r="T2561" s="49" t="n"/>
      <c r="U2561" s="47" t="inlineStr">
        <is>
          <t>...and they said we couldn't make an 11 min video about a 57 sec trailer HAHAHA! Disney Pixar's first teaser trailer for Cars 3 just came out so today we are giving our in depth analysis, review and predictions for the upcoming movie! Full Trailer ::</t>
        </is>
      </c>
      <c r="V2561" s="47">
        <f>IF(AND(P2561&gt;=Calendar!$K$2,P2561&lt;EDATE(Calendar!$K$2,1),OR(Calendar!$K$4="*",N2561=Calendar!$K$4)),P2561*100+COUNTIFS($P$6:$P$3267,P2561,$Q$6:$Q$3267,"&lt;="&amp;Q2561,$N$6:$N$3267,Calendar!$K$4),"")</f>
        <v/>
      </c>
      <c r="W2561" s="47">
        <f>IF(AND(B2561=Queue!$C$4,OR(Queue!$K$4="*",N2561=Queue!$K$4)),Q2561,"")</f>
        <v/>
      </c>
    </row>
    <row r="2562">
      <c r="A2562" s="38">
        <f>IF(M2562="","",HYPERLINK("https://www.youtube.com/watch?v="&amp;M2562,"▶"))</f>
        <v/>
      </c>
      <c r="B2562" s="39">
        <f>IF(C2562&lt;&gt;"",C2562,IF(P2562&lt;=IFERROR(INDEX(tblChannels[Watched Through],MATCH(N2562,tblChannels[Channel ID],0)),0),"Watched","Unwatched"))</f>
        <v/>
      </c>
      <c r="C2562" s="40" t="n"/>
      <c r="D2562" s="41" t="n"/>
      <c r="E2562" s="42" t="n">
        <v>42703.66666666666</v>
      </c>
      <c r="F2562" s="52" t="inlineStr">
        <is>
          <t>Super Carlin Gaming</t>
        </is>
      </c>
      <c r="G2562" t="inlineStr">
        <is>
          <t>Pokemon HeartGold Nuzlocke #29: ENTER THE ELITE 4</t>
        </is>
      </c>
      <c r="H2562" s="44" t="n">
        <v>0.01538194444444444</v>
      </c>
      <c r="I2562" s="45" t="n">
        <v>17417</v>
      </c>
      <c r="J2562" s="45" t="n">
        <v>423</v>
      </c>
      <c r="K2562" s="45" t="n">
        <v>78</v>
      </c>
      <c r="L2562" s="46" t="n"/>
      <c r="M2562" s="47" t="n"/>
      <c r="N2562" s="47" t="inlineStr">
        <is>
          <t>UCor_9jRnNNZVzTuQ92PKsaQ</t>
        </is>
      </c>
      <c r="O2562" s="48" t="n">
        <v>42703.875</v>
      </c>
      <c r="P2562" s="49" t="n">
        <v>42703</v>
      </c>
      <c r="Q2562" s="47" t="n">
        <v>706</v>
      </c>
      <c r="R2562" s="47" t="inlineStr">
        <is>
          <t>No Video ID yet</t>
        </is>
      </c>
      <c r="S2562" s="49" t="n"/>
      <c r="T2562" s="49" t="n"/>
      <c r="U2562" s="47" t="inlineStr">
        <is>
          <t>We have trained hard and lost many friends along the way, but at last we have arrived at the Elite 4! Are we ready for the best of the best?</t>
        </is>
      </c>
      <c r="V2562" s="47">
        <f>IF(AND(P2562&gt;=Calendar!$K$2,P2562&lt;EDATE(Calendar!$K$2,1),OR(Calendar!$K$4="*",N2562=Calendar!$K$4)),P2562*100+COUNTIFS($P$6:$P$3267,P2562,$Q$6:$Q$3267,"&lt;="&amp;Q2562,$N$6:$N$3267,Calendar!$K$4),"")</f>
        <v/>
      </c>
      <c r="W2562" s="47">
        <f>IF(AND(B2562=Queue!$C$4,OR(Queue!$K$4="*",N2562=Queue!$K$4)),Q2562,"")</f>
        <v/>
      </c>
    </row>
    <row r="2563">
      <c r="A2563" s="38">
        <f>IF(M2563="","",HYPERLINK("https://www.youtube.com/watch?v="&amp;M2563,"▶"))</f>
        <v/>
      </c>
      <c r="B2563" s="39">
        <f>IF(C2563&lt;&gt;"",C2563,IF(P2563&lt;=IFERROR(INDEX(tblChannels[Watched Through],MATCH(N2563,tblChannels[Channel ID],0)),0),"Watched","Unwatched"))</f>
        <v/>
      </c>
      <c r="C2563" s="40" t="n"/>
      <c r="D2563" s="41" t="n"/>
      <c r="E2563" s="42" t="n">
        <v>42698.5</v>
      </c>
      <c r="F2563" s="50" t="inlineStr">
        <is>
          <t>Super Carlin Brothers</t>
        </is>
      </c>
      <c r="G2563" t="inlineStr">
        <is>
          <t>Harry Potter Theory: Ariana Dumbledore Was An Obscurial</t>
        </is>
      </c>
      <c r="H2563" s="44" t="n">
        <v>0.005196759259259259</v>
      </c>
      <c r="I2563" s="45" t="n">
        <v>1112530</v>
      </c>
      <c r="J2563" s="45" t="n">
        <v>28015</v>
      </c>
      <c r="K2563" s="45" t="n">
        <v>2918</v>
      </c>
      <c r="L2563" s="46" t="n"/>
      <c r="M2563" s="47" t="n"/>
      <c r="N2563" s="47" t="inlineStr">
        <is>
          <t>UCKZo4N0lVPccBkSiuyVh4yg</t>
        </is>
      </c>
      <c r="O2563" s="48" t="n">
        <v>42698.70833333334</v>
      </c>
      <c r="P2563" s="49" t="n">
        <v>42698</v>
      </c>
      <c r="Q2563" s="47" t="n">
        <v>705</v>
      </c>
      <c r="R2563" s="47" t="inlineStr">
        <is>
          <t>No Video ID yet</t>
        </is>
      </c>
      <c r="S2563" s="49" t="n"/>
      <c r="T2563" s="49" t="n"/>
      <c r="U2563" s="47" t="inlineStr">
        <is>
          <t>Our biggest question from Fantastic Beasts and Where To Find Them was if Ariana Dumbledore was an obscurial like Credence! Could it be true??</t>
        </is>
      </c>
      <c r="V2563" s="47">
        <f>IF(AND(P2563&gt;=Calendar!$K$2,P2563&lt;EDATE(Calendar!$K$2,1),OR(Calendar!$K$4="*",N2563=Calendar!$K$4)),P2563*100+COUNTIFS($P$6:$P$3267,P2563,$Q$6:$Q$3267,"&lt;="&amp;Q2563,$N$6:$N$3267,Calendar!$K$4),"")</f>
        <v/>
      </c>
      <c r="W2563" s="47">
        <f>IF(AND(B2563=Queue!$C$4,OR(Queue!$K$4="*",N2563=Queue!$K$4)),Q2563,"")</f>
        <v/>
      </c>
    </row>
    <row r="2564">
      <c r="A2564" s="38">
        <f>IF(M2564="","",HYPERLINK("https://www.youtube.com/watch?v="&amp;M2564,"▶"))</f>
        <v/>
      </c>
      <c r="B2564" s="39">
        <f>IF(C2564&lt;&gt;"",C2564,IF(P2564&lt;=IFERROR(INDEX(tblChannels[Watched Through],MATCH(N2564,tblChannels[Channel ID],0)),0),"Watched","Unwatched"))</f>
        <v/>
      </c>
      <c r="C2564" s="40" t="n"/>
      <c r="D2564" s="41" t="n"/>
      <c r="E2564" s="42" t="n">
        <v>42696.80208333334</v>
      </c>
      <c r="F2564" s="50" t="inlineStr">
        <is>
          <t>Super Carlin Brothers</t>
        </is>
      </c>
      <c r="G2564" t="inlineStr">
        <is>
          <t>Top 7 Unanswered Questions From Fantastic Beasts</t>
        </is>
      </c>
      <c r="H2564" s="44" t="n">
        <v>0.008599537037037037</v>
      </c>
      <c r="I2564" s="45" t="n">
        <v>1636441</v>
      </c>
      <c r="J2564" s="45" t="n">
        <v>32541</v>
      </c>
      <c r="K2564" s="45" t="n">
        <v>6831</v>
      </c>
      <c r="L2564" s="46" t="n"/>
      <c r="M2564" s="47" t="n"/>
      <c r="N2564" s="47" t="inlineStr">
        <is>
          <t>UCKZo4N0lVPccBkSiuyVh4yg</t>
        </is>
      </c>
      <c r="O2564" s="48" t="n">
        <v>42697.01041666666</v>
      </c>
      <c r="P2564" s="49" t="n">
        <v>42696</v>
      </c>
      <c r="Q2564" s="47" t="n">
        <v>704</v>
      </c>
      <c r="R2564" s="47" t="inlineStr">
        <is>
          <t>No Video ID yet</t>
        </is>
      </c>
      <c r="S2564" s="49" t="n"/>
      <c r="T2564" s="49" t="n"/>
      <c r="U2564" s="47" t="inlineStr">
        <is>
          <t>We have seen Fantastic Beasts and Where To Find Them twice now and have to say.. pretty much the best Harry Potter film to date! It does leave us with a few mysteries though to today we are running down the Top 7 Unanswered Questions from Fantastic Beasts.</t>
        </is>
      </c>
      <c r="V2564" s="47">
        <f>IF(AND(P2564&gt;=Calendar!$K$2,P2564&lt;EDATE(Calendar!$K$2,1),OR(Calendar!$K$4="*",N2564=Calendar!$K$4)),P2564*100+COUNTIFS($P$6:$P$3267,P2564,$Q$6:$Q$3267,"&lt;="&amp;Q2564,$N$6:$N$3267,Calendar!$K$4),"")</f>
        <v/>
      </c>
      <c r="W2564" s="47">
        <f>IF(AND(B2564=Queue!$C$4,OR(Queue!$K$4="*",N2564=Queue!$K$4)),Q2564,"")</f>
        <v/>
      </c>
    </row>
    <row r="2565">
      <c r="A2565" s="38">
        <f>IF(M2565="","",HYPERLINK("https://www.youtube.com/watch?v="&amp;M2565,"▶"))</f>
        <v/>
      </c>
      <c r="B2565" s="39">
        <f>IF(C2565&lt;&gt;"",C2565,IF(P2565&lt;=IFERROR(INDEX(tblChannels[Watched Through],MATCH(N2565,tblChannels[Channel ID],0)),0),"Watched","Unwatched"))</f>
        <v/>
      </c>
      <c r="C2565" s="40" t="n"/>
      <c r="D2565" s="41" t="n"/>
      <c r="E2565" s="42" t="n">
        <v>42696.57222222222</v>
      </c>
      <c r="F2565" s="52" t="inlineStr">
        <is>
          <t>Super Carlin Gaming</t>
        </is>
      </c>
      <c r="G2565" t="inlineStr">
        <is>
          <t>Castle Crashers #4: LAVA WORLD</t>
        </is>
      </c>
      <c r="H2565" s="44" t="n">
        <v>0.01534722222222222</v>
      </c>
      <c r="I2565" s="45" t="n">
        <v>8060</v>
      </c>
      <c r="J2565" s="45" t="n">
        <v>174</v>
      </c>
      <c r="K2565" s="45" t="n">
        <v>37</v>
      </c>
      <c r="L2565" s="46" t="n"/>
      <c r="M2565" s="47" t="n"/>
      <c r="N2565" s="47" t="inlineStr">
        <is>
          <t>UCor_9jRnNNZVzTuQ92PKsaQ</t>
        </is>
      </c>
      <c r="O2565" s="48" t="n">
        <v>42696.78055555555</v>
      </c>
      <c r="P2565" s="49" t="n">
        <v>42696</v>
      </c>
      <c r="Q2565" s="47" t="n">
        <v>703</v>
      </c>
      <c r="R2565" s="47" t="inlineStr">
        <is>
          <t>No Video ID yet</t>
        </is>
      </c>
      <c r="S2565" s="49" t="n"/>
      <c r="T2565" s="49" t="n"/>
      <c r="U2565" s="47" t="inlineStr">
        <is>
          <t>Now with understandable words! Today J and the Iron Peach continue their quest through Castle Crashers retrieve their kidnapped princesses by taking on Lava World... and a sock monster? This should be interesting..</t>
        </is>
      </c>
      <c r="V2565" s="47">
        <f>IF(AND(P2565&gt;=Calendar!$K$2,P2565&lt;EDATE(Calendar!$K$2,1),OR(Calendar!$K$4="*",N2565=Calendar!$K$4)),P2565*100+COUNTIFS($P$6:$P$3267,P2565,$Q$6:$Q$3267,"&lt;="&amp;Q2565,$N$6:$N$3267,Calendar!$K$4),"")</f>
        <v/>
      </c>
      <c r="W2565" s="47">
        <f>IF(AND(B2565=Queue!$C$4,OR(Queue!$K$4="*",N2565=Queue!$K$4)),Q2565,"")</f>
        <v/>
      </c>
    </row>
    <row r="2566">
      <c r="A2566" s="38">
        <f>IF(M2566="","",HYPERLINK("https://www.youtube.com/watch?v="&amp;M2566,"▶"))</f>
        <v/>
      </c>
      <c r="B2566" s="39">
        <f>IF(C2566&lt;&gt;"",C2566,IF(P2566&lt;=IFERROR(INDEX(tblChannels[Watched Through],MATCH(N2566,tblChannels[Channel ID],0)),0),"Watched","Unwatched"))</f>
        <v/>
      </c>
      <c r="C2566" s="40" t="n"/>
      <c r="D2566" s="41" t="n"/>
      <c r="E2566" s="42" t="n">
        <v>42691.72013888889</v>
      </c>
      <c r="F2566" s="50" t="inlineStr">
        <is>
          <t>Super Carlin Brothers</t>
        </is>
      </c>
      <c r="G2566" t="inlineStr">
        <is>
          <t>What You Need To Know Before Seeing Fantastic Beasts And Where To Find Them</t>
        </is>
      </c>
      <c r="H2566" s="44" t="n">
        <v>0.005949074074074075</v>
      </c>
      <c r="I2566" s="45" t="n">
        <v>696196</v>
      </c>
      <c r="J2566" s="45" t="n">
        <v>15189</v>
      </c>
      <c r="K2566" s="45" t="n">
        <v>4685</v>
      </c>
      <c r="L2566" s="46" t="n"/>
      <c r="M2566" s="47" t="n"/>
      <c r="N2566" s="47" t="inlineStr">
        <is>
          <t>UCKZo4N0lVPccBkSiuyVh4yg</t>
        </is>
      </c>
      <c r="O2566" s="48" t="n">
        <v>42691.92847222222</v>
      </c>
      <c r="P2566" s="49" t="n">
        <v>42691</v>
      </c>
      <c r="Q2566" s="47" t="n">
        <v>702</v>
      </c>
      <c r="R2566" s="47" t="inlineStr">
        <is>
          <t>No Video ID yet</t>
        </is>
      </c>
      <c r="S2566" s="49" t="n"/>
      <c r="T2566" s="49" t="n"/>
      <c r="U2566" s="47" t="inlineStr">
        <is>
          <t>The latest addition to the wizarding world of Harry Potter premiers today in Fantastic Beasts and Where To Find Them! Today Ben goes everything you may want to know before you see the movie! Roanoke, Virginia 24015 =D</t>
        </is>
      </c>
      <c r="V2566" s="47">
        <f>IF(AND(P2566&gt;=Calendar!$K$2,P2566&lt;EDATE(Calendar!$K$2,1),OR(Calendar!$K$4="*",N2566=Calendar!$K$4)),P2566*100+COUNTIFS($P$6:$P$3267,P2566,$Q$6:$Q$3267,"&lt;="&amp;Q2566,$N$6:$N$3267,Calendar!$K$4),"")</f>
        <v/>
      </c>
      <c r="W2566" s="47">
        <f>IF(AND(B2566=Queue!$C$4,OR(Queue!$K$4="*",N2566=Queue!$K$4)),Q2566,"")</f>
        <v/>
      </c>
    </row>
    <row r="2567">
      <c r="A2567" s="38">
        <f>IF(M2567="","",HYPERLINK("https://www.youtube.com/watch?v="&amp;M2567,"▶"))</f>
        <v/>
      </c>
      <c r="B2567" s="39">
        <f>IF(C2567&lt;&gt;"",C2567,IF(P2567&lt;=IFERROR(INDEX(tblChannels[Watched Through],MATCH(N2567,tblChannels[Channel ID],0)),0),"Watched","Unwatched"))</f>
        <v/>
      </c>
      <c r="C2567" s="40" t="n"/>
      <c r="D2567" s="41" t="n"/>
      <c r="E2567" s="42" t="n">
        <v>42689.73055555556</v>
      </c>
      <c r="F2567" s="50" t="inlineStr">
        <is>
          <t>Super Carlin Brothers</t>
        </is>
      </c>
      <c r="G2567" t="inlineStr">
        <is>
          <t>Top 10 Things To Look For In Moana</t>
        </is>
      </c>
      <c r="H2567" s="44" t="n">
        <v>0.008206018518518519</v>
      </c>
      <c r="I2567" s="45" t="n">
        <v>699346</v>
      </c>
      <c r="J2567" s="45" t="n">
        <v>14075</v>
      </c>
      <c r="K2567" s="45" t="n">
        <v>4074</v>
      </c>
      <c r="L2567" s="46" t="n"/>
      <c r="M2567" s="47" t="n"/>
      <c r="N2567" s="47" t="inlineStr">
        <is>
          <t>UCKZo4N0lVPccBkSiuyVh4yg</t>
        </is>
      </c>
      <c r="O2567" s="48" t="n">
        <v>42689.93888888889</v>
      </c>
      <c r="P2567" s="49" t="n">
        <v>42689</v>
      </c>
      <c r="Q2567" s="47" t="n">
        <v>701</v>
      </c>
      <c r="R2567" s="47" t="inlineStr">
        <is>
          <t>No Video ID yet</t>
        </is>
      </c>
      <c r="S2567" s="49" t="n"/>
      <c r="T2567" s="49" t="n"/>
      <c r="U2567" s="47" t="inlineStr">
        <is>
          <t>Disney's Moana comes out in just 2 weeks and it is sure to be full of all new easter eggs! Today we are running down our top 1o things to look for in Moana!</t>
        </is>
      </c>
      <c r="V2567" s="47">
        <f>IF(AND(P2567&gt;=Calendar!$K$2,P2567&lt;EDATE(Calendar!$K$2,1),OR(Calendar!$K$4="*",N2567=Calendar!$K$4)),P2567*100+COUNTIFS($P$6:$P$3267,P2567,$Q$6:$Q$3267,"&lt;="&amp;Q2567,$N$6:$N$3267,Calendar!$K$4),"")</f>
        <v/>
      </c>
      <c r="W2567" s="47">
        <f>IF(AND(B2567=Queue!$C$4,OR(Queue!$K$4="*",N2567=Queue!$K$4)),Q2567,"")</f>
        <v/>
      </c>
    </row>
    <row r="2568">
      <c r="A2568" s="38">
        <f>IF(M2568="","",HYPERLINK("https://www.youtube.com/watch?v="&amp;M2568,"▶"))</f>
        <v/>
      </c>
      <c r="B2568" s="39">
        <f>IF(C2568&lt;&gt;"",C2568,IF(P2568&lt;=IFERROR(INDEX(tblChannels[Watched Through],MATCH(N2568,tblChannels[Channel ID],0)),0),"Watched","Unwatched"))</f>
        <v/>
      </c>
      <c r="C2568" s="40" t="n"/>
      <c r="D2568" s="41" t="n"/>
      <c r="E2568" s="42" t="n">
        <v>42684.89166666667</v>
      </c>
      <c r="F2568" s="50" t="inlineStr">
        <is>
          <t>Super Carlin Brothers</t>
        </is>
      </c>
      <c r="G2568" t="inlineStr">
        <is>
          <t>Everything We Know About Boo</t>
        </is>
      </c>
      <c r="H2568" s="44" t="n">
        <v>0.007199074074074074</v>
      </c>
      <c r="I2568" s="45" t="n">
        <v>1372938</v>
      </c>
      <c r="J2568" s="45" t="n">
        <v>28981</v>
      </c>
      <c r="K2568" s="45" t="n">
        <v>6501</v>
      </c>
      <c r="L2568" s="46" t="n"/>
      <c r="M2568" s="47" t="n"/>
      <c r="N2568" s="47" t="inlineStr">
        <is>
          <t>UCKZo4N0lVPccBkSiuyVh4yg</t>
        </is>
      </c>
      <c r="O2568" s="48" t="n">
        <v>42685.1</v>
      </c>
      <c r="P2568" s="49" t="n">
        <v>42684</v>
      </c>
      <c r="Q2568" s="47" t="n">
        <v>700</v>
      </c>
      <c r="R2568" s="47" t="inlineStr">
        <is>
          <t>No Video ID yet</t>
        </is>
      </c>
      <c r="S2568" s="49" t="n"/>
      <c r="T2568" s="49" t="n"/>
      <c r="U2568" s="47" t="inlineStr">
        <is>
          <t>Today we examine everything we know about Boo from Disney Pixar's Monsters Inc. We are constantly getting questions about her origins and her future and if she is making appearances anywhere else in the pixar universe and today we are going to find out!</t>
        </is>
      </c>
      <c r="V2568" s="47">
        <f>IF(AND(P2568&gt;=Calendar!$K$2,P2568&lt;EDATE(Calendar!$K$2,1),OR(Calendar!$K$4="*",N2568=Calendar!$K$4)),P2568*100+COUNTIFS($P$6:$P$3267,P2568,$Q$6:$Q$3267,"&lt;="&amp;Q2568,$N$6:$N$3267,Calendar!$K$4),"")</f>
        <v/>
      </c>
      <c r="W2568" s="47">
        <f>IF(AND(B2568=Queue!$C$4,OR(Queue!$K$4="*",N2568=Queue!$K$4)),Q2568,"")</f>
        <v/>
      </c>
    </row>
    <row r="2569">
      <c r="A2569" s="38">
        <f>IF(M2569="","",HYPERLINK("https://www.youtube.com/watch?v="&amp;M2569,"▶"))</f>
        <v/>
      </c>
      <c r="B2569" s="39">
        <f>IF(C2569&lt;&gt;"",C2569,IF(P2569&lt;=IFERROR(INDEX(tblChannels[Watched Through],MATCH(N2569,tblChannels[Channel ID],0)),0),"Watched","Unwatched"))</f>
        <v/>
      </c>
      <c r="C2569" s="40" t="n"/>
      <c r="D2569" s="41" t="n"/>
      <c r="E2569" s="42" t="n">
        <v>42682.61319444444</v>
      </c>
      <c r="F2569" s="50" t="inlineStr">
        <is>
          <t>Super Carlin Brothers</t>
        </is>
      </c>
      <c r="G2569" t="inlineStr">
        <is>
          <t>Harry Potter Theory: The True Path Of The Elder Wand</t>
        </is>
      </c>
      <c r="H2569" s="44" t="n">
        <v>0.006631944444444445</v>
      </c>
      <c r="I2569" s="45" t="n">
        <v>1941882</v>
      </c>
      <c r="J2569" s="45" t="n">
        <v>42899</v>
      </c>
      <c r="K2569" s="45" t="n">
        <v>6030</v>
      </c>
      <c r="L2569" s="46" t="n"/>
      <c r="M2569" s="47" t="n"/>
      <c r="N2569" s="47" t="inlineStr">
        <is>
          <t>UCKZo4N0lVPccBkSiuyVh4yg</t>
        </is>
      </c>
      <c r="O2569" s="48" t="n">
        <v>42682.82152777778</v>
      </c>
      <c r="P2569" s="49" t="n">
        <v>42682</v>
      </c>
      <c r="Q2569" s="47" t="n">
        <v>699</v>
      </c>
      <c r="R2569" s="47" t="inlineStr">
        <is>
          <t>No Video ID yet</t>
        </is>
      </c>
      <c r="S2569" s="49" t="n"/>
      <c r="T2569" s="49" t="n"/>
      <c r="U2569" s="47" t="inlineStr">
        <is>
          <t>Original Reddit Post :: Harry defeats Voldemort by being the true master of the Elder Wand.. or does he? Was Voldemort actually the wands master?? What was the true path of the Elder Wand?</t>
        </is>
      </c>
      <c r="V2569" s="47">
        <f>IF(AND(P2569&gt;=Calendar!$K$2,P2569&lt;EDATE(Calendar!$K$2,1),OR(Calendar!$K$4="*",N2569=Calendar!$K$4)),P2569*100+COUNTIFS($P$6:$P$3267,P2569,$Q$6:$Q$3267,"&lt;="&amp;Q2569,$N$6:$N$3267,Calendar!$K$4),"")</f>
        <v/>
      </c>
      <c r="W2569" s="47">
        <f>IF(AND(B2569=Queue!$C$4,OR(Queue!$K$4="*",N2569=Queue!$K$4)),Q2569,"")</f>
        <v/>
      </c>
    </row>
    <row r="2570">
      <c r="A2570" s="38">
        <f>IF(M2570="","",HYPERLINK("https://www.youtube.com/watch?v="&amp;M2570,"▶"))</f>
        <v/>
      </c>
      <c r="B2570" s="39">
        <f>IF(C2570&lt;&gt;"",C2570,IF(P2570&lt;=IFERROR(INDEX(tblChannels[Watched Through],MATCH(N2570,tblChannels[Channel ID],0)),0),"Watched","Unwatched"))</f>
        <v/>
      </c>
      <c r="C2570" s="40" t="n"/>
      <c r="D2570" s="41" t="n"/>
      <c r="E2570" s="42" t="n">
        <v>42678.00833333333</v>
      </c>
      <c r="F2570" s="50" t="inlineStr">
        <is>
          <t>Super Carlin Brothers</t>
        </is>
      </c>
      <c r="G2570" t="inlineStr">
        <is>
          <t>Harry Potter Theory: The Veil Explained</t>
        </is>
      </c>
      <c r="H2570" s="44" t="n">
        <v>0.007268518518518519</v>
      </c>
      <c r="I2570" s="45" t="n">
        <v>3281859</v>
      </c>
      <c r="J2570" s="45" t="n">
        <v>69065</v>
      </c>
      <c r="K2570" s="45" t="n">
        <v>6994</v>
      </c>
      <c r="L2570" s="46" t="n"/>
      <c r="M2570" s="47" t="n"/>
      <c r="N2570" s="47" t="inlineStr">
        <is>
          <t>UCKZo4N0lVPccBkSiuyVh4yg</t>
        </is>
      </c>
      <c r="O2570" s="48" t="n">
        <v>42678.175</v>
      </c>
      <c r="P2570" s="49" t="n">
        <v>42678</v>
      </c>
      <c r="Q2570" s="47" t="n">
        <v>698</v>
      </c>
      <c r="R2570" s="47" t="inlineStr">
        <is>
          <t>No Video ID yet</t>
        </is>
      </c>
      <c r="S2570" s="49" t="n"/>
      <c r="T2570" s="49" t="n"/>
      <c r="U2570" s="47" t="inlineStr">
        <is>
          <t>In Harry Potter and the Order of the Pheonix Harry and friends come across a mysterious veil in the Department of Mysteries. We know Sirius dies when he passes through it, but we never get a good explanation for what the Veil really is... UNTIL NOW!</t>
        </is>
      </c>
      <c r="V2570" s="47">
        <f>IF(AND(P2570&gt;=Calendar!$K$2,P2570&lt;EDATE(Calendar!$K$2,1),OR(Calendar!$K$4="*",N2570=Calendar!$K$4)),P2570*100+COUNTIFS($P$6:$P$3267,P2570,$Q$6:$Q$3267,"&lt;="&amp;Q2570,$N$6:$N$3267,Calendar!$K$4),"")</f>
        <v/>
      </c>
      <c r="W2570" s="47">
        <f>IF(AND(B2570=Queue!$C$4,OR(Queue!$K$4="*",N2570=Queue!$K$4)),Q2570,"")</f>
        <v/>
      </c>
    </row>
    <row r="2571">
      <c r="A2571" s="38">
        <f>IF(M2571="","",HYPERLINK("https://www.youtube.com/watch?v="&amp;M2571,"▶"))</f>
        <v/>
      </c>
      <c r="B2571" s="39">
        <f>IF(C2571&lt;&gt;"",C2571,IF(P2571&lt;=IFERROR(INDEX(tblChannels[Watched Through],MATCH(N2571,tblChannels[Channel ID],0)),0),"Watched","Unwatched"))</f>
        <v/>
      </c>
      <c r="C2571" s="40" t="n"/>
      <c r="D2571" s="41" t="n"/>
      <c r="E2571" s="42" t="n">
        <v>42676.64236111111</v>
      </c>
      <c r="F2571" s="52" t="inlineStr">
        <is>
          <t>Super Carlin Gaming</t>
        </is>
      </c>
      <c r="G2571" t="inlineStr">
        <is>
          <t>Castle Crashers #3 - Bee Stings and Lightsabers</t>
        </is>
      </c>
      <c r="H2571" s="44" t="n">
        <v>0.0147337962962963</v>
      </c>
      <c r="I2571" s="45" t="n">
        <v>9742</v>
      </c>
      <c r="J2571" s="45" t="n">
        <v>253</v>
      </c>
      <c r="K2571" s="45" t="n">
        <v>36</v>
      </c>
      <c r="L2571" s="46" t="n"/>
      <c r="M2571" s="47" t="n"/>
      <c r="N2571" s="47" t="inlineStr">
        <is>
          <t>UCor_9jRnNNZVzTuQ92PKsaQ</t>
        </is>
      </c>
      <c r="O2571" s="48" t="n">
        <v>42676.80902777778</v>
      </c>
      <c r="P2571" s="49" t="n">
        <v>42676</v>
      </c>
      <c r="Q2571" s="47" t="n">
        <v>697</v>
      </c>
      <c r="R2571" s="47" t="inlineStr">
        <is>
          <t>No Video ID yet</t>
        </is>
      </c>
      <c r="S2571" s="49" t="n"/>
      <c r="T2571" s="49" t="n"/>
      <c r="U2571" s="47" t="inlineStr">
        <is>
          <t>J and the Iron Peach continue their quest to rescue the princesses, but are held up by some lightsaber wielding knights, bees and a Cyclops.. just another day of Castle Crashers.</t>
        </is>
      </c>
      <c r="V2571" s="47">
        <f>IF(AND(P2571&gt;=Calendar!$K$2,P2571&lt;EDATE(Calendar!$K$2,1),OR(Calendar!$K$4="*",N2571=Calendar!$K$4)),P2571*100+COUNTIFS($P$6:$P$3267,P2571,$Q$6:$Q$3267,"&lt;="&amp;Q2571,$N$6:$N$3267,Calendar!$K$4),"")</f>
        <v/>
      </c>
      <c r="W2571" s="47">
        <f>IF(AND(B2571=Queue!$C$4,OR(Queue!$K$4="*",N2571=Queue!$K$4)),Q2571,"")</f>
        <v/>
      </c>
    </row>
    <row r="2572">
      <c r="A2572" s="38">
        <f>IF(M2572="","",HYPERLINK("https://www.youtube.com/watch?v="&amp;M2572,"▶"))</f>
        <v/>
      </c>
      <c r="B2572" s="39">
        <f>IF(C2572&lt;&gt;"",C2572,IF(P2572&lt;=IFERROR(INDEX(tblChannels[Watched Through],MATCH(N2572,tblChannels[Channel ID],0)),0),"Watched","Unwatched"))</f>
        <v/>
      </c>
      <c r="C2572" s="40" t="n"/>
      <c r="D2572" s="41" t="n"/>
      <c r="E2572" s="42" t="n">
        <v>42675.75208333333</v>
      </c>
      <c r="F2572" s="50" t="inlineStr">
        <is>
          <t>Super Carlin Brothers</t>
        </is>
      </c>
      <c r="G2572" t="inlineStr">
        <is>
          <t>Marvel's Strange Use of the Number 12 Explained</t>
        </is>
      </c>
      <c r="H2572" s="44" t="n">
        <v>0.005659722222222222</v>
      </c>
      <c r="I2572" s="45" t="n">
        <v>634793</v>
      </c>
      <c r="J2572" s="45" t="n">
        <v>16092</v>
      </c>
      <c r="K2572" s="45" t="n">
        <v>2698</v>
      </c>
      <c r="L2572" s="46" t="n"/>
      <c r="M2572" s="47" t="n"/>
      <c r="N2572" s="47" t="inlineStr">
        <is>
          <t>UCKZo4N0lVPccBkSiuyVh4yg</t>
        </is>
      </c>
      <c r="O2572" s="48" t="n">
        <v>42675.91875</v>
      </c>
      <c r="P2572" s="49" t="n">
        <v>42675</v>
      </c>
      <c r="Q2572" s="47" t="n">
        <v>696</v>
      </c>
      <c r="R2572" s="47" t="inlineStr">
        <is>
          <t>No Video ID yet</t>
        </is>
      </c>
      <c r="S2572" s="49" t="n"/>
      <c r="T2572" s="49" t="n"/>
      <c r="U2572" s="47" t="inlineStr">
        <is>
          <t>You may have missed it, but Marvel has been sneaking in the number 12 into almost EVERY one of their movies. With Doctor Strange coming out this week the question is: What does it mean??</t>
        </is>
      </c>
      <c r="V2572" s="47">
        <f>IF(AND(P2572&gt;=Calendar!$K$2,P2572&lt;EDATE(Calendar!$K$2,1),OR(Calendar!$K$4="*",N2572=Calendar!$K$4)),P2572*100+COUNTIFS($P$6:$P$3267,P2572,$Q$6:$Q$3267,"&lt;="&amp;Q2572,$N$6:$N$3267,Calendar!$K$4),"")</f>
        <v/>
      </c>
      <c r="W2572" s="47">
        <f>IF(AND(B2572=Queue!$C$4,OR(Queue!$K$4="*",N2572=Queue!$K$4)),Q2572,"")</f>
        <v/>
      </c>
    </row>
    <row r="2573">
      <c r="A2573" s="38">
        <f>IF(M2573="","",HYPERLINK("https://www.youtube.com/watch?v="&amp;M2573,"▶"))</f>
        <v/>
      </c>
      <c r="B2573" s="39">
        <f>IF(C2573&lt;&gt;"",C2573,IF(P2573&lt;=IFERROR(INDEX(tblChannels[Watched Through],MATCH(N2573,tblChannels[Channel ID],0)),0),"Watched","Unwatched"))</f>
        <v/>
      </c>
      <c r="C2573" s="40" t="n"/>
      <c r="D2573" s="41" t="n"/>
      <c r="E2573" s="42" t="n">
        <v>42670.79861111111</v>
      </c>
      <c r="F2573" s="50" t="inlineStr">
        <is>
          <t>Super Carlin Brothers</t>
        </is>
      </c>
      <c r="G2573" t="inlineStr">
        <is>
          <t>Tangled Theory: How Rapunzel Got Her Powers</t>
        </is>
      </c>
      <c r="H2573" s="44" t="n">
        <v>0.005914351851851852</v>
      </c>
      <c r="I2573" s="45" t="n">
        <v>1217578</v>
      </c>
      <c r="J2573" s="45" t="n">
        <v>44345</v>
      </c>
      <c r="K2573" s="45" t="n">
        <v>7391</v>
      </c>
      <c r="L2573" s="46" t="n"/>
      <c r="M2573" s="47" t="n"/>
      <c r="N2573" s="47" t="inlineStr">
        <is>
          <t>UCKZo4N0lVPccBkSiuyVh4yg</t>
        </is>
      </c>
      <c r="O2573" s="48" t="n">
        <v>42670.96527777778</v>
      </c>
      <c r="P2573" s="49" t="n">
        <v>42670</v>
      </c>
      <c r="Q2573" s="47" t="n">
        <v>695</v>
      </c>
      <c r="R2573" s="47" t="inlineStr">
        <is>
          <t>No Video ID yet</t>
        </is>
      </c>
      <c r="S2573" s="49" t="n"/>
      <c r="T2573" s="49" t="n"/>
      <c r="U2573" s="47" t="inlineStr">
        <is>
          <t>Today Ben explores the world of Disney's Tangled to discover how Rapunzel got her powers, the mystery of the golden flower and Mother Gothel's origins</t>
        </is>
      </c>
      <c r="V2573" s="47">
        <f>IF(AND(P2573&gt;=Calendar!$K$2,P2573&lt;EDATE(Calendar!$K$2,1),OR(Calendar!$K$4="*",N2573=Calendar!$K$4)),P2573*100+COUNTIFS($P$6:$P$3267,P2573,$Q$6:$Q$3267,"&lt;="&amp;Q2573,$N$6:$N$3267,Calendar!$K$4),"")</f>
        <v/>
      </c>
      <c r="W2573" s="47">
        <f>IF(AND(B2573=Queue!$C$4,OR(Queue!$K$4="*",N2573=Queue!$K$4)),Q2573,"")</f>
        <v/>
      </c>
    </row>
    <row r="2574">
      <c r="A2574" s="38">
        <f>IF(M2574="","",HYPERLINK("https://www.youtube.com/watch?v="&amp;M2574,"▶"))</f>
        <v/>
      </c>
      <c r="B2574" s="39">
        <f>IF(C2574&lt;&gt;"",C2574,IF(P2574&lt;=IFERROR(INDEX(tblChannels[Watched Through],MATCH(N2574,tblChannels[Channel ID],0)),0),"Watched","Unwatched"))</f>
        <v/>
      </c>
      <c r="C2574" s="40" t="n"/>
      <c r="D2574" s="41" t="n"/>
      <c r="E2574" s="42" t="n">
        <v>42669.625</v>
      </c>
      <c r="F2574" s="52" t="inlineStr">
        <is>
          <t>Super Carlin Gaming</t>
        </is>
      </c>
      <c r="G2574" t="inlineStr">
        <is>
          <t>Castle Crashers #2 - FLAG BEAR!</t>
        </is>
      </c>
      <c r="H2574" s="44" t="n">
        <v>0.01402777777777778</v>
      </c>
      <c r="I2574" s="45" t="n">
        <v>10916</v>
      </c>
      <c r="J2574" s="45" t="n">
        <v>281</v>
      </c>
      <c r="K2574" s="45" t="n">
        <v>59</v>
      </c>
      <c r="L2574" s="46" t="n"/>
      <c r="M2574" s="47" t="n"/>
      <c r="N2574" s="47" t="inlineStr">
        <is>
          <t>UCor_9jRnNNZVzTuQ92PKsaQ</t>
        </is>
      </c>
      <c r="O2574" s="48" t="n">
        <v>42669.79166666666</v>
      </c>
      <c r="P2574" s="49" t="n">
        <v>42669</v>
      </c>
      <c r="Q2574" s="47" t="n">
        <v>694</v>
      </c>
      <c r="R2574" s="47" t="inlineStr">
        <is>
          <t>No Video ID yet</t>
        </is>
      </c>
      <c r="S2574" s="49" t="n"/>
      <c r="T2574" s="49" t="n"/>
      <c r="U2574" s="47" t="inlineStr">
        <is>
          <t>J and the Iron Peach continue their Castle Crashers adventure, today we fight bears, bears, bears, and a FLAG BEAR! ...Also a Giant Bat!</t>
        </is>
      </c>
      <c r="V2574" s="47">
        <f>IF(AND(P2574&gt;=Calendar!$K$2,P2574&lt;EDATE(Calendar!$K$2,1),OR(Calendar!$K$4="*",N2574=Calendar!$K$4)),P2574*100+COUNTIFS($P$6:$P$3267,P2574,$Q$6:$Q$3267,"&lt;="&amp;Q2574,$N$6:$N$3267,Calendar!$K$4),"")</f>
        <v/>
      </c>
      <c r="W2574" s="47">
        <f>IF(AND(B2574=Queue!$C$4,OR(Queue!$K$4="*",N2574=Queue!$K$4)),Q2574,"")</f>
        <v/>
      </c>
    </row>
    <row r="2575">
      <c r="A2575" s="38">
        <f>IF(M2575="","",HYPERLINK("https://www.youtube.com/watch?v="&amp;M2575,"▶"))</f>
        <v/>
      </c>
      <c r="B2575" s="39">
        <f>IF(C2575&lt;&gt;"",C2575,IF(P2575&lt;=IFERROR(INDEX(tblChannels[Watched Through],MATCH(N2575,tblChannels[Channel ID],0)),0),"Watched","Unwatched"))</f>
        <v/>
      </c>
      <c r="C2575" s="40" t="n"/>
      <c r="D2575" s="41" t="n"/>
      <c r="E2575" s="42" t="n">
        <v>42668.72708333333</v>
      </c>
      <c r="F2575" s="50" t="inlineStr">
        <is>
          <t>Super Carlin Brothers</t>
        </is>
      </c>
      <c r="G2575" t="inlineStr">
        <is>
          <t>How to Find A Google Autofill</t>
        </is>
      </c>
      <c r="H2575" s="44" t="n">
        <v>0.00537037037037037</v>
      </c>
      <c r="I2575" s="45" t="n">
        <v>461412</v>
      </c>
      <c r="J2575" s="45" t="n">
        <v>13054</v>
      </c>
      <c r="K2575" s="45" t="n">
        <v>4599</v>
      </c>
      <c r="L2575" s="46" t="n"/>
      <c r="M2575" s="47" t="n"/>
      <c r="N2575" s="47" t="inlineStr">
        <is>
          <t>UCKZo4N0lVPccBkSiuyVh4yg</t>
        </is>
      </c>
      <c r="O2575" s="48" t="n">
        <v>42668.89375</v>
      </c>
      <c r="P2575" s="49" t="n">
        <v>42668</v>
      </c>
      <c r="Q2575" s="47" t="n">
        <v>693</v>
      </c>
      <c r="R2575" s="47" t="inlineStr">
        <is>
          <t>No Video ID yet</t>
        </is>
      </c>
      <c r="S2575" s="49" t="n"/>
      <c r="T2575" s="49" t="n"/>
      <c r="U2575" s="47" t="inlineStr">
        <is>
          <t>I love being a Slytherin but undeniably there is one thing the Hufflepuff's have us on.... Finding. If you are a Hufflepuff you may already know all of this, but if not then buckle up because today we are playing: How to Find A Google Autofill! What hobby would you like to turn into a career?</t>
        </is>
      </c>
      <c r="V2575" s="47">
        <f>IF(AND(P2575&gt;=Calendar!$K$2,P2575&lt;EDATE(Calendar!$K$2,1),OR(Calendar!$K$4="*",N2575=Calendar!$K$4)),P2575*100+COUNTIFS($P$6:$P$3267,P2575,$Q$6:$Q$3267,"&lt;="&amp;Q2575,$N$6:$N$3267,Calendar!$K$4),"")</f>
        <v/>
      </c>
      <c r="W2575" s="47">
        <f>IF(AND(B2575=Queue!$C$4,OR(Queue!$K$4="*",N2575=Queue!$K$4)),Q2575,"")</f>
        <v/>
      </c>
    </row>
    <row r="2576">
      <c r="A2576" s="38">
        <f>IF(M2576="","",HYPERLINK("https://www.youtube.com/watch?v="&amp;M2576,"▶"))</f>
        <v/>
      </c>
      <c r="B2576" s="39">
        <f>IF(C2576&lt;&gt;"",C2576,IF(P2576&lt;=IFERROR(INDEX(tblChannels[Watched Through],MATCH(N2576,tblChannels[Channel ID],0)),0),"Watched","Unwatched"))</f>
        <v/>
      </c>
      <c r="C2576" s="40" t="n"/>
      <c r="D2576" s="41" t="n"/>
      <c r="E2576" s="42" t="n">
        <v>42664.70833333334</v>
      </c>
      <c r="F2576" s="52" t="inlineStr">
        <is>
          <t>Super Carlin Gaming</t>
        </is>
      </c>
      <c r="G2576" t="inlineStr">
        <is>
          <t>Castle Crashers #1 - J and the Iron Peach</t>
        </is>
      </c>
      <c r="H2576" s="44" t="n">
        <v>0.02079861111111111</v>
      </c>
      <c r="I2576" s="45" t="n">
        <v>30830</v>
      </c>
      <c r="J2576" s="45" t="n">
        <v>621</v>
      </c>
      <c r="K2576" s="45" t="n">
        <v>124</v>
      </c>
      <c r="L2576" s="46" t="n"/>
      <c r="M2576" s="47" t="n"/>
      <c r="N2576" s="47" t="inlineStr">
        <is>
          <t>UCor_9jRnNNZVzTuQ92PKsaQ</t>
        </is>
      </c>
      <c r="O2576" s="48" t="n">
        <v>42664.875</v>
      </c>
      <c r="P2576" s="49" t="n">
        <v>42664</v>
      </c>
      <c r="Q2576" s="47" t="n">
        <v>692</v>
      </c>
      <c r="R2576" s="47" t="inlineStr">
        <is>
          <t>No Video ID yet</t>
        </is>
      </c>
      <c r="S2576" s="49" t="n"/>
      <c r="T2576" s="49" t="n"/>
      <c r="U2576" s="47" t="inlineStr">
        <is>
          <t>J and Peaches are finally together on an epic quest through Behemoth's Castle Crashers! This is one of our favorite games ever and we need your help naming our knights! J is Red. Peaches is Orange.</t>
        </is>
      </c>
      <c r="V2576" s="47">
        <f>IF(AND(P2576&gt;=Calendar!$K$2,P2576&lt;EDATE(Calendar!$K$2,1),OR(Calendar!$K$4="*",N2576=Calendar!$K$4)),P2576*100+COUNTIFS($P$6:$P$3267,P2576,$Q$6:$Q$3267,"&lt;="&amp;Q2576,$N$6:$N$3267,Calendar!$K$4),"")</f>
        <v/>
      </c>
      <c r="W2576" s="47">
        <f>IF(AND(B2576=Queue!$C$4,OR(Queue!$K$4="*",N2576=Queue!$K$4)),Q2576,"")</f>
        <v/>
      </c>
    </row>
    <row r="2577">
      <c r="A2577" s="38">
        <f>IF(M2577="","",HYPERLINK("https://www.youtube.com/watch?v="&amp;M2577,"▶"))</f>
        <v/>
      </c>
      <c r="B2577" s="39">
        <f>IF(C2577&lt;&gt;"",C2577,IF(P2577&lt;=IFERROR(INDEX(tblChannels[Watched Through],MATCH(N2577,tblChannels[Channel ID],0)),0),"Watched","Unwatched"))</f>
        <v/>
      </c>
      <c r="C2577" s="40" t="n"/>
      <c r="D2577" s="41" t="n"/>
      <c r="E2577" s="42" t="n">
        <v>42663.64375</v>
      </c>
      <c r="F2577" s="50" t="inlineStr">
        <is>
          <t>Super Carlin Brothers</t>
        </is>
      </c>
      <c r="G2577" t="inlineStr">
        <is>
          <t>Frozen's Wood Stacking Scene Explained</t>
        </is>
      </c>
      <c r="H2577" s="44" t="n">
        <v>0.004780092592592593</v>
      </c>
      <c r="I2577" s="45" t="n">
        <v>953364</v>
      </c>
      <c r="J2577" s="45" t="n">
        <v>24851</v>
      </c>
      <c r="K2577" s="45" t="n">
        <v>3875</v>
      </c>
      <c r="L2577" s="46" t="n"/>
      <c r="M2577" s="47" t="n"/>
      <c r="N2577" s="47" t="inlineStr">
        <is>
          <t>UCKZo4N0lVPccBkSiuyVh4yg</t>
        </is>
      </c>
      <c r="O2577" s="48" t="n">
        <v>42663.81041666667</v>
      </c>
      <c r="P2577" s="49" t="n">
        <v>42663</v>
      </c>
      <c r="Q2577" s="47" t="n">
        <v>691</v>
      </c>
      <c r="R2577" s="47" t="inlineStr">
        <is>
          <t>No Video ID yet</t>
        </is>
      </c>
      <c r="S2577" s="49" t="n"/>
      <c r="T2577" s="49" t="n"/>
      <c r="U2577" s="47" t="inlineStr">
        <is>
          <t>Remember that 2 second scene in Disney's Frozen where the two guys are arguing over whether to stack the firewood bark side up or bark side down? Well today we are going to get to the bottom of this argument and find out who was right!</t>
        </is>
      </c>
      <c r="V2577" s="47">
        <f>IF(AND(P2577&gt;=Calendar!$K$2,P2577&lt;EDATE(Calendar!$K$2,1),OR(Calendar!$K$4="*",N2577=Calendar!$K$4)),P2577*100+COUNTIFS($P$6:$P$3267,P2577,$Q$6:$Q$3267,"&lt;="&amp;Q2577,$N$6:$N$3267,Calendar!$K$4),"")</f>
        <v/>
      </c>
      <c r="W2577" s="47">
        <f>IF(AND(B2577=Queue!$C$4,OR(Queue!$K$4="*",N2577=Queue!$K$4)),Q2577,"")</f>
        <v/>
      </c>
    </row>
    <row r="2578">
      <c r="A2578" s="38">
        <f>IF(M2578="","",HYPERLINK("https://www.youtube.com/watch?v="&amp;M2578,"▶"))</f>
        <v/>
      </c>
      <c r="B2578" s="39">
        <f>IF(C2578&lt;&gt;"",C2578,IF(P2578&lt;=IFERROR(INDEX(tblChannels[Watched Through],MATCH(N2578,tblChannels[Channel ID],0)),0),"Watched","Unwatched"))</f>
        <v/>
      </c>
      <c r="C2578" s="40" t="n"/>
      <c r="D2578" s="41" t="n"/>
      <c r="E2578" s="42" t="n">
        <v>42661.72777777778</v>
      </c>
      <c r="F2578" s="50" t="inlineStr">
        <is>
          <t>Super Carlin Brothers</t>
        </is>
      </c>
      <c r="G2578" t="inlineStr">
        <is>
          <t>Goofy vs Pluto Explained</t>
        </is>
      </c>
      <c r="H2578" s="44" t="n">
        <v>0.005949074074074075</v>
      </c>
      <c r="I2578" s="45" t="n">
        <v>1419559</v>
      </c>
      <c r="J2578" s="45" t="n">
        <v>35448</v>
      </c>
      <c r="K2578" s="45" t="n">
        <v>5660</v>
      </c>
      <c r="L2578" s="46" t="n"/>
      <c r="M2578" s="47" t="n"/>
      <c r="N2578" s="47" t="inlineStr">
        <is>
          <t>UCKZo4N0lVPccBkSiuyVh4yg</t>
        </is>
      </c>
      <c r="O2578" s="48" t="n">
        <v>42661.89444444444</v>
      </c>
      <c r="P2578" s="49" t="n">
        <v>42661</v>
      </c>
      <c r="Q2578" s="47" t="n">
        <v>690</v>
      </c>
      <c r="R2578" s="47" t="inlineStr">
        <is>
          <t>No Video ID yet</t>
        </is>
      </c>
      <c r="S2578" s="49" t="n"/>
      <c r="T2578" s="49" t="n"/>
      <c r="U2578" s="47" t="inlineStr">
        <is>
          <t>Something that always used to bother me was: If Pluto and Goofy are both dogs, why is one of them Mickey Mouse's friend and the other one his pet?</t>
        </is>
      </c>
      <c r="V2578" s="47">
        <f>IF(AND(P2578&gt;=Calendar!$K$2,P2578&lt;EDATE(Calendar!$K$2,1),OR(Calendar!$K$4="*",N2578=Calendar!$K$4)),P2578*100+COUNTIFS($P$6:$P$3267,P2578,$Q$6:$Q$3267,"&lt;="&amp;Q2578,$N$6:$N$3267,Calendar!$K$4),"")</f>
        <v/>
      </c>
      <c r="W2578" s="47">
        <f>IF(AND(B2578=Queue!$C$4,OR(Queue!$K$4="*",N2578=Queue!$K$4)),Q2578,"")</f>
        <v/>
      </c>
    </row>
    <row r="2579">
      <c r="A2579" s="38">
        <f>IF(M2579="","",HYPERLINK("https://www.youtube.com/watch?v="&amp;M2579,"▶"))</f>
        <v/>
      </c>
      <c r="B2579" s="39">
        <f>IF(C2579&lt;&gt;"",C2579,IF(P2579&lt;=IFERROR(INDEX(tblChannels[Watched Through],MATCH(N2579,tblChannels[Channel ID],0)),0),"Watched","Unwatched"))</f>
        <v/>
      </c>
      <c r="C2579" s="40" t="n"/>
      <c r="D2579" s="41" t="n"/>
      <c r="E2579" s="42" t="n">
        <v>42656.69097222222</v>
      </c>
      <c r="F2579" s="50" t="inlineStr">
        <is>
          <t>Super Carlin Brothers</t>
        </is>
      </c>
      <c r="G2579" t="inlineStr">
        <is>
          <t>Frozen Theory:  Hans Is A Mirror</t>
        </is>
      </c>
      <c r="H2579" s="44" t="n">
        <v>0.005474537037037037</v>
      </c>
      <c r="I2579" s="45" t="n">
        <v>2517951</v>
      </c>
      <c r="J2579" s="45" t="n">
        <v>60319</v>
      </c>
      <c r="K2579" s="45" t="n">
        <v>7293</v>
      </c>
      <c r="L2579" s="46" t="n"/>
      <c r="M2579" s="47" t="n"/>
      <c r="N2579" s="47" t="inlineStr">
        <is>
          <t>UCKZo4N0lVPccBkSiuyVh4yg</t>
        </is>
      </c>
      <c r="O2579" s="48" t="n">
        <v>42656.85763888889</v>
      </c>
      <c r="P2579" s="49" t="n">
        <v>42656</v>
      </c>
      <c r="Q2579" s="47" t="n">
        <v>689</v>
      </c>
      <c r="R2579" s="47" t="inlineStr">
        <is>
          <t>No Video ID yet</t>
        </is>
      </c>
      <c r="S2579" s="49" t="n"/>
      <c r="T2579" s="49" t="n"/>
      <c r="U2579" s="47" t="inlineStr">
        <is>
          <t>Today Ben continues his love of Disney's Frozen with a new Frozen Theory that reveals how Hans is actually a mirror!</t>
        </is>
      </c>
      <c r="V2579" s="47">
        <f>IF(AND(P2579&gt;=Calendar!$K$2,P2579&lt;EDATE(Calendar!$K$2,1),OR(Calendar!$K$4="*",N2579=Calendar!$K$4)),P2579*100+COUNTIFS($P$6:$P$3267,P2579,$Q$6:$Q$3267,"&lt;="&amp;Q2579,$N$6:$N$3267,Calendar!$K$4),"")</f>
        <v/>
      </c>
      <c r="W2579" s="47">
        <f>IF(AND(B2579=Queue!$C$4,OR(Queue!$K$4="*",N2579=Queue!$K$4)),Q2579,"")</f>
        <v/>
      </c>
    </row>
    <row r="2580">
      <c r="A2580" s="38">
        <f>IF(M2580="","",HYPERLINK("https://www.youtube.com/watch?v="&amp;M2580,"▶"))</f>
        <v/>
      </c>
      <c r="B2580" s="39">
        <f>IF(C2580&lt;&gt;"",C2580,IF(P2580&lt;=IFERROR(INDEX(tblChannels[Watched Through],MATCH(N2580,tblChannels[Channel ID],0)),0),"Watched","Unwatched"))</f>
        <v/>
      </c>
      <c r="C2580" s="40" t="n"/>
      <c r="D2580" s="41" t="n"/>
      <c r="E2580" s="42" t="n">
        <v>42654.71805555555</v>
      </c>
      <c r="F2580" s="50" t="inlineStr">
        <is>
          <t>Super Carlin Brothers</t>
        </is>
      </c>
      <c r="G2580" t="inlineStr">
        <is>
          <t>Wizard Money Makes No Sense! | Harry Potter Film Theory</t>
        </is>
      </c>
      <c r="H2580" s="44" t="n">
        <v>0.006087962962962963</v>
      </c>
      <c r="I2580" s="45" t="n">
        <v>4389121</v>
      </c>
      <c r="J2580" s="45" t="n">
        <v>66940</v>
      </c>
      <c r="K2580" s="45" t="n">
        <v>8995</v>
      </c>
      <c r="L2580" s="46" t="n"/>
      <c r="M2580" s="47" t="n"/>
      <c r="N2580" s="47" t="inlineStr">
        <is>
          <t>UCKZo4N0lVPccBkSiuyVh4yg</t>
        </is>
      </c>
      <c r="O2580" s="48" t="n">
        <v>42654.88472222222</v>
      </c>
      <c r="P2580" s="49" t="n">
        <v>42654</v>
      </c>
      <c r="Q2580" s="47" t="n">
        <v>688</v>
      </c>
      <c r="R2580" s="47" t="inlineStr">
        <is>
          <t>No Video ID yet</t>
        </is>
      </c>
      <c r="S2580" s="49" t="n"/>
      <c r="T2580" s="49" t="n"/>
      <c r="U2580" s="47" t="inlineStr">
        <is>
          <t>Today J discusses how money in the wizarding world of Harry Potter makes no sense, how money works and why we value gold? Have you ever spent way to much money on something?! Wizarding Currency :: Harry's Family History :: Why We Use Gold ::</t>
        </is>
      </c>
      <c r="V2580" s="47">
        <f>IF(AND(P2580&gt;=Calendar!$K$2,P2580&lt;EDATE(Calendar!$K$2,1),OR(Calendar!$K$4="*",N2580=Calendar!$K$4)),P2580*100+COUNTIFS($P$6:$P$3267,P2580,$Q$6:$Q$3267,"&lt;="&amp;Q2580,$N$6:$N$3267,Calendar!$K$4),"")</f>
        <v/>
      </c>
      <c r="W2580" s="47">
        <f>IF(AND(B2580=Queue!$C$4,OR(Queue!$K$4="*",N2580=Queue!$K$4)),Q2580,"")</f>
        <v/>
      </c>
    </row>
    <row r="2581">
      <c r="A2581" s="38">
        <f>IF(M2581="","",HYPERLINK("https://www.youtube.com/watch?v="&amp;M2581,"▶"))</f>
        <v/>
      </c>
      <c r="B2581" s="39">
        <f>IF(C2581&lt;&gt;"",C2581,IF(P2581&lt;=IFERROR(INDEX(tblChannels[Watched Through],MATCH(N2581,tblChannels[Channel ID],0)),0),"Watched","Unwatched"))</f>
        <v/>
      </c>
      <c r="C2581" s="40" t="n"/>
      <c r="D2581" s="41" t="n"/>
      <c r="E2581" s="42" t="n">
        <v>42649.77152777778</v>
      </c>
      <c r="F2581" s="50" t="inlineStr">
        <is>
          <t>Super Carlin Brothers</t>
        </is>
      </c>
      <c r="G2581" t="inlineStr">
        <is>
          <t>Who Performed Frozen's Act of True Love?</t>
        </is>
      </c>
      <c r="H2581" s="44" t="n">
        <v>0.004270833333333333</v>
      </c>
      <c r="I2581" s="45" t="n">
        <v>1330929</v>
      </c>
      <c r="J2581" s="45" t="n">
        <v>27624</v>
      </c>
      <c r="K2581" s="45" t="n">
        <v>7412</v>
      </c>
      <c r="L2581" s="46" t="n"/>
      <c r="M2581" s="47" t="n"/>
      <c r="N2581" s="47" t="inlineStr">
        <is>
          <t>UCKZo4N0lVPccBkSiuyVh4yg</t>
        </is>
      </c>
      <c r="O2581" s="48" t="n">
        <v>42649.93819444445</v>
      </c>
      <c r="P2581" s="49" t="n">
        <v>42649</v>
      </c>
      <c r="Q2581" s="47" t="n">
        <v>687</v>
      </c>
      <c r="R2581" s="47" t="inlineStr">
        <is>
          <t>No Video ID yet</t>
        </is>
      </c>
      <c r="S2581" s="49" t="n"/>
      <c r="T2581" s="49" t="n"/>
      <c r="U2581" s="47" t="inlineStr">
        <is>
          <t>In today's video Ben discusses who actually performed the act of true love to save Anna in Disney's Frozen? Who do you think deserves the credit??</t>
        </is>
      </c>
      <c r="V2581" s="47">
        <f>IF(AND(P2581&gt;=Calendar!$K$2,P2581&lt;EDATE(Calendar!$K$2,1),OR(Calendar!$K$4="*",N2581=Calendar!$K$4)),P2581*100+COUNTIFS($P$6:$P$3267,P2581,$Q$6:$Q$3267,"&lt;="&amp;Q2581,$N$6:$N$3267,Calendar!$K$4),"")</f>
        <v/>
      </c>
      <c r="W2581" s="47">
        <f>IF(AND(B2581=Queue!$C$4,OR(Queue!$K$4="*",N2581=Queue!$K$4)),Q2581,"")</f>
        <v/>
      </c>
    </row>
    <row r="2582">
      <c r="A2582" s="38">
        <f>IF(M2582="","",HYPERLINK("https://www.youtube.com/watch?v="&amp;M2582,"▶"))</f>
        <v/>
      </c>
      <c r="B2582" s="39">
        <f>IF(C2582&lt;&gt;"",C2582,IF(P2582&lt;=IFERROR(INDEX(tblChannels[Watched Through],MATCH(N2582,tblChannels[Channel ID],0)),0),"Watched","Unwatched"))</f>
        <v/>
      </c>
      <c r="C2582" s="40" t="n"/>
      <c r="D2582" s="41" t="n"/>
      <c r="E2582" s="42" t="n">
        <v>42647.625</v>
      </c>
      <c r="F2582" s="50" t="inlineStr">
        <is>
          <t>Super Carlin Brothers</t>
        </is>
      </c>
      <c r="G2582" t="inlineStr">
        <is>
          <t>Aladdin Theory: Genie Owes Aladdin A Wish</t>
        </is>
      </c>
      <c r="H2582" s="44" t="n">
        <v>0.005474537037037037</v>
      </c>
      <c r="I2582" s="45" t="n">
        <v>3318886</v>
      </c>
      <c r="J2582" s="45" t="n">
        <v>56684</v>
      </c>
      <c r="K2582" s="45" t="n">
        <v>11448</v>
      </c>
      <c r="L2582" s="46" t="n"/>
      <c r="M2582" s="47" t="n"/>
      <c r="N2582" s="47" t="inlineStr">
        <is>
          <t>UCKZo4N0lVPccBkSiuyVh4yg</t>
        </is>
      </c>
      <c r="O2582" s="48" t="n">
        <v>42647.79166666666</v>
      </c>
      <c r="P2582" s="49" t="n">
        <v>42647</v>
      </c>
      <c r="Q2582" s="47" t="n">
        <v>686</v>
      </c>
      <c r="R2582" s="47" t="inlineStr">
        <is>
          <t>No Video ID yet</t>
        </is>
      </c>
      <c r="S2582" s="49" t="n"/>
      <c r="T2582" s="49" t="n"/>
      <c r="U2582" s="47" t="inlineStr">
        <is>
          <t>Original Article :: Does the genie owe Aladdin a Wish? What would you wish for??</t>
        </is>
      </c>
      <c r="V2582" s="47">
        <f>IF(AND(P2582&gt;=Calendar!$K$2,P2582&lt;EDATE(Calendar!$K$2,1),OR(Calendar!$K$4="*",N2582=Calendar!$K$4)),P2582*100+COUNTIFS($P$6:$P$3267,P2582,$Q$6:$Q$3267,"&lt;="&amp;Q2582,$N$6:$N$3267,Calendar!$K$4),"")</f>
        <v/>
      </c>
      <c r="W2582" s="47">
        <f>IF(AND(B2582=Queue!$C$4,OR(Queue!$K$4="*",N2582=Queue!$K$4)),Q2582,"")</f>
        <v/>
      </c>
    </row>
    <row r="2583">
      <c r="A2583" s="38">
        <f>IF(M2583="","",HYPERLINK("https://www.youtube.com/watch?v="&amp;M2583,"▶"))</f>
        <v/>
      </c>
      <c r="B2583" s="39">
        <f>IF(C2583&lt;&gt;"",C2583,IF(P2583&lt;=IFERROR(INDEX(tblChannels[Watched Through],MATCH(N2583,tblChannels[Channel ID],0)),0),"Watched","Unwatched"))</f>
        <v/>
      </c>
      <c r="C2583" s="40" t="n"/>
      <c r="D2583" s="41" t="n"/>
      <c r="E2583" s="42" t="n">
        <v>42642.78333333333</v>
      </c>
      <c r="F2583" s="50" t="inlineStr">
        <is>
          <t>Super Carlin Brothers</t>
        </is>
      </c>
      <c r="G2583" t="inlineStr">
        <is>
          <t>Is The Live-Action Lion King A Good Idea?</t>
        </is>
      </c>
      <c r="H2583" s="44" t="n">
        <v>0.005011574074074074</v>
      </c>
      <c r="I2583" s="45" t="n">
        <v>607095</v>
      </c>
      <c r="J2583" s="45" t="n">
        <v>15625</v>
      </c>
      <c r="K2583" s="45" t="n">
        <v>3273</v>
      </c>
      <c r="L2583" s="46" t="n"/>
      <c r="M2583" s="47" t="n"/>
      <c r="N2583" s="47" t="inlineStr">
        <is>
          <t>UCKZo4N0lVPccBkSiuyVh4yg</t>
        </is>
      </c>
      <c r="O2583" s="48" t="n">
        <v>42642.95</v>
      </c>
      <c r="P2583" s="49" t="n">
        <v>42642</v>
      </c>
      <c r="Q2583" s="47" t="n">
        <v>685</v>
      </c>
      <c r="R2583" s="47" t="inlineStr">
        <is>
          <t>No Video ID yet</t>
        </is>
      </c>
      <c r="S2583" s="49" t="n"/>
      <c r="T2583" s="49" t="n"/>
      <c r="U2583" s="47" t="inlineStr">
        <is>
          <t>Disney just announced a live action Lion King to be directed by Jon Favreau! Today Ben discusses the merits of remaking old beloved animated classics in to live action films - Does it breathe new life into an old movie, or is it just a cash grab?</t>
        </is>
      </c>
      <c r="V2583" s="47">
        <f>IF(AND(P2583&gt;=Calendar!$K$2,P2583&lt;EDATE(Calendar!$K$2,1),OR(Calendar!$K$4="*",N2583=Calendar!$K$4)),P2583*100+COUNTIFS($P$6:$P$3267,P2583,$Q$6:$Q$3267,"&lt;="&amp;Q2583,$N$6:$N$3267,Calendar!$K$4),"")</f>
        <v/>
      </c>
      <c r="W2583" s="47">
        <f>IF(AND(B2583=Queue!$C$4,OR(Queue!$K$4="*",N2583=Queue!$K$4)),Q2583,"")</f>
        <v/>
      </c>
    </row>
    <row r="2584">
      <c r="A2584" s="38">
        <f>IF(M2584="","",HYPERLINK("https://www.youtube.com/watch?v="&amp;M2584,"▶"))</f>
        <v/>
      </c>
      <c r="B2584" s="39">
        <f>IF(C2584&lt;&gt;"",C2584,IF(P2584&lt;=IFERROR(INDEX(tblChannels[Watched Through],MATCH(N2584,tblChannels[Channel ID],0)),0),"Watched","Unwatched"))</f>
        <v/>
      </c>
      <c r="C2584" s="40" t="n"/>
      <c r="D2584" s="41" t="n"/>
      <c r="E2584" s="42" t="n">
        <v>42640.74791666667</v>
      </c>
      <c r="F2584" s="50" t="inlineStr">
        <is>
          <t>Super Carlin Brothers</t>
        </is>
      </c>
      <c r="G2584" t="inlineStr">
        <is>
          <t>The Mouse Who Saved Disney</t>
        </is>
      </c>
      <c r="H2584" s="44" t="n">
        <v>0.006516203703703704</v>
      </c>
      <c r="I2584" s="45" t="n">
        <v>1290454</v>
      </c>
      <c r="J2584" s="45" t="n">
        <v>22329</v>
      </c>
      <c r="K2584" s="45" t="n">
        <v>6416</v>
      </c>
      <c r="L2584" s="46" t="n"/>
      <c r="M2584" s="47" t="n"/>
      <c r="N2584" s="47" t="inlineStr">
        <is>
          <t>UCKZo4N0lVPccBkSiuyVh4yg</t>
        </is>
      </c>
      <c r="O2584" s="48" t="n">
        <v>42640.91458333333</v>
      </c>
      <c r="P2584" s="49" t="n">
        <v>42640</v>
      </c>
      <c r="Q2584" s="47" t="n">
        <v>684</v>
      </c>
      <c r="R2584" s="47" t="inlineStr">
        <is>
          <t>No Video ID yet</t>
        </is>
      </c>
      <c r="S2584" s="49" t="n"/>
      <c r="T2584" s="49" t="n"/>
      <c r="U2584" s="47" t="inlineStr">
        <is>
          <t>Today J dives into Disney's past to discover the identity of the mouse that saved the animation studio from its own Dark Age and launched the Disney Renaissance. (Hint: It's not Mickey!)</t>
        </is>
      </c>
      <c r="V2584" s="47">
        <f>IF(AND(P2584&gt;=Calendar!$K$2,P2584&lt;EDATE(Calendar!$K$2,1),OR(Calendar!$K$4="*",N2584=Calendar!$K$4)),P2584*100+COUNTIFS($P$6:$P$3267,P2584,$Q$6:$Q$3267,"&lt;="&amp;Q2584,$N$6:$N$3267,Calendar!$K$4),"")</f>
        <v/>
      </c>
      <c r="W2584" s="47">
        <f>IF(AND(B2584=Queue!$C$4,OR(Queue!$K$4="*",N2584=Queue!$K$4)),Q2584,"")</f>
        <v/>
      </c>
    </row>
    <row r="2585">
      <c r="A2585" s="38">
        <f>IF(M2585="","",HYPERLINK("https://www.youtube.com/watch?v="&amp;M2585,"▶"))</f>
        <v/>
      </c>
      <c r="B2585" s="39">
        <f>IF(C2585&lt;&gt;"",C2585,IF(P2585&lt;=IFERROR(INDEX(tblChannels[Watched Through],MATCH(N2585,tblChannels[Channel ID],0)),0),"Watched","Unwatched"))</f>
        <v/>
      </c>
      <c r="C2585" s="40" t="n"/>
      <c r="D2585" s="41" t="n"/>
      <c r="E2585" s="42" t="n">
        <v>42635.79930555556</v>
      </c>
      <c r="F2585" s="50" t="inlineStr">
        <is>
          <t>Super Carlin Brothers</t>
        </is>
      </c>
      <c r="G2585" t="inlineStr">
        <is>
          <t>The Real Threat To Zootopia</t>
        </is>
      </c>
      <c r="H2585" s="44" t="n">
        <v>0.005324074074074074</v>
      </c>
      <c r="I2585" s="45" t="n">
        <v>989029</v>
      </c>
      <c r="J2585" s="45" t="n">
        <v>23458</v>
      </c>
      <c r="K2585" s="45" t="n">
        <v>3133</v>
      </c>
      <c r="L2585" s="46" t="n"/>
      <c r="M2585" s="47" t="n"/>
      <c r="N2585" s="47" t="inlineStr">
        <is>
          <t>UCKZo4N0lVPccBkSiuyVh4yg</t>
        </is>
      </c>
      <c r="O2585" s="48" t="n">
        <v>42635.96597222222</v>
      </c>
      <c r="P2585" s="49" t="n">
        <v>42635</v>
      </c>
      <c r="Q2585" s="47" t="n">
        <v>683</v>
      </c>
      <c r="R2585" s="47" t="inlineStr">
        <is>
          <t>No Video ID yet</t>
        </is>
      </c>
      <c r="S2585" s="49" t="n"/>
      <c r="T2585" s="49" t="n"/>
      <c r="U2585" s="47" t="inlineStr">
        <is>
          <t>Mastermind sheep and savage predators are one thing, but today Ben uncovers the true threat facing the citizens of Disney's Zootopia</t>
        </is>
      </c>
      <c r="V2585" s="47">
        <f>IF(AND(P2585&gt;=Calendar!$K$2,P2585&lt;EDATE(Calendar!$K$2,1),OR(Calendar!$K$4="*",N2585=Calendar!$K$4)),P2585*100+COUNTIFS($P$6:$P$3267,P2585,$Q$6:$Q$3267,"&lt;="&amp;Q2585,$N$6:$N$3267,Calendar!$K$4),"")</f>
        <v/>
      </c>
      <c r="W2585" s="47">
        <f>IF(AND(B2585=Queue!$C$4,OR(Queue!$K$4="*",N2585=Queue!$K$4)),Q2585,"")</f>
        <v/>
      </c>
    </row>
    <row r="2586">
      <c r="A2586" s="38">
        <f>IF(M2586="","",HYPERLINK("https://www.youtube.com/watch?v="&amp;M2586,"▶"))</f>
        <v/>
      </c>
      <c r="B2586" s="39">
        <f>IF(C2586&lt;&gt;"",C2586,IF(P2586&lt;=IFERROR(INDEX(tblChannels[Watched Through],MATCH(N2586,tblChannels[Channel ID],0)),0),"Watched","Unwatched"))</f>
        <v/>
      </c>
      <c r="C2586" s="40" t="n"/>
      <c r="D2586" s="41" t="n"/>
      <c r="E2586" s="42" t="n">
        <v>42634.38472222222</v>
      </c>
      <c r="F2586" s="52" t="inlineStr">
        <is>
          <t>Super Carlin Gaming</t>
        </is>
      </c>
      <c r="G2586" t="inlineStr">
        <is>
          <t>Pokemon HeartGold Nuzlocke #28: Celery's Final Stand</t>
        </is>
      </c>
      <c r="H2586" s="44" t="n">
        <v>0.01863425925925926</v>
      </c>
      <c r="I2586" s="45" t="n">
        <v>19433</v>
      </c>
      <c r="J2586" s="45" t="n">
        <v>465</v>
      </c>
      <c r="K2586" s="45" t="n">
        <v>154</v>
      </c>
      <c r="L2586" s="46" t="n"/>
      <c r="M2586" s="47" t="n"/>
      <c r="N2586" s="47" t="inlineStr">
        <is>
          <t>UCor_9jRnNNZVzTuQ92PKsaQ</t>
        </is>
      </c>
      <c r="O2586" s="48" t="n">
        <v>42634.55138888889</v>
      </c>
      <c r="P2586" s="49" t="n">
        <v>42634</v>
      </c>
      <c r="Q2586" s="47" t="n">
        <v>682</v>
      </c>
      <c r="R2586" s="47" t="inlineStr">
        <is>
          <t>No Video ID yet</t>
        </is>
      </c>
      <c r="S2586" s="49" t="n"/>
      <c r="T2586" s="49" t="n"/>
      <c r="U2586" s="47" t="inlineStr">
        <is>
          <t>Today we add a new member to the team and face our most hated rival: Celery! Can the team survive its final encounter with one of the toughest trainers in the game?</t>
        </is>
      </c>
      <c r="V2586" s="47">
        <f>IF(AND(P2586&gt;=Calendar!$K$2,P2586&lt;EDATE(Calendar!$K$2,1),OR(Calendar!$K$4="*",N2586=Calendar!$K$4)),P2586*100+COUNTIFS($P$6:$P$3267,P2586,$Q$6:$Q$3267,"&lt;="&amp;Q2586,$N$6:$N$3267,Calendar!$K$4),"")</f>
        <v/>
      </c>
      <c r="W2586" s="47">
        <f>IF(AND(B2586=Queue!$C$4,OR(Queue!$K$4="*",N2586=Queue!$K$4)),Q2586,"")</f>
        <v/>
      </c>
    </row>
    <row r="2587">
      <c r="A2587" s="38">
        <f>IF(M2587="","",HYPERLINK("https://www.youtube.com/watch?v="&amp;M2587,"▶"))</f>
        <v/>
      </c>
      <c r="B2587" s="39">
        <f>IF(C2587&lt;&gt;"",C2587,IF(P2587&lt;=IFERROR(INDEX(tblChannels[Watched Through],MATCH(N2587,tblChannels[Channel ID],0)),0),"Watched","Unwatched"))</f>
        <v/>
      </c>
      <c r="C2587" s="40" t="n"/>
      <c r="D2587" s="41" t="n"/>
      <c r="E2587" s="42" t="n">
        <v>42633.625</v>
      </c>
      <c r="F2587" s="50" t="inlineStr">
        <is>
          <t>Super Carlin Brothers</t>
        </is>
      </c>
      <c r="G2587" t="inlineStr">
        <is>
          <t>Do Monsters Google Autofill</t>
        </is>
      </c>
      <c r="H2587" s="44" t="n">
        <v>0.004988425925925926</v>
      </c>
      <c r="I2587" s="45" t="n">
        <v>347986</v>
      </c>
      <c r="J2587" s="45" t="n">
        <v>8976</v>
      </c>
      <c r="K2587" s="45" t="n">
        <v>1569</v>
      </c>
      <c r="L2587" s="46" t="n"/>
      <c r="M2587" s="47" t="n"/>
      <c r="N2587" s="47" t="inlineStr">
        <is>
          <t>UCKZo4N0lVPccBkSiuyVh4yg</t>
        </is>
      </c>
      <c r="O2587" s="48" t="n">
        <v>42633.79166666666</v>
      </c>
      <c r="P2587" s="49" t="n">
        <v>42633</v>
      </c>
      <c r="Q2587" s="47" t="n">
        <v>681</v>
      </c>
      <c r="R2587" s="47" t="inlineStr">
        <is>
          <t>No Video ID yet</t>
        </is>
      </c>
      <c r="S2587" s="49" t="n"/>
      <c r="T2587" s="49" t="n"/>
      <c r="U2587" s="47" t="inlineStr">
        <is>
          <t>Thank you everyone for asking "Who is Moana's Monster?" I am not sure of that (yet!), but in the meantime here is the answer to everything else about Disney Pixar's Monsters Inc., it's Do Monsters Google Autofill</t>
        </is>
      </c>
      <c r="V2587" s="47">
        <f>IF(AND(P2587&gt;=Calendar!$K$2,P2587&lt;EDATE(Calendar!$K$2,1),OR(Calendar!$K$4="*",N2587=Calendar!$K$4)),P2587*100+COUNTIFS($P$6:$P$3267,P2587,$Q$6:$Q$3267,"&lt;="&amp;Q2587,$N$6:$N$3267,Calendar!$K$4),"")</f>
        <v/>
      </c>
      <c r="W2587" s="47">
        <f>IF(AND(B2587=Queue!$C$4,OR(Queue!$K$4="*",N2587=Queue!$K$4)),Q2587,"")</f>
        <v/>
      </c>
    </row>
    <row r="2588">
      <c r="A2588" s="38">
        <f>IF(M2588="","",HYPERLINK("https://www.youtube.com/watch?v="&amp;M2588,"▶"))</f>
        <v/>
      </c>
      <c r="B2588" s="39">
        <f>IF(C2588&lt;&gt;"",C2588,IF(P2588&lt;=IFERROR(INDEX(tblChannels[Watched Through],MATCH(N2588,tblChannels[Channel ID],0)),0),"Watched","Unwatched"))</f>
        <v/>
      </c>
      <c r="C2588" s="40" t="n"/>
      <c r="D2588" s="41" t="n"/>
      <c r="E2588" s="42" t="n">
        <v>42628.81527777778</v>
      </c>
      <c r="F2588" s="50" t="inlineStr">
        <is>
          <t>Super Carlin Brothers</t>
        </is>
      </c>
      <c r="G2588" t="inlineStr">
        <is>
          <t>Moana Trailer Review, Analysis &amp; Predictions</t>
        </is>
      </c>
      <c r="H2588" s="44" t="n">
        <v>0.006354166666666667</v>
      </c>
      <c r="I2588" s="45" t="n">
        <v>655592</v>
      </c>
      <c r="J2588" s="45" t="n">
        <v>10579</v>
      </c>
      <c r="K2588" s="45" t="n">
        <v>1931</v>
      </c>
      <c r="L2588" s="46" t="n"/>
      <c r="M2588" s="47" t="n"/>
      <c r="N2588" s="47" t="inlineStr">
        <is>
          <t>UCKZo4N0lVPccBkSiuyVh4yg</t>
        </is>
      </c>
      <c r="O2588" s="48" t="n">
        <v>42628.98194444444</v>
      </c>
      <c r="P2588" s="49" t="n">
        <v>42628</v>
      </c>
      <c r="Q2588" s="47" t="n">
        <v>680</v>
      </c>
      <c r="R2588" s="47" t="inlineStr">
        <is>
          <t>No Video ID yet</t>
        </is>
      </c>
      <c r="S2588" s="49" t="n"/>
      <c r="T2588" s="49" t="n"/>
      <c r="U2588" s="47" t="inlineStr">
        <is>
          <t>The first full length trailer for Disney's Moana dropped today and we have examined every frame in excruciating detail to bring our review, analysis &amp; predictions. Watch the full trailer here:</t>
        </is>
      </c>
      <c r="V2588" s="47">
        <f>IF(AND(P2588&gt;=Calendar!$K$2,P2588&lt;EDATE(Calendar!$K$2,1),OR(Calendar!$K$4="*",N2588=Calendar!$K$4)),P2588*100+COUNTIFS($P$6:$P$3267,P2588,$Q$6:$Q$3267,"&lt;="&amp;Q2588,$N$6:$N$3267,Calendar!$K$4),"")</f>
        <v/>
      </c>
      <c r="W2588" s="47">
        <f>IF(AND(B2588=Queue!$C$4,OR(Queue!$K$4="*",N2588=Queue!$K$4)),Q2588,"")</f>
        <v/>
      </c>
    </row>
    <row r="2589">
      <c r="A2589" s="38">
        <f>IF(M2589="","",HYPERLINK("https://www.youtube.com/watch?v="&amp;M2589,"▶"))</f>
        <v/>
      </c>
      <c r="B2589" s="39">
        <f>IF(C2589&lt;&gt;"",C2589,IF(P2589&lt;=IFERROR(INDEX(tblChannels[Watched Through],MATCH(N2589,tblChannels[Channel ID],0)),0),"Watched","Unwatched"))</f>
        <v/>
      </c>
      <c r="C2589" s="40" t="n"/>
      <c r="D2589" s="41" t="n"/>
      <c r="E2589" s="42" t="n">
        <v>42626.70625</v>
      </c>
      <c r="F2589" s="50" t="inlineStr">
        <is>
          <t>Super Carlin Brothers</t>
        </is>
      </c>
      <c r="G2589" t="inlineStr">
        <is>
          <t>Who is Simba's Grandfather?</t>
        </is>
      </c>
      <c r="H2589" s="44" t="n">
        <v>0.004594907407407408</v>
      </c>
      <c r="I2589" s="45" t="n">
        <v>2100996</v>
      </c>
      <c r="J2589" s="45" t="n">
        <v>36083</v>
      </c>
      <c r="K2589" s="45" t="n">
        <v>6173</v>
      </c>
      <c r="L2589" s="46" t="n"/>
      <c r="M2589" s="47" t="n"/>
      <c r="N2589" s="47" t="inlineStr">
        <is>
          <t>UCKZo4N0lVPccBkSiuyVh4yg</t>
        </is>
      </c>
      <c r="O2589" s="48" t="n">
        <v>42626.87291666667</v>
      </c>
      <c r="P2589" s="49" t="n">
        <v>42626</v>
      </c>
      <c r="Q2589" s="47" t="n">
        <v>679</v>
      </c>
      <c r="R2589" s="47" t="inlineStr">
        <is>
          <t>No Video ID yet</t>
        </is>
      </c>
      <c r="S2589" s="49" t="n"/>
      <c r="T2589" s="49" t="n"/>
      <c r="U2589" s="47" t="inlineStr">
        <is>
          <t>In Disney's The Lion King, Mufasa tells Simba that the great kings of the past are in the stars, but who are the great kings of the past and who is Simba's Grandfather? Turns out he makes an appearance in another disney movie....</t>
        </is>
      </c>
      <c r="V2589" s="47">
        <f>IF(AND(P2589&gt;=Calendar!$K$2,P2589&lt;EDATE(Calendar!$K$2,1),OR(Calendar!$K$4="*",N2589=Calendar!$K$4)),P2589*100+COUNTIFS($P$6:$P$3267,P2589,$Q$6:$Q$3267,"&lt;="&amp;Q2589,$N$6:$N$3267,Calendar!$K$4),"")</f>
        <v/>
      </c>
      <c r="W2589" s="47">
        <f>IF(AND(B2589=Queue!$C$4,OR(Queue!$K$4="*",N2589=Queue!$K$4)),Q2589,"")</f>
        <v/>
      </c>
    </row>
    <row r="2590">
      <c r="A2590" s="38">
        <f>IF(M2590="","",HYPERLINK("https://www.youtube.com/watch?v="&amp;M2590,"▶"))</f>
        <v/>
      </c>
      <c r="B2590" s="39">
        <f>IF(C2590&lt;&gt;"",C2590,IF(P2590&lt;=IFERROR(INDEX(tblChannels[Watched Through],MATCH(N2590,tblChannels[Channel ID],0)),0),"Watched","Unwatched"))</f>
        <v/>
      </c>
      <c r="C2590" s="40" t="n"/>
      <c r="D2590" s="41" t="n"/>
      <c r="E2590" s="42" t="n">
        <v>42621.625</v>
      </c>
      <c r="F2590" s="50" t="inlineStr">
        <is>
          <t>Super Carlin Brothers</t>
        </is>
      </c>
      <c r="G2590" t="inlineStr">
        <is>
          <t>How To Fix Quidditch</t>
        </is>
      </c>
      <c r="H2590" s="44" t="n">
        <v>0.004467592592592592</v>
      </c>
      <c r="I2590" s="45" t="n">
        <v>1276940</v>
      </c>
      <c r="J2590" s="45" t="n">
        <v>26709</v>
      </c>
      <c r="K2590" s="45" t="n">
        <v>3760</v>
      </c>
      <c r="L2590" s="46" t="n"/>
      <c r="M2590" s="47" t="n"/>
      <c r="N2590" s="47" t="inlineStr">
        <is>
          <t>UCKZo4N0lVPccBkSiuyVh4yg</t>
        </is>
      </c>
      <c r="O2590" s="48" t="n">
        <v>42621.79166666666</v>
      </c>
      <c r="P2590" s="49" t="n">
        <v>42621</v>
      </c>
      <c r="Q2590" s="47" t="n">
        <v>678</v>
      </c>
      <c r="R2590" s="47" t="inlineStr">
        <is>
          <t>No Video ID yet</t>
        </is>
      </c>
      <c r="S2590" s="49" t="n"/>
      <c r="T2590" s="49" t="n"/>
      <c r="U2590" s="47" t="inlineStr">
        <is>
          <t>Quidditch basically makes no sense, but FEAR NOT! Ben has been thinking on the matter and come up with a fool proof plan to fix it!</t>
        </is>
      </c>
      <c r="V2590" s="47">
        <f>IF(AND(P2590&gt;=Calendar!$K$2,P2590&lt;EDATE(Calendar!$K$2,1),OR(Calendar!$K$4="*",N2590=Calendar!$K$4)),P2590*100+COUNTIFS($P$6:$P$3267,P2590,$Q$6:$Q$3267,"&lt;="&amp;Q2590,$N$6:$N$3267,Calendar!$K$4),"")</f>
        <v/>
      </c>
      <c r="W2590" s="47">
        <f>IF(AND(B2590=Queue!$C$4,OR(Queue!$K$4="*",N2590=Queue!$K$4)),Q2590,"")</f>
        <v/>
      </c>
    </row>
    <row r="2591">
      <c r="A2591" s="38">
        <f>IF(M2591="","",HYPERLINK("https://www.youtube.com/watch?v="&amp;M2591,"▶"))</f>
        <v/>
      </c>
      <c r="B2591" s="39">
        <f>IF(C2591&lt;&gt;"",C2591,IF(P2591&lt;=IFERROR(INDEX(tblChannels[Watched Through],MATCH(N2591,tblChannels[Channel ID],0)),0),"Watched","Unwatched"))</f>
        <v/>
      </c>
      <c r="C2591" s="40" t="n"/>
      <c r="D2591" s="41" t="n"/>
      <c r="E2591" s="42" t="n">
        <v>42619.82013888889</v>
      </c>
      <c r="F2591" s="50" t="inlineStr">
        <is>
          <t>Super Carlin Brothers</t>
        </is>
      </c>
      <c r="G2591" t="inlineStr">
        <is>
          <t>Why Kevin Is Actually Mickey Mouse</t>
        </is>
      </c>
      <c r="H2591" s="44" t="n">
        <v>0.005092592592592593</v>
      </c>
      <c r="I2591" s="45" t="n">
        <v>1881269</v>
      </c>
      <c r="J2591" s="45" t="n">
        <v>35275</v>
      </c>
      <c r="K2591" s="45" t="n">
        <v>5292</v>
      </c>
      <c r="L2591" s="46" t="n"/>
      <c r="M2591" s="47" t="n"/>
      <c r="N2591" s="47" t="inlineStr">
        <is>
          <t>UCKZo4N0lVPccBkSiuyVh4yg</t>
        </is>
      </c>
      <c r="O2591" s="48" t="n">
        <v>42619.98680555556</v>
      </c>
      <c r="P2591" s="49" t="n">
        <v>42619</v>
      </c>
      <c r="Q2591" s="47" t="n">
        <v>677</v>
      </c>
      <c r="R2591" s="47" t="inlineStr">
        <is>
          <t>No Video ID yet</t>
        </is>
      </c>
      <c r="S2591" s="49" t="n"/>
      <c r="T2591" s="49" t="n"/>
      <c r="U2591" s="47" t="inlineStr">
        <is>
          <t>After examining the history of Mickey Mouse, J discovers an interesting easter egg that ties Disney's most iconic character to Pixar's Up.</t>
        </is>
      </c>
      <c r="V2591" s="47">
        <f>IF(AND(P2591&gt;=Calendar!$K$2,P2591&lt;EDATE(Calendar!$K$2,1),OR(Calendar!$K$4="*",N2591=Calendar!$K$4)),P2591*100+COUNTIFS($P$6:$P$3267,P2591,$Q$6:$Q$3267,"&lt;="&amp;Q2591,$N$6:$N$3267,Calendar!$K$4),"")</f>
        <v/>
      </c>
      <c r="W2591" s="47">
        <f>IF(AND(B2591=Queue!$C$4,OR(Queue!$K$4="*",N2591=Queue!$K$4)),Q2591,"")</f>
        <v/>
      </c>
    </row>
    <row r="2592">
      <c r="A2592" s="38">
        <f>IF(M2592="","",HYPERLINK("https://www.youtube.com/watch?v="&amp;M2592,"▶"))</f>
        <v/>
      </c>
      <c r="B2592" s="39">
        <f>IF(C2592&lt;&gt;"",C2592,IF(P2592&lt;=IFERROR(INDEX(tblChannels[Watched Through],MATCH(N2592,tblChannels[Channel ID],0)),0),"Watched","Unwatched"))</f>
        <v/>
      </c>
      <c r="C2592" s="40" t="n"/>
      <c r="D2592" s="41" t="n"/>
      <c r="E2592" s="42" t="n">
        <v>42615.46875</v>
      </c>
      <c r="F2592" s="52" t="inlineStr">
        <is>
          <t>Super Carlin Gaming</t>
        </is>
      </c>
      <c r="G2592" t="inlineStr">
        <is>
          <t>Pokemon HeartGold Nuzlocke #27: Raikou Returns!</t>
        </is>
      </c>
      <c r="H2592" s="44" t="n">
        <v>0.0237037037037037</v>
      </c>
      <c r="I2592" s="45" t="n">
        <v>20290</v>
      </c>
      <c r="J2592" s="45" t="n">
        <v>502</v>
      </c>
      <c r="K2592" s="45" t="n">
        <v>345</v>
      </c>
      <c r="L2592" s="46" t="n"/>
      <c r="M2592" s="47" t="n"/>
      <c r="N2592" s="47" t="inlineStr">
        <is>
          <t>UCor_9jRnNNZVzTuQ92PKsaQ</t>
        </is>
      </c>
      <c r="O2592" s="48" t="n">
        <v>42615.63541666666</v>
      </c>
      <c r="P2592" s="49" t="n">
        <v>42615</v>
      </c>
      <c r="Q2592" s="47" t="n">
        <v>676</v>
      </c>
      <c r="R2592" s="47" t="inlineStr">
        <is>
          <t>No Video ID yet</t>
        </is>
      </c>
      <c r="S2592" s="49" t="n"/>
      <c r="T2592" s="49" t="n"/>
      <c r="U2592" s="47" t="inlineStr">
        <is>
          <t>Today we begin our journey towards victory road and encounter an old friend, who's coming could change everything! Pokemon HeartGold Nuzlocke Rules:</t>
        </is>
      </c>
      <c r="V2592" s="47">
        <f>IF(AND(P2592&gt;=Calendar!$K$2,P2592&lt;EDATE(Calendar!$K$2,1),OR(Calendar!$K$4="*",N2592=Calendar!$K$4)),P2592*100+COUNTIFS($P$6:$P$3267,P2592,$Q$6:$Q$3267,"&lt;="&amp;Q2592,$N$6:$N$3267,Calendar!$K$4),"")</f>
        <v/>
      </c>
      <c r="W2592" s="47">
        <f>IF(AND(B2592=Queue!$C$4,OR(Queue!$K$4="*",N2592=Queue!$K$4)),Q2592,"")</f>
        <v/>
      </c>
    </row>
    <row r="2593">
      <c r="A2593" s="38">
        <f>IF(M2593="","",HYPERLINK("https://www.youtube.com/watch?v="&amp;M2593,"▶"))</f>
        <v/>
      </c>
      <c r="B2593" s="39">
        <f>IF(C2593&lt;&gt;"",C2593,IF(P2593&lt;=IFERROR(INDEX(tblChannels[Watched Through],MATCH(N2593,tblChannels[Channel ID],0)),0),"Watched","Unwatched"))</f>
        <v/>
      </c>
      <c r="C2593" s="40" t="n"/>
      <c r="D2593" s="41" t="n"/>
      <c r="E2593" s="42" t="n">
        <v>42614.75347222222</v>
      </c>
      <c r="F2593" s="50" t="inlineStr">
        <is>
          <t>Super Carlin Brothers</t>
        </is>
      </c>
      <c r="G2593" t="inlineStr">
        <is>
          <t>Finding Dory's Gerald Explained</t>
        </is>
      </c>
      <c r="H2593" s="44" t="n">
        <v>0.003854166666666667</v>
      </c>
      <c r="I2593" s="45" t="n">
        <v>1942283</v>
      </c>
      <c r="J2593" s="45" t="n">
        <v>31458</v>
      </c>
      <c r="K2593" s="45" t="n">
        <v>6258</v>
      </c>
      <c r="L2593" s="46" t="n"/>
      <c r="M2593" s="47" t="n"/>
      <c r="N2593" s="47" t="inlineStr">
        <is>
          <t>UCKZo4N0lVPccBkSiuyVh4yg</t>
        </is>
      </c>
      <c r="O2593" s="48" t="n">
        <v>42614.92013888889</v>
      </c>
      <c r="P2593" s="49" t="n">
        <v>42614</v>
      </c>
      <c r="Q2593" s="47" t="n">
        <v>675</v>
      </c>
      <c r="R2593" s="47" t="inlineStr">
        <is>
          <t>No Video ID yet</t>
        </is>
      </c>
      <c r="S2593" s="49" t="n"/>
      <c r="T2593" s="49" t="n"/>
      <c r="U2593" s="47" t="inlineStr">
        <is>
          <t>Today we examine one of the best characters from Disney Pixar's Finding Dory: Gerald. Ben discusses a unique but endearing character archetype known as the Cloudcuckoolander. Yes, that is really what they are called. More about Cloudcuckoolanders:</t>
        </is>
      </c>
      <c r="V2593" s="47">
        <f>IF(AND(P2593&gt;=Calendar!$K$2,P2593&lt;EDATE(Calendar!$K$2,1),OR(Calendar!$K$4="*",N2593=Calendar!$K$4)),P2593*100+COUNTIFS($P$6:$P$3267,P2593,$Q$6:$Q$3267,"&lt;="&amp;Q2593,$N$6:$N$3267,Calendar!$K$4),"")</f>
        <v/>
      </c>
      <c r="W2593" s="47">
        <f>IF(AND(B2593=Queue!$C$4,OR(Queue!$K$4="*",N2593=Queue!$K$4)),Q2593,"")</f>
        <v/>
      </c>
    </row>
    <row r="2594">
      <c r="A2594" s="38">
        <f>IF(M2594="","",HYPERLINK("https://www.youtube.com/watch?v="&amp;M2594,"▶"))</f>
        <v/>
      </c>
      <c r="B2594" s="39">
        <f>IF(C2594&lt;&gt;"",C2594,IF(P2594&lt;=IFERROR(INDEX(tblChannels[Watched Through],MATCH(N2594,tblChannels[Channel ID],0)),0),"Watched","Unwatched"))</f>
        <v/>
      </c>
      <c r="C2594" s="40" t="n"/>
      <c r="D2594" s="41" t="n"/>
      <c r="E2594" s="42" t="n">
        <v>42613.66875</v>
      </c>
      <c r="F2594" s="52" t="inlineStr">
        <is>
          <t>Super Carlin Gaming</t>
        </is>
      </c>
      <c r="G2594" t="inlineStr">
        <is>
          <t>Pokemon HeartGold Nuzlocke #26: The Phoenix Returns</t>
        </is>
      </c>
      <c r="H2594" s="44" t="n">
        <v>0.01641203703703704</v>
      </c>
      <c r="I2594" s="45" t="n">
        <v>18827</v>
      </c>
      <c r="J2594" s="45" t="n">
        <v>608</v>
      </c>
      <c r="K2594" s="45" t="n">
        <v>329</v>
      </c>
      <c r="L2594" s="46" t="n"/>
      <c r="M2594" s="47" t="n"/>
      <c r="N2594" s="47" t="inlineStr">
        <is>
          <t>UCor_9jRnNNZVzTuQ92PKsaQ</t>
        </is>
      </c>
      <c r="O2594" s="48" t="n">
        <v>42613.83541666667</v>
      </c>
      <c r="P2594" s="49" t="n">
        <v>42613</v>
      </c>
      <c r="Q2594" s="47" t="n">
        <v>674</v>
      </c>
      <c r="R2594" s="47" t="inlineStr">
        <is>
          <t>No Video ID yet</t>
        </is>
      </c>
      <c r="S2594" s="49" t="n"/>
      <c r="T2594" s="49" t="n"/>
      <c r="U2594" s="47" t="inlineStr">
        <is>
          <t>Like a HO-OH from the ashes.. we're back! Apologies for the loooooong delay but at last the journey through Johto continues, today we add a new member and ascend Bell Tower, what what awaits us at the top?</t>
        </is>
      </c>
      <c r="V2594" s="47">
        <f>IF(AND(P2594&gt;=Calendar!$K$2,P2594&lt;EDATE(Calendar!$K$2,1),OR(Calendar!$K$4="*",N2594=Calendar!$K$4)),P2594*100+COUNTIFS($P$6:$P$3267,P2594,$Q$6:$Q$3267,"&lt;="&amp;Q2594,$N$6:$N$3267,Calendar!$K$4),"")</f>
        <v/>
      </c>
      <c r="W2594" s="47">
        <f>IF(AND(B2594=Queue!$C$4,OR(Queue!$K$4="*",N2594=Queue!$K$4)),Q2594,"")</f>
        <v/>
      </c>
    </row>
    <row r="2595">
      <c r="A2595" s="38">
        <f>IF(M2595="","",HYPERLINK("https://www.youtube.com/watch?v="&amp;M2595,"▶"))</f>
        <v/>
      </c>
      <c r="B2595" s="39">
        <f>IF(C2595&lt;&gt;"",C2595,IF(P2595&lt;=IFERROR(INDEX(tblChannels[Watched Through],MATCH(N2595,tblChannels[Channel ID],0)),0),"Watched","Unwatched"))</f>
        <v/>
      </c>
      <c r="C2595" s="40" t="n"/>
      <c r="D2595" s="41" t="n"/>
      <c r="E2595" s="42" t="n">
        <v>42612.59027777778</v>
      </c>
      <c r="F2595" s="50" t="inlineStr">
        <is>
          <t>Super Carlin Brothers</t>
        </is>
      </c>
      <c r="G2595" t="inlineStr">
        <is>
          <t>Pixar Theory: Anton Ego's Origins</t>
        </is>
      </c>
      <c r="H2595" s="44" t="n">
        <v>0.006469907407407408</v>
      </c>
      <c r="I2595" s="45" t="n">
        <v>1069260</v>
      </c>
      <c r="J2595" s="45" t="n">
        <v>30170</v>
      </c>
      <c r="K2595" s="45" t="n">
        <v>2926</v>
      </c>
      <c r="L2595" s="46" t="n"/>
      <c r="M2595" s="47" t="n"/>
      <c r="N2595" s="47" t="inlineStr">
        <is>
          <t>UCKZo4N0lVPccBkSiuyVh4yg</t>
        </is>
      </c>
      <c r="O2595" s="48" t="n">
        <v>42612.75694444445</v>
      </c>
      <c r="P2595" s="49" t="n">
        <v>42612</v>
      </c>
      <c r="Q2595" s="47" t="n">
        <v>673</v>
      </c>
      <c r="R2595" s="47" t="inlineStr">
        <is>
          <t>No Video ID yet</t>
        </is>
      </c>
      <c r="S2595" s="49" t="n"/>
      <c r="T2595" s="49" t="n"/>
      <c r="U2595" s="47" t="inlineStr">
        <is>
          <t>Today J examines one of his favorite characters in Pixar, Ratatouille's Anton Ego, and tries to determine his origin story based on what little screen time he has.</t>
        </is>
      </c>
      <c r="V2595" s="47">
        <f>IF(AND(P2595&gt;=Calendar!$K$2,P2595&lt;EDATE(Calendar!$K$2,1),OR(Calendar!$K$4="*",N2595=Calendar!$K$4)),P2595*100+COUNTIFS($P$6:$P$3267,P2595,$Q$6:$Q$3267,"&lt;="&amp;Q2595,$N$6:$N$3267,Calendar!$K$4),"")</f>
        <v/>
      </c>
      <c r="W2595" s="47">
        <f>IF(AND(B2595=Queue!$C$4,OR(Queue!$K$4="*",N2595=Queue!$K$4)),Q2595,"")</f>
        <v/>
      </c>
    </row>
    <row r="2596">
      <c r="A2596" s="38">
        <f>IF(M2596="","",HYPERLINK("https://www.youtube.com/watch?v="&amp;M2596,"▶"))</f>
        <v/>
      </c>
      <c r="B2596" s="39">
        <f>IF(C2596&lt;&gt;"",C2596,IF(P2596&lt;=IFERROR(INDEX(tblChannels[Watched Through],MATCH(N2596,tblChannels[Channel ID],0)),0),"Watched","Unwatched"))</f>
        <v/>
      </c>
      <c r="C2596" s="40" t="n"/>
      <c r="D2596" s="41" t="n"/>
      <c r="E2596" s="42" t="n">
        <v>42607.79305555556</v>
      </c>
      <c r="F2596" s="50" t="inlineStr">
        <is>
          <t>Super Carlin Brothers</t>
        </is>
      </c>
      <c r="G2596" t="inlineStr">
        <is>
          <t>Pixar Theory: Toy Story's True Villain</t>
        </is>
      </c>
      <c r="H2596" s="44" t="n">
        <v>0.004236111111111112</v>
      </c>
      <c r="I2596" s="45" t="n">
        <v>1232377</v>
      </c>
      <c r="J2596" s="45" t="n">
        <v>27906</v>
      </c>
      <c r="K2596" s="45" t="n">
        <v>2925</v>
      </c>
      <c r="L2596" s="46" t="n"/>
      <c r="M2596" s="47" t="n"/>
      <c r="N2596" s="47" t="inlineStr">
        <is>
          <t>UCKZo4N0lVPccBkSiuyVh4yg</t>
        </is>
      </c>
      <c r="O2596" s="48" t="n">
        <v>42607.95972222222</v>
      </c>
      <c r="P2596" s="49" t="n">
        <v>42607</v>
      </c>
      <c r="Q2596" s="47" t="n">
        <v>672</v>
      </c>
      <c r="R2596" s="47" t="inlineStr">
        <is>
          <t>No Video ID yet</t>
        </is>
      </c>
      <c r="S2596" s="49" t="n"/>
      <c r="T2596" s="49" t="n"/>
      <c r="U2596" s="47" t="inlineStr">
        <is>
          <t>We have defended who everyone thinks is the villain in Disney Pixar's Toy Story, but now its time to reveal who it actually is: Mr. Potato Head!</t>
        </is>
      </c>
      <c r="V2596" s="47">
        <f>IF(AND(P2596&gt;=Calendar!$K$2,P2596&lt;EDATE(Calendar!$K$2,1),OR(Calendar!$K$4="*",N2596=Calendar!$K$4)),P2596*100+COUNTIFS($P$6:$P$3267,P2596,$Q$6:$Q$3267,"&lt;="&amp;Q2596,$N$6:$N$3267,Calendar!$K$4),"")</f>
        <v/>
      </c>
      <c r="W2596" s="47">
        <f>IF(AND(B2596=Queue!$C$4,OR(Queue!$K$4="*",N2596=Queue!$K$4)),Q2596,"")</f>
        <v/>
      </c>
    </row>
    <row r="2597">
      <c r="A2597" s="38">
        <f>IF(M2597="","",HYPERLINK("https://www.youtube.com/watch?v="&amp;M2597,"▶"))</f>
        <v/>
      </c>
      <c r="B2597" s="39">
        <f>IF(C2597&lt;&gt;"",C2597,IF(P2597&lt;=IFERROR(INDEX(tblChannels[Watched Through],MATCH(N2597,tblChannels[Channel ID],0)),0),"Watched","Unwatched"))</f>
        <v/>
      </c>
      <c r="C2597" s="40" t="n"/>
      <c r="D2597" s="41" t="n"/>
      <c r="E2597" s="42" t="n">
        <v>42605.69305555556</v>
      </c>
      <c r="F2597" s="50" t="inlineStr">
        <is>
          <t>Super Carlin Brothers</t>
        </is>
      </c>
      <c r="G2597" t="inlineStr">
        <is>
          <t>Harry Potter Theory: Who Is The Cursed Child?</t>
        </is>
      </c>
      <c r="H2597" s="44" t="n">
        <v>0.007858796296296296</v>
      </c>
      <c r="I2597" s="45" t="n">
        <v>1810620</v>
      </c>
      <c r="J2597" s="45" t="n">
        <v>34314</v>
      </c>
      <c r="K2597" s="45" t="n">
        <v>8648</v>
      </c>
      <c r="L2597" s="46" t="n"/>
      <c r="M2597" s="47" t="n"/>
      <c r="N2597" s="47" t="inlineStr">
        <is>
          <t>UCKZo4N0lVPccBkSiuyVh4yg</t>
        </is>
      </c>
      <c r="O2597" s="48" t="n">
        <v>42605.85972222222</v>
      </c>
      <c r="P2597" s="49" t="n">
        <v>42605</v>
      </c>
      <c r="Q2597" s="47" t="n">
        <v>671</v>
      </c>
      <c r="R2597" s="47" t="inlineStr">
        <is>
          <t>No Video ID yet</t>
        </is>
      </c>
      <c r="S2597" s="49" t="n"/>
      <c r="T2597" s="49" t="n"/>
      <c r="U2597" s="47" t="inlineStr">
        <is>
          <t>At long last the wizarding world of Harry Potter has expanded in the form of Harry Potter and The Cursed Child, the only problem is... Who is the cursed child? Today J dives into the play and find out!</t>
        </is>
      </c>
      <c r="V2597" s="47">
        <f>IF(AND(P2597&gt;=Calendar!$K$2,P2597&lt;EDATE(Calendar!$K$2,1),OR(Calendar!$K$4="*",N2597=Calendar!$K$4)),P2597*100+COUNTIFS($P$6:$P$3267,P2597,$Q$6:$Q$3267,"&lt;="&amp;Q2597,$N$6:$N$3267,Calendar!$K$4),"")</f>
        <v/>
      </c>
      <c r="W2597" s="47">
        <f>IF(AND(B2597=Queue!$C$4,OR(Queue!$K$4="*",N2597=Queue!$K$4)),Q2597,"")</f>
        <v/>
      </c>
    </row>
    <row r="2598">
      <c r="A2598" s="38">
        <f>IF(M2598="","",HYPERLINK("https://www.youtube.com/watch?v="&amp;M2598,"▶"))</f>
        <v/>
      </c>
      <c r="B2598" s="39">
        <f>IF(C2598&lt;&gt;"",C2598,IF(P2598&lt;=IFERROR(INDEX(tblChannels[Watched Through],MATCH(N2598,tblChannels[Channel ID],0)),0),"Watched","Unwatched"))</f>
        <v/>
      </c>
      <c r="C2598" s="40" t="n"/>
      <c r="D2598" s="41" t="n"/>
      <c r="E2598" s="42" t="n">
        <v>42600.79236111111</v>
      </c>
      <c r="F2598" s="50" t="inlineStr">
        <is>
          <t>Super Carlin Brothers</t>
        </is>
      </c>
      <c r="G2598" t="inlineStr">
        <is>
          <t>Voldemort's Horcruxes Ranked</t>
        </is>
      </c>
      <c r="H2598" s="44" t="n">
        <v>0.005567129629629629</v>
      </c>
      <c r="I2598" s="45" t="n">
        <v>2000959</v>
      </c>
      <c r="J2598" s="45" t="n">
        <v>35918</v>
      </c>
      <c r="K2598" s="45" t="n">
        <v>5471</v>
      </c>
      <c r="L2598" s="46" t="n"/>
      <c r="M2598" s="47" t="n"/>
      <c r="N2598" s="47" t="inlineStr">
        <is>
          <t>UCKZo4N0lVPccBkSiuyVh4yg</t>
        </is>
      </c>
      <c r="O2598" s="48" t="n">
        <v>42600.95902777778</v>
      </c>
      <c r="P2598" s="49" t="n">
        <v>42600</v>
      </c>
      <c r="Q2598" s="47" t="n">
        <v>670</v>
      </c>
      <c r="R2598" s="47" t="inlineStr">
        <is>
          <t>No Video ID yet</t>
        </is>
      </c>
      <c r="S2598" s="49" t="n"/>
      <c r="T2598" s="49" t="n"/>
      <c r="U2598" s="47" t="inlineStr">
        <is>
          <t>Seriously, Voldemort could have done a much better job hiding and/or protecting these things. Today Ben reveals his official ranking of the Horcruxes and how Voldemort could have prevented Harry Potter from destroying them.</t>
        </is>
      </c>
      <c r="V2598" s="47">
        <f>IF(AND(P2598&gt;=Calendar!$K$2,P2598&lt;EDATE(Calendar!$K$2,1),OR(Calendar!$K$4="*",N2598=Calendar!$K$4)),P2598*100+COUNTIFS($P$6:$P$3267,P2598,$Q$6:$Q$3267,"&lt;="&amp;Q2598,$N$6:$N$3267,Calendar!$K$4),"")</f>
        <v/>
      </c>
      <c r="W2598" s="47">
        <f>IF(AND(B2598=Queue!$C$4,OR(Queue!$K$4="*",N2598=Queue!$K$4)),Q2598,"")</f>
        <v/>
      </c>
    </row>
    <row r="2599">
      <c r="A2599" s="38">
        <f>IF(M2599="","",HYPERLINK("https://www.youtube.com/watch?v="&amp;M2599,"▶"))</f>
        <v/>
      </c>
      <c r="B2599" s="39">
        <f>IF(C2599&lt;&gt;"",C2599,IF(P2599&lt;=IFERROR(INDEX(tblChannels[Watched Through],MATCH(N2599,tblChannels[Channel ID],0)),0),"Watched","Unwatched"))</f>
        <v/>
      </c>
      <c r="C2599" s="40" t="n"/>
      <c r="D2599" s="41" t="n"/>
      <c r="E2599" s="42" t="n">
        <v>42598.8375</v>
      </c>
      <c r="F2599" s="50" t="inlineStr">
        <is>
          <t>Super Carlin Brothers</t>
        </is>
      </c>
      <c r="G2599" t="inlineStr">
        <is>
          <t>Are Pokemon Google Autofill</t>
        </is>
      </c>
      <c r="H2599" s="44" t="n">
        <v>0.006481481481481481</v>
      </c>
      <c r="I2599" s="45" t="n">
        <v>375612</v>
      </c>
      <c r="J2599" s="45" t="n">
        <v>9986</v>
      </c>
      <c r="K2599" s="45" t="n">
        <v>5062</v>
      </c>
      <c r="L2599" s="46" t="n"/>
      <c r="M2599" s="47" t="n"/>
      <c r="N2599" s="47" t="inlineStr">
        <is>
          <t>UCKZo4N0lVPccBkSiuyVh4yg</t>
        </is>
      </c>
      <c r="O2599" s="48" t="n">
        <v>42599.00416666667</v>
      </c>
      <c r="P2599" s="49" t="n">
        <v>42598</v>
      </c>
      <c r="Q2599" s="47" t="n">
        <v>669</v>
      </c>
      <c r="R2599" s="47" t="inlineStr">
        <is>
          <t>No Video ID yet</t>
        </is>
      </c>
      <c r="S2599" s="49" t="n"/>
      <c r="T2599" s="49" t="n"/>
      <c r="U2599" s="47" t="inlineStr">
        <is>
          <t>J is still loving Pokemon GO and so today he plays the Google Autofill game and asks Are Pokemon Google Autofill? Who is your favorite Pokemon??</t>
        </is>
      </c>
      <c r="V2599" s="47">
        <f>IF(AND(P2599&gt;=Calendar!$K$2,P2599&lt;EDATE(Calendar!$K$2,1),OR(Calendar!$K$4="*",N2599=Calendar!$K$4)),P2599*100+COUNTIFS($P$6:$P$3267,P2599,$Q$6:$Q$3267,"&lt;="&amp;Q2599,$N$6:$N$3267,Calendar!$K$4),"")</f>
        <v/>
      </c>
      <c r="W2599" s="47">
        <f>IF(AND(B2599=Queue!$C$4,OR(Queue!$K$4="*",N2599=Queue!$K$4)),Q2599,"")</f>
        <v/>
      </c>
    </row>
    <row r="2600">
      <c r="A2600" s="38">
        <f>IF(M2600="","",HYPERLINK("https://www.youtube.com/watch?v="&amp;M2600,"▶"))</f>
        <v/>
      </c>
      <c r="B2600" s="39">
        <f>IF(C2600&lt;&gt;"",C2600,IF(P2600&lt;=IFERROR(INDEX(tblChannels[Watched Through],MATCH(N2600,tblChannels[Channel ID],0)),0),"Watched","Unwatched"))</f>
        <v/>
      </c>
      <c r="C2600" s="40" t="n"/>
      <c r="D2600" s="41" t="n"/>
      <c r="E2600" s="42" t="n">
        <v>42593.56180555555</v>
      </c>
      <c r="F2600" s="50" t="inlineStr">
        <is>
          <t>Super Carlin Brothers</t>
        </is>
      </c>
      <c r="G2600" t="inlineStr">
        <is>
          <t>100 LAYERS of Clothes Challenge!</t>
        </is>
      </c>
      <c r="H2600" s="44" t="n">
        <v>0.008113425925925927</v>
      </c>
      <c r="I2600" s="45" t="n">
        <v>655286</v>
      </c>
      <c r="J2600" s="45" t="n">
        <v>23623</v>
      </c>
      <c r="K2600" s="45" t="n">
        <v>2732</v>
      </c>
      <c r="L2600" s="46" t="n"/>
      <c r="M2600" s="47" t="n"/>
      <c r="N2600" s="47" t="inlineStr">
        <is>
          <t>UCKZo4N0lVPccBkSiuyVh4yg</t>
        </is>
      </c>
      <c r="O2600" s="48" t="n">
        <v>42593.72847222222</v>
      </c>
      <c r="P2600" s="49" t="n">
        <v>42593</v>
      </c>
      <c r="Q2600" s="47" t="n">
        <v>668</v>
      </c>
      <c r="R2600" s="47" t="inlineStr">
        <is>
          <t>No Video ID yet</t>
        </is>
      </c>
      <c r="S2600" s="49" t="n"/>
      <c r="T2600" s="49" t="n"/>
      <c r="U2600" s="47" t="inlineStr">
        <is>
          <t>Today Ben takes on the 100 Layers of shirts challenge, can he make it all the way?! (or at least beat Tracy and Stefanie?!) We were inspired by our good friends over at ElevethGorgeous check out their vid here ::</t>
        </is>
      </c>
      <c r="V2600" s="47">
        <f>IF(AND(P2600&gt;=Calendar!$K$2,P2600&lt;EDATE(Calendar!$K$2,1),OR(Calendar!$K$4="*",N2600=Calendar!$K$4)),P2600*100+COUNTIFS($P$6:$P$3267,P2600,$Q$6:$Q$3267,"&lt;="&amp;Q2600,$N$6:$N$3267,Calendar!$K$4),"")</f>
        <v/>
      </c>
      <c r="W2600" s="47">
        <f>IF(AND(B2600=Queue!$C$4,OR(Queue!$K$4="*",N2600=Queue!$K$4)),Q2600,"")</f>
        <v/>
      </c>
    </row>
    <row r="2601">
      <c r="A2601" s="38">
        <f>IF(M2601="","",HYPERLINK("https://www.youtube.com/watch?v="&amp;M2601,"▶"))</f>
        <v/>
      </c>
      <c r="B2601" s="39">
        <f>IF(C2601&lt;&gt;"",C2601,IF(P2601&lt;=IFERROR(INDEX(tblChannels[Watched Through],MATCH(N2601,tblChannels[Channel ID],0)),0),"Watched","Unwatched"))</f>
        <v/>
      </c>
      <c r="C2601" s="40" t="n"/>
      <c r="D2601" s="41" t="n"/>
      <c r="E2601" s="42" t="n">
        <v>42591.41666666666</v>
      </c>
      <c r="F2601" s="50" t="inlineStr">
        <is>
          <t>Super Carlin Brothers</t>
        </is>
      </c>
      <c r="G2601" t="inlineStr">
        <is>
          <t>Why Does Woody Have A Holster?</t>
        </is>
      </c>
      <c r="H2601" s="44" t="n">
        <v>0.004930555555555555</v>
      </c>
      <c r="I2601" s="45" t="n">
        <v>4112978</v>
      </c>
      <c r="J2601" s="45" t="n">
        <v>63533</v>
      </c>
      <c r="K2601" s="45" t="n">
        <v>12002</v>
      </c>
      <c r="L2601" s="46" t="n"/>
      <c r="M2601" s="47" t="n"/>
      <c r="N2601" s="47" t="inlineStr">
        <is>
          <t>UCKZo4N0lVPccBkSiuyVh4yg</t>
        </is>
      </c>
      <c r="O2601" s="48" t="n">
        <v>42591.58333333334</v>
      </c>
      <c r="P2601" s="49" t="n">
        <v>42591</v>
      </c>
      <c r="Q2601" s="47" t="n">
        <v>667</v>
      </c>
      <c r="R2601" s="47" t="inlineStr">
        <is>
          <t>No Video ID yet</t>
        </is>
      </c>
      <c r="S2601" s="49" t="n"/>
      <c r="T2601" s="49" t="n"/>
      <c r="U2601" s="47" t="inlineStr">
        <is>
          <t>Today J dives into one of Toy Story's oldest mysteries: Why Does Woody Have a Holster? Seriously, where's the gun???</t>
        </is>
      </c>
      <c r="V2601" s="47">
        <f>IF(AND(P2601&gt;=Calendar!$K$2,P2601&lt;EDATE(Calendar!$K$2,1),OR(Calendar!$K$4="*",N2601=Calendar!$K$4)),P2601*100+COUNTIFS($P$6:$P$3267,P2601,$Q$6:$Q$3267,"&lt;="&amp;Q2601,$N$6:$N$3267,Calendar!$K$4),"")</f>
        <v/>
      </c>
      <c r="W2601" s="47">
        <f>IF(AND(B2601=Queue!$C$4,OR(Queue!$K$4="*",N2601=Queue!$K$4)),Q2601,"")</f>
        <v/>
      </c>
    </row>
    <row r="2602">
      <c r="A2602" s="38">
        <f>IF(M2602="","",HYPERLINK("https://www.youtube.com/watch?v="&amp;M2602,"▶"))</f>
        <v/>
      </c>
      <c r="B2602" s="39">
        <f>IF(C2602&lt;&gt;"",C2602,IF(P2602&lt;=IFERROR(INDEX(tblChannels[Watched Through],MATCH(N2602,tblChannels[Channel ID],0)),0),"Watched","Unwatched"))</f>
        <v/>
      </c>
      <c r="C2602" s="40" t="n"/>
      <c r="D2602" s="41" t="n"/>
      <c r="E2602" s="42" t="n">
        <v>42586.67013888889</v>
      </c>
      <c r="F2602" s="50" t="inlineStr">
        <is>
          <t>Super Carlin Brothers</t>
        </is>
      </c>
      <c r="G2602" t="inlineStr">
        <is>
          <t>Do Emotions Have Emotions?</t>
        </is>
      </c>
      <c r="H2602" s="44" t="n">
        <v>0.00337962962962963</v>
      </c>
      <c r="I2602" s="45" t="n">
        <v>3614213</v>
      </c>
      <c r="J2602" s="45" t="n">
        <v>45902</v>
      </c>
      <c r="K2602" s="45" t="n">
        <v>11236</v>
      </c>
      <c r="L2602" s="46" t="n"/>
      <c r="M2602" s="47" t="n"/>
      <c r="N2602" s="47" t="inlineStr">
        <is>
          <t>UCKZo4N0lVPccBkSiuyVh4yg</t>
        </is>
      </c>
      <c r="O2602" s="48" t="n">
        <v>42586.83680555555</v>
      </c>
      <c r="P2602" s="49" t="n">
        <v>42586</v>
      </c>
      <c r="Q2602" s="47" t="n">
        <v>666</v>
      </c>
      <c r="R2602" s="47" t="inlineStr">
        <is>
          <t>No Video ID yet</t>
        </is>
      </c>
      <c r="S2602" s="49" t="n"/>
      <c r="T2602" s="49" t="n"/>
      <c r="U2602" s="47" t="inlineStr">
        <is>
          <t>Today Ben tries to answer one of the most common questions we receive about Disney Pixar's Inside Out: Do the emotions have emotions?</t>
        </is>
      </c>
      <c r="V2602" s="47">
        <f>IF(AND(P2602&gt;=Calendar!$K$2,P2602&lt;EDATE(Calendar!$K$2,1),OR(Calendar!$K$4="*",N2602=Calendar!$K$4)),P2602*100+COUNTIFS($P$6:$P$3267,P2602,$Q$6:$Q$3267,"&lt;="&amp;Q2602,$N$6:$N$3267,Calendar!$K$4),"")</f>
        <v/>
      </c>
      <c r="W2602" s="47">
        <f>IF(AND(B2602=Queue!$C$4,OR(Queue!$K$4="*",N2602=Queue!$K$4)),Q2602,"")</f>
        <v/>
      </c>
    </row>
    <row r="2603">
      <c r="A2603" s="38">
        <f>IF(M2603="","",HYPERLINK("https://www.youtube.com/watch?v="&amp;M2603,"▶"))</f>
        <v/>
      </c>
      <c r="B2603" s="39">
        <f>IF(C2603&lt;&gt;"",C2603,IF(P2603&lt;=IFERROR(INDEX(tblChannels[Watched Through],MATCH(N2603,tblChannels[Channel ID],0)),0),"Watched","Unwatched"))</f>
        <v/>
      </c>
      <c r="C2603" s="40" t="n"/>
      <c r="D2603" s="41" t="n"/>
      <c r="E2603" s="42" t="n">
        <v>42584.80208333334</v>
      </c>
      <c r="F2603" s="50" t="inlineStr">
        <is>
          <t>Super Carlin Brothers</t>
        </is>
      </c>
      <c r="G2603" t="inlineStr">
        <is>
          <t>Pixar Theory: Cars Are Alive?</t>
        </is>
      </c>
      <c r="H2603" s="44" t="n">
        <v>0.006608796296296297</v>
      </c>
      <c r="I2603" s="45" t="n">
        <v>3555966</v>
      </c>
      <c r="J2603" s="45" t="n">
        <v>51664</v>
      </c>
      <c r="K2603" s="45" t="n">
        <v>11275</v>
      </c>
      <c r="L2603" s="46" t="n"/>
      <c r="M2603" s="47" t="n"/>
      <c r="N2603" s="47" t="inlineStr">
        <is>
          <t>UCKZo4N0lVPccBkSiuyVh4yg</t>
        </is>
      </c>
      <c r="O2603" s="48" t="n">
        <v>42584.96875</v>
      </c>
      <c r="P2603" s="49" t="n">
        <v>42584</v>
      </c>
      <c r="Q2603" s="47" t="n">
        <v>665</v>
      </c>
      <c r="R2603" s="47" t="inlineStr">
        <is>
          <t>No Video ID yet</t>
        </is>
      </c>
      <c r="S2603" s="49" t="n"/>
      <c r="T2603" s="49" t="n"/>
      <c r="U2603" s="47" t="inlineStr">
        <is>
          <t>Today J dives in the world of Disney Pixar's Cars and tries to figure out if they are alive and where they come from! Special thanks to these Patreon Supporters :: Ruthlyn, Scott Ripberger, Imogen Van der Meer, Niclas Lund, Hillary Bevens, Dave J, Evan Hill, Brandon Kaiser, The Noble Pine, Trisha, Lesley Koch, Alobear, Kira Bixby, Ryan Smith Thumbnail Art provided by Jake Parker ::</t>
        </is>
      </c>
      <c r="V2603" s="47">
        <f>IF(AND(P2603&gt;=Calendar!$K$2,P2603&lt;EDATE(Calendar!$K$2,1),OR(Calendar!$K$4="*",N2603=Calendar!$K$4)),P2603*100+COUNTIFS($P$6:$P$3267,P2603,$Q$6:$Q$3267,"&lt;="&amp;Q2603,$N$6:$N$3267,Calendar!$K$4),"")</f>
        <v/>
      </c>
      <c r="W2603" s="47">
        <f>IF(AND(B2603=Queue!$C$4,OR(Queue!$K$4="*",N2603=Queue!$K$4)),Q2603,"")</f>
        <v/>
      </c>
    </row>
    <row r="2604">
      <c r="A2604" s="38">
        <f>IF(M2604="","",HYPERLINK("https://www.youtube.com/watch?v="&amp;M2604,"▶"))</f>
        <v/>
      </c>
      <c r="B2604" s="39">
        <f>IF(C2604&lt;&gt;"",C2604,IF(P2604&lt;=IFERROR(INDEX(tblChannels[Watched Through],MATCH(N2604,tblChannels[Channel ID],0)),0),"Watched","Unwatched"))</f>
        <v/>
      </c>
      <c r="C2604" s="40" t="n"/>
      <c r="D2604" s="41" t="n"/>
      <c r="E2604" s="42" t="n">
        <v>42579.85138888889</v>
      </c>
      <c r="F2604" s="50" t="inlineStr">
        <is>
          <t>Super Carlin Brothers</t>
        </is>
      </c>
      <c r="G2604" t="inlineStr">
        <is>
          <t>Top 10 Saddest Moments in Pixar Movies</t>
        </is>
      </c>
      <c r="H2604" s="44" t="n">
        <v>0.007395833333333333</v>
      </c>
      <c r="I2604" s="45" t="n">
        <v>1471313</v>
      </c>
      <c r="J2604" s="45" t="n">
        <v>31420</v>
      </c>
      <c r="K2604" s="45" t="n">
        <v>8369</v>
      </c>
      <c r="L2604" s="46" t="n"/>
      <c r="M2604" s="47" t="n"/>
      <c r="N2604" s="47" t="inlineStr">
        <is>
          <t>UCKZo4N0lVPccBkSiuyVh4yg</t>
        </is>
      </c>
      <c r="O2604" s="48" t="n">
        <v>42580.01805555556</v>
      </c>
      <c r="P2604" s="49" t="n">
        <v>42579</v>
      </c>
      <c r="Q2604" s="47" t="n">
        <v>664</v>
      </c>
      <c r="R2604" s="47" t="inlineStr">
        <is>
          <t>No Video ID yet</t>
        </is>
      </c>
      <c r="S2604" s="49" t="n"/>
      <c r="T2604" s="49" t="n"/>
      <c r="U2604" s="47" t="inlineStr">
        <is>
          <t>Correction: Finding Dory isn't out.... On DVD*** (we didn't have actual movie footage to use) Hope everyone is in a good mood because today Ben is diving into the Top 10 Saddest moments in Pixar movies. Hope you brought your ice cream... What is your favorite sad moment in Pixar???</t>
        </is>
      </c>
      <c r="V2604" s="47">
        <f>IF(AND(P2604&gt;=Calendar!$K$2,P2604&lt;EDATE(Calendar!$K$2,1),OR(Calendar!$K$4="*",N2604=Calendar!$K$4)),P2604*100+COUNTIFS($P$6:$P$3267,P2604,$Q$6:$Q$3267,"&lt;="&amp;Q2604,$N$6:$N$3267,Calendar!$K$4),"")</f>
        <v/>
      </c>
      <c r="W2604" s="47">
        <f>IF(AND(B2604=Queue!$C$4,OR(Queue!$K$4="*",N2604=Queue!$K$4)),Q2604,"")</f>
        <v/>
      </c>
    </row>
    <row r="2605">
      <c r="A2605" s="38">
        <f>IF(M2605="","",HYPERLINK("https://www.youtube.com/watch?v="&amp;M2605,"▶"))</f>
        <v/>
      </c>
      <c r="B2605" s="39">
        <f>IF(C2605&lt;&gt;"",C2605,IF(P2605&lt;=IFERROR(INDEX(tblChannels[Watched Through],MATCH(N2605,tblChannels[Channel ID],0)),0),"Watched","Unwatched"))</f>
        <v/>
      </c>
      <c r="C2605" s="40" t="n"/>
      <c r="D2605" s="41" t="n"/>
      <c r="E2605" s="42" t="n">
        <v>42577.75208333333</v>
      </c>
      <c r="F2605" s="50" t="inlineStr">
        <is>
          <t>Super Carlin Brothers</t>
        </is>
      </c>
      <c r="G2605" t="inlineStr">
        <is>
          <t>Ilvermorny Houses Explained</t>
        </is>
      </c>
      <c r="H2605" s="44" t="n">
        <v>0.007199074074074074</v>
      </c>
      <c r="I2605" s="45" t="n">
        <v>2971653</v>
      </c>
      <c r="J2605" s="45" t="n">
        <v>60980</v>
      </c>
      <c r="K2605" s="45" t="n">
        <v>26950</v>
      </c>
      <c r="L2605" s="46" t="n"/>
      <c r="M2605" s="47" t="n"/>
      <c r="N2605" s="47" t="inlineStr">
        <is>
          <t>UCKZo4N0lVPccBkSiuyVh4yg</t>
        </is>
      </c>
      <c r="O2605" s="48" t="n">
        <v>42577.91875</v>
      </c>
      <c r="P2605" s="49" t="n">
        <v>42577</v>
      </c>
      <c r="Q2605" s="47" t="n">
        <v>663</v>
      </c>
      <c r="R2605" s="47" t="inlineStr">
        <is>
          <t>No Video ID yet</t>
        </is>
      </c>
      <c r="S2605" s="49" t="n"/>
      <c r="T2605" s="49" t="n"/>
      <c r="U2605" s="47" t="inlineStr">
        <is>
          <t>Today J dives into the new world of Harry Potter: AMERICA and discuses the backstory of the American School of Witchcraft and Wizardry: Ilvermorny. Which House are you in? Ilvermorny History :: Ilvermorny House quiz ::</t>
        </is>
      </c>
      <c r="V2605" s="47">
        <f>IF(AND(P2605&gt;=Calendar!$K$2,P2605&lt;EDATE(Calendar!$K$2,1),OR(Calendar!$K$4="*",N2605=Calendar!$K$4)),P2605*100+COUNTIFS($P$6:$P$3267,P2605,$Q$6:$Q$3267,"&lt;="&amp;Q2605,$N$6:$N$3267,Calendar!$K$4),"")</f>
        <v/>
      </c>
      <c r="W2605" s="47">
        <f>IF(AND(B2605=Queue!$C$4,OR(Queue!$K$4="*",N2605=Queue!$K$4)),Q2605,"")</f>
        <v/>
      </c>
    </row>
    <row r="2606">
      <c r="A2606" s="38">
        <f>IF(M2606="","",HYPERLINK("https://www.youtube.com/watch?v="&amp;M2606,"▶"))</f>
        <v/>
      </c>
      <c r="B2606" s="39">
        <f>IF(C2606&lt;&gt;"",C2606,IF(P2606&lt;=IFERROR(INDEX(tblChannels[Watched Through],MATCH(N2606,tblChannels[Channel ID],0)),0),"Watched","Unwatched"))</f>
        <v/>
      </c>
      <c r="C2606" s="40" t="n"/>
      <c r="D2606" s="41" t="n"/>
      <c r="E2606" s="42" t="n">
        <v>42572.71736111111</v>
      </c>
      <c r="F2606" s="50" t="inlineStr">
        <is>
          <t>Super Carlin Brothers</t>
        </is>
      </c>
      <c r="G2606" t="inlineStr">
        <is>
          <t>Super Carlin Brothers Channel Trailer</t>
        </is>
      </c>
      <c r="H2606" s="44" t="n">
        <v>0.001342592592592592</v>
      </c>
      <c r="I2606" s="45" t="n">
        <v>728549</v>
      </c>
      <c r="J2606" s="45" t="n">
        <v>11809</v>
      </c>
      <c r="K2606" s="45" t="n">
        <v>1859</v>
      </c>
      <c r="L2606" s="46" t="n"/>
      <c r="M2606" s="47" t="n"/>
      <c r="N2606" s="47" t="inlineStr">
        <is>
          <t>UCKZo4N0lVPccBkSiuyVh4yg</t>
        </is>
      </c>
      <c r="O2606" s="48" t="n">
        <v>42572.88402777778</v>
      </c>
      <c r="P2606" s="49" t="n">
        <v>42572</v>
      </c>
      <c r="Q2606" s="47" t="n">
        <v>662</v>
      </c>
      <c r="R2606" s="47" t="inlineStr">
        <is>
          <t>No Video ID yet</t>
        </is>
      </c>
      <c r="S2606" s="49" t="n"/>
      <c r="T2606" s="49" t="n"/>
      <c r="U2606" s="47" t="inlineStr">
        <is>
          <t>We are J and B aka the Super Carlin Brothers! We love Pixar, Disney, Marvel, Star Wars, Harry Potter and lots of other stuff. We upload new videos every Tuesday and Thursday! Hope to see you in the towel section! =D</t>
        </is>
      </c>
      <c r="V2606" s="47">
        <f>IF(AND(P2606&gt;=Calendar!$K$2,P2606&lt;EDATE(Calendar!$K$2,1),OR(Calendar!$K$4="*",N2606=Calendar!$K$4)),P2606*100+COUNTIFS($P$6:$P$3267,P2606,$Q$6:$Q$3267,"&lt;="&amp;Q2606,$N$6:$N$3267,Calendar!$K$4),"")</f>
        <v/>
      </c>
      <c r="W2606" s="47">
        <f>IF(AND(B2606=Queue!$C$4,OR(Queue!$K$4="*",N2606=Queue!$K$4)),Q2606,"")</f>
        <v/>
      </c>
    </row>
    <row r="2607">
      <c r="A2607" s="38">
        <f>IF(M2607="","",HYPERLINK("https://www.youtube.com/watch?v="&amp;M2607,"▶"))</f>
        <v/>
      </c>
      <c r="B2607" s="39">
        <f>IF(C2607&lt;&gt;"",C2607,IF(P2607&lt;=IFERROR(INDEX(tblChannels[Watched Through],MATCH(N2607,tblChannels[Channel ID],0)),0),"Watched","Unwatched"))</f>
        <v/>
      </c>
      <c r="C2607" s="40" t="n"/>
      <c r="D2607" s="41" t="n"/>
      <c r="E2607" s="42" t="n">
        <v>42570.78611111111</v>
      </c>
      <c r="F2607" s="50" t="inlineStr">
        <is>
          <t>Super Carlin Brothers</t>
        </is>
      </c>
      <c r="G2607" t="inlineStr">
        <is>
          <t>A Message For Pokemon GO Haters</t>
        </is>
      </c>
      <c r="H2607" s="44" t="n">
        <v>0.00775462962962963</v>
      </c>
      <c r="I2607" s="45" t="n">
        <v>362265</v>
      </c>
      <c r="J2607" s="45" t="n">
        <v>16825</v>
      </c>
      <c r="K2607" s="45" t="n">
        <v>11163</v>
      </c>
      <c r="L2607" s="46" t="n"/>
      <c r="M2607" s="47" t="n"/>
      <c r="N2607" s="47" t="inlineStr">
        <is>
          <t>UCKZo4N0lVPccBkSiuyVh4yg</t>
        </is>
      </c>
      <c r="O2607" s="48" t="n">
        <v>42570.95277777778</v>
      </c>
      <c r="P2607" s="49" t="n">
        <v>42570</v>
      </c>
      <c r="Q2607" s="47" t="n">
        <v>661</v>
      </c>
      <c r="R2607" s="47" t="inlineStr">
        <is>
          <t>No Video ID yet</t>
        </is>
      </c>
      <c r="S2607" s="49" t="n"/>
      <c r="T2607" s="49" t="n"/>
      <c r="U2607" s="47" t="inlineStr">
        <is>
          <t>J discusses his views on the haters of Nintendo's new smash hit global phenomenon: Pokemon GO! What team are you on?!!? #MysticMight</t>
        </is>
      </c>
      <c r="V2607" s="47">
        <f>IF(AND(P2607&gt;=Calendar!$K$2,P2607&lt;EDATE(Calendar!$K$2,1),OR(Calendar!$K$4="*",N2607=Calendar!$K$4)),P2607*100+COUNTIFS($P$6:$P$3267,P2607,$Q$6:$Q$3267,"&lt;="&amp;Q2607,$N$6:$N$3267,Calendar!$K$4),"")</f>
        <v/>
      </c>
      <c r="W2607" s="47">
        <f>IF(AND(B2607=Queue!$C$4,OR(Queue!$K$4="*",N2607=Queue!$K$4)),Q2607,"")</f>
        <v/>
      </c>
    </row>
    <row r="2608">
      <c r="A2608" s="38">
        <f>IF(M2608="","",HYPERLINK("https://www.youtube.com/watch?v="&amp;M2608,"▶"))</f>
        <v/>
      </c>
      <c r="B2608" s="39">
        <f>IF(C2608&lt;&gt;"",C2608,IF(P2608&lt;=IFERROR(INDEX(tblChannels[Watched Through],MATCH(N2608,tblChannels[Channel ID],0)),0),"Watched","Unwatched"))</f>
        <v/>
      </c>
      <c r="C2608" s="40" t="n"/>
      <c r="D2608" s="41" t="n"/>
      <c r="E2608" s="42" t="n">
        <v>42567.86319444444</v>
      </c>
      <c r="F2608" s="52" t="inlineStr">
        <is>
          <t>Super Carlin Gaming</t>
        </is>
      </c>
      <c r="G2608" t="inlineStr">
        <is>
          <t>Knights of the Old Republic #30 - LOL BYE BASTILICIA</t>
        </is>
      </c>
      <c r="H2608" s="44" t="n">
        <v>0.04096064814814815</v>
      </c>
      <c r="I2608" s="45" t="n">
        <v>5403</v>
      </c>
      <c r="J2608" s="45" t="n">
        <v>79</v>
      </c>
      <c r="K2608" s="45" t="n">
        <v>56</v>
      </c>
      <c r="L2608" s="46" t="n"/>
      <c r="M2608" s="47" t="n"/>
      <c r="N2608" s="47" t="inlineStr">
        <is>
          <t>UCor_9jRnNNZVzTuQ92PKsaQ</t>
        </is>
      </c>
      <c r="O2608" s="48" t="n">
        <v>42568.02986111111</v>
      </c>
      <c r="P2608" s="49" t="n">
        <v>42567</v>
      </c>
      <c r="Q2608" s="47" t="n">
        <v>660</v>
      </c>
      <c r="R2608" s="47" t="inlineStr">
        <is>
          <t>No Video ID yet</t>
        </is>
      </c>
      <c r="S2608" s="49" t="n"/>
      <c r="T2608" s="49" t="n"/>
      <c r="U2608" s="47" t="inlineStr">
        <is>
          <t>Oh, hello Malak... Guess what? as this game wraps up, we are working diligently on new content! stay tuned, great things are coming to SCG</t>
        </is>
      </c>
      <c r="V2608" s="47">
        <f>IF(AND(P2608&gt;=Calendar!$K$2,P2608&lt;EDATE(Calendar!$K$2,1),OR(Calendar!$K$4="*",N2608=Calendar!$K$4)),P2608*100+COUNTIFS($P$6:$P$3267,P2608,$Q$6:$Q$3267,"&lt;="&amp;Q2608,$N$6:$N$3267,Calendar!$K$4),"")</f>
        <v/>
      </c>
      <c r="W2608" s="47">
        <f>IF(AND(B2608=Queue!$C$4,OR(Queue!$K$4="*",N2608=Queue!$K$4)),Q2608,"")</f>
        <v/>
      </c>
    </row>
    <row r="2609">
      <c r="A2609" s="38">
        <f>IF(M2609="","",HYPERLINK("https://www.youtube.com/watch?v="&amp;M2609,"▶"))</f>
        <v/>
      </c>
      <c r="B2609" s="39">
        <f>IF(C2609&lt;&gt;"",C2609,IF(P2609&lt;=IFERROR(INDEX(tblChannels[Watched Through],MATCH(N2609,tblChannels[Channel ID],0)),0),"Watched","Unwatched"))</f>
        <v/>
      </c>
      <c r="C2609" s="40" t="n"/>
      <c r="D2609" s="41" t="n"/>
      <c r="E2609" s="42" t="n">
        <v>42565.79375</v>
      </c>
      <c r="F2609" s="50" t="inlineStr">
        <is>
          <t>Super Carlin Brothers</t>
        </is>
      </c>
      <c r="G2609" t="inlineStr">
        <is>
          <t>Top 5 Potential Villains for The Incredibles 2</t>
        </is>
      </c>
      <c r="H2609" s="44" t="n">
        <v>0.007048611111111111</v>
      </c>
      <c r="I2609" s="45" t="n">
        <v>1403576</v>
      </c>
      <c r="J2609" s="45" t="n">
        <v>27893</v>
      </c>
      <c r="K2609" s="45" t="n">
        <v>5593</v>
      </c>
      <c r="L2609" s="46" t="n"/>
      <c r="M2609" s="47" t="n"/>
      <c r="N2609" s="47" t="inlineStr">
        <is>
          <t>UCKZo4N0lVPccBkSiuyVh4yg</t>
        </is>
      </c>
      <c r="O2609" s="48" t="n">
        <v>42565.96041666667</v>
      </c>
      <c r="P2609" s="49" t="n">
        <v>42565</v>
      </c>
      <c r="Q2609" s="47" t="n">
        <v>659</v>
      </c>
      <c r="R2609" s="47" t="inlineStr">
        <is>
          <t>No Video ID yet</t>
        </is>
      </c>
      <c r="S2609" s="49" t="n"/>
      <c r="T2609" s="49" t="n"/>
      <c r="U2609" s="47" t="inlineStr">
        <is>
          <t>Today Ben looks 1,072 days into the future and speculates about the identity of the villain in Disney Pixar's The Incredibles 2! Who do you think it will be??</t>
        </is>
      </c>
      <c r="V2609" s="47">
        <f>IF(AND(P2609&gt;=Calendar!$K$2,P2609&lt;EDATE(Calendar!$K$2,1),OR(Calendar!$K$4="*",N2609=Calendar!$K$4)),P2609*100+COUNTIFS($P$6:$P$3267,P2609,$Q$6:$Q$3267,"&lt;="&amp;Q2609,$N$6:$N$3267,Calendar!$K$4),"")</f>
        <v/>
      </c>
      <c r="W2609" s="47">
        <f>IF(AND(B2609=Queue!$C$4,OR(Queue!$K$4="*",N2609=Queue!$K$4)),Q2609,"")</f>
        <v/>
      </c>
    </row>
    <row r="2610">
      <c r="A2610" s="38">
        <f>IF(M2610="","",HYPERLINK("https://www.youtube.com/watch?v="&amp;M2610,"▶"))</f>
        <v/>
      </c>
      <c r="B2610" s="39">
        <f>IF(C2610&lt;&gt;"",C2610,IF(P2610&lt;=IFERROR(INDEX(tblChannels[Watched Through],MATCH(N2610,tblChannels[Channel ID],0)),0),"Watched","Unwatched"))</f>
        <v/>
      </c>
      <c r="C2610" s="40" t="n"/>
      <c r="D2610" s="41" t="n"/>
      <c r="E2610" s="42" t="n">
        <v>42563.7875</v>
      </c>
      <c r="F2610" s="50" t="inlineStr">
        <is>
          <t>Super Carlin Brothers</t>
        </is>
      </c>
      <c r="G2610" t="inlineStr">
        <is>
          <t>Top 10 Reasons Syndrome Is The Best Pixar Villain Ever</t>
        </is>
      </c>
      <c r="H2610" s="44" t="n">
        <v>0.007627314814814815</v>
      </c>
      <c r="I2610" s="45" t="n">
        <v>1099660</v>
      </c>
      <c r="J2610" s="45" t="n">
        <v>26094</v>
      </c>
      <c r="K2610" s="45" t="n">
        <v>3265</v>
      </c>
      <c r="L2610" s="46" t="n"/>
      <c r="M2610" s="47" t="n"/>
      <c r="N2610" s="47" t="inlineStr">
        <is>
          <t>UCKZo4N0lVPccBkSiuyVh4yg</t>
        </is>
      </c>
      <c r="O2610" s="48" t="n">
        <v>42563.95416666667</v>
      </c>
      <c r="P2610" s="49" t="n">
        <v>42563</v>
      </c>
      <c r="Q2610" s="47" t="n">
        <v>658</v>
      </c>
      <c r="R2610" s="47" t="inlineStr">
        <is>
          <t>No Video ID yet</t>
        </is>
      </c>
      <c r="S2610" s="49" t="n"/>
      <c r="T2610" s="49" t="n"/>
      <c r="U2610" s="47" t="inlineStr">
        <is>
          <t>Today J discusses why Syndrome from Disney Pixar's The Incredibles is the best Pixar Villain of all time. Who do you think is the best Villain? John Donne Poem - No Man Is An Island ::</t>
        </is>
      </c>
      <c r="V2610" s="47">
        <f>IF(AND(P2610&gt;=Calendar!$K$2,P2610&lt;EDATE(Calendar!$K$2,1),OR(Calendar!$K$4="*",N2610=Calendar!$K$4)),P2610*100+COUNTIFS($P$6:$P$3267,P2610,$Q$6:$Q$3267,"&lt;="&amp;Q2610,$N$6:$N$3267,Calendar!$K$4),"")</f>
        <v/>
      </c>
      <c r="W2610" s="47">
        <f>IF(AND(B2610=Queue!$C$4,OR(Queue!$K$4="*",N2610=Queue!$K$4)),Q2610,"")</f>
        <v/>
      </c>
    </row>
    <row r="2611">
      <c r="A2611" s="38">
        <f>IF(M2611="","",HYPERLINK("https://www.youtube.com/watch?v="&amp;M2611,"▶"))</f>
        <v/>
      </c>
      <c r="B2611" s="39">
        <f>IF(C2611&lt;&gt;"",C2611,IF(P2611&lt;=IFERROR(INDEX(tblChannels[Watched Through],MATCH(N2611,tblChannels[Channel ID],0)),0),"Watched","Unwatched"))</f>
        <v/>
      </c>
      <c r="C2611" s="40" t="n"/>
      <c r="D2611" s="41" t="n"/>
      <c r="E2611" s="42" t="n">
        <v>42560.59722222222</v>
      </c>
      <c r="F2611" s="52" t="inlineStr">
        <is>
          <t>Super Carlin Gaming</t>
        </is>
      </c>
      <c r="G2611" t="inlineStr">
        <is>
          <t>Knights of the Old Republic #29 - TO WHERE?!</t>
        </is>
      </c>
      <c r="H2611" s="44" t="n">
        <v>0.02895833333333333</v>
      </c>
      <c r="I2611" s="45" t="n">
        <v>1614</v>
      </c>
      <c r="J2611" s="45" t="n">
        <v>42</v>
      </c>
      <c r="K2611" s="45" t="n">
        <v>18</v>
      </c>
      <c r="L2611" s="46" t="n"/>
      <c r="M2611" s="47" t="n"/>
      <c r="N2611" s="47" t="inlineStr">
        <is>
          <t>UCor_9jRnNNZVzTuQ92PKsaQ</t>
        </is>
      </c>
      <c r="O2611" s="48" t="n">
        <v>42560.76388888889</v>
      </c>
      <c r="P2611" s="49" t="n">
        <v>42560</v>
      </c>
      <c r="Q2611" s="47" t="n">
        <v>657</v>
      </c>
      <c r="R2611" s="47" t="inlineStr">
        <is>
          <t>No Video ID yet</t>
        </is>
      </c>
      <c r="S2611" s="49" t="n"/>
      <c r="T2611" s="49" t="n"/>
      <c r="U2611" s="47" t="inlineStr">
        <is>
          <t>TODAY WE TAKE A TRIP TO YAVIN ONLY TO BE SO RUUUUDELY INTERRUPTED</t>
        </is>
      </c>
      <c r="V2611" s="47">
        <f>IF(AND(P2611&gt;=Calendar!$K$2,P2611&lt;EDATE(Calendar!$K$2,1),OR(Calendar!$K$4="*",N2611=Calendar!$K$4)),P2611*100+COUNTIFS($P$6:$P$3267,P2611,$Q$6:$Q$3267,"&lt;="&amp;Q2611,$N$6:$N$3267,Calendar!$K$4),"")</f>
        <v/>
      </c>
      <c r="W2611" s="47">
        <f>IF(AND(B2611=Queue!$C$4,OR(Queue!$K$4="*",N2611=Queue!$K$4)),Q2611,"")</f>
        <v/>
      </c>
    </row>
    <row r="2612">
      <c r="A2612" s="38">
        <f>IF(M2612="","",HYPERLINK("https://www.youtube.com/watch?v="&amp;M2612,"▶"))</f>
        <v/>
      </c>
      <c r="B2612" s="39">
        <f>IF(C2612&lt;&gt;"",C2612,IF(P2612&lt;=IFERROR(INDEX(tblChannels[Watched Through],MATCH(N2612,tblChannels[Channel ID],0)),0),"Watched","Unwatched"))</f>
        <v/>
      </c>
      <c r="C2612" s="40" t="n"/>
      <c r="D2612" s="41" t="n"/>
      <c r="E2612" s="42" t="n">
        <v>42559.50347222222</v>
      </c>
      <c r="F2612" s="50" t="inlineStr">
        <is>
          <t>Super Carlin Brothers</t>
        </is>
      </c>
      <c r="G2612" t="inlineStr">
        <is>
          <t>Should Dory Be A Disney Princess?</t>
        </is>
      </c>
      <c r="H2612" s="44" t="n">
        <v>0.005694444444444445</v>
      </c>
      <c r="I2612" s="45" t="n">
        <v>790642</v>
      </c>
      <c r="J2612" s="45" t="n">
        <v>19999</v>
      </c>
      <c r="K2612" s="45" t="n">
        <v>6192</v>
      </c>
      <c r="L2612" s="46" t="n"/>
      <c r="M2612" s="47" t="n"/>
      <c r="N2612" s="47" t="inlineStr">
        <is>
          <t>UCKZo4N0lVPccBkSiuyVh4yg</t>
        </is>
      </c>
      <c r="O2612" s="48" t="n">
        <v>42559.67013888889</v>
      </c>
      <c r="P2612" s="49" t="n">
        <v>42559</v>
      </c>
      <c r="Q2612" s="47" t="n">
        <v>656</v>
      </c>
      <c r="R2612" s="47" t="inlineStr">
        <is>
          <t>No Video ID yet</t>
        </is>
      </c>
      <c r="S2612" s="49" t="n"/>
      <c r="T2612" s="49" t="n"/>
      <c r="U2612" s="47" t="inlineStr">
        <is>
          <t>Download Best Fiends for FREE :: Thanks to Best Fiends for sponsoring this video! TWEET THIS :: @TheEllenShow Help us make Dory a Princess! #DoryIsAPrincess #Dory4Princess2016 Do you think Dory should be the next Disney Princess?</t>
        </is>
      </c>
      <c r="V2612" s="47">
        <f>IF(AND(P2612&gt;=Calendar!$K$2,P2612&lt;EDATE(Calendar!$K$2,1),OR(Calendar!$K$4="*",N2612=Calendar!$K$4)),P2612*100+COUNTIFS($P$6:$P$3267,P2612,$Q$6:$Q$3267,"&lt;="&amp;Q2612,$N$6:$N$3267,Calendar!$K$4),"")</f>
        <v/>
      </c>
      <c r="W2612" s="47">
        <f>IF(AND(B2612=Queue!$C$4,OR(Queue!$K$4="*",N2612=Queue!$K$4)),Q2612,"")</f>
        <v/>
      </c>
    </row>
    <row r="2613">
      <c r="A2613" s="38">
        <f>IF(M2613="","",HYPERLINK("https://www.youtube.com/watch?v="&amp;M2613,"▶"))</f>
        <v/>
      </c>
      <c r="B2613" s="39">
        <f>IF(C2613&lt;&gt;"",C2613,IF(P2613&lt;=IFERROR(INDEX(tblChannels[Watched Through],MATCH(N2613,tblChannels[Channel ID],0)),0),"Watched","Unwatched"))</f>
        <v/>
      </c>
      <c r="C2613" s="40" t="n"/>
      <c r="D2613" s="41" t="n"/>
      <c r="E2613" s="42" t="n">
        <v>42556.87291666667</v>
      </c>
      <c r="F2613" s="50" t="inlineStr">
        <is>
          <t>Super Carlin Brothers</t>
        </is>
      </c>
      <c r="G2613" t="inlineStr">
        <is>
          <t>Are Hamburgers Google Autofill</t>
        </is>
      </c>
      <c r="H2613" s="44" t="n">
        <v>0.005173611111111111</v>
      </c>
      <c r="I2613" s="45" t="n">
        <v>325420</v>
      </c>
      <c r="J2613" s="45" t="n">
        <v>9337</v>
      </c>
      <c r="K2613" s="45" t="n">
        <v>3066</v>
      </c>
      <c r="L2613" s="46" t="n"/>
      <c r="M2613" s="47" t="n"/>
      <c r="N2613" s="47" t="inlineStr">
        <is>
          <t>UCKZo4N0lVPccBkSiuyVh4yg</t>
        </is>
      </c>
      <c r="O2613" s="48" t="n">
        <v>42557.03958333333</v>
      </c>
      <c r="P2613" s="49" t="n">
        <v>42556</v>
      </c>
      <c r="Q2613" s="47" t="n">
        <v>655</v>
      </c>
      <c r="R2613" s="47" t="inlineStr">
        <is>
          <t>No Video ID yet</t>
        </is>
      </c>
      <c r="S2613" s="49" t="n"/>
      <c r="T2613" s="49" t="n"/>
      <c r="U2613" s="47" t="inlineStr">
        <is>
          <t>Happy 4th of July! er... Day After 4th of July! Today J answers all of Google's questions about what Hamburgers are and where they are from! Special thanks to these Patreon Supporters :: Hillary Bevens, Dave J, Evan Hill, Brandon Kaiser, The Noble Pine, Trisha, Lesley Koch, Alobear, Kira Bixby, Ryan Smith</t>
        </is>
      </c>
      <c r="V2613" s="47">
        <f>IF(AND(P2613&gt;=Calendar!$K$2,P2613&lt;EDATE(Calendar!$K$2,1),OR(Calendar!$K$4="*",N2613=Calendar!$K$4)),P2613*100+COUNTIFS($P$6:$P$3267,P2613,$Q$6:$Q$3267,"&lt;="&amp;Q2613,$N$6:$N$3267,Calendar!$K$4),"")</f>
        <v/>
      </c>
      <c r="W2613" s="47">
        <f>IF(AND(B2613=Queue!$C$4,OR(Queue!$K$4="*",N2613=Queue!$K$4)),Q2613,"")</f>
        <v/>
      </c>
    </row>
    <row r="2614">
      <c r="A2614" s="38">
        <f>IF(M2614="","",HYPERLINK("https://www.youtube.com/watch?v="&amp;M2614,"▶"))</f>
        <v/>
      </c>
      <c r="B2614" s="39">
        <f>IF(C2614&lt;&gt;"",C2614,IF(P2614&lt;=IFERROR(INDEX(tblChannels[Watched Through],MATCH(N2614,tblChannels[Channel ID],0)),0),"Watched","Unwatched"))</f>
        <v/>
      </c>
      <c r="C2614" s="40" t="n"/>
      <c r="D2614" s="41" t="n"/>
      <c r="E2614" s="42" t="n">
        <v>42555.975</v>
      </c>
      <c r="F2614" s="52" t="inlineStr">
        <is>
          <t>Super Carlin Gaming</t>
        </is>
      </c>
      <c r="G2614" t="inlineStr">
        <is>
          <t>Knights of the Old Republic #28 - Dragons and Star Wars</t>
        </is>
      </c>
      <c r="H2614" s="44" t="n">
        <v>0.01993055555555556</v>
      </c>
      <c r="I2614" s="45" t="n">
        <v>1756</v>
      </c>
      <c r="J2614" s="45" t="n">
        <v>54</v>
      </c>
      <c r="K2614" s="45" t="n">
        <v>15</v>
      </c>
      <c r="L2614" s="46" t="n"/>
      <c r="M2614" s="47" t="n"/>
      <c r="N2614" s="47" t="inlineStr">
        <is>
          <t>UCor_9jRnNNZVzTuQ92PKsaQ</t>
        </is>
      </c>
      <c r="O2614" s="48" t="n">
        <v>42556.14166666667</v>
      </c>
      <c r="P2614" s="49" t="n">
        <v>42555</v>
      </c>
      <c r="Q2614" s="47" t="n">
        <v>654</v>
      </c>
      <c r="R2614" s="47" t="inlineStr">
        <is>
          <t>No Video ID yet</t>
        </is>
      </c>
      <c r="S2614" s="49" t="n"/>
      <c r="T2614" s="49" t="n"/>
      <c r="U2614" s="47" t="inlineStr">
        <is>
          <t>Today we hunt dragons. literally. is that unusual? i think it is. i'm not sure. it definitely feels like it is.</t>
        </is>
      </c>
      <c r="V2614" s="47">
        <f>IF(AND(P2614&gt;=Calendar!$K$2,P2614&lt;EDATE(Calendar!$K$2,1),OR(Calendar!$K$4="*",N2614=Calendar!$K$4)),P2614*100+COUNTIFS($P$6:$P$3267,P2614,$Q$6:$Q$3267,"&lt;="&amp;Q2614,$N$6:$N$3267,Calendar!$K$4),"")</f>
        <v/>
      </c>
      <c r="W2614" s="47">
        <f>IF(AND(B2614=Queue!$C$4,OR(Queue!$K$4="*",N2614=Queue!$K$4)),Q2614,"")</f>
        <v/>
      </c>
    </row>
    <row r="2615">
      <c r="A2615" s="38">
        <f>IF(M2615="","",HYPERLINK("https://www.youtube.com/watch?v="&amp;M2615,"▶"))</f>
        <v/>
      </c>
      <c r="B2615" s="39">
        <f>IF(C2615&lt;&gt;"",C2615,IF(P2615&lt;=IFERROR(INDEX(tblChannels[Watched Through],MATCH(N2615,tblChannels[Channel ID],0)),0),"Watched","Unwatched"))</f>
        <v/>
      </c>
      <c r="C2615" s="40" t="n"/>
      <c r="D2615" s="41" t="n"/>
      <c r="E2615" s="42" t="n">
        <v>42551.77152777778</v>
      </c>
      <c r="F2615" s="50" t="inlineStr">
        <is>
          <t>Super Carlin Brothers</t>
        </is>
      </c>
      <c r="G2615" t="inlineStr">
        <is>
          <t>Dory's Memory Loss Explained</t>
        </is>
      </c>
      <c r="H2615" s="44" t="n">
        <v>0.005115740740740741</v>
      </c>
      <c r="I2615" s="45" t="n">
        <v>1455399</v>
      </c>
      <c r="J2615" s="45" t="n">
        <v>33218</v>
      </c>
      <c r="K2615" s="45" t="n">
        <v>4300</v>
      </c>
      <c r="L2615" s="46" t="n"/>
      <c r="M2615" s="47" t="n"/>
      <c r="N2615" s="47" t="inlineStr">
        <is>
          <t>UCKZo4N0lVPccBkSiuyVh4yg</t>
        </is>
      </c>
      <c r="O2615" s="48" t="n">
        <v>42551.93819444445</v>
      </c>
      <c r="P2615" s="49" t="n">
        <v>42551</v>
      </c>
      <c r="Q2615" s="47" t="n">
        <v>653</v>
      </c>
      <c r="R2615" s="47" t="inlineStr">
        <is>
          <t>No Video ID yet</t>
        </is>
      </c>
      <c r="S2615" s="49" t="n"/>
      <c r="T2615" s="49" t="n"/>
      <c r="U2615" s="47" t="inlineStr">
        <is>
          <t>Today Ben discusses Disney Pixar's Finding Dory and how fish breeding could explain Dory's Short Term Memory Loss. Enter the Dory Plush Giveaway Contest here ::</t>
        </is>
      </c>
      <c r="V2615" s="47">
        <f>IF(AND(P2615&gt;=Calendar!$K$2,P2615&lt;EDATE(Calendar!$K$2,1),OR(Calendar!$K$4="*",N2615=Calendar!$K$4)),P2615*100+COUNTIFS($P$6:$P$3267,P2615,$Q$6:$Q$3267,"&lt;="&amp;Q2615,$N$6:$N$3267,Calendar!$K$4),"")</f>
        <v/>
      </c>
      <c r="W2615" s="47">
        <f>IF(AND(B2615=Queue!$C$4,OR(Queue!$K$4="*",N2615=Queue!$K$4)),Q2615,"")</f>
        <v/>
      </c>
    </row>
    <row r="2616">
      <c r="A2616" s="38">
        <f>IF(M2616="","",HYPERLINK("https://www.youtube.com/watch?v="&amp;M2616,"▶"))</f>
        <v/>
      </c>
      <c r="B2616" s="39">
        <f>IF(C2616&lt;&gt;"",C2616,IF(P2616&lt;=IFERROR(INDEX(tblChannels[Watched Through],MATCH(N2616,tblChannels[Channel ID],0)),0),"Watched","Unwatched"))</f>
        <v/>
      </c>
      <c r="C2616" s="40" t="n"/>
      <c r="D2616" s="41" t="n"/>
      <c r="E2616" s="42" t="n">
        <v>42549.84930555556</v>
      </c>
      <c r="F2616" s="50" t="inlineStr">
        <is>
          <t>Super Carlin Brothers</t>
        </is>
      </c>
      <c r="G2616" t="inlineStr">
        <is>
          <t>Pixar Theory: Darla's Origin</t>
        </is>
      </c>
      <c r="H2616" s="44" t="n">
        <v>0.006168981481481482</v>
      </c>
      <c r="I2616" s="45" t="n">
        <v>3906758</v>
      </c>
      <c r="J2616" s="45" t="n">
        <v>45691</v>
      </c>
      <c r="K2616" s="45" t="n">
        <v>6232</v>
      </c>
      <c r="L2616" s="46" t="n"/>
      <c r="M2616" s="47" t="n"/>
      <c r="N2616" s="47" t="inlineStr">
        <is>
          <t>UCKZo4N0lVPccBkSiuyVh4yg</t>
        </is>
      </c>
      <c r="O2616" s="48" t="n">
        <v>42550.01597222222</v>
      </c>
      <c r="P2616" s="49" t="n">
        <v>42549</v>
      </c>
      <c r="Q2616" s="47" t="n">
        <v>652</v>
      </c>
      <c r="R2616" s="47" t="inlineStr">
        <is>
          <t>No Video ID yet</t>
        </is>
      </c>
      <c r="S2616" s="49" t="n"/>
      <c r="T2616" s="49" t="n"/>
      <c r="U2616" s="47" t="inlineStr">
        <is>
          <t>Now Conspiring Podcast :: Today J examines one of Finding Nemo's most infamous characters: Darla. She made a surprise and brief appearance in Disney Pixar's Finding Dory and we are determined to find out how and why that happened!</t>
        </is>
      </c>
      <c r="V2616" s="47">
        <f>IF(AND(P2616&gt;=Calendar!$K$2,P2616&lt;EDATE(Calendar!$K$2,1),OR(Calendar!$K$4="*",N2616=Calendar!$K$4)),P2616*100+COUNTIFS($P$6:$P$3267,P2616,$Q$6:$Q$3267,"&lt;="&amp;Q2616,$N$6:$N$3267,Calendar!$K$4),"")</f>
        <v/>
      </c>
      <c r="W2616" s="47">
        <f>IF(AND(B2616=Queue!$C$4,OR(Queue!$K$4="*",N2616=Queue!$K$4)),Q2616,"")</f>
        <v/>
      </c>
    </row>
    <row r="2617">
      <c r="A2617" s="38">
        <f>IF(M2617="","",HYPERLINK("https://www.youtube.com/watch?v="&amp;M2617,"▶"))</f>
        <v/>
      </c>
      <c r="B2617" s="39">
        <f>IF(C2617&lt;&gt;"",C2617,IF(P2617&lt;=IFERROR(INDEX(tblChannels[Watched Through],MATCH(N2617,tblChannels[Channel ID],0)),0),"Watched","Unwatched"))</f>
        <v/>
      </c>
      <c r="C2617" s="40" t="n"/>
      <c r="D2617" s="41" t="n"/>
      <c r="E2617" s="42" t="n">
        <v>42544.625</v>
      </c>
      <c r="F2617" s="50" t="inlineStr">
        <is>
          <t>Super Carlin Brothers</t>
        </is>
      </c>
      <c r="G2617" t="inlineStr">
        <is>
          <t>Can Toys DIE?!</t>
        </is>
      </c>
      <c r="H2617" s="44" t="n">
        <v>0.004270833333333333</v>
      </c>
      <c r="I2617" s="45" t="n">
        <v>1383420</v>
      </c>
      <c r="J2617" s="45" t="n">
        <v>26569</v>
      </c>
      <c r="K2617" s="45" t="n">
        <v>3914</v>
      </c>
      <c r="L2617" s="46" t="n"/>
      <c r="M2617" s="47" t="n"/>
      <c r="N2617" s="47" t="inlineStr">
        <is>
          <t>UCKZo4N0lVPccBkSiuyVh4yg</t>
        </is>
      </c>
      <c r="O2617" s="48" t="n">
        <v>42544.79166666666</v>
      </c>
      <c r="P2617" s="49" t="n">
        <v>42544</v>
      </c>
      <c r="Q2617" s="47" t="n">
        <v>651</v>
      </c>
      <c r="R2617" s="47" t="inlineStr">
        <is>
          <t>No Video ID yet</t>
        </is>
      </c>
      <c r="S2617" s="49" t="n"/>
      <c r="T2617" s="49" t="n"/>
      <c r="U2617" s="47" t="inlineStr">
        <is>
          <t>Today Ben tries to solve one of Disney Pixar's Toy Story's oldest questions: Can toys die? Lets us know your thoughts in the towel section below!!</t>
        </is>
      </c>
      <c r="V2617" s="47">
        <f>IF(AND(P2617&gt;=Calendar!$K$2,P2617&lt;EDATE(Calendar!$K$2,1),OR(Calendar!$K$4="*",N2617=Calendar!$K$4)),P2617*100+COUNTIFS($P$6:$P$3267,P2617,$Q$6:$Q$3267,"&lt;="&amp;Q2617,$N$6:$N$3267,Calendar!$K$4),"")</f>
        <v/>
      </c>
      <c r="W2617" s="47">
        <f>IF(AND(B2617=Queue!$C$4,OR(Queue!$K$4="*",N2617=Queue!$K$4)),Q2617,"")</f>
        <v/>
      </c>
    </row>
    <row r="2618">
      <c r="A2618" s="38">
        <f>IF(M2618="","",HYPERLINK("https://www.youtube.com/watch?v="&amp;M2618,"▶"))</f>
        <v/>
      </c>
      <c r="B2618" s="39">
        <f>IF(C2618&lt;&gt;"",C2618,IF(P2618&lt;=IFERROR(INDEX(tblChannels[Watched Through],MATCH(N2618,tblChannels[Channel ID],0)),0),"Watched","Unwatched"))</f>
        <v/>
      </c>
      <c r="C2618" s="40" t="n"/>
      <c r="D2618" s="41" t="n"/>
      <c r="E2618" s="42" t="n">
        <v>42542.625</v>
      </c>
      <c r="F2618" s="50" t="inlineStr">
        <is>
          <t>Super Carlin Brothers</t>
        </is>
      </c>
      <c r="G2618" t="inlineStr">
        <is>
          <t>How Finding Dory Fits Into The Pixar Theory</t>
        </is>
      </c>
      <c r="H2618" s="44" t="n">
        <v>0.005960648148148148</v>
      </c>
      <c r="I2618" s="45" t="n">
        <v>2689269</v>
      </c>
      <c r="J2618" s="45" t="n">
        <v>37865</v>
      </c>
      <c r="K2618" s="45" t="n">
        <v>6686</v>
      </c>
      <c r="L2618" s="46" t="n"/>
      <c r="M2618" s="47" t="n"/>
      <c r="N2618" s="47" t="inlineStr">
        <is>
          <t>UCKZo4N0lVPccBkSiuyVh4yg</t>
        </is>
      </c>
      <c r="O2618" s="48" t="n">
        <v>42542.79166666666</v>
      </c>
      <c r="P2618" s="49" t="n">
        <v>42542</v>
      </c>
      <c r="Q2618" s="47" t="n">
        <v>650</v>
      </c>
      <c r="R2618" s="47" t="inlineStr">
        <is>
          <t>No Video ID yet</t>
        </is>
      </c>
      <c r="S2618" s="49" t="n"/>
      <c r="T2618" s="49" t="n"/>
      <c r="U2618" s="47" t="inlineStr">
        <is>
          <t>Jon Negroni's Original Article :: The D-Cast :: Today we are discussing Disney Pixar's Finding Dory, the latest addition to the Pixar Universe and how it fits into the Pixar Theory! Let us know what you thought of the movie and what Easter Eggs you found!!</t>
        </is>
      </c>
      <c r="V2618" s="47">
        <f>IF(AND(P2618&gt;=Calendar!$K$2,P2618&lt;EDATE(Calendar!$K$2,1),OR(Calendar!$K$4="*",N2618=Calendar!$K$4)),P2618*100+COUNTIFS($P$6:$P$3267,P2618,$Q$6:$Q$3267,"&lt;="&amp;Q2618,$N$6:$N$3267,Calendar!$K$4),"")</f>
        <v/>
      </c>
      <c r="W2618" s="47">
        <f>IF(AND(B2618=Queue!$C$4,OR(Queue!$K$4="*",N2618=Queue!$K$4)),Q2618,"")</f>
        <v/>
      </c>
    </row>
    <row r="2619">
      <c r="A2619" s="38">
        <f>IF(M2619="","",HYPERLINK("https://www.youtube.com/watch?v="&amp;M2619,"▶"))</f>
        <v/>
      </c>
      <c r="B2619" s="39">
        <f>IF(C2619&lt;&gt;"",C2619,IF(P2619&lt;=IFERROR(INDEX(tblChannels[Watched Through],MATCH(N2619,tblChannels[Channel ID],0)),0),"Watched","Unwatched"))</f>
        <v/>
      </c>
      <c r="C2619" s="40" t="n"/>
      <c r="D2619" s="41" t="n"/>
      <c r="E2619" s="42" t="n">
        <v>42537.625</v>
      </c>
      <c r="F2619" s="50" t="inlineStr">
        <is>
          <t>Super Carlin Brothers</t>
        </is>
      </c>
      <c r="G2619" t="inlineStr">
        <is>
          <t>Saving Dory</t>
        </is>
      </c>
      <c r="H2619" s="44" t="n">
        <v>0.002569444444444445</v>
      </c>
      <c r="I2619" s="45" t="n">
        <v>371401</v>
      </c>
      <c r="J2619" s="45" t="n">
        <v>10505</v>
      </c>
      <c r="K2619" s="45" t="n">
        <v>2061</v>
      </c>
      <c r="L2619" s="46" t="n"/>
      <c r="M2619" s="47" t="n"/>
      <c r="N2619" s="47" t="inlineStr">
        <is>
          <t>UCKZo4N0lVPccBkSiuyVh4yg</t>
        </is>
      </c>
      <c r="O2619" s="48" t="n">
        <v>42537.79166666666</v>
      </c>
      <c r="P2619" s="49" t="n">
        <v>42537</v>
      </c>
      <c r="Q2619" s="47" t="n">
        <v>649</v>
      </c>
      <c r="R2619" s="47" t="inlineStr">
        <is>
          <t>No Video ID yet</t>
        </is>
      </c>
      <c r="S2619" s="49" t="n"/>
      <c r="T2619" s="49" t="n"/>
      <c r="U2619" s="47" t="n"/>
      <c r="V2619" s="47">
        <f>IF(AND(P2619&gt;=Calendar!$K$2,P2619&lt;EDATE(Calendar!$K$2,1),OR(Calendar!$K$4="*",N2619=Calendar!$K$4)),P2619*100+COUNTIFS($P$6:$P$3267,P2619,$Q$6:$Q$3267,"&lt;="&amp;Q2619,$N$6:$N$3267,Calendar!$K$4),"")</f>
        <v/>
      </c>
      <c r="W2619" s="47">
        <f>IF(AND(B2619=Queue!$C$4,OR(Queue!$K$4="*",N2619=Queue!$K$4)),Q2619,"")</f>
        <v/>
      </c>
    </row>
    <row r="2620">
      <c r="A2620" s="38">
        <f>IF(M2620="","",HYPERLINK("https://www.youtube.com/watch?v="&amp;M2620,"▶"))</f>
        <v/>
      </c>
      <c r="B2620" s="39">
        <f>IF(C2620&lt;&gt;"",C2620,IF(P2620&lt;=IFERROR(INDEX(tblChannels[Watched Through],MATCH(N2620,tblChannels[Channel ID],0)),0),"Watched","Unwatched"))</f>
        <v/>
      </c>
      <c r="C2620" s="40" t="n"/>
      <c r="D2620" s="41" t="n"/>
      <c r="E2620" s="42" t="n">
        <v>42535.625</v>
      </c>
      <c r="F2620" s="50" t="inlineStr">
        <is>
          <t>Super Carlin Brothers</t>
        </is>
      </c>
      <c r="G2620" t="inlineStr">
        <is>
          <t>Simba's Magic Roar Explained</t>
        </is>
      </c>
      <c r="H2620" s="44" t="n">
        <v>0.005208333333333333</v>
      </c>
      <c r="I2620" s="45" t="n">
        <v>1478884</v>
      </c>
      <c r="J2620" s="45" t="n">
        <v>30324</v>
      </c>
      <c r="K2620" s="45" t="n">
        <v>5533</v>
      </c>
      <c r="L2620" s="46" t="n"/>
      <c r="M2620" s="47" t="n"/>
      <c r="N2620" s="47" t="inlineStr">
        <is>
          <t>UCKZo4N0lVPccBkSiuyVh4yg</t>
        </is>
      </c>
      <c r="O2620" s="48" t="n">
        <v>42535.79166666666</v>
      </c>
      <c r="P2620" s="49" t="n">
        <v>42535</v>
      </c>
      <c r="Q2620" s="47" t="n">
        <v>648</v>
      </c>
      <c r="R2620" s="47" t="inlineStr">
        <is>
          <t>No Video ID yet</t>
        </is>
      </c>
      <c r="S2620" s="49" t="n"/>
      <c r="T2620" s="49" t="n"/>
      <c r="U2620" s="47" t="inlineStr">
        <is>
          <t>Today J discusses the magic roar Simba gives at the end of Disney's The Lion King and how it somehow restores the Kingdom of Pride Rock - but really its a video about the Wolves of Yellowstone National Park =D More about the Wolves here: History of Wolves in Yellowstone :: How Wolves Change Rivers :: Return of the Wolf ::</t>
        </is>
      </c>
      <c r="V2620" s="47">
        <f>IF(AND(P2620&gt;=Calendar!$K$2,P2620&lt;EDATE(Calendar!$K$2,1),OR(Calendar!$K$4="*",N2620=Calendar!$K$4)),P2620*100+COUNTIFS($P$6:$P$3267,P2620,$Q$6:$Q$3267,"&lt;="&amp;Q2620,$N$6:$N$3267,Calendar!$K$4),"")</f>
        <v/>
      </c>
      <c r="W2620" s="47">
        <f>IF(AND(B2620=Queue!$C$4,OR(Queue!$K$4="*",N2620=Queue!$K$4)),Q2620,"")</f>
        <v/>
      </c>
    </row>
    <row r="2621">
      <c r="A2621" s="38">
        <f>IF(M2621="","",HYPERLINK("https://www.youtube.com/watch?v="&amp;M2621,"▶"))</f>
        <v/>
      </c>
      <c r="B2621" s="39">
        <f>IF(C2621&lt;&gt;"",C2621,IF(P2621&lt;=IFERROR(INDEX(tblChannels[Watched Through],MATCH(N2621,tblChannels[Channel ID],0)),0),"Watched","Unwatched"))</f>
        <v/>
      </c>
      <c r="C2621" s="40" t="n"/>
      <c r="D2621" s="41" t="n"/>
      <c r="E2621" s="42" t="n">
        <v>42530.77152777778</v>
      </c>
      <c r="F2621" s="50" t="inlineStr">
        <is>
          <t>Super Carlin Brothers</t>
        </is>
      </c>
      <c r="G2621" t="inlineStr">
        <is>
          <t>The Truth About: A Bugs Life &amp; ANTZ</t>
        </is>
      </c>
      <c r="H2621" s="44" t="n">
        <v>0.004594907407407408</v>
      </c>
      <c r="I2621" s="45" t="n">
        <v>1668259</v>
      </c>
      <c r="J2621" s="45" t="n">
        <v>27901</v>
      </c>
      <c r="K2621" s="45" t="n">
        <v>9368</v>
      </c>
      <c r="L2621" s="46" t="n"/>
      <c r="M2621" s="47" t="n"/>
      <c r="N2621" s="47" t="inlineStr">
        <is>
          <t>UCKZo4N0lVPccBkSiuyVh4yg</t>
        </is>
      </c>
      <c r="O2621" s="48" t="n">
        <v>42530.93819444445</v>
      </c>
      <c r="P2621" s="49" t="n">
        <v>42530</v>
      </c>
      <c r="Q2621" s="47" t="n">
        <v>647</v>
      </c>
      <c r="R2621" s="47" t="inlineStr">
        <is>
          <t>No Video ID yet</t>
        </is>
      </c>
      <c r="S2621" s="49" t="n"/>
      <c r="T2621" s="49" t="n"/>
      <c r="U2621" s="47" t="inlineStr">
        <is>
          <t>Today Ben dives into the feud between Disney Pixar's A Bugs Life and Dream Works ANTZ! Which is you're favorite movie!? More About the Feud:</t>
        </is>
      </c>
      <c r="V2621" s="47">
        <f>IF(AND(P2621&gt;=Calendar!$K$2,P2621&lt;EDATE(Calendar!$K$2,1),OR(Calendar!$K$4="*",N2621=Calendar!$K$4)),P2621*100+COUNTIFS($P$6:$P$3267,P2621,$Q$6:$Q$3267,"&lt;="&amp;Q2621,$N$6:$N$3267,Calendar!$K$4),"")</f>
        <v/>
      </c>
      <c r="W2621" s="47">
        <f>IF(AND(B2621=Queue!$C$4,OR(Queue!$K$4="*",N2621=Queue!$K$4)),Q2621,"")</f>
        <v/>
      </c>
    </row>
    <row r="2622">
      <c r="A2622" s="38">
        <f>IF(M2622="","",HYPERLINK("https://www.youtube.com/watch?v="&amp;M2622,"▶"))</f>
        <v/>
      </c>
      <c r="B2622" s="39">
        <f>IF(C2622&lt;&gt;"",C2622,IF(P2622&lt;=IFERROR(INDEX(tblChannels[Watched Through],MATCH(N2622,tblChannels[Channel ID],0)),0),"Watched","Unwatched"))</f>
        <v/>
      </c>
      <c r="C2622" s="40" t="n"/>
      <c r="D2622" s="41" t="n"/>
      <c r="E2622" s="42" t="n">
        <v>42528.625</v>
      </c>
      <c r="F2622" s="50" t="inlineStr">
        <is>
          <t>Super Carlin Brothers</t>
        </is>
      </c>
      <c r="G2622" t="inlineStr">
        <is>
          <t>Does Dumbledore Google Autofill</t>
        </is>
      </c>
      <c r="H2622" s="44" t="n">
        <v>0.006145833333333333</v>
      </c>
      <c r="I2622" s="45" t="n">
        <v>858022</v>
      </c>
      <c r="J2622" s="45" t="n">
        <v>16492</v>
      </c>
      <c r="K2622" s="45" t="n">
        <v>5914</v>
      </c>
      <c r="L2622" s="46" t="n"/>
      <c r="M2622" s="47" t="n"/>
      <c r="N2622" s="47" t="inlineStr">
        <is>
          <t>UCKZo4N0lVPccBkSiuyVh4yg</t>
        </is>
      </c>
      <c r="O2622" s="48" t="n">
        <v>42528.79166666666</v>
      </c>
      <c r="P2622" s="49" t="n">
        <v>42528</v>
      </c>
      <c r="Q2622" s="47" t="n">
        <v>646</v>
      </c>
      <c r="R2622" s="47" t="inlineStr">
        <is>
          <t>No Video ID yet</t>
        </is>
      </c>
      <c r="S2622" s="49" t="n"/>
      <c r="T2622" s="49" t="n"/>
      <c r="U2622" s="47" t="inlineStr">
        <is>
          <t>Today J dives into the wider wizarding world and answers all of the internet questions about what Dumbledore does? What animal would you transform into?</t>
        </is>
      </c>
      <c r="V2622" s="47">
        <f>IF(AND(P2622&gt;=Calendar!$K$2,P2622&lt;EDATE(Calendar!$K$2,1),OR(Calendar!$K$4="*",N2622=Calendar!$K$4)),P2622*100+COUNTIFS($P$6:$P$3267,P2622,$Q$6:$Q$3267,"&lt;="&amp;Q2622,$N$6:$N$3267,Calendar!$K$4),"")</f>
        <v/>
      </c>
      <c r="W2622" s="47">
        <f>IF(AND(B2622=Queue!$C$4,OR(Queue!$K$4="*",N2622=Queue!$K$4)),Q2622,"")</f>
        <v/>
      </c>
    </row>
    <row r="2623">
      <c r="A2623" s="38">
        <f>IF(M2623="","",HYPERLINK("https://www.youtube.com/watch?v="&amp;M2623,"▶"))</f>
        <v/>
      </c>
      <c r="B2623" s="39">
        <f>IF(C2623&lt;&gt;"",C2623,IF(P2623&lt;=IFERROR(INDEX(tblChannels[Watched Through],MATCH(N2623,tblChannels[Channel ID],0)),0),"Watched","Unwatched"))</f>
        <v/>
      </c>
      <c r="C2623" s="40" t="n"/>
      <c r="D2623" s="41" t="n"/>
      <c r="E2623" s="42" t="n">
        <v>42526.66736111111</v>
      </c>
      <c r="F2623" s="52" t="inlineStr">
        <is>
          <t>Super Carlin Gaming</t>
        </is>
      </c>
      <c r="G2623" t="inlineStr">
        <is>
          <t>Knights of the Old Republic #27 - Anakin would have been so proud of me</t>
        </is>
      </c>
      <c r="H2623" s="44" t="n">
        <v>0.01756944444444444</v>
      </c>
      <c r="I2623" s="45" t="n">
        <v>2288</v>
      </c>
      <c r="J2623" s="45" t="n">
        <v>45</v>
      </c>
      <c r="K2623" s="45" t="n">
        <v>18</v>
      </c>
      <c r="L2623" s="46" t="n"/>
      <c r="M2623" s="47" t="n"/>
      <c r="N2623" s="47" t="inlineStr">
        <is>
          <t>UCor_9jRnNNZVzTuQ92PKsaQ</t>
        </is>
      </c>
      <c r="O2623" s="48" t="n">
        <v>42526.83402777778</v>
      </c>
      <c r="P2623" s="49" t="n">
        <v>42526</v>
      </c>
      <c r="Q2623" s="47" t="n">
        <v>645</v>
      </c>
      <c r="R2623" s="47" t="inlineStr">
        <is>
          <t>No Video ID yet</t>
        </is>
      </c>
      <c r="S2623" s="49" t="n"/>
      <c r="T2623" s="49" t="n"/>
      <c r="U2623" s="47" t="inlineStr">
        <is>
          <t>i hate sand.</t>
        </is>
      </c>
      <c r="V2623" s="47">
        <f>IF(AND(P2623&gt;=Calendar!$K$2,P2623&lt;EDATE(Calendar!$K$2,1),OR(Calendar!$K$4="*",N2623=Calendar!$K$4)),P2623*100+COUNTIFS($P$6:$P$3267,P2623,$Q$6:$Q$3267,"&lt;="&amp;Q2623,$N$6:$N$3267,Calendar!$K$4),"")</f>
        <v/>
      </c>
      <c r="W2623" s="47">
        <f>IF(AND(B2623=Queue!$C$4,OR(Queue!$K$4="*",N2623=Queue!$K$4)),Q2623,"")</f>
        <v/>
      </c>
    </row>
    <row r="2624">
      <c r="A2624" s="38">
        <f>IF(M2624="","",HYPERLINK("https://www.youtube.com/watch?v="&amp;M2624,"▶"))</f>
        <v/>
      </c>
      <c r="B2624" s="39">
        <f>IF(C2624&lt;&gt;"",C2624,IF(P2624&lt;=IFERROR(INDEX(tblChannels[Watched Through],MATCH(N2624,tblChannels[Channel ID],0)),0),"Watched","Unwatched"))</f>
        <v/>
      </c>
      <c r="C2624" s="40" t="n"/>
      <c r="D2624" s="41" t="n"/>
      <c r="E2624" s="42" t="n">
        <v>42523.82083333333</v>
      </c>
      <c r="F2624" s="52" t="inlineStr">
        <is>
          <t>Super Carlin Gaming</t>
        </is>
      </c>
      <c r="G2624" t="inlineStr">
        <is>
          <t>Knights of the Old Republic #26 - HK-47, TOO BAATTTLEEEE</t>
        </is>
      </c>
      <c r="H2624" s="44" t="n">
        <v>0.0231712962962963</v>
      </c>
      <c r="I2624" s="45" t="n">
        <v>1381</v>
      </c>
      <c r="J2624" s="45" t="n">
        <v>41</v>
      </c>
      <c r="K2624" s="45" t="n">
        <v>18</v>
      </c>
      <c r="L2624" s="46" t="n"/>
      <c r="M2624" s="47" t="n"/>
      <c r="N2624" s="47" t="inlineStr">
        <is>
          <t>UCor_9jRnNNZVzTuQ92PKsaQ</t>
        </is>
      </c>
      <c r="O2624" s="48" t="n">
        <v>42523.9875</v>
      </c>
      <c r="P2624" s="49" t="n">
        <v>42523</v>
      </c>
      <c r="Q2624" s="47" t="n">
        <v>644</v>
      </c>
      <c r="R2624" s="47" t="inlineStr">
        <is>
          <t>No Video ID yet</t>
        </is>
      </c>
      <c r="S2624" s="49" t="n"/>
      <c r="T2624" s="49" t="n"/>
      <c r="U2624" s="47" t="inlineStr">
        <is>
          <t>Today we explore tatooine with our new friend, HK-47, in an attempt to put an end to evil and villainy from the tuscan raider camps!</t>
        </is>
      </c>
      <c r="V2624" s="47">
        <f>IF(AND(P2624&gt;=Calendar!$K$2,P2624&lt;EDATE(Calendar!$K$2,1),OR(Calendar!$K$4="*",N2624=Calendar!$K$4)),P2624*100+COUNTIFS($P$6:$P$3267,P2624,$Q$6:$Q$3267,"&lt;="&amp;Q2624,$N$6:$N$3267,Calendar!$K$4),"")</f>
        <v/>
      </c>
      <c r="W2624" s="47">
        <f>IF(AND(B2624=Queue!$C$4,OR(Queue!$K$4="*",N2624=Queue!$K$4)),Q2624,"")</f>
        <v/>
      </c>
    </row>
    <row r="2625">
      <c r="A2625" s="38">
        <f>IF(M2625="","",HYPERLINK("https://www.youtube.com/watch?v="&amp;M2625,"▶"))</f>
        <v/>
      </c>
      <c r="B2625" s="39">
        <f>IF(C2625&lt;&gt;"",C2625,IF(P2625&lt;=IFERROR(INDEX(tblChannels[Watched Through],MATCH(N2625,tblChannels[Channel ID],0)),0),"Watched","Unwatched"))</f>
        <v/>
      </c>
      <c r="C2625" s="40" t="n"/>
      <c r="D2625" s="41" t="n"/>
      <c r="E2625" s="42" t="n">
        <v>42523.74861111111</v>
      </c>
      <c r="F2625" s="50" t="inlineStr">
        <is>
          <t>Super Carlin Brothers</t>
        </is>
      </c>
      <c r="G2625" t="inlineStr">
        <is>
          <t>The Wilhelm Scream Explained</t>
        </is>
      </c>
      <c r="H2625" s="44" t="n">
        <v>0.003784722222222222</v>
      </c>
      <c r="I2625" s="45" t="n">
        <v>1453578</v>
      </c>
      <c r="J2625" s="45" t="n">
        <v>31937</v>
      </c>
      <c r="K2625" s="45" t="n">
        <v>7273</v>
      </c>
      <c r="L2625" s="46" t="n"/>
      <c r="M2625" s="47" t="n"/>
      <c r="N2625" s="47" t="inlineStr">
        <is>
          <t>UCKZo4N0lVPccBkSiuyVh4yg</t>
        </is>
      </c>
      <c r="O2625" s="48" t="n">
        <v>42523.91527777778</v>
      </c>
      <c r="P2625" s="49" t="n">
        <v>42523</v>
      </c>
      <c r="Q2625" s="47" t="n">
        <v>643</v>
      </c>
      <c r="R2625" s="47" t="inlineStr">
        <is>
          <t>No Video ID yet</t>
        </is>
      </c>
      <c r="S2625" s="49" t="n"/>
      <c r="T2625" s="49" t="n"/>
      <c r="U2625" s="47" t="inlineStr">
        <is>
          <t>Today Ben explains the iconic Wilhelm Scream, where it came from and where you can find it! Though beware, you can't unhear it.</t>
        </is>
      </c>
      <c r="V2625" s="47">
        <f>IF(AND(P2625&gt;=Calendar!$K$2,P2625&lt;EDATE(Calendar!$K$2,1),OR(Calendar!$K$4="*",N2625=Calendar!$K$4)),P2625*100+COUNTIFS($P$6:$P$3267,P2625,$Q$6:$Q$3267,"&lt;="&amp;Q2625,$N$6:$N$3267,Calendar!$K$4),"")</f>
        <v/>
      </c>
      <c r="W2625" s="47">
        <f>IF(AND(B2625=Queue!$C$4,OR(Queue!$K$4="*",N2625=Queue!$K$4)),Q2625,"")</f>
        <v/>
      </c>
    </row>
    <row r="2626">
      <c r="A2626" s="38">
        <f>IF(M2626="","",HYPERLINK("https://www.youtube.com/watch?v="&amp;M2626,"▶"))</f>
        <v/>
      </c>
      <c r="B2626" s="39">
        <f>IF(C2626&lt;&gt;"",C2626,IF(P2626&lt;=IFERROR(INDEX(tblChannels[Watched Through],MATCH(N2626,tblChannels[Channel ID],0)),0),"Watched","Unwatched"))</f>
        <v/>
      </c>
      <c r="C2626" s="40" t="n"/>
      <c r="D2626" s="41" t="n"/>
      <c r="E2626" s="42" t="n">
        <v>42521.625</v>
      </c>
      <c r="F2626" s="50" t="inlineStr">
        <is>
          <t>Super Carlin Brothers</t>
        </is>
      </c>
      <c r="G2626" t="inlineStr">
        <is>
          <t>Top 10 Things To Look For In Finding Dory</t>
        </is>
      </c>
      <c r="H2626" s="44" t="n">
        <v>0.006087962962962963</v>
      </c>
      <c r="I2626" s="45" t="n">
        <v>692344</v>
      </c>
      <c r="J2626" s="45" t="n">
        <v>12159</v>
      </c>
      <c r="K2626" s="45" t="n">
        <v>2301</v>
      </c>
      <c r="L2626" s="46" t="n"/>
      <c r="M2626" s="47" t="n"/>
      <c r="N2626" s="47" t="inlineStr">
        <is>
          <t>UCKZo4N0lVPccBkSiuyVh4yg</t>
        </is>
      </c>
      <c r="O2626" s="48" t="n">
        <v>42521.79166666666</v>
      </c>
      <c r="P2626" s="49" t="n">
        <v>42521</v>
      </c>
      <c r="Q2626" s="47" t="n">
        <v>642</v>
      </c>
      <c r="R2626" s="47" t="inlineStr">
        <is>
          <t>No Video ID yet</t>
        </is>
      </c>
      <c r="S2626" s="49" t="n"/>
      <c r="T2626" s="49" t="n"/>
      <c r="U2626" s="47" t="inlineStr">
        <is>
          <t>J makes predictions about the top 10 easter eggs you should be looking for when Pixar's Finding Dory hits theatres in June! Get a FREE Month of Audible at:</t>
        </is>
      </c>
      <c r="V2626" s="47">
        <f>IF(AND(P2626&gt;=Calendar!$K$2,P2626&lt;EDATE(Calendar!$K$2,1),OR(Calendar!$K$4="*",N2626=Calendar!$K$4)),P2626*100+COUNTIFS($P$6:$P$3267,P2626,$Q$6:$Q$3267,"&lt;="&amp;Q2626,$N$6:$N$3267,Calendar!$K$4),"")</f>
        <v/>
      </c>
      <c r="W2626" s="47">
        <f>IF(AND(B2626=Queue!$C$4,OR(Queue!$K$4="*",N2626=Queue!$K$4)),Q2626,"")</f>
        <v/>
      </c>
    </row>
    <row r="2627">
      <c r="A2627" s="38">
        <f>IF(M2627="","",HYPERLINK("https://www.youtube.com/watch?v="&amp;M2627,"▶"))</f>
        <v/>
      </c>
      <c r="B2627" s="39">
        <f>IF(C2627&lt;&gt;"",C2627,IF(P2627&lt;=IFERROR(INDEX(tblChannels[Watched Through],MATCH(N2627,tblChannels[Channel ID],0)),0),"Watched","Unwatched"))</f>
        <v/>
      </c>
      <c r="C2627" s="40" t="n"/>
      <c r="D2627" s="41" t="n"/>
      <c r="E2627" s="42" t="n">
        <v>42520.81458333333</v>
      </c>
      <c r="F2627" s="52" t="inlineStr">
        <is>
          <t>Super Carlin Gaming</t>
        </is>
      </c>
      <c r="G2627" t="inlineStr">
        <is>
          <t>Knights of the Old Republic #25 - Tatooine here we come!</t>
        </is>
      </c>
      <c r="H2627" s="44" t="n">
        <v>0.02244212962962963</v>
      </c>
      <c r="I2627" s="45" t="n">
        <v>1333</v>
      </c>
      <c r="J2627" s="45" t="n">
        <v>48</v>
      </c>
      <c r="K2627" s="45" t="n">
        <v>12</v>
      </c>
      <c r="L2627" s="46" t="n"/>
      <c r="M2627" s="47" t="n"/>
      <c r="N2627" s="47" t="inlineStr">
        <is>
          <t>UCor_9jRnNNZVzTuQ92PKsaQ</t>
        </is>
      </c>
      <c r="O2627" s="48" t="n">
        <v>42520.98125</v>
      </c>
      <c r="P2627" s="49" t="n">
        <v>42520</v>
      </c>
      <c r="Q2627" s="47" t="n">
        <v>641</v>
      </c>
      <c r="R2627" s="47" t="inlineStr">
        <is>
          <t>No Video ID yet</t>
        </is>
      </c>
      <c r="S2627" s="49" t="n"/>
      <c r="T2627" s="49" t="n"/>
      <c r="U2627" s="47" t="inlineStr">
        <is>
          <t>following our brutal slaughter of all sith on their homeworld, the now true sith leader, PEACHES, makes his way to the homeworld of some great sith and jedi of the future, tatooine.</t>
        </is>
      </c>
      <c r="V2627" s="47">
        <f>IF(AND(P2627&gt;=Calendar!$K$2,P2627&lt;EDATE(Calendar!$K$2,1),OR(Calendar!$K$4="*",N2627=Calendar!$K$4)),P2627*100+COUNTIFS($P$6:$P$3267,P2627,$Q$6:$Q$3267,"&lt;="&amp;Q2627,$N$6:$N$3267,Calendar!$K$4),"")</f>
        <v/>
      </c>
      <c r="W2627" s="47">
        <f>IF(AND(B2627=Queue!$C$4,OR(Queue!$K$4="*",N2627=Queue!$K$4)),Q2627,"")</f>
        <v/>
      </c>
    </row>
    <row r="2628">
      <c r="A2628" s="38">
        <f>IF(M2628="","",HYPERLINK("https://www.youtube.com/watch?v="&amp;M2628,"▶"))</f>
        <v/>
      </c>
      <c r="B2628" s="39">
        <f>IF(C2628&lt;&gt;"",C2628,IF(P2628&lt;=IFERROR(INDEX(tblChannels[Watched Through],MATCH(N2628,tblChannels[Channel ID],0)),0),"Watched","Unwatched"))</f>
        <v/>
      </c>
      <c r="C2628" s="40" t="n"/>
      <c r="D2628" s="41" t="n"/>
      <c r="E2628" s="42" t="n">
        <v>42516.78402777778</v>
      </c>
      <c r="F2628" s="50" t="inlineStr">
        <is>
          <t>Super Carlin Brothers</t>
        </is>
      </c>
      <c r="G2628" t="inlineStr">
        <is>
          <t>Finding Dory Trailer 3 | Review, Analysis &amp; Predictions</t>
        </is>
      </c>
      <c r="H2628" s="44" t="n">
        <v>0.007210648148148148</v>
      </c>
      <c r="I2628" s="45" t="n">
        <v>328952</v>
      </c>
      <c r="J2628" s="45" t="n">
        <v>6602</v>
      </c>
      <c r="K2628" s="45" t="n">
        <v>1707</v>
      </c>
      <c r="L2628" s="46" t="n"/>
      <c r="M2628" s="47" t="n"/>
      <c r="N2628" s="47" t="inlineStr">
        <is>
          <t>UCKZo4N0lVPccBkSiuyVh4yg</t>
        </is>
      </c>
      <c r="O2628" s="48" t="n">
        <v>42516.95069444444</v>
      </c>
      <c r="P2628" s="49" t="n">
        <v>42516</v>
      </c>
      <c r="Q2628" s="47" t="n">
        <v>640</v>
      </c>
      <c r="R2628" s="47" t="inlineStr">
        <is>
          <t>No Video ID yet</t>
        </is>
      </c>
      <c r="S2628" s="49" t="n"/>
      <c r="T2628" s="49" t="n"/>
      <c r="U2628" s="47" t="inlineStr">
        <is>
          <t>The Ellen Show revealed a new Finding Dory trailer this week and today Ben dives in to give his full Review, Analysis and Predictions about the upcoming movie Full Trailer here ::</t>
        </is>
      </c>
      <c r="V2628" s="47">
        <f>IF(AND(P2628&gt;=Calendar!$K$2,P2628&lt;EDATE(Calendar!$K$2,1),OR(Calendar!$K$4="*",N2628=Calendar!$K$4)),P2628*100+COUNTIFS($P$6:$P$3267,P2628,$Q$6:$Q$3267,"&lt;="&amp;Q2628,$N$6:$N$3267,Calendar!$K$4),"")</f>
        <v/>
      </c>
      <c r="W2628" s="47">
        <f>IF(AND(B2628=Queue!$C$4,OR(Queue!$K$4="*",N2628=Queue!$K$4)),Q2628,"")</f>
        <v/>
      </c>
    </row>
    <row r="2629">
      <c r="A2629" s="38">
        <f>IF(M2629="","",HYPERLINK("https://www.youtube.com/watch?v="&amp;M2629,"▶"))</f>
        <v/>
      </c>
      <c r="B2629" s="39">
        <f>IF(C2629&lt;&gt;"",C2629,IF(P2629&lt;=IFERROR(INDEX(tblChannels[Watched Through],MATCH(N2629,tblChannels[Channel ID],0)),0),"Watched","Unwatched"))</f>
        <v/>
      </c>
      <c r="C2629" s="40" t="n"/>
      <c r="D2629" s="41" t="n"/>
      <c r="E2629" s="42" t="n">
        <v>42514.63263888889</v>
      </c>
      <c r="F2629" s="50" t="inlineStr">
        <is>
          <t>Super Carlin Brothers</t>
        </is>
      </c>
      <c r="G2629" t="inlineStr">
        <is>
          <t>Bing Bong Was Almost Bad?!</t>
        </is>
      </c>
      <c r="H2629" s="44" t="n">
        <v>0.004456018518518519</v>
      </c>
      <c r="I2629" s="45" t="n">
        <v>1985071</v>
      </c>
      <c r="J2629" s="45" t="n">
        <v>32304</v>
      </c>
      <c r="K2629" s="45" t="n">
        <v>5330</v>
      </c>
      <c r="L2629" s="46" t="n"/>
      <c r="M2629" s="47" t="n"/>
      <c r="N2629" s="47" t="inlineStr">
        <is>
          <t>UCKZo4N0lVPccBkSiuyVh4yg</t>
        </is>
      </c>
      <c r="O2629" s="48" t="n">
        <v>42514.79930555556</v>
      </c>
      <c r="P2629" s="49" t="n">
        <v>42514</v>
      </c>
      <c r="Q2629" s="47" t="n">
        <v>639</v>
      </c>
      <c r="R2629" s="47" t="inlineStr">
        <is>
          <t>No Video ID yet</t>
        </is>
      </c>
      <c r="S2629" s="49" t="n"/>
      <c r="T2629" s="49" t="n"/>
      <c r="U2629" s="47" t="inlineStr">
        <is>
          <t>J discusses the origins of Bing Bong from Disney Pixar's Inside Out and how he transformed from an extreme radical to everyone's friend who likes to play! Radical Non Conformist Bing Bong ::</t>
        </is>
      </c>
      <c r="V2629" s="47">
        <f>IF(AND(P2629&gt;=Calendar!$K$2,P2629&lt;EDATE(Calendar!$K$2,1),OR(Calendar!$K$4="*",N2629=Calendar!$K$4)),P2629*100+COUNTIFS($P$6:$P$3267,P2629,$Q$6:$Q$3267,"&lt;="&amp;Q2629,$N$6:$N$3267,Calendar!$K$4),"")</f>
        <v/>
      </c>
      <c r="W2629" s="47">
        <f>IF(AND(B2629=Queue!$C$4,OR(Queue!$K$4="*",N2629=Queue!$K$4)),Q2629,"")</f>
        <v/>
      </c>
    </row>
    <row r="2630">
      <c r="A2630" s="38">
        <f>IF(M2630="","",HYPERLINK("https://www.youtube.com/watch?v="&amp;M2630,"▶"))</f>
        <v/>
      </c>
      <c r="B2630" s="39">
        <f>IF(C2630&lt;&gt;"",C2630,IF(P2630&lt;=IFERROR(INDEX(tblChannels[Watched Through],MATCH(N2630,tblChannels[Channel ID],0)),0),"Watched","Unwatched"))</f>
        <v/>
      </c>
      <c r="C2630" s="40" t="n"/>
      <c r="D2630" s="41" t="n"/>
      <c r="E2630" s="42" t="n">
        <v>42509.77708333333</v>
      </c>
      <c r="F2630" s="50" t="inlineStr">
        <is>
          <t>Super Carlin Brothers</t>
        </is>
      </c>
      <c r="G2630" t="inlineStr">
        <is>
          <t>How Imaginary Friends Work</t>
        </is>
      </c>
      <c r="H2630" s="44" t="n">
        <v>0.004328703703703704</v>
      </c>
      <c r="I2630" s="45" t="n">
        <v>1125932</v>
      </c>
      <c r="J2630" s="45" t="n">
        <v>22556</v>
      </c>
      <c r="K2630" s="45" t="n">
        <v>11686</v>
      </c>
      <c r="L2630" s="46" t="n"/>
      <c r="M2630" s="47" t="n"/>
      <c r="N2630" s="47" t="inlineStr">
        <is>
          <t>UCKZo4N0lVPccBkSiuyVh4yg</t>
        </is>
      </c>
      <c r="O2630" s="48" t="n">
        <v>42509.94375</v>
      </c>
      <c r="P2630" s="49" t="n">
        <v>42509</v>
      </c>
      <c r="Q2630" s="47" t="n">
        <v>638</v>
      </c>
      <c r="R2630" s="47" t="inlineStr">
        <is>
          <t>No Video ID yet</t>
        </is>
      </c>
      <c r="S2630" s="49" t="n"/>
      <c r="T2630" s="49" t="n"/>
      <c r="U2630" s="47" t="inlineStr">
        <is>
          <t>Ben dives into Disney Pixar's Inside Out and discusses how imaginary friends like Bing Bong work in the real world Did you have an imaginary friend growing up?? Sorry if the audio is a little odd - There was a stump grinder outside going to town!</t>
        </is>
      </c>
      <c r="V2630" s="47">
        <f>IF(AND(P2630&gt;=Calendar!$K$2,P2630&lt;EDATE(Calendar!$K$2,1),OR(Calendar!$K$4="*",N2630=Calendar!$K$4)),P2630*100+COUNTIFS($P$6:$P$3267,P2630,$Q$6:$Q$3267,"&lt;="&amp;Q2630,$N$6:$N$3267,Calendar!$K$4),"")</f>
        <v/>
      </c>
      <c r="W2630" s="47">
        <f>IF(AND(B2630=Queue!$C$4,OR(Queue!$K$4="*",N2630=Queue!$K$4)),Q2630,"")</f>
        <v/>
      </c>
    </row>
    <row r="2631">
      <c r="A2631" s="38">
        <f>IF(M2631="","",HYPERLINK("https://www.youtube.com/watch?v="&amp;M2631,"▶"))</f>
        <v/>
      </c>
      <c r="B2631" s="39">
        <f>IF(C2631&lt;&gt;"",C2631,IF(P2631&lt;=IFERROR(INDEX(tblChannels[Watched Through],MATCH(N2631,tblChannels[Channel ID],0)),0),"Watched","Unwatched"))</f>
        <v/>
      </c>
      <c r="C2631" s="40" t="n"/>
      <c r="D2631" s="41" t="n"/>
      <c r="E2631" s="42" t="n">
        <v>42507.88055555556</v>
      </c>
      <c r="F2631" s="50" t="inlineStr">
        <is>
          <t>Super Carlin Brothers</t>
        </is>
      </c>
      <c r="G2631" t="inlineStr">
        <is>
          <t>Mulan Theory: The Great Stone Dragon</t>
        </is>
      </c>
      <c r="H2631" s="44" t="n">
        <v>0.005300925925925926</v>
      </c>
      <c r="I2631" s="45" t="n">
        <v>1744114</v>
      </c>
      <c r="J2631" s="45" t="n">
        <v>42757</v>
      </c>
      <c r="K2631" s="45" t="n">
        <v>4337</v>
      </c>
      <c r="L2631" s="46" t="n"/>
      <c r="M2631" s="47" t="n"/>
      <c r="N2631" s="47" t="inlineStr">
        <is>
          <t>UCKZo4N0lVPccBkSiuyVh4yg</t>
        </is>
      </c>
      <c r="O2631" s="48" t="n">
        <v>42508.04722222222</v>
      </c>
      <c r="P2631" s="49" t="n">
        <v>42507</v>
      </c>
      <c r="Q2631" s="47" t="n">
        <v>637</v>
      </c>
      <c r="R2631" s="47" t="inlineStr">
        <is>
          <t>No Video ID yet</t>
        </is>
      </c>
      <c r="S2631" s="49" t="n"/>
      <c r="T2631" s="49" t="n"/>
      <c r="U2631" s="47" t="inlineStr">
        <is>
          <t>Today J discusses Disney's Mulan and has a theory about why the Great Stone Dragon never comes to life..</t>
        </is>
      </c>
      <c r="V2631" s="47">
        <f>IF(AND(P2631&gt;=Calendar!$K$2,P2631&lt;EDATE(Calendar!$K$2,1),OR(Calendar!$K$4="*",N2631=Calendar!$K$4)),P2631*100+COUNTIFS($P$6:$P$3267,P2631,$Q$6:$Q$3267,"&lt;="&amp;Q2631,$N$6:$N$3267,Calendar!$K$4),"")</f>
        <v/>
      </c>
      <c r="W2631" s="47">
        <f>IF(AND(B2631=Queue!$C$4,OR(Queue!$K$4="*",N2631=Queue!$K$4)),Q2631,"")</f>
        <v/>
      </c>
    </row>
    <row r="2632">
      <c r="A2632" s="38">
        <f>IF(M2632="","",HYPERLINK("https://www.youtube.com/watch?v="&amp;M2632,"▶"))</f>
        <v/>
      </c>
      <c r="B2632" s="39">
        <f>IF(C2632&lt;&gt;"",C2632,IF(P2632&lt;=IFERROR(INDEX(tblChannels[Watched Through],MATCH(N2632,tblChannels[Channel ID],0)),0),"Watched","Unwatched"))</f>
        <v/>
      </c>
      <c r="C2632" s="40" t="n"/>
      <c r="D2632" s="41" t="n"/>
      <c r="E2632" s="42" t="n">
        <v>42507.30347222222</v>
      </c>
      <c r="F2632" s="52" t="inlineStr">
        <is>
          <t>Super Carlin Gaming</t>
        </is>
      </c>
      <c r="G2632" t="inlineStr">
        <is>
          <t>Knights of the Old Republic #24 - The End of the Sith Trials</t>
        </is>
      </c>
      <c r="H2632" s="44" t="n">
        <v>0.02762731481481482</v>
      </c>
      <c r="I2632" s="45" t="n">
        <v>2099</v>
      </c>
      <c r="J2632" s="45" t="n">
        <v>52</v>
      </c>
      <c r="K2632" s="45" t="n">
        <v>36</v>
      </c>
      <c r="L2632" s="46" t="n"/>
      <c r="M2632" s="47" t="n"/>
      <c r="N2632" s="47" t="inlineStr">
        <is>
          <t>UCor_9jRnNNZVzTuQ92PKsaQ</t>
        </is>
      </c>
      <c r="O2632" s="48" t="n">
        <v>42507.47013888889</v>
      </c>
      <c r="P2632" s="49" t="n">
        <v>42507</v>
      </c>
      <c r="Q2632" s="47" t="n">
        <v>636</v>
      </c>
      <c r="R2632" s="47" t="inlineStr">
        <is>
          <t>No Video ID yet</t>
        </is>
      </c>
      <c r="S2632" s="49" t="n"/>
      <c r="T2632" s="49" t="n"/>
      <c r="U2632" s="47" t="inlineStr">
        <is>
          <t>OMG MOM I'M GONNA BE A REAL SITH DID YA SEE ME?!</t>
        </is>
      </c>
      <c r="V2632" s="47">
        <f>IF(AND(P2632&gt;=Calendar!$K$2,P2632&lt;EDATE(Calendar!$K$2,1),OR(Calendar!$K$4="*",N2632=Calendar!$K$4)),P2632*100+COUNTIFS($P$6:$P$3267,P2632,$Q$6:$Q$3267,"&lt;="&amp;Q2632,$N$6:$N$3267,Calendar!$K$4),"")</f>
        <v/>
      </c>
      <c r="W2632" s="47">
        <f>IF(AND(B2632=Queue!$C$4,OR(Queue!$K$4="*",N2632=Queue!$K$4)),Q2632,"")</f>
        <v/>
      </c>
    </row>
    <row r="2633">
      <c r="A2633" s="38">
        <f>IF(M2633="","",HYPERLINK("https://www.youtube.com/watch?v="&amp;M2633,"▶"))</f>
        <v/>
      </c>
      <c r="B2633" s="39">
        <f>IF(C2633&lt;&gt;"",C2633,IF(P2633&lt;=IFERROR(INDEX(tblChannels[Watched Through],MATCH(N2633,tblChannels[Channel ID],0)),0),"Watched","Unwatched"))</f>
        <v/>
      </c>
      <c r="C2633" s="40" t="n"/>
      <c r="D2633" s="41" t="n"/>
      <c r="E2633" s="42" t="n">
        <v>42505.91041666667</v>
      </c>
      <c r="F2633" s="52" t="inlineStr">
        <is>
          <t>Super Carlin Gaming</t>
        </is>
      </c>
      <c r="G2633" t="inlineStr">
        <is>
          <t>Knights of the Old Republic #23 - SPELUNKING (part 2!)</t>
        </is>
      </c>
      <c r="H2633" s="44" t="n">
        <v>0.01988425925925926</v>
      </c>
      <c r="I2633" s="45" t="n">
        <v>1195</v>
      </c>
      <c r="J2633" s="45" t="n">
        <v>55</v>
      </c>
      <c r="K2633" s="45" t="n">
        <v>32</v>
      </c>
      <c r="L2633" s="46" t="n"/>
      <c r="M2633" s="47" t="n"/>
      <c r="N2633" s="47" t="inlineStr">
        <is>
          <t>UCor_9jRnNNZVzTuQ92PKsaQ</t>
        </is>
      </c>
      <c r="O2633" s="48" t="n">
        <v>42506.07708333333</v>
      </c>
      <c r="P2633" s="49" t="n">
        <v>42505</v>
      </c>
      <c r="Q2633" s="47" t="n">
        <v>635</v>
      </c>
      <c r="R2633" s="47" t="inlineStr">
        <is>
          <t>No Video ID yet</t>
        </is>
      </c>
      <c r="S2633" s="49" t="n"/>
      <c r="T2633" s="49" t="n"/>
      <c r="U2633" s="47" t="inlineStr">
        <is>
          <t>(I think that means cave diving, if not then this is so embarrassing omg)we're totally gonna be a real life sith. totally. puzzles Every time you give us a thumbs up a Narwhal gets its horn! (maybe.)</t>
        </is>
      </c>
      <c r="V2633" s="47">
        <f>IF(AND(P2633&gt;=Calendar!$K$2,P2633&lt;EDATE(Calendar!$K$2,1),OR(Calendar!$K$4="*",N2633=Calendar!$K$4)),P2633*100+COUNTIFS($P$6:$P$3267,P2633,$Q$6:$Q$3267,"&lt;="&amp;Q2633,$N$6:$N$3267,Calendar!$K$4),"")</f>
        <v/>
      </c>
      <c r="W2633" s="47">
        <f>IF(AND(B2633=Queue!$C$4,OR(Queue!$K$4="*",N2633=Queue!$K$4)),Q2633,"")</f>
        <v/>
      </c>
    </row>
    <row r="2634">
      <c r="A2634" s="38">
        <f>IF(M2634="","",HYPERLINK("https://www.youtube.com/watch?v="&amp;M2634,"▶"))</f>
        <v/>
      </c>
      <c r="B2634" s="39">
        <f>IF(C2634&lt;&gt;"",C2634,IF(P2634&lt;=IFERROR(INDEX(tblChannels[Watched Through],MATCH(N2634,tblChannels[Channel ID],0)),0),"Watched","Unwatched"))</f>
        <v/>
      </c>
      <c r="C2634" s="40" t="n"/>
      <c r="D2634" s="41" t="n"/>
      <c r="E2634" s="42" t="n">
        <v>42503.54166666666</v>
      </c>
      <c r="F2634" s="52" t="inlineStr">
        <is>
          <t>Super Carlin Gaming</t>
        </is>
      </c>
      <c r="G2634" t="inlineStr">
        <is>
          <t>Knights of the Old Republic #22 - SPELUNKING</t>
        </is>
      </c>
      <c r="H2634" s="44" t="n">
        <v>0.02553240740740741</v>
      </c>
      <c r="I2634" s="45" t="n">
        <v>1237</v>
      </c>
      <c r="J2634" s="45" t="n">
        <v>53</v>
      </c>
      <c r="K2634" s="45" t="n">
        <v>18</v>
      </c>
      <c r="L2634" s="46" t="n"/>
      <c r="M2634" s="47" t="n"/>
      <c r="N2634" s="47" t="inlineStr">
        <is>
          <t>UCor_9jRnNNZVzTuQ92PKsaQ</t>
        </is>
      </c>
      <c r="O2634" s="48" t="n">
        <v>42503.70833333334</v>
      </c>
      <c r="P2634" s="49" t="n">
        <v>42503</v>
      </c>
      <c r="Q2634" s="47" t="n">
        <v>634</v>
      </c>
      <c r="R2634" s="47" t="inlineStr">
        <is>
          <t>No Video ID yet</t>
        </is>
      </c>
      <c r="S2634" s="49" t="n"/>
      <c r="T2634" s="49" t="n"/>
      <c r="U2634" s="47" t="inlineStr">
        <is>
          <t>(I think that means cave diving, if not then this is so embarrassing omg) continuing our explorations of the sith planet and gaining our way through the ranks, we discover some rad artifacts in the caves! Every time you give us a thumbs up a Narwhal gets its horn! (maybe.)</t>
        </is>
      </c>
      <c r="V2634" s="47">
        <f>IF(AND(P2634&gt;=Calendar!$K$2,P2634&lt;EDATE(Calendar!$K$2,1),OR(Calendar!$K$4="*",N2634=Calendar!$K$4)),P2634*100+COUNTIFS($P$6:$P$3267,P2634,$Q$6:$Q$3267,"&lt;="&amp;Q2634,$N$6:$N$3267,Calendar!$K$4),"")</f>
        <v/>
      </c>
      <c r="W2634" s="47">
        <f>IF(AND(B2634=Queue!$C$4,OR(Queue!$K$4="*",N2634=Queue!$K$4)),Q2634,"")</f>
        <v/>
      </c>
    </row>
    <row r="2635">
      <c r="A2635" s="38">
        <f>IF(M2635="","",HYPERLINK("https://www.youtube.com/watch?v="&amp;M2635,"▶"))</f>
        <v/>
      </c>
      <c r="B2635" s="39">
        <f>IF(C2635&lt;&gt;"",C2635,IF(P2635&lt;=IFERROR(INDEX(tblChannels[Watched Through],MATCH(N2635,tblChannels[Channel ID],0)),0),"Watched","Unwatched"))</f>
        <v/>
      </c>
      <c r="C2635" s="40" t="n"/>
      <c r="D2635" s="41" t="n"/>
      <c r="E2635" s="42" t="n">
        <v>42502.81180555555</v>
      </c>
      <c r="F2635" s="50" t="inlineStr">
        <is>
          <t>Super Carlin Brothers</t>
        </is>
      </c>
      <c r="G2635" t="inlineStr">
        <is>
          <t>Is Wall-E Alive? - Ship of Theseus Paradox</t>
        </is>
      </c>
      <c r="H2635" s="44" t="n">
        <v>0.004895833333333334</v>
      </c>
      <c r="I2635" s="45" t="n">
        <v>546166</v>
      </c>
      <c r="J2635" s="45" t="n">
        <v>14311</v>
      </c>
      <c r="K2635" s="45" t="n">
        <v>2092</v>
      </c>
      <c r="L2635" s="46" t="n"/>
      <c r="M2635" s="47" t="n"/>
      <c r="N2635" s="47" t="inlineStr">
        <is>
          <t>UCKZo4N0lVPccBkSiuyVh4yg</t>
        </is>
      </c>
      <c r="O2635" s="48" t="n">
        <v>42502.97847222222</v>
      </c>
      <c r="P2635" s="49" t="n">
        <v>42502</v>
      </c>
      <c r="Q2635" s="47" t="n">
        <v>633</v>
      </c>
      <c r="R2635" s="47" t="inlineStr">
        <is>
          <t>No Video ID yet</t>
        </is>
      </c>
      <c r="S2635" s="49" t="n"/>
      <c r="T2635" s="49" t="n"/>
      <c r="U2635" s="47" t="inlineStr">
        <is>
          <t>Ben dives into Disney Pixar's Wall-E and examines the Theseus Ship Paradox to determine if Wall-E is alive What do you think?!</t>
        </is>
      </c>
      <c r="V2635" s="47">
        <f>IF(AND(P2635&gt;=Calendar!$K$2,P2635&lt;EDATE(Calendar!$K$2,1),OR(Calendar!$K$4="*",N2635=Calendar!$K$4)),P2635*100+COUNTIFS($P$6:$P$3267,P2635,$Q$6:$Q$3267,"&lt;="&amp;Q2635,$N$6:$N$3267,Calendar!$K$4),"")</f>
        <v/>
      </c>
      <c r="W2635" s="47">
        <f>IF(AND(B2635=Queue!$C$4,OR(Queue!$K$4="*",N2635=Queue!$K$4)),Q2635,"")</f>
        <v/>
      </c>
    </row>
    <row r="2636">
      <c r="A2636" s="38">
        <f>IF(M2636="","",HYPERLINK("https://www.youtube.com/watch?v="&amp;M2636,"▶"))</f>
        <v/>
      </c>
      <c r="B2636" s="39">
        <f>IF(C2636&lt;&gt;"",C2636,IF(P2636&lt;=IFERROR(INDEX(tblChannels[Watched Through],MATCH(N2636,tblChannels[Channel ID],0)),0),"Watched","Unwatched"))</f>
        <v/>
      </c>
      <c r="C2636" s="40" t="n"/>
      <c r="D2636" s="41" t="n"/>
      <c r="E2636" s="42" t="n">
        <v>42500.71180555555</v>
      </c>
      <c r="F2636" s="50" t="inlineStr">
        <is>
          <t>Super Carlin Brothers</t>
        </is>
      </c>
      <c r="G2636" t="inlineStr">
        <is>
          <t>Who is Black Panther?</t>
        </is>
      </c>
      <c r="H2636" s="44" t="n">
        <v>0.005173611111111111</v>
      </c>
      <c r="I2636" s="45" t="n">
        <v>341524</v>
      </c>
      <c r="J2636" s="45" t="n">
        <v>8738</v>
      </c>
      <c r="K2636" s="45" t="n">
        <v>2283</v>
      </c>
      <c r="L2636" s="46" t="n"/>
      <c r="M2636" s="47" t="n"/>
      <c r="N2636" s="47" t="inlineStr">
        <is>
          <t>UCKZo4N0lVPccBkSiuyVh4yg</t>
        </is>
      </c>
      <c r="O2636" s="48" t="n">
        <v>42500.87847222222</v>
      </c>
      <c r="P2636" s="49" t="n">
        <v>42500</v>
      </c>
      <c r="Q2636" s="47" t="n">
        <v>632</v>
      </c>
      <c r="R2636" s="47" t="inlineStr">
        <is>
          <t>No Video ID yet</t>
        </is>
      </c>
      <c r="S2636" s="49" t="n"/>
      <c r="T2636" s="49" t="n"/>
      <c r="U2636" s="47" t="inlineStr">
        <is>
          <t>Marvel's Captain America: Civil War just came out over the weekend and introduced us to Black Panther, but who is he? You may not have heard of him before but he's a pretty central figure in the Marvel Universe, hopefully this explanation helps!</t>
        </is>
      </c>
      <c r="V2636" s="47">
        <f>IF(AND(P2636&gt;=Calendar!$K$2,P2636&lt;EDATE(Calendar!$K$2,1),OR(Calendar!$K$4="*",N2636=Calendar!$K$4)),P2636*100+COUNTIFS($P$6:$P$3267,P2636,$Q$6:$Q$3267,"&lt;="&amp;Q2636,$N$6:$N$3267,Calendar!$K$4),"")</f>
        <v/>
      </c>
      <c r="W2636" s="47">
        <f>IF(AND(B2636=Queue!$C$4,OR(Queue!$K$4="*",N2636=Queue!$K$4)),Q2636,"")</f>
        <v/>
      </c>
    </row>
    <row r="2637">
      <c r="A2637" s="38">
        <f>IF(M2637="","",HYPERLINK("https://www.youtube.com/watch?v="&amp;M2637,"▶"))</f>
        <v/>
      </c>
      <c r="B2637" s="39">
        <f>IF(C2637&lt;&gt;"",C2637,IF(P2637&lt;=IFERROR(INDEX(tblChannels[Watched Through],MATCH(N2637,tblChannels[Channel ID],0)),0),"Watched","Unwatched"))</f>
        <v/>
      </c>
      <c r="C2637" s="40" t="n"/>
      <c r="D2637" s="41" t="n"/>
      <c r="E2637" s="42" t="n">
        <v>42498.75833333333</v>
      </c>
      <c r="F2637" s="52" t="inlineStr">
        <is>
          <t>Super Carlin Gaming</t>
        </is>
      </c>
      <c r="G2637" t="inlineStr">
        <is>
          <t>Knights of the Old Republic #21 - The Pledge, The Turn, The PRESTIGE</t>
        </is>
      </c>
      <c r="H2637" s="44" t="n">
        <v>0.0308912037037037</v>
      </c>
      <c r="I2637" s="45" t="n">
        <v>1607</v>
      </c>
      <c r="J2637" s="45" t="n">
        <v>56</v>
      </c>
      <c r="K2637" s="45" t="n">
        <v>22</v>
      </c>
      <c r="L2637" s="46" t="n"/>
      <c r="M2637" s="47" t="n"/>
      <c r="N2637" s="47" t="inlineStr">
        <is>
          <t>UCor_9jRnNNZVzTuQ92PKsaQ</t>
        </is>
      </c>
      <c r="O2637" s="48" t="n">
        <v>42498.925</v>
      </c>
      <c r="P2637" s="49" t="n">
        <v>42498</v>
      </c>
      <c r="Q2637" s="47" t="n">
        <v>631</v>
      </c>
      <c r="R2637" s="47" t="inlineStr">
        <is>
          <t>No Video ID yet</t>
        </is>
      </c>
      <c r="S2637" s="49" t="n"/>
      <c r="T2637" s="49" t="n"/>
      <c r="U2637" s="47" t="inlineStr">
        <is>
          <t>We've gained entrance into the Sith academy, and now it's time to gain prestige and impress Master Uthar on our journey to becoming a full fledged Sith. Every time you give us a thumbs up a Narwhal gets its horn! (maybe.)</t>
        </is>
      </c>
      <c r="V2637" s="47">
        <f>IF(AND(P2637&gt;=Calendar!$K$2,P2637&lt;EDATE(Calendar!$K$2,1),OR(Calendar!$K$4="*",N2637=Calendar!$K$4)),P2637*100+COUNTIFS($P$6:$P$3267,P2637,$Q$6:$Q$3267,"&lt;="&amp;Q2637,$N$6:$N$3267,Calendar!$K$4),"")</f>
        <v/>
      </c>
      <c r="W2637" s="47">
        <f>IF(AND(B2637=Queue!$C$4,OR(Queue!$K$4="*",N2637=Queue!$K$4)),Q2637,"")</f>
        <v/>
      </c>
    </row>
    <row r="2638">
      <c r="A2638" s="38">
        <f>IF(M2638="","",HYPERLINK("https://www.youtube.com/watch?v="&amp;M2638,"▶"))</f>
        <v/>
      </c>
      <c r="B2638" s="39">
        <f>IF(C2638&lt;&gt;"",C2638,IF(P2638&lt;=IFERROR(INDEX(tblChannels[Watched Through],MATCH(N2638,tblChannels[Channel ID],0)),0),"Watched","Unwatched"))</f>
        <v/>
      </c>
      <c r="C2638" s="40" t="n"/>
      <c r="D2638" s="41" t="n"/>
      <c r="E2638" s="42" t="n">
        <v>42495.66597222222</v>
      </c>
      <c r="F2638" s="50" t="inlineStr">
        <is>
          <t>Super Carlin Brothers</t>
        </is>
      </c>
      <c r="G2638" t="inlineStr">
        <is>
          <t>Loot Crate Unboxing | QUEST</t>
        </is>
      </c>
      <c r="H2638" s="44" t="n">
        <v>0.005</v>
      </c>
      <c r="I2638" s="45" t="n">
        <v>146209</v>
      </c>
      <c r="J2638" s="45" t="n">
        <v>3601</v>
      </c>
      <c r="K2638" s="45" t="n">
        <v>1115</v>
      </c>
      <c r="L2638" s="46" t="n"/>
      <c r="M2638" s="47" t="n"/>
      <c r="N2638" s="47" t="inlineStr">
        <is>
          <t>UCKZo4N0lVPccBkSiuyVh4yg</t>
        </is>
      </c>
      <c r="O2638" s="48" t="n">
        <v>42495.83263888889</v>
      </c>
      <c r="P2638" s="49" t="n">
        <v>42495</v>
      </c>
      <c r="Q2638" s="47" t="n">
        <v>630</v>
      </c>
      <c r="R2638" s="47" t="inlineStr">
        <is>
          <t>No Video ID yet</t>
        </is>
      </c>
      <c r="S2638" s="49" t="n"/>
      <c r="T2638" s="49" t="n"/>
      <c r="U2638" s="47" t="inlineStr">
        <is>
          <t>This week Ben and J are uboxing the latest Loot Crate - the theme is quest and includes all sorts of cool things from Harry Potter, Labryinth, vikings and Uncharted 4! Get 10% Off your Loot Crate order at: Promo Code: CARLIN</t>
        </is>
      </c>
      <c r="V2638" s="47">
        <f>IF(AND(P2638&gt;=Calendar!$K$2,P2638&lt;EDATE(Calendar!$K$2,1),OR(Calendar!$K$4="*",N2638=Calendar!$K$4)),P2638*100+COUNTIFS($P$6:$P$3267,P2638,$Q$6:$Q$3267,"&lt;="&amp;Q2638,$N$6:$N$3267,Calendar!$K$4),"")</f>
        <v/>
      </c>
      <c r="W2638" s="47">
        <f>IF(AND(B2638=Queue!$C$4,OR(Queue!$K$4="*",N2638=Queue!$K$4)),Q2638,"")</f>
        <v/>
      </c>
    </row>
    <row r="2639">
      <c r="A2639" s="38">
        <f>IF(M2639="","",HYPERLINK("https://www.youtube.com/watch?v="&amp;M2639,"▶"))</f>
        <v/>
      </c>
      <c r="B2639" s="39">
        <f>IF(C2639&lt;&gt;"",C2639,IF(P2639&lt;=IFERROR(INDEX(tblChannels[Watched Through],MATCH(N2639,tblChannels[Channel ID],0)),0),"Watched","Unwatched"))</f>
        <v/>
      </c>
      <c r="C2639" s="40" t="n"/>
      <c r="D2639" s="41" t="n"/>
      <c r="E2639" s="42" t="n">
        <v>42493.78055555555</v>
      </c>
      <c r="F2639" s="50" t="inlineStr">
        <is>
          <t>Super Carlin Brothers</t>
        </is>
      </c>
      <c r="G2639" t="inlineStr">
        <is>
          <t>Harry Potter Theory: Dumbledore's Horcrux</t>
        </is>
      </c>
      <c r="H2639" s="44" t="n">
        <v>0.01243055555555556</v>
      </c>
      <c r="I2639" s="45" t="n">
        <v>6012859</v>
      </c>
      <c r="J2639" s="45" t="n">
        <v>120892</v>
      </c>
      <c r="K2639" s="45" t="n">
        <v>20211</v>
      </c>
      <c r="L2639" s="46" t="n"/>
      <c r="M2639" s="47" t="n"/>
      <c r="N2639" s="47" t="inlineStr">
        <is>
          <t>UCKZo4N0lVPccBkSiuyVh4yg</t>
        </is>
      </c>
      <c r="O2639" s="48" t="n">
        <v>42493.94722222222</v>
      </c>
      <c r="P2639" s="49" t="n">
        <v>42493</v>
      </c>
      <c r="Q2639" s="47" t="n">
        <v>629</v>
      </c>
      <c r="R2639" s="47" t="inlineStr">
        <is>
          <t>No Video ID yet</t>
        </is>
      </c>
      <c r="S2639" s="49" t="n"/>
      <c r="T2639" s="49" t="n"/>
      <c r="U2639" s="47" t="inlineStr">
        <is>
          <t>Today we are diving into the wizarding world of Harry Potter to discuss whether or not Dumbledore created a Horcrux and what that Horcrux may be! Dumbledore Elder Wand Horcrux Theory :: Harry VS Nagini Artist :: JK Rowling's Response ::</t>
        </is>
      </c>
      <c r="V2639" s="47">
        <f>IF(AND(P2639&gt;=Calendar!$K$2,P2639&lt;EDATE(Calendar!$K$2,1),OR(Calendar!$K$4="*",N2639=Calendar!$K$4)),P2639*100+COUNTIFS($P$6:$P$3267,P2639,$Q$6:$Q$3267,"&lt;="&amp;Q2639,$N$6:$N$3267,Calendar!$K$4),"")</f>
        <v/>
      </c>
      <c r="W2639" s="47">
        <f>IF(AND(B2639=Queue!$C$4,OR(Queue!$K$4="*",N2639=Queue!$K$4)),Q2639,"")</f>
        <v/>
      </c>
    </row>
    <row r="2640">
      <c r="A2640" s="38">
        <f>IF(M2640="","",HYPERLINK("https://www.youtube.com/watch?v="&amp;M2640,"▶"))</f>
        <v/>
      </c>
      <c r="B2640" s="39">
        <f>IF(C2640&lt;&gt;"",C2640,IF(P2640&lt;=IFERROR(INDEX(tblChannels[Watched Through],MATCH(N2640,tblChannels[Channel ID],0)),0),"Watched","Unwatched"))</f>
        <v/>
      </c>
      <c r="C2640" s="40" t="n"/>
      <c r="D2640" s="41" t="n"/>
      <c r="E2640" s="42" t="n">
        <v>42488.83541666667</v>
      </c>
      <c r="F2640" s="50" t="inlineStr">
        <is>
          <t>Super Carlin Brothers</t>
        </is>
      </c>
      <c r="G2640" t="inlineStr">
        <is>
          <t>Frozen's Ice Harvesting Scene Explained</t>
        </is>
      </c>
      <c r="H2640" s="44" t="n">
        <v>0.005231481481481481</v>
      </c>
      <c r="I2640" s="45" t="n">
        <v>1942505</v>
      </c>
      <c r="J2640" s="45" t="n">
        <v>34734</v>
      </c>
      <c r="K2640" s="45" t="n">
        <v>5912</v>
      </c>
      <c r="L2640" s="46" t="n"/>
      <c r="M2640" s="47" t="n"/>
      <c r="N2640" s="47" t="inlineStr">
        <is>
          <t>UCKZo4N0lVPccBkSiuyVh4yg</t>
        </is>
      </c>
      <c r="O2640" s="48" t="n">
        <v>42489.00208333333</v>
      </c>
      <c r="P2640" s="49" t="n">
        <v>42488</v>
      </c>
      <c r="Q2640" s="47" t="n">
        <v>628</v>
      </c>
      <c r="R2640" s="47" t="inlineStr">
        <is>
          <t>No Video ID yet</t>
        </is>
      </c>
      <c r="S2640" s="49" t="n"/>
      <c r="T2640" s="49" t="n"/>
      <c r="U2640" s="47" t="inlineStr">
        <is>
          <t>Today Ben is explaining the opening scene from Disney's Frozen, where workers are harvesting ice. Why would you do that? What is it for? Does Arendelle have an obsession with ice sculpting? 99% Invisible - The Ice King :: Learn more about harvesting ice:</t>
        </is>
      </c>
      <c r="V2640" s="47">
        <f>IF(AND(P2640&gt;=Calendar!$K$2,P2640&lt;EDATE(Calendar!$K$2,1),OR(Calendar!$K$4="*",N2640=Calendar!$K$4)),P2640*100+COUNTIFS($P$6:$P$3267,P2640,$Q$6:$Q$3267,"&lt;="&amp;Q2640,$N$6:$N$3267,Calendar!$K$4),"")</f>
        <v/>
      </c>
      <c r="W2640" s="47">
        <f>IF(AND(B2640=Queue!$C$4,OR(Queue!$K$4="*",N2640=Queue!$K$4)),Q2640,"")</f>
        <v/>
      </c>
    </row>
    <row r="2641">
      <c r="A2641" s="38">
        <f>IF(M2641="","",HYPERLINK("https://www.youtube.com/watch?v="&amp;M2641,"▶"))</f>
        <v/>
      </c>
      <c r="B2641" s="39">
        <f>IF(C2641&lt;&gt;"",C2641,IF(P2641&lt;=IFERROR(INDEX(tblChannels[Watched Through],MATCH(N2641,tblChannels[Channel ID],0)),0),"Watched","Unwatched"))</f>
        <v/>
      </c>
      <c r="C2641" s="40" t="n"/>
      <c r="D2641" s="41" t="n"/>
      <c r="E2641" s="42" t="n">
        <v>42486.70625</v>
      </c>
      <c r="F2641" s="50" t="inlineStr">
        <is>
          <t>Super Carlin Brothers</t>
        </is>
      </c>
      <c r="G2641" t="inlineStr">
        <is>
          <t>How To Get Away With Google Autofill</t>
        </is>
      </c>
      <c r="H2641" s="44" t="n">
        <v>0.004861111111111111</v>
      </c>
      <c r="I2641" s="45" t="n">
        <v>457118</v>
      </c>
      <c r="J2641" s="45" t="n">
        <v>10196</v>
      </c>
      <c r="K2641" s="45" t="n">
        <v>2405</v>
      </c>
      <c r="L2641" s="46" t="n"/>
      <c r="M2641" s="47" t="n"/>
      <c r="N2641" s="47" t="inlineStr">
        <is>
          <t>UCKZo4N0lVPccBkSiuyVh4yg</t>
        </is>
      </c>
      <c r="O2641" s="48" t="n">
        <v>42486.87291666667</v>
      </c>
      <c r="P2641" s="49" t="n">
        <v>42486</v>
      </c>
      <c r="Q2641" s="47" t="n">
        <v>627</v>
      </c>
      <c r="R2641" s="47" t="inlineStr">
        <is>
          <t>No Video ID yet</t>
        </is>
      </c>
      <c r="S2641" s="49" t="n"/>
      <c r="T2641" s="49" t="n"/>
      <c r="U2641" s="47" t="inlineStr">
        <is>
          <t>Today I am playing the Google Autofill game where I answer Google's most pressing questions! Today's topic.. How To Get Away With...</t>
        </is>
      </c>
      <c r="V2641" s="47">
        <f>IF(AND(P2641&gt;=Calendar!$K$2,P2641&lt;EDATE(Calendar!$K$2,1),OR(Calendar!$K$4="*",N2641=Calendar!$K$4)),P2641*100+COUNTIFS($P$6:$P$3267,P2641,$Q$6:$Q$3267,"&lt;="&amp;Q2641,$N$6:$N$3267,Calendar!$K$4),"")</f>
        <v/>
      </c>
      <c r="W2641" s="47">
        <f>IF(AND(B2641=Queue!$C$4,OR(Queue!$K$4="*",N2641=Queue!$K$4)),Q2641,"")</f>
        <v/>
      </c>
    </row>
    <row r="2642">
      <c r="A2642" s="38">
        <f>IF(M2642="","",HYPERLINK("https://www.youtube.com/watch?v="&amp;M2642,"▶"))</f>
        <v/>
      </c>
      <c r="B2642" s="39">
        <f>IF(C2642&lt;&gt;"",C2642,IF(P2642&lt;=IFERROR(INDEX(tblChannels[Watched Through],MATCH(N2642,tblChannels[Channel ID],0)),0),"Watched","Unwatched"))</f>
        <v/>
      </c>
      <c r="C2642" s="40" t="n"/>
      <c r="D2642" s="41" t="n"/>
      <c r="E2642" s="42" t="n">
        <v>42481.83680555555</v>
      </c>
      <c r="F2642" s="50" t="inlineStr">
        <is>
          <t>Super Carlin Brothers</t>
        </is>
      </c>
      <c r="G2642" t="inlineStr">
        <is>
          <t>Pixar Theory: Why Does Buzz Lightyear Freeze?</t>
        </is>
      </c>
      <c r="H2642" s="44" t="n">
        <v>0.004826388888888889</v>
      </c>
      <c r="I2642" s="45" t="n">
        <v>2504802</v>
      </c>
      <c r="J2642" s="45" t="n">
        <v>41111</v>
      </c>
      <c r="K2642" s="45" t="n">
        <v>4364</v>
      </c>
      <c r="L2642" s="46" t="n"/>
      <c r="M2642" s="47" t="n"/>
      <c r="N2642" s="47" t="inlineStr">
        <is>
          <t>UCKZo4N0lVPccBkSiuyVh4yg</t>
        </is>
      </c>
      <c r="O2642" s="48" t="n">
        <v>42482.00347222222</v>
      </c>
      <c r="P2642" s="49" t="n">
        <v>42481</v>
      </c>
      <c r="Q2642" s="47" t="n">
        <v>626</v>
      </c>
      <c r="R2642" s="47" t="inlineStr">
        <is>
          <t>No Video ID yet</t>
        </is>
      </c>
      <c r="S2642" s="49" t="n"/>
      <c r="T2642" s="49" t="n"/>
      <c r="U2642" s="47" t="inlineStr">
        <is>
          <t>FAQs below! Today Ben tackles maybe the oldest question in the Pixar universe - Buzz Lightyear truly believes he is a space ranger, then why does he freeze like the rest of the toys in Toy Story??? What about the toys in Al's Toy Barn? - Great Question! What about those toys? First thought is about window shopping as a kid. I stared longingly at many a toy that I would never go on to own, but those toys still sourced tremendous admiration from me. Also, many of the toys that come to life in the barn appear to be the store models or part of a display. These specific action figures would most likely get the most attention and/or interaction with store patrons. ***This link to watch "Other Buzz" come to life: What about the Prospector? Didn't he sit on a "Dime Store Shelf" watching every other toy get sold?! - This is very true. His consciousness during his days at the store are admittedly the hardest to currently explain. From his days as part of Al's collection on the other hand, is far easier. Al, although depicted as a kind of "villain" in this film, is a mere collector of toys. And many collectors do buy and sell fairly regularly as a way to maintain interest or just to fuel thei</t>
        </is>
      </c>
      <c r="V2642" s="47">
        <f>IF(AND(P2642&gt;=Calendar!$K$2,P2642&lt;EDATE(Calendar!$K$2,1),OR(Calendar!$K$4="*",N2642=Calendar!$K$4)),P2642*100+COUNTIFS($P$6:$P$3267,P2642,$Q$6:$Q$3267,"&lt;="&amp;Q2642,$N$6:$N$3267,Calendar!$K$4),"")</f>
        <v/>
      </c>
      <c r="W2642" s="47">
        <f>IF(AND(B2642=Queue!$C$4,OR(Queue!$K$4="*",N2642=Queue!$K$4)),Q2642,"")</f>
        <v/>
      </c>
    </row>
    <row r="2643">
      <c r="A2643" s="38">
        <f>IF(M2643="","",HYPERLINK("https://www.youtube.com/watch?v="&amp;M2643,"▶"))</f>
        <v/>
      </c>
      <c r="B2643" s="39">
        <f>IF(C2643&lt;&gt;"",C2643,IF(P2643&lt;=IFERROR(INDEX(tblChannels[Watched Through],MATCH(N2643,tblChannels[Channel ID],0)),0),"Watched","Unwatched"))</f>
        <v/>
      </c>
      <c r="C2643" s="40" t="n"/>
      <c r="D2643" s="41" t="n"/>
      <c r="E2643" s="42" t="n">
        <v>42479.625</v>
      </c>
      <c r="F2643" s="50" t="inlineStr">
        <is>
          <t>Super Carlin Brothers</t>
        </is>
      </c>
      <c r="G2643" t="inlineStr">
        <is>
          <t>Is Toy Story's Sid Actually A Bad Kid?</t>
        </is>
      </c>
      <c r="H2643" s="44" t="n">
        <v>0.0059375</v>
      </c>
      <c r="I2643" s="45" t="n">
        <v>1932452</v>
      </c>
      <c r="J2643" s="45" t="n">
        <v>34809</v>
      </c>
      <c r="K2643" s="45" t="n">
        <v>5966</v>
      </c>
      <c r="L2643" s="46" t="n"/>
      <c r="M2643" s="47" t="n"/>
      <c r="N2643" s="47" t="inlineStr">
        <is>
          <t>UCKZo4N0lVPccBkSiuyVh4yg</t>
        </is>
      </c>
      <c r="O2643" s="48" t="n">
        <v>42479.79166666666</v>
      </c>
      <c r="P2643" s="49" t="n">
        <v>42479</v>
      </c>
      <c r="Q2643" s="47" t="n">
        <v>625</v>
      </c>
      <c r="R2643" s="47" t="inlineStr">
        <is>
          <t>No Video ID yet</t>
        </is>
      </c>
      <c r="S2643" s="49" t="n"/>
      <c r="T2643" s="49" t="n"/>
      <c r="U2643" s="47" t="inlineStr">
        <is>
          <t>Today we look at Sid Phillips from Disney Pixar's Toy Story - He is Sid is without a doubt one of the creepier and darker characters from my childhood, but looking back.. is he really that bad?</t>
        </is>
      </c>
      <c r="V2643" s="47">
        <f>IF(AND(P2643&gt;=Calendar!$K$2,P2643&lt;EDATE(Calendar!$K$2,1),OR(Calendar!$K$4="*",N2643=Calendar!$K$4)),P2643*100+COUNTIFS($P$6:$P$3267,P2643,$Q$6:$Q$3267,"&lt;="&amp;Q2643,$N$6:$N$3267,Calendar!$K$4),"")</f>
        <v/>
      </c>
      <c r="W2643" s="47">
        <f>IF(AND(B2643=Queue!$C$4,OR(Queue!$K$4="*",N2643=Queue!$K$4)),Q2643,"")</f>
        <v/>
      </c>
    </row>
    <row r="2644">
      <c r="A2644" s="38">
        <f>IF(M2644="","",HYPERLINK("https://www.youtube.com/watch?v="&amp;M2644,"▶"))</f>
        <v/>
      </c>
      <c r="B2644" s="39">
        <f>IF(C2644&lt;&gt;"",C2644,IF(P2644&lt;=IFERROR(INDEX(tblChannels[Watched Through],MATCH(N2644,tblChannels[Channel ID],0)),0),"Watched","Unwatched"))</f>
        <v/>
      </c>
      <c r="C2644" s="40" t="n"/>
      <c r="D2644" s="41" t="n"/>
      <c r="E2644" s="42" t="n">
        <v>42474.625</v>
      </c>
      <c r="F2644" s="50" t="inlineStr">
        <is>
          <t>Super Carlin Brothers</t>
        </is>
      </c>
      <c r="G2644" t="inlineStr">
        <is>
          <t>Pixar Theory: Wall-E is a Villain?! (feat. T. Michael Martin)</t>
        </is>
      </c>
      <c r="H2644" s="44" t="n">
        <v>0.005138888888888889</v>
      </c>
      <c r="I2644" s="45" t="n">
        <v>1291111</v>
      </c>
      <c r="J2644" s="45" t="n">
        <v>22670</v>
      </c>
      <c r="K2644" s="45" t="n">
        <v>2684</v>
      </c>
      <c r="L2644" s="46" t="n"/>
      <c r="M2644" s="47" t="n"/>
      <c r="N2644" s="47" t="inlineStr">
        <is>
          <t>UCKZo4N0lVPccBkSiuyVh4yg</t>
        </is>
      </c>
      <c r="O2644" s="48" t="n">
        <v>42474.79166666666</v>
      </c>
      <c r="P2644" s="49" t="n">
        <v>42474</v>
      </c>
      <c r="Q2644" s="47" t="n">
        <v>624</v>
      </c>
      <c r="R2644" s="47" t="inlineStr">
        <is>
          <t>No Video ID yet</t>
        </is>
      </c>
      <c r="S2644" s="49" t="n"/>
      <c r="T2644" s="49" t="n"/>
      <c r="U2644" s="47" t="inlineStr">
        <is>
          <t>Preorder Mr. Fahrenheit: Today T. Michael Martin from How To Adult, joins me to discuss Disney Pixar's Wall-E, and whether or not he is the actual villain of the movie?! Check out Mikes Channels: How to Adult: T. Michael Martin:</t>
        </is>
      </c>
      <c r="V2644" s="47">
        <f>IF(AND(P2644&gt;=Calendar!$K$2,P2644&lt;EDATE(Calendar!$K$2,1),OR(Calendar!$K$4="*",N2644=Calendar!$K$4)),P2644*100+COUNTIFS($P$6:$P$3267,P2644,$Q$6:$Q$3267,"&lt;="&amp;Q2644,$N$6:$N$3267,Calendar!$K$4),"")</f>
        <v/>
      </c>
      <c r="W2644" s="47">
        <f>IF(AND(B2644=Queue!$C$4,OR(Queue!$K$4="*",N2644=Queue!$K$4)),Q2644,"")</f>
        <v/>
      </c>
    </row>
    <row r="2645">
      <c r="A2645" s="38">
        <f>IF(M2645="","",HYPERLINK("https://www.youtube.com/watch?v="&amp;M2645,"▶"))</f>
        <v/>
      </c>
      <c r="B2645" s="39">
        <f>IF(C2645&lt;&gt;"",C2645,IF(P2645&lt;=IFERROR(INDEX(tblChannels[Watched Through],MATCH(N2645,tblChannels[Channel ID],0)),0),"Watched","Unwatched"))</f>
        <v/>
      </c>
      <c r="C2645" s="40" t="n"/>
      <c r="D2645" s="41" t="n"/>
      <c r="E2645" s="42" t="n">
        <v>42473.74027777778</v>
      </c>
      <c r="F2645" s="52" t="inlineStr">
        <is>
          <t>Super Carlin Gaming</t>
        </is>
      </c>
      <c r="G2645" t="inlineStr">
        <is>
          <t>Knights of the Old Republic #20 - T3-M4? More like T3-M80, Right?</t>
        </is>
      </c>
      <c r="H2645" s="44" t="n">
        <v>0.01474537037037037</v>
      </c>
      <c r="I2645" s="45" t="n">
        <v>1828</v>
      </c>
      <c r="J2645" s="45" t="n">
        <v>41</v>
      </c>
      <c r="K2645" s="45" t="n">
        <v>11</v>
      </c>
      <c r="L2645" s="46" t="n"/>
      <c r="M2645" s="47" t="n"/>
      <c r="N2645" s="47" t="inlineStr">
        <is>
          <t>UCor_9jRnNNZVzTuQ92PKsaQ</t>
        </is>
      </c>
      <c r="O2645" s="48" t="n">
        <v>42473.90694444445</v>
      </c>
      <c r="P2645" s="49" t="n">
        <v>42473</v>
      </c>
      <c r="Q2645" s="47" t="n">
        <v>623</v>
      </c>
      <c r="R2645" s="47" t="inlineStr">
        <is>
          <t>No Video ID yet</t>
        </is>
      </c>
      <c r="S2645" s="49" t="n"/>
      <c r="T2645" s="49" t="n"/>
      <c r="U2645" s="47" t="inlineStr">
        <is>
          <t>Gaining entrance to the sith academy proves to be a little tougher than we imagined, but we got it. Every time you give us a thumbs up a Narwhal gets its horn! (maybe.)</t>
        </is>
      </c>
      <c r="V2645" s="47">
        <f>IF(AND(P2645&gt;=Calendar!$K$2,P2645&lt;EDATE(Calendar!$K$2,1),OR(Calendar!$K$4="*",N2645=Calendar!$K$4)),P2645*100+COUNTIFS($P$6:$P$3267,P2645,$Q$6:$Q$3267,"&lt;="&amp;Q2645,$N$6:$N$3267,Calendar!$K$4),"")</f>
        <v/>
      </c>
      <c r="W2645" s="47">
        <f>IF(AND(B2645=Queue!$C$4,OR(Queue!$K$4="*",N2645=Queue!$K$4)),Q2645,"")</f>
        <v/>
      </c>
    </row>
    <row r="2646">
      <c r="A2646" s="38">
        <f>IF(M2646="","",HYPERLINK("https://www.youtube.com/watch?v="&amp;M2646,"▶"))</f>
        <v/>
      </c>
      <c r="B2646" s="39">
        <f>IF(C2646&lt;&gt;"",C2646,IF(P2646&lt;=IFERROR(INDEX(tblChannels[Watched Through],MATCH(N2646,tblChannels[Channel ID],0)),0),"Watched","Unwatched"))</f>
        <v/>
      </c>
      <c r="C2646" s="40" t="n"/>
      <c r="D2646" s="41" t="n"/>
      <c r="E2646" s="42" t="n">
        <v>42472.64583333334</v>
      </c>
      <c r="F2646" s="50" t="inlineStr">
        <is>
          <t>Super Carlin Brothers</t>
        </is>
      </c>
      <c r="G2646" t="inlineStr">
        <is>
          <t>LootCrate Unboxing | VERSUS</t>
        </is>
      </c>
      <c r="H2646" s="44" t="n">
        <v>0.005740740740740741</v>
      </c>
      <c r="I2646" s="45" t="n">
        <v>116470</v>
      </c>
      <c r="J2646" s="45" t="n">
        <v>3129</v>
      </c>
      <c r="K2646" s="45" t="n">
        <v>844</v>
      </c>
      <c r="L2646" s="46" t="n"/>
      <c r="M2646" s="47" t="n"/>
      <c r="N2646" s="47" t="inlineStr">
        <is>
          <t>UCKZo4N0lVPccBkSiuyVh4yg</t>
        </is>
      </c>
      <c r="O2646" s="48" t="n">
        <v>42472.8125</v>
      </c>
      <c r="P2646" s="49" t="n">
        <v>42472</v>
      </c>
      <c r="Q2646" s="47" t="n">
        <v>622</v>
      </c>
      <c r="R2646" s="47" t="inlineStr">
        <is>
          <t>No Video ID yet</t>
        </is>
      </c>
      <c r="S2646" s="49" t="n"/>
      <c r="T2646" s="49" t="n"/>
      <c r="U2646" s="47" t="inlineStr">
        <is>
          <t>Get 10% Off your LootCrate Order here: Promo Code: CARLIN Today we are unboxing the March LootCrate: Versus</t>
        </is>
      </c>
      <c r="V2646" s="47">
        <f>IF(AND(P2646&gt;=Calendar!$K$2,P2646&lt;EDATE(Calendar!$K$2,1),OR(Calendar!$K$4="*",N2646=Calendar!$K$4)),P2646*100+COUNTIFS($P$6:$P$3267,P2646,$Q$6:$Q$3267,"&lt;="&amp;Q2646,$N$6:$N$3267,Calendar!$K$4),"")</f>
        <v/>
      </c>
      <c r="W2646" s="47">
        <f>IF(AND(B2646=Queue!$C$4,OR(Queue!$K$4="*",N2646=Queue!$K$4)),Q2646,"")</f>
        <v/>
      </c>
    </row>
    <row r="2647">
      <c r="A2647" s="38">
        <f>IF(M2647="","",HYPERLINK("https://www.youtube.com/watch?v="&amp;M2647,"▶"))</f>
        <v/>
      </c>
      <c r="B2647" s="39">
        <f>IF(C2647&lt;&gt;"",C2647,IF(P2647&lt;=IFERROR(INDEX(tblChannels[Watched Through],MATCH(N2647,tblChannels[Channel ID],0)),0),"Watched","Unwatched"))</f>
        <v/>
      </c>
      <c r="C2647" s="40" t="n"/>
      <c r="D2647" s="41" t="n"/>
      <c r="E2647" s="42" t="n">
        <v>42470.79027777778</v>
      </c>
      <c r="F2647" s="52" t="inlineStr">
        <is>
          <t>Super Carlin Gaming</t>
        </is>
      </c>
      <c r="G2647" t="inlineStr">
        <is>
          <t>Knights of the Old Republic #19 - Peaches McClain, the Smuggler? no, the War Hero!</t>
        </is>
      </c>
      <c r="H2647" s="44" t="n">
        <v>0.02157407407407408</v>
      </c>
      <c r="I2647" s="45" t="n">
        <v>1375</v>
      </c>
      <c r="J2647" s="45" t="n">
        <v>50</v>
      </c>
      <c r="K2647" s="45" t="n">
        <v>15</v>
      </c>
      <c r="L2647" s="46" t="n"/>
      <c r="M2647" s="47" t="n"/>
      <c r="N2647" s="47" t="inlineStr">
        <is>
          <t>UCor_9jRnNNZVzTuQ92PKsaQ</t>
        </is>
      </c>
      <c r="O2647" s="48" t="n">
        <v>42470.95694444444</v>
      </c>
      <c r="P2647" s="49" t="n">
        <v>42470</v>
      </c>
      <c r="Q2647" s="47" t="n">
        <v>621</v>
      </c>
      <c r="R2647" s="47" t="inlineStr">
        <is>
          <t>No Video ID yet</t>
        </is>
      </c>
      <c r="S2647" s="49" t="n"/>
      <c r="T2647" s="49" t="n"/>
      <c r="U2647" s="47" t="inlineStr">
        <is>
          <t>Goodbye Kashyyyk and your heavily debated name! Hello Korriban, where no one is quite as evil as me, but boy are they close! Every time you give us a thumbs up a Narwhal gets its horn! (maybe.)</t>
        </is>
      </c>
      <c r="V2647" s="47">
        <f>IF(AND(P2647&gt;=Calendar!$K$2,P2647&lt;EDATE(Calendar!$K$2,1),OR(Calendar!$K$4="*",N2647=Calendar!$K$4)),P2647*100+COUNTIFS($P$6:$P$3267,P2647,$Q$6:$Q$3267,"&lt;="&amp;Q2647,$N$6:$N$3267,Calendar!$K$4),"")</f>
        <v/>
      </c>
      <c r="W2647" s="47">
        <f>IF(AND(B2647=Queue!$C$4,OR(Queue!$K$4="*",N2647=Queue!$K$4)),Q2647,"")</f>
        <v/>
      </c>
    </row>
    <row r="2648">
      <c r="A2648" s="38">
        <f>IF(M2648="","",HYPERLINK("https://www.youtube.com/watch?v="&amp;M2648,"▶"))</f>
        <v/>
      </c>
      <c r="B2648" s="39">
        <f>IF(C2648&lt;&gt;"",C2648,IF(P2648&lt;=IFERROR(INDEX(tblChannels[Watched Through],MATCH(N2648,tblChannels[Channel ID],0)),0),"Watched","Unwatched"))</f>
        <v/>
      </c>
      <c r="C2648" s="40" t="n"/>
      <c r="D2648" s="41" t="n"/>
      <c r="E2648" s="42" t="n">
        <v>42467.88263888889</v>
      </c>
      <c r="F2648" s="50" t="inlineStr">
        <is>
          <t>Super Carlin Brothers</t>
        </is>
      </c>
      <c r="G2648" t="inlineStr">
        <is>
          <t>Rogue One Trailer | Review, Analysis and Predictions</t>
        </is>
      </c>
      <c r="H2648" s="44" t="n">
        <v>0.005138888888888889</v>
      </c>
      <c r="I2648" s="45" t="n">
        <v>157323</v>
      </c>
      <c r="J2648" s="45" t="n">
        <v>4015</v>
      </c>
      <c r="K2648" s="45" t="n">
        <v>1188</v>
      </c>
      <c r="L2648" s="46" t="n"/>
      <c r="M2648" s="47" t="n"/>
      <c r="N2648" s="47" t="inlineStr">
        <is>
          <t>UCKZo4N0lVPccBkSiuyVh4yg</t>
        </is>
      </c>
      <c r="O2648" s="48" t="n">
        <v>42468.04930555556</v>
      </c>
      <c r="P2648" s="49" t="n">
        <v>42467</v>
      </c>
      <c r="Q2648" s="47" t="n">
        <v>620</v>
      </c>
      <c r="R2648" s="47" t="inlineStr">
        <is>
          <t>No Video ID yet</t>
        </is>
      </c>
      <c r="S2648" s="49" t="n"/>
      <c r="T2648" s="49" t="n"/>
      <c r="U2648" s="47" t="inlineStr">
        <is>
          <t>Today we are reviewing the new Star Wars Rogue One Teaser Trailer and giving our review, predicionts and analysis! Check out the full trailer here:</t>
        </is>
      </c>
      <c r="V2648" s="47">
        <f>IF(AND(P2648&gt;=Calendar!$K$2,P2648&lt;EDATE(Calendar!$K$2,1),OR(Calendar!$K$4="*",N2648=Calendar!$K$4)),P2648*100+COUNTIFS($P$6:$P$3267,P2648,$Q$6:$Q$3267,"&lt;="&amp;Q2648,$N$6:$N$3267,Calendar!$K$4),"")</f>
        <v/>
      </c>
      <c r="W2648" s="47">
        <f>IF(AND(B2648=Queue!$C$4,OR(Queue!$K$4="*",N2648=Queue!$K$4)),Q2648,"")</f>
        <v/>
      </c>
    </row>
    <row r="2649">
      <c r="A2649" s="38">
        <f>IF(M2649="","",HYPERLINK("https://www.youtube.com/watch?v="&amp;M2649,"▶"))</f>
        <v/>
      </c>
      <c r="B2649" s="39">
        <f>IF(C2649&lt;&gt;"",C2649,IF(P2649&lt;=IFERROR(INDEX(tblChannels[Watched Through],MATCH(N2649,tblChannels[Channel ID],0)),0),"Watched","Unwatched"))</f>
        <v/>
      </c>
      <c r="C2649" s="40" t="n"/>
      <c r="D2649" s="41" t="n"/>
      <c r="E2649" s="42" t="n">
        <v>42466.39652777778</v>
      </c>
      <c r="F2649" s="52" t="inlineStr">
        <is>
          <t>Super Carlin Gaming</t>
        </is>
      </c>
      <c r="G2649" t="inlineStr">
        <is>
          <t>Knights of the Old Republic #18 - Canderous You're My Hero</t>
        </is>
      </c>
      <c r="H2649" s="44" t="n">
        <v>0.02115740740740741</v>
      </c>
      <c r="I2649" s="45" t="n">
        <v>1438</v>
      </c>
      <c r="J2649" s="45" t="n">
        <v>52</v>
      </c>
      <c r="K2649" s="45" t="n">
        <v>16</v>
      </c>
      <c r="L2649" s="46" t="n"/>
      <c r="M2649" s="47" t="n"/>
      <c r="N2649" s="47" t="inlineStr">
        <is>
          <t>UCor_9jRnNNZVzTuQ92PKsaQ</t>
        </is>
      </c>
      <c r="O2649" s="48" t="n">
        <v>42466.56319444445</v>
      </c>
      <c r="P2649" s="49" t="n">
        <v>42466</v>
      </c>
      <c r="Q2649" s="47" t="n">
        <v>619</v>
      </c>
      <c r="R2649" s="47" t="inlineStr">
        <is>
          <t>No Video ID yet</t>
        </is>
      </c>
      <c r="S2649" s="49" t="n"/>
      <c r="T2649" s="49" t="n"/>
      <c r="U2649" s="47" t="inlineStr">
        <is>
          <t>Having discovered the Star Forge, we are now read to move away from Kashyyyk but i need your help! Every time you give us a thumbs up a Narwhal gets its horn! (maybe.)</t>
        </is>
      </c>
      <c r="V2649" s="47">
        <f>IF(AND(P2649&gt;=Calendar!$K$2,P2649&lt;EDATE(Calendar!$K$2,1),OR(Calendar!$K$4="*",N2649=Calendar!$K$4)),P2649*100+COUNTIFS($P$6:$P$3267,P2649,$Q$6:$Q$3267,"&lt;="&amp;Q2649,$N$6:$N$3267,Calendar!$K$4),"")</f>
        <v/>
      </c>
      <c r="W2649" s="47">
        <f>IF(AND(B2649=Queue!$C$4,OR(Queue!$K$4="*",N2649=Queue!$K$4)),Q2649,"")</f>
        <v/>
      </c>
    </row>
    <row r="2650">
      <c r="A2650" s="38">
        <f>IF(M2650="","",HYPERLINK("https://www.youtube.com/watch?v="&amp;M2650,"▶"))</f>
        <v/>
      </c>
      <c r="B2650" s="39">
        <f>IF(C2650&lt;&gt;"",C2650,IF(P2650&lt;=IFERROR(INDEX(tblChannels[Watched Through],MATCH(N2650,tblChannels[Channel ID],0)),0),"Watched","Unwatched"))</f>
        <v/>
      </c>
      <c r="C2650" s="40" t="n"/>
      <c r="D2650" s="41" t="n"/>
      <c r="E2650" s="42" t="n">
        <v>42465.80972222222</v>
      </c>
      <c r="F2650" s="50" t="inlineStr">
        <is>
          <t>Super Carlin Brothers</t>
        </is>
      </c>
      <c r="G2650" t="inlineStr">
        <is>
          <t>Draw My Life | Super Carlin Brothers</t>
        </is>
      </c>
      <c r="H2650" s="44" t="n">
        <v>0.008460648148148148</v>
      </c>
      <c r="I2650" s="45" t="n">
        <v>729222</v>
      </c>
      <c r="J2650" s="45" t="n">
        <v>19571</v>
      </c>
      <c r="K2650" s="45" t="n">
        <v>2046</v>
      </c>
      <c r="L2650" s="46" t="n"/>
      <c r="M2650" s="47" t="n"/>
      <c r="N2650" s="47" t="inlineStr">
        <is>
          <t>UCKZo4N0lVPccBkSiuyVh4yg</t>
        </is>
      </c>
      <c r="O2650" s="48" t="n">
        <v>42465.97638888889</v>
      </c>
      <c r="P2650" s="49" t="n">
        <v>42465</v>
      </c>
      <c r="Q2650" s="47" t="n">
        <v>618</v>
      </c>
      <c r="R2650" s="47" t="inlineStr">
        <is>
          <t>No Video ID yet</t>
        </is>
      </c>
      <c r="S2650" s="49" t="n"/>
      <c r="T2650" s="49" t="n"/>
      <c r="U2650" s="47" t="inlineStr">
        <is>
          <t>Today in celebration of hitting the 500k Subscriber mark I am doing a Draw My Life video to share my YouTube story, thus far, with you! You’re free to use this song in any of your videos, but you must include the following in your video description: Daily Beetle by Kevin MacLeod is licensed under a Creative Commons Attribution license ( Source: Artist:</t>
        </is>
      </c>
      <c r="V2650" s="47">
        <f>IF(AND(P2650&gt;=Calendar!$K$2,P2650&lt;EDATE(Calendar!$K$2,1),OR(Calendar!$K$4="*",N2650=Calendar!$K$4)),P2650*100+COUNTIFS($P$6:$P$3267,P2650,$Q$6:$Q$3267,"&lt;="&amp;Q2650,$N$6:$N$3267,Calendar!$K$4),"")</f>
        <v/>
      </c>
      <c r="W2650" s="47">
        <f>IF(AND(B2650=Queue!$C$4,OR(Queue!$K$4="*",N2650=Queue!$K$4)),Q2650,"")</f>
        <v/>
      </c>
    </row>
    <row r="2651">
      <c r="A2651" s="38">
        <f>IF(M2651="","",HYPERLINK("https://www.youtube.com/watch?v="&amp;M2651,"▶"))</f>
        <v/>
      </c>
      <c r="B2651" s="39">
        <f>IF(C2651&lt;&gt;"",C2651,IF(P2651&lt;=IFERROR(INDEX(tblChannels[Watched Through],MATCH(N2651,tblChannels[Channel ID],0)),0),"Watched","Unwatched"))</f>
        <v/>
      </c>
      <c r="C2651" s="40" t="n"/>
      <c r="D2651" s="41" t="n"/>
      <c r="E2651" s="42" t="n">
        <v>42460.84375</v>
      </c>
      <c r="F2651" s="50" t="inlineStr">
        <is>
          <t>Super Carlin Brothers</t>
        </is>
      </c>
      <c r="G2651" t="inlineStr">
        <is>
          <t>Finding Nemo and The Five Stages of Grief</t>
        </is>
      </c>
      <c r="H2651" s="44" t="n">
        <v>0.004479166666666667</v>
      </c>
      <c r="I2651" s="45" t="n">
        <v>471104</v>
      </c>
      <c r="J2651" s="45" t="n">
        <v>11221</v>
      </c>
      <c r="K2651" s="45" t="n">
        <v>1321</v>
      </c>
      <c r="L2651" s="46" t="n"/>
      <c r="M2651" s="47" t="n"/>
      <c r="N2651" s="47" t="inlineStr">
        <is>
          <t>UCKZo4N0lVPccBkSiuyVh4yg</t>
        </is>
      </c>
      <c r="O2651" s="48" t="n">
        <v>42461.01041666666</v>
      </c>
      <c r="P2651" s="49" t="n">
        <v>42460</v>
      </c>
      <c r="Q2651" s="47" t="n">
        <v>617</v>
      </c>
      <c r="R2651" s="47" t="inlineStr">
        <is>
          <t>No Video ID yet</t>
        </is>
      </c>
      <c r="S2651" s="49" t="n"/>
      <c r="T2651" s="49" t="n"/>
      <c r="U2651" s="47" t="inlineStr">
        <is>
          <t>IS IT JUNE YET????????? Disney Pixar's Finding Nemo may appear to be about a father searching the ocean for his son, but it's also about the father traveling through the five stages of grief.</t>
        </is>
      </c>
      <c r="V2651" s="47">
        <f>IF(AND(P2651&gt;=Calendar!$K$2,P2651&lt;EDATE(Calendar!$K$2,1),OR(Calendar!$K$4="*",N2651=Calendar!$K$4)),P2651*100+COUNTIFS($P$6:$P$3267,P2651,$Q$6:$Q$3267,"&lt;="&amp;Q2651,$N$6:$N$3267,Calendar!$K$4),"")</f>
        <v/>
      </c>
      <c r="W2651" s="47">
        <f>IF(AND(B2651=Queue!$C$4,OR(Queue!$K$4="*",N2651=Queue!$K$4)),Q2651,"")</f>
        <v/>
      </c>
    </row>
    <row r="2652">
      <c r="A2652" s="38">
        <f>IF(M2652="","",HYPERLINK("https://www.youtube.com/watch?v="&amp;M2652,"▶"))</f>
        <v/>
      </c>
      <c r="B2652" s="39">
        <f>IF(C2652&lt;&gt;"",C2652,IF(P2652&lt;=IFERROR(INDEX(tblChannels[Watched Through],MATCH(N2652,tblChannels[Channel ID],0)),0),"Watched","Unwatched"))</f>
        <v/>
      </c>
      <c r="C2652" s="40" t="n"/>
      <c r="D2652" s="41" t="n"/>
      <c r="E2652" s="42" t="n">
        <v>42460.68888888889</v>
      </c>
      <c r="F2652" s="52" t="inlineStr">
        <is>
          <t>Super Carlin Gaming</t>
        </is>
      </c>
      <c r="G2652" t="inlineStr">
        <is>
          <t>Knights of the Old Republic #17 - Jedi on Kashyyyk?</t>
        </is>
      </c>
      <c r="H2652" s="44" t="n">
        <v>0.03229166666666667</v>
      </c>
      <c r="I2652" s="45" t="n">
        <v>1803</v>
      </c>
      <c r="J2652" s="45" t="n">
        <v>54</v>
      </c>
      <c r="K2652" s="45" t="n">
        <v>19</v>
      </c>
      <c r="L2652" s="46" t="n"/>
      <c r="M2652" s="47" t="n"/>
      <c r="N2652" s="47" t="inlineStr">
        <is>
          <t>UCor_9jRnNNZVzTuQ92PKsaQ</t>
        </is>
      </c>
      <c r="O2652" s="48" t="n">
        <v>42460.85555555556</v>
      </c>
      <c r="P2652" s="49" t="n">
        <v>42460</v>
      </c>
      <c r="Q2652" s="47" t="n">
        <v>616</v>
      </c>
      <c r="R2652" s="47" t="inlineStr">
        <is>
          <t>No Video ID yet</t>
        </is>
      </c>
      <c r="S2652" s="49" t="n"/>
      <c r="T2652" s="49" t="n"/>
      <c r="U2652" s="47" t="inlineStr">
        <is>
          <t>Today's Kashyyyk adventures bring us that much closer to unraveling the truth of the Star Forge Every time you give us a thumbs up a Narwhal gets its horn! (maybe.)</t>
        </is>
      </c>
      <c r="V2652" s="47">
        <f>IF(AND(P2652&gt;=Calendar!$K$2,P2652&lt;EDATE(Calendar!$K$2,1),OR(Calendar!$K$4="*",N2652=Calendar!$K$4)),P2652*100+COUNTIFS($P$6:$P$3267,P2652,$Q$6:$Q$3267,"&lt;="&amp;Q2652,$N$6:$N$3267,Calendar!$K$4),"")</f>
        <v/>
      </c>
      <c r="W2652" s="47">
        <f>IF(AND(B2652=Queue!$C$4,OR(Queue!$K$4="*",N2652=Queue!$K$4)),Q2652,"")</f>
        <v/>
      </c>
    </row>
    <row r="2653">
      <c r="A2653" s="38">
        <f>IF(M2653="","",HYPERLINK("https://www.youtube.com/watch?v="&amp;M2653,"▶"))</f>
        <v/>
      </c>
      <c r="B2653" s="39">
        <f>IF(C2653&lt;&gt;"",C2653,IF(P2653&lt;=IFERROR(INDEX(tblChannels[Watched Through],MATCH(N2653,tblChannels[Channel ID],0)),0),"Watched","Unwatched"))</f>
        <v/>
      </c>
      <c r="C2653" s="40" t="n"/>
      <c r="D2653" s="41" t="n"/>
      <c r="E2653" s="42" t="n">
        <v>42459.68958333333</v>
      </c>
      <c r="F2653" s="52" t="inlineStr">
        <is>
          <t>Super Carlin Gaming</t>
        </is>
      </c>
      <c r="G2653" t="inlineStr">
        <is>
          <t>Knights of the Old Republic #16 - Kashyyyk Explorations!</t>
        </is>
      </c>
      <c r="H2653" s="44" t="n">
        <v>0.02490740740740741</v>
      </c>
      <c r="I2653" s="45" t="n">
        <v>1609</v>
      </c>
      <c r="J2653" s="45" t="n">
        <v>54</v>
      </c>
      <c r="K2653" s="45" t="n">
        <v>16</v>
      </c>
      <c r="L2653" s="46" t="n"/>
      <c r="M2653" s="47" t="n"/>
      <c r="N2653" s="47" t="inlineStr">
        <is>
          <t>UCor_9jRnNNZVzTuQ92PKsaQ</t>
        </is>
      </c>
      <c r="O2653" s="48" t="n">
        <v>42459.85625</v>
      </c>
      <c r="P2653" s="49" t="n">
        <v>42459</v>
      </c>
      <c r="Q2653" s="47" t="n">
        <v>615</v>
      </c>
      <c r="R2653" s="47" t="inlineStr">
        <is>
          <t>No Video ID yet</t>
        </is>
      </c>
      <c r="S2653" s="49" t="n"/>
      <c r="T2653" s="49" t="n"/>
      <c r="U2653" s="47" t="inlineStr">
        <is>
          <t>Today we explore Kashyyyk and run into a few of Zaalbar's old friends, and maybe one of our own! Every time you give us a thumbs up a Narwhal gets its horn! (maybe.)</t>
        </is>
      </c>
      <c r="V2653" s="47">
        <f>IF(AND(P2653&gt;=Calendar!$K$2,P2653&lt;EDATE(Calendar!$K$2,1),OR(Calendar!$K$4="*",N2653=Calendar!$K$4)),P2653*100+COUNTIFS($P$6:$P$3267,P2653,$Q$6:$Q$3267,"&lt;="&amp;Q2653,$N$6:$N$3267,Calendar!$K$4),"")</f>
        <v/>
      </c>
      <c r="W2653" s="47">
        <f>IF(AND(B2653=Queue!$C$4,OR(Queue!$K$4="*",N2653=Queue!$K$4)),Q2653,"")</f>
        <v/>
      </c>
    </row>
    <row r="2654">
      <c r="A2654" s="38">
        <f>IF(M2654="","",HYPERLINK("https://www.youtube.com/watch?v="&amp;M2654,"▶"))</f>
        <v/>
      </c>
      <c r="B2654" s="39">
        <f>IF(C2654&lt;&gt;"",C2654,IF(P2654&lt;=IFERROR(INDEX(tblChannels[Watched Through],MATCH(N2654,tblChannels[Channel ID],0)),0),"Watched","Unwatched"))</f>
        <v/>
      </c>
      <c r="C2654" s="40" t="n"/>
      <c r="D2654" s="41" t="n"/>
      <c r="E2654" s="42" t="n">
        <v>42458.68680555555</v>
      </c>
      <c r="F2654" s="50" t="inlineStr">
        <is>
          <t>Super Carlin Brothers</t>
        </is>
      </c>
      <c r="G2654" t="inlineStr">
        <is>
          <t>The Truth About Finding Nemo</t>
        </is>
      </c>
      <c r="H2654" s="44" t="n">
        <v>0.003645833333333333</v>
      </c>
      <c r="I2654" s="45" t="n">
        <v>820038</v>
      </c>
      <c r="J2654" s="45" t="n">
        <v>17924</v>
      </c>
      <c r="K2654" s="45" t="n">
        <v>3616</v>
      </c>
      <c r="L2654" s="46" t="n"/>
      <c r="M2654" s="47" t="n"/>
      <c r="N2654" s="47" t="inlineStr">
        <is>
          <t>UCKZo4N0lVPccBkSiuyVh4yg</t>
        </is>
      </c>
      <c r="O2654" s="48" t="n">
        <v>42458.85347222222</v>
      </c>
      <c r="P2654" s="49" t="n">
        <v>42458</v>
      </c>
      <c r="Q2654" s="47" t="n">
        <v>614</v>
      </c>
      <c r="R2654" s="47" t="inlineStr">
        <is>
          <t>No Video ID yet</t>
        </is>
      </c>
      <c r="S2654" s="49" t="n"/>
      <c r="T2654" s="49" t="n"/>
      <c r="U2654" s="47" t="inlineStr">
        <is>
          <t>Today we reveal the odd truth about Disney Pixar's Finding Nemo and why we are all better for it =D Can't wait until June for Finding Dory! Who is your favorite character?</t>
        </is>
      </c>
      <c r="V2654" s="47">
        <f>IF(AND(P2654&gt;=Calendar!$K$2,P2654&lt;EDATE(Calendar!$K$2,1),OR(Calendar!$K$4="*",N2654=Calendar!$K$4)),P2654*100+COUNTIFS($P$6:$P$3267,P2654,$Q$6:$Q$3267,"&lt;="&amp;Q2654,$N$6:$N$3267,Calendar!$K$4),"")</f>
        <v/>
      </c>
      <c r="W2654" s="47">
        <f>IF(AND(B2654=Queue!$C$4,OR(Queue!$K$4="*",N2654=Queue!$K$4)),Q2654,"")</f>
        <v/>
      </c>
    </row>
    <row r="2655">
      <c r="A2655" s="38">
        <f>IF(M2655="","",HYPERLINK("https://www.youtube.com/watch?v="&amp;M2655,"▶"))</f>
        <v/>
      </c>
      <c r="B2655" s="39">
        <f>IF(C2655&lt;&gt;"",C2655,IF(P2655&lt;=IFERROR(INDEX(tblChannels[Watched Through],MATCH(N2655,tblChannels[Channel ID],0)),0),"Watched","Unwatched"))</f>
        <v/>
      </c>
      <c r="C2655" s="40" t="n"/>
      <c r="D2655" s="41" t="n"/>
      <c r="E2655" s="42" t="n">
        <v>42458.66805555556</v>
      </c>
      <c r="F2655" s="52" t="inlineStr">
        <is>
          <t>Super Carlin Gaming</t>
        </is>
      </c>
      <c r="G2655" t="inlineStr">
        <is>
          <t>Knights of the Old Republic #15 - To Kashyyyk!</t>
        </is>
      </c>
      <c r="H2655" s="44" t="n">
        <v>0.02512731481481481</v>
      </c>
      <c r="I2655" s="45" t="n">
        <v>1832</v>
      </c>
      <c r="J2655" s="45" t="n">
        <v>68</v>
      </c>
      <c r="K2655" s="45" t="n">
        <v>13</v>
      </c>
      <c r="L2655" s="46" t="n"/>
      <c r="M2655" s="47" t="n"/>
      <c r="N2655" s="47" t="inlineStr">
        <is>
          <t>UCor_9jRnNNZVzTuQ92PKsaQ</t>
        </is>
      </c>
      <c r="O2655" s="48" t="n">
        <v>42458.83472222222</v>
      </c>
      <c r="P2655" s="49" t="n">
        <v>42458</v>
      </c>
      <c r="Q2655" s="47" t="n">
        <v>613</v>
      </c>
      <c r="R2655" s="47" t="inlineStr">
        <is>
          <t>No Video ID yet</t>
        </is>
      </c>
      <c r="S2655" s="49" t="n"/>
      <c r="T2655" s="49" t="n"/>
      <c r="U2655" s="47" t="inlineStr">
        <is>
          <t>Bye bye Dantooine, we're going to Kashyyyk, and learning a little bit about our team on the way :) Every time you give us a thumbs up a Narwhal gets its horn! (maybe.) Category</t>
        </is>
      </c>
      <c r="V2655" s="47">
        <f>IF(AND(P2655&gt;=Calendar!$K$2,P2655&lt;EDATE(Calendar!$K$2,1),OR(Calendar!$K$4="*",N2655=Calendar!$K$4)),P2655*100+COUNTIFS($P$6:$P$3267,P2655,$Q$6:$Q$3267,"&lt;="&amp;Q2655,$N$6:$N$3267,Calendar!$K$4),"")</f>
        <v/>
      </c>
      <c r="W2655" s="47">
        <f>IF(AND(B2655=Queue!$C$4,OR(Queue!$K$4="*",N2655=Queue!$K$4)),Q2655,"")</f>
        <v/>
      </c>
    </row>
    <row r="2656">
      <c r="A2656" s="38">
        <f>IF(M2656="","",HYPERLINK("https://www.youtube.com/watch?v="&amp;M2656,"▶"))</f>
        <v/>
      </c>
      <c r="B2656" s="39">
        <f>IF(C2656&lt;&gt;"",C2656,IF(P2656&lt;=IFERROR(INDEX(tblChannels[Watched Through],MATCH(N2656,tblChannels[Channel ID],0)),0),"Watched","Unwatched"))</f>
        <v/>
      </c>
      <c r="C2656" s="40" t="n"/>
      <c r="D2656" s="41" t="n"/>
      <c r="E2656" s="42" t="n">
        <v>42454.64652777778</v>
      </c>
      <c r="F2656" s="52" t="inlineStr">
        <is>
          <t>Super Carlin Gaming</t>
        </is>
      </c>
      <c r="G2656" t="inlineStr">
        <is>
          <t>Knights of the Old Republic #14 - The Hunt for the Star Forge</t>
        </is>
      </c>
      <c r="H2656" s="44" t="n">
        <v>0.0253125</v>
      </c>
      <c r="I2656" s="45" t="n">
        <v>1952</v>
      </c>
      <c r="J2656" s="45" t="n">
        <v>60</v>
      </c>
      <c r="K2656" s="45" t="n">
        <v>32</v>
      </c>
      <c r="L2656" s="46" t="n"/>
      <c r="M2656" s="47" t="n"/>
      <c r="N2656" s="47" t="inlineStr">
        <is>
          <t>UCor_9jRnNNZVzTuQ92PKsaQ</t>
        </is>
      </c>
      <c r="O2656" s="48" t="n">
        <v>42454.81319444445</v>
      </c>
      <c r="P2656" s="49" t="n">
        <v>42454</v>
      </c>
      <c r="Q2656" s="47" t="n">
        <v>612</v>
      </c>
      <c r="R2656" s="47" t="inlineStr">
        <is>
          <t>No Video ID yet</t>
        </is>
      </c>
      <c r="S2656" s="49" t="n"/>
      <c r="T2656" s="49" t="n"/>
      <c r="U2656" s="47" t="inlineStr">
        <is>
          <t>Continuing our exploration of Dantooine, today we pick up our main challenge, the hunt for the Star Forge Every time you give us a thumbs up a Narwhal gets its horn! (maybe.) Category</t>
        </is>
      </c>
      <c r="V2656" s="47">
        <f>IF(AND(P2656&gt;=Calendar!$K$2,P2656&lt;EDATE(Calendar!$K$2,1),OR(Calendar!$K$4="*",N2656=Calendar!$K$4)),P2656*100+COUNTIFS($P$6:$P$3267,P2656,$Q$6:$Q$3267,"&lt;="&amp;Q2656,$N$6:$N$3267,Calendar!$K$4),"")</f>
        <v/>
      </c>
      <c r="W2656" s="47">
        <f>IF(AND(B2656=Queue!$C$4,OR(Queue!$K$4="*",N2656=Queue!$K$4)),Q2656,"")</f>
        <v/>
      </c>
    </row>
    <row r="2657">
      <c r="A2657" s="38">
        <f>IF(M2657="","",HYPERLINK("https://www.youtube.com/watch?v="&amp;M2657,"▶"))</f>
        <v/>
      </c>
      <c r="B2657" s="39">
        <f>IF(C2657&lt;&gt;"",C2657,IF(P2657&lt;=IFERROR(INDEX(tblChannels[Watched Through],MATCH(N2657,tblChannels[Channel ID],0)),0),"Watched","Unwatched"))</f>
        <v/>
      </c>
      <c r="C2657" s="40" t="n"/>
      <c r="D2657" s="41" t="n"/>
      <c r="E2657" s="42" t="n">
        <v>42454.55625</v>
      </c>
      <c r="F2657" s="52" t="inlineStr">
        <is>
          <t>Super Carlin Gaming</t>
        </is>
      </c>
      <c r="G2657" t="inlineStr">
        <is>
          <t>Knights of the Old Republic #13 - Juhani Battle and More</t>
        </is>
      </c>
      <c r="H2657" s="44" t="n">
        <v>0.02538194444444444</v>
      </c>
      <c r="I2657" s="45" t="n">
        <v>1949</v>
      </c>
      <c r="J2657" s="45" t="n">
        <v>46</v>
      </c>
      <c r="K2657" s="45" t="n">
        <v>12</v>
      </c>
      <c r="L2657" s="46" t="n"/>
      <c r="M2657" s="47" t="n"/>
      <c r="N2657" s="47" t="inlineStr">
        <is>
          <t>UCor_9jRnNNZVzTuQ92PKsaQ</t>
        </is>
      </c>
      <c r="O2657" s="48" t="n">
        <v>42454.72291666667</v>
      </c>
      <c r="P2657" s="49" t="n">
        <v>42454</v>
      </c>
      <c r="Q2657" s="47" t="n">
        <v>611</v>
      </c>
      <c r="R2657" s="47" t="inlineStr">
        <is>
          <t>No Video ID yet</t>
        </is>
      </c>
      <c r="S2657" s="49" t="n"/>
      <c r="T2657" s="49" t="n"/>
      <c r="U2657" s="47" t="inlineStr">
        <is>
          <t>We battle Juhani and continue our exploration of Dantooine! Every time you give us a thumbs up a Narwhal gets its horn! (maybe.) Category</t>
        </is>
      </c>
      <c r="V2657" s="47">
        <f>IF(AND(P2657&gt;=Calendar!$K$2,P2657&lt;EDATE(Calendar!$K$2,1),OR(Calendar!$K$4="*",N2657=Calendar!$K$4)),P2657*100+COUNTIFS($P$6:$P$3267,P2657,$Q$6:$Q$3267,"&lt;="&amp;Q2657,$N$6:$N$3267,Calendar!$K$4),"")</f>
        <v/>
      </c>
      <c r="W2657" s="47">
        <f>IF(AND(B2657=Queue!$C$4,OR(Queue!$K$4="*",N2657=Queue!$K$4)),Q2657,"")</f>
        <v/>
      </c>
    </row>
    <row r="2658">
      <c r="A2658" s="38">
        <f>IF(M2658="","",HYPERLINK("https://www.youtube.com/watch?v="&amp;M2658,"▶"))</f>
        <v/>
      </c>
      <c r="B2658" s="39">
        <f>IF(C2658&lt;&gt;"",C2658,IF(P2658&lt;=IFERROR(INDEX(tblChannels[Watched Through],MATCH(N2658,tblChannels[Channel ID],0)),0),"Watched","Unwatched"))</f>
        <v/>
      </c>
      <c r="C2658" s="40" t="n"/>
      <c r="D2658" s="41" t="n"/>
      <c r="E2658" s="42" t="n">
        <v>42453.71666666667</v>
      </c>
      <c r="F2658" s="50" t="inlineStr">
        <is>
          <t>Super Carlin Brothers</t>
        </is>
      </c>
      <c r="G2658" t="inlineStr">
        <is>
          <t>Can Batman vs Superman: Dawn of Justice be good?</t>
        </is>
      </c>
      <c r="H2658" s="44" t="n">
        <v>0.0034375</v>
      </c>
      <c r="I2658" s="45" t="n">
        <v>160169</v>
      </c>
      <c r="J2658" s="45" t="n">
        <v>4003</v>
      </c>
      <c r="K2658" s="45" t="n">
        <v>1546</v>
      </c>
      <c r="L2658" s="46" t="n"/>
      <c r="M2658" s="47" t="n"/>
      <c r="N2658" s="47" t="inlineStr">
        <is>
          <t>UCKZo4N0lVPccBkSiuyVh4yg</t>
        </is>
      </c>
      <c r="O2658" s="48" t="n">
        <v>42453.88333333333</v>
      </c>
      <c r="P2658" s="49" t="n">
        <v>42453</v>
      </c>
      <c r="Q2658" s="47" t="n">
        <v>610</v>
      </c>
      <c r="R2658" s="47" t="inlineStr">
        <is>
          <t>No Video ID yet</t>
        </is>
      </c>
      <c r="S2658" s="49" t="n"/>
      <c r="T2658" s="49" t="n"/>
      <c r="U2658" s="47" t="n"/>
      <c r="V2658" s="47">
        <f>IF(AND(P2658&gt;=Calendar!$K$2,P2658&lt;EDATE(Calendar!$K$2,1),OR(Calendar!$K$4="*",N2658=Calendar!$K$4)),P2658*100+COUNTIFS($P$6:$P$3267,P2658,$Q$6:$Q$3267,"&lt;="&amp;Q2658,$N$6:$N$3267,Calendar!$K$4),"")</f>
        <v/>
      </c>
      <c r="W2658" s="47">
        <f>IF(AND(B2658=Queue!$C$4,OR(Queue!$K$4="*",N2658=Queue!$K$4)),Q2658,"")</f>
        <v/>
      </c>
    </row>
    <row r="2659">
      <c r="A2659" s="38">
        <f>IF(M2659="","",HYPERLINK("https://www.youtube.com/watch?v="&amp;M2659,"▶"))</f>
        <v/>
      </c>
      <c r="B2659" s="39">
        <f>IF(C2659&lt;&gt;"",C2659,IF(P2659&lt;=IFERROR(INDEX(tblChannels[Watched Through],MATCH(N2659,tblChannels[Channel ID],0)),0),"Watched","Unwatched"))</f>
        <v/>
      </c>
      <c r="C2659" s="40" t="n"/>
      <c r="D2659" s="41" t="n"/>
      <c r="E2659" s="42" t="n">
        <v>42453.56666666667</v>
      </c>
      <c r="F2659" s="52" t="inlineStr">
        <is>
          <t>Super Carlin Gaming</t>
        </is>
      </c>
      <c r="G2659" t="inlineStr">
        <is>
          <t>Knights of the Old Republic #12 - Exploring Dantooine</t>
        </is>
      </c>
      <c r="H2659" s="44" t="n">
        <v>0.04293981481481481</v>
      </c>
      <c r="I2659" s="45" t="n">
        <v>2782</v>
      </c>
      <c r="J2659" s="45" t="n">
        <v>58</v>
      </c>
      <c r="K2659" s="45" t="n">
        <v>14</v>
      </c>
      <c r="L2659" s="46" t="n"/>
      <c r="M2659" s="47" t="n"/>
      <c r="N2659" s="47" t="inlineStr">
        <is>
          <t>UCor_9jRnNNZVzTuQ92PKsaQ</t>
        </is>
      </c>
      <c r="O2659" s="48" t="n">
        <v>42453.73333333333</v>
      </c>
      <c r="P2659" s="49" t="n">
        <v>42453</v>
      </c>
      <c r="Q2659" s="47" t="n">
        <v>609</v>
      </c>
      <c r="R2659" s="47" t="inlineStr">
        <is>
          <t>No Video ID yet</t>
        </is>
      </c>
      <c r="S2659" s="49" t="n"/>
      <c r="T2659" s="49" t="n"/>
      <c r="U2659" s="47" t="inlineStr">
        <is>
          <t>Today we solve a mystery, explore Dantooine, and make our way towards our next boss battle Every time you give us a thumbs up a Narwhal gets its horn! (maybe.) Category</t>
        </is>
      </c>
      <c r="V2659" s="47">
        <f>IF(AND(P2659&gt;=Calendar!$K$2,P2659&lt;EDATE(Calendar!$K$2,1),OR(Calendar!$K$4="*",N2659=Calendar!$K$4)),P2659*100+COUNTIFS($P$6:$P$3267,P2659,$Q$6:$Q$3267,"&lt;="&amp;Q2659,$N$6:$N$3267,Calendar!$K$4),"")</f>
        <v/>
      </c>
      <c r="W2659" s="47">
        <f>IF(AND(B2659=Queue!$C$4,OR(Queue!$K$4="*",N2659=Queue!$K$4)),Q2659,"")</f>
        <v/>
      </c>
    </row>
    <row r="2660">
      <c r="A2660" s="38">
        <f>IF(M2660="","",HYPERLINK("https://www.youtube.com/watch?v="&amp;M2660,"▶"))</f>
        <v/>
      </c>
      <c r="B2660" s="39">
        <f>IF(C2660&lt;&gt;"",C2660,IF(P2660&lt;=IFERROR(INDEX(tblChannels[Watched Through],MATCH(N2660,tblChannels[Channel ID],0)),0),"Watched","Unwatched"))</f>
        <v/>
      </c>
      <c r="C2660" s="40" t="n"/>
      <c r="D2660" s="41" t="n"/>
      <c r="E2660" s="42" t="n">
        <v>42452.60486111111</v>
      </c>
      <c r="F2660" s="52" t="inlineStr">
        <is>
          <t>Super Carlin Gaming</t>
        </is>
      </c>
      <c r="G2660" t="inlineStr">
        <is>
          <t>Knights of the Old Republic #11 - The Long Escape off Taris</t>
        </is>
      </c>
      <c r="H2660" s="44" t="n">
        <v>0.02711805555555555</v>
      </c>
      <c r="I2660" s="45" t="n">
        <v>2474</v>
      </c>
      <c r="J2660" s="45" t="n">
        <v>63</v>
      </c>
      <c r="K2660" s="45" t="n">
        <v>11</v>
      </c>
      <c r="L2660" s="46" t="n"/>
      <c r="M2660" s="47" t="n"/>
      <c r="N2660" s="47" t="inlineStr">
        <is>
          <t>UCor_9jRnNNZVzTuQ92PKsaQ</t>
        </is>
      </c>
      <c r="O2660" s="48" t="n">
        <v>42452.77152777778</v>
      </c>
      <c r="P2660" s="49" t="n">
        <v>42452</v>
      </c>
      <c r="Q2660" s="47" t="n">
        <v>608</v>
      </c>
      <c r="R2660" s="47" t="inlineStr">
        <is>
          <t>No Video ID yet</t>
        </is>
      </c>
      <c r="S2660" s="49" t="n"/>
      <c r="T2660" s="49" t="n"/>
      <c r="U2660" s="47" t="inlineStr">
        <is>
          <t>After a rough start we finally escape off of Taris and make our way to Dantooine where there are plenty of happy surprises! Every time you give us a thumbs up a Narwhal gets its horn! (maybe.)</t>
        </is>
      </c>
      <c r="V2660" s="47">
        <f>IF(AND(P2660&gt;=Calendar!$K$2,P2660&lt;EDATE(Calendar!$K$2,1),OR(Calendar!$K$4="*",N2660=Calendar!$K$4)),P2660*100+COUNTIFS($P$6:$P$3267,P2660,$Q$6:$Q$3267,"&lt;="&amp;Q2660,$N$6:$N$3267,Calendar!$K$4),"")</f>
        <v/>
      </c>
      <c r="W2660" s="47">
        <f>IF(AND(B2660=Queue!$C$4,OR(Queue!$K$4="*",N2660=Queue!$K$4)),Q2660,"")</f>
        <v/>
      </c>
    </row>
    <row r="2661">
      <c r="A2661" s="38">
        <f>IF(M2661="","",HYPERLINK("https://www.youtube.com/watch?v="&amp;M2661,"▶"))</f>
        <v/>
      </c>
      <c r="B2661" s="39">
        <f>IF(C2661&lt;&gt;"",C2661,IF(P2661&lt;=IFERROR(INDEX(tblChannels[Watched Through],MATCH(N2661,tblChannels[Channel ID],0)),0),"Watched","Unwatched"))</f>
        <v/>
      </c>
      <c r="C2661" s="40" t="n"/>
      <c r="D2661" s="41" t="n"/>
      <c r="E2661" s="42" t="n">
        <v>42451.85208333333</v>
      </c>
      <c r="F2661" s="50" t="inlineStr">
        <is>
          <t>Super Carlin Brothers</t>
        </is>
      </c>
      <c r="G2661" t="inlineStr">
        <is>
          <t>Zootopia and Racism</t>
        </is>
      </c>
      <c r="H2661" s="44" t="n">
        <v>0.004733796296296297</v>
      </c>
      <c r="I2661" s="45" t="n">
        <v>1554804</v>
      </c>
      <c r="J2661" s="45" t="n">
        <v>33317</v>
      </c>
      <c r="K2661" s="45" t="n">
        <v>6633</v>
      </c>
      <c r="L2661" s="46" t="n"/>
      <c r="M2661" s="47" t="n"/>
      <c r="N2661" s="47" t="inlineStr">
        <is>
          <t>UCKZo4N0lVPccBkSiuyVh4yg</t>
        </is>
      </c>
      <c r="O2661" s="48" t="n">
        <v>42452.01875</v>
      </c>
      <c r="P2661" s="49" t="n">
        <v>42451</v>
      </c>
      <c r="Q2661" s="47" t="n">
        <v>607</v>
      </c>
      <c r="R2661" s="47" t="inlineStr">
        <is>
          <t>No Video ID yet</t>
        </is>
      </c>
      <c r="S2661" s="49" t="n"/>
      <c r="T2661" s="49" t="n"/>
      <c r="U2661" s="47" t="inlineStr">
        <is>
          <t>Zootopia!! Today I am reviewing Zootopia and going over all of the race related situations presented in the movie. Do you think Disney did a good job delivering a positive message about racism? Do you hope to see more movies with similar undertones in the future??</t>
        </is>
      </c>
      <c r="V2661" s="47">
        <f>IF(AND(P2661&gt;=Calendar!$K$2,P2661&lt;EDATE(Calendar!$K$2,1),OR(Calendar!$K$4="*",N2661=Calendar!$K$4)),P2661*100+COUNTIFS($P$6:$P$3267,P2661,$Q$6:$Q$3267,"&lt;="&amp;Q2661,$N$6:$N$3267,Calendar!$K$4),"")</f>
        <v/>
      </c>
      <c r="W2661" s="47">
        <f>IF(AND(B2661=Queue!$C$4,OR(Queue!$K$4="*",N2661=Queue!$K$4)),Q2661,"")</f>
        <v/>
      </c>
    </row>
    <row r="2662">
      <c r="A2662" s="38">
        <f>IF(M2662="","",HYPERLINK("https://www.youtube.com/watch?v="&amp;M2662,"▶"))</f>
        <v/>
      </c>
      <c r="B2662" s="39">
        <f>IF(C2662&lt;&gt;"",C2662,IF(P2662&lt;=IFERROR(INDEX(tblChannels[Watched Through],MATCH(N2662,tblChannels[Channel ID],0)),0),"Watched","Unwatched"))</f>
        <v/>
      </c>
      <c r="C2662" s="40" t="n"/>
      <c r="D2662" s="41" t="n"/>
      <c r="E2662" s="42" t="n">
        <v>42447.53888888889</v>
      </c>
      <c r="F2662" s="52" t="inlineStr">
        <is>
          <t>Super Carlin Gaming</t>
        </is>
      </c>
      <c r="G2662" t="inlineStr">
        <is>
          <t>Knights of The Old Republic #10: Infiltrating the Sith Base</t>
        </is>
      </c>
      <c r="H2662" s="44" t="n">
        <v>0.02820601851851852</v>
      </c>
      <c r="I2662" s="45" t="n">
        <v>2565</v>
      </c>
      <c r="J2662" s="45" t="n">
        <v>64</v>
      </c>
      <c r="K2662" s="45" t="n">
        <v>21</v>
      </c>
      <c r="L2662" s="46" t="n"/>
      <c r="M2662" s="47" t="n"/>
      <c r="N2662" s="47" t="inlineStr">
        <is>
          <t>UCor_9jRnNNZVzTuQ92PKsaQ</t>
        </is>
      </c>
      <c r="O2662" s="48" t="n">
        <v>42447.70555555556</v>
      </c>
      <c r="P2662" s="49" t="n">
        <v>42447</v>
      </c>
      <c r="Q2662" s="47" t="n">
        <v>606</v>
      </c>
      <c r="R2662" s="47" t="inlineStr">
        <is>
          <t>No Video ID yet</t>
        </is>
      </c>
      <c r="S2662" s="49" t="n"/>
      <c r="T2662" s="49" t="n"/>
      <c r="U2662" s="47" t="inlineStr">
        <is>
          <t>Today we infiltrate the sith base and gain access to Davik's base, on our way to stealing the ebon hawk! with some new faces and maybe some dark side points along the way... Every time you give us a thumbs up a Narwhal gets its horn! (maybe.)</t>
        </is>
      </c>
      <c r="V2662" s="47">
        <f>IF(AND(P2662&gt;=Calendar!$K$2,P2662&lt;EDATE(Calendar!$K$2,1),OR(Calendar!$K$4="*",N2662=Calendar!$K$4)),P2662*100+COUNTIFS($P$6:$P$3267,P2662,$Q$6:$Q$3267,"&lt;="&amp;Q2662,$N$6:$N$3267,Calendar!$K$4),"")</f>
        <v/>
      </c>
      <c r="W2662" s="47">
        <f>IF(AND(B2662=Queue!$C$4,OR(Queue!$K$4="*",N2662=Queue!$K$4)),Q2662,"")</f>
        <v/>
      </c>
    </row>
    <row r="2663">
      <c r="A2663" s="38">
        <f>IF(M2663="","",HYPERLINK("https://www.youtube.com/watch?v="&amp;M2663,"▶"))</f>
        <v/>
      </c>
      <c r="B2663" s="39">
        <f>IF(C2663&lt;&gt;"",C2663,IF(P2663&lt;=IFERROR(INDEX(tblChannels[Watched Through],MATCH(N2663,tblChannels[Channel ID],0)),0),"Watched","Unwatched"))</f>
        <v/>
      </c>
      <c r="C2663" s="40" t="n"/>
      <c r="D2663" s="41" t="n"/>
      <c r="E2663" s="42" t="n">
        <v>42446.89791666667</v>
      </c>
      <c r="F2663" s="50" t="inlineStr">
        <is>
          <t>Super Carlin Brothers</t>
        </is>
      </c>
      <c r="G2663" t="inlineStr">
        <is>
          <t>Loot Crate Unboxing | DEAD</t>
        </is>
      </c>
      <c r="H2663" s="44" t="n">
        <v>0.005104166666666667</v>
      </c>
      <c r="I2663" s="45" t="n">
        <v>109034</v>
      </c>
      <c r="J2663" s="45" t="n">
        <v>3034</v>
      </c>
      <c r="K2663" s="45" t="n">
        <v>900</v>
      </c>
      <c r="L2663" s="46" t="n"/>
      <c r="M2663" s="47" t="n"/>
      <c r="N2663" s="47" t="inlineStr">
        <is>
          <t>UCKZo4N0lVPccBkSiuyVh4yg</t>
        </is>
      </c>
      <c r="O2663" s="48" t="n">
        <v>42447.06458333333</v>
      </c>
      <c r="P2663" s="49" t="n">
        <v>42446</v>
      </c>
      <c r="Q2663" s="47" t="n">
        <v>605</v>
      </c>
      <c r="R2663" s="47" t="inlineStr">
        <is>
          <t>No Video ID yet</t>
        </is>
      </c>
      <c r="S2663" s="49" t="n"/>
      <c r="T2663" s="49" t="n"/>
      <c r="U2663" s="47" t="inlineStr">
        <is>
          <t>Want to support the channel and get all sorts of awesome geek and gamer gear? Go to: Use PROMO Code: "CARLIN" for 10% off your first box! This months LootCrate DEAD box contained a lot of Deadpool and The Walking Dead, can't wait to see what comes in next months Versus box!</t>
        </is>
      </c>
      <c r="V2663" s="47">
        <f>IF(AND(P2663&gt;=Calendar!$K$2,P2663&lt;EDATE(Calendar!$K$2,1),OR(Calendar!$K$4="*",N2663=Calendar!$K$4)),P2663*100+COUNTIFS($P$6:$P$3267,P2663,$Q$6:$Q$3267,"&lt;="&amp;Q2663,$N$6:$N$3267,Calendar!$K$4),"")</f>
        <v/>
      </c>
      <c r="W2663" s="47">
        <f>IF(AND(B2663=Queue!$C$4,OR(Queue!$K$4="*",N2663=Queue!$K$4)),Q2663,"")</f>
        <v/>
      </c>
    </row>
    <row r="2664">
      <c r="A2664" s="38">
        <f>IF(M2664="","",HYPERLINK("https://www.youtube.com/watch?v="&amp;M2664,"▶"))</f>
        <v/>
      </c>
      <c r="B2664" s="39">
        <f>IF(C2664&lt;&gt;"",C2664,IF(P2664&lt;=IFERROR(INDEX(tblChannels[Watched Through],MATCH(N2664,tblChannels[Channel ID],0)),0),"Watched","Unwatched"))</f>
        <v/>
      </c>
      <c r="C2664" s="40" t="n"/>
      <c r="D2664" s="41" t="n"/>
      <c r="E2664" s="42" t="n">
        <v>42446.55763888889</v>
      </c>
      <c r="F2664" s="52" t="inlineStr">
        <is>
          <t>Super Carlin Gaming</t>
        </is>
      </c>
      <c r="G2664" t="inlineStr">
        <is>
          <t>Knights of the Old Republic #9 - Another New Team Member</t>
        </is>
      </c>
      <c r="H2664" s="44" t="n">
        <v>0.01895833333333333</v>
      </c>
      <c r="I2664" s="45" t="n">
        <v>2103</v>
      </c>
      <c r="J2664" s="45" t="n">
        <v>60</v>
      </c>
      <c r="K2664" s="45" t="n">
        <v>18</v>
      </c>
      <c r="L2664" s="46" t="n"/>
      <c r="M2664" s="47" t="n"/>
      <c r="N2664" s="47" t="inlineStr">
        <is>
          <t>UCor_9jRnNNZVzTuQ92PKsaQ</t>
        </is>
      </c>
      <c r="O2664" s="48" t="n">
        <v>42446.72430555556</v>
      </c>
      <c r="P2664" s="49" t="n">
        <v>42446</v>
      </c>
      <c r="Q2664" s="47" t="n">
        <v>604</v>
      </c>
      <c r="R2664" s="47" t="inlineStr">
        <is>
          <t>No Video ID yet</t>
        </is>
      </c>
      <c r="S2664" s="49" t="n"/>
      <c r="T2664" s="49" t="n"/>
      <c r="U2664" s="47" t="inlineStr">
        <is>
          <t>After rescuing Bastila, we meet with Canderous Ordo in the upper city cantina, who sends us on a mission to retrieve the sith launch codes, but first we must add someone to our team. Every time you give us a thumbs up a Narwhal gets its horn! (maybe.)</t>
        </is>
      </c>
      <c r="V2664" s="47">
        <f>IF(AND(P2664&gt;=Calendar!$K$2,P2664&lt;EDATE(Calendar!$K$2,1),OR(Calendar!$K$4="*",N2664=Calendar!$K$4)),P2664*100+COUNTIFS($P$6:$P$3267,P2664,$Q$6:$Q$3267,"&lt;="&amp;Q2664,$N$6:$N$3267,Calendar!$K$4),"")</f>
        <v/>
      </c>
      <c r="W2664" s="47">
        <f>IF(AND(B2664=Queue!$C$4,OR(Queue!$K$4="*",N2664=Queue!$K$4)),Q2664,"")</f>
        <v/>
      </c>
    </row>
    <row r="2665">
      <c r="A2665" s="38">
        <f>IF(M2665="","",HYPERLINK("https://www.youtube.com/watch?v="&amp;M2665,"▶"))</f>
        <v/>
      </c>
      <c r="B2665" s="39">
        <f>IF(C2665&lt;&gt;"",C2665,IF(P2665&lt;=IFERROR(INDEX(tblChannels[Watched Through],MATCH(N2665,tblChannels[Channel ID],0)),0),"Watched","Unwatched"))</f>
        <v/>
      </c>
      <c r="C2665" s="40" t="n"/>
      <c r="D2665" s="41" t="n"/>
      <c r="E2665" s="42" t="n">
        <v>42444.83263888889</v>
      </c>
      <c r="F2665" s="52" t="inlineStr">
        <is>
          <t>Super Carlin Gaming</t>
        </is>
      </c>
      <c r="G2665" t="inlineStr">
        <is>
          <t>Knights of the Old Republic #8 - Bastila's Rescue</t>
        </is>
      </c>
      <c r="H2665" s="44" t="n">
        <v>0.0328125</v>
      </c>
      <c r="I2665" s="45" t="n">
        <v>2853</v>
      </c>
      <c r="J2665" s="45" t="n">
        <v>70</v>
      </c>
      <c r="K2665" s="45" t="n">
        <v>22</v>
      </c>
      <c r="L2665" s="46" t="n"/>
      <c r="M2665" s="47" t="n"/>
      <c r="N2665" s="47" t="inlineStr">
        <is>
          <t>UCor_9jRnNNZVzTuQ92PKsaQ</t>
        </is>
      </c>
      <c r="O2665" s="48" t="n">
        <v>42444.99930555555</v>
      </c>
      <c r="P2665" s="49" t="n">
        <v>42444</v>
      </c>
      <c r="Q2665" s="47" t="n">
        <v>603</v>
      </c>
      <c r="R2665" s="47" t="inlineStr">
        <is>
          <t>No Video ID yet</t>
        </is>
      </c>
      <c r="S2665" s="49" t="n"/>
      <c r="T2665" s="49" t="n"/>
      <c r="U2665" s="47" t="inlineStr">
        <is>
          <t>Having finished becoming the greatest duelist on Taris, Peaches sets out to complete the very mission he came here for: to rescue Bastila. and maybe make a few mistakes along the way. Every time you give us a thumbs up a Narwhal gets its horn! (maybe.)</t>
        </is>
      </c>
      <c r="V2665" s="47">
        <f>IF(AND(P2665&gt;=Calendar!$K$2,P2665&lt;EDATE(Calendar!$K$2,1),OR(Calendar!$K$4="*",N2665=Calendar!$K$4)),P2665*100+COUNTIFS($P$6:$P$3267,P2665,$Q$6:$Q$3267,"&lt;="&amp;Q2665,$N$6:$N$3267,Calendar!$K$4),"")</f>
        <v/>
      </c>
      <c r="W2665" s="47">
        <f>IF(AND(B2665=Queue!$C$4,OR(Queue!$K$4="*",N2665=Queue!$K$4)),Q2665,"")</f>
        <v/>
      </c>
    </row>
    <row r="2666">
      <c r="A2666" s="38">
        <f>IF(M2666="","",HYPERLINK("https://www.youtube.com/watch?v="&amp;M2666,"▶"))</f>
        <v/>
      </c>
      <c r="B2666" s="39">
        <f>IF(C2666&lt;&gt;"",C2666,IF(P2666&lt;=IFERROR(INDEX(tblChannels[Watched Through],MATCH(N2666,tblChannels[Channel ID],0)),0),"Watched","Unwatched"))</f>
        <v/>
      </c>
      <c r="C2666" s="40" t="n"/>
      <c r="D2666" s="41" t="n"/>
      <c r="E2666" s="42" t="n">
        <v>42444.70347222222</v>
      </c>
      <c r="F2666" s="50" t="inlineStr">
        <is>
          <t>Super Carlin Brothers</t>
        </is>
      </c>
      <c r="G2666" t="inlineStr">
        <is>
          <t>Why Do They Call It... Google Autofill</t>
        </is>
      </c>
      <c r="H2666" s="44" t="n">
        <v>0.005196759259259259</v>
      </c>
      <c r="I2666" s="45" t="n">
        <v>505179</v>
      </c>
      <c r="J2666" s="45" t="n">
        <v>10443</v>
      </c>
      <c r="K2666" s="45" t="n">
        <v>2196</v>
      </c>
      <c r="L2666" s="46" t="n"/>
      <c r="M2666" s="47" t="n"/>
      <c r="N2666" s="47" t="inlineStr">
        <is>
          <t>UCKZo4N0lVPccBkSiuyVh4yg</t>
        </is>
      </c>
      <c r="O2666" s="48" t="n">
        <v>42444.87013888889</v>
      </c>
      <c r="P2666" s="49" t="n">
        <v>42444</v>
      </c>
      <c r="Q2666" s="47" t="n">
        <v>602</v>
      </c>
      <c r="R2666" s="47" t="inlineStr">
        <is>
          <t>No Video ID yet</t>
        </is>
      </c>
      <c r="S2666" s="49" t="n"/>
      <c r="T2666" s="49" t="n"/>
      <c r="U2666" s="47" t="inlineStr">
        <is>
          <t>What other things names do you want explained??? What other Google Autofills should I do??</t>
        </is>
      </c>
      <c r="V2666" s="47">
        <f>IF(AND(P2666&gt;=Calendar!$K$2,P2666&lt;EDATE(Calendar!$K$2,1),OR(Calendar!$K$4="*",N2666=Calendar!$K$4)),P2666*100+COUNTIFS($P$6:$P$3267,P2666,$Q$6:$Q$3267,"&lt;="&amp;Q2666,$N$6:$N$3267,Calendar!$K$4),"")</f>
        <v/>
      </c>
      <c r="W2666" s="47">
        <f>IF(AND(B2666=Queue!$C$4,OR(Queue!$K$4="*",N2666=Queue!$K$4)),Q2666,"")</f>
        <v/>
      </c>
    </row>
    <row r="2667">
      <c r="A2667" s="38">
        <f>IF(M2667="","",HYPERLINK("https://www.youtube.com/watch?v="&amp;M2667,"▶"))</f>
        <v/>
      </c>
      <c r="B2667" s="39">
        <f>IF(C2667&lt;&gt;"",C2667,IF(P2667&lt;=IFERROR(INDEX(tblChannels[Watched Through],MATCH(N2667,tblChannels[Channel ID],0)),0),"Watched","Unwatched"))</f>
        <v/>
      </c>
      <c r="C2667" s="40" t="n"/>
      <c r="D2667" s="41" t="n"/>
      <c r="E2667" s="42" t="n">
        <v>42443.6875</v>
      </c>
      <c r="F2667" s="52" t="inlineStr">
        <is>
          <t>Super Carlin Gaming</t>
        </is>
      </c>
      <c r="G2667" t="inlineStr">
        <is>
          <t>Star Wars Knights of The Old Republic #7 - Cantina Duels</t>
        </is>
      </c>
      <c r="H2667" s="44" t="n">
        <v>0.01543981481481481</v>
      </c>
      <c r="I2667" s="45" t="n">
        <v>2223</v>
      </c>
      <c r="J2667" s="45" t="n">
        <v>62</v>
      </c>
      <c r="K2667" s="45" t="n">
        <v>6</v>
      </c>
      <c r="L2667" s="46" t="n"/>
      <c r="M2667" s="47" t="n"/>
      <c r="N2667" s="47" t="inlineStr">
        <is>
          <t>UCor_9jRnNNZVzTuQ92PKsaQ</t>
        </is>
      </c>
      <c r="O2667" s="48" t="n">
        <v>42443.85416666666</v>
      </c>
      <c r="P2667" s="49" t="n">
        <v>42443</v>
      </c>
      <c r="Q2667" s="47" t="n">
        <v>601</v>
      </c>
      <c r="R2667" s="47" t="inlineStr">
        <is>
          <t>No Video ID yet</t>
        </is>
      </c>
      <c r="S2667" s="49" t="n"/>
      <c r="T2667" s="49" t="n"/>
      <c r="U2667" s="47" t="inlineStr">
        <is>
          <t>Continuing our quest for collecting bounties, today we take on the upper city arena duels! Every time you give us a thumbs up a Narwhal gets its horn! (maybe.)</t>
        </is>
      </c>
      <c r="V2667" s="47">
        <f>IF(AND(P2667&gt;=Calendar!$K$2,P2667&lt;EDATE(Calendar!$K$2,1),OR(Calendar!$K$4="*",N2667=Calendar!$K$4)),P2667*100+COUNTIFS($P$6:$P$3267,P2667,$Q$6:$Q$3267,"&lt;="&amp;Q2667,$N$6:$N$3267,Calendar!$K$4),"")</f>
        <v/>
      </c>
      <c r="W2667" s="47">
        <f>IF(AND(B2667=Queue!$C$4,OR(Queue!$K$4="*",N2667=Queue!$K$4)),Q2667,"")</f>
        <v/>
      </c>
    </row>
    <row r="2668">
      <c r="A2668" s="38">
        <f>IF(M2668="","",HYPERLINK("https://www.youtube.com/watch?v="&amp;M2668,"▶"))</f>
        <v/>
      </c>
      <c r="B2668" s="39">
        <f>IF(C2668&lt;&gt;"",C2668,IF(P2668&lt;=IFERROR(INDEX(tblChannels[Watched Through],MATCH(N2668,tblChannels[Channel ID],0)),0),"Watched","Unwatched"))</f>
        <v/>
      </c>
      <c r="C2668" s="40" t="n"/>
      <c r="D2668" s="41" t="n"/>
      <c r="E2668" s="42" t="n">
        <v>42439.8875</v>
      </c>
      <c r="F2668" s="50" t="inlineStr">
        <is>
          <t>Super Carlin Brothers</t>
        </is>
      </c>
      <c r="G2668" t="inlineStr">
        <is>
          <t>Everything You Need To Know About American Wizards</t>
        </is>
      </c>
      <c r="H2668" s="44" t="n">
        <v>0.004664351851851852</v>
      </c>
      <c r="I2668" s="45" t="n">
        <v>1410448</v>
      </c>
      <c r="J2668" s="45" t="n">
        <v>27287</v>
      </c>
      <c r="K2668" s="45" t="n">
        <v>4447</v>
      </c>
      <c r="L2668" s="46" t="n"/>
      <c r="M2668" s="47" t="n"/>
      <c r="N2668" s="47" t="inlineStr">
        <is>
          <t>UCKZo4N0lVPccBkSiuyVh4yg</t>
        </is>
      </c>
      <c r="O2668" s="48" t="n">
        <v>42440.09583333333</v>
      </c>
      <c r="P2668" s="49" t="n">
        <v>42439</v>
      </c>
      <c r="Q2668" s="47" t="n">
        <v>600</v>
      </c>
      <c r="R2668" s="47" t="inlineStr">
        <is>
          <t>No Video ID yet</t>
        </is>
      </c>
      <c r="S2668" s="49" t="n"/>
      <c r="T2668" s="49" t="n"/>
      <c r="U2668" s="47" t="inlineStr">
        <is>
          <t>JK Rowling has released some background info on Fantastic Beasts and Where to Find Them! What fantastic beasts do you want to see in the movie?? History of Magic in North America ::</t>
        </is>
      </c>
      <c r="V2668" s="47">
        <f>IF(AND(P2668&gt;=Calendar!$K$2,P2668&lt;EDATE(Calendar!$K$2,1),OR(Calendar!$K$4="*",N2668=Calendar!$K$4)),P2668*100+COUNTIFS($P$6:$P$3267,P2668,$Q$6:$Q$3267,"&lt;="&amp;Q2668,$N$6:$N$3267,Calendar!$K$4),"")</f>
        <v/>
      </c>
      <c r="W2668" s="47">
        <f>IF(AND(B2668=Queue!$C$4,OR(Queue!$K$4="*",N2668=Queue!$K$4)),Q2668,"")</f>
        <v/>
      </c>
    </row>
    <row r="2669">
      <c r="A2669" s="38">
        <f>IF(M2669="","",HYPERLINK("https://www.youtube.com/watch?v="&amp;M2669,"▶"))</f>
        <v/>
      </c>
      <c r="B2669" s="39">
        <f>IF(C2669&lt;&gt;"",C2669,IF(P2669&lt;=IFERROR(INDEX(tblChannels[Watched Through],MATCH(N2669,tblChannels[Channel ID],0)),0),"Watched","Unwatched"))</f>
        <v/>
      </c>
      <c r="C2669" s="40" t="n"/>
      <c r="D2669" s="41" t="n"/>
      <c r="E2669" s="42" t="n">
        <v>42439.46388888889</v>
      </c>
      <c r="F2669" s="52" t="inlineStr">
        <is>
          <t>Super Carlin Gaming</t>
        </is>
      </c>
      <c r="G2669" t="inlineStr">
        <is>
          <t>Knights of the Old Republic #6 - Dia's Distinguished Demise</t>
        </is>
      </c>
      <c r="H2669" s="44" t="n">
        <v>0.02208333333333333</v>
      </c>
      <c r="I2669" s="45" t="n">
        <v>2553</v>
      </c>
      <c r="J2669" s="45" t="n">
        <v>59</v>
      </c>
      <c r="K2669" s="45" t="n">
        <v>11</v>
      </c>
      <c r="L2669" s="46" t="n"/>
      <c r="M2669" s="47" t="n"/>
      <c r="N2669" s="47" t="inlineStr">
        <is>
          <t>UCor_9jRnNNZVzTuQ92PKsaQ</t>
        </is>
      </c>
      <c r="O2669" s="48" t="n">
        <v>42439.67222222222</v>
      </c>
      <c r="P2669" s="49" t="n">
        <v>42439</v>
      </c>
      <c r="Q2669" s="47" t="n">
        <v>599</v>
      </c>
      <c r="R2669" s="47" t="inlineStr">
        <is>
          <t>No Video ID yet</t>
        </is>
      </c>
      <c r="S2669" s="49" t="n"/>
      <c r="T2669" s="49" t="n"/>
      <c r="U2669" s="47" t="inlineStr">
        <is>
          <t>We finally collect some of those bounties that have been haunting us. Every time you give us a thumbs up a Narwhal gets its horn! (maybe.</t>
        </is>
      </c>
      <c r="V2669" s="47">
        <f>IF(AND(P2669&gt;=Calendar!$K$2,P2669&lt;EDATE(Calendar!$K$2,1),OR(Calendar!$K$4="*",N2669=Calendar!$K$4)),P2669*100+COUNTIFS($P$6:$P$3267,P2669,$Q$6:$Q$3267,"&lt;="&amp;Q2669,$N$6:$N$3267,Calendar!$K$4),"")</f>
        <v/>
      </c>
      <c r="W2669" s="47">
        <f>IF(AND(B2669=Queue!$C$4,OR(Queue!$K$4="*",N2669=Queue!$K$4)),Q2669,"")</f>
        <v/>
      </c>
    </row>
    <row r="2670">
      <c r="A2670" s="38">
        <f>IF(M2670="","",HYPERLINK("https://www.youtube.com/watch?v="&amp;M2670,"▶"))</f>
        <v/>
      </c>
      <c r="B2670" s="39">
        <f>IF(C2670&lt;&gt;"",C2670,IF(P2670&lt;=IFERROR(INDEX(tblChannels[Watched Through],MATCH(N2670,tblChannels[Channel ID],0)),0),"Watched","Unwatched"))</f>
        <v/>
      </c>
      <c r="C2670" s="40" t="n"/>
      <c r="D2670" s="41" t="n"/>
      <c r="E2670" s="42" t="n">
        <v>42438.61875</v>
      </c>
      <c r="F2670" s="52" t="inlineStr">
        <is>
          <t>Super Carlin Gaming</t>
        </is>
      </c>
      <c r="G2670" t="inlineStr">
        <is>
          <t>Knights of the Old Republic #5 - The Black Vulkar Base.</t>
        </is>
      </c>
      <c r="H2670" s="44" t="n">
        <v>0.02732638888888889</v>
      </c>
      <c r="I2670" s="45" t="n">
        <v>3597</v>
      </c>
      <c r="J2670" s="45" t="n">
        <v>72</v>
      </c>
      <c r="K2670" s="45" t="n">
        <v>23</v>
      </c>
      <c r="L2670" s="46" t="n"/>
      <c r="M2670" s="47" t="n"/>
      <c r="N2670" s="47" t="inlineStr">
        <is>
          <t>UCor_9jRnNNZVzTuQ92PKsaQ</t>
        </is>
      </c>
      <c r="O2670" s="48" t="n">
        <v>42438.82708333333</v>
      </c>
      <c r="P2670" s="49" t="n">
        <v>42438</v>
      </c>
      <c r="Q2670" s="47" t="n">
        <v>598</v>
      </c>
      <c r="R2670" s="47" t="inlineStr">
        <is>
          <t>No Video ID yet</t>
        </is>
      </c>
      <c r="S2670" s="49" t="n"/>
      <c r="T2670" s="49" t="n"/>
      <c r="U2670" s="47" t="inlineStr">
        <is>
          <t>the end of yesterday's video (haha whoops please don't kill me) and hunting through the Black Vulkar base! Every time you give us a thumbs up a Narwhal gets its horn! (maybe.</t>
        </is>
      </c>
      <c r="V2670" s="47">
        <f>IF(AND(P2670&gt;=Calendar!$K$2,P2670&lt;EDATE(Calendar!$K$2,1),OR(Calendar!$K$4="*",N2670=Calendar!$K$4)),P2670*100+COUNTIFS($P$6:$P$3267,P2670,$Q$6:$Q$3267,"&lt;="&amp;Q2670,$N$6:$N$3267,Calendar!$K$4),"")</f>
        <v/>
      </c>
      <c r="W2670" s="47">
        <f>IF(AND(B2670=Queue!$C$4,OR(Queue!$K$4="*",N2670=Queue!$K$4)),Q2670,"")</f>
        <v/>
      </c>
    </row>
    <row r="2671">
      <c r="A2671" s="38">
        <f>IF(M2671="","",HYPERLINK("https://www.youtube.com/watch?v="&amp;M2671,"▶"))</f>
        <v/>
      </c>
      <c r="B2671" s="39">
        <f>IF(C2671&lt;&gt;"",C2671,IF(P2671&lt;=IFERROR(INDEX(tblChannels[Watched Through],MATCH(N2671,tblChannels[Channel ID],0)),0),"Watched","Unwatched"))</f>
        <v/>
      </c>
      <c r="C2671" s="40" t="n"/>
      <c r="D2671" s="41" t="n"/>
      <c r="E2671" s="42" t="n">
        <v>42438.00208333333</v>
      </c>
      <c r="F2671" s="52" t="inlineStr">
        <is>
          <t>Super Carlin Gaming</t>
        </is>
      </c>
      <c r="G2671" t="inlineStr">
        <is>
          <t>Knights of the Old Republic #4 - Mission and Zaalbar Join the Team!</t>
        </is>
      </c>
      <c r="H2671" s="44" t="n">
        <v>0.03390046296296297</v>
      </c>
      <c r="I2671" s="45" t="n">
        <v>4360</v>
      </c>
      <c r="J2671" s="45" t="n">
        <v>81</v>
      </c>
      <c r="K2671" s="45" t="n">
        <v>17</v>
      </c>
      <c r="L2671" s="46" t="n"/>
      <c r="M2671" s="47" t="n"/>
      <c r="N2671" s="47" t="inlineStr">
        <is>
          <t>UCor_9jRnNNZVzTuQ92PKsaQ</t>
        </is>
      </c>
      <c r="O2671" s="48" t="n">
        <v>42438.21041666667</v>
      </c>
      <c r="P2671" s="49" t="n">
        <v>42438</v>
      </c>
      <c r="Q2671" s="47" t="n">
        <v>597</v>
      </c>
      <c r="R2671" s="47" t="inlineStr">
        <is>
          <t>No Video ID yet</t>
        </is>
      </c>
      <c r="S2671" s="49" t="n"/>
      <c r="T2671" s="49" t="n"/>
      <c r="U2671" s="47" t="inlineStr">
        <is>
          <t>Today Mission and Zaalbar join the force! what do you think? who should we keep? Every time you give us a thumbs up a Narwhal gets its horn! (maybe.</t>
        </is>
      </c>
      <c r="V2671" s="47">
        <f>IF(AND(P2671&gt;=Calendar!$K$2,P2671&lt;EDATE(Calendar!$K$2,1),OR(Calendar!$K$4="*",N2671=Calendar!$K$4)),P2671*100+COUNTIFS($P$6:$P$3267,P2671,$Q$6:$Q$3267,"&lt;="&amp;Q2671,$N$6:$N$3267,Calendar!$K$4),"")</f>
        <v/>
      </c>
      <c r="W2671" s="47">
        <f>IF(AND(B2671=Queue!$C$4,OR(Queue!$K$4="*",N2671=Queue!$K$4)),Q2671,"")</f>
        <v/>
      </c>
    </row>
    <row r="2672">
      <c r="A2672" s="38">
        <f>IF(M2672="","",HYPERLINK("https://www.youtube.com/watch?v="&amp;M2672,"▶"))</f>
        <v/>
      </c>
      <c r="B2672" s="39">
        <f>IF(C2672&lt;&gt;"",C2672,IF(P2672&lt;=IFERROR(INDEX(tblChannels[Watched Through],MATCH(N2672,tblChannels[Channel ID],0)),0),"Watched","Unwatched"))</f>
        <v/>
      </c>
      <c r="C2672" s="40" t="n"/>
      <c r="D2672" s="41" t="n"/>
      <c r="E2672" s="42" t="n">
        <v>42437.625</v>
      </c>
      <c r="F2672" s="50" t="inlineStr">
        <is>
          <t>Super Carlin Brothers</t>
        </is>
      </c>
      <c r="G2672" t="inlineStr">
        <is>
          <t>Is Arkham Asylum Real?</t>
        </is>
      </c>
      <c r="H2672" s="44" t="n">
        <v>0.005763888888888889</v>
      </c>
      <c r="I2672" s="45" t="n">
        <v>439732</v>
      </c>
      <c r="J2672" s="45" t="n">
        <v>12683</v>
      </c>
      <c r="K2672" s="45" t="n">
        <v>2200</v>
      </c>
      <c r="L2672" s="46" t="n"/>
      <c r="M2672" s="47" t="n"/>
      <c r="N2672" s="47" t="inlineStr">
        <is>
          <t>UCKZo4N0lVPccBkSiuyVh4yg</t>
        </is>
      </c>
      <c r="O2672" s="48" t="n">
        <v>42437.83333333334</v>
      </c>
      <c r="P2672" s="49" t="n">
        <v>42437</v>
      </c>
      <c r="Q2672" s="47" t="n">
        <v>596</v>
      </c>
      <c r="R2672" s="47" t="inlineStr">
        <is>
          <t>No Video ID yet</t>
        </is>
      </c>
      <c r="S2672" s="49" t="n"/>
      <c r="T2672" s="49" t="n"/>
      <c r="U2672" s="47" t="inlineStr">
        <is>
          <t>Today we are discussing the real life Arkham Asylum, and the monster that once roamed its halls. He's possibly as bad as any Batman villain out there Lore Podcast :: HP Lovecraft Short Stories :: More about Danvers State Hospital:</t>
        </is>
      </c>
      <c r="V2672" s="47">
        <f>IF(AND(P2672&gt;=Calendar!$K$2,P2672&lt;EDATE(Calendar!$K$2,1),OR(Calendar!$K$4="*",N2672=Calendar!$K$4)),P2672*100+COUNTIFS($P$6:$P$3267,P2672,$Q$6:$Q$3267,"&lt;="&amp;Q2672,$N$6:$N$3267,Calendar!$K$4),"")</f>
        <v/>
      </c>
      <c r="W2672" s="47">
        <f>IF(AND(B2672=Queue!$C$4,OR(Queue!$K$4="*",N2672=Queue!$K$4)),Q2672,"")</f>
        <v/>
      </c>
    </row>
    <row r="2673">
      <c r="A2673" s="38">
        <f>IF(M2673="","",HYPERLINK("https://www.youtube.com/watch?v="&amp;M2673,"▶"))</f>
        <v/>
      </c>
      <c r="B2673" s="39">
        <f>IF(C2673&lt;&gt;"",C2673,IF(P2673&lt;=IFERROR(INDEX(tblChannels[Watched Through],MATCH(N2673,tblChannels[Channel ID],0)),0),"Watched","Unwatched"))</f>
        <v/>
      </c>
      <c r="C2673" s="40" t="n"/>
      <c r="D2673" s="41" t="n"/>
      <c r="E2673" s="42" t="n">
        <v>42436.65833333333</v>
      </c>
      <c r="F2673" s="52" t="inlineStr">
        <is>
          <t>Super Carlin Gaming</t>
        </is>
      </c>
      <c r="G2673" t="inlineStr">
        <is>
          <t>Knight of the Old Republic # 3 - Peaches explores the lower city</t>
        </is>
      </c>
      <c r="H2673" s="44" t="n">
        <v>0.02251157407407407</v>
      </c>
      <c r="I2673" s="45" t="n">
        <v>5057</v>
      </c>
      <c r="J2673" s="45" t="n">
        <v>122</v>
      </c>
      <c r="K2673" s="45" t="n">
        <v>12</v>
      </c>
      <c r="L2673" s="46" t="n"/>
      <c r="M2673" s="47" t="n"/>
      <c r="N2673" s="47" t="inlineStr">
        <is>
          <t>UCor_9jRnNNZVzTuQ92PKsaQ</t>
        </is>
      </c>
      <c r="O2673" s="48" t="n">
        <v>42436.86666666667</v>
      </c>
      <c r="P2673" s="49" t="n">
        <v>42436</v>
      </c>
      <c r="Q2673" s="47" t="n">
        <v>595</v>
      </c>
      <c r="R2673" s="47" t="inlineStr">
        <is>
          <t>No Video ID yet</t>
        </is>
      </c>
      <c r="S2673" s="49" t="n"/>
      <c r="T2673" s="49" t="n"/>
      <c r="U2673" s="47" t="inlineStr">
        <is>
          <t>Peaches explores the lower city! QOTD: what is something you've always wanted to learn? Every time you give us a thumbs up a Narwhal gets its horn! (maybe.</t>
        </is>
      </c>
      <c r="V2673" s="47">
        <f>IF(AND(P2673&gt;=Calendar!$K$2,P2673&lt;EDATE(Calendar!$K$2,1),OR(Calendar!$K$4="*",N2673=Calendar!$K$4)),P2673*100+COUNTIFS($P$6:$P$3267,P2673,$Q$6:$Q$3267,"&lt;="&amp;Q2673,$N$6:$N$3267,Calendar!$K$4),"")</f>
        <v/>
      </c>
      <c r="W2673" s="47">
        <f>IF(AND(B2673=Queue!$C$4,OR(Queue!$K$4="*",N2673=Queue!$K$4)),Q2673,"")</f>
        <v/>
      </c>
    </row>
    <row r="2674">
      <c r="A2674" s="38">
        <f>IF(M2674="","",HYPERLINK("https://www.youtube.com/watch?v="&amp;M2674,"▶"))</f>
        <v/>
      </c>
      <c r="B2674" s="39">
        <f>IF(C2674&lt;&gt;"",C2674,IF(P2674&lt;=IFERROR(INDEX(tblChannels[Watched Through],MATCH(N2674,tblChannels[Channel ID],0)),0),"Watched","Unwatched"))</f>
        <v/>
      </c>
      <c r="C2674" s="40" t="n"/>
      <c r="D2674" s="41" t="n"/>
      <c r="E2674" s="42" t="n">
        <v>42432.85555555556</v>
      </c>
      <c r="F2674" s="50" t="inlineStr">
        <is>
          <t>Super Carlin Brothers</t>
        </is>
      </c>
      <c r="G2674" t="inlineStr">
        <is>
          <t>Finding Dory Trailer 2 | Review, Analysis and Predictions</t>
        </is>
      </c>
      <c r="H2674" s="44" t="n">
        <v>0.006782407407407407</v>
      </c>
      <c r="I2674" s="45" t="n">
        <v>402137</v>
      </c>
      <c r="J2674" s="45" t="n">
        <v>8065</v>
      </c>
      <c r="K2674" s="45" t="n">
        <v>1124</v>
      </c>
      <c r="L2674" s="46" t="n"/>
      <c r="M2674" s="47" t="n"/>
      <c r="N2674" s="47" t="inlineStr">
        <is>
          <t>UCKZo4N0lVPccBkSiuyVh4yg</t>
        </is>
      </c>
      <c r="O2674" s="48" t="n">
        <v>42433.06388888889</v>
      </c>
      <c r="P2674" s="49" t="n">
        <v>42432</v>
      </c>
      <c r="Q2674" s="47" t="n">
        <v>594</v>
      </c>
      <c r="R2674" s="47" t="inlineStr">
        <is>
          <t>No Video ID yet</t>
        </is>
      </c>
      <c r="S2674" s="49" t="n"/>
      <c r="T2674" s="49" t="n"/>
      <c r="U2674" s="47" t="inlineStr">
        <is>
          <t>Today we are doing a full review and analysis of the new Finding Dory trailer that debuted on The Ellen Show! Full Trailer here :: What was your favorite part of the trailer???</t>
        </is>
      </c>
      <c r="V2674" s="47">
        <f>IF(AND(P2674&gt;=Calendar!$K$2,P2674&lt;EDATE(Calendar!$K$2,1),OR(Calendar!$K$4="*",N2674=Calendar!$K$4)),P2674*100+COUNTIFS($P$6:$P$3267,P2674,$Q$6:$Q$3267,"&lt;="&amp;Q2674,$N$6:$N$3267,Calendar!$K$4),"")</f>
        <v/>
      </c>
      <c r="W2674" s="47">
        <f>IF(AND(B2674=Queue!$C$4,OR(Queue!$K$4="*",N2674=Queue!$K$4)),Q2674,"")</f>
        <v/>
      </c>
    </row>
    <row r="2675">
      <c r="A2675" s="38">
        <f>IF(M2675="","",HYPERLINK("https://www.youtube.com/watch?v="&amp;M2675,"▶"))</f>
        <v/>
      </c>
      <c r="B2675" s="39">
        <f>IF(C2675&lt;&gt;"",C2675,IF(P2675&lt;=IFERROR(INDEX(tblChannels[Watched Through],MATCH(N2675,tblChannels[Channel ID],0)),0),"Watched","Unwatched"))</f>
        <v/>
      </c>
      <c r="C2675" s="40" t="n"/>
      <c r="D2675" s="41" t="n"/>
      <c r="E2675" s="42" t="n">
        <v>42431.66041666667</v>
      </c>
      <c r="F2675" s="52" t="inlineStr">
        <is>
          <t>Super Carlin Gaming</t>
        </is>
      </c>
      <c r="G2675" t="inlineStr">
        <is>
          <t>Knights of the Old Republic # 2 - Turning to the Peach Side</t>
        </is>
      </c>
      <c r="H2675" s="44" t="n">
        <v>0.02092592592592592</v>
      </c>
      <c r="I2675" s="45" t="n">
        <v>7696</v>
      </c>
      <c r="J2675" s="45" t="n">
        <v>145</v>
      </c>
      <c r="K2675" s="45" t="n">
        <v>28</v>
      </c>
      <c r="L2675" s="46" t="n"/>
      <c r="M2675" s="47" t="n"/>
      <c r="N2675" s="47" t="inlineStr">
        <is>
          <t>UCor_9jRnNNZVzTuQ92PKsaQ</t>
        </is>
      </c>
      <c r="O2675" s="48" t="n">
        <v>42431.86875</v>
      </c>
      <c r="P2675" s="49" t="n">
        <v>42431</v>
      </c>
      <c r="Q2675" s="47" t="n">
        <v>593</v>
      </c>
      <c r="R2675" s="47" t="inlineStr">
        <is>
          <t>No Video ID yet</t>
        </is>
      </c>
      <c r="S2675" s="49" t="n"/>
      <c r="T2675" s="49" t="n"/>
      <c r="U2675" s="47" t="inlineStr">
        <is>
          <t>Peaches takes your advice and turns to the dark side! Today we explore the Taris Upper City! QOTD: 2 swords or 2 bladed sword?</t>
        </is>
      </c>
      <c r="V2675" s="47">
        <f>IF(AND(P2675&gt;=Calendar!$K$2,P2675&lt;EDATE(Calendar!$K$2,1),OR(Calendar!$K$4="*",N2675=Calendar!$K$4)),P2675*100+COUNTIFS($P$6:$P$3267,P2675,$Q$6:$Q$3267,"&lt;="&amp;Q2675,$N$6:$N$3267,Calendar!$K$4),"")</f>
        <v/>
      </c>
      <c r="W2675" s="47">
        <f>IF(AND(B2675=Queue!$C$4,OR(Queue!$K$4="*",N2675=Queue!$K$4)),Q2675,"")</f>
        <v/>
      </c>
    </row>
    <row r="2676">
      <c r="A2676" s="38">
        <f>IF(M2676="","",HYPERLINK("https://www.youtube.com/watch?v="&amp;M2676,"▶"))</f>
        <v/>
      </c>
      <c r="B2676" s="39">
        <f>IF(C2676&lt;&gt;"",C2676,IF(P2676&lt;=IFERROR(INDEX(tblChannels[Watched Through],MATCH(N2676,tblChannels[Channel ID],0)),0),"Watched","Unwatched"))</f>
        <v/>
      </c>
      <c r="C2676" s="40" t="n"/>
      <c r="D2676" s="41" t="n"/>
      <c r="E2676" s="42" t="n">
        <v>42429.625</v>
      </c>
      <c r="F2676" s="50" t="inlineStr">
        <is>
          <t>Super Carlin Brothers</t>
        </is>
      </c>
      <c r="G2676" t="inlineStr">
        <is>
          <t>Pixar Theory: How The Incredibles Got Their Powers</t>
        </is>
      </c>
      <c r="H2676" s="44" t="n">
        <v>0.006631944444444445</v>
      </c>
      <c r="I2676" s="45" t="n">
        <v>3257718</v>
      </c>
      <c r="J2676" s="45" t="n">
        <v>58754</v>
      </c>
      <c r="K2676" s="45" t="n">
        <v>5622</v>
      </c>
      <c r="L2676" s="46" t="n"/>
      <c r="M2676" s="47" t="n"/>
      <c r="N2676" s="47" t="inlineStr">
        <is>
          <t>UCKZo4N0lVPccBkSiuyVh4yg</t>
        </is>
      </c>
      <c r="O2676" s="48" t="n">
        <v>42429.83333333334</v>
      </c>
      <c r="P2676" s="49" t="n">
        <v>42429</v>
      </c>
      <c r="Q2676" s="47" t="n">
        <v>592</v>
      </c>
      <c r="R2676" s="47" t="inlineStr">
        <is>
          <t>No Video ID yet</t>
        </is>
      </c>
      <c r="S2676" s="49" t="n"/>
      <c r="T2676" s="49" t="n"/>
      <c r="U2676" s="47" t="inlineStr">
        <is>
          <t>Today we discuss the untold origin story of Pixar's The Incredibles and reveal how they got their powers! Wheezy Waiter Conspiracy Vid :: The Pixar Theory book ::</t>
        </is>
      </c>
      <c r="V2676" s="47">
        <f>IF(AND(P2676&gt;=Calendar!$K$2,P2676&lt;EDATE(Calendar!$K$2,1),OR(Calendar!$K$4="*",N2676=Calendar!$K$4)),P2676*100+COUNTIFS($P$6:$P$3267,P2676,$Q$6:$Q$3267,"&lt;="&amp;Q2676,$N$6:$N$3267,Calendar!$K$4),"")</f>
        <v/>
      </c>
      <c r="W2676" s="47">
        <f>IF(AND(B2676=Queue!$C$4,OR(Queue!$K$4="*",N2676=Queue!$K$4)),Q2676,"")</f>
        <v/>
      </c>
    </row>
    <row r="2677">
      <c r="A2677" s="38">
        <f>IF(M2677="","",HYPERLINK("https://www.youtube.com/watch?v="&amp;M2677,"▶"))</f>
        <v/>
      </c>
      <c r="B2677" s="39">
        <f>IF(C2677&lt;&gt;"",C2677,IF(P2677&lt;=IFERROR(INDEX(tblChannels[Watched Through],MATCH(N2677,tblChannels[Channel ID],0)),0),"Watched","Unwatched"))</f>
        <v/>
      </c>
      <c r="C2677" s="40" t="n"/>
      <c r="D2677" s="41" t="n"/>
      <c r="E2677" s="42" t="n">
        <v>42425.87847222222</v>
      </c>
      <c r="F2677" s="50" t="inlineStr">
        <is>
          <t>Super Carlin Brothers</t>
        </is>
      </c>
      <c r="G2677" t="inlineStr">
        <is>
          <t>Fast Facts: The Dark Knight</t>
        </is>
      </c>
      <c r="H2677" s="44" t="n">
        <v>0.001990740740740741</v>
      </c>
      <c r="I2677" s="45" t="n">
        <v>67906</v>
      </c>
      <c r="J2677" s="45" t="n">
        <v>2388</v>
      </c>
      <c r="K2677" s="45" t="n">
        <v>155</v>
      </c>
      <c r="L2677" s="46" t="n"/>
      <c r="M2677" s="47" t="n"/>
      <c r="N2677" s="47" t="inlineStr">
        <is>
          <t>UCKZo4N0lVPccBkSiuyVh4yg</t>
        </is>
      </c>
      <c r="O2677" s="48" t="n">
        <v>42426.08680555555</v>
      </c>
      <c r="P2677" s="49" t="n">
        <v>42425</v>
      </c>
      <c r="Q2677" s="47" t="n">
        <v>591</v>
      </c>
      <c r="R2677" s="47" t="inlineStr">
        <is>
          <t>No Video ID yet</t>
        </is>
      </c>
      <c r="S2677" s="49" t="n"/>
      <c r="T2677" s="49" t="n"/>
      <c r="U2677" s="47" t="n"/>
      <c r="V2677" s="47">
        <f>IF(AND(P2677&gt;=Calendar!$K$2,P2677&lt;EDATE(Calendar!$K$2,1),OR(Calendar!$K$4="*",N2677=Calendar!$K$4)),P2677*100+COUNTIFS($P$6:$P$3267,P2677,$Q$6:$Q$3267,"&lt;="&amp;Q2677,$N$6:$N$3267,Calendar!$K$4),"")</f>
        <v/>
      </c>
      <c r="W2677" s="47">
        <f>IF(AND(B2677=Queue!$C$4,OR(Queue!$K$4="*",N2677=Queue!$K$4)),Q2677,"")</f>
        <v/>
      </c>
    </row>
    <row r="2678">
      <c r="A2678" s="38">
        <f>IF(M2678="","",HYPERLINK("https://www.youtube.com/watch?v="&amp;M2678,"▶"))</f>
        <v/>
      </c>
      <c r="B2678" s="39">
        <f>IF(C2678&lt;&gt;"",C2678,IF(P2678&lt;=IFERROR(INDEX(tblChannels[Watched Through],MATCH(N2678,tblChannels[Channel ID],0)),0),"Watched","Unwatched"))</f>
        <v/>
      </c>
      <c r="C2678" s="40" t="n"/>
      <c r="D2678" s="41" t="n"/>
      <c r="E2678" s="42" t="n">
        <v>42423.70416666667</v>
      </c>
      <c r="F2678" s="52" t="inlineStr">
        <is>
          <t>Super Carlin Gaming</t>
        </is>
      </c>
      <c r="G2678" t="inlineStr">
        <is>
          <t>Knights of the Old Republic #1 - Peaches McClain</t>
        </is>
      </c>
      <c r="H2678" s="44" t="n">
        <v>0.01702546296296296</v>
      </c>
      <c r="I2678" s="45" t="n">
        <v>33794</v>
      </c>
      <c r="J2678" s="45" t="n">
        <v>590</v>
      </c>
      <c r="K2678" s="45" t="n">
        <v>169</v>
      </c>
      <c r="L2678" s="46" t="n"/>
      <c r="M2678" s="47" t="n"/>
      <c r="N2678" s="47" t="inlineStr">
        <is>
          <t>UCor_9jRnNNZVzTuQ92PKsaQ</t>
        </is>
      </c>
      <c r="O2678" s="48" t="n">
        <v>42423.9125</v>
      </c>
      <c r="P2678" s="49" t="n">
        <v>42423</v>
      </c>
      <c r="Q2678" s="47" t="n">
        <v>590</v>
      </c>
      <c r="R2678" s="47" t="inlineStr">
        <is>
          <t>No Video ID yet</t>
        </is>
      </c>
      <c r="S2678" s="49" t="n"/>
      <c r="T2678" s="49" t="n"/>
      <c r="U2678" s="47" t="inlineStr">
        <is>
          <t>Watch as I (Tyler) play through my old childhood favorite, Star Wars: Knights of the Old Republic! What side should I choose? Light or Dark?</t>
        </is>
      </c>
      <c r="V2678" s="47">
        <f>IF(AND(P2678&gt;=Calendar!$K$2,P2678&lt;EDATE(Calendar!$K$2,1),OR(Calendar!$K$4="*",N2678=Calendar!$K$4)),P2678*100+COUNTIFS($P$6:$P$3267,P2678,$Q$6:$Q$3267,"&lt;="&amp;Q2678,$N$6:$N$3267,Calendar!$K$4),"")</f>
        <v/>
      </c>
      <c r="W2678" s="47">
        <f>IF(AND(B2678=Queue!$C$4,OR(Queue!$K$4="*",N2678=Queue!$K$4)),Q2678,"")</f>
        <v/>
      </c>
    </row>
    <row r="2679">
      <c r="A2679" s="38">
        <f>IF(M2679="","",HYPERLINK("https://www.youtube.com/watch?v="&amp;M2679,"▶"))</f>
        <v/>
      </c>
      <c r="B2679" s="39">
        <f>IF(C2679&lt;&gt;"",C2679,IF(P2679&lt;=IFERROR(INDEX(tblChannels[Watched Through],MATCH(N2679,tblChannels[Channel ID],0)),0),"Watched","Unwatched"))</f>
        <v/>
      </c>
      <c r="C2679" s="40" t="n"/>
      <c r="D2679" s="41" t="n"/>
      <c r="E2679" s="42" t="n">
        <v>42423.67847222222</v>
      </c>
      <c r="F2679" s="50" t="inlineStr">
        <is>
          <t>Super Carlin Brothers</t>
        </is>
      </c>
      <c r="G2679" t="inlineStr">
        <is>
          <t>Is Jane a Descendant of Belle??</t>
        </is>
      </c>
      <c r="H2679" s="44" t="n">
        <v>0.00449074074074074</v>
      </c>
      <c r="I2679" s="45" t="n">
        <v>1819001</v>
      </c>
      <c r="J2679" s="45" t="n">
        <v>33428</v>
      </c>
      <c r="K2679" s="45" t="n">
        <v>5319</v>
      </c>
      <c r="L2679" s="46" t="n"/>
      <c r="M2679" s="47" t="n"/>
      <c r="N2679" s="47" t="inlineStr">
        <is>
          <t>UCKZo4N0lVPccBkSiuyVh4yg</t>
        </is>
      </c>
      <c r="O2679" s="48" t="n">
        <v>42423.88680555556</v>
      </c>
      <c r="P2679" s="49" t="n">
        <v>42423</v>
      </c>
      <c r="Q2679" s="47" t="n">
        <v>589</v>
      </c>
      <c r="R2679" s="47" t="inlineStr">
        <is>
          <t>No Video ID yet</t>
        </is>
      </c>
      <c r="S2679" s="49" t="n"/>
      <c r="T2679" s="49" t="n"/>
      <c r="U2679" s="47" t="inlineStr">
        <is>
          <t>Today we discuss the possibility of Jane from Tarzan and Belle from Beauty and the Beast being related and passing down a now very old set of tea pots. What do you think, is Jane a descendant of Belle? Full Article ::</t>
        </is>
      </c>
      <c r="V2679" s="47">
        <f>IF(AND(P2679&gt;=Calendar!$K$2,P2679&lt;EDATE(Calendar!$K$2,1),OR(Calendar!$K$4="*",N2679=Calendar!$K$4)),P2679*100+COUNTIFS($P$6:$P$3267,P2679,$Q$6:$Q$3267,"&lt;="&amp;Q2679,$N$6:$N$3267,Calendar!$K$4),"")</f>
        <v/>
      </c>
      <c r="W2679" s="47">
        <f>IF(AND(B2679=Queue!$C$4,OR(Queue!$K$4="*",N2679=Queue!$K$4)),Q2679,"")</f>
        <v/>
      </c>
    </row>
    <row r="2680">
      <c r="A2680" s="38">
        <f>IF(M2680="","",HYPERLINK("https://www.youtube.com/watch?v="&amp;M2680,"▶"))</f>
        <v/>
      </c>
      <c r="B2680" s="39">
        <f>IF(C2680&lt;&gt;"",C2680,IF(P2680&lt;=IFERROR(INDEX(tblChannels[Watched Through],MATCH(N2680,tblChannels[Channel ID],0)),0),"Watched","Unwatched"))</f>
        <v/>
      </c>
      <c r="C2680" s="40" t="n"/>
      <c r="D2680" s="41" t="n"/>
      <c r="E2680" s="42" t="n">
        <v>42418.95069444444</v>
      </c>
      <c r="F2680" s="50" t="inlineStr">
        <is>
          <t>Super Carlin Brothers</t>
        </is>
      </c>
      <c r="G2680" t="inlineStr">
        <is>
          <t>Fast Facts: Batman Begins</t>
        </is>
      </c>
      <c r="H2680" s="44" t="n">
        <v>0.001689814814814815</v>
      </c>
      <c r="I2680" s="45" t="n">
        <v>66171</v>
      </c>
      <c r="J2680" s="45" t="n">
        <v>2101</v>
      </c>
      <c r="K2680" s="45" t="n">
        <v>185</v>
      </c>
      <c r="L2680" s="46" t="n"/>
      <c r="M2680" s="47" t="n"/>
      <c r="N2680" s="47" t="inlineStr">
        <is>
          <t>UCKZo4N0lVPccBkSiuyVh4yg</t>
        </is>
      </c>
      <c r="O2680" s="48" t="n">
        <v>42419.15902777778</v>
      </c>
      <c r="P2680" s="49" t="n">
        <v>42418</v>
      </c>
      <c r="Q2680" s="47" t="n">
        <v>588</v>
      </c>
      <c r="R2680" s="47" t="inlineStr">
        <is>
          <t>No Video ID yet</t>
        </is>
      </c>
      <c r="S2680" s="49" t="n"/>
      <c r="T2680" s="49" t="n"/>
      <c r="U2680" s="47" t="n"/>
      <c r="V2680" s="47">
        <f>IF(AND(P2680&gt;=Calendar!$K$2,P2680&lt;EDATE(Calendar!$K$2,1),OR(Calendar!$K$4="*",N2680=Calendar!$K$4)),P2680*100+COUNTIFS($P$6:$P$3267,P2680,$Q$6:$Q$3267,"&lt;="&amp;Q2680,$N$6:$N$3267,Calendar!$K$4),"")</f>
        <v/>
      </c>
      <c r="W2680" s="47">
        <f>IF(AND(B2680=Queue!$C$4,OR(Queue!$K$4="*",N2680=Queue!$K$4)),Q2680,"")</f>
        <v/>
      </c>
    </row>
    <row r="2681">
      <c r="A2681" s="38">
        <f>IF(M2681="","",HYPERLINK("https://www.youtube.com/watch?v="&amp;M2681,"▶"))</f>
        <v/>
      </c>
      <c r="B2681" s="39">
        <f>IF(C2681&lt;&gt;"",C2681,IF(P2681&lt;=IFERROR(INDEX(tblChannels[Watched Through],MATCH(N2681,tblChannels[Channel ID],0)),0),"Watched","Unwatched"))</f>
        <v/>
      </c>
      <c r="C2681" s="40" t="n"/>
      <c r="D2681" s="41" t="n"/>
      <c r="E2681" s="42" t="n">
        <v>42416.66319444445</v>
      </c>
      <c r="F2681" s="50" t="inlineStr">
        <is>
          <t>Super Carlin Brothers</t>
        </is>
      </c>
      <c r="G2681" t="inlineStr">
        <is>
          <t>Is Princess Leia a Disney Princess?</t>
        </is>
      </c>
      <c r="H2681" s="44" t="n">
        <v>0.00474537037037037</v>
      </c>
      <c r="I2681" s="45" t="n">
        <v>855543</v>
      </c>
      <c r="J2681" s="45" t="n">
        <v>17621</v>
      </c>
      <c r="K2681" s="45" t="n">
        <v>5803</v>
      </c>
      <c r="L2681" s="46" t="n"/>
      <c r="M2681" s="47" t="n"/>
      <c r="N2681" s="47" t="inlineStr">
        <is>
          <t>UCKZo4N0lVPccBkSiuyVh4yg</t>
        </is>
      </c>
      <c r="O2681" s="48" t="n">
        <v>42416.87152777778</v>
      </c>
      <c r="P2681" s="49" t="n">
        <v>42416</v>
      </c>
      <c r="Q2681" s="47" t="n">
        <v>587</v>
      </c>
      <c r="R2681" s="47" t="inlineStr">
        <is>
          <t>No Video ID yet</t>
        </is>
      </c>
      <c r="S2681" s="49" t="n"/>
      <c r="T2681" s="49" t="n"/>
      <c r="U2681" s="47" t="inlineStr">
        <is>
          <t>I have asked a few times who you guys favorite Disney Princess is and am always surprised by the number of people to say Leia, so today I am discussing whether or not she should be considered a Disney Princess! What do you think? Leia Thumbnail Artist: www.asurocks.de</t>
        </is>
      </c>
      <c r="V2681" s="47">
        <f>IF(AND(P2681&gt;=Calendar!$K$2,P2681&lt;EDATE(Calendar!$K$2,1),OR(Calendar!$K$4="*",N2681=Calendar!$K$4)),P2681*100+COUNTIFS($P$6:$P$3267,P2681,$Q$6:$Q$3267,"&lt;="&amp;Q2681,$N$6:$N$3267,Calendar!$K$4),"")</f>
        <v/>
      </c>
      <c r="W2681" s="47">
        <f>IF(AND(B2681=Queue!$C$4,OR(Queue!$K$4="*",N2681=Queue!$K$4)),Q2681,"")</f>
        <v/>
      </c>
    </row>
    <row r="2682">
      <c r="A2682" s="38">
        <f>IF(M2682="","",HYPERLINK("https://www.youtube.com/watch?v="&amp;M2682,"▶"))</f>
        <v/>
      </c>
      <c r="B2682" s="39">
        <f>IF(C2682&lt;&gt;"",C2682,IF(P2682&lt;=IFERROR(INDEX(tblChannels[Watched Through],MATCH(N2682,tblChannels[Channel ID],0)),0),"Watched","Unwatched"))</f>
        <v/>
      </c>
      <c r="C2682" s="40" t="n"/>
      <c r="D2682" s="41" t="n"/>
      <c r="E2682" s="42" t="n">
        <v>42411.82708333333</v>
      </c>
      <c r="F2682" s="50" t="inlineStr">
        <is>
          <t>Super Carlin Brothers</t>
        </is>
      </c>
      <c r="G2682" t="inlineStr">
        <is>
          <t>LOOT CRATE UNBOXING | INVASION</t>
        </is>
      </c>
      <c r="H2682" s="44" t="n">
        <v>0.004722222222222222</v>
      </c>
      <c r="I2682" s="45" t="n">
        <v>106045</v>
      </c>
      <c r="J2682" s="45" t="n">
        <v>3064</v>
      </c>
      <c r="K2682" s="45" t="n">
        <v>1050</v>
      </c>
      <c r="L2682" s="46" t="n"/>
      <c r="M2682" s="47" t="n"/>
      <c r="N2682" s="47" t="inlineStr">
        <is>
          <t>UCKZo4N0lVPccBkSiuyVh4yg</t>
        </is>
      </c>
      <c r="O2682" s="48" t="n">
        <v>42412.03541666667</v>
      </c>
      <c r="P2682" s="49" t="n">
        <v>42411</v>
      </c>
      <c r="Q2682" s="47" t="n">
        <v>586</v>
      </c>
      <c r="R2682" s="47" t="inlineStr">
        <is>
          <t>No Video ID yet</t>
        </is>
      </c>
      <c r="S2682" s="49" t="n"/>
      <c r="T2682" s="49" t="n"/>
      <c r="U2682" s="47" t="inlineStr">
        <is>
          <t>Save 10% off your order :: Promo Code: CARLIN</t>
        </is>
      </c>
      <c r="V2682" s="47">
        <f>IF(AND(P2682&gt;=Calendar!$K$2,P2682&lt;EDATE(Calendar!$K$2,1),OR(Calendar!$K$4="*",N2682=Calendar!$K$4)),P2682*100+COUNTIFS($P$6:$P$3267,P2682,$Q$6:$Q$3267,"&lt;="&amp;Q2682,$N$6:$N$3267,Calendar!$K$4),"")</f>
        <v/>
      </c>
      <c r="W2682" s="47">
        <f>IF(AND(B2682=Queue!$C$4,OR(Queue!$K$4="*",N2682=Queue!$K$4)),Q2682,"")</f>
        <v/>
      </c>
    </row>
    <row r="2683">
      <c r="A2683" s="38">
        <f>IF(M2683="","",HYPERLINK("https://www.youtube.com/watch?v="&amp;M2683,"▶"))</f>
        <v/>
      </c>
      <c r="B2683" s="39">
        <f>IF(C2683&lt;&gt;"",C2683,IF(P2683&lt;=IFERROR(INDEX(tblChannels[Watched Through],MATCH(N2683,tblChannels[Channel ID],0)),0),"Watched","Unwatched"))</f>
        <v/>
      </c>
      <c r="C2683" s="40" t="n"/>
      <c r="D2683" s="41" t="n"/>
      <c r="E2683" s="42" t="n">
        <v>42409.625</v>
      </c>
      <c r="F2683" s="50" t="inlineStr">
        <is>
          <t>Super Carlin Brothers</t>
        </is>
      </c>
      <c r="G2683" t="inlineStr">
        <is>
          <t>Does Deadpool Google Autofill</t>
        </is>
      </c>
      <c r="H2683" s="44" t="n">
        <v>0.003773148148148148</v>
      </c>
      <c r="I2683" s="45" t="n">
        <v>383228</v>
      </c>
      <c r="J2683" s="45" t="n">
        <v>10085</v>
      </c>
      <c r="K2683" s="45" t="n">
        <v>1141</v>
      </c>
      <c r="L2683" s="46" t="n"/>
      <c r="M2683" s="47" t="n"/>
      <c r="N2683" s="47" t="inlineStr">
        <is>
          <t>UCKZo4N0lVPccBkSiuyVh4yg</t>
        </is>
      </c>
      <c r="O2683" s="48" t="n">
        <v>42409.83333333334</v>
      </c>
      <c r="P2683" s="49" t="n">
        <v>42409</v>
      </c>
      <c r="Q2683" s="47" t="n">
        <v>585</v>
      </c>
      <c r="R2683" s="47" t="inlineStr">
        <is>
          <t>No Video ID yet</t>
        </is>
      </c>
      <c r="S2683" s="49" t="n"/>
      <c r="T2683" s="49" t="n"/>
      <c r="U2683" s="47" t="inlineStr">
        <is>
          <t>DKlarations :: Are you excited for Deadpool??</t>
        </is>
      </c>
      <c r="V2683" s="47">
        <f>IF(AND(P2683&gt;=Calendar!$K$2,P2683&lt;EDATE(Calendar!$K$2,1),OR(Calendar!$K$4="*",N2683=Calendar!$K$4)),P2683*100+COUNTIFS($P$6:$P$3267,P2683,$Q$6:$Q$3267,"&lt;="&amp;Q2683,$N$6:$N$3267,Calendar!$K$4),"")</f>
        <v/>
      </c>
      <c r="W2683" s="47">
        <f>IF(AND(B2683=Queue!$C$4,OR(Queue!$K$4="*",N2683=Queue!$K$4)),Q2683,"")</f>
        <v/>
      </c>
    </row>
    <row r="2684">
      <c r="A2684" s="38">
        <f>IF(M2684="","",HYPERLINK("https://www.youtube.com/watch?v="&amp;M2684,"▶"))</f>
        <v/>
      </c>
      <c r="B2684" s="39">
        <f>IF(C2684&lt;&gt;"",C2684,IF(P2684&lt;=IFERROR(INDEX(tblChannels[Watched Through],MATCH(N2684,tblChannels[Channel ID],0)),0),"Watched","Unwatched"))</f>
        <v/>
      </c>
      <c r="C2684" s="40" t="n"/>
      <c r="D2684" s="41" t="n"/>
      <c r="E2684" s="42" t="n">
        <v>42404.95347222222</v>
      </c>
      <c r="F2684" s="50" t="inlineStr">
        <is>
          <t>Super Carlin Brothers</t>
        </is>
      </c>
      <c r="G2684" t="inlineStr">
        <is>
          <t>Fast Facts: Mulan</t>
        </is>
      </c>
      <c r="H2684" s="44" t="n">
        <v>0.001354166666666667</v>
      </c>
      <c r="I2684" s="45" t="n">
        <v>182516</v>
      </c>
      <c r="J2684" s="45" t="n">
        <v>5996</v>
      </c>
      <c r="K2684" s="45" t="n">
        <v>354</v>
      </c>
      <c r="L2684" s="46" t="n"/>
      <c r="M2684" s="47" t="n"/>
      <c r="N2684" s="47" t="inlineStr">
        <is>
          <t>UCKZo4N0lVPccBkSiuyVh4yg</t>
        </is>
      </c>
      <c r="O2684" s="48" t="n">
        <v>42405.16180555556</v>
      </c>
      <c r="P2684" s="49" t="n">
        <v>42404</v>
      </c>
      <c r="Q2684" s="47" t="n">
        <v>584</v>
      </c>
      <c r="R2684" s="47" t="inlineStr">
        <is>
          <t>No Video ID yet</t>
        </is>
      </c>
      <c r="S2684" s="49" t="n"/>
      <c r="T2684" s="49" t="n"/>
      <c r="U2684" s="47" t="n"/>
      <c r="V2684" s="47">
        <f>IF(AND(P2684&gt;=Calendar!$K$2,P2684&lt;EDATE(Calendar!$K$2,1),OR(Calendar!$K$4="*",N2684=Calendar!$K$4)),P2684*100+COUNTIFS($P$6:$P$3267,P2684,$Q$6:$Q$3267,"&lt;="&amp;Q2684,$N$6:$N$3267,Calendar!$K$4),"")</f>
        <v/>
      </c>
      <c r="W2684" s="47">
        <f>IF(AND(B2684=Queue!$C$4,OR(Queue!$K$4="*",N2684=Queue!$K$4)),Q2684,"")</f>
        <v/>
      </c>
    </row>
    <row r="2685">
      <c r="A2685" s="38">
        <f>IF(M2685="","",HYPERLINK("https://www.youtube.com/watch?v="&amp;M2685,"▶"))</f>
        <v/>
      </c>
      <c r="B2685" s="39">
        <f>IF(C2685&lt;&gt;"",C2685,IF(P2685&lt;=IFERROR(INDEX(tblChannels[Watched Through],MATCH(N2685,tblChannels[Channel ID],0)),0),"Watched","Unwatched"))</f>
        <v/>
      </c>
      <c r="C2685" s="40" t="n"/>
      <c r="D2685" s="41" t="n"/>
      <c r="E2685" s="42" t="n">
        <v>42402.69236111111</v>
      </c>
      <c r="F2685" s="50" t="inlineStr">
        <is>
          <t>Super Carlin Brothers</t>
        </is>
      </c>
      <c r="G2685" t="inlineStr">
        <is>
          <t>Top 10 Reasons Mulan is the Best Disney Princess Ever</t>
        </is>
      </c>
      <c r="H2685" s="44" t="n">
        <v>0.005196759259259259</v>
      </c>
      <c r="I2685" s="45" t="n">
        <v>771919</v>
      </c>
      <c r="J2685" s="45" t="n">
        <v>29094</v>
      </c>
      <c r="K2685" s="45" t="n">
        <v>4679</v>
      </c>
      <c r="L2685" s="46" t="n"/>
      <c r="M2685" s="47" t="n"/>
      <c r="N2685" s="47" t="inlineStr">
        <is>
          <t>UCKZo4N0lVPccBkSiuyVh4yg</t>
        </is>
      </c>
      <c r="O2685" s="48" t="n">
        <v>42402.90069444444</v>
      </c>
      <c r="P2685" s="49" t="n">
        <v>42402</v>
      </c>
      <c r="Q2685" s="47" t="n">
        <v>583</v>
      </c>
      <c r="R2685" s="47" t="inlineStr">
        <is>
          <t>No Video ID yet</t>
        </is>
      </c>
      <c r="S2685" s="49" t="n"/>
      <c r="T2685" s="49" t="n"/>
      <c r="U2685" s="47" t="inlineStr">
        <is>
          <t>You guys voted and now I am running down the Top 10 Reasons Mulan is the Best Disney Princess Ever! What is your favorite Mulan Moment? Ballad of Mulan ::</t>
        </is>
      </c>
      <c r="V2685" s="47">
        <f>IF(AND(P2685&gt;=Calendar!$K$2,P2685&lt;EDATE(Calendar!$K$2,1),OR(Calendar!$K$4="*",N2685=Calendar!$K$4)),P2685*100+COUNTIFS($P$6:$P$3267,P2685,$Q$6:$Q$3267,"&lt;="&amp;Q2685,$N$6:$N$3267,Calendar!$K$4),"")</f>
        <v/>
      </c>
      <c r="W2685" s="47">
        <f>IF(AND(B2685=Queue!$C$4,OR(Queue!$K$4="*",N2685=Queue!$K$4)),Q2685,"")</f>
        <v/>
      </c>
    </row>
    <row r="2686">
      <c r="A2686" s="38">
        <f>IF(M2686="","",HYPERLINK("https://www.youtube.com/watch?v="&amp;M2686,"▶"))</f>
        <v/>
      </c>
      <c r="B2686" s="39">
        <f>IF(C2686&lt;&gt;"",C2686,IF(P2686&lt;=IFERROR(INDEX(tblChannels[Watched Through],MATCH(N2686,tblChannels[Channel ID],0)),0),"Watched","Unwatched"))</f>
        <v/>
      </c>
      <c r="C2686" s="40" t="n"/>
      <c r="D2686" s="41" t="n"/>
      <c r="E2686" s="42" t="n">
        <v>42398.02152777778</v>
      </c>
      <c r="F2686" s="50" t="inlineStr">
        <is>
          <t>Super Carlin Brothers</t>
        </is>
      </c>
      <c r="G2686" t="inlineStr">
        <is>
          <t>Is Rey Darth Vader's Sister?</t>
        </is>
      </c>
      <c r="H2686" s="44" t="n">
        <v>0.004097222222222223</v>
      </c>
      <c r="I2686" s="45" t="n">
        <v>747217</v>
      </c>
      <c r="J2686" s="45" t="n">
        <v>13101</v>
      </c>
      <c r="K2686" s="45" t="n">
        <v>3985</v>
      </c>
      <c r="L2686" s="46" t="n"/>
      <c r="M2686" s="47" t="n"/>
      <c r="N2686" s="47" t="inlineStr">
        <is>
          <t>UCKZo4N0lVPccBkSiuyVh4yg</t>
        </is>
      </c>
      <c r="O2686" s="48" t="n">
        <v>42398.22986111111</v>
      </c>
      <c r="P2686" s="49" t="n">
        <v>42398</v>
      </c>
      <c r="Q2686" s="47" t="n">
        <v>582</v>
      </c>
      <c r="R2686" s="47" t="inlineStr">
        <is>
          <t>No Video ID yet</t>
        </is>
      </c>
      <c r="S2686" s="49" t="n"/>
      <c r="T2686" s="49" t="n"/>
      <c r="U2686" s="47" t="inlineStr">
        <is>
          <t>D-Cast Version: Link to D-Cast:</t>
        </is>
      </c>
      <c r="V2686" s="47">
        <f>IF(AND(P2686&gt;=Calendar!$K$2,P2686&lt;EDATE(Calendar!$K$2,1),OR(Calendar!$K$4="*",N2686=Calendar!$K$4)),P2686*100+COUNTIFS($P$6:$P$3267,P2686,$Q$6:$Q$3267,"&lt;="&amp;Q2686,$N$6:$N$3267,Calendar!$K$4),"")</f>
        <v/>
      </c>
      <c r="W2686" s="47">
        <f>IF(AND(B2686=Queue!$C$4,OR(Queue!$K$4="*",N2686=Queue!$K$4)),Q2686,"")</f>
        <v/>
      </c>
    </row>
    <row r="2687">
      <c r="A2687" s="38">
        <f>IF(M2687="","",HYPERLINK("https://www.youtube.com/watch?v="&amp;M2687,"▶"))</f>
        <v/>
      </c>
      <c r="B2687" s="39">
        <f>IF(C2687&lt;&gt;"",C2687,IF(P2687&lt;=IFERROR(INDEX(tblChannels[Watched Through],MATCH(N2687,tblChannels[Channel ID],0)),0),"Watched","Unwatched"))</f>
        <v/>
      </c>
      <c r="C2687" s="40" t="n"/>
      <c r="D2687" s="41" t="n"/>
      <c r="E2687" s="42" t="n">
        <v>42395.70763888889</v>
      </c>
      <c r="F2687" s="50" t="inlineStr">
        <is>
          <t>Super Carlin Brothers</t>
        </is>
      </c>
      <c r="G2687" t="inlineStr">
        <is>
          <t>Pixar Theory: What Happened to Andy's Dad?</t>
        </is>
      </c>
      <c r="H2687" s="44" t="n">
        <v>0.004884259259259259</v>
      </c>
      <c r="I2687" s="45" t="n">
        <v>1679711</v>
      </c>
      <c r="J2687" s="45" t="n">
        <v>36227</v>
      </c>
      <c r="K2687" s="45" t="n">
        <v>5549</v>
      </c>
      <c r="L2687" s="46" t="n"/>
      <c r="M2687" s="47" t="n"/>
      <c r="N2687" s="47" t="inlineStr">
        <is>
          <t>UCKZo4N0lVPccBkSiuyVh4yg</t>
        </is>
      </c>
      <c r="O2687" s="48" t="n">
        <v>42395.91597222222</v>
      </c>
      <c r="P2687" s="49" t="n">
        <v>42395</v>
      </c>
      <c r="Q2687" s="47" t="n">
        <v>581</v>
      </c>
      <c r="R2687" s="47" t="inlineStr">
        <is>
          <t>No Video ID yet</t>
        </is>
      </c>
      <c r="S2687" s="49" t="n"/>
      <c r="T2687" s="49" t="n"/>
      <c r="U2687" s="47" t="inlineStr">
        <is>
          <t>Today we discuss what happened to Andy's dad. Are his parents divorced? Did he die? What do you think?? Other Great Andy's Dad Articles ::</t>
        </is>
      </c>
      <c r="V2687" s="47">
        <f>IF(AND(P2687&gt;=Calendar!$K$2,P2687&lt;EDATE(Calendar!$K$2,1),OR(Calendar!$K$4="*",N2687=Calendar!$K$4)),P2687*100+COUNTIFS($P$6:$P$3267,P2687,$Q$6:$Q$3267,"&lt;="&amp;Q2687,$N$6:$N$3267,Calendar!$K$4),"")</f>
        <v/>
      </c>
      <c r="W2687" s="47">
        <f>IF(AND(B2687=Queue!$C$4,OR(Queue!$K$4="*",N2687=Queue!$K$4)),Q2687,"")</f>
        <v/>
      </c>
    </row>
    <row r="2688">
      <c r="A2688" s="38">
        <f>IF(M2688="","",HYPERLINK("https://www.youtube.com/watch?v="&amp;M2688,"▶"))</f>
        <v/>
      </c>
      <c r="B2688" s="39">
        <f>IF(C2688&lt;&gt;"",C2688,IF(P2688&lt;=IFERROR(INDEX(tblChannels[Watched Through],MATCH(N2688,tblChannels[Channel ID],0)),0),"Watched","Unwatched"))</f>
        <v/>
      </c>
      <c r="C2688" s="40" t="n"/>
      <c r="D2688" s="41" t="n"/>
      <c r="E2688" s="42" t="n">
        <v>42391.02847222222</v>
      </c>
      <c r="F2688" s="50" t="inlineStr">
        <is>
          <t>Super Carlin Brothers</t>
        </is>
      </c>
      <c r="G2688" t="inlineStr">
        <is>
          <t>Is Kylo Ren Actually Severus Snape?!</t>
        </is>
      </c>
      <c r="H2688" s="44" t="n">
        <v>0.003923611111111111</v>
      </c>
      <c r="I2688" s="45" t="n">
        <v>736385</v>
      </c>
      <c r="J2688" s="45" t="n">
        <v>18685</v>
      </c>
      <c r="K2688" s="45" t="n">
        <v>2878</v>
      </c>
      <c r="L2688" s="46" t="n"/>
      <c r="M2688" s="47" t="n"/>
      <c r="N2688" s="47" t="inlineStr">
        <is>
          <t>UCKZo4N0lVPccBkSiuyVh4yg</t>
        </is>
      </c>
      <c r="O2688" s="48" t="n">
        <v>42391.23680555556</v>
      </c>
      <c r="P2688" s="49" t="n">
        <v>42391</v>
      </c>
      <c r="Q2688" s="47" t="n">
        <v>580</v>
      </c>
      <c r="R2688" s="47" t="inlineStr">
        <is>
          <t>No Video ID yet</t>
        </is>
      </c>
      <c r="S2688" s="49" t="n"/>
      <c r="T2688" s="49" t="n"/>
      <c r="U2688" s="47" t="n"/>
      <c r="V2688" s="47">
        <f>IF(AND(P2688&gt;=Calendar!$K$2,P2688&lt;EDATE(Calendar!$K$2,1),OR(Calendar!$K$4="*",N2688=Calendar!$K$4)),P2688*100+COUNTIFS($P$6:$P$3267,P2688,$Q$6:$Q$3267,"&lt;="&amp;Q2688,$N$6:$N$3267,Calendar!$K$4),"")</f>
        <v/>
      </c>
      <c r="W2688" s="47">
        <f>IF(AND(B2688=Queue!$C$4,OR(Queue!$K$4="*",N2688=Queue!$K$4)),Q2688,"")</f>
        <v/>
      </c>
    </row>
    <row r="2689">
      <c r="A2689" s="38">
        <f>IF(M2689="","",HYPERLINK("https://www.youtube.com/watch?v="&amp;M2689,"▶"))</f>
        <v/>
      </c>
      <c r="B2689" s="39">
        <f>IF(C2689&lt;&gt;"",C2689,IF(P2689&lt;=IFERROR(INDEX(tblChannels[Watched Through],MATCH(N2689,tblChannels[Channel ID],0)),0),"Watched","Unwatched"))</f>
        <v/>
      </c>
      <c r="C2689" s="40" t="n"/>
      <c r="D2689" s="41" t="n"/>
      <c r="E2689" s="42" t="n">
        <v>42388.85208333333</v>
      </c>
      <c r="F2689" s="50" t="inlineStr">
        <is>
          <t>Super Carlin Brothers</t>
        </is>
      </c>
      <c r="G2689" t="inlineStr">
        <is>
          <t>Pixar Theory: Was Riley Adopted??</t>
        </is>
      </c>
      <c r="H2689" s="44" t="n">
        <v>0.004849537037037037</v>
      </c>
      <c r="I2689" s="45" t="n">
        <v>6431882</v>
      </c>
      <c r="J2689" s="45" t="n">
        <v>88454</v>
      </c>
      <c r="K2689" s="45" t="n">
        <v>19874</v>
      </c>
      <c r="L2689" s="46" t="n"/>
      <c r="M2689" s="47" t="n"/>
      <c r="N2689" s="47" t="inlineStr">
        <is>
          <t>UCKZo4N0lVPccBkSiuyVh4yg</t>
        </is>
      </c>
      <c r="O2689" s="48" t="n">
        <v>42389.06041666667</v>
      </c>
      <c r="P2689" s="49" t="n">
        <v>42388</v>
      </c>
      <c r="Q2689" s="47" t="n">
        <v>579</v>
      </c>
      <c r="R2689" s="47" t="inlineStr">
        <is>
          <t>No Video ID yet</t>
        </is>
      </c>
      <c r="S2689" s="49" t="n"/>
      <c r="T2689" s="49" t="n"/>
      <c r="U2689" s="47" t="inlineStr">
        <is>
          <t>Riley Andersen is possibly my favorite Pixar character of all time and today we peel back another layer and find out if she was adopted.</t>
        </is>
      </c>
      <c r="V2689" s="47">
        <f>IF(AND(P2689&gt;=Calendar!$K$2,P2689&lt;EDATE(Calendar!$K$2,1),OR(Calendar!$K$4="*",N2689=Calendar!$K$4)),P2689*100+COUNTIFS($P$6:$P$3267,P2689,$Q$6:$Q$3267,"&lt;="&amp;Q2689,$N$6:$N$3267,Calendar!$K$4),"")</f>
        <v/>
      </c>
      <c r="W2689" s="47">
        <f>IF(AND(B2689=Queue!$C$4,OR(Queue!$K$4="*",N2689=Queue!$K$4)),Q2689,"")</f>
        <v/>
      </c>
    </row>
    <row r="2690">
      <c r="A2690" s="38">
        <f>IF(M2690="","",HYPERLINK("https://www.youtube.com/watch?v="&amp;M2690,"▶"))</f>
        <v/>
      </c>
      <c r="B2690" s="39">
        <f>IF(C2690&lt;&gt;"",C2690,IF(P2690&lt;=IFERROR(INDEX(tblChannels[Watched Through],MATCH(N2690,tblChannels[Channel ID],0)),0),"Watched","Unwatched"))</f>
        <v/>
      </c>
      <c r="C2690" s="40" t="n"/>
      <c r="D2690" s="41" t="n"/>
      <c r="E2690" s="42" t="n">
        <v>42384.01527777778</v>
      </c>
      <c r="F2690" s="50" t="inlineStr">
        <is>
          <t>Super Carlin Brothers</t>
        </is>
      </c>
      <c r="G2690" t="inlineStr">
        <is>
          <t>Fast Facts: Tribute - Alan Rickman</t>
        </is>
      </c>
      <c r="H2690" s="44" t="n">
        <v>0.001527777777777778</v>
      </c>
      <c r="I2690" s="45" t="n">
        <v>151660</v>
      </c>
      <c r="J2690" s="45" t="n">
        <v>8139</v>
      </c>
      <c r="K2690" s="45" t="n">
        <v>823</v>
      </c>
      <c r="L2690" s="46" t="n"/>
      <c r="M2690" s="47" t="n"/>
      <c r="N2690" s="47" t="inlineStr">
        <is>
          <t>UCKZo4N0lVPccBkSiuyVh4yg</t>
        </is>
      </c>
      <c r="O2690" s="48" t="n">
        <v>42384.22361111111</v>
      </c>
      <c r="P2690" s="49" t="n">
        <v>42384</v>
      </c>
      <c r="Q2690" s="47" t="n">
        <v>578</v>
      </c>
      <c r="R2690" s="47" t="inlineStr">
        <is>
          <t>No Video ID yet</t>
        </is>
      </c>
      <c r="S2690" s="49" t="n"/>
      <c r="T2690" s="49" t="n"/>
      <c r="U2690" s="47" t="inlineStr">
        <is>
          <t>Alan Rickman Makes Tea:</t>
        </is>
      </c>
      <c r="V2690" s="47">
        <f>IF(AND(P2690&gt;=Calendar!$K$2,P2690&lt;EDATE(Calendar!$K$2,1),OR(Calendar!$K$4="*",N2690=Calendar!$K$4)),P2690*100+COUNTIFS($P$6:$P$3267,P2690,$Q$6:$Q$3267,"&lt;="&amp;Q2690,$N$6:$N$3267,Calendar!$K$4),"")</f>
        <v/>
      </c>
      <c r="W2690" s="47">
        <f>IF(AND(B2690=Queue!$C$4,OR(Queue!$K$4="*",N2690=Queue!$K$4)),Q2690,"")</f>
        <v/>
      </c>
    </row>
    <row r="2691">
      <c r="A2691" s="38">
        <f>IF(M2691="","",HYPERLINK("https://www.youtube.com/watch?v="&amp;M2691,"▶"))</f>
        <v/>
      </c>
      <c r="B2691" s="39">
        <f>IF(C2691&lt;&gt;"",C2691,IF(P2691&lt;=IFERROR(INDEX(tblChannels[Watched Through],MATCH(N2691,tblChannels[Channel ID],0)),0),"Watched","Unwatched"))</f>
        <v/>
      </c>
      <c r="C2691" s="40" t="n"/>
      <c r="D2691" s="41" t="n"/>
      <c r="E2691" s="42" t="n">
        <v>42381.65347222222</v>
      </c>
      <c r="F2691" s="50" t="inlineStr">
        <is>
          <t>Super Carlin Brothers</t>
        </is>
      </c>
      <c r="G2691" t="inlineStr">
        <is>
          <t>Should You Open Your Star Wars Toys?</t>
        </is>
      </c>
      <c r="H2691" s="44" t="n">
        <v>0.004085648148148148</v>
      </c>
      <c r="I2691" s="45" t="n">
        <v>190530</v>
      </c>
      <c r="J2691" s="45" t="n">
        <v>5753</v>
      </c>
      <c r="K2691" s="45" t="n">
        <v>971</v>
      </c>
      <c r="L2691" s="46" t="n"/>
      <c r="M2691" s="47" t="n"/>
      <c r="N2691" s="47" t="inlineStr">
        <is>
          <t>UCKZo4N0lVPccBkSiuyVh4yg</t>
        </is>
      </c>
      <c r="O2691" s="48" t="n">
        <v>42381.86180555556</v>
      </c>
      <c r="P2691" s="49" t="n">
        <v>42381</v>
      </c>
      <c r="Q2691" s="47" t="n">
        <v>577</v>
      </c>
      <c r="R2691" s="47" t="inlineStr">
        <is>
          <t>No Video ID yet</t>
        </is>
      </c>
      <c r="S2691" s="49" t="n"/>
      <c r="T2691" s="49" t="n"/>
      <c r="U2691" s="47" t="inlineStr">
        <is>
          <t>If you had a valuable toy would you sell it or keep it? Flow Chart :: Top 10 Most Valuable Star Wars Toys ::</t>
        </is>
      </c>
      <c r="V2691" s="47">
        <f>IF(AND(P2691&gt;=Calendar!$K$2,P2691&lt;EDATE(Calendar!$K$2,1),OR(Calendar!$K$4="*",N2691=Calendar!$K$4)),P2691*100+COUNTIFS($P$6:$P$3267,P2691,$Q$6:$Q$3267,"&lt;="&amp;Q2691,$N$6:$N$3267,Calendar!$K$4),"")</f>
        <v/>
      </c>
      <c r="W2691" s="47">
        <f>IF(AND(B2691=Queue!$C$4,OR(Queue!$K$4="*",N2691=Queue!$K$4)),Q2691,"")</f>
        <v/>
      </c>
    </row>
    <row r="2692">
      <c r="A2692" s="38">
        <f>IF(M2692="","",HYPERLINK("https://www.youtube.com/watch?v="&amp;M2692,"▶"))</f>
        <v/>
      </c>
      <c r="B2692" s="39">
        <f>IF(C2692&lt;&gt;"",C2692,IF(P2692&lt;=IFERROR(INDEX(tblChannels[Watched Through],MATCH(N2692,tblChannels[Channel ID],0)),0),"Watched","Unwatched"))</f>
        <v/>
      </c>
      <c r="C2692" s="40" t="n"/>
      <c r="D2692" s="41" t="n"/>
      <c r="E2692" s="42" t="n">
        <v>42376.93541666667</v>
      </c>
      <c r="F2692" s="50" t="inlineStr">
        <is>
          <t>Super Carlin Brothers</t>
        </is>
      </c>
      <c r="G2692" t="inlineStr">
        <is>
          <t>Fast Facts: Star Wars - The Force Awakens</t>
        </is>
      </c>
      <c r="H2692" s="44" t="n">
        <v>0.001898148148148148</v>
      </c>
      <c r="I2692" s="45" t="n">
        <v>133750</v>
      </c>
      <c r="J2692" s="45" t="n">
        <v>4101</v>
      </c>
      <c r="K2692" s="45" t="n">
        <v>383</v>
      </c>
      <c r="L2692" s="46" t="n"/>
      <c r="M2692" s="47" t="n"/>
      <c r="N2692" s="47" t="inlineStr">
        <is>
          <t>UCKZo4N0lVPccBkSiuyVh4yg</t>
        </is>
      </c>
      <c r="O2692" s="48" t="n">
        <v>42377.14375</v>
      </c>
      <c r="P2692" s="49" t="n">
        <v>42376</v>
      </c>
      <c r="Q2692" s="47" t="n">
        <v>576</v>
      </c>
      <c r="R2692" s="47" t="inlineStr">
        <is>
          <t>No Video ID yet</t>
        </is>
      </c>
      <c r="S2692" s="49" t="n"/>
      <c r="T2692" s="49" t="n"/>
      <c r="U2692" s="47" t="n"/>
      <c r="V2692" s="47">
        <f>IF(AND(P2692&gt;=Calendar!$K$2,P2692&lt;EDATE(Calendar!$K$2,1),OR(Calendar!$K$4="*",N2692=Calendar!$K$4)),P2692*100+COUNTIFS($P$6:$P$3267,P2692,$Q$6:$Q$3267,"&lt;="&amp;Q2692,$N$6:$N$3267,Calendar!$K$4),"")</f>
        <v/>
      </c>
      <c r="W2692" s="47">
        <f>IF(AND(B2692=Queue!$C$4,OR(Queue!$K$4="*",N2692=Queue!$K$4)),Q2692,"")</f>
        <v/>
      </c>
    </row>
    <row r="2693">
      <c r="A2693" s="38">
        <f>IF(M2693="","",HYPERLINK("https://www.youtube.com/watch?v="&amp;M2693,"▶"))</f>
        <v/>
      </c>
      <c r="B2693" s="39">
        <f>IF(C2693&lt;&gt;"",C2693,IF(P2693&lt;=IFERROR(INDEX(tblChannels[Watched Through],MATCH(N2693,tblChannels[Channel ID],0)),0),"Watched","Unwatched"))</f>
        <v/>
      </c>
      <c r="C2693" s="40" t="n"/>
      <c r="D2693" s="41" t="n"/>
      <c r="E2693" s="42" t="n">
        <v>42374.63055555556</v>
      </c>
      <c r="F2693" s="50" t="inlineStr">
        <is>
          <t>Super Carlin Brothers</t>
        </is>
      </c>
      <c r="G2693" t="inlineStr">
        <is>
          <t>Who is Rey's Father? - Star Wars The Force Awakens</t>
        </is>
      </c>
      <c r="H2693" s="44" t="n">
        <v>0.005902777777777778</v>
      </c>
      <c r="I2693" s="45" t="n">
        <v>1664850</v>
      </c>
      <c r="J2693" s="45" t="n">
        <v>34140</v>
      </c>
      <c r="K2693" s="45" t="n">
        <v>10956</v>
      </c>
      <c r="L2693" s="46" t="n"/>
      <c r="M2693" s="47" t="n"/>
      <c r="N2693" s="47" t="inlineStr">
        <is>
          <t>UCKZo4N0lVPccBkSiuyVh4yg</t>
        </is>
      </c>
      <c r="O2693" s="48" t="n">
        <v>42374.83888888889</v>
      </c>
      <c r="P2693" s="49" t="n">
        <v>42374</v>
      </c>
      <c r="Q2693" s="47" t="n">
        <v>575</v>
      </c>
      <c r="R2693" s="47" t="inlineStr">
        <is>
          <t>No Video ID yet</t>
        </is>
      </c>
      <c r="S2693" s="49" t="n"/>
      <c r="T2693" s="49" t="n"/>
      <c r="U2693" s="47" t="n"/>
      <c r="V2693" s="47">
        <f>IF(AND(P2693&gt;=Calendar!$K$2,P2693&lt;EDATE(Calendar!$K$2,1),OR(Calendar!$K$4="*",N2693=Calendar!$K$4)),P2693*100+COUNTIFS($P$6:$P$3267,P2693,$Q$6:$Q$3267,"&lt;="&amp;Q2693,$N$6:$N$3267,Calendar!$K$4),"")</f>
        <v/>
      </c>
      <c r="W2693" s="47">
        <f>IF(AND(B2693=Queue!$C$4,OR(Queue!$K$4="*",N2693=Queue!$K$4)),Q2693,"")</f>
        <v/>
      </c>
    </row>
    <row r="2694">
      <c r="A2694" s="38">
        <f>IF(M2694="","",HYPERLINK("https://www.youtube.com/watch?v="&amp;M2694,"▶"))</f>
        <v/>
      </c>
      <c r="B2694" s="39">
        <f>IF(C2694&lt;&gt;"",C2694,IF(P2694&lt;=IFERROR(INDEX(tblChannels[Watched Through],MATCH(N2694,tblChannels[Channel ID],0)),0),"Watched","Unwatched"))</f>
        <v/>
      </c>
      <c r="C2694" s="40" t="n"/>
      <c r="D2694" s="41" t="n"/>
      <c r="E2694" s="42" t="n">
        <v>42369.8125</v>
      </c>
      <c r="F2694" s="50" t="inlineStr">
        <is>
          <t>Super Carlin Brothers</t>
        </is>
      </c>
      <c r="G2694" t="inlineStr">
        <is>
          <t>Fast Facts: Frozen</t>
        </is>
      </c>
      <c r="H2694" s="44" t="n">
        <v>0.00181712962962963</v>
      </c>
      <c r="I2694" s="45" t="n">
        <v>175692</v>
      </c>
      <c r="J2694" s="45" t="n">
        <v>4265</v>
      </c>
      <c r="K2694" s="45" t="n">
        <v>326</v>
      </c>
      <c r="L2694" s="46" t="n"/>
      <c r="M2694" s="47" t="n"/>
      <c r="N2694" s="47" t="inlineStr">
        <is>
          <t>UCKZo4N0lVPccBkSiuyVh4yg</t>
        </is>
      </c>
      <c r="O2694" s="48" t="n">
        <v>42370.02083333334</v>
      </c>
      <c r="P2694" s="49" t="n">
        <v>42369</v>
      </c>
      <c r="Q2694" s="47" t="n">
        <v>574</v>
      </c>
      <c r="R2694" s="47" t="inlineStr">
        <is>
          <t>No Video ID yet</t>
        </is>
      </c>
      <c r="S2694" s="49" t="n"/>
      <c r="T2694" s="49" t="n"/>
      <c r="U2694" s="47" t="n"/>
      <c r="V2694" s="47">
        <f>IF(AND(P2694&gt;=Calendar!$K$2,P2694&lt;EDATE(Calendar!$K$2,1),OR(Calendar!$K$4="*",N2694=Calendar!$K$4)),P2694*100+COUNTIFS($P$6:$P$3267,P2694,$Q$6:$Q$3267,"&lt;="&amp;Q2694,$N$6:$N$3267,Calendar!$K$4),"")</f>
        <v/>
      </c>
      <c r="W2694" s="47">
        <f>IF(AND(B2694=Queue!$C$4,OR(Queue!$K$4="*",N2694=Queue!$K$4)),Q2694,"")</f>
        <v/>
      </c>
    </row>
    <row r="2695">
      <c r="A2695" s="38">
        <f>IF(M2695="","",HYPERLINK("https://www.youtube.com/watch?v="&amp;M2695,"▶"))</f>
        <v/>
      </c>
      <c r="B2695" s="39">
        <f>IF(C2695&lt;&gt;"",C2695,IF(P2695&lt;=IFERROR(INDEX(tblChannels[Watched Through],MATCH(N2695,tblChannels[Channel ID],0)),0),"Watched","Unwatched"))</f>
        <v/>
      </c>
      <c r="C2695" s="40" t="n"/>
      <c r="D2695" s="41" t="n"/>
      <c r="E2695" s="42" t="n">
        <v>42368.60138888889</v>
      </c>
      <c r="F2695" s="52" t="inlineStr">
        <is>
          <t>Super Carlin Gaming</t>
        </is>
      </c>
      <c r="G2695" t="inlineStr">
        <is>
          <t>Pokemon HeartGold Nuzlocke #25: The Kimono Girls</t>
        </is>
      </c>
      <c r="H2695" s="44" t="n">
        <v>0.02006944444444445</v>
      </c>
      <c r="I2695" s="45" t="n">
        <v>26411</v>
      </c>
      <c r="J2695" s="45" t="n">
        <v>778</v>
      </c>
      <c r="K2695" s="45" t="n">
        <v>265</v>
      </c>
      <c r="L2695" s="46" t="n"/>
      <c r="M2695" s="47" t="n"/>
      <c r="N2695" s="47" t="inlineStr">
        <is>
          <t>UCor_9jRnNNZVzTuQ92PKsaQ</t>
        </is>
      </c>
      <c r="O2695" s="48" t="n">
        <v>42368.80972222222</v>
      </c>
      <c r="P2695" s="49" t="n">
        <v>42368</v>
      </c>
      <c r="Q2695" s="47" t="n">
        <v>573</v>
      </c>
      <c r="R2695" s="47" t="inlineStr">
        <is>
          <t>No Video ID yet</t>
        </is>
      </c>
      <c r="S2695" s="49" t="n"/>
      <c r="T2695" s="49" t="n"/>
      <c r="U2695" s="47" t="inlineStr">
        <is>
          <t>Today we head back to our hometown and then battle the Kimono Girls - Can we survive their Eeveelution onslaught??</t>
        </is>
      </c>
      <c r="V2695" s="47">
        <f>IF(AND(P2695&gt;=Calendar!$K$2,P2695&lt;EDATE(Calendar!$K$2,1),OR(Calendar!$K$4="*",N2695=Calendar!$K$4)),P2695*100+COUNTIFS($P$6:$P$3267,P2695,$Q$6:$Q$3267,"&lt;="&amp;Q2695,$N$6:$N$3267,Calendar!$K$4),"")</f>
        <v/>
      </c>
      <c r="W2695" s="47">
        <f>IF(AND(B2695=Queue!$C$4,OR(Queue!$K$4="*",N2695=Queue!$K$4)),Q2695,"")</f>
        <v/>
      </c>
    </row>
    <row r="2696">
      <c r="A2696" s="38">
        <f>IF(M2696="","",HYPERLINK("https://www.youtube.com/watch?v="&amp;M2696,"▶"))</f>
        <v/>
      </c>
      <c r="B2696" s="39">
        <f>IF(C2696&lt;&gt;"",C2696,IF(P2696&lt;=IFERROR(INDEX(tblChannels[Watched Through],MATCH(N2696,tblChannels[Channel ID],0)),0),"Watched","Unwatched"))</f>
        <v/>
      </c>
      <c r="C2696" s="40" t="n"/>
      <c r="D2696" s="41" t="n"/>
      <c r="E2696" s="42" t="n">
        <v>42367.75763888889</v>
      </c>
      <c r="F2696" s="50" t="inlineStr">
        <is>
          <t>Super Carlin Brothers</t>
        </is>
      </c>
      <c r="G2696" t="inlineStr">
        <is>
          <t>Does Elsa Google Autofill</t>
        </is>
      </c>
      <c r="H2696" s="44" t="n">
        <v>0.004247685185185185</v>
      </c>
      <c r="I2696" s="45" t="n">
        <v>970107</v>
      </c>
      <c r="J2696" s="45" t="n">
        <v>14080</v>
      </c>
      <c r="K2696" s="45" t="n">
        <v>2879</v>
      </c>
      <c r="L2696" s="46" t="n"/>
      <c r="M2696" s="47" t="n"/>
      <c r="N2696" s="47" t="inlineStr">
        <is>
          <t>UCKZo4N0lVPccBkSiuyVh4yg</t>
        </is>
      </c>
      <c r="O2696" s="48" t="n">
        <v>42367.96597222222</v>
      </c>
      <c r="P2696" s="49" t="n">
        <v>42367</v>
      </c>
      <c r="Q2696" s="47" t="n">
        <v>572</v>
      </c>
      <c r="R2696" s="47" t="inlineStr">
        <is>
          <t>No Video ID yet</t>
        </is>
      </c>
      <c r="S2696" s="49" t="n"/>
      <c r="T2696" s="49" t="n"/>
      <c r="U2696" s="47" t="inlineStr">
        <is>
          <t>Who is your favorite Disney Princess?? Let me know in the towel section and then go vote on my twitter page!</t>
        </is>
      </c>
      <c r="V2696" s="47">
        <f>IF(AND(P2696&gt;=Calendar!$K$2,P2696&lt;EDATE(Calendar!$K$2,1),OR(Calendar!$K$4="*",N2696=Calendar!$K$4)),P2696*100+COUNTIFS($P$6:$P$3267,P2696,$Q$6:$Q$3267,"&lt;="&amp;Q2696,$N$6:$N$3267,Calendar!$K$4),"")</f>
        <v/>
      </c>
      <c r="W2696" s="47">
        <f>IF(AND(B2696=Queue!$C$4,OR(Queue!$K$4="*",N2696=Queue!$K$4)),Q2696,"")</f>
        <v/>
      </c>
    </row>
    <row r="2697">
      <c r="A2697" s="38">
        <f>IF(M2697="","",HYPERLINK("https://www.youtube.com/watch?v="&amp;M2697,"▶"))</f>
        <v/>
      </c>
      <c r="B2697" s="39">
        <f>IF(C2697&lt;&gt;"",C2697,IF(P2697&lt;=IFERROR(INDEX(tblChannels[Watched Through],MATCH(N2697,tblChannels[Channel ID],0)),0),"Watched","Unwatched"))</f>
        <v/>
      </c>
      <c r="C2697" s="40" t="n"/>
      <c r="D2697" s="41" t="n"/>
      <c r="E2697" s="42" t="n">
        <v>42360.73611111111</v>
      </c>
      <c r="F2697" s="50" t="inlineStr">
        <is>
          <t>Super Carlin Brothers</t>
        </is>
      </c>
      <c r="G2697" t="inlineStr">
        <is>
          <t>Top 7 Unanswered Questions from Star Wars The Force Awakens</t>
        </is>
      </c>
      <c r="H2697" s="44" t="n">
        <v>0.004918981481481482</v>
      </c>
      <c r="I2697" s="45" t="n">
        <v>2512293</v>
      </c>
      <c r="J2697" s="45" t="n">
        <v>39617</v>
      </c>
      <c r="K2697" s="45" t="n">
        <v>13527</v>
      </c>
      <c r="L2697" s="46" t="n"/>
      <c r="M2697" s="47" t="n"/>
      <c r="N2697" s="47" t="inlineStr">
        <is>
          <t>UCKZo4N0lVPccBkSiuyVh4yg</t>
        </is>
      </c>
      <c r="O2697" s="48" t="n">
        <v>42360.94444444445</v>
      </c>
      <c r="P2697" s="49" t="n">
        <v>42360</v>
      </c>
      <c r="Q2697" s="47" t="n">
        <v>571</v>
      </c>
      <c r="R2697" s="47" t="inlineStr">
        <is>
          <t>No Video ID yet</t>
        </is>
      </c>
      <c r="S2697" s="49" t="n"/>
      <c r="T2697" s="49" t="n"/>
      <c r="U2697" s="47" t="inlineStr">
        <is>
          <t>Oh man I LOVED this movie and am super excited to discuss it with you guys, check the comments below for</t>
        </is>
      </c>
      <c r="V2697" s="47">
        <f>IF(AND(P2697&gt;=Calendar!$K$2,P2697&lt;EDATE(Calendar!$K$2,1),OR(Calendar!$K$4="*",N2697=Calendar!$K$4)),P2697*100+COUNTIFS($P$6:$P$3267,P2697,$Q$6:$Q$3267,"&lt;="&amp;Q2697,$N$6:$N$3267,Calendar!$K$4),"")</f>
        <v/>
      </c>
      <c r="W2697" s="47">
        <f>IF(AND(B2697=Queue!$C$4,OR(Queue!$K$4="*",N2697=Queue!$K$4)),Q2697,"")</f>
        <v/>
      </c>
    </row>
    <row r="2698">
      <c r="A2698" s="38">
        <f>IF(M2698="","",HYPERLINK("https://www.youtube.com/watch?v="&amp;M2698,"▶"))</f>
        <v/>
      </c>
      <c r="B2698" s="39">
        <f>IF(C2698&lt;&gt;"",C2698,IF(P2698&lt;=IFERROR(INDEX(tblChannels[Watched Through],MATCH(N2698,tblChannels[Channel ID],0)),0),"Watched","Unwatched"))</f>
        <v/>
      </c>
      <c r="C2698" s="40" t="n"/>
      <c r="D2698" s="41" t="n"/>
      <c r="E2698" s="42" t="n">
        <v>42356.07569444444</v>
      </c>
      <c r="F2698" s="50" t="inlineStr">
        <is>
          <t>Super Carlin Brothers</t>
        </is>
      </c>
      <c r="G2698" t="inlineStr">
        <is>
          <t>Fast Facts: Star Wars - Return of the Jedi</t>
        </is>
      </c>
      <c r="H2698" s="44" t="n">
        <v>0.001770833333333333</v>
      </c>
      <c r="I2698" s="45" t="n">
        <v>110086</v>
      </c>
      <c r="J2698" s="45" t="n">
        <v>2580</v>
      </c>
      <c r="K2698" s="45" t="n">
        <v>272</v>
      </c>
      <c r="L2698" s="46" t="n"/>
      <c r="M2698" s="47" t="n"/>
      <c r="N2698" s="47" t="inlineStr">
        <is>
          <t>UCKZo4N0lVPccBkSiuyVh4yg</t>
        </is>
      </c>
      <c r="O2698" s="48" t="n">
        <v>42356.28402777778</v>
      </c>
      <c r="P2698" s="49" t="n">
        <v>42356</v>
      </c>
      <c r="Q2698" s="47" t="n">
        <v>570</v>
      </c>
      <c r="R2698" s="47" t="inlineStr">
        <is>
          <t>No Video ID yet</t>
        </is>
      </c>
      <c r="S2698" s="49" t="n"/>
      <c r="T2698" s="49" t="n"/>
      <c r="U2698" s="47" t="inlineStr">
        <is>
          <t>What did you guys think of the Force Awakens?! We loved it!</t>
        </is>
      </c>
      <c r="V2698" s="47">
        <f>IF(AND(P2698&gt;=Calendar!$K$2,P2698&lt;EDATE(Calendar!$K$2,1),OR(Calendar!$K$4="*",N2698=Calendar!$K$4)),P2698*100+COUNTIFS($P$6:$P$3267,P2698,$Q$6:$Q$3267,"&lt;="&amp;Q2698,$N$6:$N$3267,Calendar!$K$4),"")</f>
        <v/>
      </c>
      <c r="W2698" s="47">
        <f>IF(AND(B2698=Queue!$C$4,OR(Queue!$K$4="*",N2698=Queue!$K$4)),Q2698,"")</f>
        <v/>
      </c>
    </row>
    <row r="2699">
      <c r="A2699" s="38">
        <f>IF(M2699="","",HYPERLINK("https://www.youtube.com/watch?v="&amp;M2699,"▶"))</f>
        <v/>
      </c>
      <c r="B2699" s="39">
        <f>IF(C2699&lt;&gt;"",C2699,IF(P2699&lt;=IFERROR(INDEX(tblChannels[Watched Through],MATCH(N2699,tblChannels[Channel ID],0)),0),"Watched","Unwatched"))</f>
        <v/>
      </c>
      <c r="C2699" s="40" t="n"/>
      <c r="D2699" s="41" t="n"/>
      <c r="E2699" s="42" t="n">
        <v>42353.69722222222</v>
      </c>
      <c r="F2699" s="50" t="inlineStr">
        <is>
          <t>Super Carlin Brothers</t>
        </is>
      </c>
      <c r="G2699" t="inlineStr">
        <is>
          <t>Star Wars Theory: Darth Jar Jar</t>
        </is>
      </c>
      <c r="H2699" s="44" t="n">
        <v>0.007395833333333333</v>
      </c>
      <c r="I2699" s="45" t="n">
        <v>1327691</v>
      </c>
      <c r="J2699" s="45" t="n">
        <v>26677</v>
      </c>
      <c r="K2699" s="45" t="n">
        <v>4563</v>
      </c>
      <c r="L2699" s="46" t="n"/>
      <c r="M2699" s="47" t="n"/>
      <c r="N2699" s="47" t="inlineStr">
        <is>
          <t>UCKZo4N0lVPccBkSiuyVh4yg</t>
        </is>
      </c>
      <c r="O2699" s="48" t="n">
        <v>42353.90555555555</v>
      </c>
      <c r="P2699" s="49" t="n">
        <v>42353</v>
      </c>
      <c r="Q2699" s="47" t="n">
        <v>569</v>
      </c>
      <c r="R2699" s="47" t="inlineStr">
        <is>
          <t>No Video ID yet</t>
        </is>
      </c>
      <c r="S2699" s="49" t="n"/>
      <c r="T2699" s="49" t="n"/>
      <c r="U2699" s="47" t="inlineStr">
        <is>
          <t>Today we discuss the possibility of Jar Jar Binks actually being an evil Sith master aka Darth Jar Jar. Could this be true? What do you think??? Original Article ::</t>
        </is>
      </c>
      <c r="V2699" s="47">
        <f>IF(AND(P2699&gt;=Calendar!$K$2,P2699&lt;EDATE(Calendar!$K$2,1),OR(Calendar!$K$4="*",N2699=Calendar!$K$4)),P2699*100+COUNTIFS($P$6:$P$3267,P2699,$Q$6:$Q$3267,"&lt;="&amp;Q2699,$N$6:$N$3267,Calendar!$K$4),"")</f>
        <v/>
      </c>
      <c r="W2699" s="47">
        <f>IF(AND(B2699=Queue!$C$4,OR(Queue!$K$4="*",N2699=Queue!$K$4)),Q2699,"")</f>
        <v/>
      </c>
    </row>
    <row r="2700">
      <c r="A2700" s="38">
        <f>IF(M2700="","",HYPERLINK("https://www.youtube.com/watch?v="&amp;M2700,"▶"))</f>
        <v/>
      </c>
      <c r="B2700" s="39">
        <f>IF(C2700&lt;&gt;"",C2700,IF(P2700&lt;=IFERROR(INDEX(tblChannels[Watched Through],MATCH(N2700,tblChannels[Channel ID],0)),0),"Watched","Unwatched"))</f>
        <v/>
      </c>
      <c r="C2700" s="40" t="n"/>
      <c r="D2700" s="41" t="n"/>
      <c r="E2700" s="42" t="n">
        <v>42348.9</v>
      </c>
      <c r="F2700" s="50" t="inlineStr">
        <is>
          <t>Super Carlin Brothers</t>
        </is>
      </c>
      <c r="G2700" t="inlineStr">
        <is>
          <t>Fast Facts: Star Wars - The Empire Strikes Back</t>
        </is>
      </c>
      <c r="H2700" s="44" t="n">
        <v>0.001643518518518519</v>
      </c>
      <c r="I2700" s="45" t="n">
        <v>102549</v>
      </c>
      <c r="J2700" s="45" t="n">
        <v>2422</v>
      </c>
      <c r="K2700" s="45" t="n">
        <v>133</v>
      </c>
      <c r="L2700" s="46" t="n"/>
      <c r="M2700" s="47" t="n"/>
      <c r="N2700" s="47" t="inlineStr">
        <is>
          <t>UCKZo4N0lVPccBkSiuyVh4yg</t>
        </is>
      </c>
      <c r="O2700" s="48" t="n">
        <v>42349.10833333333</v>
      </c>
      <c r="P2700" s="49" t="n">
        <v>42348</v>
      </c>
      <c r="Q2700" s="47" t="n">
        <v>568</v>
      </c>
      <c r="R2700" s="47" t="inlineStr">
        <is>
          <t>No Video ID yet</t>
        </is>
      </c>
      <c r="S2700" s="49" t="n"/>
      <c r="T2700" s="49" t="n"/>
      <c r="U2700" s="47" t="n"/>
      <c r="V2700" s="47">
        <f>IF(AND(P2700&gt;=Calendar!$K$2,P2700&lt;EDATE(Calendar!$K$2,1),OR(Calendar!$K$4="*",N2700=Calendar!$K$4)),P2700*100+COUNTIFS($P$6:$P$3267,P2700,$Q$6:$Q$3267,"&lt;="&amp;Q2700,$N$6:$N$3267,Calendar!$K$4),"")</f>
        <v/>
      </c>
      <c r="W2700" s="47">
        <f>IF(AND(B2700=Queue!$C$4,OR(Queue!$K$4="*",N2700=Queue!$K$4)),Q2700,"")</f>
        <v/>
      </c>
    </row>
    <row r="2701">
      <c r="A2701" s="38">
        <f>IF(M2701="","",HYPERLINK("https://www.youtube.com/watch?v="&amp;M2701,"▶"))</f>
        <v/>
      </c>
      <c r="B2701" s="39">
        <f>IF(C2701&lt;&gt;"",C2701,IF(P2701&lt;=IFERROR(INDEX(tblChannels[Watched Through],MATCH(N2701,tblChannels[Channel ID],0)),0),"Watched","Unwatched"))</f>
        <v/>
      </c>
      <c r="C2701" s="40" t="n"/>
      <c r="D2701" s="41" t="n"/>
      <c r="E2701" s="42" t="n">
        <v>42346.625</v>
      </c>
      <c r="F2701" s="50" t="inlineStr">
        <is>
          <t>Super Carlin Brothers</t>
        </is>
      </c>
      <c r="G2701" t="inlineStr">
        <is>
          <t>How to Talk Star Wars</t>
        </is>
      </c>
      <c r="H2701" s="44" t="n">
        <v>0.005659722222222222</v>
      </c>
      <c r="I2701" s="45" t="n">
        <v>348525</v>
      </c>
      <c r="J2701" s="45" t="n">
        <v>8061</v>
      </c>
      <c r="K2701" s="45" t="n">
        <v>1636</v>
      </c>
      <c r="L2701" s="46" t="n"/>
      <c r="M2701" s="47" t="n"/>
      <c r="N2701" s="47" t="inlineStr">
        <is>
          <t>UCKZo4N0lVPccBkSiuyVh4yg</t>
        </is>
      </c>
      <c r="O2701" s="48" t="n">
        <v>42346.83333333334</v>
      </c>
      <c r="P2701" s="49" t="n">
        <v>42346</v>
      </c>
      <c r="Q2701" s="47" t="n">
        <v>567</v>
      </c>
      <c r="R2701" s="47" t="inlineStr">
        <is>
          <t>No Video ID yet</t>
        </is>
      </c>
      <c r="S2701" s="49" t="n"/>
      <c r="T2701" s="49" t="n"/>
      <c r="U2701" s="47" t="inlineStr">
        <is>
          <t>If you have ever been around people who are HUGE fans of something you know nothing about, it can be extremely alienating. Today I want to help those people who know nothing about Star Wars. Star Wars The Force Awakens comes out soon and now you will not be totally lost in conversation. May The Force Be With You.</t>
        </is>
      </c>
      <c r="V2701" s="47">
        <f>IF(AND(P2701&gt;=Calendar!$K$2,P2701&lt;EDATE(Calendar!$K$2,1),OR(Calendar!$K$4="*",N2701=Calendar!$K$4)),P2701*100+COUNTIFS($P$6:$P$3267,P2701,$Q$6:$Q$3267,"&lt;="&amp;Q2701,$N$6:$N$3267,Calendar!$K$4),"")</f>
        <v/>
      </c>
      <c r="W2701" s="47">
        <f>IF(AND(B2701=Queue!$C$4,OR(Queue!$K$4="*",N2701=Queue!$K$4)),Q2701,"")</f>
        <v/>
      </c>
    </row>
    <row r="2702">
      <c r="A2702" s="38">
        <f>IF(M2702="","",HYPERLINK("https://www.youtube.com/watch?v="&amp;M2702,"▶"))</f>
        <v/>
      </c>
      <c r="B2702" s="39">
        <f>IF(C2702&lt;&gt;"",C2702,IF(P2702&lt;=IFERROR(INDEX(tblChannels[Watched Through],MATCH(N2702,tblChannels[Channel ID],0)),0),"Watched","Unwatched"))</f>
        <v/>
      </c>
      <c r="C2702" s="40" t="n"/>
      <c r="D2702" s="41" t="n"/>
      <c r="E2702" s="42" t="n">
        <v>42341.96180555555</v>
      </c>
      <c r="F2702" s="50" t="inlineStr">
        <is>
          <t>Super Carlin Brothers</t>
        </is>
      </c>
      <c r="G2702" t="inlineStr">
        <is>
          <t>Fast Facts: Star Wars - A New Hope</t>
        </is>
      </c>
      <c r="H2702" s="44" t="n">
        <v>0.002002314814814815</v>
      </c>
      <c r="I2702" s="45" t="n">
        <v>115948</v>
      </c>
      <c r="J2702" s="45" t="n">
        <v>2956</v>
      </c>
      <c r="K2702" s="45" t="n">
        <v>269</v>
      </c>
      <c r="L2702" s="46" t="n"/>
      <c r="M2702" s="47" t="n"/>
      <c r="N2702" s="47" t="inlineStr">
        <is>
          <t>UCKZo4N0lVPccBkSiuyVh4yg</t>
        </is>
      </c>
      <c r="O2702" s="48" t="n">
        <v>42342.17013888889</v>
      </c>
      <c r="P2702" s="49" t="n">
        <v>42341</v>
      </c>
      <c r="Q2702" s="47" t="n">
        <v>566</v>
      </c>
      <c r="R2702" s="47" t="inlineStr">
        <is>
          <t>No Video ID yet</t>
        </is>
      </c>
      <c r="S2702" s="49" t="n"/>
      <c r="T2702" s="49" t="n"/>
      <c r="U2702" s="47" t="inlineStr">
        <is>
          <t>We are so excited for Star Wars The Force Awakens! What is your favorite Star Wars movie?</t>
        </is>
      </c>
      <c r="V2702" s="47">
        <f>IF(AND(P2702&gt;=Calendar!$K$2,P2702&lt;EDATE(Calendar!$K$2,1),OR(Calendar!$K$4="*",N2702=Calendar!$K$4)),P2702*100+COUNTIFS($P$6:$P$3267,P2702,$Q$6:$Q$3267,"&lt;="&amp;Q2702,$N$6:$N$3267,Calendar!$K$4),"")</f>
        <v/>
      </c>
      <c r="W2702" s="47">
        <f>IF(AND(B2702=Queue!$C$4,OR(Queue!$K$4="*",N2702=Queue!$K$4)),Q2702,"")</f>
        <v/>
      </c>
    </row>
    <row r="2703">
      <c r="A2703" s="38">
        <f>IF(M2703="","",HYPERLINK("https://www.youtube.com/watch?v="&amp;M2703,"▶"))</f>
        <v/>
      </c>
      <c r="B2703" s="39">
        <f>IF(C2703&lt;&gt;"",C2703,IF(P2703&lt;=IFERROR(INDEX(tblChannels[Watched Through],MATCH(N2703,tblChannels[Channel ID],0)),0),"Watched","Unwatched"))</f>
        <v/>
      </c>
      <c r="C2703" s="40" t="n"/>
      <c r="D2703" s="41" t="n"/>
      <c r="E2703" s="42" t="n">
        <v>42341.44513888889</v>
      </c>
      <c r="F2703" s="52" t="inlineStr">
        <is>
          <t>Super Carlin Gaming</t>
        </is>
      </c>
      <c r="G2703" t="inlineStr">
        <is>
          <t>Pokemon HeartGold Nuzlocke #24: The Dragons Den</t>
        </is>
      </c>
      <c r="H2703" s="44" t="n">
        <v>0.009768518518518518</v>
      </c>
      <c r="I2703" s="45" t="n">
        <v>18649</v>
      </c>
      <c r="J2703" s="45" t="n">
        <v>373</v>
      </c>
      <c r="K2703" s="45" t="n">
        <v>79</v>
      </c>
      <c r="L2703" s="46" t="n"/>
      <c r="M2703" s="47" t="n"/>
      <c r="N2703" s="47" t="inlineStr">
        <is>
          <t>UCor_9jRnNNZVzTuQ92PKsaQ</t>
        </is>
      </c>
      <c r="O2703" s="48" t="n">
        <v>42341.65347222222</v>
      </c>
      <c r="P2703" s="49" t="n">
        <v>42341</v>
      </c>
      <c r="Q2703" s="47" t="n">
        <v>565</v>
      </c>
      <c r="R2703" s="47" t="inlineStr">
        <is>
          <t>No Video ID yet</t>
        </is>
      </c>
      <c r="S2703" s="49" t="n"/>
      <c r="T2703" s="49" t="n"/>
      <c r="U2703" s="47" t="inlineStr">
        <is>
          <t>Today we venture into the dragons den and must make a choice about who will be the new addition to the team. Who do you think it should be???</t>
        </is>
      </c>
      <c r="V2703" s="47">
        <f>IF(AND(P2703&gt;=Calendar!$K$2,P2703&lt;EDATE(Calendar!$K$2,1),OR(Calendar!$K$4="*",N2703=Calendar!$K$4)),P2703*100+COUNTIFS($P$6:$P$3267,P2703,$Q$6:$Q$3267,"&lt;="&amp;Q2703,$N$6:$N$3267,Calendar!$K$4),"")</f>
        <v/>
      </c>
      <c r="W2703" s="47">
        <f>IF(AND(B2703=Queue!$C$4,OR(Queue!$K$4="*",N2703=Queue!$K$4)),Q2703,"")</f>
        <v/>
      </c>
    </row>
    <row r="2704">
      <c r="A2704" s="38">
        <f>IF(M2704="","",HYPERLINK("https://www.youtube.com/watch?v="&amp;M2704,"▶"))</f>
        <v/>
      </c>
      <c r="B2704" s="39">
        <f>IF(C2704&lt;&gt;"",C2704,IF(P2704&lt;=IFERROR(INDEX(tblChannels[Watched Through],MATCH(N2704,tblChannels[Channel ID],0)),0),"Watched","Unwatched"))</f>
        <v/>
      </c>
      <c r="C2704" s="40" t="n"/>
      <c r="D2704" s="41" t="n"/>
      <c r="E2704" s="42" t="n">
        <v>42339.68263888889</v>
      </c>
      <c r="F2704" s="50" t="inlineStr">
        <is>
          <t>Super Carlin Brothers</t>
        </is>
      </c>
      <c r="G2704" t="inlineStr">
        <is>
          <t>How The Good Dinosaur fits into The Pixar Theory</t>
        </is>
      </c>
      <c r="H2704" s="44" t="n">
        <v>0.005856481481481482</v>
      </c>
      <c r="I2704" s="45" t="n">
        <v>1876771</v>
      </c>
      <c r="J2704" s="45" t="n">
        <v>29429</v>
      </c>
      <c r="K2704" s="45" t="n">
        <v>4191</v>
      </c>
      <c r="L2704" s="46" t="n"/>
      <c r="M2704" s="47" t="n"/>
      <c r="N2704" s="47" t="inlineStr">
        <is>
          <t>UCKZo4N0lVPccBkSiuyVh4yg</t>
        </is>
      </c>
      <c r="O2704" s="48" t="n">
        <v>42339.89097222222</v>
      </c>
      <c r="P2704" s="49" t="n">
        <v>42339</v>
      </c>
      <c r="Q2704" s="47" t="n">
        <v>564</v>
      </c>
      <c r="R2704" s="47" t="inlineStr">
        <is>
          <t>No Video ID yet</t>
        </is>
      </c>
      <c r="S2704" s="49" t="n"/>
      <c r="T2704" s="49" t="n"/>
      <c r="U2704" s="47" t="inlineStr">
        <is>
          <t>Last week Pixar released their latest film, "The Good Dinosaur" today I'm discussing how it fits into the Pixar theory! What did you think of The Good Dinosaur?? Full Pixar Theory :: How Inside Out fits into The Pixar Theory ::</t>
        </is>
      </c>
      <c r="V2704" s="47">
        <f>IF(AND(P2704&gt;=Calendar!$K$2,P2704&lt;EDATE(Calendar!$K$2,1),OR(Calendar!$K$4="*",N2704=Calendar!$K$4)),P2704*100+COUNTIFS($P$6:$P$3267,P2704,$Q$6:$Q$3267,"&lt;="&amp;Q2704,$N$6:$N$3267,Calendar!$K$4),"")</f>
        <v/>
      </c>
      <c r="W2704" s="47">
        <f>IF(AND(B2704=Queue!$C$4,OR(Queue!$K$4="*",N2704=Queue!$K$4)),Q2704,"")</f>
        <v/>
      </c>
    </row>
    <row r="2705">
      <c r="A2705" s="38">
        <f>IF(M2705="","",HYPERLINK("https://www.youtube.com/watch?v="&amp;M2705,"▶"))</f>
        <v/>
      </c>
      <c r="B2705" s="39">
        <f>IF(C2705&lt;&gt;"",C2705,IF(P2705&lt;=IFERROR(INDEX(tblChannels[Watched Through],MATCH(N2705,tblChannels[Channel ID],0)),0),"Watched","Unwatched"))</f>
        <v/>
      </c>
      <c r="C2705" s="40" t="n"/>
      <c r="D2705" s="41" t="n"/>
      <c r="E2705" s="42" t="n">
        <v>42334.67152777778</v>
      </c>
      <c r="F2705" s="50" t="inlineStr">
        <is>
          <t>Super Carlin Brothers</t>
        </is>
      </c>
      <c r="G2705" t="inlineStr">
        <is>
          <t>Pixar Fast Facts: The Good Dinosaur</t>
        </is>
      </c>
      <c r="H2705" s="44" t="n">
        <v>0.001666666666666667</v>
      </c>
      <c r="I2705" s="45" t="n">
        <v>153636</v>
      </c>
      <c r="J2705" s="45" t="n">
        <v>3746</v>
      </c>
      <c r="K2705" s="45" t="n">
        <v>289</v>
      </c>
      <c r="L2705" s="46" t="n"/>
      <c r="M2705" s="47" t="n"/>
      <c r="N2705" s="47" t="inlineStr">
        <is>
          <t>UCKZo4N0lVPccBkSiuyVh4yg</t>
        </is>
      </c>
      <c r="O2705" s="48" t="n">
        <v>42334.87986111111</v>
      </c>
      <c r="P2705" s="49" t="n">
        <v>42334</v>
      </c>
      <c r="Q2705" s="47" t="n">
        <v>563</v>
      </c>
      <c r="R2705" s="47" t="inlineStr">
        <is>
          <t>No Video ID yet</t>
        </is>
      </c>
      <c r="S2705" s="49" t="n"/>
      <c r="T2705" s="49" t="n"/>
      <c r="U2705" s="47" t="n"/>
      <c r="V2705" s="47">
        <f>IF(AND(P2705&gt;=Calendar!$K$2,P2705&lt;EDATE(Calendar!$K$2,1),OR(Calendar!$K$4="*",N2705=Calendar!$K$4)),P2705*100+COUNTIFS($P$6:$P$3267,P2705,$Q$6:$Q$3267,"&lt;="&amp;Q2705,$N$6:$N$3267,Calendar!$K$4),"")</f>
        <v/>
      </c>
      <c r="W2705" s="47">
        <f>IF(AND(B2705=Queue!$C$4,OR(Queue!$K$4="*",N2705=Queue!$K$4)),Q2705,"")</f>
        <v/>
      </c>
    </row>
    <row r="2706">
      <c r="A2706" s="38">
        <f>IF(M2706="","",HYPERLINK("https://www.youtube.com/watch?v="&amp;M2706,"▶"))</f>
        <v/>
      </c>
      <c r="B2706" s="39">
        <f>IF(C2706&lt;&gt;"",C2706,IF(P2706&lt;=IFERROR(INDEX(tblChannels[Watched Through],MATCH(N2706,tblChannels[Channel ID],0)),0),"Watched","Unwatched"))</f>
        <v/>
      </c>
      <c r="C2706" s="40" t="n"/>
      <c r="D2706" s="41" t="n"/>
      <c r="E2706" s="42" t="n">
        <v>42332.63333333333</v>
      </c>
      <c r="F2706" s="50" t="inlineStr">
        <is>
          <t>Super Carlin Brothers</t>
        </is>
      </c>
      <c r="G2706" t="inlineStr">
        <is>
          <t>Pixar Movie Names In Other Countries</t>
        </is>
      </c>
      <c r="H2706" s="44" t="n">
        <v>0.004606481481481481</v>
      </c>
      <c r="I2706" s="45" t="n">
        <v>848740</v>
      </c>
      <c r="J2706" s="45" t="n">
        <v>18137</v>
      </c>
      <c r="K2706" s="45" t="n">
        <v>3739</v>
      </c>
      <c r="L2706" s="46" t="n"/>
      <c r="M2706" s="47" t="n"/>
      <c r="N2706" s="47" t="inlineStr">
        <is>
          <t>UCKZo4N0lVPccBkSiuyVh4yg</t>
        </is>
      </c>
      <c r="O2706" s="48" t="n">
        <v>42332.84166666667</v>
      </c>
      <c r="P2706" s="49" t="n">
        <v>42332</v>
      </c>
      <c r="Q2706" s="47" t="n">
        <v>562</v>
      </c>
      <c r="R2706" s="47" t="inlineStr">
        <is>
          <t>No Video ID yet</t>
        </is>
      </c>
      <c r="S2706" s="49" t="n"/>
      <c r="T2706" s="49" t="n"/>
      <c r="U2706" s="47" t="inlineStr">
        <is>
          <t>Happy Thanksgiving everyone! Today I'm going over some of my favorite funny translations of Pixar Films in other languages, please note that these were all done with Google Translate and as such may be somewhat inaccurate as are many (all) of my pronunciations. Enjoy! Full list of translations:</t>
        </is>
      </c>
      <c r="V2706" s="47">
        <f>IF(AND(P2706&gt;=Calendar!$K$2,P2706&lt;EDATE(Calendar!$K$2,1),OR(Calendar!$K$4="*",N2706=Calendar!$K$4)),P2706*100+COUNTIFS($P$6:$P$3267,P2706,$Q$6:$Q$3267,"&lt;="&amp;Q2706,$N$6:$N$3267,Calendar!$K$4),"")</f>
        <v/>
      </c>
      <c r="W2706" s="47">
        <f>IF(AND(B2706=Queue!$C$4,OR(Queue!$K$4="*",N2706=Queue!$K$4)),Q2706,"")</f>
        <v/>
      </c>
    </row>
    <row r="2707">
      <c r="A2707" s="38">
        <f>IF(M2707="","",HYPERLINK("https://www.youtube.com/watch?v="&amp;M2707,"▶"))</f>
        <v/>
      </c>
      <c r="B2707" s="39">
        <f>IF(C2707&lt;&gt;"",C2707,IF(P2707&lt;=IFERROR(INDEX(tblChannels[Watched Through],MATCH(N2707,tblChannels[Channel ID],0)),0),"Watched","Unwatched"))</f>
        <v/>
      </c>
      <c r="C2707" s="40" t="n"/>
      <c r="D2707" s="41" t="n"/>
      <c r="E2707" s="42" t="n">
        <v>42327.80138888889</v>
      </c>
      <c r="F2707" s="50" t="inlineStr">
        <is>
          <t>Super Carlin Brothers</t>
        </is>
      </c>
      <c r="G2707" t="inlineStr">
        <is>
          <t>TRUXTABROS: Siri Reads Emoji!</t>
        </is>
      </c>
      <c r="H2707" s="44" t="n">
        <v>0.005694444444444445</v>
      </c>
      <c r="I2707" s="45" t="n">
        <v>155320</v>
      </c>
      <c r="J2707" s="45" t="n">
        <v>4221</v>
      </c>
      <c r="K2707" s="45" t="n">
        <v>1140</v>
      </c>
      <c r="L2707" s="46" t="n"/>
      <c r="M2707" s="47" t="n"/>
      <c r="N2707" s="47" t="inlineStr">
        <is>
          <t>UCKZo4N0lVPccBkSiuyVh4yg</t>
        </is>
      </c>
      <c r="O2707" s="48" t="n">
        <v>42328.00972222222</v>
      </c>
      <c r="P2707" s="49" t="n">
        <v>42327</v>
      </c>
      <c r="Q2707" s="47" t="n">
        <v>561</v>
      </c>
      <c r="R2707" s="47" t="inlineStr">
        <is>
          <t>No Video ID yet</t>
        </is>
      </c>
      <c r="S2707" s="49" t="n"/>
      <c r="T2707" s="49" t="n"/>
      <c r="U2707" s="47" t="n"/>
      <c r="V2707" s="47">
        <f>IF(AND(P2707&gt;=Calendar!$K$2,P2707&lt;EDATE(Calendar!$K$2,1),OR(Calendar!$K$4="*",N2707=Calendar!$K$4)),P2707*100+COUNTIFS($P$6:$P$3267,P2707,$Q$6:$Q$3267,"&lt;="&amp;Q2707,$N$6:$N$3267,Calendar!$K$4),"")</f>
        <v/>
      </c>
      <c r="W2707" s="47">
        <f>IF(AND(B2707=Queue!$C$4,OR(Queue!$K$4="*",N2707=Queue!$K$4)),Q2707,"")</f>
        <v/>
      </c>
    </row>
    <row r="2708">
      <c r="A2708" s="38">
        <f>IF(M2708="","",HYPERLINK("https://www.youtube.com/watch?v="&amp;M2708,"▶"))</f>
        <v/>
      </c>
      <c r="B2708" s="39">
        <f>IF(C2708&lt;&gt;"",C2708,IF(P2708&lt;=IFERROR(INDEX(tblChannels[Watched Through],MATCH(N2708,tblChannels[Channel ID],0)),0),"Watched","Unwatched"))</f>
        <v/>
      </c>
      <c r="C2708" s="40" t="n"/>
      <c r="D2708" s="41" t="n"/>
      <c r="E2708" s="42" t="n">
        <v>42326.76041666666</v>
      </c>
      <c r="F2708" s="52" t="inlineStr">
        <is>
          <t>Super Carlin Gaming</t>
        </is>
      </c>
      <c r="G2708" t="inlineStr">
        <is>
          <t>Pokemon HeartGold Nuzlocke #23: Mother of Dragons</t>
        </is>
      </c>
      <c r="H2708" s="44" t="n">
        <v>0.02085648148148148</v>
      </c>
      <c r="I2708" s="45" t="n">
        <v>20717</v>
      </c>
      <c r="J2708" s="45" t="n">
        <v>518</v>
      </c>
      <c r="K2708" s="45" t="n">
        <v>124</v>
      </c>
      <c r="L2708" s="46" t="n"/>
      <c r="M2708" s="47" t="n"/>
      <c r="N2708" s="47" t="inlineStr">
        <is>
          <t>UCor_9jRnNNZVzTuQ92PKsaQ</t>
        </is>
      </c>
      <c r="O2708" s="48" t="n">
        <v>42326.96875</v>
      </c>
      <c r="P2708" s="49" t="n">
        <v>42326</v>
      </c>
      <c r="Q2708" s="47" t="n">
        <v>560</v>
      </c>
      <c r="R2708" s="47" t="inlineStr">
        <is>
          <t>No Video ID yet</t>
        </is>
      </c>
      <c r="S2708" s="49" t="n"/>
      <c r="T2708" s="49" t="n"/>
      <c r="U2708" s="47" t="inlineStr">
        <is>
          <t>Today we take on Claire in our toughest battle yet, her dragons are no joke, hopefully the team is up to the challenge!</t>
        </is>
      </c>
      <c r="V2708" s="47">
        <f>IF(AND(P2708&gt;=Calendar!$K$2,P2708&lt;EDATE(Calendar!$K$2,1),OR(Calendar!$K$4="*",N2708=Calendar!$K$4)),P2708*100+COUNTIFS($P$6:$P$3267,P2708,$Q$6:$Q$3267,"&lt;="&amp;Q2708,$N$6:$N$3267,Calendar!$K$4),"")</f>
        <v/>
      </c>
      <c r="W2708" s="47">
        <f>IF(AND(B2708=Queue!$C$4,OR(Queue!$K$4="*",N2708=Queue!$K$4)),Q2708,"")</f>
        <v/>
      </c>
    </row>
    <row r="2709">
      <c r="A2709" s="38">
        <f>IF(M2709="","",HYPERLINK("https://www.youtube.com/watch?v="&amp;M2709,"▶"))</f>
        <v/>
      </c>
      <c r="B2709" s="39">
        <f>IF(C2709&lt;&gt;"",C2709,IF(P2709&lt;=IFERROR(INDEX(tblChannels[Watched Through],MATCH(N2709,tblChannels[Channel ID],0)),0),"Watched","Unwatched"))</f>
        <v/>
      </c>
      <c r="C2709" s="40" t="n"/>
      <c r="D2709" s="41" t="n"/>
      <c r="E2709" s="42" t="n">
        <v>42325.625</v>
      </c>
      <c r="F2709" s="50" t="inlineStr">
        <is>
          <t>Super Carlin Brothers</t>
        </is>
      </c>
      <c r="G2709" t="inlineStr">
        <is>
          <t>Finding Dory Trailer | Review, Analysis and Predictions</t>
        </is>
      </c>
      <c r="H2709" s="44" t="n">
        <v>0.005173611111111111</v>
      </c>
      <c r="I2709" s="45" t="n">
        <v>335744</v>
      </c>
      <c r="J2709" s="45" t="n">
        <v>7735</v>
      </c>
      <c r="K2709" s="45" t="n">
        <v>843</v>
      </c>
      <c r="L2709" s="46" t="n"/>
      <c r="M2709" s="47" t="n"/>
      <c r="N2709" s="47" t="inlineStr">
        <is>
          <t>UCKZo4N0lVPccBkSiuyVh4yg</t>
        </is>
      </c>
      <c r="O2709" s="48" t="n">
        <v>42325.83333333334</v>
      </c>
      <c r="P2709" s="49" t="n">
        <v>42325</v>
      </c>
      <c r="Q2709" s="47" t="n">
        <v>559</v>
      </c>
      <c r="R2709" s="47" t="inlineStr">
        <is>
          <t>No Video ID yet</t>
        </is>
      </c>
      <c r="S2709" s="49" t="n"/>
      <c r="T2709" s="49" t="n"/>
      <c r="U2709" s="47" t="inlineStr">
        <is>
          <t>What are your thoughts and predictions for the movie??? If you have not see the trailer yet you can watch it here: Thomas Codogan Contact: Samot-nagodac@hotmail.com</t>
        </is>
      </c>
      <c r="V2709" s="47">
        <f>IF(AND(P2709&gt;=Calendar!$K$2,P2709&lt;EDATE(Calendar!$K$2,1),OR(Calendar!$K$4="*",N2709=Calendar!$K$4)),P2709*100+COUNTIFS($P$6:$P$3267,P2709,$Q$6:$Q$3267,"&lt;="&amp;Q2709,$N$6:$N$3267,Calendar!$K$4),"")</f>
        <v/>
      </c>
      <c r="W2709" s="47">
        <f>IF(AND(B2709=Queue!$C$4,OR(Queue!$K$4="*",N2709=Queue!$K$4)),Q2709,"")</f>
        <v/>
      </c>
    </row>
    <row r="2710">
      <c r="A2710" s="38">
        <f>IF(M2710="","",HYPERLINK("https://www.youtube.com/watch?v="&amp;M2710,"▶"))</f>
        <v/>
      </c>
      <c r="B2710" s="39">
        <f>IF(C2710&lt;&gt;"",C2710,IF(P2710&lt;=IFERROR(INDEX(tblChannels[Watched Through],MATCH(N2710,tblChannels[Channel ID],0)),0),"Watched","Unwatched"))</f>
        <v/>
      </c>
      <c r="C2710" s="40" t="n"/>
      <c r="D2710" s="41" t="n"/>
      <c r="E2710" s="42" t="n">
        <v>42325.41666666666</v>
      </c>
      <c r="F2710" s="52" t="inlineStr">
        <is>
          <t>Super Carlin Gaming</t>
        </is>
      </c>
      <c r="G2710" t="inlineStr">
        <is>
          <t>Pokemon HeartGold Nuzlocke #22: Fang Unit Beta</t>
        </is>
      </c>
      <c r="H2710" s="44" t="n">
        <v>0.01952546296296296</v>
      </c>
      <c r="I2710" s="45" t="n">
        <v>21157</v>
      </c>
      <c r="J2710" s="45" t="n">
        <v>411</v>
      </c>
      <c r="K2710" s="45" t="n">
        <v>64</v>
      </c>
      <c r="L2710" s="46" t="n"/>
      <c r="M2710" s="47" t="n"/>
      <c r="N2710" s="47" t="inlineStr">
        <is>
          <t>UCor_9jRnNNZVzTuQ92PKsaQ</t>
        </is>
      </c>
      <c r="O2710" s="48" t="n">
        <v>42325.625</v>
      </c>
      <c r="P2710" s="49" t="n">
        <v>42325</v>
      </c>
      <c r="Q2710" s="47" t="n">
        <v>558</v>
      </c>
      <c r="R2710" s="47" t="inlineStr">
        <is>
          <t>No Video ID yet</t>
        </is>
      </c>
      <c r="S2710" s="49" t="n"/>
      <c r="T2710" s="49" t="n"/>
      <c r="U2710" s="47" t="inlineStr">
        <is>
          <t>Today we make our way through the icy path, plus some long grinding produces some new friendships.</t>
        </is>
      </c>
      <c r="V2710" s="47">
        <f>IF(AND(P2710&gt;=Calendar!$K$2,P2710&lt;EDATE(Calendar!$K$2,1),OR(Calendar!$K$4="*",N2710=Calendar!$K$4)),P2710*100+COUNTIFS($P$6:$P$3267,P2710,$Q$6:$Q$3267,"&lt;="&amp;Q2710,$N$6:$N$3267,Calendar!$K$4),"")</f>
        <v/>
      </c>
      <c r="W2710" s="47">
        <f>IF(AND(B2710=Queue!$C$4,OR(Queue!$K$4="*",N2710=Queue!$K$4)),Q2710,"")</f>
        <v/>
      </c>
    </row>
    <row r="2711">
      <c r="A2711" s="38">
        <f>IF(M2711="","",HYPERLINK("https://www.youtube.com/watch?v="&amp;M2711,"▶"))</f>
        <v/>
      </c>
      <c r="B2711" s="39">
        <f>IF(C2711&lt;&gt;"",C2711,IF(P2711&lt;=IFERROR(INDEX(tblChannels[Watched Through],MATCH(N2711,tblChannels[Channel ID],0)),0),"Watched","Unwatched"))</f>
        <v/>
      </c>
      <c r="C2711" s="40" t="n"/>
      <c r="D2711" s="41" t="n"/>
      <c r="E2711" s="42" t="n">
        <v>42320.89583333334</v>
      </c>
      <c r="F2711" s="50" t="inlineStr">
        <is>
          <t>Super Carlin Brothers</t>
        </is>
      </c>
      <c r="G2711" t="inlineStr">
        <is>
          <t>Fast Facts: The Hunger Games Mockingjay - Part 1</t>
        </is>
      </c>
      <c r="H2711" s="44" t="n">
        <v>0.001851851851851852</v>
      </c>
      <c r="I2711" s="45" t="n">
        <v>94766</v>
      </c>
      <c r="J2711" s="45" t="n">
        <v>2490</v>
      </c>
      <c r="K2711" s="45" t="n">
        <v>203</v>
      </c>
      <c r="L2711" s="46" t="n"/>
      <c r="M2711" s="47" t="n"/>
      <c r="N2711" s="47" t="inlineStr">
        <is>
          <t>UCKZo4N0lVPccBkSiuyVh4yg</t>
        </is>
      </c>
      <c r="O2711" s="48" t="n">
        <v>42321.10416666666</v>
      </c>
      <c r="P2711" s="49" t="n">
        <v>42320</v>
      </c>
      <c r="Q2711" s="47" t="n">
        <v>557</v>
      </c>
      <c r="R2711" s="47" t="inlineStr">
        <is>
          <t>No Video ID yet</t>
        </is>
      </c>
      <c r="S2711" s="49" t="n"/>
      <c r="T2711" s="49" t="n"/>
      <c r="U2711" s="47" t="n"/>
      <c r="V2711" s="47">
        <f>IF(AND(P2711&gt;=Calendar!$K$2,P2711&lt;EDATE(Calendar!$K$2,1),OR(Calendar!$K$4="*",N2711=Calendar!$K$4)),P2711*100+COUNTIFS($P$6:$P$3267,P2711,$Q$6:$Q$3267,"&lt;="&amp;Q2711,$N$6:$N$3267,Calendar!$K$4),"")</f>
        <v/>
      </c>
      <c r="W2711" s="47">
        <f>IF(AND(B2711=Queue!$C$4,OR(Queue!$K$4="*",N2711=Queue!$K$4)),Q2711,"")</f>
        <v/>
      </c>
    </row>
    <row r="2712">
      <c r="A2712" s="38">
        <f>IF(M2712="","",HYPERLINK("https://www.youtube.com/watch?v="&amp;M2712,"▶"))</f>
        <v/>
      </c>
      <c r="B2712" s="39">
        <f>IF(C2712&lt;&gt;"",C2712,IF(P2712&lt;=IFERROR(INDEX(tblChannels[Watched Through],MATCH(N2712,tblChannels[Channel ID],0)),0),"Watched","Unwatched"))</f>
        <v/>
      </c>
      <c r="C2712" s="40" t="n"/>
      <c r="D2712" s="41" t="n"/>
      <c r="E2712" s="42" t="n">
        <v>42319.40972222222</v>
      </c>
      <c r="F2712" s="52" t="inlineStr">
        <is>
          <t>Super Carlin Gaming</t>
        </is>
      </c>
      <c r="G2712" t="inlineStr">
        <is>
          <t>Pokemon HeartGold Nuzlocke #21: Revenge at the Radio Tower</t>
        </is>
      </c>
      <c r="H2712" s="44" t="n">
        <v>0.02851851851851852</v>
      </c>
      <c r="I2712" s="45" t="n">
        <v>24094</v>
      </c>
      <c r="J2712" s="45" t="n">
        <v>481</v>
      </c>
      <c r="K2712" s="45" t="n">
        <v>124</v>
      </c>
      <c r="L2712" s="46" t="n"/>
      <c r="M2712" s="47" t="n"/>
      <c r="N2712" s="47" t="inlineStr">
        <is>
          <t>UCor_9jRnNNZVzTuQ92PKsaQ</t>
        </is>
      </c>
      <c r="O2712" s="48" t="n">
        <v>42319.61805555555</v>
      </c>
      <c r="P2712" s="49" t="n">
        <v>42319</v>
      </c>
      <c r="Q2712" s="47" t="n">
        <v>556</v>
      </c>
      <c r="R2712" s="47" t="inlineStr">
        <is>
          <t>No Video ID yet</t>
        </is>
      </c>
      <c r="S2712" s="49" t="n"/>
      <c r="T2712" s="49" t="n"/>
      <c r="U2712" s="47" t="inlineStr">
        <is>
          <t>The Rockets have slain mighty NOVA and it's time to exact vengeance on them</t>
        </is>
      </c>
      <c r="V2712" s="47">
        <f>IF(AND(P2712&gt;=Calendar!$K$2,P2712&lt;EDATE(Calendar!$K$2,1),OR(Calendar!$K$4="*",N2712=Calendar!$K$4)),P2712*100+COUNTIFS($P$6:$P$3267,P2712,$Q$6:$Q$3267,"&lt;="&amp;Q2712,$N$6:$N$3267,Calendar!$K$4),"")</f>
        <v/>
      </c>
      <c r="W2712" s="47">
        <f>IF(AND(B2712=Queue!$C$4,OR(Queue!$K$4="*",N2712=Queue!$K$4)),Q2712,"")</f>
        <v/>
      </c>
    </row>
    <row r="2713">
      <c r="A2713" s="38">
        <f>IF(M2713="","",HYPERLINK("https://www.youtube.com/watch?v="&amp;M2713,"▶"))</f>
        <v/>
      </c>
      <c r="B2713" s="39">
        <f>IF(C2713&lt;&gt;"",C2713,IF(P2713&lt;=IFERROR(INDEX(tblChannels[Watched Through],MATCH(N2713,tblChannels[Channel ID],0)),0),"Watched","Unwatched"))</f>
        <v/>
      </c>
      <c r="C2713" s="40" t="n"/>
      <c r="D2713" s="41" t="n"/>
      <c r="E2713" s="42" t="n">
        <v>42318.625</v>
      </c>
      <c r="F2713" s="50" t="inlineStr">
        <is>
          <t>Super Carlin Brothers</t>
        </is>
      </c>
      <c r="G2713" t="inlineStr">
        <is>
          <t>Top 10 Things To Look For In The Good Dinosaur</t>
        </is>
      </c>
      <c r="H2713" s="44" t="n">
        <v>0.006331018518518519</v>
      </c>
      <c r="I2713" s="45" t="n">
        <v>293395</v>
      </c>
      <c r="J2713" s="45" t="n">
        <v>5643</v>
      </c>
      <c r="K2713" s="45" t="n">
        <v>920</v>
      </c>
      <c r="L2713" s="46" t="n"/>
      <c r="M2713" s="47" t="n"/>
      <c r="N2713" s="47" t="inlineStr">
        <is>
          <t>UCKZo4N0lVPccBkSiuyVh4yg</t>
        </is>
      </c>
      <c r="O2713" s="48" t="n">
        <v>42318.83333333334</v>
      </c>
      <c r="P2713" s="49" t="n">
        <v>42318</v>
      </c>
      <c r="Q2713" s="47" t="n">
        <v>555</v>
      </c>
      <c r="R2713" s="47" t="inlineStr">
        <is>
          <t>No Video ID yet</t>
        </is>
      </c>
      <c r="S2713" s="49" t="n"/>
      <c r="T2713" s="49" t="n"/>
      <c r="U2713" s="47" t="inlineStr">
        <is>
          <t>Only 3 more weeks til The Good Dinosaur! Cover Image Dimension: Send Images to: SuperCarlinBrothers@gmail.com</t>
        </is>
      </c>
      <c r="V2713" s="47">
        <f>IF(AND(P2713&gt;=Calendar!$K$2,P2713&lt;EDATE(Calendar!$K$2,1),OR(Calendar!$K$4="*",N2713=Calendar!$K$4)),P2713*100+COUNTIFS($P$6:$P$3267,P2713,$Q$6:$Q$3267,"&lt;="&amp;Q2713,$N$6:$N$3267,Calendar!$K$4),"")</f>
        <v/>
      </c>
      <c r="W2713" s="47">
        <f>IF(AND(B2713=Queue!$C$4,OR(Queue!$K$4="*",N2713=Queue!$K$4)),Q2713,"")</f>
        <v/>
      </c>
    </row>
    <row r="2714">
      <c r="A2714" s="38">
        <f>IF(M2714="","",HYPERLINK("https://www.youtube.com/watch?v="&amp;M2714,"▶"))</f>
        <v/>
      </c>
      <c r="B2714" s="39">
        <f>IF(C2714&lt;&gt;"",C2714,IF(P2714&lt;=IFERROR(INDEX(tblChannels[Watched Through],MATCH(N2714,tblChannels[Channel ID],0)),0),"Watched","Unwatched"))</f>
        <v/>
      </c>
      <c r="C2714" s="40" t="n"/>
      <c r="D2714" s="41" t="n"/>
      <c r="E2714" s="42" t="n">
        <v>42317.72222222222</v>
      </c>
      <c r="F2714" s="52" t="inlineStr">
        <is>
          <t>Super Carlin Gaming</t>
        </is>
      </c>
      <c r="G2714" t="inlineStr">
        <is>
          <t>Pokemon HeartGold Nuzlocke #20: EXPLOSION</t>
        </is>
      </c>
      <c r="H2714" s="44" t="n">
        <v>0.02724537037037037</v>
      </c>
      <c r="I2714" s="45" t="n">
        <v>25309</v>
      </c>
      <c r="J2714" s="45" t="n">
        <v>477</v>
      </c>
      <c r="K2714" s="45" t="n">
        <v>185</v>
      </c>
      <c r="L2714" s="46" t="n"/>
      <c r="M2714" s="47" t="n"/>
      <c r="N2714" s="47" t="inlineStr">
        <is>
          <t>UCor_9jRnNNZVzTuQ92PKsaQ</t>
        </is>
      </c>
      <c r="O2714" s="48" t="n">
        <v>42317.93055555555</v>
      </c>
      <c r="P2714" s="49" t="n">
        <v>42317</v>
      </c>
      <c r="Q2714" s="47" t="n">
        <v>554</v>
      </c>
      <c r="R2714" s="47" t="inlineStr">
        <is>
          <t>No Video ID yet</t>
        </is>
      </c>
      <c r="S2714" s="49" t="n"/>
      <c r="T2714" s="49" t="n"/>
      <c r="U2714" s="47" t="inlineStr">
        <is>
          <t>Team Rocket has taken over the Radio Tower in Goldenrod City! Can the team survive its next encounter with the notorious crime syndicate??</t>
        </is>
      </c>
      <c r="V2714" s="47">
        <f>IF(AND(P2714&gt;=Calendar!$K$2,P2714&lt;EDATE(Calendar!$K$2,1),OR(Calendar!$K$4="*",N2714=Calendar!$K$4)),P2714*100+COUNTIFS($P$6:$P$3267,P2714,$Q$6:$Q$3267,"&lt;="&amp;Q2714,$N$6:$N$3267,Calendar!$K$4),"")</f>
        <v/>
      </c>
      <c r="W2714" s="47">
        <f>IF(AND(B2714=Queue!$C$4,OR(Queue!$K$4="*",N2714=Queue!$K$4)),Q2714,"")</f>
        <v/>
      </c>
    </row>
    <row r="2715">
      <c r="A2715" s="38">
        <f>IF(M2715="","",HYPERLINK("https://www.youtube.com/watch?v="&amp;M2715,"▶"))</f>
        <v/>
      </c>
      <c r="B2715" s="39">
        <f>IF(C2715&lt;&gt;"",C2715,IF(P2715&lt;=IFERROR(INDEX(tblChannels[Watched Through],MATCH(N2715,tblChannels[Channel ID],0)),0),"Watched","Unwatched"))</f>
        <v/>
      </c>
      <c r="C2715" s="40" t="n"/>
      <c r="D2715" s="41" t="n"/>
      <c r="E2715" s="42" t="n">
        <v>42313.90277777778</v>
      </c>
      <c r="F2715" s="50" t="inlineStr">
        <is>
          <t>Super Carlin Brothers</t>
        </is>
      </c>
      <c r="G2715" t="inlineStr">
        <is>
          <t>Fast Facts: The Hunger Games Catching Fire</t>
        </is>
      </c>
      <c r="H2715" s="44" t="n">
        <v>0.001805555555555555</v>
      </c>
      <c r="I2715" s="45" t="n">
        <v>101895</v>
      </c>
      <c r="J2715" s="45" t="n">
        <v>2790</v>
      </c>
      <c r="K2715" s="45" t="n">
        <v>200</v>
      </c>
      <c r="L2715" s="46" t="n"/>
      <c r="M2715" s="47" t="n"/>
      <c r="N2715" s="47" t="inlineStr">
        <is>
          <t>UCKZo4N0lVPccBkSiuyVh4yg</t>
        </is>
      </c>
      <c r="O2715" s="48" t="n">
        <v>42314.11111111111</v>
      </c>
      <c r="P2715" s="49" t="n">
        <v>42313</v>
      </c>
      <c r="Q2715" s="47" t="n">
        <v>553</v>
      </c>
      <c r="R2715" s="47" t="inlineStr">
        <is>
          <t>No Video ID yet</t>
        </is>
      </c>
      <c r="S2715" s="49" t="n"/>
      <c r="T2715" s="49" t="n"/>
      <c r="U2715" s="47" t="n"/>
      <c r="V2715" s="47">
        <f>IF(AND(P2715&gt;=Calendar!$K$2,P2715&lt;EDATE(Calendar!$K$2,1),OR(Calendar!$K$4="*",N2715=Calendar!$K$4)),P2715*100+COUNTIFS($P$6:$P$3267,P2715,$Q$6:$Q$3267,"&lt;="&amp;Q2715,$N$6:$N$3267,Calendar!$K$4),"")</f>
        <v/>
      </c>
      <c r="W2715" s="47">
        <f>IF(AND(B2715=Queue!$C$4,OR(Queue!$K$4="*",N2715=Queue!$K$4)),Q2715,"")</f>
        <v/>
      </c>
    </row>
    <row r="2716">
      <c r="A2716" s="38">
        <f>IF(M2716="","",HYPERLINK("https://www.youtube.com/watch?v="&amp;M2716,"▶"))</f>
        <v/>
      </c>
      <c r="B2716" s="39">
        <f>IF(C2716&lt;&gt;"",C2716,IF(P2716&lt;=IFERROR(INDEX(tblChannels[Watched Through],MATCH(N2716,tblChannels[Channel ID],0)),0),"Watched","Unwatched"))</f>
        <v/>
      </c>
      <c r="C2716" s="40" t="n"/>
      <c r="D2716" s="41" t="n"/>
      <c r="E2716" s="42" t="n">
        <v>42312.61111111111</v>
      </c>
      <c r="F2716" s="52" t="inlineStr">
        <is>
          <t>Super Carlin Gaming</t>
        </is>
      </c>
      <c r="G2716" t="inlineStr">
        <is>
          <t>Pokemon HeartGold Nuzlocke #19: Cow Power</t>
        </is>
      </c>
      <c r="H2716" s="44" t="n">
        <v>0.01869212962962963</v>
      </c>
      <c r="I2716" s="45" t="n">
        <v>22705</v>
      </c>
      <c r="J2716" s="45" t="n">
        <v>538</v>
      </c>
      <c r="K2716" s="45" t="n">
        <v>103</v>
      </c>
      <c r="L2716" s="46" t="n"/>
      <c r="M2716" s="47" t="n"/>
      <c r="N2716" s="47" t="inlineStr">
        <is>
          <t>UCor_9jRnNNZVzTuQ92PKsaQ</t>
        </is>
      </c>
      <c r="O2716" s="48" t="n">
        <v>42312.81944444445</v>
      </c>
      <c r="P2716" s="49" t="n">
        <v>42312</v>
      </c>
      <c r="Q2716" s="47" t="n">
        <v>552</v>
      </c>
      <c r="R2716" s="47" t="inlineStr">
        <is>
          <t>No Video ID yet</t>
        </is>
      </c>
      <c r="S2716" s="49" t="n"/>
      <c r="T2716" s="49" t="n"/>
      <c r="U2716" s="47" t="inlineStr">
        <is>
          <t>Today we take on the 7th Gym Leader, Pryce the Ice type trainer! Can the team survive his icy assault??</t>
        </is>
      </c>
      <c r="V2716" s="47">
        <f>IF(AND(P2716&gt;=Calendar!$K$2,P2716&lt;EDATE(Calendar!$K$2,1),OR(Calendar!$K$4="*",N2716=Calendar!$K$4)),P2716*100+COUNTIFS($P$6:$P$3267,P2716,$Q$6:$Q$3267,"&lt;="&amp;Q2716,$N$6:$N$3267,Calendar!$K$4),"")</f>
        <v/>
      </c>
      <c r="W2716" s="47">
        <f>IF(AND(B2716=Queue!$C$4,OR(Queue!$K$4="*",N2716=Queue!$K$4)),Q2716,"")</f>
        <v/>
      </c>
    </row>
    <row r="2717">
      <c r="A2717" s="38">
        <f>IF(M2717="","",HYPERLINK("https://www.youtube.com/watch?v="&amp;M2717,"▶"))</f>
        <v/>
      </c>
      <c r="B2717" s="39">
        <f>IF(C2717&lt;&gt;"",C2717,IF(P2717&lt;=IFERROR(INDEX(tblChannels[Watched Through],MATCH(N2717,tblChannels[Channel ID],0)),0),"Watched","Unwatched"))</f>
        <v/>
      </c>
      <c r="C2717" s="40" t="n"/>
      <c r="D2717" s="41" t="n"/>
      <c r="E2717" s="42" t="n">
        <v>42311.65625</v>
      </c>
      <c r="F2717" s="50" t="inlineStr">
        <is>
          <t>Super Carlin Brothers</t>
        </is>
      </c>
      <c r="G2717" t="inlineStr">
        <is>
          <t>LootCrate Unboxing | TIME</t>
        </is>
      </c>
      <c r="H2717" s="44" t="n">
        <v>0.005</v>
      </c>
      <c r="I2717" s="45" t="n">
        <v>112359</v>
      </c>
      <c r="J2717" s="45" t="n">
        <v>2505</v>
      </c>
      <c r="K2717" s="45" t="n">
        <v>655</v>
      </c>
      <c r="L2717" s="46" t="n"/>
      <c r="M2717" s="47" t="n"/>
      <c r="N2717" s="47" t="inlineStr">
        <is>
          <t>UCKZo4N0lVPccBkSiuyVh4yg</t>
        </is>
      </c>
      <c r="O2717" s="48" t="n">
        <v>42311.86458333334</v>
      </c>
      <c r="P2717" s="49" t="n">
        <v>42311</v>
      </c>
      <c r="Q2717" s="47" t="n">
        <v>551</v>
      </c>
      <c r="R2717" s="47" t="inlineStr">
        <is>
          <t>No Video ID yet</t>
        </is>
      </c>
      <c r="S2717" s="49" t="n"/>
      <c r="T2717" s="49" t="n"/>
      <c r="U2717" s="47" t="inlineStr">
        <is>
          <t>Get 10% off your Loot Crate at: Promo Code: CARLIN YouTube Cover Dimensions: Email Submission to: SuperCarlinBrothers@gmail.com</t>
        </is>
      </c>
      <c r="V2717" s="47">
        <f>IF(AND(P2717&gt;=Calendar!$K$2,P2717&lt;EDATE(Calendar!$K$2,1),OR(Calendar!$K$4="*",N2717=Calendar!$K$4)),P2717*100+COUNTIFS($P$6:$P$3267,P2717,$Q$6:$Q$3267,"&lt;="&amp;Q2717,$N$6:$N$3267,Calendar!$K$4),"")</f>
        <v/>
      </c>
      <c r="W2717" s="47">
        <f>IF(AND(B2717=Queue!$C$4,OR(Queue!$K$4="*",N2717=Queue!$K$4)),Q2717,"")</f>
        <v/>
      </c>
    </row>
    <row r="2718">
      <c r="A2718" s="38">
        <f>IF(M2718="","",HYPERLINK("https://www.youtube.com/watch?v="&amp;M2718,"▶"))</f>
        <v/>
      </c>
      <c r="B2718" s="39">
        <f>IF(C2718&lt;&gt;"",C2718,IF(P2718&lt;=IFERROR(INDEX(tblChannels[Watched Through],MATCH(N2718,tblChannels[Channel ID],0)),0),"Watched","Unwatched"))</f>
        <v/>
      </c>
      <c r="C2718" s="40" t="n"/>
      <c r="D2718" s="41" t="n"/>
      <c r="E2718" s="42" t="n">
        <v>42306.95902777778</v>
      </c>
      <c r="F2718" s="50" t="inlineStr">
        <is>
          <t>Super Carlin Brothers</t>
        </is>
      </c>
      <c r="G2718" t="inlineStr">
        <is>
          <t>Fast Facts: The Hunger Games</t>
        </is>
      </c>
      <c r="H2718" s="44" t="n">
        <v>0.001828703703703704</v>
      </c>
      <c r="I2718" s="45" t="n">
        <v>126272</v>
      </c>
      <c r="J2718" s="45" t="n">
        <v>3652</v>
      </c>
      <c r="K2718" s="45" t="n">
        <v>198</v>
      </c>
      <c r="L2718" s="46" t="n"/>
      <c r="M2718" s="47" t="n"/>
      <c r="N2718" s="47" t="inlineStr">
        <is>
          <t>UCKZo4N0lVPccBkSiuyVh4yg</t>
        </is>
      </c>
      <c r="O2718" s="48" t="n">
        <v>42307.12569444445</v>
      </c>
      <c r="P2718" s="49" t="n">
        <v>42306</v>
      </c>
      <c r="Q2718" s="47" t="n">
        <v>550</v>
      </c>
      <c r="R2718" s="47" t="inlineStr">
        <is>
          <t>No Video ID yet</t>
        </is>
      </c>
      <c r="S2718" s="49" t="n"/>
      <c r="T2718" s="49" t="n"/>
      <c r="U2718" s="47" t="n"/>
      <c r="V2718" s="47">
        <f>IF(AND(P2718&gt;=Calendar!$K$2,P2718&lt;EDATE(Calendar!$K$2,1),OR(Calendar!$K$4="*",N2718=Calendar!$K$4)),P2718*100+COUNTIFS($P$6:$P$3267,P2718,$Q$6:$Q$3267,"&lt;="&amp;Q2718,$N$6:$N$3267,Calendar!$K$4),"")</f>
        <v/>
      </c>
      <c r="W2718" s="47">
        <f>IF(AND(B2718=Queue!$C$4,OR(Queue!$K$4="*",N2718=Queue!$K$4)),Q2718,"")</f>
        <v/>
      </c>
    </row>
    <row r="2719">
      <c r="A2719" s="38">
        <f>IF(M2719="","",HYPERLINK("https://www.youtube.com/watch?v="&amp;M2719,"▶"))</f>
        <v/>
      </c>
      <c r="B2719" s="39">
        <f>IF(C2719&lt;&gt;"",C2719,IF(P2719&lt;=IFERROR(INDEX(tblChannels[Watched Through],MATCH(N2719,tblChannels[Channel ID],0)),0),"Watched","Unwatched"))</f>
        <v/>
      </c>
      <c r="C2719" s="40" t="n"/>
      <c r="D2719" s="41" t="n"/>
      <c r="E2719" s="42" t="n">
        <v>42304.625</v>
      </c>
      <c r="F2719" s="50" t="inlineStr">
        <is>
          <t>Super Carlin Brothers</t>
        </is>
      </c>
      <c r="G2719" t="inlineStr">
        <is>
          <t>Pixar Theory: Who is Riley's Monster?</t>
        </is>
      </c>
      <c r="H2719" s="44" t="n">
        <v>0.003333333333333334</v>
      </c>
      <c r="I2719" s="45" t="n">
        <v>4292189</v>
      </c>
      <c r="J2719" s="45" t="n">
        <v>59946</v>
      </c>
      <c r="K2719" s="45" t="n">
        <v>6776</v>
      </c>
      <c r="L2719" s="46" t="n"/>
      <c r="M2719" s="47" t="n"/>
      <c r="N2719" s="47" t="inlineStr">
        <is>
          <t>UCKZo4N0lVPccBkSiuyVh4yg</t>
        </is>
      </c>
      <c r="O2719" s="48" t="n">
        <v>42304.79166666666</v>
      </c>
      <c r="P2719" s="49" t="n">
        <v>42304</v>
      </c>
      <c r="Q2719" s="47" t="n">
        <v>549</v>
      </c>
      <c r="R2719" s="47" t="inlineStr">
        <is>
          <t>No Video ID yet</t>
        </is>
      </c>
      <c r="S2719" s="49" t="n"/>
      <c r="T2719" s="49" t="n"/>
      <c r="U2719" s="47" t="inlineStr">
        <is>
          <t>What do you think? Is he Riley's Monster?? MoviePilot :: The D-Cast ::</t>
        </is>
      </c>
      <c r="V2719" s="47">
        <f>IF(AND(P2719&gt;=Calendar!$K$2,P2719&lt;EDATE(Calendar!$K$2,1),OR(Calendar!$K$4="*",N2719=Calendar!$K$4)),P2719*100+COUNTIFS($P$6:$P$3267,P2719,$Q$6:$Q$3267,"&lt;="&amp;Q2719,$N$6:$N$3267,Calendar!$K$4),"")</f>
        <v/>
      </c>
      <c r="W2719" s="47">
        <f>IF(AND(B2719=Queue!$C$4,OR(Queue!$K$4="*",N2719=Queue!$K$4)),Q2719,"")</f>
        <v/>
      </c>
    </row>
    <row r="2720">
      <c r="A2720" s="38">
        <f>IF(M2720="","",HYPERLINK("https://www.youtube.com/watch?v="&amp;M2720,"▶"))</f>
        <v/>
      </c>
      <c r="B2720" s="39">
        <f>IF(C2720&lt;&gt;"",C2720,IF(P2720&lt;=IFERROR(INDEX(tblChannels[Watched Through],MATCH(N2720,tblChannels[Channel ID],0)),0),"Watched","Unwatched"))</f>
        <v/>
      </c>
      <c r="C2720" s="40" t="n"/>
      <c r="D2720" s="41" t="n"/>
      <c r="E2720" s="42" t="n">
        <v>42303.625</v>
      </c>
      <c r="F2720" s="52" t="inlineStr">
        <is>
          <t>Super Carlin Gaming</t>
        </is>
      </c>
      <c r="G2720" t="inlineStr">
        <is>
          <t>Pokemon HeartGold Nuzlocke #18: Battle at Lake of Rage</t>
        </is>
      </c>
      <c r="H2720" s="44" t="n">
        <v>0.018125</v>
      </c>
      <c r="I2720" s="45" t="n">
        <v>23267</v>
      </c>
      <c r="J2720" s="45" t="n">
        <v>492</v>
      </c>
      <c r="K2720" s="45" t="n">
        <v>93</v>
      </c>
      <c r="L2720" s="46" t="n"/>
      <c r="M2720" s="47" t="n"/>
      <c r="N2720" s="47" t="inlineStr">
        <is>
          <t>UCor_9jRnNNZVzTuQ92PKsaQ</t>
        </is>
      </c>
      <c r="O2720" s="48" t="n">
        <v>42303.79166666666</v>
      </c>
      <c r="P2720" s="49" t="n">
        <v>42303</v>
      </c>
      <c r="Q2720" s="47" t="n">
        <v>548</v>
      </c>
      <c r="R2720" s="47" t="inlineStr">
        <is>
          <t>No Video ID yet</t>
        </is>
      </c>
      <c r="S2720" s="49" t="n"/>
      <c r="T2720" s="49" t="n"/>
      <c r="U2720" s="47" t="inlineStr">
        <is>
          <t>Today the team takes on the mighty Red Gyarados at the Lake of Rage, can they survive and add a 2nd Shiny to the team??</t>
        </is>
      </c>
      <c r="V2720" s="47">
        <f>IF(AND(P2720&gt;=Calendar!$K$2,P2720&lt;EDATE(Calendar!$K$2,1),OR(Calendar!$K$4="*",N2720=Calendar!$K$4)),P2720*100+COUNTIFS($P$6:$P$3267,P2720,$Q$6:$Q$3267,"&lt;="&amp;Q2720,$N$6:$N$3267,Calendar!$K$4),"")</f>
        <v/>
      </c>
      <c r="W2720" s="47">
        <f>IF(AND(B2720=Queue!$C$4,OR(Queue!$K$4="*",N2720=Queue!$K$4)),Q2720,"")</f>
        <v/>
      </c>
    </row>
    <row r="2721">
      <c r="A2721" s="38">
        <f>IF(M2721="","",HYPERLINK("https://www.youtube.com/watch?v="&amp;M2721,"▶"))</f>
        <v/>
      </c>
      <c r="B2721" s="39">
        <f>IF(C2721&lt;&gt;"",C2721,IF(P2721&lt;=IFERROR(INDEX(tblChannels[Watched Through],MATCH(N2721,tblChannels[Channel ID],0)),0),"Watched","Unwatched"))</f>
        <v/>
      </c>
      <c r="C2721" s="40" t="n"/>
      <c r="D2721" s="41" t="n"/>
      <c r="E2721" s="42" t="n">
        <v>42299.92569444444</v>
      </c>
      <c r="F2721" s="50" t="inlineStr">
        <is>
          <t>Super Carlin Brothers</t>
        </is>
      </c>
      <c r="G2721" t="inlineStr">
        <is>
          <t>Fast Facts: Harry Potter and the Deathly Hallows</t>
        </is>
      </c>
      <c r="H2721" s="44" t="n">
        <v>0.0021875</v>
      </c>
      <c r="I2721" s="45" t="n">
        <v>198384</v>
      </c>
      <c r="J2721" s="45" t="n">
        <v>4455</v>
      </c>
      <c r="K2721" s="45" t="n">
        <v>257</v>
      </c>
      <c r="L2721" s="46" t="n"/>
      <c r="M2721" s="47" t="n"/>
      <c r="N2721" s="47" t="inlineStr">
        <is>
          <t>UCKZo4N0lVPccBkSiuyVh4yg</t>
        </is>
      </c>
      <c r="O2721" s="48" t="n">
        <v>42300.09236111111</v>
      </c>
      <c r="P2721" s="49" t="n">
        <v>42299</v>
      </c>
      <c r="Q2721" s="47" t="n">
        <v>547</v>
      </c>
      <c r="R2721" s="47" t="inlineStr">
        <is>
          <t>No Video ID yet</t>
        </is>
      </c>
      <c r="S2721" s="49" t="n"/>
      <c r="T2721" s="49" t="n"/>
      <c r="U2721" s="47" t="n"/>
      <c r="V2721" s="47">
        <f>IF(AND(P2721&gt;=Calendar!$K$2,P2721&lt;EDATE(Calendar!$K$2,1),OR(Calendar!$K$4="*",N2721=Calendar!$K$4)),P2721*100+COUNTIFS($P$6:$P$3267,P2721,$Q$6:$Q$3267,"&lt;="&amp;Q2721,$N$6:$N$3267,Calendar!$K$4),"")</f>
        <v/>
      </c>
      <c r="W2721" s="47">
        <f>IF(AND(B2721=Queue!$C$4,OR(Queue!$K$4="*",N2721=Queue!$K$4)),Q2721,"")</f>
        <v/>
      </c>
    </row>
    <row r="2722">
      <c r="A2722" s="38">
        <f>IF(M2722="","",HYPERLINK("https://www.youtube.com/watch?v="&amp;M2722,"▶"))</f>
        <v/>
      </c>
      <c r="B2722" s="39">
        <f>IF(C2722&lt;&gt;"",C2722,IF(P2722&lt;=IFERROR(INDEX(tblChannels[Watched Through],MATCH(N2722,tblChannels[Channel ID],0)),0),"Watched","Unwatched"))</f>
        <v/>
      </c>
      <c r="C2722" s="40" t="n"/>
      <c r="D2722" s="41" t="n"/>
      <c r="E2722" s="42" t="n">
        <v>42299.69583333333</v>
      </c>
      <c r="F2722" s="52" t="inlineStr">
        <is>
          <t>Super Carlin Gaming</t>
        </is>
      </c>
      <c r="G2722" t="inlineStr">
        <is>
          <t>Pokemon HeartGold Nuzlocke #17: Safari Zone!</t>
        </is>
      </c>
      <c r="H2722" s="44" t="n">
        <v>0.01613425925925926</v>
      </c>
      <c r="I2722" s="45" t="n">
        <v>23447</v>
      </c>
      <c r="J2722" s="45" t="n">
        <v>507</v>
      </c>
      <c r="K2722" s="45" t="n">
        <v>82</v>
      </c>
      <c r="L2722" s="46" t="n"/>
      <c r="M2722" s="47" t="n"/>
      <c r="N2722" s="47" t="inlineStr">
        <is>
          <t>UCor_9jRnNNZVzTuQ92PKsaQ</t>
        </is>
      </c>
      <c r="O2722" s="48" t="n">
        <v>42299.8625</v>
      </c>
      <c r="P2722" s="49" t="n">
        <v>42299</v>
      </c>
      <c r="Q2722" s="47" t="n">
        <v>546</v>
      </c>
      <c r="R2722" s="47" t="inlineStr">
        <is>
          <t>No Video ID yet</t>
        </is>
      </c>
      <c r="S2722" s="49" t="n"/>
      <c r="T2722" s="49" t="n"/>
      <c r="U2722" s="47" t="inlineStr">
        <is>
          <t>A quick trip to the safari zone means new team members and few tough battles - Should we make and subs?</t>
        </is>
      </c>
      <c r="V2722" s="47">
        <f>IF(AND(P2722&gt;=Calendar!$K$2,P2722&lt;EDATE(Calendar!$K$2,1),OR(Calendar!$K$4="*",N2722=Calendar!$K$4)),P2722*100+COUNTIFS($P$6:$P$3267,P2722,$Q$6:$Q$3267,"&lt;="&amp;Q2722,$N$6:$N$3267,Calendar!$K$4),"")</f>
        <v/>
      </c>
      <c r="W2722" s="47">
        <f>IF(AND(B2722=Queue!$C$4,OR(Queue!$K$4="*",N2722=Queue!$K$4)),Q2722,"")</f>
        <v/>
      </c>
    </row>
    <row r="2723">
      <c r="A2723" s="38">
        <f>IF(M2723="","",HYPERLINK("https://www.youtube.com/watch?v="&amp;M2723,"▶"))</f>
        <v/>
      </c>
      <c r="B2723" s="39">
        <f>IF(C2723&lt;&gt;"",C2723,IF(P2723&lt;=IFERROR(INDEX(tblChannels[Watched Through],MATCH(N2723,tblChannels[Channel ID],0)),0),"Watched","Unwatched"))</f>
        <v/>
      </c>
      <c r="C2723" s="40" t="n"/>
      <c r="D2723" s="41" t="n"/>
      <c r="E2723" s="42" t="n">
        <v>42297.625</v>
      </c>
      <c r="F2723" s="50" t="inlineStr">
        <is>
          <t>Super Carlin Brothers</t>
        </is>
      </c>
      <c r="G2723" t="inlineStr">
        <is>
          <t>Pixar Theory: Emma Jean Revealed!</t>
        </is>
      </c>
      <c r="H2723" s="44" t="n">
        <v>0.004976851851851852</v>
      </c>
      <c r="I2723" s="45" t="n">
        <v>3055605</v>
      </c>
      <c r="J2723" s="45" t="n">
        <v>59646</v>
      </c>
      <c r="K2723" s="45" t="n">
        <v>9457</v>
      </c>
      <c r="L2723" s="46" t="n"/>
      <c r="M2723" s="47" t="n"/>
      <c r="N2723" s="47" t="inlineStr">
        <is>
          <t>UCKZo4N0lVPccBkSiuyVh4yg</t>
        </is>
      </c>
      <c r="O2723" s="48" t="n">
        <v>42297.79166666666</v>
      </c>
      <c r="P2723" s="49" t="n">
        <v>42297</v>
      </c>
      <c r="Q2723" s="47" t="n">
        <v>545</v>
      </c>
      <c r="R2723" s="47" t="inlineStr">
        <is>
          <t>No Video ID yet</t>
        </is>
      </c>
      <c r="S2723" s="49" t="n"/>
      <c r="T2723" s="49" t="n"/>
      <c r="U2723" s="47" t="inlineStr">
        <is>
          <t>What is your reaction??? Now if we could just figure out how it got in Andy's Room... MoviePilot ::</t>
        </is>
      </c>
      <c r="V2723" s="47">
        <f>IF(AND(P2723&gt;=Calendar!$K$2,P2723&lt;EDATE(Calendar!$K$2,1),OR(Calendar!$K$4="*",N2723=Calendar!$K$4)),P2723*100+COUNTIFS($P$6:$P$3267,P2723,$Q$6:$Q$3267,"&lt;="&amp;Q2723,$N$6:$N$3267,Calendar!$K$4),"")</f>
        <v/>
      </c>
      <c r="W2723" s="47">
        <f>IF(AND(B2723=Queue!$C$4,OR(Queue!$K$4="*",N2723=Queue!$K$4)),Q2723,"")</f>
        <v/>
      </c>
    </row>
    <row r="2724">
      <c r="A2724" s="38">
        <f>IF(M2724="","",HYPERLINK("https://www.youtube.com/watch?v="&amp;M2724,"▶"))</f>
        <v/>
      </c>
      <c r="B2724" s="39">
        <f>IF(C2724&lt;&gt;"",C2724,IF(P2724&lt;=IFERROR(INDEX(tblChannels[Watched Through],MATCH(N2724,tblChannels[Channel ID],0)),0),"Watched","Unwatched"))</f>
        <v/>
      </c>
      <c r="C2724" s="40" t="n"/>
      <c r="D2724" s="41" t="n"/>
      <c r="E2724" s="42" t="n">
        <v>42292.90555555555</v>
      </c>
      <c r="F2724" s="50" t="inlineStr">
        <is>
          <t>Super Carlin Brothers</t>
        </is>
      </c>
      <c r="G2724" t="inlineStr">
        <is>
          <t>Fast Facts: Harry Potter and the Half Blood Prince</t>
        </is>
      </c>
      <c r="H2724" s="44" t="n">
        <v>0.001585648148148148</v>
      </c>
      <c r="I2724" s="45" t="n">
        <v>175524</v>
      </c>
      <c r="J2724" s="45" t="n">
        <v>3503</v>
      </c>
      <c r="K2724" s="45" t="n">
        <v>187</v>
      </c>
      <c r="L2724" s="46" t="n"/>
      <c r="M2724" s="47" t="n"/>
      <c r="N2724" s="47" t="inlineStr">
        <is>
          <t>UCKZo4N0lVPccBkSiuyVh4yg</t>
        </is>
      </c>
      <c r="O2724" s="48" t="n">
        <v>42293.07222222222</v>
      </c>
      <c r="P2724" s="49" t="n">
        <v>42292</v>
      </c>
      <c r="Q2724" s="47" t="n">
        <v>544</v>
      </c>
      <c r="R2724" s="47" t="inlineStr">
        <is>
          <t>No Video ID yet</t>
        </is>
      </c>
      <c r="S2724" s="49" t="n"/>
      <c r="T2724" s="49" t="n"/>
      <c r="U2724" s="47" t="n"/>
      <c r="V2724" s="47">
        <f>IF(AND(P2724&gt;=Calendar!$K$2,P2724&lt;EDATE(Calendar!$K$2,1),OR(Calendar!$K$4="*",N2724=Calendar!$K$4)),P2724*100+COUNTIFS($P$6:$P$3267,P2724,$Q$6:$Q$3267,"&lt;="&amp;Q2724,$N$6:$N$3267,Calendar!$K$4),"")</f>
        <v/>
      </c>
      <c r="W2724" s="47">
        <f>IF(AND(B2724=Queue!$C$4,OR(Queue!$K$4="*",N2724=Queue!$K$4)),Q2724,"")</f>
        <v/>
      </c>
    </row>
    <row r="2725">
      <c r="A2725" s="38">
        <f>IF(M2725="","",HYPERLINK("https://www.youtube.com/watch?v="&amp;M2725,"▶"))</f>
        <v/>
      </c>
      <c r="B2725" s="39">
        <f>IF(C2725&lt;&gt;"",C2725,IF(P2725&lt;=IFERROR(INDEX(tblChannels[Watched Through],MATCH(N2725,tblChannels[Channel ID],0)),0),"Watched","Unwatched"))</f>
        <v/>
      </c>
      <c r="C2725" s="40" t="n"/>
      <c r="D2725" s="41" t="n"/>
      <c r="E2725" s="42" t="n">
        <v>42291.625</v>
      </c>
      <c r="F2725" s="50" t="inlineStr">
        <is>
          <t>Super Carlin Brothers</t>
        </is>
      </c>
      <c r="G2725" t="inlineStr">
        <is>
          <t>The Pixar Formula</t>
        </is>
      </c>
      <c r="H2725" s="44" t="n">
        <v>0.005497685185185185</v>
      </c>
      <c r="I2725" s="45" t="n">
        <v>827328</v>
      </c>
      <c r="J2725" s="45" t="n">
        <v>17659</v>
      </c>
      <c r="K2725" s="45" t="n">
        <v>2530</v>
      </c>
      <c r="L2725" s="46" t="n"/>
      <c r="M2725" s="47" t="n"/>
      <c r="N2725" s="47" t="inlineStr">
        <is>
          <t>UCKZo4N0lVPccBkSiuyVh4yg</t>
        </is>
      </c>
      <c r="O2725" s="48" t="n">
        <v>42291.79166666666</v>
      </c>
      <c r="P2725" s="49" t="n">
        <v>42291</v>
      </c>
      <c r="Q2725" s="47" t="n">
        <v>543</v>
      </c>
      <c r="R2725" s="47" t="inlineStr">
        <is>
          <t>No Video ID yet</t>
        </is>
      </c>
      <c r="S2725" s="49" t="n"/>
      <c r="T2725" s="49" t="n"/>
      <c r="U2725" s="47" t="inlineStr">
        <is>
          <t>MoviePilot.com :: 22 Rules of Storytelling :: Rules Image Credit ::</t>
        </is>
      </c>
      <c r="V2725" s="47">
        <f>IF(AND(P2725&gt;=Calendar!$K$2,P2725&lt;EDATE(Calendar!$K$2,1),OR(Calendar!$K$4="*",N2725=Calendar!$K$4)),P2725*100+COUNTIFS($P$6:$P$3267,P2725,$Q$6:$Q$3267,"&lt;="&amp;Q2725,$N$6:$N$3267,Calendar!$K$4),"")</f>
        <v/>
      </c>
      <c r="W2725" s="47">
        <f>IF(AND(B2725=Queue!$C$4,OR(Queue!$K$4="*",N2725=Queue!$K$4)),Q2725,"")</f>
        <v/>
      </c>
    </row>
    <row r="2726">
      <c r="A2726" s="38">
        <f>IF(M2726="","",HYPERLINK("https://www.youtube.com/watch?v="&amp;M2726,"▶"))</f>
        <v/>
      </c>
      <c r="B2726" s="39">
        <f>IF(C2726&lt;&gt;"",C2726,IF(P2726&lt;=IFERROR(INDEX(tblChannels[Watched Through],MATCH(N2726,tblChannels[Channel ID],0)),0),"Watched","Unwatched"))</f>
        <v/>
      </c>
      <c r="C2726" s="40" t="n"/>
      <c r="D2726" s="41" t="n"/>
      <c r="E2726" s="42" t="n">
        <v>42285.94375</v>
      </c>
      <c r="F2726" s="50" t="inlineStr">
        <is>
          <t>Super Carlin Brothers</t>
        </is>
      </c>
      <c r="G2726" t="inlineStr">
        <is>
          <t>Fast Facts: Harry Potter and the Order of the Phoenix</t>
        </is>
      </c>
      <c r="H2726" s="44" t="n">
        <v>0.002268518518518519</v>
      </c>
      <c r="I2726" s="45" t="n">
        <v>177853</v>
      </c>
      <c r="J2726" s="45" t="n">
        <v>3902</v>
      </c>
      <c r="K2726" s="45" t="n">
        <v>418</v>
      </c>
      <c r="L2726" s="46" t="n"/>
      <c r="M2726" s="47" t="n"/>
      <c r="N2726" s="47" t="inlineStr">
        <is>
          <t>UCKZo4N0lVPccBkSiuyVh4yg</t>
        </is>
      </c>
      <c r="O2726" s="48" t="n">
        <v>42286.11041666667</v>
      </c>
      <c r="P2726" s="49" t="n">
        <v>42285</v>
      </c>
      <c r="Q2726" s="47" t="n">
        <v>542</v>
      </c>
      <c r="R2726" s="47" t="inlineStr">
        <is>
          <t>No Video ID yet</t>
        </is>
      </c>
      <c r="S2726" s="49" t="n"/>
      <c r="T2726" s="49" t="n"/>
      <c r="U2726" s="47" t="inlineStr">
        <is>
          <t>Stick around until the end for a tiny little surprise!</t>
        </is>
      </c>
      <c r="V2726" s="47">
        <f>IF(AND(P2726&gt;=Calendar!$K$2,P2726&lt;EDATE(Calendar!$K$2,1),OR(Calendar!$K$4="*",N2726=Calendar!$K$4)),P2726*100+COUNTIFS($P$6:$P$3267,P2726,$Q$6:$Q$3267,"&lt;="&amp;Q2726,$N$6:$N$3267,Calendar!$K$4),"")</f>
        <v/>
      </c>
      <c r="W2726" s="47">
        <f>IF(AND(B2726=Queue!$C$4,OR(Queue!$K$4="*",N2726=Queue!$K$4)),Q2726,"")</f>
        <v/>
      </c>
    </row>
    <row r="2727">
      <c r="A2727" s="38">
        <f>IF(M2727="","",HYPERLINK("https://www.youtube.com/watch?v="&amp;M2727,"▶"))</f>
        <v/>
      </c>
      <c r="B2727" s="39">
        <f>IF(C2727&lt;&gt;"",C2727,IF(P2727&lt;=IFERROR(INDEX(tblChannels[Watched Through],MATCH(N2727,tblChannels[Channel ID],0)),0),"Watched","Unwatched"))</f>
        <v/>
      </c>
      <c r="C2727" s="40" t="n"/>
      <c r="D2727" s="41" t="n"/>
      <c r="E2727" s="42" t="n">
        <v>42283.95416666667</v>
      </c>
      <c r="F2727" s="50" t="inlineStr">
        <is>
          <t>Super Carlin Brothers</t>
        </is>
      </c>
      <c r="G2727" t="inlineStr">
        <is>
          <t>How the Scare Floor Works</t>
        </is>
      </c>
      <c r="H2727" s="44" t="n">
        <v>0.004027777777777778</v>
      </c>
      <c r="I2727" s="45" t="n">
        <v>913400</v>
      </c>
      <c r="J2727" s="45" t="n">
        <v>18380</v>
      </c>
      <c r="K2727" s="45" t="n">
        <v>2977</v>
      </c>
      <c r="L2727" s="46" t="n"/>
      <c r="M2727" s="47" t="n"/>
      <c r="N2727" s="47" t="inlineStr">
        <is>
          <t>UCKZo4N0lVPccBkSiuyVh4yg</t>
        </is>
      </c>
      <c r="O2727" s="48" t="n">
        <v>42284.12083333333</v>
      </c>
      <c r="P2727" s="49" t="n">
        <v>42283</v>
      </c>
      <c r="Q2727" s="47" t="n">
        <v>541</v>
      </c>
      <c r="R2727" s="47" t="inlineStr">
        <is>
          <t>No Video ID yet</t>
        </is>
      </c>
      <c r="S2727" s="49" t="n"/>
      <c r="T2727" s="49" t="n"/>
      <c r="U2727" s="47" t="inlineStr">
        <is>
          <t>Did You ever think you had a monster? What do you want to know about The Good Dinosaur? Who is Andy's Monster ::</t>
        </is>
      </c>
      <c r="V2727" s="47">
        <f>IF(AND(P2727&gt;=Calendar!$K$2,P2727&lt;EDATE(Calendar!$K$2,1),OR(Calendar!$K$4="*",N2727=Calendar!$K$4)),P2727*100+COUNTIFS($P$6:$P$3267,P2727,$Q$6:$Q$3267,"&lt;="&amp;Q2727,$N$6:$N$3267,Calendar!$K$4),"")</f>
        <v/>
      </c>
      <c r="W2727" s="47">
        <f>IF(AND(B2727=Queue!$C$4,OR(Queue!$K$4="*",N2727=Queue!$K$4)),Q2727,"")</f>
        <v/>
      </c>
    </row>
    <row r="2728">
      <c r="A2728" s="38">
        <f>IF(M2728="","",HYPERLINK("https://www.youtube.com/watch?v="&amp;M2728,"▶"))</f>
        <v/>
      </c>
      <c r="B2728" s="39">
        <f>IF(C2728&lt;&gt;"",C2728,IF(P2728&lt;=IFERROR(INDEX(tblChannels[Watched Through],MATCH(N2728,tblChannels[Channel ID],0)),0),"Watched","Unwatched"))</f>
        <v/>
      </c>
      <c r="C2728" s="40" t="n"/>
      <c r="D2728" s="41" t="n"/>
      <c r="E2728" s="42" t="n">
        <v>42278.90972222222</v>
      </c>
      <c r="F2728" s="50" t="inlineStr">
        <is>
          <t>Super Carlin Brothers</t>
        </is>
      </c>
      <c r="G2728" t="inlineStr">
        <is>
          <t>Fast Facts: Harry Potter and the Goblet of Fire</t>
        </is>
      </c>
      <c r="H2728" s="44" t="n">
        <v>0.002060185185185185</v>
      </c>
      <c r="I2728" s="45" t="n">
        <v>199034</v>
      </c>
      <c r="J2728" s="45" t="n">
        <v>4103</v>
      </c>
      <c r="K2728" s="45" t="n">
        <v>223</v>
      </c>
      <c r="L2728" s="46" t="n"/>
      <c r="M2728" s="47" t="n"/>
      <c r="N2728" s="47" t="inlineStr">
        <is>
          <t>UCKZo4N0lVPccBkSiuyVh4yg</t>
        </is>
      </c>
      <c r="O2728" s="48" t="n">
        <v>42279.07638888889</v>
      </c>
      <c r="P2728" s="49" t="n">
        <v>42278</v>
      </c>
      <c r="Q2728" s="47" t="n">
        <v>540</v>
      </c>
      <c r="R2728" s="47" t="inlineStr">
        <is>
          <t>No Video ID yet</t>
        </is>
      </c>
      <c r="S2728" s="49" t="n"/>
      <c r="T2728" s="49" t="n"/>
      <c r="U2728" s="47" t="inlineStr">
        <is>
          <t>Business Inquiries Only: CarlinBrosRTP@gmail.com</t>
        </is>
      </c>
      <c r="V2728" s="47">
        <f>IF(AND(P2728&gt;=Calendar!$K$2,P2728&lt;EDATE(Calendar!$K$2,1),OR(Calendar!$K$4="*",N2728=Calendar!$K$4)),P2728*100+COUNTIFS($P$6:$P$3267,P2728,$Q$6:$Q$3267,"&lt;="&amp;Q2728,$N$6:$N$3267,Calendar!$K$4),"")</f>
        <v/>
      </c>
      <c r="W2728" s="47">
        <f>IF(AND(B2728=Queue!$C$4,OR(Queue!$K$4="*",N2728=Queue!$K$4)),Q2728,"")</f>
        <v/>
      </c>
    </row>
    <row r="2729">
      <c r="A2729" s="38">
        <f>IF(M2729="","",HYPERLINK("https://www.youtube.com/watch?v="&amp;M2729,"▶"))</f>
        <v/>
      </c>
      <c r="B2729" s="39">
        <f>IF(C2729&lt;&gt;"",C2729,IF(P2729&lt;=IFERROR(INDEX(tblChannels[Watched Through],MATCH(N2729,tblChannels[Channel ID],0)),0),"Watched","Unwatched"))</f>
        <v/>
      </c>
      <c r="C2729" s="40" t="n"/>
      <c r="D2729" s="41" t="n"/>
      <c r="E2729" s="42" t="n">
        <v>42276.90902777778</v>
      </c>
      <c r="F2729" s="50" t="inlineStr">
        <is>
          <t>Super Carlin Brothers</t>
        </is>
      </c>
      <c r="G2729" t="inlineStr">
        <is>
          <t>Loot Crate Unboxing | Summon</t>
        </is>
      </c>
      <c r="H2729" s="44" t="n">
        <v>0.005277777777777778</v>
      </c>
      <c r="I2729" s="45" t="n">
        <v>98182</v>
      </c>
      <c r="J2729" s="45" t="n">
        <v>2259</v>
      </c>
      <c r="K2729" s="45" t="n">
        <v>668</v>
      </c>
      <c r="L2729" s="46" t="n"/>
      <c r="M2729" s="47" t="n"/>
      <c r="N2729" s="47" t="inlineStr">
        <is>
          <t>UCKZo4N0lVPccBkSiuyVh4yg</t>
        </is>
      </c>
      <c r="O2729" s="48" t="n">
        <v>42277.07569444444</v>
      </c>
      <c r="P2729" s="49" t="n">
        <v>42276</v>
      </c>
      <c r="Q2729" s="47" t="n">
        <v>539</v>
      </c>
      <c r="R2729" s="47" t="inlineStr">
        <is>
          <t>No Video ID yet</t>
        </is>
      </c>
      <c r="S2729" s="49" t="n"/>
      <c r="T2729" s="49" t="n"/>
      <c r="U2729" s="47" t="inlineStr">
        <is>
          <t>Share this video if you want Ben to get that tattoo!!! Get your own Loot Crate :: Promo Code: CARLIN Business Inquiries Only: CarlinBrosRTP@gmail.com</t>
        </is>
      </c>
      <c r="V2729" s="47">
        <f>IF(AND(P2729&gt;=Calendar!$K$2,P2729&lt;EDATE(Calendar!$K$2,1),OR(Calendar!$K$4="*",N2729=Calendar!$K$4)),P2729*100+COUNTIFS($P$6:$P$3267,P2729,$Q$6:$Q$3267,"&lt;="&amp;Q2729,$N$6:$N$3267,Calendar!$K$4),"")</f>
        <v/>
      </c>
      <c r="W2729" s="47">
        <f>IF(AND(B2729=Queue!$C$4,OR(Queue!$K$4="*",N2729=Queue!$K$4)),Q2729,"")</f>
        <v/>
      </c>
    </row>
    <row r="2730">
      <c r="A2730" s="38">
        <f>IF(M2730="","",HYPERLINK("https://www.youtube.com/watch?v="&amp;M2730,"▶"))</f>
        <v/>
      </c>
      <c r="B2730" s="39">
        <f>IF(C2730&lt;&gt;"",C2730,IF(P2730&lt;=IFERROR(INDEX(tblChannels[Watched Through],MATCH(N2730,tblChannels[Channel ID],0)),0),"Watched","Unwatched"))</f>
        <v/>
      </c>
      <c r="C2730" s="40" t="n"/>
      <c r="D2730" s="41" t="n"/>
      <c r="E2730" s="42" t="n">
        <v>42271.85833333333</v>
      </c>
      <c r="F2730" s="50" t="inlineStr">
        <is>
          <t>Super Carlin Brothers</t>
        </is>
      </c>
      <c r="G2730" t="inlineStr">
        <is>
          <t>Fast Facts: Harry Potter and the Prisoner of Azkaban</t>
        </is>
      </c>
      <c r="H2730" s="44" t="n">
        <v>0.00193287037037037</v>
      </c>
      <c r="I2730" s="45" t="n">
        <v>227131</v>
      </c>
      <c r="J2730" s="45" t="n">
        <v>4401</v>
      </c>
      <c r="K2730" s="45" t="n">
        <v>294</v>
      </c>
      <c r="L2730" s="46" t="n"/>
      <c r="M2730" s="47" t="n"/>
      <c r="N2730" s="47" t="inlineStr">
        <is>
          <t>UCKZo4N0lVPccBkSiuyVh4yg</t>
        </is>
      </c>
      <c r="O2730" s="48" t="n">
        <v>42272.025</v>
      </c>
      <c r="P2730" s="49" t="n">
        <v>42271</v>
      </c>
      <c r="Q2730" s="47" t="n">
        <v>538</v>
      </c>
      <c r="R2730" s="47" t="inlineStr">
        <is>
          <t>No Video ID yet</t>
        </is>
      </c>
      <c r="S2730" s="49" t="n"/>
      <c r="T2730" s="49" t="n"/>
      <c r="U2730" s="47" t="inlineStr">
        <is>
          <t>Business Inquiries Only: CarlinBrosRTP@gmail.com</t>
        </is>
      </c>
      <c r="V2730" s="47">
        <f>IF(AND(P2730&gt;=Calendar!$K$2,P2730&lt;EDATE(Calendar!$K$2,1),OR(Calendar!$K$4="*",N2730=Calendar!$K$4)),P2730*100+COUNTIFS($P$6:$P$3267,P2730,$Q$6:$Q$3267,"&lt;="&amp;Q2730,$N$6:$N$3267,Calendar!$K$4),"")</f>
        <v/>
      </c>
      <c r="W2730" s="47">
        <f>IF(AND(B2730=Queue!$C$4,OR(Queue!$K$4="*",N2730=Queue!$K$4)),Q2730,"")</f>
        <v/>
      </c>
    </row>
    <row r="2731">
      <c r="A2731" s="38">
        <f>IF(M2731="","",HYPERLINK("https://www.youtube.com/watch?v="&amp;M2731,"▶"))</f>
        <v/>
      </c>
      <c r="B2731" s="39">
        <f>IF(C2731&lt;&gt;"",C2731,IF(P2731&lt;=IFERROR(INDEX(tblChannels[Watched Through],MATCH(N2731,tblChannels[Channel ID],0)),0),"Watched","Unwatched"))</f>
        <v/>
      </c>
      <c r="C2731" s="40" t="n"/>
      <c r="D2731" s="41" t="n"/>
      <c r="E2731" s="42" t="n">
        <v>42269.94861111111</v>
      </c>
      <c r="F2731" s="50" t="inlineStr">
        <is>
          <t>Super Carlin Brothers</t>
        </is>
      </c>
      <c r="G2731" t="inlineStr">
        <is>
          <t>Should Heroes Wear Capes?!</t>
        </is>
      </c>
      <c r="H2731" s="44" t="n">
        <v>0.004537037037037037</v>
      </c>
      <c r="I2731" s="45" t="n">
        <v>1805428</v>
      </c>
      <c r="J2731" s="45" t="n">
        <v>33688</v>
      </c>
      <c r="K2731" s="45" t="n">
        <v>4304</v>
      </c>
      <c r="L2731" s="46" t="n"/>
      <c r="M2731" s="47" t="n"/>
      <c r="N2731" s="47" t="inlineStr">
        <is>
          <t>UCKZo4N0lVPccBkSiuyVh4yg</t>
        </is>
      </c>
      <c r="O2731" s="48" t="n">
        <v>42270.11527777778</v>
      </c>
      <c r="P2731" s="49" t="n">
        <v>42269</v>
      </c>
      <c r="Q2731" s="47" t="n">
        <v>537</v>
      </c>
      <c r="R2731" s="47" t="inlineStr">
        <is>
          <t>No Video ID yet</t>
        </is>
      </c>
      <c r="S2731" s="49" t="n"/>
      <c r="T2731" s="49" t="n"/>
      <c r="U2731" s="47" t="inlineStr">
        <is>
          <t>Should Heroes wear capes? Is Edna the secret savior of The Incredibles?? Business Inquiries Only: CarlinBrosRTP@gmail.com</t>
        </is>
      </c>
      <c r="V2731" s="47">
        <f>IF(AND(P2731&gt;=Calendar!$K$2,P2731&lt;EDATE(Calendar!$K$2,1),OR(Calendar!$K$4="*",N2731=Calendar!$K$4)),P2731*100+COUNTIFS($P$6:$P$3267,P2731,$Q$6:$Q$3267,"&lt;="&amp;Q2731,$N$6:$N$3267,Calendar!$K$4),"")</f>
        <v/>
      </c>
      <c r="W2731" s="47">
        <f>IF(AND(B2731=Queue!$C$4,OR(Queue!$K$4="*",N2731=Queue!$K$4)),Q2731,"")</f>
        <v/>
      </c>
    </row>
    <row r="2732">
      <c r="A2732" s="38">
        <f>IF(M2732="","",HYPERLINK("https://www.youtube.com/watch?v="&amp;M2732,"▶"))</f>
        <v/>
      </c>
      <c r="B2732" s="39">
        <f>IF(C2732&lt;&gt;"",C2732,IF(P2732&lt;=IFERROR(INDEX(tblChannels[Watched Through],MATCH(N2732,tblChannels[Channel ID],0)),0),"Watched","Unwatched"))</f>
        <v/>
      </c>
      <c r="C2732" s="40" t="n"/>
      <c r="D2732" s="41" t="n"/>
      <c r="E2732" s="42" t="n">
        <v>42264.94791666666</v>
      </c>
      <c r="F2732" s="50" t="inlineStr">
        <is>
          <t>Super Carlin Brothers</t>
        </is>
      </c>
      <c r="G2732" t="inlineStr">
        <is>
          <t>Fast Facts: Harry Potter and the Chamber of Secrets</t>
        </is>
      </c>
      <c r="H2732" s="44" t="n">
        <v>0.001793981481481481</v>
      </c>
      <c r="I2732" s="45" t="n">
        <v>207588</v>
      </c>
      <c r="J2732" s="45" t="n">
        <v>4474</v>
      </c>
      <c r="K2732" s="45" t="n">
        <v>248</v>
      </c>
      <c r="L2732" s="46" t="n"/>
      <c r="M2732" s="47" t="n"/>
      <c r="N2732" s="47" t="inlineStr">
        <is>
          <t>UCKZo4N0lVPccBkSiuyVh4yg</t>
        </is>
      </c>
      <c r="O2732" s="48" t="n">
        <v>42265.11458333334</v>
      </c>
      <c r="P2732" s="49" t="n">
        <v>42264</v>
      </c>
      <c r="Q2732" s="47" t="n">
        <v>536</v>
      </c>
      <c r="R2732" s="47" t="inlineStr">
        <is>
          <t>No Video ID yet</t>
        </is>
      </c>
      <c r="S2732" s="49" t="n"/>
      <c r="T2732" s="49" t="n"/>
      <c r="U2732" s="47" t="inlineStr">
        <is>
          <t>Business Inquiries Only: CarlinBrosRTP@gmail.com</t>
        </is>
      </c>
      <c r="V2732" s="47">
        <f>IF(AND(P2732&gt;=Calendar!$K$2,P2732&lt;EDATE(Calendar!$K$2,1),OR(Calendar!$K$4="*",N2732=Calendar!$K$4)),P2732*100+COUNTIFS($P$6:$P$3267,P2732,$Q$6:$Q$3267,"&lt;="&amp;Q2732,$N$6:$N$3267,Calendar!$K$4),"")</f>
        <v/>
      </c>
      <c r="W2732" s="47">
        <f>IF(AND(B2732=Queue!$C$4,OR(Queue!$K$4="*",N2732=Queue!$K$4)),Q2732,"")</f>
        <v/>
      </c>
    </row>
    <row r="2733">
      <c r="A2733" s="38">
        <f>IF(M2733="","",HYPERLINK("https://www.youtube.com/watch?v="&amp;M2733,"▶"))</f>
        <v/>
      </c>
      <c r="B2733" s="39">
        <f>IF(C2733&lt;&gt;"",C2733,IF(P2733&lt;=IFERROR(INDEX(tblChannels[Watched Through],MATCH(N2733,tblChannels[Channel ID],0)),0),"Watched","Unwatched"))</f>
        <v/>
      </c>
      <c r="C2733" s="40" t="n"/>
      <c r="D2733" s="41" t="n"/>
      <c r="E2733" s="42" t="n">
        <v>42262.93055555555</v>
      </c>
      <c r="F2733" s="50" t="inlineStr">
        <is>
          <t>Super Carlin Brothers</t>
        </is>
      </c>
      <c r="G2733" t="inlineStr">
        <is>
          <t>What Happened to Pixar's Newt?</t>
        </is>
      </c>
      <c r="H2733" s="44" t="n">
        <v>0.004525462962962963</v>
      </c>
      <c r="I2733" s="45" t="n">
        <v>3242669</v>
      </c>
      <c r="J2733" s="45" t="n">
        <v>45129</v>
      </c>
      <c r="K2733" s="45" t="n">
        <v>7197</v>
      </c>
      <c r="L2733" s="46" t="n"/>
      <c r="M2733" s="47" t="n"/>
      <c r="N2733" s="47" t="inlineStr">
        <is>
          <t>UCKZo4N0lVPccBkSiuyVh4yg</t>
        </is>
      </c>
      <c r="O2733" s="48" t="n">
        <v>42263.09722222222</v>
      </c>
      <c r="P2733" s="49" t="n">
        <v>42262</v>
      </c>
      <c r="Q2733" s="47" t="n">
        <v>535</v>
      </c>
      <c r="R2733" s="47" t="inlineStr">
        <is>
          <t>No Video ID yet</t>
        </is>
      </c>
      <c r="S2733" s="49" t="n"/>
      <c r="T2733" s="49" t="n"/>
      <c r="U2733" s="47" t="inlineStr">
        <is>
          <t>Read more about Newt Here: Never look back darling it distracts from the now -Edna Mode Are you happy with the way things worked out?? Business Inquiries Only: CarlinBrosRTP@gmail.com</t>
        </is>
      </c>
      <c r="V2733" s="47">
        <f>IF(AND(P2733&gt;=Calendar!$K$2,P2733&lt;EDATE(Calendar!$K$2,1),OR(Calendar!$K$4="*",N2733=Calendar!$K$4)),P2733*100+COUNTIFS($P$6:$P$3267,P2733,$Q$6:$Q$3267,"&lt;="&amp;Q2733,$N$6:$N$3267,Calendar!$K$4),"")</f>
        <v/>
      </c>
      <c r="W2733" s="47">
        <f>IF(AND(B2733=Queue!$C$4,OR(Queue!$K$4="*",N2733=Queue!$K$4)),Q2733,"")</f>
        <v/>
      </c>
    </row>
    <row r="2734">
      <c r="A2734" s="38">
        <f>IF(M2734="","",HYPERLINK("https://www.youtube.com/watch?v="&amp;M2734,"▶"))</f>
        <v/>
      </c>
      <c r="B2734" s="39">
        <f>IF(C2734&lt;&gt;"",C2734,IF(P2734&lt;=IFERROR(INDEX(tblChannels[Watched Through],MATCH(N2734,tblChannels[Channel ID],0)),0),"Watched","Unwatched"))</f>
        <v/>
      </c>
      <c r="C2734" s="40" t="n"/>
      <c r="D2734" s="41" t="n"/>
      <c r="E2734" s="42" t="n">
        <v>42257.95555555556</v>
      </c>
      <c r="F2734" s="50" t="inlineStr">
        <is>
          <t>Super Carlin Brothers</t>
        </is>
      </c>
      <c r="G2734" t="inlineStr">
        <is>
          <t>Fast Facts: Harry Potter and the Sorcerer's Stone</t>
        </is>
      </c>
      <c r="H2734" s="44" t="n">
        <v>0.00193287037037037</v>
      </c>
      <c r="I2734" s="45" t="n">
        <v>265258</v>
      </c>
      <c r="J2734" s="45" t="n">
        <v>5503</v>
      </c>
      <c r="K2734" s="45" t="n">
        <v>391</v>
      </c>
      <c r="L2734" s="46" t="n"/>
      <c r="M2734" s="47" t="n"/>
      <c r="N2734" s="47" t="inlineStr">
        <is>
          <t>UCKZo4N0lVPccBkSiuyVh4yg</t>
        </is>
      </c>
      <c r="O2734" s="48" t="n">
        <v>42258.12222222222</v>
      </c>
      <c r="P2734" s="49" t="n">
        <v>42257</v>
      </c>
      <c r="Q2734" s="47" t="n">
        <v>534</v>
      </c>
      <c r="R2734" s="47" t="inlineStr">
        <is>
          <t>No Video ID yet</t>
        </is>
      </c>
      <c r="S2734" s="49" t="n"/>
      <c r="T2734" s="49" t="n"/>
      <c r="U2734" s="47" t="inlineStr">
        <is>
          <t>Business Inquiries Only: CarlinBrosRTP@gmail.com</t>
        </is>
      </c>
      <c r="V2734" s="47">
        <f>IF(AND(P2734&gt;=Calendar!$K$2,P2734&lt;EDATE(Calendar!$K$2,1),OR(Calendar!$K$4="*",N2734=Calendar!$K$4)),P2734*100+COUNTIFS($P$6:$P$3267,P2734,$Q$6:$Q$3267,"&lt;="&amp;Q2734,$N$6:$N$3267,Calendar!$K$4),"")</f>
        <v/>
      </c>
      <c r="W2734" s="47">
        <f>IF(AND(B2734=Queue!$C$4,OR(Queue!$K$4="*",N2734=Queue!$K$4)),Q2734,"")</f>
        <v/>
      </c>
    </row>
    <row r="2735">
      <c r="A2735" s="38">
        <f>IF(M2735="","",HYPERLINK("https://www.youtube.com/watch?v="&amp;M2735,"▶"))</f>
        <v/>
      </c>
      <c r="B2735" s="39">
        <f>IF(C2735&lt;&gt;"",C2735,IF(P2735&lt;=IFERROR(INDEX(tblChannels[Watched Through],MATCH(N2735,tblChannels[Channel ID],0)),0),"Watched","Unwatched"))</f>
        <v/>
      </c>
      <c r="C2735" s="40" t="n"/>
      <c r="D2735" s="41" t="n"/>
      <c r="E2735" s="42" t="n">
        <v>42257.54652777778</v>
      </c>
      <c r="F2735" s="52" t="inlineStr">
        <is>
          <t>Super Carlin Gaming</t>
        </is>
      </c>
      <c r="G2735" t="inlineStr">
        <is>
          <t>Pokemon HeartGold Nuzlocke #16 | Iron Tail</t>
        </is>
      </c>
      <c r="H2735" s="44" t="n">
        <v>0.02040509259259259</v>
      </c>
      <c r="I2735" s="45" t="n">
        <v>27170</v>
      </c>
      <c r="J2735" s="45" t="n">
        <v>553</v>
      </c>
      <c r="K2735" s="45" t="n">
        <v>132</v>
      </c>
      <c r="L2735" s="46" t="n"/>
      <c r="M2735" s="47" t="n"/>
      <c r="N2735" s="47" t="inlineStr">
        <is>
          <t>UCor_9jRnNNZVzTuQ92PKsaQ</t>
        </is>
      </c>
      <c r="O2735" s="48" t="n">
        <v>42257.71319444444</v>
      </c>
      <c r="P2735" s="49" t="n">
        <v>42257</v>
      </c>
      <c r="Q2735" s="47" t="n">
        <v>533</v>
      </c>
      <c r="R2735" s="47" t="inlineStr">
        <is>
          <t>No Video ID yet</t>
        </is>
      </c>
      <c r="S2735" s="49" t="n"/>
      <c r="T2735" s="49" t="n"/>
      <c r="U2735" s="47" t="inlineStr">
        <is>
          <t>The team is in mourning after the loss of Bananas but comes together through training - We say hello to a new friend and take on the 6th gym... is the training enough??</t>
        </is>
      </c>
      <c r="V2735" s="47">
        <f>IF(AND(P2735&gt;=Calendar!$K$2,P2735&lt;EDATE(Calendar!$K$2,1),OR(Calendar!$K$4="*",N2735=Calendar!$K$4)),P2735*100+COUNTIFS($P$6:$P$3267,P2735,$Q$6:$Q$3267,"&lt;="&amp;Q2735,$N$6:$N$3267,Calendar!$K$4),"")</f>
        <v/>
      </c>
      <c r="W2735" s="47">
        <f>IF(AND(B2735=Queue!$C$4,OR(Queue!$K$4="*",N2735=Queue!$K$4)),Q2735,"")</f>
        <v/>
      </c>
    </row>
    <row r="2736">
      <c r="A2736" s="38">
        <f>IF(M2736="","",HYPERLINK("https://www.youtube.com/watch?v="&amp;M2736,"▶"))</f>
        <v/>
      </c>
      <c r="B2736" s="39">
        <f>IF(C2736&lt;&gt;"",C2736,IF(P2736&lt;=IFERROR(INDEX(tblChannels[Watched Through],MATCH(N2736,tblChannels[Channel ID],0)),0),"Watched","Unwatched"))</f>
        <v/>
      </c>
      <c r="C2736" s="40" t="n"/>
      <c r="D2736" s="41" t="n"/>
      <c r="E2736" s="42" t="n">
        <v>42255.97430555556</v>
      </c>
      <c r="F2736" s="50" t="inlineStr">
        <is>
          <t>Super Carlin Brothers</t>
        </is>
      </c>
      <c r="G2736" t="inlineStr">
        <is>
          <t>Can Spider-Man Google Autofill!?</t>
        </is>
      </c>
      <c r="H2736" s="44" t="n">
        <v>0.004398148148148148</v>
      </c>
      <c r="I2736" s="45" t="n">
        <v>448788</v>
      </c>
      <c r="J2736" s="45" t="n">
        <v>6679</v>
      </c>
      <c r="K2736" s="45" t="n">
        <v>1834</v>
      </c>
      <c r="L2736" s="46" t="n"/>
      <c r="M2736" s="47" t="n"/>
      <c r="N2736" s="47" t="inlineStr">
        <is>
          <t>UCKZo4N0lVPccBkSiuyVh4yg</t>
        </is>
      </c>
      <c r="O2736" s="48" t="n">
        <v>42256.14097222222</v>
      </c>
      <c r="P2736" s="49" t="n">
        <v>42255</v>
      </c>
      <c r="Q2736" s="47" t="n">
        <v>532</v>
      </c>
      <c r="R2736" s="47" t="inlineStr">
        <is>
          <t>No Video ID yet</t>
        </is>
      </c>
      <c r="S2736" s="49" t="n"/>
      <c r="T2736" s="49" t="n"/>
      <c r="U2736" s="47" t="inlineStr">
        <is>
          <t>Where do you stand? Natural Webbing vs Man Made?? Business Inquiries Only: CarlinBrosRTP@gmail.com</t>
        </is>
      </c>
      <c r="V2736" s="47">
        <f>IF(AND(P2736&gt;=Calendar!$K$2,P2736&lt;EDATE(Calendar!$K$2,1),OR(Calendar!$K$4="*",N2736=Calendar!$K$4)),P2736*100+COUNTIFS($P$6:$P$3267,P2736,$Q$6:$Q$3267,"&lt;="&amp;Q2736,$N$6:$N$3267,Calendar!$K$4),"")</f>
        <v/>
      </c>
      <c r="W2736" s="47">
        <f>IF(AND(B2736=Queue!$C$4,OR(Queue!$K$4="*",N2736=Queue!$K$4)),Q2736,"")</f>
        <v/>
      </c>
    </row>
    <row r="2737">
      <c r="A2737" s="38">
        <f>IF(M2737="","",HYPERLINK("https://www.youtube.com/watch?v="&amp;M2737,"▶"))</f>
        <v/>
      </c>
      <c r="B2737" s="39">
        <f>IF(C2737&lt;&gt;"",C2737,IF(P2737&lt;=IFERROR(INDEX(tblChannels[Watched Through],MATCH(N2737,tblChannels[Channel ID],0)),0),"Watched","Unwatched"))</f>
        <v/>
      </c>
      <c r="C2737" s="40" t="n"/>
      <c r="D2737" s="41" t="n"/>
      <c r="E2737" s="42" t="n">
        <v>42252.41666666666</v>
      </c>
      <c r="F2737" s="52" t="inlineStr">
        <is>
          <t>Super Carlin Gaming</t>
        </is>
      </c>
      <c r="G2737" t="inlineStr">
        <is>
          <t>Pokemon HeartGold Nuzlocke #15: Focus Punch</t>
        </is>
      </c>
      <c r="H2737" s="44" t="n">
        <v>0.01737268518518519</v>
      </c>
      <c r="I2737" s="45" t="n">
        <v>26741</v>
      </c>
      <c r="J2737" s="45" t="n">
        <v>504</v>
      </c>
      <c r="K2737" s="45" t="n">
        <v>222</v>
      </c>
      <c r="L2737" s="46" t="n"/>
      <c r="M2737" s="47" t="n"/>
      <c r="N2737" s="47" t="inlineStr">
        <is>
          <t>UCor_9jRnNNZVzTuQ92PKsaQ</t>
        </is>
      </c>
      <c r="O2737" s="48" t="n">
        <v>42252.58333333334</v>
      </c>
      <c r="P2737" s="49" t="n">
        <v>42252</v>
      </c>
      <c r="Q2737" s="47" t="n">
        <v>531</v>
      </c>
      <c r="R2737" s="47" t="inlineStr">
        <is>
          <t>No Video ID yet</t>
        </is>
      </c>
      <c r="S2737" s="49" t="n"/>
      <c r="T2737" s="49" t="n"/>
      <c r="U2737" s="47" t="inlineStr">
        <is>
          <t>Today we take on the tough hitting 5th gym and its fighting types, can the team survive?</t>
        </is>
      </c>
      <c r="V2737" s="47">
        <f>IF(AND(P2737&gt;=Calendar!$K$2,P2737&lt;EDATE(Calendar!$K$2,1),OR(Calendar!$K$4="*",N2737=Calendar!$K$4)),P2737*100+COUNTIFS($P$6:$P$3267,P2737,$Q$6:$Q$3267,"&lt;="&amp;Q2737,$N$6:$N$3267,Calendar!$K$4),"")</f>
        <v/>
      </c>
      <c r="W2737" s="47">
        <f>IF(AND(B2737=Queue!$C$4,OR(Queue!$K$4="*",N2737=Queue!$K$4)),Q2737,"")</f>
        <v/>
      </c>
    </row>
    <row r="2738">
      <c r="A2738" s="38">
        <f>IF(M2738="","",HYPERLINK("https://www.youtube.com/watch?v="&amp;M2738,"▶"))</f>
        <v/>
      </c>
      <c r="B2738" s="39">
        <f>IF(C2738&lt;&gt;"",C2738,IF(P2738&lt;=IFERROR(INDEX(tblChannels[Watched Through],MATCH(N2738,tblChannels[Channel ID],0)),0),"Watched","Unwatched"))</f>
        <v/>
      </c>
      <c r="C2738" s="40" t="n"/>
      <c r="D2738" s="41" t="n"/>
      <c r="E2738" s="42" t="n">
        <v>42250.92222222222</v>
      </c>
      <c r="F2738" s="50" t="inlineStr">
        <is>
          <t>Super Carlin Brothers</t>
        </is>
      </c>
      <c r="G2738" t="inlineStr">
        <is>
          <t>Pixar Fast Facts: Cars 2</t>
        </is>
      </c>
      <c r="H2738" s="44" t="n">
        <v>0.001770833333333333</v>
      </c>
      <c r="I2738" s="45" t="n">
        <v>204872</v>
      </c>
      <c r="J2738" s="45" t="n">
        <v>3172</v>
      </c>
      <c r="K2738" s="45" t="n">
        <v>310</v>
      </c>
      <c r="L2738" s="46" t="n"/>
      <c r="M2738" s="47" t="n"/>
      <c r="N2738" s="47" t="inlineStr">
        <is>
          <t>UCKZo4N0lVPccBkSiuyVh4yg</t>
        </is>
      </c>
      <c r="O2738" s="48" t="n">
        <v>42251.08888888889</v>
      </c>
      <c r="P2738" s="49" t="n">
        <v>42250</v>
      </c>
      <c r="Q2738" s="47" t="n">
        <v>530</v>
      </c>
      <c r="R2738" s="47" t="inlineStr">
        <is>
          <t>No Video ID yet</t>
        </is>
      </c>
      <c r="S2738" s="49" t="n"/>
      <c r="T2738" s="49" t="n"/>
      <c r="U2738" s="47" t="inlineStr">
        <is>
          <t>Business Inquiries Only: CarlinBrosRTP@gmail.com</t>
        </is>
      </c>
      <c r="V2738" s="47">
        <f>IF(AND(P2738&gt;=Calendar!$K$2,P2738&lt;EDATE(Calendar!$K$2,1),OR(Calendar!$K$4="*",N2738=Calendar!$K$4)),P2738*100+COUNTIFS($P$6:$P$3267,P2738,$Q$6:$Q$3267,"&lt;="&amp;Q2738,$N$6:$N$3267,Calendar!$K$4),"")</f>
        <v/>
      </c>
      <c r="W2738" s="47">
        <f>IF(AND(B2738=Queue!$C$4,OR(Queue!$K$4="*",N2738=Queue!$K$4)),Q2738,"")</f>
        <v/>
      </c>
    </row>
    <row r="2739">
      <c r="A2739" s="38">
        <f>IF(M2739="","",HYPERLINK("https://www.youtube.com/watch?v="&amp;M2739,"▶"))</f>
        <v/>
      </c>
      <c r="B2739" s="39">
        <f>IF(C2739&lt;&gt;"",C2739,IF(P2739&lt;=IFERROR(INDEX(tblChannels[Watched Through],MATCH(N2739,tblChannels[Channel ID],0)),0),"Watched","Unwatched"))</f>
        <v/>
      </c>
      <c r="C2739" s="40" t="n"/>
      <c r="D2739" s="41" t="n"/>
      <c r="E2739" s="42" t="n">
        <v>42248.88472222222</v>
      </c>
      <c r="F2739" s="50" t="inlineStr">
        <is>
          <t>Super Carlin Brothers</t>
        </is>
      </c>
      <c r="G2739" t="inlineStr">
        <is>
          <t>Loot Crate Unboxing | Villains 2 + GIVEAWAY!</t>
        </is>
      </c>
      <c r="H2739" s="44" t="n">
        <v>0.005787037037037037</v>
      </c>
      <c r="I2739" s="45" t="n">
        <v>90009</v>
      </c>
      <c r="J2739" s="45" t="n">
        <v>1896</v>
      </c>
      <c r="K2739" s="45" t="n">
        <v>332</v>
      </c>
      <c r="L2739" s="46" t="n"/>
      <c r="M2739" s="47" t="n"/>
      <c r="N2739" s="47" t="inlineStr">
        <is>
          <t>UCKZo4N0lVPccBkSiuyVh4yg</t>
        </is>
      </c>
      <c r="O2739" s="48" t="n">
        <v>42249.05138888889</v>
      </c>
      <c r="P2739" s="49" t="n">
        <v>42248</v>
      </c>
      <c r="Q2739" s="47" t="n">
        <v>529</v>
      </c>
      <c r="R2739" s="47" t="inlineStr">
        <is>
          <t>No Video ID yet</t>
        </is>
      </c>
      <c r="S2739" s="49" t="n"/>
      <c r="T2739" s="49" t="n"/>
      <c r="U2739" s="47" t="inlineStr">
        <is>
          <t>Get 10% off your Loot Crate at: Promo Code: CARLIN Giveaway Rules: Follow @Jonkerlin and @BPCarlin on Instagram and like the photos featured in the video - Winner will be randomly chosen next Tuesday! Business Inquiries Only: CarlinBrosRTP@gmail.com</t>
        </is>
      </c>
      <c r="V2739" s="47">
        <f>IF(AND(P2739&gt;=Calendar!$K$2,P2739&lt;EDATE(Calendar!$K$2,1),OR(Calendar!$K$4="*",N2739=Calendar!$K$4)),P2739*100+COUNTIFS($P$6:$P$3267,P2739,$Q$6:$Q$3267,"&lt;="&amp;Q2739,$N$6:$N$3267,Calendar!$K$4),"")</f>
        <v/>
      </c>
      <c r="W2739" s="47">
        <f>IF(AND(B2739=Queue!$C$4,OR(Queue!$K$4="*",N2739=Queue!$K$4)),Q2739,"")</f>
        <v/>
      </c>
    </row>
    <row r="2740">
      <c r="A2740" s="38">
        <f>IF(M2740="","",HYPERLINK("https://www.youtube.com/watch?v="&amp;M2740,"▶"))</f>
        <v/>
      </c>
      <c r="B2740" s="39">
        <f>IF(C2740&lt;&gt;"",C2740,IF(P2740&lt;=IFERROR(INDEX(tblChannels[Watched Through],MATCH(N2740,tblChannels[Channel ID],0)),0),"Watched","Unwatched"))</f>
        <v/>
      </c>
      <c r="C2740" s="40" t="n"/>
      <c r="D2740" s="41" t="n"/>
      <c r="E2740" s="42" t="n">
        <v>42245.47291666667</v>
      </c>
      <c r="F2740" s="52" t="inlineStr">
        <is>
          <t>Super Carlin Gaming</t>
        </is>
      </c>
      <c r="G2740" t="inlineStr">
        <is>
          <t>Pokemon HeartGold Nuzlocke #14: Bananas vs Tentacool</t>
        </is>
      </c>
      <c r="H2740" s="44" t="n">
        <v>0.0144212962962963</v>
      </c>
      <c r="I2740" s="45" t="n">
        <v>23925</v>
      </c>
      <c r="J2740" s="45" t="n">
        <v>495</v>
      </c>
      <c r="K2740" s="45" t="n">
        <v>95</v>
      </c>
      <c r="L2740" s="46" t="n"/>
      <c r="M2740" s="47" t="n"/>
      <c r="N2740" s="47" t="inlineStr">
        <is>
          <t>UCor_9jRnNNZVzTuQ92PKsaQ</t>
        </is>
      </c>
      <c r="O2740" s="48" t="n">
        <v>42245.63958333333</v>
      </c>
      <c r="P2740" s="49" t="n">
        <v>42245</v>
      </c>
      <c r="Q2740" s="47" t="n">
        <v>528</v>
      </c>
      <c r="R2740" s="47" t="inlineStr">
        <is>
          <t>No Video ID yet</t>
        </is>
      </c>
      <c r="S2740" s="49" t="n"/>
      <c r="T2740" s="49" t="n"/>
      <c r="U2740" s="47" t="n"/>
      <c r="V2740" s="47">
        <f>IF(AND(P2740&gt;=Calendar!$K$2,P2740&lt;EDATE(Calendar!$K$2,1),OR(Calendar!$K$4="*",N2740=Calendar!$K$4)),P2740*100+COUNTIFS($P$6:$P$3267,P2740,$Q$6:$Q$3267,"&lt;="&amp;Q2740,$N$6:$N$3267,Calendar!$K$4),"")</f>
        <v/>
      </c>
      <c r="W2740" s="47">
        <f>IF(AND(B2740=Queue!$C$4,OR(Queue!$K$4="*",N2740=Queue!$K$4)),Q2740,"")</f>
        <v/>
      </c>
    </row>
    <row r="2741">
      <c r="A2741" s="38">
        <f>IF(M2741="","",HYPERLINK("https://www.youtube.com/watch?v="&amp;M2741,"▶"))</f>
        <v/>
      </c>
      <c r="B2741" s="39">
        <f>IF(C2741&lt;&gt;"",C2741,IF(P2741&lt;=IFERROR(INDEX(tblChannels[Watched Through],MATCH(N2741,tblChannels[Channel ID],0)),0),"Watched","Unwatched"))</f>
        <v/>
      </c>
      <c r="C2741" s="40" t="n"/>
      <c r="D2741" s="41" t="n"/>
      <c r="E2741" s="42" t="n">
        <v>42243.96319444444</v>
      </c>
      <c r="F2741" s="50" t="inlineStr">
        <is>
          <t>Super Carlin Brothers</t>
        </is>
      </c>
      <c r="G2741" t="inlineStr">
        <is>
          <t>Pixar Fast Facts: Ratatouille</t>
        </is>
      </c>
      <c r="H2741" s="44" t="n">
        <v>0.001539351851851852</v>
      </c>
      <c r="I2741" s="45" t="n">
        <v>204121</v>
      </c>
      <c r="J2741" s="45" t="n">
        <v>4033</v>
      </c>
      <c r="K2741" s="45" t="n">
        <v>206</v>
      </c>
      <c r="L2741" s="46" t="n"/>
      <c r="M2741" s="47" t="n"/>
      <c r="N2741" s="47" t="inlineStr">
        <is>
          <t>UCKZo4N0lVPccBkSiuyVh4yg</t>
        </is>
      </c>
      <c r="O2741" s="48" t="n">
        <v>42244.12986111111</v>
      </c>
      <c r="P2741" s="49" t="n">
        <v>42243</v>
      </c>
      <c r="Q2741" s="47" t="n">
        <v>527</v>
      </c>
      <c r="R2741" s="47" t="inlineStr">
        <is>
          <t>No Video ID yet</t>
        </is>
      </c>
      <c r="S2741" s="49" t="n"/>
      <c r="T2741" s="49" t="n"/>
      <c r="U2741" s="47" t="inlineStr">
        <is>
          <t>Business Inquiries Only: CarlinBrosRTP@gmail.com</t>
        </is>
      </c>
      <c r="V2741" s="47">
        <f>IF(AND(P2741&gt;=Calendar!$K$2,P2741&lt;EDATE(Calendar!$K$2,1),OR(Calendar!$K$4="*",N2741=Calendar!$K$4)),P2741*100+COUNTIFS($P$6:$P$3267,P2741,$Q$6:$Q$3267,"&lt;="&amp;Q2741,$N$6:$N$3267,Calendar!$K$4),"")</f>
        <v/>
      </c>
      <c r="W2741" s="47">
        <f>IF(AND(B2741=Queue!$C$4,OR(Queue!$K$4="*",N2741=Queue!$K$4)),Q2741,"")</f>
        <v/>
      </c>
    </row>
    <row r="2742">
      <c r="A2742" s="38">
        <f>IF(M2742="","",HYPERLINK("https://www.youtube.com/watch?v="&amp;M2742,"▶"))</f>
        <v/>
      </c>
      <c r="B2742" s="39">
        <f>IF(C2742&lt;&gt;"",C2742,IF(P2742&lt;=IFERROR(INDEX(tblChannels[Watched Through],MATCH(N2742,tblChannels[Channel ID],0)),0),"Watched","Unwatched"))</f>
        <v/>
      </c>
      <c r="C2742" s="40" t="n"/>
      <c r="D2742" s="41" t="n"/>
      <c r="E2742" s="42" t="n">
        <v>42241.95972222222</v>
      </c>
      <c r="F2742" s="50" t="inlineStr">
        <is>
          <t>Super Carlin Brothers</t>
        </is>
      </c>
      <c r="G2742" t="inlineStr">
        <is>
          <t>Is Draco Malfoy a Werewolf!?</t>
        </is>
      </c>
      <c r="H2742" s="44" t="n">
        <v>0.004675925925925926</v>
      </c>
      <c r="I2742" s="45" t="n">
        <v>2425519</v>
      </c>
      <c r="J2742" s="45" t="n">
        <v>48284</v>
      </c>
      <c r="K2742" s="45" t="n">
        <v>7377</v>
      </c>
      <c r="L2742" s="46" t="n"/>
      <c r="M2742" s="47" t="n"/>
      <c r="N2742" s="47" t="inlineStr">
        <is>
          <t>UCKZo4N0lVPccBkSiuyVh4yg</t>
        </is>
      </c>
      <c r="O2742" s="48" t="n">
        <v>42242.12638888889</v>
      </c>
      <c r="P2742" s="49" t="n">
        <v>42241</v>
      </c>
      <c r="Q2742" s="47" t="n">
        <v>526</v>
      </c>
      <c r="R2742" s="47" t="inlineStr">
        <is>
          <t>No Video ID yet</t>
        </is>
      </c>
      <c r="S2742" s="49" t="n"/>
      <c r="T2742" s="49" t="n"/>
      <c r="U2742" s="47" t="inlineStr">
        <is>
          <t>Could it be true?? Tweet to @jk_rowling and lets find out! More info at Business Inquiries Only: CarlinBrosRTP@gmail.com</t>
        </is>
      </c>
      <c r="V2742" s="47">
        <f>IF(AND(P2742&gt;=Calendar!$K$2,P2742&lt;EDATE(Calendar!$K$2,1),OR(Calendar!$K$4="*",N2742=Calendar!$K$4)),P2742*100+COUNTIFS($P$6:$P$3267,P2742,$Q$6:$Q$3267,"&lt;="&amp;Q2742,$N$6:$N$3267,Calendar!$K$4),"")</f>
        <v/>
      </c>
      <c r="W2742" s="47">
        <f>IF(AND(B2742=Queue!$C$4,OR(Queue!$K$4="*",N2742=Queue!$K$4)),Q2742,"")</f>
        <v/>
      </c>
    </row>
    <row r="2743">
      <c r="A2743" s="38">
        <f>IF(M2743="","",HYPERLINK("https://www.youtube.com/watch?v="&amp;M2743,"▶"))</f>
        <v/>
      </c>
      <c r="B2743" s="39">
        <f>IF(C2743&lt;&gt;"",C2743,IF(P2743&lt;=IFERROR(INDEX(tblChannels[Watched Through],MATCH(N2743,tblChannels[Channel ID],0)),0),"Watched","Unwatched"))</f>
        <v/>
      </c>
      <c r="C2743" s="40" t="n"/>
      <c r="D2743" s="41" t="n"/>
      <c r="E2743" s="42" t="n">
        <v>42236.84097222222</v>
      </c>
      <c r="F2743" s="50" t="inlineStr">
        <is>
          <t>Super Carlin Brothers</t>
        </is>
      </c>
      <c r="G2743" t="inlineStr">
        <is>
          <t>Pixar Fast Facts: Brave</t>
        </is>
      </c>
      <c r="H2743" s="44" t="n">
        <v>0.001666666666666667</v>
      </c>
      <c r="I2743" s="45" t="n">
        <v>219043</v>
      </c>
      <c r="J2743" s="45" t="n">
        <v>4496</v>
      </c>
      <c r="K2743" s="45" t="n">
        <v>250</v>
      </c>
      <c r="L2743" s="46" t="n"/>
      <c r="M2743" s="47" t="n"/>
      <c r="N2743" s="47" t="inlineStr">
        <is>
          <t>UCKZo4N0lVPccBkSiuyVh4yg</t>
        </is>
      </c>
      <c r="O2743" s="48" t="n">
        <v>42237.00763888889</v>
      </c>
      <c r="P2743" s="49" t="n">
        <v>42236</v>
      </c>
      <c r="Q2743" s="47" t="n">
        <v>525</v>
      </c>
      <c r="R2743" s="47" t="inlineStr">
        <is>
          <t>No Video ID yet</t>
        </is>
      </c>
      <c r="S2743" s="49" t="n"/>
      <c r="T2743" s="49" t="n"/>
      <c r="U2743" s="47" t="inlineStr">
        <is>
          <t>Business Inquiries Only: CarlinBrosRTP@gmail.com</t>
        </is>
      </c>
      <c r="V2743" s="47">
        <f>IF(AND(P2743&gt;=Calendar!$K$2,P2743&lt;EDATE(Calendar!$K$2,1),OR(Calendar!$K$4="*",N2743=Calendar!$K$4)),P2743*100+COUNTIFS($P$6:$P$3267,P2743,$Q$6:$Q$3267,"&lt;="&amp;Q2743,$N$6:$N$3267,Calendar!$K$4),"")</f>
        <v/>
      </c>
      <c r="W2743" s="47">
        <f>IF(AND(B2743=Queue!$C$4,OR(Queue!$K$4="*",N2743=Queue!$K$4)),Q2743,"")</f>
        <v/>
      </c>
    </row>
    <row r="2744">
      <c r="A2744" s="38">
        <f>IF(M2744="","",HYPERLINK("https://www.youtube.com/watch?v="&amp;M2744,"▶"))</f>
        <v/>
      </c>
      <c r="B2744" s="39">
        <f>IF(C2744&lt;&gt;"",C2744,IF(P2744&lt;=IFERROR(INDEX(tblChannels[Watched Through],MATCH(N2744,tblChannels[Channel ID],0)),0),"Watched","Unwatched"))</f>
        <v/>
      </c>
      <c r="C2744" s="40" t="n"/>
      <c r="D2744" s="41" t="n"/>
      <c r="E2744" s="42" t="n">
        <v>42234.95277777778</v>
      </c>
      <c r="F2744" s="50" t="inlineStr">
        <is>
          <t>Super Carlin Brothers</t>
        </is>
      </c>
      <c r="G2744" t="inlineStr">
        <is>
          <t>What Does KRONOS Mean?</t>
        </is>
      </c>
      <c r="H2744" s="44" t="n">
        <v>0.004965277777777778</v>
      </c>
      <c r="I2744" s="45" t="n">
        <v>2551250</v>
      </c>
      <c r="J2744" s="45" t="n">
        <v>50778</v>
      </c>
      <c r="K2744" s="45" t="n">
        <v>7209</v>
      </c>
      <c r="L2744" s="46" t="n"/>
      <c r="M2744" s="47" t="n"/>
      <c r="N2744" s="47" t="inlineStr">
        <is>
          <t>UCKZo4N0lVPccBkSiuyVh4yg</t>
        </is>
      </c>
      <c r="O2744" s="48" t="n">
        <v>42235.11944444444</v>
      </c>
      <c r="P2744" s="49" t="n">
        <v>42234</v>
      </c>
      <c r="Q2744" s="47" t="n">
        <v>524</v>
      </c>
      <c r="R2744" s="47" t="inlineStr">
        <is>
          <t>No Video ID yet</t>
        </is>
      </c>
      <c r="S2744" s="49" t="n"/>
      <c r="T2744" s="49" t="n"/>
      <c r="U2744" s="47" t="inlineStr">
        <is>
          <t>The mysterious word "KRONOS" explained! Listen to us on The D-Cast: Get Awesome Socks :: Business Inquiries Only: jCarlinBrosRTP@gmail.com</t>
        </is>
      </c>
      <c r="V2744" s="47">
        <f>IF(AND(P2744&gt;=Calendar!$K$2,P2744&lt;EDATE(Calendar!$K$2,1),OR(Calendar!$K$4="*",N2744=Calendar!$K$4)),P2744*100+COUNTIFS($P$6:$P$3267,P2744,$Q$6:$Q$3267,"&lt;="&amp;Q2744,$N$6:$N$3267,Calendar!$K$4),"")</f>
        <v/>
      </c>
      <c r="W2744" s="47">
        <f>IF(AND(B2744=Queue!$C$4,OR(Queue!$K$4="*",N2744=Queue!$K$4)),Q2744,"")</f>
        <v/>
      </c>
    </row>
    <row r="2745">
      <c r="A2745" s="38">
        <f>IF(M2745="","",HYPERLINK("https://www.youtube.com/watch?v="&amp;M2745,"▶"))</f>
        <v/>
      </c>
      <c r="B2745" s="39">
        <f>IF(C2745&lt;&gt;"",C2745,IF(P2745&lt;=IFERROR(INDEX(tblChannels[Watched Through],MATCH(N2745,tblChannels[Channel ID],0)),0),"Watched","Unwatched"))</f>
        <v/>
      </c>
      <c r="C2745" s="40" t="n"/>
      <c r="D2745" s="41" t="n"/>
      <c r="E2745" s="42" t="n">
        <v>42229.91527777778</v>
      </c>
      <c r="F2745" s="50" t="inlineStr">
        <is>
          <t>Super Carlin Brothers</t>
        </is>
      </c>
      <c r="G2745" t="inlineStr">
        <is>
          <t>Pixar Fast Facts: Cars</t>
        </is>
      </c>
      <c r="H2745" s="44" t="n">
        <v>0.001805555555555555</v>
      </c>
      <c r="I2745" s="45" t="n">
        <v>211616</v>
      </c>
      <c r="J2745" s="45" t="n">
        <v>3537</v>
      </c>
      <c r="K2745" s="45" t="n">
        <v>287</v>
      </c>
      <c r="L2745" s="46" t="n"/>
      <c r="M2745" s="47" t="n"/>
      <c r="N2745" s="47" t="inlineStr">
        <is>
          <t>UCKZo4N0lVPccBkSiuyVh4yg</t>
        </is>
      </c>
      <c r="O2745" s="48" t="n">
        <v>42230.08194444444</v>
      </c>
      <c r="P2745" s="49" t="n">
        <v>42229</v>
      </c>
      <c r="Q2745" s="47" t="n">
        <v>523</v>
      </c>
      <c r="R2745" s="47" t="inlineStr">
        <is>
          <t>No Video ID yet</t>
        </is>
      </c>
      <c r="S2745" s="49" t="n"/>
      <c r="T2745" s="49" t="n"/>
      <c r="U2745" s="47" t="inlineStr">
        <is>
          <t>If you read description boxes, you should follow Ben on instagram! @bpcarlin Business Inquiries Only: CarlinBrosRTP@gmail.com</t>
        </is>
      </c>
      <c r="V2745" s="47">
        <f>IF(AND(P2745&gt;=Calendar!$K$2,P2745&lt;EDATE(Calendar!$K$2,1),OR(Calendar!$K$4="*",N2745=Calendar!$K$4)),P2745*100+COUNTIFS($P$6:$P$3267,P2745,$Q$6:$Q$3267,"&lt;="&amp;Q2745,$N$6:$N$3267,Calendar!$K$4),"")</f>
        <v/>
      </c>
      <c r="W2745" s="47">
        <f>IF(AND(B2745=Queue!$C$4,OR(Queue!$K$4="*",N2745=Queue!$K$4)),Q2745,"")</f>
        <v/>
      </c>
    </row>
    <row r="2746">
      <c r="A2746" s="38">
        <f>IF(M2746="","",HYPERLINK("https://www.youtube.com/watch?v="&amp;M2746,"▶"))</f>
        <v/>
      </c>
      <c r="B2746" s="39">
        <f>IF(C2746&lt;&gt;"",C2746,IF(P2746&lt;=IFERROR(INDEX(tblChannels[Watched Through],MATCH(N2746,tblChannels[Channel ID],0)),0),"Watched","Unwatched"))</f>
        <v/>
      </c>
      <c r="C2746" s="40" t="n"/>
      <c r="D2746" s="41" t="n"/>
      <c r="E2746" s="42" t="n">
        <v>42227.96944444445</v>
      </c>
      <c r="F2746" s="50" t="inlineStr">
        <is>
          <t>Super Carlin Brothers</t>
        </is>
      </c>
      <c r="G2746" t="inlineStr">
        <is>
          <t>Did Inside Out Reveal the Next iPhone?!</t>
        </is>
      </c>
      <c r="H2746" s="44" t="n">
        <v>0.003981481481481482</v>
      </c>
      <c r="I2746" s="45" t="n">
        <v>2543127</v>
      </c>
      <c r="J2746" s="45" t="n">
        <v>25789</v>
      </c>
      <c r="K2746" s="45" t="n">
        <v>5027</v>
      </c>
      <c r="L2746" s="46" t="n"/>
      <c r="M2746" s="47" t="n"/>
      <c r="N2746" s="47" t="inlineStr">
        <is>
          <t>UCKZo4N0lVPccBkSiuyVh4yg</t>
        </is>
      </c>
      <c r="O2746" s="48" t="n">
        <v>42228.13611111111</v>
      </c>
      <c r="P2746" s="49" t="n">
        <v>42227</v>
      </c>
      <c r="Q2746" s="47" t="n">
        <v>522</v>
      </c>
      <c r="R2746" s="47" t="inlineStr">
        <is>
          <t>No Video ID yet</t>
        </is>
      </c>
      <c r="S2746" s="49" t="n"/>
      <c r="T2746" s="49" t="n"/>
      <c r="U2746" s="47" t="inlineStr">
        <is>
          <t>Did Inside Out reveal the next iPhone??? Business Inquiries Only: CarlinBrosRTP@gmail.com</t>
        </is>
      </c>
      <c r="V2746" s="47">
        <f>IF(AND(P2746&gt;=Calendar!$K$2,P2746&lt;EDATE(Calendar!$K$2,1),OR(Calendar!$K$4="*",N2746=Calendar!$K$4)),P2746*100+COUNTIFS($P$6:$P$3267,P2746,$Q$6:$Q$3267,"&lt;="&amp;Q2746,$N$6:$N$3267,Calendar!$K$4),"")</f>
        <v/>
      </c>
      <c r="W2746" s="47">
        <f>IF(AND(B2746=Queue!$C$4,OR(Queue!$K$4="*",N2746=Queue!$K$4)),Q2746,"")</f>
        <v/>
      </c>
    </row>
    <row r="2747">
      <c r="A2747" s="38">
        <f>IF(M2747="","",HYPERLINK("https://www.youtube.com/watch?v="&amp;M2747,"▶"))</f>
        <v/>
      </c>
      <c r="B2747" s="39">
        <f>IF(C2747&lt;&gt;"",C2747,IF(P2747&lt;=IFERROR(INDEX(tblChannels[Watched Through],MATCH(N2747,tblChannels[Channel ID],0)),0),"Watched","Unwatched"))</f>
        <v/>
      </c>
      <c r="C2747" s="40" t="n"/>
      <c r="D2747" s="41" t="n"/>
      <c r="E2747" s="42" t="n">
        <v>42222.90277777778</v>
      </c>
      <c r="F2747" s="50" t="inlineStr">
        <is>
          <t>Super Carlin Brothers</t>
        </is>
      </c>
      <c r="G2747" t="inlineStr">
        <is>
          <t>Pixar Fast Facts: A Bug's Life</t>
        </is>
      </c>
      <c r="H2747" s="44" t="n">
        <v>0.001481481481481481</v>
      </c>
      <c r="I2747" s="45" t="n">
        <v>165272</v>
      </c>
      <c r="J2747" s="45" t="n">
        <v>3099</v>
      </c>
      <c r="K2747" s="45" t="n">
        <v>180</v>
      </c>
      <c r="L2747" s="46" t="n"/>
      <c r="M2747" s="47" t="n"/>
      <c r="N2747" s="47" t="inlineStr">
        <is>
          <t>UCKZo4N0lVPccBkSiuyVh4yg</t>
        </is>
      </c>
      <c r="O2747" s="48" t="n">
        <v>42223.06944444445</v>
      </c>
      <c r="P2747" s="49" t="n">
        <v>42222</v>
      </c>
      <c r="Q2747" s="47" t="n">
        <v>521</v>
      </c>
      <c r="R2747" s="47" t="inlineStr">
        <is>
          <t>No Video ID yet</t>
        </is>
      </c>
      <c r="S2747" s="49" t="n"/>
      <c r="T2747" s="49" t="n"/>
      <c r="U2747" s="47" t="inlineStr">
        <is>
          <t>Business Inquiries Only: CarlinBrosRTP@gmail.com</t>
        </is>
      </c>
      <c r="V2747" s="47">
        <f>IF(AND(P2747&gt;=Calendar!$K$2,P2747&lt;EDATE(Calendar!$K$2,1),OR(Calendar!$K$4="*",N2747=Calendar!$K$4)),P2747*100+COUNTIFS($P$6:$P$3267,P2747,$Q$6:$Q$3267,"&lt;="&amp;Q2747,$N$6:$N$3267,Calendar!$K$4),"")</f>
        <v/>
      </c>
      <c r="W2747" s="47">
        <f>IF(AND(B2747=Queue!$C$4,OR(Queue!$K$4="*",N2747=Queue!$K$4)),Q2747,"")</f>
        <v/>
      </c>
    </row>
    <row r="2748">
      <c r="A2748" s="38">
        <f>IF(M2748="","",HYPERLINK("https://www.youtube.com/watch?v="&amp;M2748,"▶"))</f>
        <v/>
      </c>
      <c r="B2748" s="39">
        <f>IF(C2748&lt;&gt;"",C2748,IF(P2748&lt;=IFERROR(INDEX(tblChannels[Watched Through],MATCH(N2748,tblChannels[Channel ID],0)),0),"Watched","Unwatched"))</f>
        <v/>
      </c>
      <c r="C2748" s="40" t="n"/>
      <c r="D2748" s="41" t="n"/>
      <c r="E2748" s="42" t="n">
        <v>42220.92083333333</v>
      </c>
      <c r="F2748" s="50" t="inlineStr">
        <is>
          <t>Super Carlin Brothers</t>
        </is>
      </c>
      <c r="G2748" t="inlineStr">
        <is>
          <t>Loot Crate Unboxing | Heroes 2</t>
        </is>
      </c>
      <c r="H2748" s="44" t="n">
        <v>0.0046875</v>
      </c>
      <c r="I2748" s="45" t="n">
        <v>100357</v>
      </c>
      <c r="J2748" s="45" t="n">
        <v>1958</v>
      </c>
      <c r="K2748" s="45" t="n">
        <v>263</v>
      </c>
      <c r="L2748" s="46" t="n"/>
      <c r="M2748" s="47" t="n"/>
      <c r="N2748" s="47" t="inlineStr">
        <is>
          <t>UCKZo4N0lVPccBkSiuyVh4yg</t>
        </is>
      </c>
      <c r="O2748" s="48" t="n">
        <v>42221.0875</v>
      </c>
      <c r="P2748" s="49" t="n">
        <v>42220</v>
      </c>
      <c r="Q2748" s="47" t="n">
        <v>520</v>
      </c>
      <c r="R2748" s="47" t="inlineStr">
        <is>
          <t>No Video ID yet</t>
        </is>
      </c>
      <c r="S2748" s="49" t="n"/>
      <c r="T2748" s="49" t="n"/>
      <c r="U2748" s="47" t="inlineStr">
        <is>
          <t>Want to get your own Loot Crate - Head over to Enter Promo Code: CARLIN for 10% off your order 'Like' us on Facebook: Business Inquiries Only: CarlinBrosRTP@gmail.com</t>
        </is>
      </c>
      <c r="V2748" s="47">
        <f>IF(AND(P2748&gt;=Calendar!$K$2,P2748&lt;EDATE(Calendar!$K$2,1),OR(Calendar!$K$4="*",N2748=Calendar!$K$4)),P2748*100+COUNTIFS($P$6:$P$3267,P2748,$Q$6:$Q$3267,"&lt;="&amp;Q2748,$N$6:$N$3267,Calendar!$K$4),"")</f>
        <v/>
      </c>
      <c r="W2748" s="47">
        <f>IF(AND(B2748=Queue!$C$4,OR(Queue!$K$4="*",N2748=Queue!$K$4)),Q2748,"")</f>
        <v/>
      </c>
    </row>
    <row r="2749">
      <c r="A2749" s="38">
        <f>IF(M2749="","",HYPERLINK("https://www.youtube.com/watch?v="&amp;M2749,"▶"))</f>
        <v/>
      </c>
      <c r="B2749" s="39">
        <f>IF(C2749&lt;&gt;"",C2749,IF(P2749&lt;=IFERROR(INDEX(tblChannels[Watched Through],MATCH(N2749,tblChannels[Channel ID],0)),0),"Watched","Unwatched"))</f>
        <v/>
      </c>
      <c r="C2749" s="40" t="n"/>
      <c r="D2749" s="41" t="n"/>
      <c r="E2749" s="42" t="n">
        <v>42215.98402777778</v>
      </c>
      <c r="F2749" s="50" t="inlineStr">
        <is>
          <t>Super Carlin Brothers</t>
        </is>
      </c>
      <c r="G2749" t="inlineStr">
        <is>
          <t>Pixar Fast Facts: Monsters University</t>
        </is>
      </c>
      <c r="H2749" s="44" t="n">
        <v>0.001782407407407407</v>
      </c>
      <c r="I2749" s="45" t="n">
        <v>234529</v>
      </c>
      <c r="J2749" s="45" t="n">
        <v>3763</v>
      </c>
      <c r="K2749" s="45" t="n">
        <v>179</v>
      </c>
      <c r="L2749" s="46" t="n"/>
      <c r="M2749" s="47" t="n"/>
      <c r="N2749" s="47" t="inlineStr">
        <is>
          <t>UCKZo4N0lVPccBkSiuyVh4yg</t>
        </is>
      </c>
      <c r="O2749" s="48" t="n">
        <v>42216.15069444444</v>
      </c>
      <c r="P2749" s="49" t="n">
        <v>42215</v>
      </c>
      <c r="Q2749" s="47" t="n">
        <v>519</v>
      </c>
      <c r="R2749" s="47" t="inlineStr">
        <is>
          <t>No Video ID yet</t>
        </is>
      </c>
      <c r="S2749" s="49" t="n"/>
      <c r="T2749" s="49" t="n"/>
      <c r="U2749" s="47" t="inlineStr">
        <is>
          <t>Follow Ben and J on Instagram! @bpcarlin @jonkerlin Business Inquiries Only: CarlinBrosRTP@gmail.com</t>
        </is>
      </c>
      <c r="V2749" s="47">
        <f>IF(AND(P2749&gt;=Calendar!$K$2,P2749&lt;EDATE(Calendar!$K$2,1),OR(Calendar!$K$4="*",N2749=Calendar!$K$4)),P2749*100+COUNTIFS($P$6:$P$3267,P2749,$Q$6:$Q$3267,"&lt;="&amp;Q2749,$N$6:$N$3267,Calendar!$K$4),"")</f>
        <v/>
      </c>
      <c r="W2749" s="47">
        <f>IF(AND(B2749=Queue!$C$4,OR(Queue!$K$4="*",N2749=Queue!$K$4)),Q2749,"")</f>
        <v/>
      </c>
    </row>
    <row r="2750">
      <c r="A2750" s="38">
        <f>IF(M2750="","",HYPERLINK("https://www.youtube.com/watch?v="&amp;M2750,"▶"))</f>
        <v/>
      </c>
      <c r="B2750" s="39">
        <f>IF(C2750&lt;&gt;"",C2750,IF(P2750&lt;=IFERROR(INDEX(tblChannels[Watched Through],MATCH(N2750,tblChannels[Channel ID],0)),0),"Watched","Unwatched"))</f>
        <v/>
      </c>
      <c r="C2750" s="40" t="n"/>
      <c r="D2750" s="41" t="n"/>
      <c r="E2750" s="42" t="n">
        <v>42213.99444444444</v>
      </c>
      <c r="F2750" s="50" t="inlineStr">
        <is>
          <t>Super Carlin Brothers</t>
        </is>
      </c>
      <c r="G2750" t="inlineStr">
        <is>
          <t>The Good Dinosaur Trailer | Review, Analysis and Predictions</t>
        </is>
      </c>
      <c r="H2750" s="44" t="n">
        <v>0.005381944444444444</v>
      </c>
      <c r="I2750" s="45" t="n">
        <v>167506</v>
      </c>
      <c r="J2750" s="45" t="n">
        <v>3767</v>
      </c>
      <c r="K2750" s="45" t="n">
        <v>575</v>
      </c>
      <c r="L2750" s="46" t="n"/>
      <c r="M2750" s="47" t="n"/>
      <c r="N2750" s="47" t="inlineStr">
        <is>
          <t>UCKZo4N0lVPccBkSiuyVh4yg</t>
        </is>
      </c>
      <c r="O2750" s="48" t="n">
        <v>42214.16111111111</v>
      </c>
      <c r="P2750" s="49" t="n">
        <v>42213</v>
      </c>
      <c r="Q2750" s="47" t="n">
        <v>518</v>
      </c>
      <c r="R2750" s="47" t="inlineStr">
        <is>
          <t>No Video ID yet</t>
        </is>
      </c>
      <c r="S2750" s="49" t="n"/>
      <c r="T2750" s="49" t="n"/>
      <c r="U2750" s="47" t="inlineStr">
        <is>
          <t>Good Dinosaur Trailer: Are you looking forward to this movie? What do you think of the Dino's animation?</t>
        </is>
      </c>
      <c r="V2750" s="47">
        <f>IF(AND(P2750&gt;=Calendar!$K$2,P2750&lt;EDATE(Calendar!$K$2,1),OR(Calendar!$K$4="*",N2750=Calendar!$K$4)),P2750*100+COUNTIFS($P$6:$P$3267,P2750,$Q$6:$Q$3267,"&lt;="&amp;Q2750,$N$6:$N$3267,Calendar!$K$4),"")</f>
        <v/>
      </c>
      <c r="W2750" s="47">
        <f>IF(AND(B2750=Queue!$C$4,OR(Queue!$K$4="*",N2750=Queue!$K$4)),Q2750,"")</f>
        <v/>
      </c>
    </row>
    <row r="2751">
      <c r="A2751" s="38">
        <f>IF(M2751="","",HYPERLINK("https://www.youtube.com/watch?v="&amp;M2751,"▶"))</f>
        <v/>
      </c>
      <c r="B2751" s="39">
        <f>IF(C2751&lt;&gt;"",C2751,IF(P2751&lt;=IFERROR(INDEX(tblChannels[Watched Through],MATCH(N2751,tblChannels[Channel ID],0)),0),"Watched","Unwatched"))</f>
        <v/>
      </c>
      <c r="C2751" s="40" t="n"/>
      <c r="D2751" s="41" t="n"/>
      <c r="E2751" s="42" t="n">
        <v>42208.75</v>
      </c>
      <c r="F2751" s="50" t="inlineStr">
        <is>
          <t>Super Carlin Brothers</t>
        </is>
      </c>
      <c r="G2751" t="inlineStr">
        <is>
          <t>Pixar Fast Facts: Toy Story 3</t>
        </is>
      </c>
      <c r="H2751" s="44" t="n">
        <v>0.00162037037037037</v>
      </c>
      <c r="I2751" s="45" t="n">
        <v>231484</v>
      </c>
      <c r="J2751" s="45" t="n">
        <v>3368</v>
      </c>
      <c r="K2751" s="45" t="n">
        <v>156</v>
      </c>
      <c r="L2751" s="46" t="n"/>
      <c r="M2751" s="47" t="n"/>
      <c r="N2751" s="47" t="inlineStr">
        <is>
          <t>UCKZo4N0lVPccBkSiuyVh4yg</t>
        </is>
      </c>
      <c r="O2751" s="48" t="n">
        <v>42208.91666666666</v>
      </c>
      <c r="P2751" s="49" t="n">
        <v>42208</v>
      </c>
      <c r="Q2751" s="47" t="n">
        <v>517</v>
      </c>
      <c r="R2751" s="47" t="inlineStr">
        <is>
          <t>No Video ID yet</t>
        </is>
      </c>
      <c r="S2751" s="49" t="n"/>
      <c r="T2751" s="49" t="n"/>
      <c r="U2751" s="47" t="n"/>
      <c r="V2751" s="47">
        <f>IF(AND(P2751&gt;=Calendar!$K$2,P2751&lt;EDATE(Calendar!$K$2,1),OR(Calendar!$K$4="*",N2751=Calendar!$K$4)),P2751*100+COUNTIFS($P$6:$P$3267,P2751,$Q$6:$Q$3267,"&lt;="&amp;Q2751,$N$6:$N$3267,Calendar!$K$4),"")</f>
        <v/>
      </c>
      <c r="W2751" s="47">
        <f>IF(AND(B2751=Queue!$C$4,OR(Queue!$K$4="*",N2751=Queue!$K$4)),Q2751,"")</f>
        <v/>
      </c>
    </row>
    <row r="2752">
      <c r="A2752" s="38">
        <f>IF(M2752="","",HYPERLINK("https://www.youtube.com/watch?v="&amp;M2752,"▶"))</f>
        <v/>
      </c>
      <c r="B2752" s="39">
        <f>IF(C2752&lt;&gt;"",C2752,IF(P2752&lt;=IFERROR(INDEX(tblChannels[Watched Through],MATCH(N2752,tblChannels[Channel ID],0)),0),"Watched","Unwatched"))</f>
        <v/>
      </c>
      <c r="C2752" s="40" t="n"/>
      <c r="D2752" s="41" t="n"/>
      <c r="E2752" s="42" t="n">
        <v>42206.75</v>
      </c>
      <c r="F2752" s="50" t="inlineStr">
        <is>
          <t>Super Carlin Brothers</t>
        </is>
      </c>
      <c r="G2752" t="inlineStr">
        <is>
          <t>Does Pizza Google Autofill</t>
        </is>
      </c>
      <c r="H2752" s="44" t="n">
        <v>0.003680555555555555</v>
      </c>
      <c r="I2752" s="45" t="n">
        <v>352276</v>
      </c>
      <c r="J2752" s="45" t="n">
        <v>5896</v>
      </c>
      <c r="K2752" s="45" t="n">
        <v>1733</v>
      </c>
      <c r="L2752" s="46" t="n"/>
      <c r="M2752" s="47" t="n"/>
      <c r="N2752" s="47" t="inlineStr">
        <is>
          <t>UCKZo4N0lVPccBkSiuyVh4yg</t>
        </is>
      </c>
      <c r="O2752" s="48" t="n">
        <v>42206.91666666666</v>
      </c>
      <c r="P2752" s="49" t="n">
        <v>42206</v>
      </c>
      <c r="Q2752" s="47" t="n">
        <v>516</v>
      </c>
      <c r="R2752" s="47" t="inlineStr">
        <is>
          <t>No Video ID yet</t>
        </is>
      </c>
      <c r="S2752" s="49" t="n"/>
      <c r="T2752" s="49" t="n"/>
      <c r="U2752" s="47" t="n"/>
      <c r="V2752" s="47">
        <f>IF(AND(P2752&gt;=Calendar!$K$2,P2752&lt;EDATE(Calendar!$K$2,1),OR(Calendar!$K$4="*",N2752=Calendar!$K$4)),P2752*100+COUNTIFS($P$6:$P$3267,P2752,$Q$6:$Q$3267,"&lt;="&amp;Q2752,$N$6:$N$3267,Calendar!$K$4),"")</f>
        <v/>
      </c>
      <c r="W2752" s="47">
        <f>IF(AND(B2752=Queue!$C$4,OR(Queue!$K$4="*",N2752=Queue!$K$4)),Q2752,"")</f>
        <v/>
      </c>
    </row>
    <row r="2753">
      <c r="A2753" s="38">
        <f>IF(M2753="","",HYPERLINK("https://www.youtube.com/watch?v="&amp;M2753,"▶"))</f>
        <v/>
      </c>
      <c r="B2753" s="39">
        <f>IF(C2753&lt;&gt;"",C2753,IF(P2753&lt;=IFERROR(INDEX(tblChannels[Watched Through],MATCH(N2753,tblChannels[Channel ID],0)),0),"Watched","Unwatched"))</f>
        <v/>
      </c>
      <c r="C2753" s="40" t="n"/>
      <c r="D2753" s="41" t="n"/>
      <c r="E2753" s="42" t="n">
        <v>42201.75</v>
      </c>
      <c r="F2753" s="50" t="inlineStr">
        <is>
          <t>Super Carlin Brothers</t>
        </is>
      </c>
      <c r="G2753" t="inlineStr">
        <is>
          <t>Pixar Fast Facts: Wall-E</t>
        </is>
      </c>
      <c r="H2753" s="44" t="n">
        <v>0.002106481481481481</v>
      </c>
      <c r="I2753" s="45" t="n">
        <v>220561</v>
      </c>
      <c r="J2753" s="45" t="n">
        <v>3818</v>
      </c>
      <c r="K2753" s="45" t="n">
        <v>196</v>
      </c>
      <c r="L2753" s="46" t="n"/>
      <c r="M2753" s="47" t="n"/>
      <c r="N2753" s="47" t="inlineStr">
        <is>
          <t>UCKZo4N0lVPccBkSiuyVh4yg</t>
        </is>
      </c>
      <c r="O2753" s="48" t="n">
        <v>42201.91666666666</v>
      </c>
      <c r="P2753" s="49" t="n">
        <v>42201</v>
      </c>
      <c r="Q2753" s="47" t="n">
        <v>515</v>
      </c>
      <c r="R2753" s="47" t="inlineStr">
        <is>
          <t>No Video ID yet</t>
        </is>
      </c>
      <c r="S2753" s="49" t="n"/>
      <c r="T2753" s="49" t="n"/>
      <c r="U2753" s="47" t="n"/>
      <c r="V2753" s="47">
        <f>IF(AND(P2753&gt;=Calendar!$K$2,P2753&lt;EDATE(Calendar!$K$2,1),OR(Calendar!$K$4="*",N2753=Calendar!$K$4)),P2753*100+COUNTIFS($P$6:$P$3267,P2753,$Q$6:$Q$3267,"&lt;="&amp;Q2753,$N$6:$N$3267,Calendar!$K$4),"")</f>
        <v/>
      </c>
      <c r="W2753" s="47">
        <f>IF(AND(B2753=Queue!$C$4,OR(Queue!$K$4="*",N2753=Queue!$K$4)),Q2753,"")</f>
        <v/>
      </c>
    </row>
    <row r="2754">
      <c r="A2754" s="38">
        <f>IF(M2754="","",HYPERLINK("https://www.youtube.com/watch?v="&amp;M2754,"▶"))</f>
        <v/>
      </c>
      <c r="B2754" s="39">
        <f>IF(C2754&lt;&gt;"",C2754,IF(P2754&lt;=IFERROR(INDEX(tblChannels[Watched Through],MATCH(N2754,tblChannels[Channel ID],0)),0),"Watched","Unwatched"))</f>
        <v/>
      </c>
      <c r="C2754" s="40" t="n"/>
      <c r="D2754" s="41" t="n"/>
      <c r="E2754" s="42" t="n">
        <v>42199.96180555555</v>
      </c>
      <c r="F2754" s="50" t="inlineStr">
        <is>
          <t>Super Carlin Brothers</t>
        </is>
      </c>
      <c r="G2754" t="inlineStr">
        <is>
          <t>Why Does Riley Have Male and Female Emotions!?</t>
        </is>
      </c>
      <c r="H2754" s="44" t="n">
        <v>0.004016203703703704</v>
      </c>
      <c r="I2754" s="45" t="n">
        <v>6493831</v>
      </c>
      <c r="J2754" s="45" t="n">
        <v>92609</v>
      </c>
      <c r="K2754" s="45" t="n">
        <v>27559</v>
      </c>
      <c r="L2754" s="46" t="n"/>
      <c r="M2754" s="47" t="n"/>
      <c r="N2754" s="47" t="inlineStr">
        <is>
          <t>UCKZo4N0lVPccBkSiuyVh4yg</t>
        </is>
      </c>
      <c r="O2754" s="48" t="n">
        <v>42200.12847222222</v>
      </c>
      <c r="P2754" s="49" t="n">
        <v>42199</v>
      </c>
      <c r="Q2754" s="47" t="n">
        <v>514</v>
      </c>
      <c r="R2754" s="47" t="inlineStr">
        <is>
          <t>No Video ID yet</t>
        </is>
      </c>
      <c r="S2754" s="49" t="n"/>
      <c r="T2754" s="49" t="n"/>
      <c r="U2754" s="47" t="inlineStr">
        <is>
          <t>Why do you think Riley has multi-gender emotions?? Article:</t>
        </is>
      </c>
      <c r="V2754" s="47">
        <f>IF(AND(P2754&gt;=Calendar!$K$2,P2754&lt;EDATE(Calendar!$K$2,1),OR(Calendar!$K$4="*",N2754=Calendar!$K$4)),P2754*100+COUNTIFS($P$6:$P$3267,P2754,$Q$6:$Q$3267,"&lt;="&amp;Q2754,$N$6:$N$3267,Calendar!$K$4),"")</f>
        <v/>
      </c>
      <c r="W2754" s="47">
        <f>IF(AND(B2754=Queue!$C$4,OR(Queue!$K$4="*",N2754=Queue!$K$4)),Q2754,"")</f>
        <v/>
      </c>
    </row>
    <row r="2755">
      <c r="A2755" s="38">
        <f>IF(M2755="","",HYPERLINK("https://www.youtube.com/watch?v="&amp;M2755,"▶"))</f>
        <v/>
      </c>
      <c r="B2755" s="39">
        <f>IF(C2755&lt;&gt;"",C2755,IF(P2755&lt;=IFERROR(INDEX(tblChannels[Watched Through],MATCH(N2755,tblChannels[Channel ID],0)),0),"Watched","Unwatched"))</f>
        <v/>
      </c>
      <c r="C2755" s="40" t="n"/>
      <c r="D2755" s="41" t="n"/>
      <c r="E2755" s="42" t="n">
        <v>42194.89166666667</v>
      </c>
      <c r="F2755" s="50" t="inlineStr">
        <is>
          <t>Super Carlin Brothers</t>
        </is>
      </c>
      <c r="G2755" t="inlineStr">
        <is>
          <t>Pixar Fast Facts: Inside Out</t>
        </is>
      </c>
      <c r="H2755" s="44" t="n">
        <v>0.001840277777777778</v>
      </c>
      <c r="I2755" s="45" t="n">
        <v>302670</v>
      </c>
      <c r="J2755" s="45" t="n">
        <v>4684</v>
      </c>
      <c r="K2755" s="45" t="n">
        <v>422</v>
      </c>
      <c r="L2755" s="46" t="n"/>
      <c r="M2755" s="47" t="n"/>
      <c r="N2755" s="47" t="inlineStr">
        <is>
          <t>UCKZo4N0lVPccBkSiuyVh4yg</t>
        </is>
      </c>
      <c r="O2755" s="48" t="n">
        <v>42195.05833333333</v>
      </c>
      <c r="P2755" s="49" t="n">
        <v>42194</v>
      </c>
      <c r="Q2755" s="47" t="n">
        <v>513</v>
      </c>
      <c r="R2755" s="47" t="inlineStr">
        <is>
          <t>No Video ID yet</t>
        </is>
      </c>
      <c r="S2755" s="49" t="n"/>
      <c r="T2755" s="49" t="n"/>
      <c r="U2755" s="47" t="n"/>
      <c r="V2755" s="47">
        <f>IF(AND(P2755&gt;=Calendar!$K$2,P2755&lt;EDATE(Calendar!$K$2,1),OR(Calendar!$K$4="*",N2755=Calendar!$K$4)),P2755*100+COUNTIFS($P$6:$P$3267,P2755,$Q$6:$Q$3267,"&lt;="&amp;Q2755,$N$6:$N$3267,Calendar!$K$4),"")</f>
        <v/>
      </c>
      <c r="W2755" s="47">
        <f>IF(AND(B2755=Queue!$C$4,OR(Queue!$K$4="*",N2755=Queue!$K$4)),Q2755,"")</f>
        <v/>
      </c>
    </row>
    <row r="2756">
      <c r="A2756" s="38">
        <f>IF(M2756="","",HYPERLINK("https://www.youtube.com/watch?v="&amp;M2756,"▶"))</f>
        <v/>
      </c>
      <c r="B2756" s="39">
        <f>IF(C2756&lt;&gt;"",C2756,IF(P2756&lt;=IFERROR(INDEX(tblChannels[Watched Through],MATCH(N2756,tblChannels[Channel ID],0)),0),"Watched","Unwatched"))</f>
        <v/>
      </c>
      <c r="C2756" s="40" t="n"/>
      <c r="D2756" s="41" t="n"/>
      <c r="E2756" s="42" t="n">
        <v>42192.94930555556</v>
      </c>
      <c r="F2756" s="50" t="inlineStr">
        <is>
          <t>Super Carlin Brothers</t>
        </is>
      </c>
      <c r="G2756" t="inlineStr">
        <is>
          <t>How Inside Out fits into The Pixar Theory</t>
        </is>
      </c>
      <c r="H2756" s="44" t="n">
        <v>0.004375</v>
      </c>
      <c r="I2756" s="45" t="n">
        <v>2545435</v>
      </c>
      <c r="J2756" s="45" t="n">
        <v>35520</v>
      </c>
      <c r="K2756" s="45" t="n">
        <v>2962</v>
      </c>
      <c r="L2756" s="46" t="n"/>
      <c r="M2756" s="47" t="n"/>
      <c r="N2756" s="47" t="inlineStr">
        <is>
          <t>UCKZo4N0lVPccBkSiuyVh4yg</t>
        </is>
      </c>
      <c r="O2756" s="48" t="n">
        <v>42193.11597222222</v>
      </c>
      <c r="P2756" s="49" t="n">
        <v>42192</v>
      </c>
      <c r="Q2756" s="47" t="n">
        <v>512</v>
      </c>
      <c r="R2756" s="47" t="inlineStr">
        <is>
          <t>No Video ID yet</t>
        </is>
      </c>
      <c r="S2756" s="49" t="n"/>
      <c r="T2756" s="49" t="n"/>
      <c r="U2756" s="47" t="inlineStr">
        <is>
          <t>How does Inside out fit into the Pixar Theory?!</t>
        </is>
      </c>
      <c r="V2756" s="47">
        <f>IF(AND(P2756&gt;=Calendar!$K$2,P2756&lt;EDATE(Calendar!$K$2,1),OR(Calendar!$K$4="*",N2756=Calendar!$K$4)),P2756*100+COUNTIFS($P$6:$P$3267,P2756,$Q$6:$Q$3267,"&lt;="&amp;Q2756,$N$6:$N$3267,Calendar!$K$4),"")</f>
        <v/>
      </c>
      <c r="W2756" s="47">
        <f>IF(AND(B2756=Queue!$C$4,OR(Queue!$K$4="*",N2756=Queue!$K$4)),Q2756,"")</f>
        <v/>
      </c>
    </row>
    <row r="2757">
      <c r="A2757" s="38">
        <f>IF(M2757="","",HYPERLINK("https://www.youtube.com/watch?v="&amp;M2757,"▶"))</f>
        <v/>
      </c>
      <c r="B2757" s="39">
        <f>IF(C2757&lt;&gt;"",C2757,IF(P2757&lt;=IFERROR(INDEX(tblChannels[Watched Through],MATCH(N2757,tblChannels[Channel ID],0)),0),"Watched","Unwatched"))</f>
        <v/>
      </c>
      <c r="C2757" s="40" t="n"/>
      <c r="D2757" s="41" t="n"/>
      <c r="E2757" s="42" t="n">
        <v>42187.91388888889</v>
      </c>
      <c r="F2757" s="50" t="inlineStr">
        <is>
          <t>Super Carlin Brothers</t>
        </is>
      </c>
      <c r="G2757" t="inlineStr">
        <is>
          <t>Pixar Fast Facts: Toy Story 2</t>
        </is>
      </c>
      <c r="H2757" s="44" t="n">
        <v>0.001944444444444444</v>
      </c>
      <c r="I2757" s="45" t="n">
        <v>199001</v>
      </c>
      <c r="J2757" s="45" t="n">
        <v>2741</v>
      </c>
      <c r="K2757" s="45" t="n">
        <v>143</v>
      </c>
      <c r="L2757" s="46" t="n"/>
      <c r="M2757" s="47" t="n"/>
      <c r="N2757" s="47" t="inlineStr">
        <is>
          <t>UCKZo4N0lVPccBkSiuyVh4yg</t>
        </is>
      </c>
      <c r="O2757" s="48" t="n">
        <v>42188.08055555556</v>
      </c>
      <c r="P2757" s="49" t="n">
        <v>42187</v>
      </c>
      <c r="Q2757" s="47" t="n">
        <v>511</v>
      </c>
      <c r="R2757" s="47" t="inlineStr">
        <is>
          <t>No Video ID yet</t>
        </is>
      </c>
      <c r="S2757" s="49" t="n"/>
      <c r="T2757" s="49" t="n"/>
      <c r="U2757" s="47" t="n"/>
      <c r="V2757" s="47">
        <f>IF(AND(P2757&gt;=Calendar!$K$2,P2757&lt;EDATE(Calendar!$K$2,1),OR(Calendar!$K$4="*",N2757=Calendar!$K$4)),P2757*100+COUNTIFS($P$6:$P$3267,P2757,$Q$6:$Q$3267,"&lt;="&amp;Q2757,$N$6:$N$3267,Calendar!$K$4),"")</f>
        <v/>
      </c>
      <c r="W2757" s="47">
        <f>IF(AND(B2757=Queue!$C$4,OR(Queue!$K$4="*",N2757=Queue!$K$4)),Q2757,"")</f>
        <v/>
      </c>
    </row>
    <row r="2758">
      <c r="A2758" s="38">
        <f>IF(M2758="","",HYPERLINK("https://www.youtube.com/watch?v="&amp;M2758,"▶"))</f>
        <v/>
      </c>
      <c r="B2758" s="39">
        <f>IF(C2758&lt;&gt;"",C2758,IF(P2758&lt;=IFERROR(INDEX(tblChannels[Watched Through],MATCH(N2758,tblChannels[Channel ID],0)),0),"Watched","Unwatched"))</f>
        <v/>
      </c>
      <c r="C2758" s="40" t="n"/>
      <c r="D2758" s="41" t="n"/>
      <c r="E2758" s="42" t="n">
        <v>42185.81527777778</v>
      </c>
      <c r="F2758" s="50" t="inlineStr">
        <is>
          <t>Super Carlin Brothers</t>
        </is>
      </c>
      <c r="G2758" t="inlineStr">
        <is>
          <t>LOOT CRATE UNBOXING | FEAT TYLER</t>
        </is>
      </c>
      <c r="H2758" s="44" t="n">
        <v>0.003680555555555555</v>
      </c>
      <c r="I2758" s="45" t="n">
        <v>89909</v>
      </c>
      <c r="J2758" s="45" t="n">
        <v>1594</v>
      </c>
      <c r="K2758" s="45" t="n">
        <v>222</v>
      </c>
      <c r="L2758" s="46" t="n"/>
      <c r="M2758" s="47" t="n"/>
      <c r="N2758" s="47" t="inlineStr">
        <is>
          <t>UCKZo4N0lVPccBkSiuyVh4yg</t>
        </is>
      </c>
      <c r="O2758" s="48" t="n">
        <v>42185.98194444444</v>
      </c>
      <c r="P2758" s="49" t="n">
        <v>42185</v>
      </c>
      <c r="Q2758" s="47" t="n">
        <v>510</v>
      </c>
      <c r="R2758" s="47" t="inlineStr">
        <is>
          <t>No Video ID yet</t>
        </is>
      </c>
      <c r="S2758" s="49" t="n"/>
      <c r="T2758" s="49" t="n"/>
      <c r="U2758" s="47" t="inlineStr">
        <is>
          <t>Man oh man, so while J is away on his honeymoon we had to call in the little guns. In the form of younger brother Tyler (yeah, there's a third one!) What'd you guys think! How'd Ty do?!</t>
        </is>
      </c>
      <c r="V2758" s="47">
        <f>IF(AND(P2758&gt;=Calendar!$K$2,P2758&lt;EDATE(Calendar!$K$2,1),OR(Calendar!$K$4="*",N2758=Calendar!$K$4)),P2758*100+COUNTIFS($P$6:$P$3267,P2758,$Q$6:$Q$3267,"&lt;="&amp;Q2758,$N$6:$N$3267,Calendar!$K$4),"")</f>
        <v/>
      </c>
      <c r="W2758" s="47">
        <f>IF(AND(B2758=Queue!$C$4,OR(Queue!$K$4="*",N2758=Queue!$K$4)),Q2758,"")</f>
        <v/>
      </c>
    </row>
    <row r="2759">
      <c r="A2759" s="38">
        <f>IF(M2759="","",HYPERLINK("https://www.youtube.com/watch?v="&amp;M2759,"▶"))</f>
        <v/>
      </c>
      <c r="B2759" s="39">
        <f>IF(C2759&lt;&gt;"",C2759,IF(P2759&lt;=IFERROR(INDEX(tblChannels[Watched Through],MATCH(N2759,tblChannels[Channel ID],0)),0),"Watched","Unwatched"))</f>
        <v/>
      </c>
      <c r="C2759" s="40" t="n"/>
      <c r="D2759" s="41" t="n"/>
      <c r="E2759" s="42" t="n">
        <v>42180.92847222222</v>
      </c>
      <c r="F2759" s="50" t="inlineStr">
        <is>
          <t>Super Carlin Brothers</t>
        </is>
      </c>
      <c r="G2759" t="inlineStr">
        <is>
          <t>Pixar Fast Facts: Up</t>
        </is>
      </c>
      <c r="H2759" s="44" t="n">
        <v>0.001851851851851852</v>
      </c>
      <c r="I2759" s="45" t="n">
        <v>174903</v>
      </c>
      <c r="J2759" s="45" t="n">
        <v>3204</v>
      </c>
      <c r="K2759" s="45" t="n">
        <v>278</v>
      </c>
      <c r="L2759" s="46" t="n"/>
      <c r="M2759" s="47" t="n"/>
      <c r="N2759" s="47" t="inlineStr">
        <is>
          <t>UCKZo4N0lVPccBkSiuyVh4yg</t>
        </is>
      </c>
      <c r="O2759" s="48" t="n">
        <v>42181.09513888889</v>
      </c>
      <c r="P2759" s="49" t="n">
        <v>42180</v>
      </c>
      <c r="Q2759" s="47" t="n">
        <v>509</v>
      </c>
      <c r="R2759" s="47" t="inlineStr">
        <is>
          <t>No Video ID yet</t>
        </is>
      </c>
      <c r="S2759" s="49" t="n"/>
      <c r="T2759" s="49" t="n"/>
      <c r="U2759" s="47" t="inlineStr">
        <is>
          <t>What was your favorite Up moment?!</t>
        </is>
      </c>
      <c r="V2759" s="47">
        <f>IF(AND(P2759&gt;=Calendar!$K$2,P2759&lt;EDATE(Calendar!$K$2,1),OR(Calendar!$K$4="*",N2759=Calendar!$K$4)),P2759*100+COUNTIFS($P$6:$P$3267,P2759,$Q$6:$Q$3267,"&lt;="&amp;Q2759,$N$6:$N$3267,Calendar!$K$4),"")</f>
        <v/>
      </c>
      <c r="W2759" s="47">
        <f>IF(AND(B2759=Queue!$C$4,OR(Queue!$K$4="*",N2759=Queue!$K$4)),Q2759,"")</f>
        <v/>
      </c>
    </row>
    <row r="2760">
      <c r="A2760" s="38">
        <f>IF(M2760="","",HYPERLINK("https://www.youtube.com/watch?v="&amp;M2760,"▶"))</f>
        <v/>
      </c>
      <c r="B2760" s="39">
        <f>IF(C2760&lt;&gt;"",C2760,IF(P2760&lt;=IFERROR(INDEX(tblChannels[Watched Through],MATCH(N2760,tblChannels[Channel ID],0)),0),"Watched","Unwatched"))</f>
        <v/>
      </c>
      <c r="C2760" s="40" t="n"/>
      <c r="D2760" s="41" t="n"/>
      <c r="E2760" s="42" t="n">
        <v>42178.75</v>
      </c>
      <c r="F2760" s="50" t="inlineStr">
        <is>
          <t>Super Carlin Brothers</t>
        </is>
      </c>
      <c r="G2760" t="inlineStr">
        <is>
          <t>Ask J and Beth! Inside Out and #SuperCarlinWedding</t>
        </is>
      </c>
      <c r="H2760" s="44" t="n">
        <v>0.00494212962962963</v>
      </c>
      <c r="I2760" s="45" t="n">
        <v>142440</v>
      </c>
      <c r="J2760" s="45" t="n">
        <v>3285</v>
      </c>
      <c r="K2760" s="45" t="n">
        <v>566</v>
      </c>
      <c r="L2760" s="46" t="n"/>
      <c r="M2760" s="47" t="n"/>
      <c r="N2760" s="47" t="inlineStr">
        <is>
          <t>UCKZo4N0lVPccBkSiuyVh4yg</t>
        </is>
      </c>
      <c r="O2760" s="48" t="n">
        <v>42178.91666666666</v>
      </c>
      <c r="P2760" s="49" t="n">
        <v>42178</v>
      </c>
      <c r="Q2760" s="47" t="n">
        <v>508</v>
      </c>
      <c r="R2760" s="47" t="inlineStr">
        <is>
          <t>No Video ID yet</t>
        </is>
      </c>
      <c r="S2760" s="49" t="n"/>
      <c r="T2760" s="49" t="n"/>
      <c r="U2760" s="47" t="inlineStr">
        <is>
          <t>Have you seen Inside Out? Who was your favorite Emotion?? Follow the #SuperCarlinWedding ::</t>
        </is>
      </c>
      <c r="V2760" s="47">
        <f>IF(AND(P2760&gt;=Calendar!$K$2,P2760&lt;EDATE(Calendar!$K$2,1),OR(Calendar!$K$4="*",N2760=Calendar!$K$4)),P2760*100+COUNTIFS($P$6:$P$3267,P2760,$Q$6:$Q$3267,"&lt;="&amp;Q2760,$N$6:$N$3267,Calendar!$K$4),"")</f>
        <v/>
      </c>
      <c r="W2760" s="47">
        <f>IF(AND(B2760=Queue!$C$4,OR(Queue!$K$4="*",N2760=Queue!$K$4)),Q2760,"")</f>
        <v/>
      </c>
    </row>
    <row r="2761">
      <c r="A2761" s="38">
        <f>IF(M2761="","",HYPERLINK("https://www.youtube.com/watch?v="&amp;M2761,"▶"))</f>
        <v/>
      </c>
      <c r="B2761" s="39">
        <f>IF(C2761&lt;&gt;"",C2761,IF(P2761&lt;=IFERROR(INDEX(tblChannels[Watched Through],MATCH(N2761,tblChannels[Channel ID],0)),0),"Watched","Unwatched"))</f>
        <v/>
      </c>
      <c r="C2761" s="40" t="n"/>
      <c r="D2761" s="41" t="n"/>
      <c r="E2761" s="42" t="n">
        <v>42173.99097222222</v>
      </c>
      <c r="F2761" s="50" t="inlineStr">
        <is>
          <t>Super Carlin Brothers</t>
        </is>
      </c>
      <c r="G2761" t="inlineStr">
        <is>
          <t>Pixar Fast Facts: Monsters Inc</t>
        </is>
      </c>
      <c r="H2761" s="44" t="n">
        <v>0.001886574074074074</v>
      </c>
      <c r="I2761" s="45" t="n">
        <v>202145</v>
      </c>
      <c r="J2761" s="45" t="n">
        <v>2916</v>
      </c>
      <c r="K2761" s="45" t="n">
        <v>252</v>
      </c>
      <c r="L2761" s="46" t="n"/>
      <c r="M2761" s="47" t="n"/>
      <c r="N2761" s="47" t="inlineStr">
        <is>
          <t>UCKZo4N0lVPccBkSiuyVh4yg</t>
        </is>
      </c>
      <c r="O2761" s="48" t="n">
        <v>42174.15763888889</v>
      </c>
      <c r="P2761" s="49" t="n">
        <v>42173</v>
      </c>
      <c r="Q2761" s="47" t="n">
        <v>507</v>
      </c>
      <c r="R2761" s="47" t="inlineStr">
        <is>
          <t>No Video ID yet</t>
        </is>
      </c>
      <c r="S2761" s="49" t="n"/>
      <c r="T2761" s="49" t="n"/>
      <c r="U2761" s="47" t="inlineStr">
        <is>
          <t>And so the hunt for the ever-elusive Monsters Inc A113 Begins!!</t>
        </is>
      </c>
      <c r="V2761" s="47">
        <f>IF(AND(P2761&gt;=Calendar!$K$2,P2761&lt;EDATE(Calendar!$K$2,1),OR(Calendar!$K$4="*",N2761=Calendar!$K$4)),P2761*100+COUNTIFS($P$6:$P$3267,P2761,$Q$6:$Q$3267,"&lt;="&amp;Q2761,$N$6:$N$3267,Calendar!$K$4),"")</f>
        <v/>
      </c>
      <c r="W2761" s="47">
        <f>IF(AND(B2761=Queue!$C$4,OR(Queue!$K$4="*",N2761=Queue!$K$4)),Q2761,"")</f>
        <v/>
      </c>
    </row>
    <row r="2762">
      <c r="A2762" s="38">
        <f>IF(M2762="","",HYPERLINK("https://www.youtube.com/watch?v="&amp;M2762,"▶"))</f>
        <v/>
      </c>
      <c r="B2762" s="39">
        <f>IF(C2762&lt;&gt;"",C2762,IF(P2762&lt;=IFERROR(INDEX(tblChannels[Watched Through],MATCH(N2762,tblChannels[Channel ID],0)),0),"Watched","Unwatched"))</f>
        <v/>
      </c>
      <c r="C2762" s="40" t="n"/>
      <c r="D2762" s="41" t="n"/>
      <c r="E2762" s="42" t="n">
        <v>42171.92569444444</v>
      </c>
      <c r="F2762" s="50" t="inlineStr">
        <is>
          <t>Super Carlin Brothers</t>
        </is>
      </c>
      <c r="G2762" t="inlineStr">
        <is>
          <t>The Utah Teapot and 100,000 Subscribers!</t>
        </is>
      </c>
      <c r="H2762" s="44" t="n">
        <v>0.003877314814814815</v>
      </c>
      <c r="I2762" s="45" t="n">
        <v>409360</v>
      </c>
      <c r="J2762" s="45" t="n">
        <v>9313</v>
      </c>
      <c r="K2762" s="45" t="n">
        <v>1311</v>
      </c>
      <c r="L2762" s="46" t="n"/>
      <c r="M2762" s="47" t="n"/>
      <c r="N2762" s="47" t="inlineStr">
        <is>
          <t>UCKZo4N0lVPccBkSiuyVh4yg</t>
        </is>
      </c>
      <c r="O2762" s="48" t="n">
        <v>42172.09236111111</v>
      </c>
      <c r="P2762" s="49" t="n">
        <v>42171</v>
      </c>
      <c r="Q2762" s="47" t="n">
        <v>506</v>
      </c>
      <c r="R2762" s="47" t="inlineStr">
        <is>
          <t>No Video ID yet</t>
        </is>
      </c>
      <c r="S2762" s="49" t="n"/>
      <c r="T2762" s="49" t="n"/>
      <c r="U2762" s="47" t="inlineStr">
        <is>
          <t>Let us know if you find the teapot!! Purchase Tickets Here: Facebook Event:</t>
        </is>
      </c>
      <c r="V2762" s="47">
        <f>IF(AND(P2762&gt;=Calendar!$K$2,P2762&lt;EDATE(Calendar!$K$2,1),OR(Calendar!$K$4="*",N2762=Calendar!$K$4)),P2762*100+COUNTIFS($P$6:$P$3267,P2762,$Q$6:$Q$3267,"&lt;="&amp;Q2762,$N$6:$N$3267,Calendar!$K$4),"")</f>
        <v/>
      </c>
      <c r="W2762" s="47">
        <f>IF(AND(B2762=Queue!$C$4,OR(Queue!$K$4="*",N2762=Queue!$K$4)),Q2762,"")</f>
        <v/>
      </c>
    </row>
    <row r="2763">
      <c r="A2763" s="38">
        <f>IF(M2763="","",HYPERLINK("https://www.youtube.com/watch?v="&amp;M2763,"▶"))</f>
        <v/>
      </c>
      <c r="B2763" s="39">
        <f>IF(C2763&lt;&gt;"",C2763,IF(P2763&lt;=IFERROR(INDEX(tblChannels[Watched Through],MATCH(N2763,tblChannels[Channel ID],0)),0),"Watched","Unwatched"))</f>
        <v/>
      </c>
      <c r="C2763" s="40" t="n"/>
      <c r="D2763" s="41" t="n"/>
      <c r="E2763" s="42" t="n">
        <v>42166.90416666667</v>
      </c>
      <c r="F2763" s="50" t="inlineStr">
        <is>
          <t>Super Carlin Brothers</t>
        </is>
      </c>
      <c r="G2763" t="inlineStr">
        <is>
          <t>Pixar Fast Facts: Finding Nemo</t>
        </is>
      </c>
      <c r="H2763" s="44" t="n">
        <v>0.001643518518518519</v>
      </c>
      <c r="I2763" s="45" t="n">
        <v>199098</v>
      </c>
      <c r="J2763" s="45" t="n">
        <v>2959</v>
      </c>
      <c r="K2763" s="45" t="n">
        <v>143</v>
      </c>
      <c r="L2763" s="46" t="n"/>
      <c r="M2763" s="47" t="n"/>
      <c r="N2763" s="47" t="inlineStr">
        <is>
          <t>UCKZo4N0lVPccBkSiuyVh4yg</t>
        </is>
      </c>
      <c r="O2763" s="48" t="n">
        <v>42167.07083333333</v>
      </c>
      <c r="P2763" s="49" t="n">
        <v>42166</v>
      </c>
      <c r="Q2763" s="47" t="n">
        <v>505</v>
      </c>
      <c r="R2763" s="47" t="inlineStr">
        <is>
          <t>No Video ID yet</t>
        </is>
      </c>
      <c r="S2763" s="49" t="n"/>
      <c r="T2763" s="49" t="n"/>
      <c r="U2763" s="47" t="n"/>
      <c r="V2763" s="47">
        <f>IF(AND(P2763&gt;=Calendar!$K$2,P2763&lt;EDATE(Calendar!$K$2,1),OR(Calendar!$K$4="*",N2763=Calendar!$K$4)),P2763*100+COUNTIFS($P$6:$P$3267,P2763,$Q$6:$Q$3267,"&lt;="&amp;Q2763,$N$6:$N$3267,Calendar!$K$4),"")</f>
        <v/>
      </c>
      <c r="W2763" s="47">
        <f>IF(AND(B2763=Queue!$C$4,OR(Queue!$K$4="*",N2763=Queue!$K$4)),Q2763,"")</f>
        <v/>
      </c>
    </row>
    <row r="2764">
      <c r="A2764" s="38">
        <f>IF(M2764="","",HYPERLINK("https://www.youtube.com/watch?v="&amp;M2764,"▶"))</f>
        <v/>
      </c>
      <c r="B2764" s="39">
        <f>IF(C2764&lt;&gt;"",C2764,IF(P2764&lt;=IFERROR(INDEX(tblChannels[Watched Through],MATCH(N2764,tblChannels[Channel ID],0)),0),"Watched","Unwatched"))</f>
        <v/>
      </c>
      <c r="C2764" s="40" t="n"/>
      <c r="D2764" s="41" t="n"/>
      <c r="E2764" s="42" t="n">
        <v>42164.99583333333</v>
      </c>
      <c r="F2764" s="50" t="inlineStr">
        <is>
          <t>Super Carlin Brothers</t>
        </is>
      </c>
      <c r="G2764" t="inlineStr">
        <is>
          <t>Top 10 Things To Look For In Inside Out</t>
        </is>
      </c>
      <c r="H2764" s="44" t="n">
        <v>0.004583333333333333</v>
      </c>
      <c r="I2764" s="45" t="n">
        <v>888751</v>
      </c>
      <c r="J2764" s="45" t="n">
        <v>9810</v>
      </c>
      <c r="K2764" s="45" t="n">
        <v>1588</v>
      </c>
      <c r="L2764" s="46" t="n"/>
      <c r="M2764" s="47" t="n"/>
      <c r="N2764" s="47" t="inlineStr">
        <is>
          <t>UCKZo4N0lVPccBkSiuyVh4yg</t>
        </is>
      </c>
      <c r="O2764" s="48" t="n">
        <v>42165.1625</v>
      </c>
      <c r="P2764" s="49" t="n">
        <v>42164</v>
      </c>
      <c r="Q2764" s="47" t="n">
        <v>504</v>
      </c>
      <c r="R2764" s="47" t="inlineStr">
        <is>
          <t>No Video ID yet</t>
        </is>
      </c>
      <c r="S2764" s="49" t="n"/>
      <c r="T2764" s="49" t="n"/>
      <c r="U2764" s="47" t="inlineStr">
        <is>
          <t>Come see Inside Out with Us: Jon Negroni Post:</t>
        </is>
      </c>
      <c r="V2764" s="47">
        <f>IF(AND(P2764&gt;=Calendar!$K$2,P2764&lt;EDATE(Calendar!$K$2,1),OR(Calendar!$K$4="*",N2764=Calendar!$K$4)),P2764*100+COUNTIFS($P$6:$P$3267,P2764,$Q$6:$Q$3267,"&lt;="&amp;Q2764,$N$6:$N$3267,Calendar!$K$4),"")</f>
        <v/>
      </c>
      <c r="W2764" s="47">
        <f>IF(AND(B2764=Queue!$C$4,OR(Queue!$K$4="*",N2764=Queue!$K$4)),Q2764,"")</f>
        <v/>
      </c>
    </row>
    <row r="2765">
      <c r="A2765" s="38">
        <f>IF(M2765="","",HYPERLINK("https://www.youtube.com/watch?v="&amp;M2765,"▶"))</f>
        <v/>
      </c>
      <c r="B2765" s="39">
        <f>IF(C2765&lt;&gt;"",C2765,IF(P2765&lt;=IFERROR(INDEX(tblChannels[Watched Through],MATCH(N2765,tblChannels[Channel ID],0)),0),"Watched","Unwatched"))</f>
        <v/>
      </c>
      <c r="C2765" s="40" t="n"/>
      <c r="D2765" s="41" t="n"/>
      <c r="E2765" s="42" t="n">
        <v>42159.94027777778</v>
      </c>
      <c r="F2765" s="50" t="inlineStr">
        <is>
          <t>Super Carlin Brothers</t>
        </is>
      </c>
      <c r="G2765" t="inlineStr">
        <is>
          <t>Pixar Fast Facts: Toy Story</t>
        </is>
      </c>
      <c r="H2765" s="44" t="n">
        <v>0.001643518518518519</v>
      </c>
      <c r="I2765" s="45" t="n">
        <v>143854</v>
      </c>
      <c r="J2765" s="45" t="n">
        <v>2388</v>
      </c>
      <c r="K2765" s="45" t="n">
        <v>88</v>
      </c>
      <c r="L2765" s="46" t="n"/>
      <c r="M2765" s="47" t="n"/>
      <c r="N2765" s="47" t="inlineStr">
        <is>
          <t>UCKZo4N0lVPccBkSiuyVh4yg</t>
        </is>
      </c>
      <c r="O2765" s="48" t="n">
        <v>42160.10694444444</v>
      </c>
      <c r="P2765" s="49" t="n">
        <v>42159</v>
      </c>
      <c r="Q2765" s="47" t="n">
        <v>503</v>
      </c>
      <c r="R2765" s="47" t="inlineStr">
        <is>
          <t>No Video ID yet</t>
        </is>
      </c>
      <c r="S2765" s="49" t="n"/>
      <c r="T2765" s="49" t="n"/>
      <c r="U2765" s="47" t="n"/>
      <c r="V2765" s="47">
        <f>IF(AND(P2765&gt;=Calendar!$K$2,P2765&lt;EDATE(Calendar!$K$2,1),OR(Calendar!$K$4="*",N2765=Calendar!$K$4)),P2765*100+COUNTIFS($P$6:$P$3267,P2765,$Q$6:$Q$3267,"&lt;="&amp;Q2765,$N$6:$N$3267,Calendar!$K$4),"")</f>
        <v/>
      </c>
      <c r="W2765" s="47">
        <f>IF(AND(B2765=Queue!$C$4,OR(Queue!$K$4="*",N2765=Queue!$K$4)),Q2765,"")</f>
        <v/>
      </c>
    </row>
    <row r="2766">
      <c r="A2766" s="38">
        <f>IF(M2766="","",HYPERLINK("https://www.youtube.com/watch?v="&amp;M2766,"▶"))</f>
        <v/>
      </c>
      <c r="B2766" s="39">
        <f>IF(C2766&lt;&gt;"",C2766,IF(P2766&lt;=IFERROR(INDEX(tblChannels[Watched Through],MATCH(N2766,tblChannels[Channel ID],0)),0),"Watched","Unwatched"))</f>
        <v/>
      </c>
      <c r="C2766" s="40" t="n"/>
      <c r="D2766" s="41" t="n"/>
      <c r="E2766" s="42" t="n">
        <v>42157.9875</v>
      </c>
      <c r="F2766" s="50" t="inlineStr">
        <is>
          <t>Super Carlin Brothers</t>
        </is>
      </c>
      <c r="G2766" t="inlineStr">
        <is>
          <t>Does Captain America Google Autofill</t>
        </is>
      </c>
      <c r="H2766" s="44" t="n">
        <v>0.003518518518518518</v>
      </c>
      <c r="I2766" s="45" t="n">
        <v>265920</v>
      </c>
      <c r="J2766" s="45" t="n">
        <v>4292</v>
      </c>
      <c r="K2766" s="45" t="n">
        <v>883</v>
      </c>
      <c r="L2766" s="46" t="n"/>
      <c r="M2766" s="47" t="n"/>
      <c r="N2766" s="47" t="inlineStr">
        <is>
          <t>UCKZo4N0lVPccBkSiuyVh4yg</t>
        </is>
      </c>
      <c r="O2766" s="48" t="n">
        <v>42158.15416666667</v>
      </c>
      <c r="P2766" s="49" t="n">
        <v>42157</v>
      </c>
      <c r="Q2766" s="47" t="n">
        <v>502</v>
      </c>
      <c r="R2766" s="47" t="inlineStr">
        <is>
          <t>No Video ID yet</t>
        </is>
      </c>
      <c r="S2766" s="49" t="n"/>
      <c r="T2766" s="49" t="n"/>
      <c r="U2766" s="47" t="inlineStr">
        <is>
          <t>Seriously, what is up with Thor's Hammer?</t>
        </is>
      </c>
      <c r="V2766" s="47">
        <f>IF(AND(P2766&gt;=Calendar!$K$2,P2766&lt;EDATE(Calendar!$K$2,1),OR(Calendar!$K$4="*",N2766=Calendar!$K$4)),P2766*100+COUNTIFS($P$6:$P$3267,P2766,$Q$6:$Q$3267,"&lt;="&amp;Q2766,$N$6:$N$3267,Calendar!$K$4),"")</f>
        <v/>
      </c>
      <c r="W2766" s="47">
        <f>IF(AND(B2766=Queue!$C$4,OR(Queue!$K$4="*",N2766=Queue!$K$4)),Q2766,"")</f>
        <v/>
      </c>
    </row>
    <row r="2767">
      <c r="A2767" s="38">
        <f>IF(M2767="","",HYPERLINK("https://www.youtube.com/watch?v="&amp;M2767,"▶"))</f>
        <v/>
      </c>
      <c r="B2767" s="39">
        <f>IF(C2767&lt;&gt;"",C2767,IF(P2767&lt;=IFERROR(INDEX(tblChannels[Watched Through],MATCH(N2767,tblChannels[Channel ID],0)),0),"Watched","Unwatched"))</f>
        <v/>
      </c>
      <c r="C2767" s="40" t="n"/>
      <c r="D2767" s="41" t="n"/>
      <c r="E2767" s="42" t="n">
        <v>42152.96736111111</v>
      </c>
      <c r="F2767" s="50" t="inlineStr">
        <is>
          <t>Super Carlin Brothers</t>
        </is>
      </c>
      <c r="G2767" t="inlineStr">
        <is>
          <t>Pixar Fast Facts: The Incredibles</t>
        </is>
      </c>
      <c r="H2767" s="44" t="n">
        <v>0.001967592592592592</v>
      </c>
      <c r="I2767" s="45" t="n">
        <v>248996</v>
      </c>
      <c r="J2767" s="45" t="n">
        <v>3917</v>
      </c>
      <c r="K2767" s="45" t="n">
        <v>229</v>
      </c>
      <c r="L2767" s="46" t="n"/>
      <c r="M2767" s="47" t="n"/>
      <c r="N2767" s="47" t="inlineStr">
        <is>
          <t>UCKZo4N0lVPccBkSiuyVh4yg</t>
        </is>
      </c>
      <c r="O2767" s="48" t="n">
        <v>42153.13402777778</v>
      </c>
      <c r="P2767" s="49" t="n">
        <v>42152</v>
      </c>
      <c r="Q2767" s="47" t="n">
        <v>501</v>
      </c>
      <c r="R2767" s="47" t="inlineStr">
        <is>
          <t>No Video ID yet</t>
        </is>
      </c>
      <c r="S2767" s="49" t="n"/>
      <c r="T2767" s="49" t="n"/>
      <c r="U2767" s="47" t="n"/>
      <c r="V2767" s="47">
        <f>IF(AND(P2767&gt;=Calendar!$K$2,P2767&lt;EDATE(Calendar!$K$2,1),OR(Calendar!$K$4="*",N2767=Calendar!$K$4)),P2767*100+COUNTIFS($P$6:$P$3267,P2767,$Q$6:$Q$3267,"&lt;="&amp;Q2767,$N$6:$N$3267,Calendar!$K$4),"")</f>
        <v/>
      </c>
      <c r="W2767" s="47">
        <f>IF(AND(B2767=Queue!$C$4,OR(Queue!$K$4="*",N2767=Queue!$K$4)),Q2767,"")</f>
        <v/>
      </c>
    </row>
    <row r="2768">
      <c r="A2768" s="38">
        <f>IF(M2768="","",HYPERLINK("https://www.youtube.com/watch?v="&amp;M2768,"▶"))</f>
        <v/>
      </c>
      <c r="B2768" s="39">
        <f>IF(C2768&lt;&gt;"",C2768,IF(P2768&lt;=IFERROR(INDEX(tblChannels[Watched Through],MATCH(N2768,tblChannels[Channel ID],0)),0),"Watched","Unwatched"))</f>
        <v/>
      </c>
      <c r="C2768" s="40" t="n"/>
      <c r="D2768" s="41" t="n"/>
      <c r="E2768" s="42" t="n">
        <v>42150.90972222222</v>
      </c>
      <c r="F2768" s="50" t="inlineStr">
        <is>
          <t>Super Carlin Brothers</t>
        </is>
      </c>
      <c r="G2768" t="inlineStr">
        <is>
          <t>The Faulty Thermometer - My First Video</t>
        </is>
      </c>
      <c r="H2768" s="44" t="n">
        <v>0.003344907407407408</v>
      </c>
      <c r="I2768" s="45" t="n">
        <v>57192</v>
      </c>
      <c r="J2768" s="45" t="n">
        <v>1477</v>
      </c>
      <c r="K2768" s="45" t="n">
        <v>268</v>
      </c>
      <c r="L2768" s="46" t="n"/>
      <c r="M2768" s="47" t="n"/>
      <c r="N2768" s="47" t="inlineStr">
        <is>
          <t>UCKZo4N0lVPccBkSiuyVh4yg</t>
        </is>
      </c>
      <c r="O2768" s="48" t="n">
        <v>42151.07638888889</v>
      </c>
      <c r="P2768" s="49" t="n">
        <v>42150</v>
      </c>
      <c r="Q2768" s="47" t="n">
        <v>500</v>
      </c>
      <c r="R2768" s="47" t="inlineStr">
        <is>
          <t>No Video ID yet</t>
        </is>
      </c>
      <c r="S2768" s="49" t="n"/>
      <c r="T2768" s="49" t="n"/>
      <c r="U2768" s="47" t="inlineStr">
        <is>
          <t>Having a bit of a sick day =( .. Hope you enjoy the first video I ever made, we've come a long way!</t>
        </is>
      </c>
      <c r="V2768" s="47">
        <f>IF(AND(P2768&gt;=Calendar!$K$2,P2768&lt;EDATE(Calendar!$K$2,1),OR(Calendar!$K$4="*",N2768=Calendar!$K$4)),P2768*100+COUNTIFS($P$6:$P$3267,P2768,$Q$6:$Q$3267,"&lt;="&amp;Q2768,$N$6:$N$3267,Calendar!$K$4),"")</f>
        <v/>
      </c>
      <c r="W2768" s="47">
        <f>IF(AND(B2768=Queue!$C$4,OR(Queue!$K$4="*",N2768=Queue!$K$4)),Q2768,"")</f>
        <v/>
      </c>
    </row>
    <row r="2769">
      <c r="A2769" s="38">
        <f>IF(M2769="","",HYPERLINK("https://www.youtube.com/watch?v="&amp;M2769,"▶"))</f>
        <v/>
      </c>
      <c r="B2769" s="39">
        <f>IF(C2769&lt;&gt;"",C2769,IF(P2769&lt;=IFERROR(INDEX(tblChannels[Watched Through],MATCH(N2769,tblChannels[Channel ID],0)),0),"Watched","Unwatched"))</f>
        <v/>
      </c>
      <c r="C2769" s="40" t="n"/>
      <c r="D2769" s="41" t="n"/>
      <c r="E2769" s="42" t="n">
        <v>42145.91319444445</v>
      </c>
      <c r="F2769" s="50" t="inlineStr">
        <is>
          <t>Super Carlin Brothers</t>
        </is>
      </c>
      <c r="G2769" t="inlineStr">
        <is>
          <t>LOOT CRATE UNBOXING | UNITE</t>
        </is>
      </c>
      <c r="H2769" s="44" t="n">
        <v>0.004375</v>
      </c>
      <c r="I2769" s="45" t="n">
        <v>40988</v>
      </c>
      <c r="J2769" s="45" t="n">
        <v>800</v>
      </c>
      <c r="K2769" s="45" t="n">
        <v>205</v>
      </c>
      <c r="L2769" s="46" t="n"/>
      <c r="M2769" s="47" t="n"/>
      <c r="N2769" s="47" t="inlineStr">
        <is>
          <t>UCKZo4N0lVPccBkSiuyVh4yg</t>
        </is>
      </c>
      <c r="O2769" s="48" t="n">
        <v>42146.07986111111</v>
      </c>
      <c r="P2769" s="49" t="n">
        <v>42145</v>
      </c>
      <c r="Q2769" s="47" t="n">
        <v>499</v>
      </c>
      <c r="R2769" s="47" t="inlineStr">
        <is>
          <t>No Video ID yet</t>
        </is>
      </c>
      <c r="S2769" s="49" t="n"/>
      <c r="T2769" s="49" t="n"/>
      <c r="U2769" s="47" t="inlineStr">
        <is>
          <t>Thank you to everyone that submitted a "Heeeeey Brother!!" If you would like to submit one to our Facebook page... I can guarantee it will make our day.</t>
        </is>
      </c>
      <c r="V2769" s="47">
        <f>IF(AND(P2769&gt;=Calendar!$K$2,P2769&lt;EDATE(Calendar!$K$2,1),OR(Calendar!$K$4="*",N2769=Calendar!$K$4)),P2769*100+COUNTIFS($P$6:$P$3267,P2769,$Q$6:$Q$3267,"&lt;="&amp;Q2769,$N$6:$N$3267,Calendar!$K$4),"")</f>
        <v/>
      </c>
      <c r="W2769" s="47">
        <f>IF(AND(B2769=Queue!$C$4,OR(Queue!$K$4="*",N2769=Queue!$K$4)),Q2769,"")</f>
        <v/>
      </c>
    </row>
    <row r="2770">
      <c r="A2770" s="38">
        <f>IF(M2770="","",HYPERLINK("https://www.youtube.com/watch?v="&amp;M2770,"▶"))</f>
        <v/>
      </c>
      <c r="B2770" s="39">
        <f>IF(C2770&lt;&gt;"",C2770,IF(P2770&lt;=IFERROR(INDEX(tblChannels[Watched Through],MATCH(N2770,tblChannels[Channel ID],0)),0),"Watched","Unwatched"))</f>
        <v/>
      </c>
      <c r="C2770" s="40" t="n"/>
      <c r="D2770" s="41" t="n"/>
      <c r="E2770" s="42" t="n">
        <v>42143.98680555556</v>
      </c>
      <c r="F2770" s="50" t="inlineStr">
        <is>
          <t>Super Carlin Brothers</t>
        </is>
      </c>
      <c r="G2770" t="inlineStr">
        <is>
          <t>How to Watch Star Wars</t>
        </is>
      </c>
      <c r="H2770" s="44" t="n">
        <v>0.005289351851851852</v>
      </c>
      <c r="I2770" s="45" t="n">
        <v>668386</v>
      </c>
      <c r="J2770" s="45" t="n">
        <v>15618</v>
      </c>
      <c r="K2770" s="45" t="n">
        <v>4567</v>
      </c>
      <c r="L2770" s="46" t="n"/>
      <c r="M2770" s="47" t="n"/>
      <c r="N2770" s="47" t="inlineStr">
        <is>
          <t>UCKZo4N0lVPccBkSiuyVh4yg</t>
        </is>
      </c>
      <c r="O2770" s="48" t="n">
        <v>42144.15347222222</v>
      </c>
      <c r="P2770" s="49" t="n">
        <v>42143</v>
      </c>
      <c r="Q2770" s="47" t="n">
        <v>498</v>
      </c>
      <c r="R2770" s="47" t="inlineStr">
        <is>
          <t>No Video ID yet</t>
        </is>
      </c>
      <c r="S2770" s="49" t="n"/>
      <c r="T2770" s="49" t="n"/>
      <c r="U2770" s="47" t="inlineStr">
        <is>
          <t>Machete Order :: The D-Cast ::</t>
        </is>
      </c>
      <c r="V2770" s="47">
        <f>IF(AND(P2770&gt;=Calendar!$K$2,P2770&lt;EDATE(Calendar!$K$2,1),OR(Calendar!$K$4="*",N2770=Calendar!$K$4)),P2770*100+COUNTIFS($P$6:$P$3267,P2770,$Q$6:$Q$3267,"&lt;="&amp;Q2770,$N$6:$N$3267,Calendar!$K$4),"")</f>
        <v/>
      </c>
      <c r="W2770" s="47">
        <f>IF(AND(B2770=Queue!$C$4,OR(Queue!$K$4="*",N2770=Queue!$K$4)),Q2770,"")</f>
        <v/>
      </c>
    </row>
    <row r="2771">
      <c r="A2771" s="38">
        <f>IF(M2771="","",HYPERLINK("https://www.youtube.com/watch?v="&amp;M2771,"▶"))</f>
        <v/>
      </c>
      <c r="B2771" s="39">
        <f>IF(C2771&lt;&gt;"",C2771,IF(P2771&lt;=IFERROR(INDEX(tblChannels[Watched Through],MATCH(N2771,tblChannels[Channel ID],0)),0),"Watched","Unwatched"))</f>
        <v/>
      </c>
      <c r="C2771" s="40" t="n"/>
      <c r="D2771" s="41" t="n"/>
      <c r="E2771" s="42" t="n">
        <v>42138.97291666667</v>
      </c>
      <c r="F2771" s="50" t="inlineStr">
        <is>
          <t>Super Carlin Brothers</t>
        </is>
      </c>
      <c r="G2771" t="inlineStr">
        <is>
          <t>2319! WHAT DOES IT MEAN?!</t>
        </is>
      </c>
      <c r="H2771" s="44" t="n">
        <v>0.003113425925925926</v>
      </c>
      <c r="I2771" s="45" t="n">
        <v>1744332</v>
      </c>
      <c r="J2771" s="45" t="n">
        <v>20429</v>
      </c>
      <c r="K2771" s="45" t="n">
        <v>2664</v>
      </c>
      <c r="L2771" s="46" t="n"/>
      <c r="M2771" s="47" t="n"/>
      <c r="N2771" s="47" t="inlineStr">
        <is>
          <t>UCKZo4N0lVPccBkSiuyVh4yg</t>
        </is>
      </c>
      <c r="O2771" s="48" t="n">
        <v>42139.13958333333</v>
      </c>
      <c r="P2771" s="49" t="n">
        <v>42138</v>
      </c>
      <c r="Q2771" s="47" t="n">
        <v>497</v>
      </c>
      <c r="R2771" s="47" t="inlineStr">
        <is>
          <t>No Video ID yet</t>
        </is>
      </c>
      <c r="S2771" s="49" t="n"/>
      <c r="T2771" s="49" t="n"/>
      <c r="U2771" s="47" t="inlineStr">
        <is>
          <t>Wow, So... I uploaded apparently raw footage instead of my actual video on the first go round. I am really sorry for the bizarre nature of that upload. Probably ranking pretty high on the more embarrassing moments in SCB history so far. Let's try again with take two. Thanks for your support guys.</t>
        </is>
      </c>
      <c r="V2771" s="47">
        <f>IF(AND(P2771&gt;=Calendar!$K$2,P2771&lt;EDATE(Calendar!$K$2,1),OR(Calendar!$K$4="*",N2771=Calendar!$K$4)),P2771*100+COUNTIFS($P$6:$P$3267,P2771,$Q$6:$Q$3267,"&lt;="&amp;Q2771,$N$6:$N$3267,Calendar!$K$4),"")</f>
        <v/>
      </c>
      <c r="W2771" s="47">
        <f>IF(AND(B2771=Queue!$C$4,OR(Queue!$K$4="*",N2771=Queue!$K$4)),Q2771,"")</f>
        <v/>
      </c>
    </row>
    <row r="2772">
      <c r="A2772" s="38">
        <f>IF(M2772="","",HYPERLINK("https://www.youtube.com/watch?v="&amp;M2772,"▶"))</f>
        <v/>
      </c>
      <c r="B2772" s="39">
        <f>IF(C2772&lt;&gt;"",C2772,IF(P2772&lt;=IFERROR(INDEX(tblChannels[Watched Through],MATCH(N2772,tblChannels[Channel ID],0)),0),"Watched","Unwatched"))</f>
        <v/>
      </c>
      <c r="C2772" s="40" t="n"/>
      <c r="D2772" s="41" t="n"/>
      <c r="E2772" s="42" t="n">
        <v>42136.93055555555</v>
      </c>
      <c r="F2772" s="50" t="inlineStr">
        <is>
          <t>Super Carlin Brothers</t>
        </is>
      </c>
      <c r="G2772" t="inlineStr">
        <is>
          <t>Pixar Theory: Who is Andy's Monster?</t>
        </is>
      </c>
      <c r="H2772" s="44" t="n">
        <v>0.004282407407407408</v>
      </c>
      <c r="I2772" s="45" t="n">
        <v>5113000</v>
      </c>
      <c r="J2772" s="45" t="n">
        <v>93162</v>
      </c>
      <c r="K2772" s="45" t="n">
        <v>11806</v>
      </c>
      <c r="L2772" s="46" t="n"/>
      <c r="M2772" s="47" t="n"/>
      <c r="N2772" s="47" t="inlineStr">
        <is>
          <t>UCKZo4N0lVPccBkSiuyVh4yg</t>
        </is>
      </c>
      <c r="O2772" s="48" t="n">
        <v>42137.09722222222</v>
      </c>
      <c r="P2772" s="49" t="n">
        <v>42136</v>
      </c>
      <c r="Q2772" s="47" t="n">
        <v>496</v>
      </c>
      <c r="R2772" s="47" t="inlineStr">
        <is>
          <t>No Video ID yet</t>
        </is>
      </c>
      <c r="S2772" s="49" t="n"/>
      <c r="T2772" s="49" t="n"/>
      <c r="U2772" s="47" t="inlineStr">
        <is>
          <t>Who is Andy's Monster??? Reminder :: Each monster scares a LOT of kids, they are not assigned to only a single child.</t>
        </is>
      </c>
      <c r="V2772" s="47">
        <f>IF(AND(P2772&gt;=Calendar!$K$2,P2772&lt;EDATE(Calendar!$K$2,1),OR(Calendar!$K$4="*",N2772=Calendar!$K$4)),P2772*100+COUNTIFS($P$6:$P$3267,P2772,$Q$6:$Q$3267,"&lt;="&amp;Q2772,$N$6:$N$3267,Calendar!$K$4),"")</f>
        <v/>
      </c>
      <c r="W2772" s="47">
        <f>IF(AND(B2772=Queue!$C$4,OR(Queue!$K$4="*",N2772=Queue!$K$4)),Q2772,"")</f>
        <v/>
      </c>
    </row>
    <row r="2773">
      <c r="A2773" s="38">
        <f>IF(M2773="","",HYPERLINK("https://www.youtube.com/watch?v="&amp;M2773,"▶"))</f>
        <v/>
      </c>
      <c r="B2773" s="39">
        <f>IF(C2773&lt;&gt;"",C2773,IF(P2773&lt;=IFERROR(INDEX(tblChannels[Watched Through],MATCH(N2773,tblChannels[Channel ID],0)),0),"Watched","Unwatched"))</f>
        <v/>
      </c>
      <c r="C2773" s="40" t="n"/>
      <c r="D2773" s="41" t="n"/>
      <c r="E2773" s="42" t="n">
        <v>42131.89722222222</v>
      </c>
      <c r="F2773" s="50" t="inlineStr">
        <is>
          <t>Super Carlin Brothers</t>
        </is>
      </c>
      <c r="G2773" t="inlineStr">
        <is>
          <t>Dumbledore is DEATH</t>
        </is>
      </c>
      <c r="H2773" s="44" t="n">
        <v>0.003344907407407408</v>
      </c>
      <c r="I2773" s="45" t="n">
        <v>885524</v>
      </c>
      <c r="J2773" s="45" t="n">
        <v>13589</v>
      </c>
      <c r="K2773" s="45" t="n">
        <v>1973</v>
      </c>
      <c r="L2773" s="46" t="n"/>
      <c r="M2773" s="47" t="n"/>
      <c r="N2773" s="47" t="inlineStr">
        <is>
          <t>UCKZo4N0lVPccBkSiuyVh4yg</t>
        </is>
      </c>
      <c r="O2773" s="48" t="n">
        <v>42132.06388888889</v>
      </c>
      <c r="P2773" s="49" t="n">
        <v>42131</v>
      </c>
      <c r="Q2773" s="47" t="n">
        <v>495</v>
      </c>
      <c r="R2773" s="47" t="inlineStr">
        <is>
          <t>No Video ID yet</t>
        </is>
      </c>
      <c r="S2773" s="49" t="n"/>
      <c r="T2773" s="49" t="n"/>
      <c r="U2773" s="47" t="n"/>
      <c r="V2773" s="47">
        <f>IF(AND(P2773&gt;=Calendar!$K$2,P2773&lt;EDATE(Calendar!$K$2,1),OR(Calendar!$K$4="*",N2773=Calendar!$K$4)),P2773*100+COUNTIFS($P$6:$P$3267,P2773,$Q$6:$Q$3267,"&lt;="&amp;Q2773,$N$6:$N$3267,Calendar!$K$4),"")</f>
        <v/>
      </c>
      <c r="W2773" s="47">
        <f>IF(AND(B2773=Queue!$C$4,OR(Queue!$K$4="*",N2773=Queue!$K$4)),Q2773,"")</f>
        <v/>
      </c>
    </row>
    <row r="2774">
      <c r="A2774" s="38">
        <f>IF(M2774="","",HYPERLINK("https://www.youtube.com/watch?v="&amp;M2774,"▶"))</f>
        <v/>
      </c>
      <c r="B2774" s="39">
        <f>IF(C2774&lt;&gt;"",C2774,IF(P2774&lt;=IFERROR(INDEX(tblChannels[Watched Through],MATCH(N2774,tblChannels[Channel ID],0)),0),"Watched","Unwatched"))</f>
        <v/>
      </c>
      <c r="C2774" s="40" t="n"/>
      <c r="D2774" s="41" t="n"/>
      <c r="E2774" s="42" t="n">
        <v>42130.01041666666</v>
      </c>
      <c r="F2774" s="50" t="inlineStr">
        <is>
          <t>Super Carlin Brothers</t>
        </is>
      </c>
      <c r="G2774" t="inlineStr">
        <is>
          <t>Why Does Voldemort Google Autofill</t>
        </is>
      </c>
      <c r="H2774" s="44" t="n">
        <v>0.005011574074074074</v>
      </c>
      <c r="I2774" s="45" t="n">
        <v>980936</v>
      </c>
      <c r="J2774" s="45" t="n">
        <v>15898</v>
      </c>
      <c r="K2774" s="45" t="n">
        <v>3647</v>
      </c>
      <c r="L2774" s="46" t="n"/>
      <c r="M2774" s="47" t="n"/>
      <c r="N2774" s="47" t="inlineStr">
        <is>
          <t>UCKZo4N0lVPccBkSiuyVh4yg</t>
        </is>
      </c>
      <c r="O2774" s="48" t="n">
        <v>42130.17708333334</v>
      </c>
      <c r="P2774" s="49" t="n">
        <v>42130</v>
      </c>
      <c r="Q2774" s="47" t="n">
        <v>494</v>
      </c>
      <c r="R2774" s="47" t="inlineStr">
        <is>
          <t>No Video ID yet</t>
        </is>
      </c>
      <c r="S2774" s="49" t="n"/>
      <c r="T2774" s="49" t="n"/>
      <c r="U2774" s="47" t="inlineStr">
        <is>
          <t>The real question is why does Voldemort keep stealing your shampoo..</t>
        </is>
      </c>
      <c r="V2774" s="47">
        <f>IF(AND(P2774&gt;=Calendar!$K$2,P2774&lt;EDATE(Calendar!$K$2,1),OR(Calendar!$K$4="*",N2774=Calendar!$K$4)),P2774*100+COUNTIFS($P$6:$P$3267,P2774,$Q$6:$Q$3267,"&lt;="&amp;Q2774,$N$6:$N$3267,Calendar!$K$4),"")</f>
        <v/>
      </c>
      <c r="W2774" s="47">
        <f>IF(AND(B2774=Queue!$C$4,OR(Queue!$K$4="*",N2774=Queue!$K$4)),Q2774,"")</f>
        <v/>
      </c>
    </row>
    <row r="2775">
      <c r="A2775" s="38">
        <f>IF(M2775="","",HYPERLINK("https://www.youtube.com/watch?v="&amp;M2775,"▶"))</f>
        <v/>
      </c>
      <c r="B2775" s="39">
        <f>IF(C2775&lt;&gt;"",C2775,IF(P2775&lt;=IFERROR(INDEX(tblChannels[Watched Through],MATCH(N2775,tblChannels[Channel ID],0)),0),"Watched","Unwatched"))</f>
        <v/>
      </c>
      <c r="C2775" s="40" t="n"/>
      <c r="D2775" s="41" t="n"/>
      <c r="E2775" s="42" t="n">
        <v>42127.73958333334</v>
      </c>
      <c r="F2775" s="52" t="inlineStr">
        <is>
          <t>Super Carlin Gaming</t>
        </is>
      </c>
      <c r="G2775" t="inlineStr">
        <is>
          <t>Pokemon HeartGold Nuzlocke #13 | Woes of Axelot</t>
        </is>
      </c>
      <c r="H2775" s="44" t="n">
        <v>0.01675925925925926</v>
      </c>
      <c r="I2775" s="45" t="n">
        <v>29051</v>
      </c>
      <c r="J2775" s="45" t="n">
        <v>618</v>
      </c>
      <c r="K2775" s="45" t="n">
        <v>103</v>
      </c>
      <c r="L2775" s="46" t="n"/>
      <c r="M2775" s="47" t="n"/>
      <c r="N2775" s="47" t="inlineStr">
        <is>
          <t>UCor_9jRnNNZVzTuQ92PKsaQ</t>
        </is>
      </c>
      <c r="O2775" s="48" t="n">
        <v>42127.90625</v>
      </c>
      <c r="P2775" s="49" t="n">
        <v>42127</v>
      </c>
      <c r="Q2775" s="47" t="n">
        <v>493</v>
      </c>
      <c r="R2775" s="47" t="inlineStr">
        <is>
          <t>No Video ID yet</t>
        </is>
      </c>
      <c r="S2775" s="49" t="n"/>
      <c r="T2775" s="49" t="n"/>
      <c r="U2775" s="47" t="inlineStr">
        <is>
          <t>Despite his overwhelming strength Axelot doubts his abilities in the face of new team members..</t>
        </is>
      </c>
      <c r="V2775" s="47">
        <f>IF(AND(P2775&gt;=Calendar!$K$2,P2775&lt;EDATE(Calendar!$K$2,1),OR(Calendar!$K$4="*",N2775=Calendar!$K$4)),P2775*100+COUNTIFS($P$6:$P$3267,P2775,$Q$6:$Q$3267,"&lt;="&amp;Q2775,$N$6:$N$3267,Calendar!$K$4),"")</f>
        <v/>
      </c>
      <c r="W2775" s="47">
        <f>IF(AND(B2775=Queue!$C$4,OR(Queue!$K$4="*",N2775=Queue!$K$4)),Q2775,"")</f>
        <v/>
      </c>
    </row>
    <row r="2776">
      <c r="A2776" s="38">
        <f>IF(M2776="","",HYPERLINK("https://www.youtube.com/watch?v="&amp;M2776,"▶"))</f>
        <v/>
      </c>
      <c r="B2776" s="39">
        <f>IF(C2776&lt;&gt;"",C2776,IF(P2776&lt;=IFERROR(INDEX(tblChannels[Watched Through],MATCH(N2776,tblChannels[Channel ID],0)),0),"Watched","Unwatched"))</f>
        <v/>
      </c>
      <c r="C2776" s="40" t="n"/>
      <c r="D2776" s="41" t="n"/>
      <c r="E2776" s="42" t="n">
        <v>42124.975</v>
      </c>
      <c r="F2776" s="50" t="inlineStr">
        <is>
          <t>Super Carlin Brothers</t>
        </is>
      </c>
      <c r="G2776" t="inlineStr">
        <is>
          <t>ASK BEN: Guinea Pigs, Emma Jean, and KNIVES</t>
        </is>
      </c>
      <c r="H2776" s="44" t="n">
        <v>0.004571759259259259</v>
      </c>
      <c r="I2776" s="45" t="n">
        <v>25931</v>
      </c>
      <c r="J2776" s="45" t="n">
        <v>699</v>
      </c>
      <c r="K2776" s="45" t="n">
        <v>141</v>
      </c>
      <c r="L2776" s="46" t="n"/>
      <c r="M2776" s="47" t="n"/>
      <c r="N2776" s="47" t="inlineStr">
        <is>
          <t>UCKZo4N0lVPccBkSiuyVh4yg</t>
        </is>
      </c>
      <c r="O2776" s="48" t="n">
        <v>42125.14166666667</v>
      </c>
      <c r="P2776" s="49" t="n">
        <v>42124</v>
      </c>
      <c r="Q2776" s="47" t="n">
        <v>492</v>
      </c>
      <c r="R2776" s="47" t="inlineStr">
        <is>
          <t>No Video ID yet</t>
        </is>
      </c>
      <c r="S2776" s="49" t="n"/>
      <c r="T2776" s="49" t="n"/>
      <c r="U2776" s="47" t="n"/>
      <c r="V2776" s="47">
        <f>IF(AND(P2776&gt;=Calendar!$K$2,P2776&lt;EDATE(Calendar!$K$2,1),OR(Calendar!$K$4="*",N2776=Calendar!$K$4)),P2776*100+COUNTIFS($P$6:$P$3267,P2776,$Q$6:$Q$3267,"&lt;="&amp;Q2776,$N$6:$N$3267,Calendar!$K$4),"")</f>
        <v/>
      </c>
      <c r="W2776" s="47">
        <f>IF(AND(B2776=Queue!$C$4,OR(Queue!$K$4="*",N2776=Queue!$K$4)),Q2776,"")</f>
        <v/>
      </c>
    </row>
    <row r="2777">
      <c r="A2777" s="38">
        <f>IF(M2777="","",HYPERLINK("https://www.youtube.com/watch?v="&amp;M2777,"▶"))</f>
        <v/>
      </c>
      <c r="B2777" s="39">
        <f>IF(C2777&lt;&gt;"",C2777,IF(P2777&lt;=IFERROR(INDEX(tblChannels[Watched Through],MATCH(N2777,tblChannels[Channel ID],0)),0),"Watched","Unwatched"))</f>
        <v/>
      </c>
      <c r="C2777" s="40" t="n"/>
      <c r="D2777" s="41" t="n"/>
      <c r="E2777" s="42" t="n">
        <v>42122.94722222222</v>
      </c>
      <c r="F2777" s="50" t="inlineStr">
        <is>
          <t>Super Carlin Brothers</t>
        </is>
      </c>
      <c r="G2777" t="inlineStr">
        <is>
          <t>LOOT CRATE UNBOXING | FANTASY</t>
        </is>
      </c>
      <c r="H2777" s="44" t="n">
        <v>0.005266203703703703</v>
      </c>
      <c r="I2777" s="45" t="n">
        <v>93977</v>
      </c>
      <c r="J2777" s="45" t="n">
        <v>1899</v>
      </c>
      <c r="K2777" s="45" t="n">
        <v>339</v>
      </c>
      <c r="L2777" s="46" t="n"/>
      <c r="M2777" s="47" t="n"/>
      <c r="N2777" s="47" t="inlineStr">
        <is>
          <t>UCKZo4N0lVPccBkSiuyVh4yg</t>
        </is>
      </c>
      <c r="O2777" s="48" t="n">
        <v>42123.11388888889</v>
      </c>
      <c r="P2777" s="49" t="n">
        <v>42122</v>
      </c>
      <c r="Q2777" s="47" t="n">
        <v>491</v>
      </c>
      <c r="R2777" s="47" t="inlineStr">
        <is>
          <t>No Video ID yet</t>
        </is>
      </c>
      <c r="S2777" s="49" t="n"/>
      <c r="T2777" s="49" t="n"/>
      <c r="U2777" s="47" t="inlineStr">
        <is>
          <t>Loot Crate has the best geek and gamer gear around! Use Promo Code: CARLIN to get 10% off your LootCrate order at Http://LootCrate.com/SuperCarlinBrothers</t>
        </is>
      </c>
      <c r="V2777" s="47">
        <f>IF(AND(P2777&gt;=Calendar!$K$2,P2777&lt;EDATE(Calendar!$K$2,1),OR(Calendar!$K$4="*",N2777=Calendar!$K$4)),P2777*100+COUNTIFS($P$6:$P$3267,P2777,$Q$6:$Q$3267,"&lt;="&amp;Q2777,$N$6:$N$3267,Calendar!$K$4),"")</f>
        <v/>
      </c>
      <c r="W2777" s="47">
        <f>IF(AND(B2777=Queue!$C$4,OR(Queue!$K$4="*",N2777=Queue!$K$4)),Q2777,"")</f>
        <v/>
      </c>
    </row>
    <row r="2778">
      <c r="A2778" s="38">
        <f>IF(M2778="","",HYPERLINK("https://www.youtube.com/watch?v="&amp;M2778,"▶"))</f>
        <v/>
      </c>
      <c r="B2778" s="39">
        <f>IF(C2778&lt;&gt;"",C2778,IF(P2778&lt;=IFERROR(INDEX(tblChannels[Watched Through],MATCH(N2778,tblChannels[Channel ID],0)),0),"Watched","Unwatched"))</f>
        <v/>
      </c>
      <c r="C2778" s="40" t="n"/>
      <c r="D2778" s="41" t="n"/>
      <c r="E2778" s="42" t="n">
        <v>42117.95625</v>
      </c>
      <c r="F2778" s="50" t="inlineStr">
        <is>
          <t>Super Carlin Brothers</t>
        </is>
      </c>
      <c r="G2778" t="inlineStr">
        <is>
          <t>Pixar Fan Theories: WHO is Emma Jean?!</t>
        </is>
      </c>
      <c r="H2778" s="44" t="n">
        <v>0.004120370370370371</v>
      </c>
      <c r="I2778" s="45" t="n">
        <v>496580</v>
      </c>
      <c r="J2778" s="45" t="n">
        <v>6575</v>
      </c>
      <c r="K2778" s="45" t="n">
        <v>992</v>
      </c>
      <c r="L2778" s="46" t="n"/>
      <c r="M2778" s="47" t="n"/>
      <c r="N2778" s="47" t="inlineStr">
        <is>
          <t>UCKZo4N0lVPccBkSiuyVh4yg</t>
        </is>
      </c>
      <c r="O2778" s="48" t="n">
        <v>42118.12291666667</v>
      </c>
      <c r="P2778" s="49" t="n">
        <v>42117</v>
      </c>
      <c r="Q2778" s="47" t="n">
        <v>490</v>
      </c>
      <c r="R2778" s="47" t="inlineStr">
        <is>
          <t>No Video ID yet</t>
        </is>
      </c>
      <c r="S2778" s="49" t="n"/>
      <c r="T2778" s="49" t="n"/>
      <c r="U2778" s="47" t="inlineStr">
        <is>
          <t>Last week I asked for fan theories to try to explain certain pieces of a theory puzzle. Today I discuss a few of the popular ideas.</t>
        </is>
      </c>
      <c r="V2778" s="47">
        <f>IF(AND(P2778&gt;=Calendar!$K$2,P2778&lt;EDATE(Calendar!$K$2,1),OR(Calendar!$K$4="*",N2778=Calendar!$K$4)),P2778*100+COUNTIFS($P$6:$P$3267,P2778,$Q$6:$Q$3267,"&lt;="&amp;Q2778,$N$6:$N$3267,Calendar!$K$4),"")</f>
        <v/>
      </c>
      <c r="W2778" s="47">
        <f>IF(AND(B2778=Queue!$C$4,OR(Queue!$K$4="*",N2778=Queue!$K$4)),Q2778,"")</f>
        <v/>
      </c>
    </row>
    <row r="2779">
      <c r="A2779" s="38">
        <f>IF(M2779="","",HYPERLINK("https://www.youtube.com/watch?v="&amp;M2779,"▶"))</f>
        <v/>
      </c>
      <c r="B2779" s="39">
        <f>IF(C2779&lt;&gt;"",C2779,IF(P2779&lt;=IFERROR(INDEX(tblChannels[Watched Through],MATCH(N2779,tblChannels[Channel ID],0)),0),"Watched","Unwatched"))</f>
        <v/>
      </c>
      <c r="C2779" s="40" t="n"/>
      <c r="D2779" s="41" t="n"/>
      <c r="E2779" s="42" t="n">
        <v>42115.98194444444</v>
      </c>
      <c r="F2779" s="50" t="inlineStr">
        <is>
          <t>Super Carlin Brothers</t>
        </is>
      </c>
      <c r="G2779" t="inlineStr">
        <is>
          <t>Pixar Theory: Carl is Crazy</t>
        </is>
      </c>
      <c r="H2779" s="44" t="n">
        <v>0.006145833333333333</v>
      </c>
      <c r="I2779" s="45" t="n">
        <v>2685065</v>
      </c>
      <c r="J2779" s="45" t="n">
        <v>35913</v>
      </c>
      <c r="K2779" s="45" t="n">
        <v>4656</v>
      </c>
      <c r="L2779" s="46" t="n"/>
      <c r="M2779" s="47" t="n"/>
      <c r="N2779" s="47" t="inlineStr">
        <is>
          <t>UCKZo4N0lVPccBkSiuyVh4yg</t>
        </is>
      </c>
      <c r="O2779" s="48" t="n">
        <v>42116.14861111111</v>
      </c>
      <c r="P2779" s="49" t="n">
        <v>42115</v>
      </c>
      <c r="Q2779" s="47" t="n">
        <v>489</v>
      </c>
      <c r="R2779" s="47" t="inlineStr">
        <is>
          <t>No Video ID yet</t>
        </is>
      </c>
      <c r="S2779" s="49" t="n"/>
      <c r="T2779" s="49" t="n"/>
      <c r="U2779" s="47" t="inlineStr">
        <is>
          <t>Is Carl Crazy??? To answer your question: Muntz becomes a villain so Carl can become the hero of his own imagination</t>
        </is>
      </c>
      <c r="V2779" s="47">
        <f>IF(AND(P2779&gt;=Calendar!$K$2,P2779&lt;EDATE(Calendar!$K$2,1),OR(Calendar!$K$4="*",N2779=Calendar!$K$4)),P2779*100+COUNTIFS($P$6:$P$3267,P2779,$Q$6:$Q$3267,"&lt;="&amp;Q2779,$N$6:$N$3267,Calendar!$K$4),"")</f>
        <v/>
      </c>
      <c r="W2779" s="47">
        <f>IF(AND(B2779=Queue!$C$4,OR(Queue!$K$4="*",N2779=Queue!$K$4)),Q2779,"")</f>
        <v/>
      </c>
    </row>
    <row r="2780">
      <c r="A2780" s="38">
        <f>IF(M2780="","",HYPERLINK("https://www.youtube.com/watch?v="&amp;M2780,"▶"))</f>
        <v/>
      </c>
      <c r="B2780" s="39">
        <f>IF(C2780&lt;&gt;"",C2780,IF(P2780&lt;=IFERROR(INDEX(tblChannels[Watched Through],MATCH(N2780,tblChannels[Channel ID],0)),0),"Watched","Unwatched"))</f>
        <v/>
      </c>
      <c r="C2780" s="40" t="n"/>
      <c r="D2780" s="41" t="n"/>
      <c r="E2780" s="42" t="n">
        <v>42110.98402777778</v>
      </c>
      <c r="F2780" s="50" t="inlineStr">
        <is>
          <t>Super Carlin Brothers</t>
        </is>
      </c>
      <c r="G2780" t="inlineStr">
        <is>
          <t>Create Your Own Pixar Theory</t>
        </is>
      </c>
      <c r="H2780" s="44" t="n">
        <v>0.003275462962962963</v>
      </c>
      <c r="I2780" s="45" t="n">
        <v>95126</v>
      </c>
      <c r="J2780" s="45" t="n">
        <v>1662</v>
      </c>
      <c r="K2780" s="45" t="n">
        <v>441</v>
      </c>
      <c r="L2780" s="46" t="n"/>
      <c r="M2780" s="47" t="n"/>
      <c r="N2780" s="47" t="inlineStr">
        <is>
          <t>UCKZo4N0lVPccBkSiuyVh4yg</t>
        </is>
      </c>
      <c r="O2780" s="48" t="n">
        <v>42111.15069444444</v>
      </c>
      <c r="P2780" s="49" t="n">
        <v>42110</v>
      </c>
      <c r="Q2780" s="47" t="n">
        <v>488</v>
      </c>
      <c r="R2780" s="47" t="inlineStr">
        <is>
          <t>No Video ID yet</t>
        </is>
      </c>
      <c r="S2780" s="49" t="n"/>
      <c r="T2780" s="49" t="n"/>
      <c r="U2780" s="47" t="inlineStr">
        <is>
          <t>Do you have a theory to explain any of these questions?! Or do you have a Pixar related theory at all?! We would love to share it!</t>
        </is>
      </c>
      <c r="V2780" s="47">
        <f>IF(AND(P2780&gt;=Calendar!$K$2,P2780&lt;EDATE(Calendar!$K$2,1),OR(Calendar!$K$4="*",N2780=Calendar!$K$4)),P2780*100+COUNTIFS($P$6:$P$3267,P2780,$Q$6:$Q$3267,"&lt;="&amp;Q2780,$N$6:$N$3267,Calendar!$K$4),"")</f>
        <v/>
      </c>
      <c r="W2780" s="47">
        <f>IF(AND(B2780=Queue!$C$4,OR(Queue!$K$4="*",N2780=Queue!$K$4)),Q2780,"")</f>
        <v/>
      </c>
    </row>
    <row r="2781">
      <c r="A2781" s="38">
        <f>IF(M2781="","",HYPERLINK("https://www.youtube.com/watch?v="&amp;M2781,"▶"))</f>
        <v/>
      </c>
      <c r="B2781" s="39">
        <f>IF(C2781&lt;&gt;"",C2781,IF(P2781&lt;=IFERROR(INDEX(tblChannels[Watched Through],MATCH(N2781,tblChannels[Channel ID],0)),0),"Watched","Unwatched"))</f>
        <v/>
      </c>
      <c r="C2781" s="40" t="n"/>
      <c r="D2781" s="41" t="n"/>
      <c r="E2781" s="42" t="n">
        <v>42108.97222222222</v>
      </c>
      <c r="F2781" s="50" t="inlineStr">
        <is>
          <t>Super Carlin Brothers</t>
        </is>
      </c>
      <c r="G2781" t="inlineStr">
        <is>
          <t>Woody Was Almost Bad?!!</t>
        </is>
      </c>
      <c r="H2781" s="44" t="n">
        <v>0.004189814814814815</v>
      </c>
      <c r="I2781" s="45" t="n">
        <v>2341595</v>
      </c>
      <c r="J2781" s="45" t="n">
        <v>32152</v>
      </c>
      <c r="K2781" s="45" t="n">
        <v>3327</v>
      </c>
      <c r="L2781" s="46" t="n"/>
      <c r="M2781" s="47" t="n"/>
      <c r="N2781" s="47" t="inlineStr">
        <is>
          <t>UCKZo4N0lVPccBkSiuyVh4yg</t>
        </is>
      </c>
      <c r="O2781" s="48" t="n">
        <v>42109.13888888889</v>
      </c>
      <c r="P2781" s="49" t="n">
        <v>42108</v>
      </c>
      <c r="Q2781" s="47" t="n">
        <v>487</v>
      </c>
      <c r="R2781" s="47" t="inlineStr">
        <is>
          <t>No Video ID yet</t>
        </is>
      </c>
      <c r="S2781" s="49" t="n"/>
      <c r="T2781" s="49" t="n"/>
      <c r="U2781" s="47" t="inlineStr">
        <is>
          <t>The Black Friday Reel:</t>
        </is>
      </c>
      <c r="V2781" s="47">
        <f>IF(AND(P2781&gt;=Calendar!$K$2,P2781&lt;EDATE(Calendar!$K$2,1),OR(Calendar!$K$4="*",N2781=Calendar!$K$4)),P2781*100+COUNTIFS($P$6:$P$3267,P2781,$Q$6:$Q$3267,"&lt;="&amp;Q2781,$N$6:$N$3267,Calendar!$K$4),"")</f>
        <v/>
      </c>
      <c r="W2781" s="47">
        <f>IF(AND(B2781=Queue!$C$4,OR(Queue!$K$4="*",N2781=Queue!$K$4)),Q2781,"")</f>
        <v/>
      </c>
    </row>
    <row r="2782">
      <c r="A2782" s="38">
        <f>IF(M2782="","",HYPERLINK("https://www.youtube.com/watch?v="&amp;M2782,"▶"))</f>
        <v/>
      </c>
      <c r="B2782" s="39">
        <f>IF(C2782&lt;&gt;"",C2782,IF(P2782&lt;=IFERROR(INDEX(tblChannels[Watched Through],MATCH(N2782,tblChannels[Channel ID],0)),0),"Watched","Unwatched"))</f>
        <v/>
      </c>
      <c r="C2782" s="40" t="n"/>
      <c r="D2782" s="41" t="n"/>
      <c r="E2782" s="42" t="n">
        <v>42107.32152777778</v>
      </c>
      <c r="F2782" s="52" t="inlineStr">
        <is>
          <t>Super Carlin Gaming</t>
        </is>
      </c>
      <c r="G2782" t="inlineStr">
        <is>
          <t>Pokemon HeartGold Nuzlocke #12 | Super Nova</t>
        </is>
      </c>
      <c r="H2782" s="44" t="n">
        <v>0.0221412037037037</v>
      </c>
      <c r="I2782" s="45" t="n">
        <v>30947</v>
      </c>
      <c r="J2782" s="45" t="n">
        <v>592</v>
      </c>
      <c r="K2782" s="45" t="n">
        <v>132</v>
      </c>
      <c r="L2782" s="46" t="n"/>
      <c r="M2782" s="47" t="n"/>
      <c r="N2782" s="47" t="inlineStr">
        <is>
          <t>UCor_9jRnNNZVzTuQ92PKsaQ</t>
        </is>
      </c>
      <c r="O2782" s="48" t="n">
        <v>42107.48819444444</v>
      </c>
      <c r="P2782" s="49" t="n">
        <v>42107</v>
      </c>
      <c r="Q2782" s="47" t="n">
        <v>486</v>
      </c>
      <c r="R2782" s="47" t="inlineStr">
        <is>
          <t>No Video ID yet</t>
        </is>
      </c>
      <c r="S2782" s="49" t="n"/>
      <c r="T2782" s="49" t="n"/>
      <c r="U2782" s="47" t="inlineStr">
        <is>
          <t>It's a bright and Shining day for the team, but as we head into Morty's dark Ghost gym fear settles in.. can they survive the gym leaders tricks?</t>
        </is>
      </c>
      <c r="V2782" s="47">
        <f>IF(AND(P2782&gt;=Calendar!$K$2,P2782&lt;EDATE(Calendar!$K$2,1),OR(Calendar!$K$4="*",N2782=Calendar!$K$4)),P2782*100+COUNTIFS($P$6:$P$3267,P2782,$Q$6:$Q$3267,"&lt;="&amp;Q2782,$N$6:$N$3267,Calendar!$K$4),"")</f>
        <v/>
      </c>
      <c r="W2782" s="47">
        <f>IF(AND(B2782=Queue!$C$4,OR(Queue!$K$4="*",N2782=Queue!$K$4)),Q2782,"")</f>
        <v/>
      </c>
    </row>
    <row r="2783">
      <c r="A2783" s="38">
        <f>IF(M2783="","",HYPERLINK("https://www.youtube.com/watch?v="&amp;M2783,"▶"))</f>
        <v/>
      </c>
      <c r="B2783" s="39">
        <f>IF(C2783&lt;&gt;"",C2783,IF(P2783&lt;=IFERROR(INDEX(tblChannels[Watched Through],MATCH(N2783,tblChannels[Channel ID],0)),0),"Watched","Unwatched"))</f>
        <v/>
      </c>
      <c r="C2783" s="40" t="n"/>
      <c r="D2783" s="41" t="n"/>
      <c r="E2783" s="42" t="n">
        <v>42105.41388888889</v>
      </c>
      <c r="F2783" s="52" t="inlineStr">
        <is>
          <t>Super Carlin Gaming</t>
        </is>
      </c>
      <c r="G2783" t="inlineStr">
        <is>
          <t>Pokemon HeartGold Nuzlocke #11 | Time to SHINE</t>
        </is>
      </c>
      <c r="H2783" s="44" t="n">
        <v>0.02199074074074074</v>
      </c>
      <c r="I2783" s="45" t="n">
        <v>32983</v>
      </c>
      <c r="J2783" s="45" t="n">
        <v>566</v>
      </c>
      <c r="K2783" s="45" t="n">
        <v>110</v>
      </c>
      <c r="L2783" s="46" t="n"/>
      <c r="M2783" s="47" t="n"/>
      <c r="N2783" s="47" t="inlineStr">
        <is>
          <t>UCor_9jRnNNZVzTuQ92PKsaQ</t>
        </is>
      </c>
      <c r="O2783" s="48" t="n">
        <v>42105.58055555556</v>
      </c>
      <c r="P2783" s="49" t="n">
        <v>42105</v>
      </c>
      <c r="Q2783" s="47" t="n">
        <v>485</v>
      </c>
      <c r="R2783" s="47" t="inlineStr">
        <is>
          <t>No Video ID yet</t>
        </is>
      </c>
      <c r="S2783" s="49" t="n"/>
      <c r="T2783" s="49" t="n"/>
      <c r="U2783" s="47" t="inlineStr">
        <is>
          <t>A new member is added to the team, and we run into some VERY RARE Pokemon!</t>
        </is>
      </c>
      <c r="V2783" s="47">
        <f>IF(AND(P2783&gt;=Calendar!$K$2,P2783&lt;EDATE(Calendar!$K$2,1),OR(Calendar!$K$4="*",N2783=Calendar!$K$4)),P2783*100+COUNTIFS($P$6:$P$3267,P2783,$Q$6:$Q$3267,"&lt;="&amp;Q2783,$N$6:$N$3267,Calendar!$K$4),"")</f>
        <v/>
      </c>
      <c r="W2783" s="47">
        <f>IF(AND(B2783=Queue!$C$4,OR(Queue!$K$4="*",N2783=Queue!$K$4)),Q2783,"")</f>
        <v/>
      </c>
    </row>
    <row r="2784">
      <c r="A2784" s="38">
        <f>IF(M2784="","",HYPERLINK("https://www.youtube.com/watch?v="&amp;M2784,"▶"))</f>
        <v/>
      </c>
      <c r="B2784" s="39">
        <f>IF(C2784&lt;&gt;"",C2784,IF(P2784&lt;=IFERROR(INDEX(tblChannels[Watched Through],MATCH(N2784,tblChannels[Channel ID],0)),0),"Watched","Unwatched"))</f>
        <v/>
      </c>
      <c r="C2784" s="40" t="n"/>
      <c r="D2784" s="41" t="n"/>
      <c r="E2784" s="42" t="n">
        <v>42103.96597222222</v>
      </c>
      <c r="F2784" s="50" t="inlineStr">
        <is>
          <t>Super Carlin Brothers</t>
        </is>
      </c>
      <c r="G2784" t="inlineStr">
        <is>
          <t>The Pixar Theory: Andy and Carl Related?!</t>
        </is>
      </c>
      <c r="H2784" s="44" t="n">
        <v>0.00400462962962963</v>
      </c>
      <c r="I2784" s="45" t="n">
        <v>1156063</v>
      </c>
      <c r="J2784" s="45" t="n">
        <v>14011</v>
      </c>
      <c r="K2784" s="45" t="n">
        <v>1529</v>
      </c>
      <c r="L2784" s="46" t="n"/>
      <c r="M2784" s="47" t="n"/>
      <c r="N2784" s="47" t="inlineStr">
        <is>
          <t>UCKZo4N0lVPccBkSiuyVh4yg</t>
        </is>
      </c>
      <c r="O2784" s="48" t="n">
        <v>42104.13263888889</v>
      </c>
      <c r="P2784" s="49" t="n">
        <v>42103</v>
      </c>
      <c r="Q2784" s="47" t="n">
        <v>484</v>
      </c>
      <c r="R2784" s="47" t="inlineStr">
        <is>
          <t>No Video ID yet</t>
        </is>
      </c>
      <c r="S2784" s="49" t="n"/>
      <c r="T2784" s="49" t="n"/>
      <c r="U2784" s="47" t="inlineStr">
        <is>
          <t>What do you think!? Could these two iconic Pixar Women actually be sisters?!</t>
        </is>
      </c>
      <c r="V2784" s="47">
        <f>IF(AND(P2784&gt;=Calendar!$K$2,P2784&lt;EDATE(Calendar!$K$2,1),OR(Calendar!$K$4="*",N2784=Calendar!$K$4)),P2784*100+COUNTIFS($P$6:$P$3267,P2784,$Q$6:$Q$3267,"&lt;="&amp;Q2784,$N$6:$N$3267,Calendar!$K$4),"")</f>
        <v/>
      </c>
      <c r="W2784" s="47">
        <f>IF(AND(B2784=Queue!$C$4,OR(Queue!$K$4="*",N2784=Queue!$K$4)),Q2784,"")</f>
        <v/>
      </c>
    </row>
    <row r="2785">
      <c r="A2785" s="38">
        <f>IF(M2785="","",HYPERLINK("https://www.youtube.com/watch?v="&amp;M2785,"▶"))</f>
        <v/>
      </c>
      <c r="B2785" s="39">
        <f>IF(C2785&lt;&gt;"",C2785,IF(P2785&lt;=IFERROR(INDEX(tblChannels[Watched Through],MATCH(N2785,tblChannels[Channel ID],0)),0),"Watched","Unwatched"))</f>
        <v/>
      </c>
      <c r="C2785" s="40" t="n"/>
      <c r="D2785" s="41" t="n"/>
      <c r="E2785" s="42" t="n">
        <v>42102.01736111111</v>
      </c>
      <c r="F2785" s="50" t="inlineStr">
        <is>
          <t>Super Carlin Brothers</t>
        </is>
      </c>
      <c r="G2785" t="inlineStr">
        <is>
          <t>Top 5 Snubbed Disney Princesses</t>
        </is>
      </c>
      <c r="H2785" s="44" t="n">
        <v>0.008032407407407408</v>
      </c>
      <c r="I2785" s="45" t="n">
        <v>3573213</v>
      </c>
      <c r="J2785" s="45" t="n">
        <v>62150</v>
      </c>
      <c r="K2785" s="45" t="n">
        <v>15117</v>
      </c>
      <c r="L2785" s="46" t="n"/>
      <c r="M2785" s="47" t="n"/>
      <c r="N2785" s="47" t="inlineStr">
        <is>
          <t>UCKZo4N0lVPccBkSiuyVh4yg</t>
        </is>
      </c>
      <c r="O2785" s="48" t="n">
        <v>42102.18402777778</v>
      </c>
      <c r="P2785" s="49" t="n">
        <v>42102</v>
      </c>
      <c r="Q2785" s="47" t="n">
        <v>483</v>
      </c>
      <c r="R2785" s="47" t="inlineStr">
        <is>
          <t>No Video ID yet</t>
        </is>
      </c>
      <c r="S2785" s="49" t="n"/>
      <c r="T2785" s="49" t="n"/>
      <c r="U2785" s="47" t="inlineStr">
        <is>
          <t>Do you agree with the list? Who else has been snubbed?? The sequel rule means you cant appear for the first time in a sequel - Don't think I explained that well =D</t>
        </is>
      </c>
      <c r="V2785" s="47">
        <f>IF(AND(P2785&gt;=Calendar!$K$2,P2785&lt;EDATE(Calendar!$K$2,1),OR(Calendar!$K$4="*",N2785=Calendar!$K$4)),P2785*100+COUNTIFS($P$6:$P$3267,P2785,$Q$6:$Q$3267,"&lt;="&amp;Q2785,$N$6:$N$3267,Calendar!$K$4),"")</f>
        <v/>
      </c>
      <c r="W2785" s="47">
        <f>IF(AND(B2785=Queue!$C$4,OR(Queue!$K$4="*",N2785=Queue!$K$4)),Q2785,"")</f>
        <v/>
      </c>
    </row>
    <row r="2786">
      <c r="A2786" s="38">
        <f>IF(M2786="","",HYPERLINK("https://www.youtube.com/watch?v="&amp;M2786,"▶"))</f>
        <v/>
      </c>
      <c r="B2786" s="39">
        <f>IF(C2786&lt;&gt;"",C2786,IF(P2786&lt;=IFERROR(INDEX(tblChannels[Watched Through],MATCH(N2786,tblChannels[Channel ID],0)),0),"Watched","Unwatched"))</f>
        <v/>
      </c>
      <c r="C2786" s="40" t="n"/>
      <c r="D2786" s="41" t="n"/>
      <c r="E2786" s="42" t="n">
        <v>42100.44930555556</v>
      </c>
      <c r="F2786" s="52" t="inlineStr">
        <is>
          <t>Super Carlin Gaming</t>
        </is>
      </c>
      <c r="G2786" t="inlineStr">
        <is>
          <t>Pokemon HeartGold Nuzlocke #10 | Burned Tower of DEATH</t>
        </is>
      </c>
      <c r="H2786" s="44" t="n">
        <v>0.02436342592592593</v>
      </c>
      <c r="I2786" s="45" t="n">
        <v>30200</v>
      </c>
      <c r="J2786" s="45" t="n">
        <v>509</v>
      </c>
      <c r="K2786" s="45" t="n">
        <v>132</v>
      </c>
      <c r="L2786" s="46" t="n"/>
      <c r="M2786" s="47" t="n"/>
      <c r="N2786" s="47" t="inlineStr">
        <is>
          <t>UCor_9jRnNNZVzTuQ92PKsaQ</t>
        </is>
      </c>
      <c r="O2786" s="48" t="n">
        <v>42100.61597222222</v>
      </c>
      <c r="P2786" s="49" t="n">
        <v>42100</v>
      </c>
      <c r="Q2786" s="47" t="n">
        <v>482</v>
      </c>
      <c r="R2786" s="47" t="inlineStr">
        <is>
          <t>No Video ID yet</t>
        </is>
      </c>
      <c r="S2786" s="49" t="n"/>
      <c r="T2786" s="49" t="n"/>
      <c r="U2786" s="47" t="inlineStr">
        <is>
          <t>NOOOOOOOO!!!!!!!!!!!!!!!</t>
        </is>
      </c>
      <c r="V2786" s="47">
        <f>IF(AND(P2786&gt;=Calendar!$K$2,P2786&lt;EDATE(Calendar!$K$2,1),OR(Calendar!$K$4="*",N2786=Calendar!$K$4)),P2786*100+COUNTIFS($P$6:$P$3267,P2786,$Q$6:$Q$3267,"&lt;="&amp;Q2786,$N$6:$N$3267,Calendar!$K$4),"")</f>
        <v/>
      </c>
      <c r="W2786" s="47">
        <f>IF(AND(B2786=Queue!$C$4,OR(Queue!$K$4="*",N2786=Queue!$K$4)),Q2786,"")</f>
        <v/>
      </c>
    </row>
    <row r="2787">
      <c r="A2787" s="38">
        <f>IF(M2787="","",HYPERLINK("https://www.youtube.com/watch?v="&amp;M2787,"▶"))</f>
        <v/>
      </c>
      <c r="B2787" s="39">
        <f>IF(C2787&lt;&gt;"",C2787,IF(P2787&lt;=IFERROR(INDEX(tblChannels[Watched Through],MATCH(N2787,tblChannels[Channel ID],0)),0),"Watched","Unwatched"))</f>
        <v/>
      </c>
      <c r="C2787" s="40" t="n"/>
      <c r="D2787" s="41" t="n"/>
      <c r="E2787" s="42" t="n">
        <v>42098.73194444444</v>
      </c>
      <c r="F2787" s="52" t="inlineStr">
        <is>
          <t>Super Carlin Gaming</t>
        </is>
      </c>
      <c r="G2787" t="inlineStr">
        <is>
          <t>Pokemon HeartGold Nuzlocke #9 | Whitney's Miltank</t>
        </is>
      </c>
      <c r="H2787" s="44" t="n">
        <v>0.02438657407407407</v>
      </c>
      <c r="I2787" s="45" t="n">
        <v>36290</v>
      </c>
      <c r="J2787" s="45" t="n">
        <v>719</v>
      </c>
      <c r="K2787" s="45" t="n">
        <v>124</v>
      </c>
      <c r="L2787" s="46" t="n"/>
      <c r="M2787" s="47" t="n"/>
      <c r="N2787" s="47" t="inlineStr">
        <is>
          <t>UCor_9jRnNNZVzTuQ92PKsaQ</t>
        </is>
      </c>
      <c r="O2787" s="48" t="n">
        <v>42098.89861111111</v>
      </c>
      <c r="P2787" s="49" t="n">
        <v>42098</v>
      </c>
      <c r="Q2787" s="47" t="n">
        <v>481</v>
      </c>
      <c r="R2787" s="47" t="inlineStr">
        <is>
          <t>No Video ID yet</t>
        </is>
      </c>
      <c r="S2787" s="49" t="n"/>
      <c r="T2787" s="49" t="n"/>
      <c r="U2787" s="47" t="inlineStr">
        <is>
          <t>Anybody thirsty for some Milk? Sorry this is a longer episode.. thats what happens when you fight Whitney's Miltank!</t>
        </is>
      </c>
      <c r="V2787" s="47">
        <f>IF(AND(P2787&gt;=Calendar!$K$2,P2787&lt;EDATE(Calendar!$K$2,1),OR(Calendar!$K$4="*",N2787=Calendar!$K$4)),P2787*100+COUNTIFS($P$6:$P$3267,P2787,$Q$6:$Q$3267,"&lt;="&amp;Q2787,$N$6:$N$3267,Calendar!$K$4),"")</f>
        <v/>
      </c>
      <c r="W2787" s="47">
        <f>IF(AND(B2787=Queue!$C$4,OR(Queue!$K$4="*",N2787=Queue!$K$4)),Q2787,"")</f>
        <v/>
      </c>
    </row>
    <row r="2788">
      <c r="A2788" s="38">
        <f>IF(M2788="","",HYPERLINK("https://www.youtube.com/watch?v="&amp;M2788,"▶"))</f>
        <v/>
      </c>
      <c r="B2788" s="39">
        <f>IF(C2788&lt;&gt;"",C2788,IF(P2788&lt;=IFERROR(INDEX(tblChannels[Watched Through],MATCH(N2788,tblChannels[Channel ID],0)),0),"Watched","Unwatched"))</f>
        <v/>
      </c>
      <c r="C2788" s="40" t="n"/>
      <c r="D2788" s="41" t="n"/>
      <c r="E2788" s="42" t="n">
        <v>42097.02708333333</v>
      </c>
      <c r="F2788" s="50" t="inlineStr">
        <is>
          <t>Super Carlin Brothers</t>
        </is>
      </c>
      <c r="G2788" t="inlineStr">
        <is>
          <t>My Top 10 Pixar Quotes</t>
        </is>
      </c>
      <c r="H2788" s="44" t="n">
        <v>0.004444444444444444</v>
      </c>
      <c r="I2788" s="45" t="n">
        <v>277160</v>
      </c>
      <c r="J2788" s="45" t="n">
        <v>5060</v>
      </c>
      <c r="K2788" s="45" t="n">
        <v>1601</v>
      </c>
      <c r="L2788" s="46" t="n"/>
      <c r="M2788" s="47" t="n"/>
      <c r="N2788" s="47" t="inlineStr">
        <is>
          <t>UCKZo4N0lVPccBkSiuyVh4yg</t>
        </is>
      </c>
      <c r="O2788" s="48" t="n">
        <v>42097.19375</v>
      </c>
      <c r="P2788" s="49" t="n">
        <v>42097</v>
      </c>
      <c r="Q2788" s="47" t="n">
        <v>480</v>
      </c>
      <c r="R2788" s="47" t="inlineStr">
        <is>
          <t>No Video ID yet</t>
        </is>
      </c>
      <c r="S2788" s="49" t="n"/>
      <c r="T2788" s="49" t="n"/>
      <c r="U2788" s="47" t="inlineStr">
        <is>
          <t>What is your favorite Pixar Quote?! To Infinity and beyond?! I'm gonna touch the butt! With Pixar can you really go wrong?</t>
        </is>
      </c>
      <c r="V2788" s="47">
        <f>IF(AND(P2788&gt;=Calendar!$K$2,P2788&lt;EDATE(Calendar!$K$2,1),OR(Calendar!$K$4="*",N2788=Calendar!$K$4)),P2788*100+COUNTIFS($P$6:$P$3267,P2788,$Q$6:$Q$3267,"&lt;="&amp;Q2788,$N$6:$N$3267,Calendar!$K$4),"")</f>
        <v/>
      </c>
      <c r="W2788" s="47">
        <f>IF(AND(B2788=Queue!$C$4,OR(Queue!$K$4="*",N2788=Queue!$K$4)),Q2788,"")</f>
        <v/>
      </c>
    </row>
    <row r="2789">
      <c r="A2789" s="38">
        <f>IF(M2789="","",HYPERLINK("https://www.youtube.com/watch?v="&amp;M2789,"▶"))</f>
        <v/>
      </c>
      <c r="B2789" s="39">
        <f>IF(C2789&lt;&gt;"",C2789,IF(P2789&lt;=IFERROR(INDEX(tblChannels[Watched Through],MATCH(N2789,tblChannels[Channel ID],0)),0),"Watched","Unwatched"))</f>
        <v/>
      </c>
      <c r="C2789" s="40" t="n"/>
      <c r="D2789" s="41" t="n"/>
      <c r="E2789" s="42" t="n">
        <v>42095.78402777778</v>
      </c>
      <c r="F2789" s="52" t="inlineStr">
        <is>
          <t>Super Carlin Gaming</t>
        </is>
      </c>
      <c r="G2789" t="inlineStr">
        <is>
          <t>Pokemon HeartGold Nuzlocke #8 | Sonic Boom</t>
        </is>
      </c>
      <c r="H2789" s="44" t="n">
        <v>0.01321759259259259</v>
      </c>
      <c r="I2789" s="45" t="n">
        <v>26511</v>
      </c>
      <c r="J2789" s="45" t="n">
        <v>482</v>
      </c>
      <c r="K2789" s="45" t="n">
        <v>68</v>
      </c>
      <c r="L2789" s="46" t="n"/>
      <c r="M2789" s="47" t="n"/>
      <c r="N2789" s="47" t="inlineStr">
        <is>
          <t>UCor_9jRnNNZVzTuQ92PKsaQ</t>
        </is>
      </c>
      <c r="O2789" s="48" t="n">
        <v>42095.95069444444</v>
      </c>
      <c r="P2789" s="49" t="n">
        <v>42095</v>
      </c>
      <c r="Q2789" s="47" t="n">
        <v>479</v>
      </c>
      <c r="R2789" s="47" t="inlineStr">
        <is>
          <t>No Video ID yet</t>
        </is>
      </c>
      <c r="S2789" s="49" t="n"/>
      <c r="T2789" s="49" t="n"/>
      <c r="U2789" s="47" t="inlineStr">
        <is>
          <t>As we continue to prepare for Whitney we encounter a very dangerous group of Voltorb...</t>
        </is>
      </c>
      <c r="V2789" s="47">
        <f>IF(AND(P2789&gt;=Calendar!$K$2,P2789&lt;EDATE(Calendar!$K$2,1),OR(Calendar!$K$4="*",N2789=Calendar!$K$4)),P2789*100+COUNTIFS($P$6:$P$3267,P2789,$Q$6:$Q$3267,"&lt;="&amp;Q2789,$N$6:$N$3267,Calendar!$K$4),"")</f>
        <v/>
      </c>
      <c r="W2789" s="47">
        <f>IF(AND(B2789=Queue!$C$4,OR(Queue!$K$4="*",N2789=Queue!$K$4)),Q2789,"")</f>
        <v/>
      </c>
    </row>
    <row r="2790">
      <c r="A2790" s="38">
        <f>IF(M2790="","",HYPERLINK("https://www.youtube.com/watch?v="&amp;M2790,"▶"))</f>
        <v/>
      </c>
      <c r="B2790" s="39">
        <f>IF(C2790&lt;&gt;"",C2790,IF(P2790&lt;=IFERROR(INDEX(tblChannels[Watched Through],MATCH(N2790,tblChannels[Channel ID],0)),0),"Watched","Unwatched"))</f>
        <v/>
      </c>
      <c r="C2790" s="40" t="n"/>
      <c r="D2790" s="41" t="n"/>
      <c r="E2790" s="42" t="n">
        <v>42094.99930555555</v>
      </c>
      <c r="F2790" s="50" t="inlineStr">
        <is>
          <t>Super Carlin Brothers</t>
        </is>
      </c>
      <c r="G2790" t="inlineStr">
        <is>
          <t>ASK J! Princes, Bagels and Fried Calamari!</t>
        </is>
      </c>
      <c r="H2790" s="44" t="n">
        <v>0.004386574074074074</v>
      </c>
      <c r="I2790" s="45" t="n">
        <v>44254</v>
      </c>
      <c r="J2790" s="45" t="n">
        <v>1044</v>
      </c>
      <c r="K2790" s="45" t="n">
        <v>362</v>
      </c>
      <c r="L2790" s="46" t="n"/>
      <c r="M2790" s="47" t="n"/>
      <c r="N2790" s="47" t="inlineStr">
        <is>
          <t>UCKZo4N0lVPccBkSiuyVh4yg</t>
        </is>
      </c>
      <c r="O2790" s="48" t="n">
        <v>42095.16597222222</v>
      </c>
      <c r="P2790" s="49" t="n">
        <v>42094</v>
      </c>
      <c r="Q2790" s="47" t="n">
        <v>478</v>
      </c>
      <c r="R2790" s="47" t="inlineStr">
        <is>
          <t>No Video ID yet</t>
        </is>
      </c>
      <c r="S2790" s="49" t="n"/>
      <c r="T2790" s="49" t="n"/>
      <c r="U2790" s="47" t="inlineStr">
        <is>
          <t>You guys always ask such good questions! Who is your favorite Disney Prince? What would you miss about being human if you were turned into a squid??</t>
        </is>
      </c>
      <c r="V2790" s="47">
        <f>IF(AND(P2790&gt;=Calendar!$K$2,P2790&lt;EDATE(Calendar!$K$2,1),OR(Calendar!$K$4="*",N2790=Calendar!$K$4)),P2790*100+COUNTIFS($P$6:$P$3267,P2790,$Q$6:$Q$3267,"&lt;="&amp;Q2790,$N$6:$N$3267,Calendar!$K$4),"")</f>
        <v/>
      </c>
      <c r="W2790" s="47">
        <f>IF(AND(B2790=Queue!$C$4,OR(Queue!$K$4="*",N2790=Queue!$K$4)),Q2790,"")</f>
        <v/>
      </c>
    </row>
    <row r="2791">
      <c r="A2791" s="38">
        <f>IF(M2791="","",HYPERLINK("https://www.youtube.com/watch?v="&amp;M2791,"▶"))</f>
        <v/>
      </c>
      <c r="B2791" s="39">
        <f>IF(C2791&lt;&gt;"",C2791,IF(P2791&lt;=IFERROR(INDEX(tblChannels[Watched Through],MATCH(N2791,tblChannels[Channel ID],0)),0),"Watched","Unwatched"))</f>
        <v/>
      </c>
      <c r="C2791" s="40" t="n"/>
      <c r="D2791" s="41" t="n"/>
      <c r="E2791" s="42" t="n">
        <v>42093.58472222222</v>
      </c>
      <c r="F2791" s="52" t="inlineStr">
        <is>
          <t>Super Carlin Gaming</t>
        </is>
      </c>
      <c r="G2791" t="inlineStr">
        <is>
          <t>Pokemon HeartGold Nuzlocke #7 | Ilex Forrest</t>
        </is>
      </c>
      <c r="H2791" s="44" t="n">
        <v>0.01972222222222222</v>
      </c>
      <c r="I2791" s="45" t="n">
        <v>29766</v>
      </c>
      <c r="J2791" s="45" t="n">
        <v>516</v>
      </c>
      <c r="K2791" s="45" t="n">
        <v>81</v>
      </c>
      <c r="L2791" s="46" t="n"/>
      <c r="M2791" s="47" t="n"/>
      <c r="N2791" s="47" t="inlineStr">
        <is>
          <t>UCor_9jRnNNZVzTuQ92PKsaQ</t>
        </is>
      </c>
      <c r="O2791" s="48" t="n">
        <v>42093.75138888889</v>
      </c>
      <c r="P2791" s="49" t="n">
        <v>42093</v>
      </c>
      <c r="Q2791" s="47" t="n">
        <v>477</v>
      </c>
      <c r="R2791" s="47" t="inlineStr">
        <is>
          <t>No Video ID yet</t>
        </is>
      </c>
      <c r="S2791" s="49" t="n"/>
      <c r="T2791" s="49" t="n"/>
      <c r="U2791" s="47" t="inlineStr">
        <is>
          <t>Our journey towards Whitney's Miltank and the third gym badge continues as we navigate Ilex Forrest...</t>
        </is>
      </c>
      <c r="V2791" s="47">
        <f>IF(AND(P2791&gt;=Calendar!$K$2,P2791&lt;EDATE(Calendar!$K$2,1),OR(Calendar!$K$4="*",N2791=Calendar!$K$4)),P2791*100+COUNTIFS($P$6:$P$3267,P2791,$Q$6:$Q$3267,"&lt;="&amp;Q2791,$N$6:$N$3267,Calendar!$K$4),"")</f>
        <v/>
      </c>
      <c r="W2791" s="47">
        <f>IF(AND(B2791=Queue!$C$4,OR(Queue!$K$4="*",N2791=Queue!$K$4)),Q2791,"")</f>
        <v/>
      </c>
    </row>
    <row r="2792">
      <c r="A2792" s="38">
        <f>IF(M2792="","",HYPERLINK("https://www.youtube.com/watch?v="&amp;M2792,"▶"))</f>
        <v/>
      </c>
      <c r="B2792" s="39">
        <f>IF(C2792&lt;&gt;"",C2792,IF(P2792&lt;=IFERROR(INDEX(tblChannels[Watched Through],MATCH(N2792,tblChannels[Channel ID],0)),0),"Watched","Unwatched"))</f>
        <v/>
      </c>
      <c r="C2792" s="40" t="n"/>
      <c r="D2792" s="41" t="n"/>
      <c r="E2792" s="42" t="n">
        <v>42092.45277777778</v>
      </c>
      <c r="F2792" s="52" t="inlineStr">
        <is>
          <t>Super Carlin Gaming</t>
        </is>
      </c>
      <c r="G2792" t="inlineStr">
        <is>
          <t>Pokemon HeartGold Nuzlocke #6 | Celery Attacks!</t>
        </is>
      </c>
      <c r="H2792" s="44" t="n">
        <v>0.01974537037037037</v>
      </c>
      <c r="I2792" s="45" t="n">
        <v>31952</v>
      </c>
      <c r="J2792" s="45" t="n">
        <v>655</v>
      </c>
      <c r="K2792" s="45" t="n">
        <v>77</v>
      </c>
      <c r="L2792" s="46" t="n"/>
      <c r="M2792" s="47" t="n"/>
      <c r="N2792" s="47" t="inlineStr">
        <is>
          <t>UCor_9jRnNNZVzTuQ92PKsaQ</t>
        </is>
      </c>
      <c r="O2792" s="48" t="n">
        <v>42092.61944444444</v>
      </c>
      <c r="P2792" s="49" t="n">
        <v>42092</v>
      </c>
      <c r="Q2792" s="47" t="n">
        <v>476</v>
      </c>
      <c r="R2792" s="47" t="inlineStr">
        <is>
          <t>No Video ID yet</t>
        </is>
      </c>
      <c r="S2792" s="49" t="n"/>
      <c r="T2792" s="49" t="n"/>
      <c r="U2792" s="47" t="inlineStr">
        <is>
          <t>Mousguin and Jatoshi's pokemosity has reached at boiling point and a difficult decision must be made, and while preparing for the 2nd gym Celery makes a vicious surprise attack, will the team walk away unscathed?</t>
        </is>
      </c>
      <c r="V2792" s="47">
        <f>IF(AND(P2792&gt;=Calendar!$K$2,P2792&lt;EDATE(Calendar!$K$2,1),OR(Calendar!$K$4="*",N2792=Calendar!$K$4)),P2792*100+COUNTIFS($P$6:$P$3267,P2792,$Q$6:$Q$3267,"&lt;="&amp;Q2792,$N$6:$N$3267,Calendar!$K$4),"")</f>
        <v/>
      </c>
      <c r="W2792" s="47">
        <f>IF(AND(B2792=Queue!$C$4,OR(Queue!$K$4="*",N2792=Queue!$K$4)),Q2792,"")</f>
        <v/>
      </c>
    </row>
    <row r="2793">
      <c r="A2793" s="38">
        <f>IF(M2793="","",HYPERLINK("https://www.youtube.com/watch?v="&amp;M2793,"▶"))</f>
        <v/>
      </c>
      <c r="B2793" s="39">
        <f>IF(C2793&lt;&gt;"",C2793,IF(P2793&lt;=IFERROR(INDEX(tblChannels[Watched Through],MATCH(N2793,tblChannels[Channel ID],0)),0),"Watched","Unwatched"))</f>
        <v/>
      </c>
      <c r="C2793" s="40" t="n"/>
      <c r="D2793" s="41" t="n"/>
      <c r="E2793" s="42" t="n">
        <v>42089.92291666667</v>
      </c>
      <c r="F2793" s="50" t="inlineStr">
        <is>
          <t>Super Carlin Brothers</t>
        </is>
      </c>
      <c r="G2793" t="inlineStr">
        <is>
          <t>LOOT CRATE UNBOXING | COVERT</t>
        </is>
      </c>
      <c r="H2793" s="44" t="n">
        <v>0.005127314814814815</v>
      </c>
      <c r="I2793" s="45" t="n">
        <v>63087</v>
      </c>
      <c r="J2793" s="45" t="n">
        <v>1023</v>
      </c>
      <c r="K2793" s="45" t="n">
        <v>100</v>
      </c>
      <c r="L2793" s="46" t="n"/>
      <c r="M2793" s="47" t="n"/>
      <c r="N2793" s="47" t="inlineStr">
        <is>
          <t>UCKZo4N0lVPccBkSiuyVh4yg</t>
        </is>
      </c>
      <c r="O2793" s="48" t="n">
        <v>42090.08958333333</v>
      </c>
      <c r="P2793" s="49" t="n">
        <v>42089</v>
      </c>
      <c r="Q2793" s="47" t="n">
        <v>475</v>
      </c>
      <c r="R2793" s="47" t="inlineStr">
        <is>
          <t>No Video ID yet</t>
        </is>
      </c>
      <c r="S2793" s="49" t="n"/>
      <c r="T2793" s="49" t="n"/>
      <c r="U2793" s="47" t="inlineStr">
        <is>
          <t>10% Off your LootCrate order with Promo Code: CARLIN at Play MadLibs with us!!! We need: Adjective Noun Verb Adjective Celebrity Plural Noun Plural Noun Adjective Verb Plural Noun Adverb Exclamation Noun Part of the Body Verb Noun Plural Noun Plural Noun Person in Room Also check out our shirts!!! www.DistrictLines.com/SuperCarlinBrothers</t>
        </is>
      </c>
      <c r="V2793" s="47">
        <f>IF(AND(P2793&gt;=Calendar!$K$2,P2793&lt;EDATE(Calendar!$K$2,1),OR(Calendar!$K$4="*",N2793=Calendar!$K$4)),P2793*100+COUNTIFS($P$6:$P$3267,P2793,$Q$6:$Q$3267,"&lt;="&amp;Q2793,$N$6:$N$3267,Calendar!$K$4),"")</f>
        <v/>
      </c>
      <c r="W2793" s="47">
        <f>IF(AND(B2793=Queue!$C$4,OR(Queue!$K$4="*",N2793=Queue!$K$4)),Q2793,"")</f>
        <v/>
      </c>
    </row>
    <row r="2794">
      <c r="A2794" s="38">
        <f>IF(M2794="","",HYPERLINK("https://www.youtube.com/watch?v="&amp;M2794,"▶"))</f>
        <v/>
      </c>
      <c r="B2794" s="39">
        <f>IF(C2794&lt;&gt;"",C2794,IF(P2794&lt;=IFERROR(INDEX(tblChannels[Watched Through],MATCH(N2794,tblChannels[Channel ID],0)),0),"Watched","Unwatched"))</f>
        <v/>
      </c>
      <c r="C2794" s="40" t="n"/>
      <c r="D2794" s="41" t="n"/>
      <c r="E2794" s="42" t="n">
        <v>42087.97013888889</v>
      </c>
      <c r="F2794" s="50" t="inlineStr">
        <is>
          <t>Super Carlin Brothers</t>
        </is>
      </c>
      <c r="G2794" t="inlineStr">
        <is>
          <t>Does Coffee Google Autofill</t>
        </is>
      </c>
      <c r="H2794" s="44" t="n">
        <v>0.003703703703703704</v>
      </c>
      <c r="I2794" s="45" t="n">
        <v>234932</v>
      </c>
      <c r="J2794" s="45" t="n">
        <v>4146</v>
      </c>
      <c r="K2794" s="45" t="n">
        <v>865</v>
      </c>
      <c r="L2794" s="46" t="n"/>
      <c r="M2794" s="47" t="n"/>
      <c r="N2794" s="47" t="inlineStr">
        <is>
          <t>UCKZo4N0lVPccBkSiuyVh4yg</t>
        </is>
      </c>
      <c r="O2794" s="48" t="n">
        <v>42088.13680555556</v>
      </c>
      <c r="P2794" s="49" t="n">
        <v>42087</v>
      </c>
      <c r="Q2794" s="47" t="n">
        <v>474</v>
      </c>
      <c r="R2794" s="47" t="inlineStr">
        <is>
          <t>No Video ID yet</t>
        </is>
      </c>
      <c r="S2794" s="49" t="n"/>
      <c r="T2794" s="49" t="n"/>
      <c r="U2794" s="47" t="inlineStr">
        <is>
          <t>Do you drink Coffee? What is your favorite thing to order!?</t>
        </is>
      </c>
      <c r="V2794" s="47">
        <f>IF(AND(P2794&gt;=Calendar!$K$2,P2794&lt;EDATE(Calendar!$K$2,1),OR(Calendar!$K$4="*",N2794=Calendar!$K$4)),P2794*100+COUNTIFS($P$6:$P$3267,P2794,$Q$6:$Q$3267,"&lt;="&amp;Q2794,$N$6:$N$3267,Calendar!$K$4),"")</f>
        <v/>
      </c>
      <c r="W2794" s="47">
        <f>IF(AND(B2794=Queue!$C$4,OR(Queue!$K$4="*",N2794=Queue!$K$4)),Q2794,"")</f>
        <v/>
      </c>
    </row>
    <row r="2795">
      <c r="A2795" s="38">
        <f>IF(M2795="","",HYPERLINK("https://www.youtube.com/watch?v="&amp;M2795,"▶"))</f>
        <v/>
      </c>
      <c r="B2795" s="39">
        <f>IF(C2795&lt;&gt;"",C2795,IF(P2795&lt;=IFERROR(INDEX(tblChannels[Watched Through],MATCH(N2795,tblChannels[Channel ID],0)),0),"Watched","Unwatched"))</f>
        <v/>
      </c>
      <c r="C2795" s="40" t="n"/>
      <c r="D2795" s="41" t="n"/>
      <c r="E2795" s="42" t="n">
        <v>42084.60555555556</v>
      </c>
      <c r="F2795" s="52" t="inlineStr">
        <is>
          <t>Super Carlin Gaming</t>
        </is>
      </c>
      <c r="G2795" t="inlineStr">
        <is>
          <t>Pac-Man Challenge #2</t>
        </is>
      </c>
      <c r="H2795" s="44" t="n">
        <v>0.007488425925925926</v>
      </c>
      <c r="I2795" s="45" t="n">
        <v>7017</v>
      </c>
      <c r="J2795" s="45" t="n">
        <v>293</v>
      </c>
      <c r="K2795" s="45" t="n">
        <v>20</v>
      </c>
      <c r="L2795" s="46" t="n"/>
      <c r="M2795" s="47" t="n"/>
      <c r="N2795" s="47" t="inlineStr">
        <is>
          <t>UCor_9jRnNNZVzTuQ92PKsaQ</t>
        </is>
      </c>
      <c r="O2795" s="48" t="n">
        <v>42084.77222222222</v>
      </c>
      <c r="P2795" s="49" t="n">
        <v>42084</v>
      </c>
      <c r="Q2795" s="47" t="n">
        <v>473</v>
      </c>
      <c r="R2795" s="47" t="inlineStr">
        <is>
          <t>No Video ID yet</t>
        </is>
      </c>
      <c r="S2795" s="49" t="n"/>
      <c r="T2795" s="49" t="n"/>
      <c r="U2795" s="47" t="inlineStr">
        <is>
          <t>T-SHIRTS :: The Pac-Man Challenge continues.. can we get a new high score??? Can we get 100 Likes on this video??? Every time you like a video on Super Carlin Gaming a baby narwhal is born.. maybe.</t>
        </is>
      </c>
      <c r="V2795" s="47">
        <f>IF(AND(P2795&gt;=Calendar!$K$2,P2795&lt;EDATE(Calendar!$K$2,1),OR(Calendar!$K$4="*",N2795=Calendar!$K$4)),P2795*100+COUNTIFS($P$6:$P$3267,P2795,$Q$6:$Q$3267,"&lt;="&amp;Q2795,$N$6:$N$3267,Calendar!$K$4),"")</f>
        <v/>
      </c>
      <c r="W2795" s="47">
        <f>IF(AND(B2795=Queue!$C$4,OR(Queue!$K$4="*",N2795=Queue!$K$4)),Q2795,"")</f>
        <v/>
      </c>
    </row>
    <row r="2796">
      <c r="A2796" s="38">
        <f>IF(M2796="","",HYPERLINK("https://www.youtube.com/watch?v="&amp;M2796,"▶"))</f>
        <v/>
      </c>
      <c r="B2796" s="39">
        <f>IF(C2796&lt;&gt;"",C2796,IF(P2796&lt;=IFERROR(INDEX(tblChannels[Watched Through],MATCH(N2796,tblChannels[Channel ID],0)),0),"Watched","Unwatched"))</f>
        <v/>
      </c>
      <c r="C2796" s="40" t="n"/>
      <c r="D2796" s="41" t="n"/>
      <c r="E2796" s="42" t="n">
        <v>42082.96805555555</v>
      </c>
      <c r="F2796" s="50" t="inlineStr">
        <is>
          <t>Super Carlin Brothers</t>
        </is>
      </c>
      <c r="G2796" t="inlineStr">
        <is>
          <t>My Addiction and NEW T SHIRTS!!!</t>
        </is>
      </c>
      <c r="H2796" s="44" t="n">
        <v>0.003449074074074074</v>
      </c>
      <c r="I2796" s="45" t="n">
        <v>12147</v>
      </c>
      <c r="J2796" s="45" t="n">
        <v>365</v>
      </c>
      <c r="K2796" s="45" t="n">
        <v>56</v>
      </c>
      <c r="L2796" s="46" t="n"/>
      <c r="M2796" s="47" t="n"/>
      <c r="N2796" s="47" t="inlineStr">
        <is>
          <t>UCKZo4N0lVPccBkSiuyVh4yg</t>
        </is>
      </c>
      <c r="O2796" s="48" t="n">
        <v>42083.13472222222</v>
      </c>
      <c r="P2796" s="49" t="n">
        <v>42082</v>
      </c>
      <c r="Q2796" s="47" t="n">
        <v>472</v>
      </c>
      <c r="R2796" s="47" t="inlineStr">
        <is>
          <t>No Video ID yet</t>
        </is>
      </c>
      <c r="S2796" s="49" t="n"/>
      <c r="T2796" s="49" t="n"/>
      <c r="U2796" s="47" t="inlineStr">
        <is>
          <t>CHECK OUT OUR NEW T-SHIRTS AT: Dear Diary, Today was the first day I made a video since J moved out. I was using all new equipment which absolutely came with it's woes... Batteries died, memory cards filled, lights were a total pain in the *** to assemble... Good times for sure. It's absolutely a strange sensation. The whole time we've been at this thing he's always been around. I've always bounced ideas with him. But above all else it was always an accountability factor. We always say not every video will be "the best video yet" and I don't see today as an exception. That's sort of the thing about brain crack... the longer you wait to publish new content, it can almost make it harder and harder to press "upload" because you've built up the anticipation in your head for so long. SCB has slowly changed the way I approach the world. I'm very grateful for this project. HEY SUPER CARLIN FRIENDS ►► Every time you give us a thumbs up an imaginary Narwhal is born! =D</t>
        </is>
      </c>
      <c r="V2796" s="47">
        <f>IF(AND(P2796&gt;=Calendar!$K$2,P2796&lt;EDATE(Calendar!$K$2,1),OR(Calendar!$K$4="*",N2796=Calendar!$K$4)),P2796*100+COUNTIFS($P$6:$P$3267,P2796,$Q$6:$Q$3267,"&lt;="&amp;Q2796,$N$6:$N$3267,Calendar!$K$4),"")</f>
        <v/>
      </c>
      <c r="W2796" s="47">
        <f>IF(AND(B2796=Queue!$C$4,OR(Queue!$K$4="*",N2796=Queue!$K$4)),Q2796,"")</f>
        <v/>
      </c>
    </row>
    <row r="2797">
      <c r="A2797" s="38">
        <f>IF(M2797="","",HYPERLINK("https://www.youtube.com/watch?v="&amp;M2797,"▶"))</f>
        <v/>
      </c>
      <c r="B2797" s="39">
        <f>IF(C2797&lt;&gt;"",C2797,IF(P2797&lt;=IFERROR(INDEX(tblChannels[Watched Through],MATCH(N2797,tblChannels[Channel ID],0)),0),"Watched","Unwatched"))</f>
        <v/>
      </c>
      <c r="C2797" s="40" t="n"/>
      <c r="D2797" s="41" t="n"/>
      <c r="E2797" s="42" t="n">
        <v>42080.95902777778</v>
      </c>
      <c r="F2797" s="50" t="inlineStr">
        <is>
          <t>Super Carlin Brothers</t>
        </is>
      </c>
      <c r="G2797" t="inlineStr">
        <is>
          <t>WHAT'S BEHIND THE DOOR?!?</t>
        </is>
      </c>
      <c r="H2797" s="44" t="n">
        <v>0.004085648148148148</v>
      </c>
      <c r="I2797" s="45" t="n">
        <v>443204</v>
      </c>
      <c r="J2797" s="45" t="n">
        <v>8709</v>
      </c>
      <c r="K2797" s="45" t="n">
        <v>868</v>
      </c>
      <c r="L2797" s="46" t="n"/>
      <c r="M2797" s="47" t="n"/>
      <c r="N2797" s="47" t="inlineStr">
        <is>
          <t>UCKZo4N0lVPccBkSiuyVh4yg</t>
        </is>
      </c>
      <c r="O2797" s="48" t="n">
        <v>42081.12569444445</v>
      </c>
      <c r="P2797" s="49" t="n">
        <v>42080</v>
      </c>
      <c r="Q2797" s="47" t="n">
        <v>471</v>
      </c>
      <c r="R2797" s="47" t="inlineStr">
        <is>
          <t>No Video ID yet</t>
        </is>
      </c>
      <c r="S2797" s="49" t="n"/>
      <c r="T2797" s="49" t="n"/>
      <c r="U2797" s="47" t="inlineStr">
        <is>
          <t>Today is the day we finally open the door... What is the scariest thing you have ever done? HEY SUPER CARLIN FRIENDS ►► Every time you give us a thumbs up an imaginary Narwhal is born! =D</t>
        </is>
      </c>
      <c r="V2797" s="47">
        <f>IF(AND(P2797&gt;=Calendar!$K$2,P2797&lt;EDATE(Calendar!$K$2,1),OR(Calendar!$K$4="*",N2797=Calendar!$K$4)),P2797*100+COUNTIFS($P$6:$P$3267,P2797,$Q$6:$Q$3267,"&lt;="&amp;Q2797,$N$6:$N$3267,Calendar!$K$4),"")</f>
        <v/>
      </c>
      <c r="W2797" s="47">
        <f>IF(AND(B2797=Queue!$C$4,OR(Queue!$K$4="*",N2797=Queue!$K$4)),Q2797,"")</f>
        <v/>
      </c>
    </row>
    <row r="2798">
      <c r="A2798" s="38">
        <f>IF(M2798="","",HYPERLINK("https://www.youtube.com/watch?v="&amp;M2798,"▶"))</f>
        <v/>
      </c>
      <c r="B2798" s="39">
        <f>IF(C2798&lt;&gt;"",C2798,IF(P2798&lt;=IFERROR(INDEX(tblChannels[Watched Through],MATCH(N2798,tblChannels[Channel ID],0)),0),"Watched","Unwatched"))</f>
        <v/>
      </c>
      <c r="C2798" s="40" t="n"/>
      <c r="D2798" s="41" t="n"/>
      <c r="E2798" s="42" t="n">
        <v>42075.92847222222</v>
      </c>
      <c r="F2798" s="50" t="inlineStr">
        <is>
          <t>Super Carlin Brothers</t>
        </is>
      </c>
      <c r="G2798" t="inlineStr">
        <is>
          <t>How Harry Ruined the Dursley's Lives</t>
        </is>
      </c>
      <c r="H2798" s="44" t="n">
        <v>0.003333333333333334</v>
      </c>
      <c r="I2798" s="45" t="n">
        <v>1108218</v>
      </c>
      <c r="J2798" s="45" t="n">
        <v>20283</v>
      </c>
      <c r="K2798" s="45" t="n">
        <v>4198</v>
      </c>
      <c r="L2798" s="46" t="n"/>
      <c r="M2798" s="47" t="n"/>
      <c r="N2798" s="47" t="inlineStr">
        <is>
          <t>UCKZo4N0lVPccBkSiuyVh4yg</t>
        </is>
      </c>
      <c r="O2798" s="48" t="n">
        <v>42076.09513888889</v>
      </c>
      <c r="P2798" s="49" t="n">
        <v>42075</v>
      </c>
      <c r="Q2798" s="47" t="n">
        <v>470</v>
      </c>
      <c r="R2798" s="47" t="inlineStr">
        <is>
          <t>No Video ID yet</t>
        </is>
      </c>
      <c r="S2798" s="49" t="n"/>
      <c r="T2798" s="49" t="n"/>
      <c r="U2798" s="47" t="inlineStr">
        <is>
          <t>Dorkly Article: Tristan Cooper HEY SUPER CARLIN FRIENDS ►► Every time you give us a thumbs up an imaginary Narwhal is born! =D</t>
        </is>
      </c>
      <c r="V2798" s="47">
        <f>IF(AND(P2798&gt;=Calendar!$K$2,P2798&lt;EDATE(Calendar!$K$2,1),OR(Calendar!$K$4="*",N2798=Calendar!$K$4)),P2798*100+COUNTIFS($P$6:$P$3267,P2798,$Q$6:$Q$3267,"&lt;="&amp;Q2798,$N$6:$N$3267,Calendar!$K$4),"")</f>
        <v/>
      </c>
      <c r="W2798" s="47">
        <f>IF(AND(B2798=Queue!$C$4,OR(Queue!$K$4="*",N2798=Queue!$K$4)),Q2798,"")</f>
        <v/>
      </c>
    </row>
    <row r="2799">
      <c r="A2799" s="38">
        <f>IF(M2799="","",HYPERLINK("https://www.youtube.com/watch?v="&amp;M2799,"▶"))</f>
        <v/>
      </c>
      <c r="B2799" s="39">
        <f>IF(C2799&lt;&gt;"",C2799,IF(P2799&lt;=IFERROR(INDEX(tblChannels[Watched Through],MATCH(N2799,tblChannels[Channel ID],0)),0),"Watched","Unwatched"))</f>
        <v/>
      </c>
      <c r="C2799" s="40" t="n"/>
      <c r="D2799" s="41" t="n"/>
      <c r="E2799" s="42" t="n">
        <v>42073.83263888889</v>
      </c>
      <c r="F2799" s="50" t="inlineStr">
        <is>
          <t>Super Carlin Brothers</t>
        </is>
      </c>
      <c r="G2799" t="inlineStr">
        <is>
          <t>The Sorting Hat Makes No Sense!!!</t>
        </is>
      </c>
      <c r="H2799" s="44" t="n">
        <v>0.003912037037037037</v>
      </c>
      <c r="I2799" s="45" t="n">
        <v>2079003</v>
      </c>
      <c r="J2799" s="45" t="n">
        <v>36672</v>
      </c>
      <c r="K2799" s="45" t="n">
        <v>8956</v>
      </c>
      <c r="L2799" s="46" t="n"/>
      <c r="M2799" s="47" t="n"/>
      <c r="N2799" s="47" t="inlineStr">
        <is>
          <t>UCKZo4N0lVPccBkSiuyVh4yg</t>
        </is>
      </c>
      <c r="O2799" s="48" t="n">
        <v>42073.99930555555</v>
      </c>
      <c r="P2799" s="49" t="n">
        <v>42073</v>
      </c>
      <c r="Q2799" s="47" t="n">
        <v>469</v>
      </c>
      <c r="R2799" s="47" t="inlineStr">
        <is>
          <t>No Video ID yet</t>
        </is>
      </c>
      <c r="S2799" s="49" t="n"/>
      <c r="T2799" s="49" t="n"/>
      <c r="U2799" s="47" t="inlineStr">
        <is>
          <t>What do you think! Should Hogwarts students be resorted or sorted based on something other than their personality?! HEY SUPER CARLIN FRIENDS ►► Every time you give us a thumbs up an imaginary Narwhal is born! =D</t>
        </is>
      </c>
      <c r="V2799" s="47">
        <f>IF(AND(P2799&gt;=Calendar!$K$2,P2799&lt;EDATE(Calendar!$K$2,1),OR(Calendar!$K$4="*",N2799=Calendar!$K$4)),P2799*100+COUNTIFS($P$6:$P$3267,P2799,$Q$6:$Q$3267,"&lt;="&amp;Q2799,$N$6:$N$3267,Calendar!$K$4),"")</f>
        <v/>
      </c>
      <c r="W2799" s="47">
        <f>IF(AND(B2799=Queue!$C$4,OR(Queue!$K$4="*",N2799=Queue!$K$4)),Q2799,"")</f>
        <v/>
      </c>
    </row>
    <row r="2800">
      <c r="A2800" s="38">
        <f>IF(M2800="","",HYPERLINK("https://www.youtube.com/watch?v="&amp;M2800,"▶"))</f>
        <v/>
      </c>
      <c r="B2800" s="39">
        <f>IF(C2800&lt;&gt;"",C2800,IF(P2800&lt;=IFERROR(INDEX(tblChannels[Watched Through],MATCH(N2800,tblChannels[Channel ID],0)),0),"Watched","Unwatched"))</f>
        <v/>
      </c>
      <c r="C2800" s="40" t="n"/>
      <c r="D2800" s="41" t="n"/>
      <c r="E2800" s="42" t="n">
        <v>42071.44236111111</v>
      </c>
      <c r="F2800" s="52" t="inlineStr">
        <is>
          <t>Super Carlin Gaming</t>
        </is>
      </c>
      <c r="G2800" t="inlineStr">
        <is>
          <t>Pokemon Heart Gold Nuzlocke  #5 | Fast Friends</t>
        </is>
      </c>
      <c r="H2800" s="44" t="n">
        <v>0.01868055555555555</v>
      </c>
      <c r="I2800" s="45" t="n">
        <v>35636</v>
      </c>
      <c r="J2800" s="45" t="n">
        <v>599</v>
      </c>
      <c r="K2800" s="45" t="n">
        <v>86</v>
      </c>
      <c r="L2800" s="46" t="n"/>
      <c r="M2800" s="47" t="n"/>
      <c r="N2800" s="47" t="inlineStr">
        <is>
          <t>UCor_9jRnNNZVzTuQ92PKsaQ</t>
        </is>
      </c>
      <c r="O2800" s="48" t="n">
        <v>42071.60902777778</v>
      </c>
      <c r="P2800" s="49" t="n">
        <v>42071</v>
      </c>
      <c r="Q2800" s="47" t="n">
        <v>468</v>
      </c>
      <c r="R2800" s="47" t="inlineStr">
        <is>
          <t>No Video ID yet</t>
        </is>
      </c>
      <c r="S2800" s="49" t="n"/>
      <c r="T2800" s="49" t="n"/>
      <c r="U2800" s="47" t="inlineStr">
        <is>
          <t>Azelea Town is on the Horizon and a new friendship is emerging on the team, but can they survive Team Rocket in the Slowpoke Well???</t>
        </is>
      </c>
      <c r="V2800" s="47">
        <f>IF(AND(P2800&gt;=Calendar!$K$2,P2800&lt;EDATE(Calendar!$K$2,1),OR(Calendar!$K$4="*",N2800=Calendar!$K$4)),P2800*100+COUNTIFS($P$6:$P$3267,P2800,$Q$6:$Q$3267,"&lt;="&amp;Q2800,$N$6:$N$3267,Calendar!$K$4),"")</f>
        <v/>
      </c>
      <c r="W2800" s="47">
        <f>IF(AND(B2800=Queue!$C$4,OR(Queue!$K$4="*",N2800=Queue!$K$4)),Q2800,"")</f>
        <v/>
      </c>
    </row>
    <row r="2801">
      <c r="A2801" s="38">
        <f>IF(M2801="","",HYPERLINK("https://www.youtube.com/watch?v="&amp;M2801,"▶"))</f>
        <v/>
      </c>
      <c r="B2801" s="39">
        <f>IF(C2801&lt;&gt;"",C2801,IF(P2801&lt;=IFERROR(INDEX(tblChannels[Watched Through],MATCH(N2801,tblChannels[Channel ID],0)),0),"Watched","Unwatched"))</f>
        <v/>
      </c>
      <c r="C2801" s="40" t="n"/>
      <c r="D2801" s="41" t="n"/>
      <c r="E2801" s="42" t="n">
        <v>42069.62361111111</v>
      </c>
      <c r="F2801" s="52" t="inlineStr">
        <is>
          <t>Super Carlin Gaming</t>
        </is>
      </c>
      <c r="G2801" t="inlineStr">
        <is>
          <t>Pac-Man Challenge #1</t>
        </is>
      </c>
      <c r="H2801" s="44" t="n">
        <v>0.007962962962962963</v>
      </c>
      <c r="I2801" s="45" t="n">
        <v>26615</v>
      </c>
      <c r="J2801" s="45" t="n">
        <v>503</v>
      </c>
      <c r="K2801" s="45" t="n">
        <v>71</v>
      </c>
      <c r="L2801" s="46" t="n"/>
      <c r="M2801" s="47" t="n"/>
      <c r="N2801" s="47" t="inlineStr">
        <is>
          <t>UCor_9jRnNNZVzTuQ92PKsaQ</t>
        </is>
      </c>
      <c r="O2801" s="48" t="n">
        <v>42069.83194444444</v>
      </c>
      <c r="P2801" s="49" t="n">
        <v>42069</v>
      </c>
      <c r="Q2801" s="47" t="n">
        <v>467</v>
      </c>
      <c r="R2801" s="47" t="inlineStr">
        <is>
          <t>No Video ID yet</t>
        </is>
      </c>
      <c r="S2801" s="49" t="n"/>
      <c r="T2801" s="49" t="n"/>
      <c r="U2801" s="47" t="inlineStr">
        <is>
          <t>I'll be honest I'm not very good at Pac-Man... YET! This is a challenge only against myself for the time being to get better and better at Pac-Man and beat my own "High" Scores. The more I learn about the history of this game the more it fascinates me, its super addicting and much more strategy than I initially anticipated.</t>
        </is>
      </c>
      <c r="V2801" s="47">
        <f>IF(AND(P2801&gt;=Calendar!$K$2,P2801&lt;EDATE(Calendar!$K$2,1),OR(Calendar!$K$4="*",N2801=Calendar!$K$4)),P2801*100+COUNTIFS($P$6:$P$3267,P2801,$Q$6:$Q$3267,"&lt;="&amp;Q2801,$N$6:$N$3267,Calendar!$K$4),"")</f>
        <v/>
      </c>
      <c r="W2801" s="47">
        <f>IF(AND(B2801=Queue!$C$4,OR(Queue!$K$4="*",N2801=Queue!$K$4)),Q2801,"")</f>
        <v/>
      </c>
    </row>
    <row r="2802">
      <c r="A2802" s="38">
        <f>IF(M2802="","",HYPERLINK("https://www.youtube.com/watch?v="&amp;M2802,"▶"))</f>
        <v/>
      </c>
      <c r="B2802" s="39">
        <f>IF(C2802&lt;&gt;"",C2802,IF(P2802&lt;=IFERROR(INDEX(tblChannels[Watched Through],MATCH(N2802,tblChannels[Channel ID],0)),0),"Watched","Unwatched"))</f>
        <v/>
      </c>
      <c r="C2802" s="40" t="n"/>
      <c r="D2802" s="41" t="n"/>
      <c r="E2802" s="42" t="n">
        <v>42068.94513888889</v>
      </c>
      <c r="F2802" s="50" t="inlineStr">
        <is>
          <t>Super Carlin Brothers</t>
        </is>
      </c>
      <c r="G2802" t="inlineStr">
        <is>
          <t>Online Shopping and Offline Dating</t>
        </is>
      </c>
      <c r="H2802" s="44" t="n">
        <v>0.003483796296296296</v>
      </c>
      <c r="I2802" s="45" t="n">
        <v>15018</v>
      </c>
      <c r="J2802" s="45" t="n">
        <v>455</v>
      </c>
      <c r="K2802" s="45" t="n">
        <v>86</v>
      </c>
      <c r="L2802" s="46" t="n"/>
      <c r="M2802" s="47" t="n"/>
      <c r="N2802" s="47" t="inlineStr">
        <is>
          <t>UCKZo4N0lVPccBkSiuyVh4yg</t>
        </is>
      </c>
      <c r="O2802" s="48" t="n">
        <v>42069.15347222222</v>
      </c>
      <c r="P2802" s="49" t="n">
        <v>42068</v>
      </c>
      <c r="Q2802" s="47" t="n">
        <v>466</v>
      </c>
      <c r="R2802" s="47" t="inlineStr">
        <is>
          <t>No Video ID yet</t>
        </is>
      </c>
      <c r="S2802" s="49" t="n"/>
      <c r="T2802" s="49" t="n"/>
      <c r="U2802" s="47" t="inlineStr">
        <is>
          <t>Tyler's Video!! HEY SUPER CARLIN FRIENDS ►► Every time you give us a thumbs up an imaginary Narwhal is born! =D</t>
        </is>
      </c>
      <c r="V2802" s="47">
        <f>IF(AND(P2802&gt;=Calendar!$K$2,P2802&lt;EDATE(Calendar!$K$2,1),OR(Calendar!$K$4="*",N2802=Calendar!$K$4)),P2802*100+COUNTIFS($P$6:$P$3267,P2802,$Q$6:$Q$3267,"&lt;="&amp;Q2802,$N$6:$N$3267,Calendar!$K$4),"")</f>
        <v/>
      </c>
      <c r="W2802" s="47">
        <f>IF(AND(B2802=Queue!$C$4,OR(Queue!$K$4="*",N2802=Queue!$K$4)),Q2802,"")</f>
        <v/>
      </c>
    </row>
    <row r="2803">
      <c r="A2803" s="38">
        <f>IF(M2803="","",HYPERLINK("https://www.youtube.com/watch?v="&amp;M2803,"▶"))</f>
        <v/>
      </c>
      <c r="B2803" s="39">
        <f>IF(C2803&lt;&gt;"",C2803,IF(P2803&lt;=IFERROR(INDEX(tblChannels[Watched Through],MATCH(N2803,tblChannels[Channel ID],0)),0),"Watched","Unwatched"))</f>
        <v/>
      </c>
      <c r="C2803" s="40" t="n"/>
      <c r="D2803" s="41" t="n"/>
      <c r="E2803" s="42" t="n">
        <v>42066.6875</v>
      </c>
      <c r="F2803" s="50" t="inlineStr">
        <is>
          <t>Super Carlin Brothers</t>
        </is>
      </c>
      <c r="G2803" t="inlineStr">
        <is>
          <t>LOOT CRATE UNBOXING | PLAY</t>
        </is>
      </c>
      <c r="H2803" s="44" t="n">
        <v>0.006099537037037037</v>
      </c>
      <c r="I2803" s="45" t="n">
        <v>75750</v>
      </c>
      <c r="J2803" s="45" t="n">
        <v>1217</v>
      </c>
      <c r="K2803" s="45" t="n">
        <v>196</v>
      </c>
      <c r="L2803" s="46" t="n"/>
      <c r="M2803" s="47" t="n"/>
      <c r="N2803" s="47" t="inlineStr">
        <is>
          <t>UCKZo4N0lVPccBkSiuyVh4yg</t>
        </is>
      </c>
      <c r="O2803" s="48" t="n">
        <v>42066.89583333334</v>
      </c>
      <c r="P2803" s="49" t="n">
        <v>42066</v>
      </c>
      <c r="Q2803" s="47" t="n">
        <v>465</v>
      </c>
      <c r="R2803" s="47" t="inlineStr">
        <is>
          <t>No Video ID yet</t>
        </is>
      </c>
      <c r="S2803" s="49" t="n"/>
      <c r="T2803" s="49" t="n"/>
      <c r="U2803" s="47" t="inlineStr">
        <is>
          <t>Get 10% off your LootCrate Order with Promo Code: CARLIN Who would win in a fight Literal Teen Wolf vs. Trapper HEY SUPER CARLIN FRIENDS ►► Every time you give us a thumbs up an imaginary Narwhal is born! =D</t>
        </is>
      </c>
      <c r="V2803" s="47">
        <f>IF(AND(P2803&gt;=Calendar!$K$2,P2803&lt;EDATE(Calendar!$K$2,1),OR(Calendar!$K$4="*",N2803=Calendar!$K$4)),P2803*100+COUNTIFS($P$6:$P$3267,P2803,$Q$6:$Q$3267,"&lt;="&amp;Q2803,$N$6:$N$3267,Calendar!$K$4),"")</f>
        <v/>
      </c>
      <c r="W2803" s="47">
        <f>IF(AND(B2803=Queue!$C$4,OR(Queue!$K$4="*",N2803=Queue!$K$4)),Q2803,"")</f>
        <v/>
      </c>
    </row>
    <row r="2804">
      <c r="A2804" s="38">
        <f>IF(M2804="","",HYPERLINK("https://www.youtube.com/watch?v="&amp;M2804,"▶"))</f>
        <v/>
      </c>
      <c r="B2804" s="39">
        <f>IF(C2804&lt;&gt;"",C2804,IF(P2804&lt;=IFERROR(INDEX(tblChannels[Watched Through],MATCH(N2804,tblChannels[Channel ID],0)),0),"Watched","Unwatched"))</f>
        <v/>
      </c>
      <c r="C2804" s="40" t="n"/>
      <c r="D2804" s="41" t="n"/>
      <c r="E2804" s="42" t="n">
        <v>42061.81666666667</v>
      </c>
      <c r="F2804" s="50" t="inlineStr">
        <is>
          <t>Super Carlin Brothers</t>
        </is>
      </c>
      <c r="G2804" t="inlineStr">
        <is>
          <t>Humble Grumble</t>
        </is>
      </c>
      <c r="H2804" s="44" t="n">
        <v>0.002789351851851852</v>
      </c>
      <c r="I2804" s="45" t="n">
        <v>12633</v>
      </c>
      <c r="J2804" s="45" t="n">
        <v>432</v>
      </c>
      <c r="K2804" s="45" t="n">
        <v>99</v>
      </c>
      <c r="L2804" s="46" t="n"/>
      <c r="M2804" s="47" t="n"/>
      <c r="N2804" s="47" t="inlineStr">
        <is>
          <t>UCKZo4N0lVPccBkSiuyVh4yg</t>
        </is>
      </c>
      <c r="O2804" s="48" t="n">
        <v>42062.025</v>
      </c>
      <c r="P2804" s="49" t="n">
        <v>42061</v>
      </c>
      <c r="Q2804" s="47" t="n">
        <v>464</v>
      </c>
      <c r="R2804" s="47" t="inlineStr">
        <is>
          <t>No Video ID yet</t>
        </is>
      </c>
      <c r="S2804" s="49" t="n"/>
      <c r="T2804" s="49" t="n"/>
      <c r="U2804" s="47" t="inlineStr">
        <is>
          <t>HEY SUPER CARLIN FRIENDS ►► Every time you give us a thumbs up an imaginary Narwhal is born! =D</t>
        </is>
      </c>
      <c r="V2804" s="47">
        <f>IF(AND(P2804&gt;=Calendar!$K$2,P2804&lt;EDATE(Calendar!$K$2,1),OR(Calendar!$K$4="*",N2804=Calendar!$K$4)),P2804*100+COUNTIFS($P$6:$P$3267,P2804,$Q$6:$Q$3267,"&lt;="&amp;Q2804,$N$6:$N$3267,Calendar!$K$4),"")</f>
        <v/>
      </c>
      <c r="W2804" s="47">
        <f>IF(AND(B2804=Queue!$C$4,OR(Queue!$K$4="*",N2804=Queue!$K$4)),Q2804,"")</f>
        <v/>
      </c>
    </row>
    <row r="2805">
      <c r="A2805" s="38">
        <f>IF(M2805="","",HYPERLINK("https://www.youtube.com/watch?v="&amp;M2805,"▶"))</f>
        <v/>
      </c>
      <c r="B2805" s="39">
        <f>IF(C2805&lt;&gt;"",C2805,IF(P2805&lt;=IFERROR(INDEX(tblChannels[Watched Through],MATCH(N2805,tblChannels[Channel ID],0)),0),"Watched","Unwatched"))</f>
        <v/>
      </c>
      <c r="C2805" s="40" t="n"/>
      <c r="D2805" s="41" t="n"/>
      <c r="E2805" s="42" t="n">
        <v>42059.97361111111</v>
      </c>
      <c r="F2805" s="50" t="inlineStr">
        <is>
          <t>Super Carlin Brothers</t>
        </is>
      </c>
      <c r="G2805" t="inlineStr">
        <is>
          <t>WANNA GET LUNCH?!</t>
        </is>
      </c>
      <c r="H2805" s="44" t="n">
        <v>0.002881944444444444</v>
      </c>
      <c r="I2805" s="45" t="n">
        <v>36486</v>
      </c>
      <c r="J2805" s="45" t="n">
        <v>1111</v>
      </c>
      <c r="K2805" s="45" t="n">
        <v>163</v>
      </c>
      <c r="L2805" s="46" t="n"/>
      <c r="M2805" s="47" t="n"/>
      <c r="N2805" s="47" t="inlineStr">
        <is>
          <t>UCKZo4N0lVPccBkSiuyVh4yg</t>
        </is>
      </c>
      <c r="O2805" s="48" t="n">
        <v>42060.18194444444</v>
      </c>
      <c r="P2805" s="49" t="n">
        <v>42059</v>
      </c>
      <c r="Q2805" s="47" t="n">
        <v>463</v>
      </c>
      <c r="R2805" s="47" t="inlineStr">
        <is>
          <t>No Video ID yet</t>
        </is>
      </c>
      <c r="S2805" s="49" t="n"/>
      <c r="T2805" s="49" t="n"/>
      <c r="U2805" s="47" t="inlineStr">
        <is>
          <t>Seriously though.. Narwhal Detective.. great comic right? HEY SUPER CARLIN FRIENDS ►► Every time you give us a thumbs up an imaginary Narwhal is born! =D</t>
        </is>
      </c>
      <c r="V2805" s="47">
        <f>IF(AND(P2805&gt;=Calendar!$K$2,P2805&lt;EDATE(Calendar!$K$2,1),OR(Calendar!$K$4="*",N2805=Calendar!$K$4)),P2805*100+COUNTIFS($P$6:$P$3267,P2805,$Q$6:$Q$3267,"&lt;="&amp;Q2805,$N$6:$N$3267,Calendar!$K$4),"")</f>
        <v/>
      </c>
      <c r="W2805" s="47">
        <f>IF(AND(B2805=Queue!$C$4,OR(Queue!$K$4="*",N2805=Queue!$K$4)),Q2805,"")</f>
        <v/>
      </c>
    </row>
    <row r="2806">
      <c r="A2806" s="38">
        <f>IF(M2806="","",HYPERLINK("https://www.youtube.com/watch?v="&amp;M2806,"▶"))</f>
        <v/>
      </c>
      <c r="B2806" s="39">
        <f>IF(C2806&lt;&gt;"",C2806,IF(P2806&lt;=IFERROR(INDEX(tblChannels[Watched Through],MATCH(N2806,tblChannels[Channel ID],0)),0),"Watched","Unwatched"))</f>
        <v/>
      </c>
      <c r="C2806" s="40" t="n"/>
      <c r="D2806" s="41" t="n"/>
      <c r="E2806" s="42" t="n">
        <v>42057.62708333333</v>
      </c>
      <c r="F2806" s="52" t="inlineStr">
        <is>
          <t>Super Carlin Gaming</t>
        </is>
      </c>
      <c r="G2806" t="inlineStr">
        <is>
          <t>Pokemon Heart Gold Nuzlocke #4 | A New Shock</t>
        </is>
      </c>
      <c r="H2806" s="44" t="n">
        <v>0.0228587962962963</v>
      </c>
      <c r="I2806" s="45" t="n">
        <v>40509</v>
      </c>
      <c r="J2806" s="45" t="n">
        <v>593</v>
      </c>
      <c r="K2806" s="45" t="n">
        <v>115</v>
      </c>
      <c r="L2806" s="46" t="n"/>
      <c r="M2806" s="47" t="n"/>
      <c r="N2806" s="47" t="inlineStr">
        <is>
          <t>UCor_9jRnNNZVzTuQ92PKsaQ</t>
        </is>
      </c>
      <c r="O2806" s="48" t="n">
        <v>42057.83541666667</v>
      </c>
      <c r="P2806" s="49" t="n">
        <v>42057</v>
      </c>
      <c r="Q2806" s="47" t="n">
        <v>462</v>
      </c>
      <c r="R2806" s="47" t="inlineStr">
        <is>
          <t>No Video ID yet</t>
        </is>
      </c>
      <c r="S2806" s="49" t="n"/>
      <c r="T2806" s="49" t="n"/>
      <c r="U2806" s="47" t="inlineStr">
        <is>
          <t>4 more friends means someone has to take a seat in the box...</t>
        </is>
      </c>
      <c r="V2806" s="47">
        <f>IF(AND(P2806&gt;=Calendar!$K$2,P2806&lt;EDATE(Calendar!$K$2,1),OR(Calendar!$K$4="*",N2806=Calendar!$K$4)),P2806*100+COUNTIFS($P$6:$P$3267,P2806,$Q$6:$Q$3267,"&lt;="&amp;Q2806,$N$6:$N$3267,Calendar!$K$4),"")</f>
        <v/>
      </c>
      <c r="W2806" s="47">
        <f>IF(AND(B2806=Queue!$C$4,OR(Queue!$K$4="*",N2806=Queue!$K$4)),Q2806,"")</f>
        <v/>
      </c>
    </row>
    <row r="2807">
      <c r="A2807" s="38">
        <f>IF(M2807="","",HYPERLINK("https://www.youtube.com/watch?v="&amp;M2807,"▶"))</f>
        <v/>
      </c>
      <c r="B2807" s="39">
        <f>IF(C2807&lt;&gt;"",C2807,IF(P2807&lt;=IFERROR(INDEX(tblChannels[Watched Through],MATCH(N2807,tblChannels[Channel ID],0)),0),"Watched","Unwatched"))</f>
        <v/>
      </c>
      <c r="C2807" s="40" t="n"/>
      <c r="D2807" s="41" t="n"/>
      <c r="E2807" s="42" t="n">
        <v>42054.95833333334</v>
      </c>
      <c r="F2807" s="50" t="inlineStr">
        <is>
          <t>Super Carlin Brothers</t>
        </is>
      </c>
      <c r="G2807" t="inlineStr">
        <is>
          <t>The Foolish Beauty Pageant</t>
        </is>
      </c>
      <c r="H2807" s="44" t="n">
        <v>0.002951388888888889</v>
      </c>
      <c r="I2807" s="45" t="n">
        <v>13481</v>
      </c>
      <c r="J2807" s="45" t="n">
        <v>415</v>
      </c>
      <c r="K2807" s="45" t="n">
        <v>44</v>
      </c>
      <c r="L2807" s="46" t="n"/>
      <c r="M2807" s="47" t="n"/>
      <c r="N2807" s="47" t="inlineStr">
        <is>
          <t>UCKZo4N0lVPccBkSiuyVh4yg</t>
        </is>
      </c>
      <c r="O2807" s="48" t="n">
        <v>42055.16666666666</v>
      </c>
      <c r="P2807" s="49" t="n">
        <v>42054</v>
      </c>
      <c r="Q2807" s="47" t="n">
        <v>461</v>
      </c>
      <c r="R2807" s="47" t="inlineStr">
        <is>
          <t>No Video ID yet</t>
        </is>
      </c>
      <c r="S2807" s="49" t="n"/>
      <c r="T2807" s="49" t="n"/>
      <c r="U2807" s="47" t="inlineStr">
        <is>
          <t>Help Tyler by liking this photo on instagram!!!! HEY SUPER CARLIN FRIENDS ►► Every time you give us a thumbs up an imaginary Narwhal is born! =D</t>
        </is>
      </c>
      <c r="V2807" s="47">
        <f>IF(AND(P2807&gt;=Calendar!$K$2,P2807&lt;EDATE(Calendar!$K$2,1),OR(Calendar!$K$4="*",N2807=Calendar!$K$4)),P2807*100+COUNTIFS($P$6:$P$3267,P2807,$Q$6:$Q$3267,"&lt;="&amp;Q2807,$N$6:$N$3267,Calendar!$K$4),"")</f>
        <v/>
      </c>
      <c r="W2807" s="47">
        <f>IF(AND(B2807=Queue!$C$4,OR(Queue!$K$4="*",N2807=Queue!$K$4)),Q2807,"")</f>
        <v/>
      </c>
    </row>
    <row r="2808">
      <c r="A2808" s="38">
        <f>IF(M2808="","",HYPERLINK("https://www.youtube.com/watch?v="&amp;M2808,"▶"))</f>
        <v/>
      </c>
      <c r="B2808" s="39">
        <f>IF(C2808&lt;&gt;"",C2808,IF(P2808&lt;=IFERROR(INDEX(tblChannels[Watched Through],MATCH(N2808,tblChannels[Channel ID],0)),0),"Watched","Unwatched"))</f>
        <v/>
      </c>
      <c r="C2808" s="40" t="n"/>
      <c r="D2808" s="41" t="n"/>
      <c r="E2808" s="42" t="n">
        <v>42052.77847222222</v>
      </c>
      <c r="F2808" s="50" t="inlineStr">
        <is>
          <t>Super Carlin Brothers</t>
        </is>
      </c>
      <c r="G2808" t="inlineStr">
        <is>
          <t>The Whisper Challenge with Beth!</t>
        </is>
      </c>
      <c r="H2808" s="44" t="n">
        <v>0.003888888888888889</v>
      </c>
      <c r="I2808" s="45" t="n">
        <v>81221</v>
      </c>
      <c r="J2808" s="45" t="n">
        <v>1792</v>
      </c>
      <c r="K2808" s="45" t="n">
        <v>448</v>
      </c>
      <c r="L2808" s="46" t="n"/>
      <c r="M2808" s="47" t="n"/>
      <c r="N2808" s="47" t="inlineStr">
        <is>
          <t>UCKZo4N0lVPccBkSiuyVh4yg</t>
        </is>
      </c>
      <c r="O2808" s="48" t="n">
        <v>42052.98680555556</v>
      </c>
      <c r="P2808" s="49" t="n">
        <v>42052</v>
      </c>
      <c r="Q2808" s="47" t="n">
        <v>460</v>
      </c>
      <c r="R2808" s="47" t="inlineStr">
        <is>
          <t>No Video ID yet</t>
        </is>
      </c>
      <c r="S2808" s="49" t="n"/>
      <c r="T2808" s="49" t="n"/>
      <c r="U2808" s="47" t="inlineStr">
        <is>
          <t>Ooga-Chaka Ooga-Ooga Ooga-Chaka Ooga-Ooga Ooga-Chaka HEY SUPER CARLIN FRIENDS ►► Every time you give us a thumbs up an imaginary Narwhal is born! =D</t>
        </is>
      </c>
      <c r="V2808" s="47">
        <f>IF(AND(P2808&gt;=Calendar!$K$2,P2808&lt;EDATE(Calendar!$K$2,1),OR(Calendar!$K$4="*",N2808=Calendar!$K$4)),P2808*100+COUNTIFS($P$6:$P$3267,P2808,$Q$6:$Q$3267,"&lt;="&amp;Q2808,$N$6:$N$3267,Calendar!$K$4),"")</f>
        <v/>
      </c>
      <c r="W2808" s="47">
        <f>IF(AND(B2808=Queue!$C$4,OR(Queue!$K$4="*",N2808=Queue!$K$4)),Q2808,"")</f>
        <v/>
      </c>
    </row>
    <row r="2809">
      <c r="A2809" s="38">
        <f>IF(M2809="","",HYPERLINK("https://www.youtube.com/watch?v="&amp;M2809,"▶"))</f>
        <v/>
      </c>
      <c r="B2809" s="39">
        <f>IF(C2809&lt;&gt;"",C2809,IF(P2809&lt;=IFERROR(INDEX(tblChannels[Watched Through],MATCH(N2809,tblChannels[Channel ID],0)),0),"Watched","Unwatched"))</f>
        <v/>
      </c>
      <c r="C2809" s="40" t="n"/>
      <c r="D2809" s="41" t="n"/>
      <c r="E2809" s="42" t="n">
        <v>42047.91180555556</v>
      </c>
      <c r="F2809" s="50" t="inlineStr">
        <is>
          <t>Super Carlin Brothers</t>
        </is>
      </c>
      <c r="G2809" t="inlineStr">
        <is>
          <t>The Viewer Interview</t>
        </is>
      </c>
      <c r="H2809" s="44" t="n">
        <v>0.002951388888888889</v>
      </c>
      <c r="I2809" s="45" t="n">
        <v>10107</v>
      </c>
      <c r="J2809" s="45" t="n">
        <v>345</v>
      </c>
      <c r="K2809" s="45" t="n">
        <v>131</v>
      </c>
      <c r="L2809" s="46" t="n"/>
      <c r="M2809" s="47" t="n"/>
      <c r="N2809" s="47" t="inlineStr">
        <is>
          <t>UCKZo4N0lVPccBkSiuyVh4yg</t>
        </is>
      </c>
      <c r="O2809" s="48" t="n">
        <v>42048.12013888889</v>
      </c>
      <c r="P2809" s="49" t="n">
        <v>42047</v>
      </c>
      <c r="Q2809" s="47" t="n">
        <v>459</v>
      </c>
      <c r="R2809" s="47" t="inlineStr">
        <is>
          <t>No Video ID yet</t>
        </is>
      </c>
      <c r="S2809" s="49" t="n"/>
      <c r="T2809" s="49" t="n"/>
      <c r="U2809" s="47" t="inlineStr">
        <is>
          <t>HEY SUPER CARLIN FRIENDS ►► Every time you give us a thumbs up an imaginary Narwhal is born! =D</t>
        </is>
      </c>
      <c r="V2809" s="47">
        <f>IF(AND(P2809&gt;=Calendar!$K$2,P2809&lt;EDATE(Calendar!$K$2,1),OR(Calendar!$K$4="*",N2809=Calendar!$K$4)),P2809*100+COUNTIFS($P$6:$P$3267,P2809,$Q$6:$Q$3267,"&lt;="&amp;Q2809,$N$6:$N$3267,Calendar!$K$4),"")</f>
        <v/>
      </c>
      <c r="W2809" s="47">
        <f>IF(AND(B2809=Queue!$C$4,OR(Queue!$K$4="*",N2809=Queue!$K$4)),Q2809,"")</f>
        <v/>
      </c>
    </row>
    <row r="2810">
      <c r="A2810" s="38">
        <f>IF(M2810="","",HYPERLINK("https://www.youtube.com/watch?v="&amp;M2810,"▶"))</f>
        <v/>
      </c>
      <c r="B2810" s="39">
        <f>IF(C2810&lt;&gt;"",C2810,IF(P2810&lt;=IFERROR(INDEX(tblChannels[Watched Through],MATCH(N2810,tblChannels[Channel ID],0)),0),"Watched","Unwatched"))</f>
        <v/>
      </c>
      <c r="C2810" s="40" t="n"/>
      <c r="D2810" s="41" t="n"/>
      <c r="E2810" s="42" t="n">
        <v>42045.97569444445</v>
      </c>
      <c r="F2810" s="50" t="inlineStr">
        <is>
          <t>Super Carlin Brothers</t>
        </is>
      </c>
      <c r="G2810" t="inlineStr">
        <is>
          <t>Does Love Google Autofill</t>
        </is>
      </c>
      <c r="H2810" s="44" t="n">
        <v>0.004699074074074074</v>
      </c>
      <c r="I2810" s="45" t="n">
        <v>273344</v>
      </c>
      <c r="J2810" s="45" t="n">
        <v>5210</v>
      </c>
      <c r="K2810" s="45" t="n">
        <v>855</v>
      </c>
      <c r="L2810" s="46" t="n"/>
      <c r="M2810" s="47" t="n"/>
      <c r="N2810" s="47" t="inlineStr">
        <is>
          <t>UCKZo4N0lVPccBkSiuyVh4yg</t>
        </is>
      </c>
      <c r="O2810" s="48" t="n">
        <v>42046.18402777778</v>
      </c>
      <c r="P2810" s="49" t="n">
        <v>42045</v>
      </c>
      <c r="Q2810" s="47" t="n">
        <v>458</v>
      </c>
      <c r="R2810" s="47" t="inlineStr">
        <is>
          <t>No Video ID yet</t>
        </is>
      </c>
      <c r="S2810" s="49" t="n"/>
      <c r="T2810" s="49" t="n"/>
      <c r="U2810" s="47" t="inlineStr">
        <is>
          <t>Does love need a reason? Thoughts on Valentines Day? HEY SUPER CARLIN FRIENDS ►► Every time you give us a thumbs up an imaginary Narwhal is born! =D</t>
        </is>
      </c>
      <c r="V2810" s="47">
        <f>IF(AND(P2810&gt;=Calendar!$K$2,P2810&lt;EDATE(Calendar!$K$2,1),OR(Calendar!$K$4="*",N2810=Calendar!$K$4)),P2810*100+COUNTIFS($P$6:$P$3267,P2810,$Q$6:$Q$3267,"&lt;="&amp;Q2810,$N$6:$N$3267,Calendar!$K$4),"")</f>
        <v/>
      </c>
      <c r="W2810" s="47">
        <f>IF(AND(B2810=Queue!$C$4,OR(Queue!$K$4="*",N2810=Queue!$K$4)),Q2810,"")</f>
        <v/>
      </c>
    </row>
    <row r="2811">
      <c r="A2811" s="38">
        <f>IF(M2811="","",HYPERLINK("https://www.youtube.com/watch?v="&amp;M2811,"▶"))</f>
        <v/>
      </c>
      <c r="B2811" s="39">
        <f>IF(C2811&lt;&gt;"",C2811,IF(P2811&lt;=IFERROR(INDEX(tblChannels[Watched Through],MATCH(N2811,tblChannels[Channel ID],0)),0),"Watched","Unwatched"))</f>
        <v/>
      </c>
      <c r="C2811" s="40" t="n"/>
      <c r="D2811" s="41" t="n"/>
      <c r="E2811" s="42" t="n">
        <v>42041.42361111111</v>
      </c>
      <c r="F2811" s="50" t="inlineStr">
        <is>
          <t>Super Carlin Brothers</t>
        </is>
      </c>
      <c r="G2811" t="inlineStr">
        <is>
          <t>JUXTABROS - PLAYLIST LIVE - LIGHTNING ROUND!</t>
        </is>
      </c>
      <c r="H2811" s="44" t="n">
        <v>0.004351851851851852</v>
      </c>
      <c r="I2811" s="45" t="n">
        <v>10723</v>
      </c>
      <c r="J2811" s="45" t="n">
        <v>356</v>
      </c>
      <c r="K2811" s="45" t="n">
        <v>72</v>
      </c>
      <c r="L2811" s="46" t="n"/>
      <c r="M2811" s="47" t="n"/>
      <c r="N2811" s="47" t="inlineStr">
        <is>
          <t>UCKZo4N0lVPccBkSiuyVh4yg</t>
        </is>
      </c>
      <c r="O2811" s="48" t="n">
        <v>42041.63194444445</v>
      </c>
      <c r="P2811" s="49" t="n">
        <v>42041</v>
      </c>
      <c r="Q2811" s="47" t="n">
        <v>457</v>
      </c>
      <c r="R2811" s="47" t="inlineStr">
        <is>
          <t>No Video ID yet</t>
        </is>
      </c>
      <c r="S2811" s="49" t="n"/>
      <c r="T2811" s="49" t="n"/>
      <c r="U2811" s="47" t="inlineStr">
        <is>
          <t>We are at Playlist Live! Are you?!? Tweet us @Jonkerlin and @SCB_Ben ...and for the record it's our neighbors dogs that are barking =D</t>
        </is>
      </c>
      <c r="V2811" s="47">
        <f>IF(AND(P2811&gt;=Calendar!$K$2,P2811&lt;EDATE(Calendar!$K$2,1),OR(Calendar!$K$4="*",N2811=Calendar!$K$4)),P2811*100+COUNTIFS($P$6:$P$3267,P2811,$Q$6:$Q$3267,"&lt;="&amp;Q2811,$N$6:$N$3267,Calendar!$K$4),"")</f>
        <v/>
      </c>
      <c r="W2811" s="47">
        <f>IF(AND(B2811=Queue!$C$4,OR(Queue!$K$4="*",N2811=Queue!$K$4)),Q2811,"")</f>
        <v/>
      </c>
    </row>
    <row r="2812">
      <c r="A2812" s="38">
        <f>IF(M2812="","",HYPERLINK("https://www.youtube.com/watch?v="&amp;M2812,"▶"))</f>
        <v/>
      </c>
      <c r="B2812" s="39">
        <f>IF(C2812&lt;&gt;"",C2812,IF(P2812&lt;=IFERROR(INDEX(tblChannels[Watched Through],MATCH(N2812,tblChannels[Channel ID],0)),0),"Watched","Unwatched"))</f>
        <v/>
      </c>
      <c r="C2812" s="40" t="n"/>
      <c r="D2812" s="41" t="n"/>
      <c r="E2812" s="42" t="n">
        <v>42038.75277777778</v>
      </c>
      <c r="F2812" s="50" t="inlineStr">
        <is>
          <t>Super Carlin Brothers</t>
        </is>
      </c>
      <c r="G2812" t="inlineStr">
        <is>
          <t>Is Pixar Sexist? (feat. Ashley Mardell)</t>
        </is>
      </c>
      <c r="H2812" s="44" t="n">
        <v>0.005381944444444444</v>
      </c>
      <c r="I2812" s="45" t="n">
        <v>3001551</v>
      </c>
      <c r="J2812" s="45" t="n">
        <v>41875</v>
      </c>
      <c r="K2812" s="45" t="n">
        <v>8529</v>
      </c>
      <c r="L2812" s="46" t="n"/>
      <c r="M2812" s="47" t="n"/>
      <c r="N2812" s="47" t="inlineStr">
        <is>
          <t>UCKZo4N0lVPccBkSiuyVh4yg</t>
        </is>
      </c>
      <c r="O2812" s="48" t="n">
        <v>42038.96111111111</v>
      </c>
      <c r="P2812" s="49" t="n">
        <v>42038</v>
      </c>
      <c r="Q2812" s="47" t="n">
        <v>456</v>
      </c>
      <c r="R2812" s="47" t="inlineStr">
        <is>
          <t>No Video ID yet</t>
        </is>
      </c>
      <c r="S2812" s="49" t="n"/>
      <c r="T2812" s="49" t="n"/>
      <c r="U2812" s="47" t="inlineStr">
        <is>
          <t>Who is your favorite Pixar Character that breaks gender norms or is a positive female role model? ASHLEY MARDELL: Read the full Article here: PATREON:</t>
        </is>
      </c>
      <c r="V2812" s="47">
        <f>IF(AND(P2812&gt;=Calendar!$K$2,P2812&lt;EDATE(Calendar!$K$2,1),OR(Calendar!$K$4="*",N2812=Calendar!$K$4)),P2812*100+COUNTIFS($P$6:$P$3267,P2812,$Q$6:$Q$3267,"&lt;="&amp;Q2812,$N$6:$N$3267,Calendar!$K$4),"")</f>
        <v/>
      </c>
      <c r="W2812" s="47">
        <f>IF(AND(B2812=Queue!$C$4,OR(Queue!$K$4="*",N2812=Queue!$K$4)),Q2812,"")</f>
        <v/>
      </c>
    </row>
    <row r="2813">
      <c r="A2813" s="38">
        <f>IF(M2813="","",HYPERLINK("https://www.youtube.com/watch?v="&amp;M2813,"▶"))</f>
        <v/>
      </c>
      <c r="B2813" s="39">
        <f>IF(C2813&lt;&gt;"",C2813,IF(P2813&lt;=IFERROR(INDEX(tblChannels[Watched Through],MATCH(N2813,tblChannels[Channel ID],0)),0),"Watched","Unwatched"))</f>
        <v/>
      </c>
      <c r="C2813" s="40" t="n"/>
      <c r="D2813" s="41" t="n"/>
      <c r="E2813" s="42" t="n">
        <v>42033.88194444445</v>
      </c>
      <c r="F2813" s="50" t="inlineStr">
        <is>
          <t>Super Carlin Brothers</t>
        </is>
      </c>
      <c r="G2813" t="inlineStr">
        <is>
          <t>Best Day of Your Life</t>
        </is>
      </c>
      <c r="H2813" s="44" t="n">
        <v>0.003622685185185185</v>
      </c>
      <c r="I2813" s="45" t="n">
        <v>10645</v>
      </c>
      <c r="J2813" s="45" t="n">
        <v>387</v>
      </c>
      <c r="K2813" s="45" t="n">
        <v>68</v>
      </c>
      <c r="L2813" s="46" t="n"/>
      <c r="M2813" s="47" t="n"/>
      <c r="N2813" s="47" t="inlineStr">
        <is>
          <t>UCKZo4N0lVPccBkSiuyVh4yg</t>
        </is>
      </c>
      <c r="O2813" s="48" t="n">
        <v>42034.09027777778</v>
      </c>
      <c r="P2813" s="49" t="n">
        <v>42033</v>
      </c>
      <c r="Q2813" s="47" t="n">
        <v>455</v>
      </c>
      <c r="R2813" s="47" t="inlineStr">
        <is>
          <t>No Video ID yet</t>
        </is>
      </c>
      <c r="S2813" s="49" t="n"/>
      <c r="T2813" s="49" t="n"/>
      <c r="U2813" s="47" t="inlineStr">
        <is>
          <t>Do you know the best day of your life (thus far)?</t>
        </is>
      </c>
      <c r="V2813" s="47">
        <f>IF(AND(P2813&gt;=Calendar!$K$2,P2813&lt;EDATE(Calendar!$K$2,1),OR(Calendar!$K$4="*",N2813=Calendar!$K$4)),P2813*100+COUNTIFS($P$6:$P$3267,P2813,$Q$6:$Q$3267,"&lt;="&amp;Q2813,$N$6:$N$3267,Calendar!$K$4),"")</f>
        <v/>
      </c>
      <c r="W2813" s="47">
        <f>IF(AND(B2813=Queue!$C$4,OR(Queue!$K$4="*",N2813=Queue!$K$4)),Q2813,"")</f>
        <v/>
      </c>
    </row>
    <row r="2814">
      <c r="A2814" s="38">
        <f>IF(M2814="","",HYPERLINK("https://www.youtube.com/watch?v="&amp;M2814,"▶"))</f>
        <v/>
      </c>
      <c r="B2814" s="39">
        <f>IF(C2814&lt;&gt;"",C2814,IF(P2814&lt;=IFERROR(INDEX(tblChannels[Watched Through],MATCH(N2814,tblChannels[Channel ID],0)),0),"Watched","Unwatched"))</f>
        <v/>
      </c>
      <c r="C2814" s="40" t="n"/>
      <c r="D2814" s="41" t="n"/>
      <c r="E2814" s="42" t="n">
        <v>42033.31875</v>
      </c>
      <c r="F2814" s="52" t="inlineStr">
        <is>
          <t>Super Carlin Gaming</t>
        </is>
      </c>
      <c r="G2814" t="inlineStr">
        <is>
          <t>Pokemon Heart Gold Nuzlocke  #3 | The First Test</t>
        </is>
      </c>
      <c r="H2814" s="44" t="n">
        <v>0.0178587962962963</v>
      </c>
      <c r="I2814" s="45" t="n">
        <v>41043</v>
      </c>
      <c r="J2814" s="45" t="n">
        <v>628</v>
      </c>
      <c r="K2814" s="45" t="n">
        <v>140</v>
      </c>
      <c r="L2814" s="46" t="n"/>
      <c r="M2814" s="47" t="n"/>
      <c r="N2814" s="47" t="inlineStr">
        <is>
          <t>UCor_9jRnNNZVzTuQ92PKsaQ</t>
        </is>
      </c>
      <c r="O2814" s="48" t="n">
        <v>42033.52708333333</v>
      </c>
      <c r="P2814" s="49" t="n">
        <v>42033</v>
      </c>
      <c r="Q2814" s="47" t="n">
        <v>454</v>
      </c>
      <c r="R2814" s="47" t="inlineStr">
        <is>
          <t>No Video ID yet</t>
        </is>
      </c>
      <c r="S2814" s="49" t="n"/>
      <c r="T2814" s="49" t="n"/>
      <c r="U2814" s="47" t="inlineStr">
        <is>
          <t>As the team begins to get to know each other, rivalries start to form - Can they overcome each other to defeat the first gym leader?</t>
        </is>
      </c>
      <c r="V2814" s="47">
        <f>IF(AND(P2814&gt;=Calendar!$K$2,P2814&lt;EDATE(Calendar!$K$2,1),OR(Calendar!$K$4="*",N2814=Calendar!$K$4)),P2814*100+COUNTIFS($P$6:$P$3267,P2814,$Q$6:$Q$3267,"&lt;="&amp;Q2814,$N$6:$N$3267,Calendar!$K$4),"")</f>
        <v/>
      </c>
      <c r="W2814" s="47">
        <f>IF(AND(B2814=Queue!$C$4,OR(Queue!$K$4="*",N2814=Queue!$K$4)),Q2814,"")</f>
        <v/>
      </c>
    </row>
    <row r="2815">
      <c r="A2815" s="38">
        <f>IF(M2815="","",HYPERLINK("https://www.youtube.com/watch?v="&amp;M2815,"▶"))</f>
        <v/>
      </c>
      <c r="B2815" s="39">
        <f>IF(C2815&lt;&gt;"",C2815,IF(P2815&lt;=IFERROR(INDEX(tblChannels[Watched Through],MATCH(N2815,tblChannels[Channel ID],0)),0),"Watched","Unwatched"))</f>
        <v/>
      </c>
      <c r="C2815" s="40" t="n"/>
      <c r="D2815" s="41" t="n"/>
      <c r="E2815" s="42" t="n">
        <v>42031.94652777778</v>
      </c>
      <c r="F2815" s="50" t="inlineStr">
        <is>
          <t>Super Carlin Brothers</t>
        </is>
      </c>
      <c r="G2815" t="inlineStr">
        <is>
          <t>Save Trees, Use Paper</t>
        </is>
      </c>
      <c r="H2815" s="44" t="n">
        <v>0.003043981481481481</v>
      </c>
      <c r="I2815" s="45" t="n">
        <v>129333</v>
      </c>
      <c r="J2815" s="45" t="n">
        <v>2831</v>
      </c>
      <c r="K2815" s="45" t="n">
        <v>232</v>
      </c>
      <c r="L2815" s="46" t="n"/>
      <c r="M2815" s="47" t="n"/>
      <c r="N2815" s="47" t="inlineStr">
        <is>
          <t>UCKZo4N0lVPccBkSiuyVh4yg</t>
        </is>
      </c>
      <c r="O2815" s="48" t="n">
        <v>42032.15486111111</v>
      </c>
      <c r="P2815" s="49" t="n">
        <v>42031</v>
      </c>
      <c r="Q2815" s="47" t="n">
        <v>453</v>
      </c>
      <c r="R2815" s="47" t="inlineStr">
        <is>
          <t>No Video ID yet</t>
        </is>
      </c>
      <c r="S2815" s="49" t="n"/>
      <c r="T2815" s="49" t="n"/>
      <c r="U2815" s="47" t="inlineStr">
        <is>
          <t>Here's the thing, if you are in the business of selling paper, you are not in the business of running our of trees. How Using Paper Leads to More Trees: Save Trees Use Paper:</t>
        </is>
      </c>
      <c r="V2815" s="47">
        <f>IF(AND(P2815&gt;=Calendar!$K$2,P2815&lt;EDATE(Calendar!$K$2,1),OR(Calendar!$K$4="*",N2815=Calendar!$K$4)),P2815*100+COUNTIFS($P$6:$P$3267,P2815,$Q$6:$Q$3267,"&lt;="&amp;Q2815,$N$6:$N$3267,Calendar!$K$4),"")</f>
        <v/>
      </c>
      <c r="W2815" s="47">
        <f>IF(AND(B2815=Queue!$C$4,OR(Queue!$K$4="*",N2815=Queue!$K$4)),Q2815,"")</f>
        <v/>
      </c>
    </row>
    <row r="2816">
      <c r="A2816" s="38">
        <f>IF(M2816="","",HYPERLINK("https://www.youtube.com/watch?v="&amp;M2816,"▶"))</f>
        <v/>
      </c>
      <c r="B2816" s="39">
        <f>IF(C2816&lt;&gt;"",C2816,IF(P2816&lt;=IFERROR(INDEX(tblChannels[Watched Through],MATCH(N2816,tblChannels[Channel ID],0)),0),"Watched","Unwatched"))</f>
        <v/>
      </c>
      <c r="C2816" s="40" t="n"/>
      <c r="D2816" s="41" t="n"/>
      <c r="E2816" s="42" t="n">
        <v>42029.67847222222</v>
      </c>
      <c r="F2816" s="52" t="inlineStr">
        <is>
          <t>Super Carlin Gaming</t>
        </is>
      </c>
      <c r="G2816" t="inlineStr">
        <is>
          <t>Pokemon Heart Gold Nuzlocke #2 | New Friends!</t>
        </is>
      </c>
      <c r="H2816" s="44" t="n">
        <v>0.01980324074074074</v>
      </c>
      <c r="I2816" s="45" t="n">
        <v>48065</v>
      </c>
      <c r="J2816" s="45" t="n">
        <v>669</v>
      </c>
      <c r="K2816" s="45" t="n">
        <v>133</v>
      </c>
      <c r="L2816" s="46" t="n"/>
      <c r="M2816" s="47" t="n"/>
      <c r="N2816" s="47" t="inlineStr">
        <is>
          <t>UCor_9jRnNNZVzTuQ92PKsaQ</t>
        </is>
      </c>
      <c r="O2816" s="48" t="n">
        <v>42029.88680555556</v>
      </c>
      <c r="P2816" s="49" t="n">
        <v>42029</v>
      </c>
      <c r="Q2816" s="47" t="n">
        <v>452</v>
      </c>
      <c r="R2816" s="47" t="inlineStr">
        <is>
          <t>No Video ID yet</t>
        </is>
      </c>
      <c r="S2816" s="49" t="n"/>
      <c r="T2816" s="49" t="n"/>
      <c r="U2816" s="47" t="inlineStr">
        <is>
          <t>We continue our trip to Violet City for our first gym badge, and pick up a lot of new friends, but will they all get along? *Bear with me on the bottom screen I will be adding it in!!</t>
        </is>
      </c>
      <c r="V2816" s="47">
        <f>IF(AND(P2816&gt;=Calendar!$K$2,P2816&lt;EDATE(Calendar!$K$2,1),OR(Calendar!$K$4="*",N2816=Calendar!$K$4)),P2816*100+COUNTIFS($P$6:$P$3267,P2816,$Q$6:$Q$3267,"&lt;="&amp;Q2816,$N$6:$N$3267,Calendar!$K$4),"")</f>
        <v/>
      </c>
      <c r="W2816" s="47">
        <f>IF(AND(B2816=Queue!$C$4,OR(Queue!$K$4="*",N2816=Queue!$K$4)),Q2816,"")</f>
        <v/>
      </c>
    </row>
    <row r="2817">
      <c r="A2817" s="38">
        <f>IF(M2817="","",HYPERLINK("https://www.youtube.com/watch?v="&amp;M2817,"▶"))</f>
        <v/>
      </c>
      <c r="B2817" s="39">
        <f>IF(C2817&lt;&gt;"",C2817,IF(P2817&lt;=IFERROR(INDEX(tblChannels[Watched Through],MATCH(N2817,tblChannels[Channel ID],0)),0),"Watched","Unwatched"))</f>
        <v/>
      </c>
      <c r="C2817" s="40" t="n"/>
      <c r="D2817" s="41" t="n"/>
      <c r="E2817" s="42" t="n">
        <v>42028.36875</v>
      </c>
      <c r="F2817" s="52" t="inlineStr">
        <is>
          <t>Super Carlin Gaming</t>
        </is>
      </c>
      <c r="G2817" t="inlineStr">
        <is>
          <t>Pokemon Heart Gold Nuzlocke #1 | A New Journey!</t>
        </is>
      </c>
      <c r="H2817" s="44" t="n">
        <v>0.0225462962962963</v>
      </c>
      <c r="I2817" s="45" t="n">
        <v>118530</v>
      </c>
      <c r="J2817" s="45" t="n">
        <v>1448</v>
      </c>
      <c r="K2817" s="45" t="n">
        <v>268</v>
      </c>
      <c r="L2817" s="46" t="n"/>
      <c r="M2817" s="47" t="n"/>
      <c r="N2817" s="47" t="inlineStr">
        <is>
          <t>UCor_9jRnNNZVzTuQ92PKsaQ</t>
        </is>
      </c>
      <c r="O2817" s="48" t="n">
        <v>42028.57708333333</v>
      </c>
      <c r="P2817" s="49" t="n">
        <v>42028</v>
      </c>
      <c r="Q2817" s="47" t="n">
        <v>451</v>
      </c>
      <c r="R2817" s="47" t="inlineStr">
        <is>
          <t>No Video ID yet</t>
        </is>
      </c>
      <c r="S2817" s="49" t="n"/>
      <c r="T2817" s="49" t="n"/>
      <c r="U2817" s="47" t="inlineStr">
        <is>
          <t>Welcome back everyone to the Super Carlin Gaming Pokemon Nuzlocke challenge! We continue our adventures in the Johto region, with a new starter and a new rival... (whats his name again?). Leave some comments so I have people to name our new friends after!</t>
        </is>
      </c>
      <c r="V2817" s="47">
        <f>IF(AND(P2817&gt;=Calendar!$K$2,P2817&lt;EDATE(Calendar!$K$2,1),OR(Calendar!$K$4="*",N2817=Calendar!$K$4)),P2817*100+COUNTIFS($P$6:$P$3267,P2817,$Q$6:$Q$3267,"&lt;="&amp;Q2817,$N$6:$N$3267,Calendar!$K$4),"")</f>
        <v/>
      </c>
      <c r="W2817" s="47">
        <f>IF(AND(B2817=Queue!$C$4,OR(Queue!$K$4="*",N2817=Queue!$K$4)),Q2817,"")</f>
        <v/>
      </c>
    </row>
    <row r="2818">
      <c r="A2818" s="38">
        <f>IF(M2818="","",HYPERLINK("https://www.youtube.com/watch?v="&amp;M2818,"▶"))</f>
        <v/>
      </c>
      <c r="B2818" s="39">
        <f>IF(C2818&lt;&gt;"",C2818,IF(P2818&lt;=IFERROR(INDEX(tblChannels[Watched Through],MATCH(N2818,tblChannels[Channel ID],0)),0),"Watched","Unwatched"))</f>
        <v/>
      </c>
      <c r="C2818" s="40" t="n"/>
      <c r="D2818" s="41" t="n"/>
      <c r="E2818" s="42" t="n">
        <v>42026.92222222222</v>
      </c>
      <c r="F2818" s="50" t="inlineStr">
        <is>
          <t>Super Carlin Brothers</t>
        </is>
      </c>
      <c r="G2818" t="inlineStr">
        <is>
          <t>The Royal They</t>
        </is>
      </c>
      <c r="H2818" s="44" t="n">
        <v>0.002708333333333333</v>
      </c>
      <c r="I2818" s="45" t="n">
        <v>14043</v>
      </c>
      <c r="J2818" s="45" t="n">
        <v>411</v>
      </c>
      <c r="K2818" s="45" t="n">
        <v>62</v>
      </c>
      <c r="L2818" s="46" t="n"/>
      <c r="M2818" s="47" t="n"/>
      <c r="N2818" s="47" t="inlineStr">
        <is>
          <t>UCKZo4N0lVPccBkSiuyVh4yg</t>
        </is>
      </c>
      <c r="O2818" s="48" t="n">
        <v>42027.13055555556</v>
      </c>
      <c r="P2818" s="49" t="n">
        <v>42026</v>
      </c>
      <c r="Q2818" s="47" t="n">
        <v>450</v>
      </c>
      <c r="R2818" s="47" t="inlineStr">
        <is>
          <t>No Video ID yet</t>
        </is>
      </c>
      <c r="S2818" s="49" t="n"/>
      <c r="T2818" s="49" t="n"/>
      <c r="U2818" s="47" t="inlineStr">
        <is>
          <t>They say this will be a good one.</t>
        </is>
      </c>
      <c r="V2818" s="47">
        <f>IF(AND(P2818&gt;=Calendar!$K$2,P2818&lt;EDATE(Calendar!$K$2,1),OR(Calendar!$K$4="*",N2818=Calendar!$K$4)),P2818*100+COUNTIFS($P$6:$P$3267,P2818,$Q$6:$Q$3267,"&lt;="&amp;Q2818,$N$6:$N$3267,Calendar!$K$4),"")</f>
        <v/>
      </c>
      <c r="W2818" s="47">
        <f>IF(AND(B2818=Queue!$C$4,OR(Queue!$K$4="*",N2818=Queue!$K$4)),Q2818,"")</f>
        <v/>
      </c>
    </row>
    <row r="2819">
      <c r="A2819" s="38">
        <f>IF(M2819="","",HYPERLINK("https://www.youtube.com/watch?v="&amp;M2819,"▶"))</f>
        <v/>
      </c>
      <c r="B2819" s="39">
        <f>IF(C2819&lt;&gt;"",C2819,IF(P2819&lt;=IFERROR(INDEX(tblChannels[Watched Through],MATCH(N2819,tblChannels[Channel ID],0)),0),"Watched","Unwatched"))</f>
        <v/>
      </c>
      <c r="C2819" s="40" t="n"/>
      <c r="D2819" s="41" t="n"/>
      <c r="E2819" s="42" t="n">
        <v>42024.94166666667</v>
      </c>
      <c r="F2819" s="50" t="inlineStr">
        <is>
          <t>Super Carlin Brothers</t>
        </is>
      </c>
      <c r="G2819" t="inlineStr">
        <is>
          <t>Loot Crate Unboxing | REWIND</t>
        </is>
      </c>
      <c r="H2819" s="44" t="n">
        <v>0.005138888888888889</v>
      </c>
      <c r="I2819" s="45" t="n">
        <v>69231</v>
      </c>
      <c r="J2819" s="45" t="n">
        <v>1192</v>
      </c>
      <c r="K2819" s="45" t="n">
        <v>233</v>
      </c>
      <c r="L2819" s="46" t="n"/>
      <c r="M2819" s="47" t="n"/>
      <c r="N2819" s="47" t="inlineStr">
        <is>
          <t>UCKZo4N0lVPccBkSiuyVh4yg</t>
        </is>
      </c>
      <c r="O2819" s="48" t="n">
        <v>42025.15</v>
      </c>
      <c r="P2819" s="49" t="n">
        <v>42024</v>
      </c>
      <c r="Q2819" s="47" t="n">
        <v>449</v>
      </c>
      <c r="R2819" s="47" t="inlineStr">
        <is>
          <t>No Video ID yet</t>
        </is>
      </c>
      <c r="S2819" s="49" t="n"/>
      <c r="T2819" s="49" t="n"/>
      <c r="U2819" s="47" t="inlineStr">
        <is>
          <t>The best geek &amp; gamer gear comes from Loot Crate! Sign up at: and get 10% off with Promo Code: CARLIN So apparently Ben and I dont know who Voltron is... whoops! What should we make our comics about???</t>
        </is>
      </c>
      <c r="V2819" s="47">
        <f>IF(AND(P2819&gt;=Calendar!$K$2,P2819&lt;EDATE(Calendar!$K$2,1),OR(Calendar!$K$4="*",N2819=Calendar!$K$4)),P2819*100+COUNTIFS($P$6:$P$3267,P2819,$Q$6:$Q$3267,"&lt;="&amp;Q2819,$N$6:$N$3267,Calendar!$K$4),"")</f>
        <v/>
      </c>
      <c r="W2819" s="47">
        <f>IF(AND(B2819=Queue!$C$4,OR(Queue!$K$4="*",N2819=Queue!$K$4)),Q2819,"")</f>
        <v/>
      </c>
    </row>
    <row r="2820">
      <c r="A2820" s="38">
        <f>IF(M2820="","",HYPERLINK("https://www.youtube.com/watch?v="&amp;M2820,"▶"))</f>
        <v/>
      </c>
      <c r="B2820" s="39">
        <f>IF(C2820&lt;&gt;"",C2820,IF(P2820&lt;=IFERROR(INDEX(tblChannels[Watched Through],MATCH(N2820,tblChannels[Channel ID],0)),0),"Watched","Unwatched"))</f>
        <v/>
      </c>
      <c r="C2820" s="40" t="n"/>
      <c r="D2820" s="41" t="n"/>
      <c r="E2820" s="42" t="n">
        <v>42019.97013888889</v>
      </c>
      <c r="F2820" s="50" t="inlineStr">
        <is>
          <t>Super Carlin Brothers</t>
        </is>
      </c>
      <c r="G2820" t="inlineStr">
        <is>
          <t>I Need Advice on Google Autofill</t>
        </is>
      </c>
      <c r="H2820" s="44" t="n">
        <v>0.004756944444444445</v>
      </c>
      <c r="I2820" s="45" t="n">
        <v>75833</v>
      </c>
      <c r="J2820" s="45" t="n">
        <v>1173</v>
      </c>
      <c r="K2820" s="45" t="n">
        <v>186</v>
      </c>
      <c r="L2820" s="46" t="n"/>
      <c r="M2820" s="47" t="n"/>
      <c r="N2820" s="47" t="inlineStr">
        <is>
          <t>UCKZo4N0lVPccBkSiuyVh4yg</t>
        </is>
      </c>
      <c r="O2820" s="48" t="n">
        <v>42020.17847222222</v>
      </c>
      <c r="P2820" s="49" t="n">
        <v>42019</v>
      </c>
      <c r="Q2820" s="47" t="n">
        <v>448</v>
      </c>
      <c r="R2820" s="47" t="inlineStr">
        <is>
          <t>No Video ID yet</t>
        </is>
      </c>
      <c r="S2820" s="49" t="n"/>
      <c r="T2820" s="49" t="n"/>
      <c r="U2820" s="47" t="inlineStr">
        <is>
          <t>Someone here can surely explain the hard boiled egg references.</t>
        </is>
      </c>
      <c r="V2820" s="47">
        <f>IF(AND(P2820&gt;=Calendar!$K$2,P2820&lt;EDATE(Calendar!$K$2,1),OR(Calendar!$K$4="*",N2820=Calendar!$K$4)),P2820*100+COUNTIFS($P$6:$P$3267,P2820,$Q$6:$Q$3267,"&lt;="&amp;Q2820,$N$6:$N$3267,Calendar!$K$4),"")</f>
        <v/>
      </c>
      <c r="W2820" s="47">
        <f>IF(AND(B2820=Queue!$C$4,OR(Queue!$K$4="*",N2820=Queue!$K$4)),Q2820,"")</f>
        <v/>
      </c>
    </row>
    <row r="2821">
      <c r="A2821" s="38">
        <f>IF(M2821="","",HYPERLINK("https://www.youtube.com/watch?v="&amp;M2821,"▶"))</f>
        <v/>
      </c>
      <c r="B2821" s="39">
        <f>IF(C2821&lt;&gt;"",C2821,IF(P2821&lt;=IFERROR(INDEX(tblChannels[Watched Through],MATCH(N2821,tblChannels[Channel ID],0)),0),"Watched","Unwatched"))</f>
        <v/>
      </c>
      <c r="C2821" s="40" t="n"/>
      <c r="D2821" s="41" t="n"/>
      <c r="E2821" s="42" t="n">
        <v>42017.96319444444</v>
      </c>
      <c r="F2821" s="50" t="inlineStr">
        <is>
          <t>Super Carlin Brothers</t>
        </is>
      </c>
      <c r="G2821" t="inlineStr">
        <is>
          <t>Pixar Theory: Secret Code A113</t>
        </is>
      </c>
      <c r="H2821" s="44" t="n">
        <v>0.004224537037037037</v>
      </c>
      <c r="I2821" s="45" t="n">
        <v>865310</v>
      </c>
      <c r="J2821" s="45" t="n">
        <v>12987</v>
      </c>
      <c r="K2821" s="45" t="n">
        <v>2657</v>
      </c>
      <c r="L2821" s="46" t="n"/>
      <c r="M2821" s="47" t="n"/>
      <c r="N2821" s="47" t="inlineStr">
        <is>
          <t>UCKZo4N0lVPccBkSiuyVh4yg</t>
        </is>
      </c>
      <c r="O2821" s="48" t="n">
        <v>42018.17152777778</v>
      </c>
      <c r="P2821" s="49" t="n">
        <v>42017</v>
      </c>
      <c r="Q2821" s="47" t="n">
        <v>447</v>
      </c>
      <c r="R2821" s="47" t="inlineStr">
        <is>
          <t>No Video ID yet</t>
        </is>
      </c>
      <c r="S2821" s="49" t="n"/>
      <c r="T2821" s="49" t="n"/>
      <c r="U2821" s="47" t="inlineStr">
        <is>
          <t>What does the secret code A113 that appears in every Pixar Franchise mean??</t>
        </is>
      </c>
      <c r="V2821" s="47">
        <f>IF(AND(P2821&gt;=Calendar!$K$2,P2821&lt;EDATE(Calendar!$K$2,1),OR(Calendar!$K$4="*",N2821=Calendar!$K$4)),P2821*100+COUNTIFS($P$6:$P$3267,P2821,$Q$6:$Q$3267,"&lt;="&amp;Q2821,$N$6:$N$3267,Calendar!$K$4),"")</f>
        <v/>
      </c>
      <c r="W2821" s="47">
        <f>IF(AND(B2821=Queue!$C$4,OR(Queue!$K$4="*",N2821=Queue!$K$4)),Q2821,"")</f>
        <v/>
      </c>
    </row>
    <row r="2822">
      <c r="A2822" s="38">
        <f>IF(M2822="","",HYPERLINK("https://www.youtube.com/watch?v="&amp;M2822,"▶"))</f>
        <v/>
      </c>
      <c r="B2822" s="39">
        <f>IF(C2822&lt;&gt;"",C2822,IF(P2822&lt;=IFERROR(INDEX(tblChannels[Watched Through],MATCH(N2822,tblChannels[Channel ID],0)),0),"Watched","Unwatched"))</f>
        <v/>
      </c>
      <c r="C2822" s="40" t="n"/>
      <c r="D2822" s="41" t="n"/>
      <c r="E2822" s="42" t="n">
        <v>42016.90902777778</v>
      </c>
      <c r="F2822" s="52" t="inlineStr">
        <is>
          <t>Super Carlin Gaming</t>
        </is>
      </c>
      <c r="G2822" t="inlineStr">
        <is>
          <t>Pokemon FireRed Nuzlocke Challenge #28 | THE FINAL BATTLE</t>
        </is>
      </c>
      <c r="H2822" s="44" t="n">
        <v>0.01398148148148148</v>
      </c>
      <c r="I2822" s="45" t="n">
        <v>36060</v>
      </c>
      <c r="J2822" s="45" t="n">
        <v>754</v>
      </c>
      <c r="K2822" s="45" t="n">
        <v>179</v>
      </c>
      <c r="L2822" s="46" t="n"/>
      <c r="M2822" s="47" t="n"/>
      <c r="N2822" s="47" t="inlineStr">
        <is>
          <t>UCor_9jRnNNZVzTuQ92PKsaQ</t>
        </is>
      </c>
      <c r="O2822" s="48" t="n">
        <v>42017.11736111111</v>
      </c>
      <c r="P2822" s="49" t="n">
        <v>42016</v>
      </c>
      <c r="Q2822" s="47" t="n">
        <v>446</v>
      </c>
      <c r="R2822" s="47" t="inlineStr">
        <is>
          <t>No Video ID yet</t>
        </is>
      </c>
      <c r="S2822" s="49" t="n"/>
      <c r="T2822" s="49" t="n"/>
      <c r="U2822" s="47" t="inlineStr">
        <is>
          <t>Win or lose we have reached the final battle - Here we go! Thank you guys so much for watching! P.O. Box 657 Salem, Va 24153</t>
        </is>
      </c>
      <c r="V2822" s="47">
        <f>IF(AND(P2822&gt;=Calendar!$K$2,P2822&lt;EDATE(Calendar!$K$2,1),OR(Calendar!$K$4="*",N2822=Calendar!$K$4)),P2822*100+COUNTIFS($P$6:$P$3267,P2822,$Q$6:$Q$3267,"&lt;="&amp;Q2822,$N$6:$N$3267,Calendar!$K$4),"")</f>
        <v/>
      </c>
      <c r="W2822" s="47">
        <f>IF(AND(B2822=Queue!$C$4,OR(Queue!$K$4="*",N2822=Queue!$K$4)),Q2822,"")</f>
        <v/>
      </c>
    </row>
    <row r="2823">
      <c r="A2823" s="38">
        <f>IF(M2823="","",HYPERLINK("https://www.youtube.com/watch?v="&amp;M2823,"▶"))</f>
        <v/>
      </c>
      <c r="B2823" s="39">
        <f>IF(C2823&lt;&gt;"",C2823,IF(P2823&lt;=IFERROR(INDEX(tblChannels[Watched Through],MATCH(N2823,tblChannels[Channel ID],0)),0),"Watched","Unwatched"))</f>
        <v/>
      </c>
      <c r="C2823" s="40" t="n"/>
      <c r="D2823" s="41" t="n"/>
      <c r="E2823" s="42" t="n">
        <v>42012.91319444445</v>
      </c>
      <c r="F2823" s="50" t="inlineStr">
        <is>
          <t>Super Carlin Brothers</t>
        </is>
      </c>
      <c r="G2823" t="inlineStr">
        <is>
          <t>Vanity Interview Tag</t>
        </is>
      </c>
      <c r="H2823" s="44" t="n">
        <v>0.004212962962962963</v>
      </c>
      <c r="I2823" s="45" t="n">
        <v>10835</v>
      </c>
      <c r="J2823" s="45" t="n">
        <v>346</v>
      </c>
      <c r="K2823" s="45" t="n">
        <v>49</v>
      </c>
      <c r="L2823" s="46" t="n"/>
      <c r="M2823" s="47" t="n"/>
      <c r="N2823" s="47" t="inlineStr">
        <is>
          <t>UCKZo4N0lVPccBkSiuyVh4yg</t>
        </is>
      </c>
      <c r="O2823" s="48" t="n">
        <v>42013.12152777778</v>
      </c>
      <c r="P2823" s="49" t="n">
        <v>42012</v>
      </c>
      <c r="Q2823" s="47" t="n">
        <v>445</v>
      </c>
      <c r="R2823" s="47" t="inlineStr">
        <is>
          <t>No Video ID yet</t>
        </is>
      </c>
      <c r="S2823" s="49" t="n"/>
      <c r="T2823" s="49" t="n"/>
      <c r="U2823" s="47" t="inlineStr">
        <is>
          <t>ONE: Do you care what other people think of you? TWO: Do you care about money? THREE: Do you compare yourself to the success of others? FOUR: Do you care about how you look?</t>
        </is>
      </c>
      <c r="V2823" s="47">
        <f>IF(AND(P2823&gt;=Calendar!$K$2,P2823&lt;EDATE(Calendar!$K$2,1),OR(Calendar!$K$4="*",N2823=Calendar!$K$4)),P2823*100+COUNTIFS($P$6:$P$3267,P2823,$Q$6:$Q$3267,"&lt;="&amp;Q2823,$N$6:$N$3267,Calendar!$K$4),"")</f>
        <v/>
      </c>
      <c r="W2823" s="47">
        <f>IF(AND(B2823=Queue!$C$4,OR(Queue!$K$4="*",N2823=Queue!$K$4)),Q2823,"")</f>
        <v/>
      </c>
    </row>
    <row r="2824">
      <c r="A2824" s="38">
        <f>IF(M2824="","",HYPERLINK("https://www.youtube.com/watch?v="&amp;M2824,"▶"))</f>
        <v/>
      </c>
      <c r="B2824" s="39">
        <f>IF(C2824&lt;&gt;"",C2824,IF(P2824&lt;=IFERROR(INDEX(tblChannels[Watched Through],MATCH(N2824,tblChannels[Channel ID],0)),0),"Watched","Unwatched"))</f>
        <v/>
      </c>
      <c r="C2824" s="40" t="n"/>
      <c r="D2824" s="41" t="n"/>
      <c r="E2824" s="42" t="n">
        <v>42010.95069444444</v>
      </c>
      <c r="F2824" s="50" t="inlineStr">
        <is>
          <t>Super Carlin Brothers</t>
        </is>
      </c>
      <c r="G2824" t="inlineStr">
        <is>
          <t>BEST IN ROANOKE!</t>
        </is>
      </c>
      <c r="H2824" s="44" t="n">
        <v>0.004444444444444444</v>
      </c>
      <c r="I2824" s="45" t="n">
        <v>19543</v>
      </c>
      <c r="J2824" s="45" t="n">
        <v>672</v>
      </c>
      <c r="K2824" s="45" t="n">
        <v>135</v>
      </c>
      <c r="L2824" s="46" t="n"/>
      <c r="M2824" s="47" t="n"/>
      <c r="N2824" s="47" t="inlineStr">
        <is>
          <t>UCKZo4N0lVPccBkSiuyVh4yg</t>
        </is>
      </c>
      <c r="O2824" s="48" t="n">
        <v>42011.15902777778</v>
      </c>
      <c r="P2824" s="49" t="n">
        <v>42010</v>
      </c>
      <c r="Q2824" s="47" t="n">
        <v>444</v>
      </c>
      <c r="R2824" s="47" t="inlineStr">
        <is>
          <t>No Video ID yet</t>
        </is>
      </c>
      <c r="S2824" s="49" t="n"/>
      <c r="T2824" s="49" t="n"/>
      <c r="U2824" s="47" t="inlineStr">
        <is>
          <t>VOTE HERE: Click the Yellow Box that reads: "Let Them Do It: The Best in Services" Fill in the following categories with these answers: Best Mens Hair Cut: Jacks Fido's Favorite Place for a Walk: The Greenway Best Wedding Caterer: Pumpernickel Pickle Best Place to buy Engagement Jewelry - Jewells Fine Jewelry Best Local Wedding Venue: Center In the Square Rooftop Local Website you visit the most: MountainCorals.org Best Local Facebook Page: Super Carlin Brothers Best Twitter Feed: Jonkerlin - Jonathan Carlin Best Local Pinterest Board: MCGEEEJ - Beth McGee Best Local YouTube Channel: Super Carlin Brothers</t>
        </is>
      </c>
      <c r="V2824" s="47">
        <f>IF(AND(P2824&gt;=Calendar!$K$2,P2824&lt;EDATE(Calendar!$K$2,1),OR(Calendar!$K$4="*",N2824=Calendar!$K$4)),P2824*100+COUNTIFS($P$6:$P$3267,P2824,$Q$6:$Q$3267,"&lt;="&amp;Q2824,$N$6:$N$3267,Calendar!$K$4),"")</f>
        <v/>
      </c>
      <c r="W2824" s="47">
        <f>IF(AND(B2824=Queue!$C$4,OR(Queue!$K$4="*",N2824=Queue!$K$4)),Q2824,"")</f>
        <v/>
      </c>
    </row>
    <row r="2825">
      <c r="A2825" s="38">
        <f>IF(M2825="","",HYPERLINK("https://www.youtube.com/watch?v="&amp;M2825,"▶"))</f>
        <v/>
      </c>
      <c r="B2825" s="39">
        <f>IF(C2825&lt;&gt;"",C2825,IF(P2825&lt;=IFERROR(INDEX(tblChannels[Watched Through],MATCH(N2825,tblChannels[Channel ID],0)),0),"Watched","Unwatched"))</f>
        <v/>
      </c>
      <c r="C2825" s="40" t="n"/>
      <c r="D2825" s="41" t="n"/>
      <c r="E2825" s="42" t="n">
        <v>42008.84583333333</v>
      </c>
      <c r="F2825" s="52" t="inlineStr">
        <is>
          <t>Super Carlin Gaming</t>
        </is>
      </c>
      <c r="G2825" t="inlineStr">
        <is>
          <t>Pokemon FireRed Nuzlocke Challenge #27: The Elite 4</t>
        </is>
      </c>
      <c r="H2825" s="44" t="n">
        <v>0.01996527777777778</v>
      </c>
      <c r="I2825" s="45" t="n">
        <v>28624</v>
      </c>
      <c r="J2825" s="45" t="n">
        <v>460</v>
      </c>
      <c r="K2825" s="45" t="n">
        <v>105</v>
      </c>
      <c r="L2825" s="46" t="n"/>
      <c r="M2825" s="47" t="n"/>
      <c r="N2825" s="47" t="inlineStr">
        <is>
          <t>UCor_9jRnNNZVzTuQ92PKsaQ</t>
        </is>
      </c>
      <c r="O2825" s="48" t="n">
        <v>42009.05416666667</v>
      </c>
      <c r="P2825" s="49" t="n">
        <v>42008</v>
      </c>
      <c r="Q2825" s="47" t="n">
        <v>443</v>
      </c>
      <c r="R2825" s="47" t="inlineStr">
        <is>
          <t>No Video ID yet</t>
        </is>
      </c>
      <c r="S2825" s="49" t="n"/>
      <c r="T2825" s="49" t="n"/>
      <c r="U2825" s="47" t="inlineStr">
        <is>
          <t>The day we have been training for has finally arrived - Can the team hold their own against Kanto's best?</t>
        </is>
      </c>
      <c r="V2825" s="47">
        <f>IF(AND(P2825&gt;=Calendar!$K$2,P2825&lt;EDATE(Calendar!$K$2,1),OR(Calendar!$K$4="*",N2825=Calendar!$K$4)),P2825*100+COUNTIFS($P$6:$P$3267,P2825,$Q$6:$Q$3267,"&lt;="&amp;Q2825,$N$6:$N$3267,Calendar!$K$4),"")</f>
        <v/>
      </c>
      <c r="W2825" s="47">
        <f>IF(AND(B2825=Queue!$C$4,OR(Queue!$K$4="*",N2825=Queue!$K$4)),Q2825,"")</f>
        <v/>
      </c>
    </row>
    <row r="2826">
      <c r="A2826" s="38">
        <f>IF(M2826="","",HYPERLINK("https://www.youtube.com/watch?v="&amp;M2826,"▶"))</f>
        <v/>
      </c>
      <c r="B2826" s="39">
        <f>IF(C2826&lt;&gt;"",C2826,IF(P2826&lt;=IFERROR(INDEX(tblChannels[Watched Through],MATCH(N2826,tblChannels[Channel ID],0)),0),"Watched","Unwatched"))</f>
        <v/>
      </c>
      <c r="C2826" s="40" t="n"/>
      <c r="D2826" s="41" t="n"/>
      <c r="E2826" s="42" t="n">
        <v>42005.77916666667</v>
      </c>
      <c r="F2826" s="50" t="inlineStr">
        <is>
          <t>Super Carlin Brothers</t>
        </is>
      </c>
      <c r="G2826" t="inlineStr">
        <is>
          <t>Hey Brother!</t>
        </is>
      </c>
      <c r="H2826" s="44" t="n">
        <v>0.001076388888888889</v>
      </c>
      <c r="I2826" s="45" t="n">
        <v>30933</v>
      </c>
      <c r="J2826" s="45" t="n">
        <v>915</v>
      </c>
      <c r="K2826" s="45" t="n">
        <v>122</v>
      </c>
      <c r="L2826" s="46" t="n"/>
      <c r="M2826" s="47" t="n"/>
      <c r="N2826" s="47" t="inlineStr">
        <is>
          <t>UCKZo4N0lVPccBkSiuyVh4yg</t>
        </is>
      </c>
      <c r="O2826" s="48" t="n">
        <v>42005.9875</v>
      </c>
      <c r="P2826" s="49" t="n">
        <v>42005</v>
      </c>
      <c r="Q2826" s="47" t="n">
        <v>442</v>
      </c>
      <c r="R2826" s="47" t="inlineStr">
        <is>
          <t>No Video ID yet</t>
        </is>
      </c>
      <c r="S2826" s="49" t="n"/>
      <c r="T2826" s="49" t="n"/>
      <c r="U2826" s="47" t="inlineStr">
        <is>
          <t>Thank you to all of the wonderful SuperCarlinFriends that have supported us through 2014! What would you like to see us talk about in 2015?! Leave your thoughts down below!</t>
        </is>
      </c>
      <c r="V2826" s="47">
        <f>IF(AND(P2826&gt;=Calendar!$K$2,P2826&lt;EDATE(Calendar!$K$2,1),OR(Calendar!$K$4="*",N2826=Calendar!$K$4)),P2826*100+COUNTIFS($P$6:$P$3267,P2826,$Q$6:$Q$3267,"&lt;="&amp;Q2826,$N$6:$N$3267,Calendar!$K$4),"")</f>
        <v/>
      </c>
      <c r="W2826" s="47">
        <f>IF(AND(B2826=Queue!$C$4,OR(Queue!$K$4="*",N2826=Queue!$K$4)),Q2826,"")</f>
        <v/>
      </c>
    </row>
    <row r="2827">
      <c r="A2827" s="38">
        <f>IF(M2827="","",HYPERLINK("https://www.youtube.com/watch?v="&amp;M2827,"▶"))</f>
        <v/>
      </c>
      <c r="B2827" s="39">
        <f>IF(C2827&lt;&gt;"",C2827,IF(P2827&lt;=IFERROR(INDEX(tblChannels[Watched Through],MATCH(N2827,tblChannels[Channel ID],0)),0),"Watched","Unwatched"))</f>
        <v/>
      </c>
      <c r="C2827" s="40" t="n"/>
      <c r="D2827" s="41" t="n"/>
      <c r="E2827" s="42" t="n">
        <v>42005.71111111111</v>
      </c>
      <c r="F2827" s="52" t="inlineStr">
        <is>
          <t>Super Carlin Gaming</t>
        </is>
      </c>
      <c r="G2827" t="inlineStr">
        <is>
          <t>Pokemon FireRed Nuzlocke Challenge #26 | Victory Road</t>
        </is>
      </c>
      <c r="H2827" s="44" t="n">
        <v>0.02262731481481482</v>
      </c>
      <c r="I2827" s="45" t="n">
        <v>26321</v>
      </c>
      <c r="J2827" s="45" t="n">
        <v>459</v>
      </c>
      <c r="K2827" s="45" t="n">
        <v>76</v>
      </c>
      <c r="L2827" s="46" t="n"/>
      <c r="M2827" s="47" t="n"/>
      <c r="N2827" s="47" t="inlineStr">
        <is>
          <t>UCor_9jRnNNZVzTuQ92PKsaQ</t>
        </is>
      </c>
      <c r="O2827" s="48" t="n">
        <v>42005.91944444444</v>
      </c>
      <c r="P2827" s="49" t="n">
        <v>42005</v>
      </c>
      <c r="Q2827" s="47" t="n">
        <v>441</v>
      </c>
      <c r="R2827" s="47" t="inlineStr">
        <is>
          <t>No Video ID yet</t>
        </is>
      </c>
      <c r="S2827" s="49" t="n"/>
      <c r="T2827" s="49" t="n"/>
      <c r="U2827" s="47" t="inlineStr">
        <is>
          <t>We have selected and trained a new teammate for Victory Road.. but will their lack of real battle experience hold them back against very experienced trainers??</t>
        </is>
      </c>
      <c r="V2827" s="47">
        <f>IF(AND(P2827&gt;=Calendar!$K$2,P2827&lt;EDATE(Calendar!$K$2,1),OR(Calendar!$K$4="*",N2827=Calendar!$K$4)),P2827*100+COUNTIFS($P$6:$P$3267,P2827,$Q$6:$Q$3267,"&lt;="&amp;Q2827,$N$6:$N$3267,Calendar!$K$4),"")</f>
        <v/>
      </c>
      <c r="W2827" s="47">
        <f>IF(AND(B2827=Queue!$C$4,OR(Queue!$K$4="*",N2827=Queue!$K$4)),Q2827,"")</f>
        <v/>
      </c>
    </row>
    <row r="2828">
      <c r="A2828" s="38">
        <f>IF(M2828="","",HYPERLINK("https://www.youtube.com/watch?v="&amp;M2828,"▶"))</f>
        <v/>
      </c>
      <c r="B2828" s="39">
        <f>IF(C2828&lt;&gt;"",C2828,IF(P2828&lt;=IFERROR(INDEX(tblChannels[Watched Through],MATCH(N2828,tblChannels[Channel ID],0)),0),"Watched","Unwatched"))</f>
        <v/>
      </c>
      <c r="C2828" s="40" t="n"/>
      <c r="D2828" s="41" t="n"/>
      <c r="E2828" s="42" t="n">
        <v>42003.96111111111</v>
      </c>
      <c r="F2828" s="50" t="inlineStr">
        <is>
          <t>Super Carlin Brothers</t>
        </is>
      </c>
      <c r="G2828" t="inlineStr">
        <is>
          <t>Top 10 Favorite Pokemon | Kanto</t>
        </is>
      </c>
      <c r="H2828" s="44" t="n">
        <v>0.005439814814814815</v>
      </c>
      <c r="I2828" s="45" t="n">
        <v>149584</v>
      </c>
      <c r="J2828" s="45" t="n">
        <v>3059</v>
      </c>
      <c r="K2828" s="45" t="n">
        <v>917</v>
      </c>
      <c r="L2828" s="46" t="n"/>
      <c r="M2828" s="47" t="n"/>
      <c r="N2828" s="47" t="inlineStr">
        <is>
          <t>UCKZo4N0lVPccBkSiuyVh4yg</t>
        </is>
      </c>
      <c r="O2828" s="48" t="n">
        <v>42004.16944444444</v>
      </c>
      <c r="P2828" s="49" t="n">
        <v>42003</v>
      </c>
      <c r="Q2828" s="47" t="n">
        <v>440</v>
      </c>
      <c r="R2828" s="47" t="inlineStr">
        <is>
          <t>No Video ID yet</t>
        </is>
      </c>
      <c r="S2828" s="49" t="n"/>
      <c r="T2828" s="49" t="n"/>
      <c r="U2828" s="47" t="inlineStr">
        <is>
          <t>Who is your favorite Pokemon? Dont forget to post your #SuperCarlinSockClubPhoto SuperCarlinGaming: If you want a print like the one Ty got me you can order them from this Etsy Shop:</t>
        </is>
      </c>
      <c r="V2828" s="47">
        <f>IF(AND(P2828&gt;=Calendar!$K$2,P2828&lt;EDATE(Calendar!$K$2,1),OR(Calendar!$K$4="*",N2828=Calendar!$K$4)),P2828*100+COUNTIFS($P$6:$P$3267,P2828,$Q$6:$Q$3267,"&lt;="&amp;Q2828,$N$6:$N$3267,Calendar!$K$4),"")</f>
        <v/>
      </c>
      <c r="W2828" s="47">
        <f>IF(AND(B2828=Queue!$C$4,OR(Queue!$K$4="*",N2828=Queue!$K$4)),Q2828,"")</f>
        <v/>
      </c>
    </row>
    <row r="2829">
      <c r="A2829" s="38">
        <f>IF(M2829="","",HYPERLINK("https://www.youtube.com/watch?v="&amp;M2829,"▶"))</f>
        <v/>
      </c>
      <c r="B2829" s="39">
        <f>IF(C2829&lt;&gt;"",C2829,IF(P2829&lt;=IFERROR(INDEX(tblChannels[Watched Through],MATCH(N2829,tblChannels[Channel ID],0)),0),"Watched","Unwatched"))</f>
        <v/>
      </c>
      <c r="C2829" s="40" t="n"/>
      <c r="D2829" s="41" t="n"/>
      <c r="E2829" s="42" t="n">
        <v>42003.7625</v>
      </c>
      <c r="F2829" s="52" t="inlineStr">
        <is>
          <t>Super Carlin Gaming</t>
        </is>
      </c>
      <c r="G2829" t="inlineStr">
        <is>
          <t>Pokemon FireRed Nuzlocke Challenge #25 | Team Re-Building</t>
        </is>
      </c>
      <c r="H2829" s="44" t="n">
        <v>0.009409722222222222</v>
      </c>
      <c r="I2829" s="45" t="n">
        <v>25476</v>
      </c>
      <c r="J2829" s="45" t="n">
        <v>425</v>
      </c>
      <c r="K2829" s="45" t="n">
        <v>94</v>
      </c>
      <c r="L2829" s="46" t="n"/>
      <c r="M2829" s="47" t="n"/>
      <c r="N2829" s="47" t="inlineStr">
        <is>
          <t>UCor_9jRnNNZVzTuQ92PKsaQ</t>
        </is>
      </c>
      <c r="O2829" s="48" t="n">
        <v>42003.97083333333</v>
      </c>
      <c r="P2829" s="49" t="n">
        <v>42003</v>
      </c>
      <c r="Q2829" s="47" t="n">
        <v>439</v>
      </c>
      <c r="R2829" s="47" t="inlineStr">
        <is>
          <t>No Video ID yet</t>
        </is>
      </c>
      <c r="S2829" s="49" t="n"/>
      <c r="T2829" s="49" t="n"/>
      <c r="U2829" s="47" t="inlineStr">
        <is>
          <t>It's been a rough few weeks guys, the team has been very distraught so I decided we needed to do some team building before taking on Victory Road - Who should our 6th man be??</t>
        </is>
      </c>
      <c r="V2829" s="47">
        <f>IF(AND(P2829&gt;=Calendar!$K$2,P2829&lt;EDATE(Calendar!$K$2,1),OR(Calendar!$K$4="*",N2829=Calendar!$K$4)),P2829*100+COUNTIFS($P$6:$P$3267,P2829,$Q$6:$Q$3267,"&lt;="&amp;Q2829,$N$6:$N$3267,Calendar!$K$4),"")</f>
        <v/>
      </c>
      <c r="W2829" s="47">
        <f>IF(AND(B2829=Queue!$C$4,OR(Queue!$K$4="*",N2829=Queue!$K$4)),Q2829,"")</f>
        <v/>
      </c>
    </row>
    <row r="2830">
      <c r="A2830" s="38">
        <f>IF(M2830="","",HYPERLINK("https://www.youtube.com/watch?v="&amp;M2830,"▶"))</f>
        <v/>
      </c>
      <c r="B2830" s="39">
        <f>IF(C2830&lt;&gt;"",C2830,IF(P2830&lt;=IFERROR(INDEX(tblChannels[Watched Through],MATCH(N2830,tblChannels[Channel ID],0)),0),"Watched","Unwatched"))</f>
        <v/>
      </c>
      <c r="C2830" s="40" t="n"/>
      <c r="D2830" s="41" t="n"/>
      <c r="E2830" s="42" t="n">
        <v>41996.81597222222</v>
      </c>
      <c r="F2830" s="50" t="inlineStr">
        <is>
          <t>Super Carlin Brothers</t>
        </is>
      </c>
      <c r="G2830" t="inlineStr">
        <is>
          <t>Loot Crate Unboxing | GROOT SOCKS</t>
        </is>
      </c>
      <c r="H2830" s="44" t="n">
        <v>0.004247685185185185</v>
      </c>
      <c r="I2830" s="45" t="n">
        <v>60525</v>
      </c>
      <c r="J2830" s="45" t="n">
        <v>1171</v>
      </c>
      <c r="K2830" s="45" t="n">
        <v>232</v>
      </c>
      <c r="L2830" s="46" t="n"/>
      <c r="M2830" s="47" t="n"/>
      <c r="N2830" s="47" t="inlineStr">
        <is>
          <t>UCKZo4N0lVPccBkSiuyVh4yg</t>
        </is>
      </c>
      <c r="O2830" s="48" t="n">
        <v>41997.02430555555</v>
      </c>
      <c r="P2830" s="49" t="n">
        <v>41996</v>
      </c>
      <c r="Q2830" s="47" t="n">
        <v>438</v>
      </c>
      <c r="R2830" s="47" t="inlineStr">
        <is>
          <t>No Video ID yet</t>
        </is>
      </c>
      <c r="S2830" s="49" t="n"/>
      <c r="T2830" s="49" t="n"/>
      <c r="U2830" s="47" t="inlineStr">
        <is>
          <t>Giveaway! All you have to do is follow J (@jonkerlin) and Ben (@bpcarlin) on Instagram and like this weeks Loot Crate photos! (It's okay if you already follow us, we don't hold that against you) Interested in getting your own Subscription to Loot Crate? We can helps! Just use the link www.LootCrate.com/SuperCarlinBrothers and use the promo code: CARLIN for 10% off!</t>
        </is>
      </c>
      <c r="V2830" s="47">
        <f>IF(AND(P2830&gt;=Calendar!$K$2,P2830&lt;EDATE(Calendar!$K$2,1),OR(Calendar!$K$4="*",N2830=Calendar!$K$4)),P2830*100+COUNTIFS($P$6:$P$3267,P2830,$Q$6:$Q$3267,"&lt;="&amp;Q2830,$N$6:$N$3267,Calendar!$K$4),"")</f>
        <v/>
      </c>
      <c r="W2830" s="47">
        <f>IF(AND(B2830=Queue!$C$4,OR(Queue!$K$4="*",N2830=Queue!$K$4)),Q2830,"")</f>
        <v/>
      </c>
    </row>
    <row r="2831">
      <c r="A2831" s="38">
        <f>IF(M2831="","",HYPERLINK("https://www.youtube.com/watch?v="&amp;M2831,"▶"))</f>
        <v/>
      </c>
      <c r="B2831" s="39">
        <f>IF(C2831&lt;&gt;"",C2831,IF(P2831&lt;=IFERROR(INDEX(tblChannels[Watched Through],MATCH(N2831,tblChannels[Channel ID],0)),0),"Watched","Unwatched"))</f>
        <v/>
      </c>
      <c r="C2831" s="40" t="n"/>
      <c r="D2831" s="41" t="n"/>
      <c r="E2831" s="42" t="n">
        <v>41991.95416666667</v>
      </c>
      <c r="F2831" s="50" t="inlineStr">
        <is>
          <t>Super Carlin Brothers</t>
        </is>
      </c>
      <c r="G2831" t="inlineStr">
        <is>
          <t>P4A: Mountain Corals</t>
        </is>
      </c>
      <c r="H2831" s="44" t="n">
        <v>0.00349537037037037</v>
      </c>
      <c r="I2831" s="45" t="n">
        <v>7448</v>
      </c>
      <c r="J2831" s="45" t="n">
        <v>241</v>
      </c>
      <c r="K2831" s="45" t="n">
        <v>106</v>
      </c>
      <c r="L2831" s="46" t="n"/>
      <c r="M2831" s="47" t="n"/>
      <c r="N2831" s="47" t="inlineStr">
        <is>
          <t>UCKZo4N0lVPccBkSiuyVh4yg</t>
        </is>
      </c>
      <c r="O2831" s="48" t="n">
        <v>41992.1625</v>
      </c>
      <c r="P2831" s="49" t="n">
        <v>41991</v>
      </c>
      <c r="Q2831" s="47" t="n">
        <v>437</v>
      </c>
      <c r="R2831" s="47" t="inlineStr">
        <is>
          <t>No Video ID yet</t>
        </is>
      </c>
      <c r="S2831" s="49" t="n"/>
      <c r="T2831" s="49" t="n"/>
      <c r="U2831" s="47" t="inlineStr">
        <is>
          <t>We are giving away 5 Mountain Corals t-shirts!! I designed these shirts myself and probably take for more pride in them than is necessary... so the more you love them the happier it will make me. Also we wear Mountain Corals shirts on Friday. I can't lie, yall are already really cool. But you'd be even cooler and we could match if you had you're very own MC shirt to rock. So if interested! Just leave a comment!</t>
        </is>
      </c>
      <c r="V2831" s="47">
        <f>IF(AND(P2831&gt;=Calendar!$K$2,P2831&lt;EDATE(Calendar!$K$2,1),OR(Calendar!$K$4="*",N2831=Calendar!$K$4)),P2831*100+COUNTIFS($P$6:$P$3267,P2831,$Q$6:$Q$3267,"&lt;="&amp;Q2831,$N$6:$N$3267,Calendar!$K$4),"")</f>
        <v/>
      </c>
      <c r="W2831" s="47">
        <f>IF(AND(B2831=Queue!$C$4,OR(Queue!$K$4="*",N2831=Queue!$K$4)),Q2831,"")</f>
        <v/>
      </c>
    </row>
    <row r="2832">
      <c r="A2832" s="38">
        <f>IF(M2832="","",HYPERLINK("https://www.youtube.com/watch?v="&amp;M2832,"▶"))</f>
        <v/>
      </c>
      <c r="B2832" s="39">
        <f>IF(C2832&lt;&gt;"",C2832,IF(P2832&lt;=IFERROR(INDEX(tblChannels[Watched Through],MATCH(N2832,tblChannels[Channel ID],0)),0),"Watched","Unwatched"))</f>
        <v/>
      </c>
      <c r="C2832" s="40" t="n"/>
      <c r="D2832" s="41" t="n"/>
      <c r="E2832" s="42" t="n">
        <v>41989.3625</v>
      </c>
      <c r="F2832" s="50" t="inlineStr">
        <is>
          <t>Super Carlin Brothers</t>
        </is>
      </c>
      <c r="G2832" t="inlineStr">
        <is>
          <t>Do Bagels Google Autofill</t>
        </is>
      </c>
      <c r="H2832" s="44" t="n">
        <v>0.002766203703703704</v>
      </c>
      <c r="I2832" s="45" t="n">
        <v>219836</v>
      </c>
      <c r="J2832" s="45" t="n">
        <v>3353</v>
      </c>
      <c r="K2832" s="45" t="n">
        <v>502</v>
      </c>
      <c r="L2832" s="46" t="n"/>
      <c r="M2832" s="47" t="n"/>
      <c r="N2832" s="47" t="inlineStr">
        <is>
          <t>UCKZo4N0lVPccBkSiuyVh4yg</t>
        </is>
      </c>
      <c r="O2832" s="48" t="n">
        <v>41989.57083333333</v>
      </c>
      <c r="P2832" s="49" t="n">
        <v>41989</v>
      </c>
      <c r="Q2832" s="47" t="n">
        <v>436</v>
      </c>
      <c r="R2832" s="47" t="inlineStr">
        <is>
          <t>No Video ID yet</t>
        </is>
      </c>
      <c r="S2832" s="49" t="n"/>
      <c r="T2832" s="49" t="n"/>
      <c r="U2832" s="47" t="inlineStr">
        <is>
          <t>Bread.. what a loser am I right? But which came first, the bagel or the hole? Google Autofill is super easy! All you have to do is go in to Google type the first half of a question and let google fill in the rest with each letter of the alphabet and then you answer them! Have you done a google autofill? Share it with us!</t>
        </is>
      </c>
      <c r="V2832" s="47">
        <f>IF(AND(P2832&gt;=Calendar!$K$2,P2832&lt;EDATE(Calendar!$K$2,1),OR(Calendar!$K$4="*",N2832=Calendar!$K$4)),P2832*100+COUNTIFS($P$6:$P$3267,P2832,$Q$6:$Q$3267,"&lt;="&amp;Q2832,$N$6:$N$3267,Calendar!$K$4),"")</f>
        <v/>
      </c>
      <c r="W2832" s="47">
        <f>IF(AND(B2832=Queue!$C$4,OR(Queue!$K$4="*",N2832=Queue!$K$4)),Q2832,"")</f>
        <v/>
      </c>
    </row>
    <row r="2833">
      <c r="A2833" s="38">
        <f>IF(M2833="","",HYPERLINK("https://www.youtube.com/watch?v="&amp;M2833,"▶"))</f>
        <v/>
      </c>
      <c r="B2833" s="39">
        <f>IF(C2833&lt;&gt;"",C2833,IF(P2833&lt;=IFERROR(INDEX(tblChannels[Watched Through],MATCH(N2833,tblChannels[Channel ID],0)),0),"Watched","Unwatched"))</f>
        <v/>
      </c>
      <c r="C2833" s="40" t="n"/>
      <c r="D2833" s="41" t="n"/>
      <c r="E2833" s="42" t="n">
        <v>41984.96944444445</v>
      </c>
      <c r="F2833" s="50" t="inlineStr">
        <is>
          <t>Super Carlin Brothers</t>
        </is>
      </c>
      <c r="G2833" t="inlineStr">
        <is>
          <t>Trashcan Society</t>
        </is>
      </c>
      <c r="H2833" s="44" t="n">
        <v>0.003784722222222222</v>
      </c>
      <c r="I2833" s="45" t="n">
        <v>16758</v>
      </c>
      <c r="J2833" s="45" t="n">
        <v>602</v>
      </c>
      <c r="K2833" s="45" t="n">
        <v>116</v>
      </c>
      <c r="L2833" s="46" t="n"/>
      <c r="M2833" s="47" t="n"/>
      <c r="N2833" s="47" t="inlineStr">
        <is>
          <t>UCKZo4N0lVPccBkSiuyVh4yg</t>
        </is>
      </c>
      <c r="O2833" s="48" t="n">
        <v>41985.17777777778</v>
      </c>
      <c r="P2833" s="49" t="n">
        <v>41984</v>
      </c>
      <c r="Q2833" s="47" t="n">
        <v>435</v>
      </c>
      <c r="R2833" s="47" t="inlineStr">
        <is>
          <t>No Video ID yet</t>
        </is>
      </c>
      <c r="S2833" s="49" t="n"/>
      <c r="T2833" s="49" t="n"/>
      <c r="U2833" s="47" t="n"/>
      <c r="V2833" s="47">
        <f>IF(AND(P2833&gt;=Calendar!$K$2,P2833&lt;EDATE(Calendar!$K$2,1),OR(Calendar!$K$4="*",N2833=Calendar!$K$4)),P2833*100+COUNTIFS($P$6:$P$3267,P2833,$Q$6:$Q$3267,"&lt;="&amp;Q2833,$N$6:$N$3267,Calendar!$K$4),"")</f>
        <v/>
      </c>
      <c r="W2833" s="47">
        <f>IF(AND(B2833=Queue!$C$4,OR(Queue!$K$4="*",N2833=Queue!$K$4)),Q2833,"")</f>
        <v/>
      </c>
    </row>
    <row r="2834">
      <c r="A2834" s="38">
        <f>IF(M2834="","",HYPERLINK("https://www.youtube.com/watch?v="&amp;M2834,"▶"))</f>
        <v/>
      </c>
      <c r="B2834" s="39">
        <f>IF(C2834&lt;&gt;"",C2834,IF(P2834&lt;=IFERROR(INDEX(tblChannels[Watched Through],MATCH(N2834,tblChannels[Channel ID],0)),0),"Watched","Unwatched"))</f>
        <v/>
      </c>
      <c r="C2834" s="40" t="n"/>
      <c r="D2834" s="41" t="n"/>
      <c r="E2834" s="42" t="n">
        <v>41982.92013888889</v>
      </c>
      <c r="F2834" s="50" t="inlineStr">
        <is>
          <t>Super Carlin Brothers</t>
        </is>
      </c>
      <c r="G2834" t="inlineStr">
        <is>
          <t>WE GOT ENGAGED!!</t>
        </is>
      </c>
      <c r="H2834" s="44" t="n">
        <v>0.003993055555555555</v>
      </c>
      <c r="I2834" s="45" t="n">
        <v>232244</v>
      </c>
      <c r="J2834" s="45" t="n">
        <v>6292</v>
      </c>
      <c r="K2834" s="45" t="n">
        <v>993</v>
      </c>
      <c r="L2834" s="46" t="n"/>
      <c r="M2834" s="47" t="n"/>
      <c r="N2834" s="47" t="inlineStr">
        <is>
          <t>UCKZo4N0lVPccBkSiuyVh4yg</t>
        </is>
      </c>
      <c r="O2834" s="48" t="n">
        <v>41983.12847222222</v>
      </c>
      <c r="P2834" s="49" t="n">
        <v>41982</v>
      </c>
      <c r="Q2834" s="47" t="n">
        <v>434</v>
      </c>
      <c r="R2834" s="47" t="inlineStr">
        <is>
          <t>No Video ID yet</t>
        </is>
      </c>
      <c r="S2834" s="49" t="n"/>
      <c r="T2834" s="49" t="n"/>
      <c r="U2834" s="47" t="inlineStr">
        <is>
          <t>200 Days and counting until the #SuperCarlinWedding !!! Follow the action on our Instagrams: @Jonkerlin and @JMUBeth History of December 5th ::</t>
        </is>
      </c>
      <c r="V2834" s="47">
        <f>IF(AND(P2834&gt;=Calendar!$K$2,P2834&lt;EDATE(Calendar!$K$2,1),OR(Calendar!$K$4="*",N2834=Calendar!$K$4)),P2834*100+COUNTIFS($P$6:$P$3267,P2834,$Q$6:$Q$3267,"&lt;="&amp;Q2834,$N$6:$N$3267,Calendar!$K$4),"")</f>
        <v/>
      </c>
      <c r="W2834" s="47">
        <f>IF(AND(B2834=Queue!$C$4,OR(Queue!$K$4="*",N2834=Queue!$K$4)),Q2834,"")</f>
        <v/>
      </c>
    </row>
    <row r="2835">
      <c r="A2835" s="38">
        <f>IF(M2835="","",HYPERLINK("https://www.youtube.com/watch?v="&amp;M2835,"▶"))</f>
        <v/>
      </c>
      <c r="B2835" s="39">
        <f>IF(C2835&lt;&gt;"",C2835,IF(P2835&lt;=IFERROR(INDEX(tblChannels[Watched Through],MATCH(N2835,tblChannels[Channel ID],0)),0),"Watched","Unwatched"))</f>
        <v/>
      </c>
      <c r="C2835" s="40" t="n"/>
      <c r="D2835" s="41" t="n"/>
      <c r="E2835" s="42" t="n">
        <v>41977.79791666667</v>
      </c>
      <c r="F2835" s="50" t="inlineStr">
        <is>
          <t>Super Carlin Brothers</t>
        </is>
      </c>
      <c r="G2835" t="inlineStr">
        <is>
          <t>The Create Your Player Theory</t>
        </is>
      </c>
      <c r="H2835" s="44" t="n">
        <v>0.00425925925925926</v>
      </c>
      <c r="I2835" s="45" t="n">
        <v>56500</v>
      </c>
      <c r="J2835" s="45" t="n">
        <v>1365</v>
      </c>
      <c r="K2835" s="45" t="n">
        <v>180</v>
      </c>
      <c r="L2835" s="46" t="n"/>
      <c r="M2835" s="47" t="n"/>
      <c r="N2835" s="47" t="inlineStr">
        <is>
          <t>UCKZo4N0lVPccBkSiuyVh4yg</t>
        </is>
      </c>
      <c r="O2835" s="48" t="n">
        <v>41978.00625</v>
      </c>
      <c r="P2835" s="49" t="n">
        <v>41977</v>
      </c>
      <c r="Q2835" s="47" t="n">
        <v>433</v>
      </c>
      <c r="R2835" s="47" t="inlineStr">
        <is>
          <t>No Video ID yet</t>
        </is>
      </c>
      <c r="S2835" s="49" t="n"/>
      <c r="T2835" s="49" t="n"/>
      <c r="U2835" s="47" t="inlineStr">
        <is>
          <t>BONUS QUESTION: Can you earn additional points? In a world of equal points everyone would average to... lets say 83. Earning points would allow your average across all attributes to actually be higher.</t>
        </is>
      </c>
      <c r="V2835" s="47">
        <f>IF(AND(P2835&gt;=Calendar!$K$2,P2835&lt;EDATE(Calendar!$K$2,1),OR(Calendar!$K$4="*",N2835=Calendar!$K$4)),P2835*100+COUNTIFS($P$6:$P$3267,P2835,$Q$6:$Q$3267,"&lt;="&amp;Q2835,$N$6:$N$3267,Calendar!$K$4),"")</f>
        <v/>
      </c>
      <c r="W2835" s="47">
        <f>IF(AND(B2835=Queue!$C$4,OR(Queue!$K$4="*",N2835=Queue!$K$4)),Q2835,"")</f>
        <v/>
      </c>
    </row>
    <row r="2836">
      <c r="A2836" s="38">
        <f>IF(M2836="","",HYPERLINK("https://www.youtube.com/watch?v="&amp;M2836,"▶"))</f>
        <v/>
      </c>
      <c r="B2836" s="39">
        <f>IF(C2836&lt;&gt;"",C2836,IF(P2836&lt;=IFERROR(INDEX(tblChannels[Watched Through],MATCH(N2836,tblChannels[Channel ID],0)),0),"Watched","Unwatched"))</f>
        <v/>
      </c>
      <c r="C2836" s="40" t="n"/>
      <c r="D2836" s="41" t="n"/>
      <c r="E2836" s="42" t="n">
        <v>41975.90833333333</v>
      </c>
      <c r="F2836" s="50" t="inlineStr">
        <is>
          <t>Super Carlin Brothers</t>
        </is>
      </c>
      <c r="G2836" t="inlineStr">
        <is>
          <t>ASK J! The Future, White Girl Words and Zombies!</t>
        </is>
      </c>
      <c r="H2836" s="44" t="n">
        <v>0.003125</v>
      </c>
      <c r="I2836" s="45" t="n">
        <v>41889</v>
      </c>
      <c r="J2836" s="45" t="n">
        <v>919</v>
      </c>
      <c r="K2836" s="45" t="n">
        <v>319</v>
      </c>
      <c r="L2836" s="46" t="n"/>
      <c r="M2836" s="47" t="n"/>
      <c r="N2836" s="47" t="inlineStr">
        <is>
          <t>UCKZo4N0lVPccBkSiuyVh4yg</t>
        </is>
      </c>
      <c r="O2836" s="48" t="n">
        <v>41976.11666666667</v>
      </c>
      <c r="P2836" s="49" t="n">
        <v>41975</v>
      </c>
      <c r="Q2836" s="47" t="n">
        <v>432</v>
      </c>
      <c r="R2836" s="47" t="inlineStr">
        <is>
          <t>No Video ID yet</t>
        </is>
      </c>
      <c r="S2836" s="49" t="n"/>
      <c r="T2836" s="49" t="n"/>
      <c r="U2836" s="47" t="inlineStr">
        <is>
          <t>Today I am answering all of YOUR questions! (Obvi =P) The real question is... what IS THAT SMELL? Also what is your favorite holiday tradition and are you interested in SCB T-Shirts and/or posters??</t>
        </is>
      </c>
      <c r="V2836" s="47">
        <f>IF(AND(P2836&gt;=Calendar!$K$2,P2836&lt;EDATE(Calendar!$K$2,1),OR(Calendar!$K$4="*",N2836=Calendar!$K$4)),P2836*100+COUNTIFS($P$6:$P$3267,P2836,$Q$6:$Q$3267,"&lt;="&amp;Q2836,$N$6:$N$3267,Calendar!$K$4),"")</f>
        <v/>
      </c>
      <c r="W2836" s="47">
        <f>IF(AND(B2836=Queue!$C$4,OR(Queue!$K$4="*",N2836=Queue!$K$4)),Q2836,"")</f>
        <v/>
      </c>
    </row>
    <row r="2837">
      <c r="A2837" s="38">
        <f>IF(M2837="","",HYPERLINK("https://www.youtube.com/watch?v="&amp;M2837,"▶"))</f>
        <v/>
      </c>
      <c r="B2837" s="39">
        <f>IF(C2837&lt;&gt;"",C2837,IF(P2837&lt;=IFERROR(INDEX(tblChannels[Watched Through],MATCH(N2837,tblChannels[Channel ID],0)),0),"Watched","Unwatched"))</f>
        <v/>
      </c>
      <c r="C2837" s="40" t="n"/>
      <c r="D2837" s="41" t="n"/>
      <c r="E2837" s="42" t="n">
        <v>41968.96180555555</v>
      </c>
      <c r="F2837" s="50" t="inlineStr">
        <is>
          <t>Super Carlin Brothers</t>
        </is>
      </c>
      <c r="G2837" t="inlineStr">
        <is>
          <t>Loot Crate Unboxing | BATTLE</t>
        </is>
      </c>
      <c r="H2837" s="44" t="n">
        <v>0.004884259259259259</v>
      </c>
      <c r="I2837" s="45" t="n">
        <v>74817</v>
      </c>
      <c r="J2837" s="45" t="n">
        <v>1230</v>
      </c>
      <c r="K2837" s="45" t="n">
        <v>600</v>
      </c>
      <c r="L2837" s="46" t="n"/>
      <c r="M2837" s="47" t="n"/>
      <c r="N2837" s="47" t="inlineStr">
        <is>
          <t>UCKZo4N0lVPccBkSiuyVh4yg</t>
        </is>
      </c>
      <c r="O2837" s="48" t="n">
        <v>41969.17013888889</v>
      </c>
      <c r="P2837" s="49" t="n">
        <v>41968</v>
      </c>
      <c r="Q2837" s="47" t="n">
        <v>431</v>
      </c>
      <c r="R2837" s="47" t="inlineStr">
        <is>
          <t>No Video ID yet</t>
        </is>
      </c>
      <c r="S2837" s="49" t="n"/>
      <c r="T2837" s="49" t="n"/>
      <c r="U2837" s="47" t="inlineStr">
        <is>
          <t>The best geek &amp; gamer gear comes from Loot Crate! Sign up at: and get 10% off with Promo Code: CARLIN CONTEST: Follow both of us on Instagram and Like the Lootcrate photos shown in the video and you will be entered into a random drawing for a FREE Loot Crate Instagram:</t>
        </is>
      </c>
      <c r="V2837" s="47">
        <f>IF(AND(P2837&gt;=Calendar!$K$2,P2837&lt;EDATE(Calendar!$K$2,1),OR(Calendar!$K$4="*",N2837=Calendar!$K$4)),P2837*100+COUNTIFS($P$6:$P$3267,P2837,$Q$6:$Q$3267,"&lt;="&amp;Q2837,$N$6:$N$3267,Calendar!$K$4),"")</f>
        <v/>
      </c>
      <c r="W2837" s="47">
        <f>IF(AND(B2837=Queue!$C$4,OR(Queue!$K$4="*",N2837=Queue!$K$4)),Q2837,"")</f>
        <v/>
      </c>
    </row>
    <row r="2838">
      <c r="A2838" s="38">
        <f>IF(M2838="","",HYPERLINK("https://www.youtube.com/watch?v="&amp;M2838,"▶"))</f>
        <v/>
      </c>
      <c r="B2838" s="39">
        <f>IF(C2838&lt;&gt;"",C2838,IF(P2838&lt;=IFERROR(INDEX(tblChannels[Watched Through],MATCH(N2838,tblChannels[Channel ID],0)),0),"Watched","Unwatched"))</f>
        <v/>
      </c>
      <c r="C2838" s="40" t="n"/>
      <c r="D2838" s="41" t="n"/>
      <c r="E2838" s="42" t="n">
        <v>41963.80416666667</v>
      </c>
      <c r="F2838" s="50" t="inlineStr">
        <is>
          <t>Super Carlin Brothers</t>
        </is>
      </c>
      <c r="G2838" t="inlineStr">
        <is>
          <t>STAINLESS STEEL Episode of SCB</t>
        </is>
      </c>
      <c r="H2838" s="44" t="n">
        <v>0.003321759259259259</v>
      </c>
      <c r="I2838" s="45" t="n">
        <v>9494</v>
      </c>
      <c r="J2838" s="45" t="n">
        <v>286</v>
      </c>
      <c r="K2838" s="45" t="n">
        <v>42</v>
      </c>
      <c r="L2838" s="46" t="n"/>
      <c r="M2838" s="47" t="n"/>
      <c r="N2838" s="47" t="inlineStr">
        <is>
          <t>UCKZo4N0lVPccBkSiuyVh4yg</t>
        </is>
      </c>
      <c r="O2838" s="48" t="n">
        <v>41964.0125</v>
      </c>
      <c r="P2838" s="49" t="n">
        <v>41963</v>
      </c>
      <c r="Q2838" s="47" t="n">
        <v>430</v>
      </c>
      <c r="R2838" s="47" t="inlineStr">
        <is>
          <t>No Video ID yet</t>
        </is>
      </c>
      <c r="S2838" s="49" t="n"/>
      <c r="T2838" s="49" t="n"/>
      <c r="U2838" s="47" t="inlineStr">
        <is>
          <t>Show of hands... how many people thought we were one!?</t>
        </is>
      </c>
      <c r="V2838" s="47">
        <f>IF(AND(P2838&gt;=Calendar!$K$2,P2838&lt;EDATE(Calendar!$K$2,1),OR(Calendar!$K$4="*",N2838=Calendar!$K$4)),P2838*100+COUNTIFS($P$6:$P$3267,P2838,$Q$6:$Q$3267,"&lt;="&amp;Q2838,$N$6:$N$3267,Calendar!$K$4),"")</f>
        <v/>
      </c>
      <c r="W2838" s="47">
        <f>IF(AND(B2838=Queue!$C$4,OR(Queue!$K$4="*",N2838=Queue!$K$4)),Q2838,"")</f>
        <v/>
      </c>
    </row>
    <row r="2839">
      <c r="A2839" s="38">
        <f>IF(M2839="","",HYPERLINK("https://www.youtube.com/watch?v="&amp;M2839,"▶"))</f>
        <v/>
      </c>
      <c r="B2839" s="39">
        <f>IF(C2839&lt;&gt;"",C2839,IF(P2839&lt;=IFERROR(INDEX(tblChannels[Watched Through],MATCH(N2839,tblChannels[Channel ID],0)),0),"Watched","Unwatched"))</f>
        <v/>
      </c>
      <c r="C2839" s="40" t="n"/>
      <c r="D2839" s="41" t="n"/>
      <c r="E2839" s="42" t="n">
        <v>41961.9</v>
      </c>
      <c r="F2839" s="50" t="inlineStr">
        <is>
          <t>Super Carlin Brothers</t>
        </is>
      </c>
      <c r="G2839" t="inlineStr">
        <is>
          <t>How to Relax</t>
        </is>
      </c>
      <c r="H2839" s="44" t="n">
        <v>0.003113425925925926</v>
      </c>
      <c r="I2839" s="45" t="n">
        <v>39057</v>
      </c>
      <c r="J2839" s="45" t="n">
        <v>942</v>
      </c>
      <c r="K2839" s="45" t="n">
        <v>192</v>
      </c>
      <c r="L2839" s="46" t="n"/>
      <c r="M2839" s="47" t="n"/>
      <c r="N2839" s="47" t="inlineStr">
        <is>
          <t>UCKZo4N0lVPccBkSiuyVh4yg</t>
        </is>
      </c>
      <c r="O2839" s="48" t="n">
        <v>41962.10833333333</v>
      </c>
      <c r="P2839" s="49" t="n">
        <v>41961</v>
      </c>
      <c r="Q2839" s="47" t="n">
        <v>429</v>
      </c>
      <c r="R2839" s="47" t="inlineStr">
        <is>
          <t>No Video ID yet</t>
        </is>
      </c>
      <c r="S2839" s="49" t="n"/>
      <c r="T2839" s="49" t="n"/>
      <c r="U2839" s="47" t="inlineStr">
        <is>
          <t>What do you do to relax?? Will you be at PlayList this weekend!?!</t>
        </is>
      </c>
      <c r="V2839" s="47">
        <f>IF(AND(P2839&gt;=Calendar!$K$2,P2839&lt;EDATE(Calendar!$K$2,1),OR(Calendar!$K$4="*",N2839=Calendar!$K$4)),P2839*100+COUNTIFS($P$6:$P$3267,P2839,$Q$6:$Q$3267,"&lt;="&amp;Q2839,$N$6:$N$3267,Calendar!$K$4),"")</f>
        <v/>
      </c>
      <c r="W2839" s="47">
        <f>IF(AND(B2839=Queue!$C$4,OR(Queue!$K$4="*",N2839=Queue!$K$4)),Q2839,"")</f>
        <v/>
      </c>
    </row>
    <row r="2840">
      <c r="A2840" s="38">
        <f>IF(M2840="","",HYPERLINK("https://www.youtube.com/watch?v="&amp;M2840,"▶"))</f>
        <v/>
      </c>
      <c r="B2840" s="39">
        <f>IF(C2840&lt;&gt;"",C2840,IF(P2840&lt;=IFERROR(INDEX(tblChannels[Watched Through],MATCH(N2840,tblChannels[Channel ID],0)),0),"Watched","Unwatched"))</f>
        <v/>
      </c>
      <c r="C2840" s="40" t="n"/>
      <c r="D2840" s="41" t="n"/>
      <c r="E2840" s="42" t="n">
        <v>41956.80763888889</v>
      </c>
      <c r="F2840" s="50" t="inlineStr">
        <is>
          <t>Super Carlin Brothers</t>
        </is>
      </c>
      <c r="G2840" t="inlineStr">
        <is>
          <t>Middle Child SYNDROME</t>
        </is>
      </c>
      <c r="H2840" s="44" t="n">
        <v>0.003090277777777778</v>
      </c>
      <c r="I2840" s="45" t="n">
        <v>145383</v>
      </c>
      <c r="J2840" s="45" t="n">
        <v>3384</v>
      </c>
      <c r="K2840" s="45" t="n">
        <v>1442</v>
      </c>
      <c r="L2840" s="46" t="n"/>
      <c r="M2840" s="47" t="n"/>
      <c r="N2840" s="47" t="inlineStr">
        <is>
          <t>UCKZo4N0lVPccBkSiuyVh4yg</t>
        </is>
      </c>
      <c r="O2840" s="48" t="n">
        <v>41957.01597222222</v>
      </c>
      <c r="P2840" s="49" t="n">
        <v>41956</v>
      </c>
      <c r="Q2840" s="47" t="n">
        <v>428</v>
      </c>
      <c r="R2840" s="47" t="inlineStr">
        <is>
          <t>No Video ID yet</t>
        </is>
      </c>
      <c r="S2840" s="49" t="n"/>
      <c r="T2840" s="49" t="n"/>
      <c r="U2840" s="47" t="n"/>
      <c r="V2840" s="47">
        <f>IF(AND(P2840&gt;=Calendar!$K$2,P2840&lt;EDATE(Calendar!$K$2,1),OR(Calendar!$K$4="*",N2840=Calendar!$K$4)),P2840*100+COUNTIFS($P$6:$P$3267,P2840,$Q$6:$Q$3267,"&lt;="&amp;Q2840,$N$6:$N$3267,Calendar!$K$4),"")</f>
        <v/>
      </c>
      <c r="W2840" s="47">
        <f>IF(AND(B2840=Queue!$C$4,OR(Queue!$K$4="*",N2840=Queue!$K$4)),Q2840,"")</f>
        <v/>
      </c>
    </row>
    <row r="2841">
      <c r="A2841" s="38">
        <f>IF(M2841="","",HYPERLINK("https://www.youtube.com/watch?v="&amp;M2841,"▶"))</f>
        <v/>
      </c>
      <c r="B2841" s="39">
        <f>IF(C2841&lt;&gt;"",C2841,IF(P2841&lt;=IFERROR(INDEX(tblChannels[Watched Through],MATCH(N2841,tblChannels[Channel ID],0)),0),"Watched","Unwatched"))</f>
        <v/>
      </c>
      <c r="C2841" s="40" t="n"/>
      <c r="D2841" s="41" t="n"/>
      <c r="E2841" s="42" t="n">
        <v>41954.92083333333</v>
      </c>
      <c r="F2841" s="50" t="inlineStr">
        <is>
          <t>Super Carlin Brothers</t>
        </is>
      </c>
      <c r="G2841" t="inlineStr">
        <is>
          <t>Fear vs Phobia</t>
        </is>
      </c>
      <c r="H2841" s="44" t="n">
        <v>0.003611111111111111</v>
      </c>
      <c r="I2841" s="45" t="n">
        <v>236509</v>
      </c>
      <c r="J2841" s="45" t="n">
        <v>5355</v>
      </c>
      <c r="K2841" s="45" t="n">
        <v>2825</v>
      </c>
      <c r="L2841" s="46" t="n"/>
      <c r="M2841" s="47" t="n"/>
      <c r="N2841" s="47" t="inlineStr">
        <is>
          <t>UCKZo4N0lVPccBkSiuyVh4yg</t>
        </is>
      </c>
      <c r="O2841" s="48" t="n">
        <v>41955.12916666667</v>
      </c>
      <c r="P2841" s="49" t="n">
        <v>41954</v>
      </c>
      <c r="Q2841" s="47" t="n">
        <v>427</v>
      </c>
      <c r="R2841" s="47" t="inlineStr">
        <is>
          <t>No Video ID yet</t>
        </is>
      </c>
      <c r="S2841" s="49" t="n"/>
      <c r="T2841" s="49" t="n"/>
      <c r="U2841" s="47" t="inlineStr">
        <is>
          <t>What are you afraid of?? Instagram:</t>
        </is>
      </c>
      <c r="V2841" s="47">
        <f>IF(AND(P2841&gt;=Calendar!$K$2,P2841&lt;EDATE(Calendar!$K$2,1),OR(Calendar!$K$4="*",N2841=Calendar!$K$4)),P2841*100+COUNTIFS($P$6:$P$3267,P2841,$Q$6:$Q$3267,"&lt;="&amp;Q2841,$N$6:$N$3267,Calendar!$K$4),"")</f>
        <v/>
      </c>
      <c r="W2841" s="47">
        <f>IF(AND(B2841=Queue!$C$4,OR(Queue!$K$4="*",N2841=Queue!$K$4)),Q2841,"")</f>
        <v/>
      </c>
    </row>
    <row r="2842">
      <c r="A2842" s="38">
        <f>IF(M2842="","",HYPERLINK("https://www.youtube.com/watch?v="&amp;M2842,"▶"))</f>
        <v/>
      </c>
      <c r="B2842" s="39">
        <f>IF(C2842&lt;&gt;"",C2842,IF(P2842&lt;=IFERROR(INDEX(tblChannels[Watched Through],MATCH(N2842,tblChannels[Channel ID],0)),0),"Watched","Unwatched"))</f>
        <v/>
      </c>
      <c r="C2842" s="40" t="n"/>
      <c r="D2842" s="41" t="n"/>
      <c r="E2842" s="42" t="n">
        <v>41949.87083333333</v>
      </c>
      <c r="F2842" s="50" t="inlineStr">
        <is>
          <t>Super Carlin Brothers</t>
        </is>
      </c>
      <c r="G2842" t="inlineStr">
        <is>
          <t>Batman Politics!</t>
        </is>
      </c>
      <c r="H2842" s="44" t="n">
        <v>0.00318287037037037</v>
      </c>
      <c r="I2842" s="45" t="n">
        <v>41647</v>
      </c>
      <c r="J2842" s="45" t="n">
        <v>962</v>
      </c>
      <c r="K2842" s="45" t="n">
        <v>141</v>
      </c>
      <c r="L2842" s="46" t="n"/>
      <c r="M2842" s="47" t="n"/>
      <c r="N2842" s="47" t="inlineStr">
        <is>
          <t>UCKZo4N0lVPccBkSiuyVh4yg</t>
        </is>
      </c>
      <c r="O2842" s="48" t="n">
        <v>41950.07916666667</v>
      </c>
      <c r="P2842" s="49" t="n">
        <v>41949</v>
      </c>
      <c r="Q2842" s="47" t="n">
        <v>426</v>
      </c>
      <c r="R2842" s="47" t="inlineStr">
        <is>
          <t>No Video ID yet</t>
        </is>
      </c>
      <c r="S2842" s="49" t="n"/>
      <c r="T2842" s="49" t="n"/>
      <c r="U2842" s="47" t="inlineStr">
        <is>
          <t>ARE YOU FOR THE BATMAN?!?! It's almost a lesson in physics... matter cannot be created or destroyed. Same with politics, and resources. At this point there are good ideas... Plenty of them. The real question is... how do we use them to best serve society. The</t>
        </is>
      </c>
      <c r="V2842" s="47">
        <f>IF(AND(P2842&gt;=Calendar!$K$2,P2842&lt;EDATE(Calendar!$K$2,1),OR(Calendar!$K$4="*",N2842=Calendar!$K$4)),P2842*100+COUNTIFS($P$6:$P$3267,P2842,$Q$6:$Q$3267,"&lt;="&amp;Q2842,$N$6:$N$3267,Calendar!$K$4),"")</f>
        <v/>
      </c>
      <c r="W2842" s="47">
        <f>IF(AND(B2842=Queue!$C$4,OR(Queue!$K$4="*",N2842=Queue!$K$4)),Q2842,"")</f>
        <v/>
      </c>
    </row>
    <row r="2843">
      <c r="A2843" s="38">
        <f>IF(M2843="","",HYPERLINK("https://www.youtube.com/watch?v="&amp;M2843,"▶"))</f>
        <v/>
      </c>
      <c r="B2843" s="39">
        <f>IF(C2843&lt;&gt;"",C2843,IF(P2843&lt;=IFERROR(INDEX(tblChannels[Watched Through],MATCH(N2843,tblChannels[Channel ID],0)),0),"Watched","Unwatched"))</f>
        <v/>
      </c>
      <c r="C2843" s="40" t="n"/>
      <c r="D2843" s="41" t="n"/>
      <c r="E2843" s="42" t="n">
        <v>41949.18055555555</v>
      </c>
      <c r="F2843" s="52" t="inlineStr">
        <is>
          <t>Super Carlin Gaming</t>
        </is>
      </c>
      <c r="G2843" t="inlineStr">
        <is>
          <t>Pokemon FireRed Nuzlocke Challenge #24: I HATE PEACHES</t>
        </is>
      </c>
      <c r="H2843" s="44" t="n">
        <v>0.01033564814814815</v>
      </c>
      <c r="I2843" s="45" t="n">
        <v>29707</v>
      </c>
      <c r="J2843" s="45" t="n">
        <v>582</v>
      </c>
      <c r="K2843" s="45" t="n">
        <v>310</v>
      </c>
      <c r="L2843" s="46" t="n"/>
      <c r="M2843" s="47" t="n"/>
      <c r="N2843" s="47" t="inlineStr">
        <is>
          <t>UCor_9jRnNNZVzTuQ92PKsaQ</t>
        </is>
      </c>
      <c r="O2843" s="48" t="n">
        <v>41949.38888888889</v>
      </c>
      <c r="P2843" s="49" t="n">
        <v>41949</v>
      </c>
      <c r="Q2843" s="47" t="n">
        <v>425</v>
      </c>
      <c r="R2843" s="47" t="inlineStr">
        <is>
          <t>No Video ID yet</t>
        </is>
      </c>
      <c r="S2843" s="49" t="n"/>
      <c r="T2843" s="49" t="n"/>
      <c r="U2843" s="47" t="inlineStr">
        <is>
          <t>One final encounter with Peaches before the Pokemon League.. can we take down our hated rival??</t>
        </is>
      </c>
      <c r="V2843" s="47">
        <f>IF(AND(P2843&gt;=Calendar!$K$2,P2843&lt;EDATE(Calendar!$K$2,1),OR(Calendar!$K$4="*",N2843=Calendar!$K$4)),P2843*100+COUNTIFS($P$6:$P$3267,P2843,$Q$6:$Q$3267,"&lt;="&amp;Q2843,$N$6:$N$3267,Calendar!$K$4),"")</f>
        <v/>
      </c>
      <c r="W2843" s="47">
        <f>IF(AND(B2843=Queue!$C$4,OR(Queue!$K$4="*",N2843=Queue!$K$4)),Q2843,"")</f>
        <v/>
      </c>
    </row>
    <row r="2844">
      <c r="A2844" s="38">
        <f>IF(M2844="","",HYPERLINK("https://www.youtube.com/watch?v="&amp;M2844,"▶"))</f>
        <v/>
      </c>
      <c r="B2844" s="39">
        <f>IF(C2844&lt;&gt;"",C2844,IF(P2844&lt;=IFERROR(INDEX(tblChannels[Watched Through],MATCH(N2844,tblChannels[Channel ID],0)),0),"Watched","Unwatched"))</f>
        <v/>
      </c>
      <c r="C2844" s="40" t="n"/>
      <c r="D2844" s="41" t="n"/>
      <c r="E2844" s="42" t="n">
        <v>41947.91875</v>
      </c>
      <c r="F2844" s="50" t="inlineStr">
        <is>
          <t>Super Carlin Brothers</t>
        </is>
      </c>
      <c r="G2844" t="inlineStr">
        <is>
          <t>Does Darth Vader Google Autofill</t>
        </is>
      </c>
      <c r="H2844" s="44" t="n">
        <v>0.004861111111111111</v>
      </c>
      <c r="I2844" s="45" t="n">
        <v>310917</v>
      </c>
      <c r="J2844" s="45" t="n">
        <v>7182</v>
      </c>
      <c r="K2844" s="45" t="n">
        <v>1383</v>
      </c>
      <c r="L2844" s="46" t="n"/>
      <c r="M2844" s="47" t="n"/>
      <c r="N2844" s="47" t="inlineStr">
        <is>
          <t>UCKZo4N0lVPccBkSiuyVh4yg</t>
        </is>
      </c>
      <c r="O2844" s="48" t="n">
        <v>41948.12708333333</v>
      </c>
      <c r="P2844" s="49" t="n">
        <v>41947</v>
      </c>
      <c r="Q2844" s="47" t="n">
        <v>424</v>
      </c>
      <c r="R2844" s="47" t="inlineStr">
        <is>
          <t>No Video ID yet</t>
        </is>
      </c>
      <c r="S2844" s="49" t="n"/>
      <c r="T2844" s="49" t="n"/>
      <c r="U2844" s="47" t="inlineStr">
        <is>
          <t>Who is your favorite Star Wars Character??</t>
        </is>
      </c>
      <c r="V2844" s="47">
        <f>IF(AND(P2844&gt;=Calendar!$K$2,P2844&lt;EDATE(Calendar!$K$2,1),OR(Calendar!$K$4="*",N2844=Calendar!$K$4)),P2844*100+COUNTIFS($P$6:$P$3267,P2844,$Q$6:$Q$3267,"&lt;="&amp;Q2844,$N$6:$N$3267,Calendar!$K$4),"")</f>
        <v/>
      </c>
      <c r="W2844" s="47">
        <f>IF(AND(B2844=Queue!$C$4,OR(Queue!$K$4="*",N2844=Queue!$K$4)),Q2844,"")</f>
        <v/>
      </c>
    </row>
    <row r="2845">
      <c r="A2845" s="38">
        <f>IF(M2845="","",HYPERLINK("https://www.youtube.com/watch?v="&amp;M2845,"▶"))</f>
        <v/>
      </c>
      <c r="B2845" s="39">
        <f>IF(C2845&lt;&gt;"",C2845,IF(P2845&lt;=IFERROR(INDEX(tblChannels[Watched Through],MATCH(N2845,tblChannels[Channel ID],0)),0),"Watched","Unwatched"))</f>
        <v/>
      </c>
      <c r="C2845" s="40" t="n"/>
      <c r="D2845" s="41" t="n"/>
      <c r="E2845" s="42" t="n">
        <v>41942.87986111111</v>
      </c>
      <c r="F2845" s="50" t="inlineStr">
        <is>
          <t>Super Carlin Brothers</t>
        </is>
      </c>
      <c r="G2845" t="inlineStr">
        <is>
          <t>What is a Giraffalent?!</t>
        </is>
      </c>
      <c r="H2845" s="44" t="n">
        <v>0.003217592592592593</v>
      </c>
      <c r="I2845" s="45" t="n">
        <v>54909</v>
      </c>
      <c r="J2845" s="45" t="n">
        <v>1085</v>
      </c>
      <c r="K2845" s="45" t="n">
        <v>128</v>
      </c>
      <c r="L2845" s="46" t="n"/>
      <c r="M2845" s="47" t="n"/>
      <c r="N2845" s="47" t="inlineStr">
        <is>
          <t>UCKZo4N0lVPccBkSiuyVh4yg</t>
        </is>
      </c>
      <c r="O2845" s="48" t="n">
        <v>41943.04652777778</v>
      </c>
      <c r="P2845" s="49" t="n">
        <v>41942</v>
      </c>
      <c r="Q2845" s="47" t="n">
        <v>423</v>
      </c>
      <c r="R2845" s="47" t="inlineStr">
        <is>
          <t>No Video ID yet</t>
        </is>
      </c>
      <c r="S2845" s="49" t="n"/>
      <c r="T2845" s="49" t="n"/>
      <c r="U2845" s="47" t="inlineStr">
        <is>
          <t>Once and for all we can finally put a cause to our unrelenting animosity towards our Giraffalent foe. Also, Feeling excited about an idea? I give out free high fives. Just let me know. @SCB_Ben</t>
        </is>
      </c>
      <c r="V2845" s="47">
        <f>IF(AND(P2845&gt;=Calendar!$K$2,P2845&lt;EDATE(Calendar!$K$2,1),OR(Calendar!$K$4="*",N2845=Calendar!$K$4)),P2845*100+COUNTIFS($P$6:$P$3267,P2845,$Q$6:$Q$3267,"&lt;="&amp;Q2845,$N$6:$N$3267,Calendar!$K$4),"")</f>
        <v/>
      </c>
      <c r="W2845" s="47">
        <f>IF(AND(B2845=Queue!$C$4,OR(Queue!$K$4="*",N2845=Queue!$K$4)),Q2845,"")</f>
        <v/>
      </c>
    </row>
    <row r="2846">
      <c r="A2846" s="38">
        <f>IF(M2846="","",HYPERLINK("https://www.youtube.com/watch?v="&amp;M2846,"▶"))</f>
        <v/>
      </c>
      <c r="B2846" s="39">
        <f>IF(C2846&lt;&gt;"",C2846,IF(P2846&lt;=IFERROR(INDEX(tblChannels[Watched Through],MATCH(N2846,tblChannels[Channel ID],0)),0),"Watched","Unwatched"))</f>
        <v/>
      </c>
      <c r="C2846" s="40" t="n"/>
      <c r="D2846" s="41" t="n"/>
      <c r="E2846" s="42" t="n">
        <v>41940.99583333333</v>
      </c>
      <c r="F2846" s="50" t="inlineStr">
        <is>
          <t>Super Carlin Brothers</t>
        </is>
      </c>
      <c r="G2846" t="inlineStr">
        <is>
          <t>Who is Doctor Strange?</t>
        </is>
      </c>
      <c r="H2846" s="44" t="n">
        <v>0.004699074074074074</v>
      </c>
      <c r="I2846" s="45" t="n">
        <v>184477</v>
      </c>
      <c r="J2846" s="45" t="n">
        <v>3829</v>
      </c>
      <c r="K2846" s="45" t="n">
        <v>563</v>
      </c>
      <c r="L2846" s="46" t="n"/>
      <c r="M2846" s="47" t="n"/>
      <c r="N2846" s="47" t="inlineStr">
        <is>
          <t>UCKZo4N0lVPccBkSiuyVh4yg</t>
        </is>
      </c>
      <c r="O2846" s="48" t="n">
        <v>41941.1625</v>
      </c>
      <c r="P2846" s="49" t="n">
        <v>41940</v>
      </c>
      <c r="Q2846" s="47" t="n">
        <v>422</v>
      </c>
      <c r="R2846" s="47" t="inlineStr">
        <is>
          <t>No Video ID yet</t>
        </is>
      </c>
      <c r="S2846" s="49" t="n"/>
      <c r="T2846" s="49" t="n"/>
      <c r="U2846" s="47" t="inlineStr">
        <is>
          <t>With the recent announcement that Benedict Cumberbatch will be playing Doctor Strange I decided to put on my detective hat figure out who this mysterious super hero is. SCB TV Tropes: Sign up for LootCrate at: 10% Off with Promo Code: CARLIN</t>
        </is>
      </c>
      <c r="V2846" s="47">
        <f>IF(AND(P2846&gt;=Calendar!$K$2,P2846&lt;EDATE(Calendar!$K$2,1),OR(Calendar!$K$4="*",N2846=Calendar!$K$4)),P2846*100+COUNTIFS($P$6:$P$3267,P2846,$Q$6:$Q$3267,"&lt;="&amp;Q2846,$N$6:$N$3267,Calendar!$K$4),"")</f>
        <v/>
      </c>
      <c r="W2846" s="47">
        <f>IF(AND(B2846=Queue!$C$4,OR(Queue!$K$4="*",N2846=Queue!$K$4)),Q2846,"")</f>
        <v/>
      </c>
    </row>
    <row r="2847">
      <c r="A2847" s="38">
        <f>IF(M2847="","",HYPERLINK("https://www.youtube.com/watch?v="&amp;M2847,"▶"))</f>
        <v/>
      </c>
      <c r="B2847" s="39">
        <f>IF(C2847&lt;&gt;"",C2847,IF(P2847&lt;=IFERROR(INDEX(tblChannels[Watched Through],MATCH(N2847,tblChannels[Channel ID],0)),0),"Watched","Unwatched"))</f>
        <v/>
      </c>
      <c r="C2847" s="40" t="n"/>
      <c r="D2847" s="41" t="n"/>
      <c r="E2847" s="42" t="n">
        <v>41935.97430555556</v>
      </c>
      <c r="F2847" s="50" t="inlineStr">
        <is>
          <t>Super Carlin Brothers</t>
        </is>
      </c>
      <c r="G2847" t="inlineStr">
        <is>
          <t>Rated R Pixar: Finding Nemo</t>
        </is>
      </c>
      <c r="H2847" s="44" t="n">
        <v>0.005763888888888889</v>
      </c>
      <c r="I2847" s="45" t="n">
        <v>879793</v>
      </c>
      <c r="J2847" s="45" t="n">
        <v>11238</v>
      </c>
      <c r="K2847" s="45" t="n">
        <v>1032</v>
      </c>
      <c r="L2847" s="46" t="n"/>
      <c r="M2847" s="47" t="n"/>
      <c r="N2847" s="47" t="inlineStr">
        <is>
          <t>UCKZo4N0lVPccBkSiuyVh4yg</t>
        </is>
      </c>
      <c r="O2847" s="48" t="n">
        <v>41936.14097222222</v>
      </c>
      <c r="P2847" s="49" t="n">
        <v>41935</v>
      </c>
      <c r="Q2847" s="47" t="n">
        <v>421</v>
      </c>
      <c r="R2847" s="47" t="inlineStr">
        <is>
          <t>No Video ID yet</t>
        </is>
      </c>
      <c r="S2847" s="49" t="n"/>
      <c r="T2847" s="49" t="n"/>
      <c r="U2847" s="47" t="inlineStr">
        <is>
          <t>Do I speak decent whale!? To enter the LootCrate Box giveaway: Follow both Ben and J on Instagram @Bpcarlin and @Jonkerlin "Like" Both LootCrate item photos! Want to order your own lootcrate?!? Get 10% off at www.lootcrate.com/supercarlinbrothers Promo Code: CARLIN</t>
        </is>
      </c>
      <c r="V2847" s="47">
        <f>IF(AND(P2847&gt;=Calendar!$K$2,P2847&lt;EDATE(Calendar!$K$2,1),OR(Calendar!$K$4="*",N2847=Calendar!$K$4)),P2847*100+COUNTIFS($P$6:$P$3267,P2847,$Q$6:$Q$3267,"&lt;="&amp;Q2847,$N$6:$N$3267,Calendar!$K$4),"")</f>
        <v/>
      </c>
      <c r="W2847" s="47">
        <f>IF(AND(B2847=Queue!$C$4,OR(Queue!$K$4="*",N2847=Queue!$K$4)),Q2847,"")</f>
        <v/>
      </c>
    </row>
    <row r="2848">
      <c r="A2848" s="38">
        <f>IF(M2848="","",HYPERLINK("https://www.youtube.com/watch?v="&amp;M2848,"▶"))</f>
        <v/>
      </c>
      <c r="B2848" s="39">
        <f>IF(C2848&lt;&gt;"",C2848,IF(P2848&lt;=IFERROR(INDEX(tblChannels[Watched Through],MATCH(N2848,tblChannels[Channel ID],0)),0),"Watched","Unwatched"))</f>
        <v/>
      </c>
      <c r="C2848" s="40" t="n"/>
      <c r="D2848" s="41" t="n"/>
      <c r="E2848" s="42" t="n">
        <v>41933.96388888889</v>
      </c>
      <c r="F2848" s="50" t="inlineStr">
        <is>
          <t>Super Carlin Brothers</t>
        </is>
      </c>
      <c r="G2848" t="inlineStr">
        <is>
          <t>Loot Crate UNBOXING - FEAR</t>
        </is>
      </c>
      <c r="H2848" s="44" t="n">
        <v>0.005046296296296296</v>
      </c>
      <c r="I2848" s="45" t="n">
        <v>71544</v>
      </c>
      <c r="J2848" s="45" t="n">
        <v>1311</v>
      </c>
      <c r="K2848" s="45" t="n">
        <v>139</v>
      </c>
      <c r="L2848" s="46" t="n"/>
      <c r="M2848" s="47" t="n"/>
      <c r="N2848" s="47" t="inlineStr">
        <is>
          <t>UCKZo4N0lVPccBkSiuyVh4yg</t>
        </is>
      </c>
      <c r="O2848" s="48" t="n">
        <v>41934.13055555556</v>
      </c>
      <c r="P2848" s="49" t="n">
        <v>41933</v>
      </c>
      <c r="Q2848" s="47" t="n">
        <v>420</v>
      </c>
      <c r="R2848" s="47" t="inlineStr">
        <is>
          <t>No Video ID yet</t>
        </is>
      </c>
      <c r="S2848" s="49" t="n"/>
      <c r="T2848" s="49" t="n"/>
      <c r="U2848" s="47" t="inlineStr">
        <is>
          <t>400 Episodes!!!! The best geek &amp; gamer gear comes from Loot Crate! Sign up at: and get 10% off with Promo Code: CARLIN CONTEST: Follow both of us on Instagram and Like the Lootcrate photos shown in the video and you will be entered into a random drawing for a FREE Loot Crate Instagram:</t>
        </is>
      </c>
      <c r="V2848" s="47">
        <f>IF(AND(P2848&gt;=Calendar!$K$2,P2848&lt;EDATE(Calendar!$K$2,1),OR(Calendar!$K$4="*",N2848=Calendar!$K$4)),P2848*100+COUNTIFS($P$6:$P$3267,P2848,$Q$6:$Q$3267,"&lt;="&amp;Q2848,$N$6:$N$3267,Calendar!$K$4),"")</f>
        <v/>
      </c>
      <c r="W2848" s="47">
        <f>IF(AND(B2848=Queue!$C$4,OR(Queue!$K$4="*",N2848=Queue!$K$4)),Q2848,"")</f>
        <v/>
      </c>
    </row>
    <row r="2849">
      <c r="A2849" s="38">
        <f>IF(M2849="","",HYPERLINK("https://www.youtube.com/watch?v="&amp;M2849,"▶"))</f>
        <v/>
      </c>
      <c r="B2849" s="39">
        <f>IF(C2849&lt;&gt;"",C2849,IF(P2849&lt;=IFERROR(INDEX(tblChannels[Watched Through],MATCH(N2849,tblChannels[Channel ID],0)),0),"Watched","Unwatched"))</f>
        <v/>
      </c>
      <c r="C2849" s="40" t="n"/>
      <c r="D2849" s="41" t="n"/>
      <c r="E2849" s="42" t="n">
        <v>41928.86805555555</v>
      </c>
      <c r="F2849" s="50" t="inlineStr">
        <is>
          <t>Super Carlin Brothers</t>
        </is>
      </c>
      <c r="G2849" t="inlineStr">
        <is>
          <t>COFFEE TIPS?!</t>
        </is>
      </c>
      <c r="H2849" s="44" t="n">
        <v>0.002824074074074074</v>
      </c>
      <c r="I2849" s="45" t="n">
        <v>10984</v>
      </c>
      <c r="J2849" s="45" t="n">
        <v>273</v>
      </c>
      <c r="K2849" s="45" t="n">
        <v>78</v>
      </c>
      <c r="L2849" s="46" t="n"/>
      <c r="M2849" s="47" t="n"/>
      <c r="N2849" s="47" t="inlineStr">
        <is>
          <t>UCKZo4N0lVPccBkSiuyVh4yg</t>
        </is>
      </c>
      <c r="O2849" s="48" t="n">
        <v>41929.03472222222</v>
      </c>
      <c r="P2849" s="49" t="n">
        <v>41928</v>
      </c>
      <c r="Q2849" s="47" t="n">
        <v>419</v>
      </c>
      <c r="R2849" s="47" t="inlineStr">
        <is>
          <t>No Video ID yet</t>
        </is>
      </c>
      <c r="S2849" s="49" t="n"/>
      <c r="T2849" s="49" t="n"/>
      <c r="U2849" s="47" t="inlineStr">
        <is>
          <t>How do you handle tipping when buying coffee?? I can't help but be bothered if I'm unintentionally upsetting someone with something that I'm doing without realizing it... This problem for me goes well beyond ordering and paying for coffee. But today that's the example that seemed prominent. Once upon a time I talked about intention when it comes to causing someone harm/distress/mild agitation. This is one of those scenarios. I am not trying to indicate anything about the service or my feelings towards my regular barista or the product or anything. My not tipping is not sending a message of any kind.... How would you take it?!</t>
        </is>
      </c>
      <c r="V2849" s="47">
        <f>IF(AND(P2849&gt;=Calendar!$K$2,P2849&lt;EDATE(Calendar!$K$2,1),OR(Calendar!$K$4="*",N2849=Calendar!$K$4)),P2849*100+COUNTIFS($P$6:$P$3267,P2849,$Q$6:$Q$3267,"&lt;="&amp;Q2849,$N$6:$N$3267,Calendar!$K$4),"")</f>
        <v/>
      </c>
      <c r="W2849" s="47">
        <f>IF(AND(B2849=Queue!$C$4,OR(Queue!$K$4="*",N2849=Queue!$K$4)),Q2849,"")</f>
        <v/>
      </c>
    </row>
    <row r="2850">
      <c r="A2850" s="38">
        <f>IF(M2850="","",HYPERLINK("https://www.youtube.com/watch?v="&amp;M2850,"▶"))</f>
        <v/>
      </c>
      <c r="B2850" s="39">
        <f>IF(C2850&lt;&gt;"",C2850,IF(P2850&lt;=IFERROR(INDEX(tblChannels[Watched Through],MATCH(N2850,tblChannels[Channel ID],0)),0),"Watched","Unwatched"))</f>
        <v/>
      </c>
      <c r="C2850" s="40" t="n"/>
      <c r="D2850" s="41" t="n"/>
      <c r="E2850" s="42" t="n">
        <v>41926.88819444444</v>
      </c>
      <c r="F2850" s="50" t="inlineStr">
        <is>
          <t>Super Carlin Brothers</t>
        </is>
      </c>
      <c r="G2850" t="inlineStr">
        <is>
          <t>How to Sleep - The Early Bird Paradox</t>
        </is>
      </c>
      <c r="H2850" s="44" t="n">
        <v>0.0034375</v>
      </c>
      <c r="I2850" s="45" t="n">
        <v>194980</v>
      </c>
      <c r="J2850" s="45" t="n">
        <v>3696</v>
      </c>
      <c r="K2850" s="45" t="n">
        <v>888</v>
      </c>
      <c r="L2850" s="46" t="n"/>
      <c r="M2850" s="47" t="n"/>
      <c r="N2850" s="47" t="inlineStr">
        <is>
          <t>UCKZo4N0lVPccBkSiuyVh4yg</t>
        </is>
      </c>
      <c r="O2850" s="48" t="n">
        <v>41927.05486111111</v>
      </c>
      <c r="P2850" s="49" t="n">
        <v>41926</v>
      </c>
      <c r="Q2850" s="47" t="n">
        <v>418</v>
      </c>
      <c r="R2850" s="47" t="inlineStr">
        <is>
          <t>No Video ID yet</t>
        </is>
      </c>
      <c r="S2850" s="49" t="n"/>
      <c r="T2850" s="49" t="n"/>
      <c r="U2850" s="47" t="inlineStr">
        <is>
          <t>In which J makes the startling discovery that Exhaustion = Sleep What Podcasts should I listen to? J's recommended listening: Welcome to Night Vale :: Hello Internet :: Freakanomics :: Mod-3 iPhone Case ::</t>
        </is>
      </c>
      <c r="V2850" s="47">
        <f>IF(AND(P2850&gt;=Calendar!$K$2,P2850&lt;EDATE(Calendar!$K$2,1),OR(Calendar!$K$4="*",N2850=Calendar!$K$4)),P2850*100+COUNTIFS($P$6:$P$3267,P2850,$Q$6:$Q$3267,"&lt;="&amp;Q2850,$N$6:$N$3267,Calendar!$K$4),"")</f>
        <v/>
      </c>
      <c r="W2850" s="47">
        <f>IF(AND(B2850=Queue!$C$4,OR(Queue!$K$4="*",N2850=Queue!$K$4)),Q2850,"")</f>
        <v/>
      </c>
    </row>
    <row r="2851">
      <c r="A2851" s="38">
        <f>IF(M2851="","",HYPERLINK("https://www.youtube.com/watch?v="&amp;M2851,"▶"))</f>
        <v/>
      </c>
      <c r="B2851" s="39">
        <f>IF(C2851&lt;&gt;"",C2851,IF(P2851&lt;=IFERROR(INDEX(tblChannels[Watched Through],MATCH(N2851,tblChannels[Channel ID],0)),0),"Watched","Unwatched"))</f>
        <v/>
      </c>
      <c r="C2851" s="40" t="n"/>
      <c r="D2851" s="41" t="n"/>
      <c r="E2851" s="42" t="n">
        <v>41921.96527777778</v>
      </c>
      <c r="F2851" s="50" t="inlineStr">
        <is>
          <t>Super Carlin Brothers</t>
        </is>
      </c>
      <c r="G2851" t="inlineStr">
        <is>
          <t>My Quarter Life Crisis!</t>
        </is>
      </c>
      <c r="H2851" s="44" t="n">
        <v>0.003657407407407407</v>
      </c>
      <c r="I2851" s="45" t="n">
        <v>15340</v>
      </c>
      <c r="J2851" s="45" t="n">
        <v>413</v>
      </c>
      <c r="K2851" s="45" t="n">
        <v>86</v>
      </c>
      <c r="L2851" s="46" t="n"/>
      <c r="M2851" s="47" t="n"/>
      <c r="N2851" s="47" t="inlineStr">
        <is>
          <t>UCKZo4N0lVPccBkSiuyVh4yg</t>
        </is>
      </c>
      <c r="O2851" s="48" t="n">
        <v>41922.13194444445</v>
      </c>
      <c r="P2851" s="49" t="n">
        <v>41921</v>
      </c>
      <c r="Q2851" s="47" t="n">
        <v>417</v>
      </c>
      <c r="R2851" s="47" t="inlineStr">
        <is>
          <t>No Video ID yet</t>
        </is>
      </c>
      <c r="S2851" s="49" t="n"/>
      <c r="T2851" s="49" t="n"/>
      <c r="U2851" s="47" t="inlineStr">
        <is>
          <t>So what's something that's troubling you right now?! and how can you help others?! The true irony to this video... is that I'm referencing every idea I have that I'm afraid I won't be able to pursue yet suffered from crippling vloggers block all day...</t>
        </is>
      </c>
      <c r="V2851" s="47">
        <f>IF(AND(P2851&gt;=Calendar!$K$2,P2851&lt;EDATE(Calendar!$K$2,1),OR(Calendar!$K$4="*",N2851=Calendar!$K$4)),P2851*100+COUNTIFS($P$6:$P$3267,P2851,$Q$6:$Q$3267,"&lt;="&amp;Q2851,$N$6:$N$3267,Calendar!$K$4),"")</f>
        <v/>
      </c>
      <c r="W2851" s="47">
        <f>IF(AND(B2851=Queue!$C$4,OR(Queue!$K$4="*",N2851=Queue!$K$4)),Q2851,"")</f>
        <v/>
      </c>
    </row>
    <row r="2852">
      <c r="A2852" s="38">
        <f>IF(M2852="","",HYPERLINK("https://www.youtube.com/watch?v="&amp;M2852,"▶"))</f>
        <v/>
      </c>
      <c r="B2852" s="39">
        <f>IF(C2852&lt;&gt;"",C2852,IF(P2852&lt;=IFERROR(INDEX(tblChannels[Watched Through],MATCH(N2852,tblChannels[Channel ID],0)),0),"Watched","Unwatched"))</f>
        <v/>
      </c>
      <c r="C2852" s="40" t="n"/>
      <c r="D2852" s="41" t="n"/>
      <c r="E2852" s="42" t="n">
        <v>41919.92638888889</v>
      </c>
      <c r="F2852" s="50" t="inlineStr">
        <is>
          <t>Super Carlin Brothers</t>
        </is>
      </c>
      <c r="G2852" t="inlineStr">
        <is>
          <t>In Defense of Slytherin</t>
        </is>
      </c>
      <c r="H2852" s="44" t="n">
        <v>0.003472222222222222</v>
      </c>
      <c r="I2852" s="45" t="n">
        <v>1476840</v>
      </c>
      <c r="J2852" s="45" t="n">
        <v>33397</v>
      </c>
      <c r="K2852" s="45" t="n">
        <v>15791</v>
      </c>
      <c r="L2852" s="46" t="n"/>
      <c r="M2852" s="47" t="n"/>
      <c r="N2852" s="47" t="inlineStr">
        <is>
          <t>UCKZo4N0lVPccBkSiuyVh4yg</t>
        </is>
      </c>
      <c r="O2852" s="48" t="n">
        <v>41920.09305555555</v>
      </c>
      <c r="P2852" s="49" t="n">
        <v>41919</v>
      </c>
      <c r="Q2852" s="47" t="n">
        <v>416</v>
      </c>
      <c r="R2852" s="47" t="inlineStr">
        <is>
          <t>No Video ID yet</t>
        </is>
      </c>
      <c r="S2852" s="49" t="n"/>
      <c r="T2852" s="49" t="n"/>
      <c r="U2852" s="47" t="n"/>
      <c r="V2852" s="47">
        <f>IF(AND(P2852&gt;=Calendar!$K$2,P2852&lt;EDATE(Calendar!$K$2,1),OR(Calendar!$K$4="*",N2852=Calendar!$K$4)),P2852*100+COUNTIFS($P$6:$P$3267,P2852,$Q$6:$Q$3267,"&lt;="&amp;Q2852,$N$6:$N$3267,Calendar!$K$4),"")</f>
        <v/>
      </c>
      <c r="W2852" s="47">
        <f>IF(AND(B2852=Queue!$C$4,OR(Queue!$K$4="*",N2852=Queue!$K$4)),Q2852,"")</f>
        <v/>
      </c>
    </row>
    <row r="2853">
      <c r="A2853" s="38">
        <f>IF(M2853="","",HYPERLINK("https://www.youtube.com/watch?v="&amp;M2853,"▶"))</f>
        <v/>
      </c>
      <c r="B2853" s="39">
        <f>IF(C2853&lt;&gt;"",C2853,IF(P2853&lt;=IFERROR(INDEX(tblChannels[Watched Through],MATCH(N2853,tblChannels[Channel ID],0)),0),"Watched","Unwatched"))</f>
        <v/>
      </c>
      <c r="C2853" s="40" t="n"/>
      <c r="D2853" s="41" t="n"/>
      <c r="E2853" s="42" t="n">
        <v>41914.95347222222</v>
      </c>
      <c r="F2853" s="50" t="inlineStr">
        <is>
          <t>Super Carlin Brothers</t>
        </is>
      </c>
      <c r="G2853" t="inlineStr">
        <is>
          <t>THE LIONFISH INVASION</t>
        </is>
      </c>
      <c r="H2853" s="44" t="n">
        <v>0.002025462962962963</v>
      </c>
      <c r="I2853" s="45" t="n">
        <v>14183</v>
      </c>
      <c r="J2853" s="45" t="n">
        <v>409</v>
      </c>
      <c r="K2853" s="45" t="n">
        <v>77</v>
      </c>
      <c r="L2853" s="46" t="n"/>
      <c r="M2853" s="47" t="n"/>
      <c r="N2853" s="47" t="inlineStr">
        <is>
          <t>UCKZo4N0lVPccBkSiuyVh4yg</t>
        </is>
      </c>
      <c r="O2853" s="48" t="n">
        <v>41915.12013888889</v>
      </c>
      <c r="P2853" s="49" t="n">
        <v>41914</v>
      </c>
      <c r="Q2853" s="47" t="n">
        <v>415</v>
      </c>
      <c r="R2853" s="47" t="inlineStr">
        <is>
          <t>No Video ID yet</t>
        </is>
      </c>
      <c r="S2853" s="49" t="n"/>
      <c r="T2853" s="49" t="n"/>
      <c r="U2853" s="47" t="inlineStr">
        <is>
          <t>More info on Lionfish Invasion!! Okay so as a business person I can't help but look for opportunity wherever I can find it. The idea of invasive species is a truly fascinating opportunity. After all there is the ever present possibility of correcting the impacted ecosystem for the better, removal of the endangered species. But commercializing anything always seems to come with a cost. What are your thought?! Also, how about that boxfish?</t>
        </is>
      </c>
      <c r="V2853" s="47">
        <f>IF(AND(P2853&gt;=Calendar!$K$2,P2853&lt;EDATE(Calendar!$K$2,1),OR(Calendar!$K$4="*",N2853=Calendar!$K$4)),P2853*100+COUNTIFS($P$6:$P$3267,P2853,$Q$6:$Q$3267,"&lt;="&amp;Q2853,$N$6:$N$3267,Calendar!$K$4),"")</f>
        <v/>
      </c>
      <c r="W2853" s="47">
        <f>IF(AND(B2853=Queue!$C$4,OR(Queue!$K$4="*",N2853=Queue!$K$4)),Q2853,"")</f>
        <v/>
      </c>
    </row>
    <row r="2854">
      <c r="A2854" s="38">
        <f>IF(M2854="","",HYPERLINK("https://www.youtube.com/watch?v="&amp;M2854,"▶"))</f>
        <v/>
      </c>
      <c r="B2854" s="39">
        <f>IF(C2854&lt;&gt;"",C2854,IF(P2854&lt;=IFERROR(INDEX(tblChannels[Watched Through],MATCH(N2854,tblChannels[Channel ID],0)),0),"Watched","Unwatched"))</f>
        <v/>
      </c>
      <c r="C2854" s="40" t="n"/>
      <c r="D2854" s="41" t="n"/>
      <c r="E2854" s="42" t="n">
        <v>41914.32569444444</v>
      </c>
      <c r="F2854" s="52" t="inlineStr">
        <is>
          <t>Super Carlin Gaming</t>
        </is>
      </c>
      <c r="G2854" t="inlineStr">
        <is>
          <t>Pokemon FireRed Nuzlocke Challenge #23: The Final Gym</t>
        </is>
      </c>
      <c r="H2854" s="44" t="n">
        <v>0.01034722222222222</v>
      </c>
      <c r="I2854" s="45" t="n">
        <v>22567</v>
      </c>
      <c r="J2854" s="45" t="n">
        <v>421</v>
      </c>
      <c r="K2854" s="45" t="n">
        <v>29</v>
      </c>
      <c r="L2854" s="46" t="n"/>
      <c r="M2854" s="47" t="n"/>
      <c r="N2854" s="47" t="inlineStr">
        <is>
          <t>UCor_9jRnNNZVzTuQ92PKsaQ</t>
        </is>
      </c>
      <c r="O2854" s="48" t="n">
        <v>41914.49236111111</v>
      </c>
      <c r="P2854" s="49" t="n">
        <v>41914</v>
      </c>
      <c r="Q2854" s="47" t="n">
        <v>414</v>
      </c>
      <c r="R2854" s="47" t="inlineStr">
        <is>
          <t>No Video ID yet</t>
        </is>
      </c>
      <c r="S2854" s="49" t="n"/>
      <c r="T2854" s="49" t="n"/>
      <c r="U2854" s="47" t="inlineStr">
        <is>
          <t>Big day for the team as we take on our final Gym.. but will a surprise typing claim another victim??</t>
        </is>
      </c>
      <c r="V2854" s="47">
        <f>IF(AND(P2854&gt;=Calendar!$K$2,P2854&lt;EDATE(Calendar!$K$2,1),OR(Calendar!$K$4="*",N2854=Calendar!$K$4)),P2854*100+COUNTIFS($P$6:$P$3267,P2854,$Q$6:$Q$3267,"&lt;="&amp;Q2854,$N$6:$N$3267,Calendar!$K$4),"")</f>
        <v/>
      </c>
      <c r="W2854" s="47">
        <f>IF(AND(B2854=Queue!$C$4,OR(Queue!$K$4="*",N2854=Queue!$K$4)),Q2854,"")</f>
        <v/>
      </c>
    </row>
    <row r="2855">
      <c r="A2855" s="38">
        <f>IF(M2855="","",HYPERLINK("https://www.youtube.com/watch?v="&amp;M2855,"▶"))</f>
        <v/>
      </c>
      <c r="B2855" s="39">
        <f>IF(C2855&lt;&gt;"",C2855,IF(P2855&lt;=IFERROR(INDEX(tblChannels[Watched Through],MATCH(N2855,tblChannels[Channel ID],0)),0),"Watched","Unwatched"))</f>
        <v/>
      </c>
      <c r="C2855" s="40" t="n"/>
      <c r="D2855" s="41" t="n"/>
      <c r="E2855" s="42" t="n">
        <v>41912.95902777778</v>
      </c>
      <c r="F2855" s="50" t="inlineStr">
        <is>
          <t>Super Carlin Brothers</t>
        </is>
      </c>
      <c r="G2855" t="inlineStr">
        <is>
          <t>Do Zombies Google Autofill</t>
        </is>
      </c>
      <c r="H2855" s="44" t="n">
        <v>0.00380787037037037</v>
      </c>
      <c r="I2855" s="45" t="n">
        <v>233976</v>
      </c>
      <c r="J2855" s="45" t="n">
        <v>3633</v>
      </c>
      <c r="K2855" s="45" t="n">
        <v>1307</v>
      </c>
      <c r="L2855" s="46" t="n"/>
      <c r="M2855" s="47" t="n"/>
      <c r="N2855" s="47" t="inlineStr">
        <is>
          <t>UCKZo4N0lVPccBkSiuyVh4yg</t>
        </is>
      </c>
      <c r="O2855" s="48" t="n">
        <v>41913.12569444445</v>
      </c>
      <c r="P2855" s="49" t="n">
        <v>41912</v>
      </c>
      <c r="Q2855" s="47" t="n">
        <v>413</v>
      </c>
      <c r="R2855" s="47" t="inlineStr">
        <is>
          <t>No Video ID yet</t>
        </is>
      </c>
      <c r="S2855" s="49" t="n"/>
      <c r="T2855" s="49" t="n"/>
      <c r="U2855" s="47" t="inlineStr">
        <is>
          <t>Are you a Zombie.. there is at least one 100% way to tell... Follow me on Instagram ::</t>
        </is>
      </c>
      <c r="V2855" s="47">
        <f>IF(AND(P2855&gt;=Calendar!$K$2,P2855&lt;EDATE(Calendar!$K$2,1),OR(Calendar!$K$4="*",N2855=Calendar!$K$4)),P2855*100+COUNTIFS($P$6:$P$3267,P2855,$Q$6:$Q$3267,"&lt;="&amp;Q2855,$N$6:$N$3267,Calendar!$K$4),"")</f>
        <v/>
      </c>
      <c r="W2855" s="47">
        <f>IF(AND(B2855=Queue!$C$4,OR(Queue!$K$4="*",N2855=Queue!$K$4)),Q2855,"")</f>
        <v/>
      </c>
    </row>
    <row r="2856">
      <c r="A2856" s="38">
        <f>IF(M2856="","",HYPERLINK("https://www.youtube.com/watch?v="&amp;M2856,"▶"))</f>
        <v/>
      </c>
      <c r="B2856" s="39">
        <f>IF(C2856&lt;&gt;"",C2856,IF(P2856&lt;=IFERROR(INDEX(tblChannels[Watched Through],MATCH(N2856,tblChannels[Channel ID],0)),0),"Watched","Unwatched"))</f>
        <v/>
      </c>
      <c r="C2856" s="40" t="n"/>
      <c r="D2856" s="41" t="n"/>
      <c r="E2856" s="42" t="n">
        <v>41907.99791666667</v>
      </c>
      <c r="F2856" s="50" t="inlineStr">
        <is>
          <t>Super Carlin Brothers</t>
        </is>
      </c>
      <c r="G2856" t="inlineStr">
        <is>
          <t>Rated R Pixar: Monsters, Inc.</t>
        </is>
      </c>
      <c r="H2856" s="44" t="n">
        <v>0.003020833333333333</v>
      </c>
      <c r="I2856" s="45" t="n">
        <v>262625</v>
      </c>
      <c r="J2856" s="45" t="n">
        <v>3844</v>
      </c>
      <c r="K2856" s="45" t="n">
        <v>257</v>
      </c>
      <c r="L2856" s="46" t="n"/>
      <c r="M2856" s="47" t="n"/>
      <c r="N2856" s="47" t="inlineStr">
        <is>
          <t>UCKZo4N0lVPccBkSiuyVh4yg</t>
        </is>
      </c>
      <c r="O2856" s="48" t="n">
        <v>41908.16458333333</v>
      </c>
      <c r="P2856" s="49" t="n">
        <v>41907</v>
      </c>
      <c r="Q2856" s="47" t="n">
        <v>412</v>
      </c>
      <c r="R2856" s="47" t="inlineStr">
        <is>
          <t>No Video ID yet</t>
        </is>
      </c>
      <c r="S2856" s="49" t="n"/>
      <c r="T2856" s="49" t="n"/>
      <c r="U2856" s="47" t="inlineStr">
        <is>
          <t>Check out Loot Crate!! www.lootcrate.com/supercarlinbrothers PROMO Code: CARLIN! for 10% off!</t>
        </is>
      </c>
      <c r="V2856" s="47">
        <f>IF(AND(P2856&gt;=Calendar!$K$2,P2856&lt;EDATE(Calendar!$K$2,1),OR(Calendar!$K$4="*",N2856=Calendar!$K$4)),P2856*100+COUNTIFS($P$6:$P$3267,P2856,$Q$6:$Q$3267,"&lt;="&amp;Q2856,$N$6:$N$3267,Calendar!$K$4),"")</f>
        <v/>
      </c>
      <c r="W2856" s="47">
        <f>IF(AND(B2856=Queue!$C$4,OR(Queue!$K$4="*",N2856=Queue!$K$4)),Q2856,"")</f>
        <v/>
      </c>
    </row>
    <row r="2857">
      <c r="A2857" s="38">
        <f>IF(M2857="","",HYPERLINK("https://www.youtube.com/watch?v="&amp;M2857,"▶"))</f>
        <v/>
      </c>
      <c r="B2857" s="39">
        <f>IF(C2857&lt;&gt;"",C2857,IF(P2857&lt;=IFERROR(INDEX(tblChannels[Watched Through],MATCH(N2857,tblChannels[Channel ID],0)),0),"Watched","Unwatched"))</f>
        <v/>
      </c>
      <c r="C2857" s="40" t="n"/>
      <c r="D2857" s="41" t="n"/>
      <c r="E2857" s="42" t="n">
        <v>41905.96111111111</v>
      </c>
      <c r="F2857" s="50" t="inlineStr">
        <is>
          <t>Super Carlin Brothers</t>
        </is>
      </c>
      <c r="G2857" t="inlineStr">
        <is>
          <t>Loot Crate UNBOXING! - JUXTABROS!</t>
        </is>
      </c>
      <c r="H2857" s="44" t="n">
        <v>0.004178240740740741</v>
      </c>
      <c r="I2857" s="45" t="n">
        <v>61042</v>
      </c>
      <c r="J2857" s="45" t="n">
        <v>1065</v>
      </c>
      <c r="K2857" s="45" t="n">
        <v>153</v>
      </c>
      <c r="L2857" s="46" t="n"/>
      <c r="M2857" s="47" t="n"/>
      <c r="N2857" s="47" t="inlineStr">
        <is>
          <t>UCKZo4N0lVPccBkSiuyVh4yg</t>
        </is>
      </c>
      <c r="O2857" s="48" t="n">
        <v>41906.12777777778</v>
      </c>
      <c r="P2857" s="49" t="n">
        <v>41905</v>
      </c>
      <c r="Q2857" s="47" t="n">
        <v>411</v>
      </c>
      <c r="R2857" s="47" t="inlineStr">
        <is>
          <t>No Video ID yet</t>
        </is>
      </c>
      <c r="S2857" s="49" t="n"/>
      <c r="T2857" s="49" t="n"/>
      <c r="U2857" s="47" t="inlineStr">
        <is>
          <t>The best geek &amp; gamer gear comes from Loot Crate! Sign up at: www.LootCrate.com/SuperCarlinBrothers and get 10% off with Promo Code: CARLIN</t>
        </is>
      </c>
      <c r="V2857" s="47">
        <f>IF(AND(P2857&gt;=Calendar!$K$2,P2857&lt;EDATE(Calendar!$K$2,1),OR(Calendar!$K$4="*",N2857=Calendar!$K$4)),P2857*100+COUNTIFS($P$6:$P$3267,P2857,$Q$6:$Q$3267,"&lt;="&amp;Q2857,$N$6:$N$3267,Calendar!$K$4),"")</f>
        <v/>
      </c>
      <c r="W2857" s="47">
        <f>IF(AND(B2857=Queue!$C$4,OR(Queue!$K$4="*",N2857=Queue!$K$4)),Q2857,"")</f>
        <v/>
      </c>
    </row>
    <row r="2858">
      <c r="A2858" s="38">
        <f>IF(M2858="","",HYPERLINK("https://www.youtube.com/watch?v="&amp;M2858,"▶"))</f>
        <v/>
      </c>
      <c r="B2858" s="39">
        <f>IF(C2858&lt;&gt;"",C2858,IF(P2858&lt;=IFERROR(INDEX(tblChannels[Watched Through],MATCH(N2858,tblChannels[Channel ID],0)),0),"Watched","Unwatched"))</f>
        <v/>
      </c>
      <c r="C2858" s="40" t="n"/>
      <c r="D2858" s="41" t="n"/>
      <c r="E2858" s="42" t="n">
        <v>41900.95486111111</v>
      </c>
      <c r="F2858" s="50" t="inlineStr">
        <is>
          <t>Super Carlin Brothers</t>
        </is>
      </c>
      <c r="G2858" t="inlineStr">
        <is>
          <t>A Common Vlog</t>
        </is>
      </c>
      <c r="H2858" s="44" t="n">
        <v>0.00244212962962963</v>
      </c>
      <c r="I2858" s="45" t="n">
        <v>10878</v>
      </c>
      <c r="J2858" s="45" t="n">
        <v>270</v>
      </c>
      <c r="K2858" s="45" t="n">
        <v>139</v>
      </c>
      <c r="L2858" s="46" t="n"/>
      <c r="M2858" s="47" t="n"/>
      <c r="N2858" s="47" t="inlineStr">
        <is>
          <t>UCKZo4N0lVPccBkSiuyVh4yg</t>
        </is>
      </c>
      <c r="O2858" s="48" t="n">
        <v>41901.12152777778</v>
      </c>
      <c r="P2858" s="49" t="n">
        <v>41900</v>
      </c>
      <c r="Q2858" s="47" t="n">
        <v>410</v>
      </c>
      <c r="R2858" s="47" t="inlineStr">
        <is>
          <t>No Video ID yet</t>
        </is>
      </c>
      <c r="S2858" s="49" t="n"/>
      <c r="T2858" s="49" t="n"/>
      <c r="U2858" s="47" t="inlineStr">
        <is>
          <t>Cast your vote for the next Rated R Pixar Episode!! - Up - Finding Nemo - Monsters inc. In case anyone is interested the t-shirt I'm wearing in this video will soon be available at MountainCorals.org (which is launching any day now!) All of the proceeds go directly to development of exhibits at Roanoke's Center in the Square</t>
        </is>
      </c>
      <c r="V2858" s="47">
        <f>IF(AND(P2858&gt;=Calendar!$K$2,P2858&lt;EDATE(Calendar!$K$2,1),OR(Calendar!$K$4="*",N2858=Calendar!$K$4)),P2858*100+COUNTIFS($P$6:$P$3267,P2858,$Q$6:$Q$3267,"&lt;="&amp;Q2858,$N$6:$N$3267,Calendar!$K$4),"")</f>
        <v/>
      </c>
      <c r="W2858" s="47">
        <f>IF(AND(B2858=Queue!$C$4,OR(Queue!$K$4="*",N2858=Queue!$K$4)),Q2858,"")</f>
        <v/>
      </c>
    </row>
    <row r="2859">
      <c r="A2859" s="38">
        <f>IF(M2859="","",HYPERLINK("https://www.youtube.com/watch?v="&amp;M2859,"▶"))</f>
        <v/>
      </c>
      <c r="B2859" s="39">
        <f>IF(C2859&lt;&gt;"",C2859,IF(P2859&lt;=IFERROR(INDEX(tblChannels[Watched Through],MATCH(N2859,tblChannels[Channel ID],0)),0),"Watched","Unwatched"))</f>
        <v/>
      </c>
      <c r="C2859" s="40" t="n"/>
      <c r="D2859" s="41" t="n"/>
      <c r="E2859" s="42" t="n">
        <v>41898.90902777778</v>
      </c>
      <c r="F2859" s="50" t="inlineStr">
        <is>
          <t>Super Carlin Brothers</t>
        </is>
      </c>
      <c r="G2859" t="inlineStr">
        <is>
          <t>Theory: Guardians of the Galaxy is The Lego Movie</t>
        </is>
      </c>
      <c r="H2859" s="44" t="n">
        <v>0.003460648148148148</v>
      </c>
      <c r="I2859" s="45" t="n">
        <v>921713</v>
      </c>
      <c r="J2859" s="45" t="n">
        <v>13527</v>
      </c>
      <c r="K2859" s="45" t="n">
        <v>2093</v>
      </c>
      <c r="L2859" s="46" t="n"/>
      <c r="M2859" s="47" t="n"/>
      <c r="N2859" s="47" t="inlineStr">
        <is>
          <t>UCKZo4N0lVPccBkSiuyVh4yg</t>
        </is>
      </c>
      <c r="O2859" s="48" t="n">
        <v>41899.07569444444</v>
      </c>
      <c r="P2859" s="49" t="n">
        <v>41898</v>
      </c>
      <c r="Q2859" s="47" t="n">
        <v>409</v>
      </c>
      <c r="R2859" s="47" t="inlineStr">
        <is>
          <t>No Video ID yet</t>
        </is>
      </c>
      <c r="S2859" s="49" t="n"/>
      <c r="T2859" s="49" t="n"/>
      <c r="U2859" s="47" t="inlineStr">
        <is>
          <t>Seriously its like one just handed the script off to the other - but who cares they are both AWESOME (everything is awesome)</t>
        </is>
      </c>
      <c r="V2859" s="47">
        <f>IF(AND(P2859&gt;=Calendar!$K$2,P2859&lt;EDATE(Calendar!$K$2,1),OR(Calendar!$K$4="*",N2859=Calendar!$K$4)),P2859*100+COUNTIFS($P$6:$P$3267,P2859,$Q$6:$Q$3267,"&lt;="&amp;Q2859,$N$6:$N$3267,Calendar!$K$4),"")</f>
        <v/>
      </c>
      <c r="W2859" s="47">
        <f>IF(AND(B2859=Queue!$C$4,OR(Queue!$K$4="*",N2859=Queue!$K$4)),Q2859,"")</f>
        <v/>
      </c>
    </row>
    <row r="2860">
      <c r="A2860" s="38">
        <f>IF(M2860="","",HYPERLINK("https://www.youtube.com/watch?v="&amp;M2860,"▶"))</f>
        <v/>
      </c>
      <c r="B2860" s="39">
        <f>IF(C2860&lt;&gt;"",C2860,IF(P2860&lt;=IFERROR(INDEX(tblChannels[Watched Through],MATCH(N2860,tblChannels[Channel ID],0)),0),"Watched","Unwatched"))</f>
        <v/>
      </c>
      <c r="C2860" s="40" t="n"/>
      <c r="D2860" s="41" t="n"/>
      <c r="E2860" s="42" t="n">
        <v>41893.95069444444</v>
      </c>
      <c r="F2860" s="50" t="inlineStr">
        <is>
          <t>Super Carlin Brothers</t>
        </is>
      </c>
      <c r="G2860" t="inlineStr">
        <is>
          <t>Where Were You?</t>
        </is>
      </c>
      <c r="H2860" s="44" t="n">
        <v>0.002233796296296296</v>
      </c>
      <c r="I2860" s="45" t="n">
        <v>16447</v>
      </c>
      <c r="J2860" s="45" t="n">
        <v>420</v>
      </c>
      <c r="K2860" s="45" t="n">
        <v>213</v>
      </c>
      <c r="L2860" s="46" t="n"/>
      <c r="M2860" s="47" t="n"/>
      <c r="N2860" s="47" t="inlineStr">
        <is>
          <t>UCKZo4N0lVPccBkSiuyVh4yg</t>
        </is>
      </c>
      <c r="O2860" s="48" t="n">
        <v>41894.11736111111</v>
      </c>
      <c r="P2860" s="49" t="n">
        <v>41893</v>
      </c>
      <c r="Q2860" s="47" t="n">
        <v>408</v>
      </c>
      <c r="R2860" s="47" t="inlineStr">
        <is>
          <t>No Video ID yet</t>
        </is>
      </c>
      <c r="S2860" s="49" t="n"/>
      <c r="T2860" s="49" t="n"/>
      <c r="U2860" s="47" t="n"/>
      <c r="V2860" s="47">
        <f>IF(AND(P2860&gt;=Calendar!$K$2,P2860&lt;EDATE(Calendar!$K$2,1),OR(Calendar!$K$4="*",N2860=Calendar!$K$4)),P2860*100+COUNTIFS($P$6:$P$3267,P2860,$Q$6:$Q$3267,"&lt;="&amp;Q2860,$N$6:$N$3267,Calendar!$K$4),"")</f>
        <v/>
      </c>
      <c r="W2860" s="47">
        <f>IF(AND(B2860=Queue!$C$4,OR(Queue!$K$4="*",N2860=Queue!$K$4)),Q2860,"")</f>
        <v/>
      </c>
    </row>
    <row r="2861">
      <c r="A2861" s="38">
        <f>IF(M2861="","",HYPERLINK("https://www.youtube.com/watch?v="&amp;M2861,"▶"))</f>
        <v/>
      </c>
      <c r="B2861" s="39">
        <f>IF(C2861&lt;&gt;"",C2861,IF(P2861&lt;=IFERROR(INDEX(tblChannels[Watched Through],MATCH(N2861,tblChannels[Channel ID],0)),0),"Watched","Unwatched"))</f>
        <v/>
      </c>
      <c r="C2861" s="40" t="n"/>
      <c r="D2861" s="41" t="n"/>
      <c r="E2861" s="42" t="n">
        <v>41893.87986111111</v>
      </c>
      <c r="F2861" s="52" t="inlineStr">
        <is>
          <t>Super Carlin Gaming</t>
        </is>
      </c>
      <c r="G2861" t="inlineStr">
        <is>
          <t>Pokemon FireRed Nuzlocke Challenge #22: Donatello vs Blaine</t>
        </is>
      </c>
      <c r="H2861" s="44" t="n">
        <v>0.01447916666666667</v>
      </c>
      <c r="I2861" s="45" t="n">
        <v>23605</v>
      </c>
      <c r="J2861" s="45" t="n">
        <v>429</v>
      </c>
      <c r="K2861" s="45" t="n">
        <v>48</v>
      </c>
      <c r="L2861" s="46" t="n"/>
      <c r="M2861" s="47" t="n"/>
      <c r="N2861" s="47" t="inlineStr">
        <is>
          <t>UCor_9jRnNNZVzTuQ92PKsaQ</t>
        </is>
      </c>
      <c r="O2861" s="48" t="n">
        <v>41894.04652777778</v>
      </c>
      <c r="P2861" s="49" t="n">
        <v>41893</v>
      </c>
      <c r="Q2861" s="47" t="n">
        <v>407</v>
      </c>
      <c r="R2861" s="47" t="inlineStr">
        <is>
          <t>No Video ID yet</t>
        </is>
      </c>
      <c r="S2861" s="49" t="n"/>
      <c r="T2861" s="49" t="n"/>
      <c r="U2861" s="47" t="inlineStr">
        <is>
          <t>Oh Man.. you should have seen how happy Donatello was when we entered the Cinnabar Gym.. but how did everyone else handle the heat?? You can send me stuff!</t>
        </is>
      </c>
      <c r="V2861" s="47">
        <f>IF(AND(P2861&gt;=Calendar!$K$2,P2861&lt;EDATE(Calendar!$K$2,1),OR(Calendar!$K$4="*",N2861=Calendar!$K$4)),P2861*100+COUNTIFS($P$6:$P$3267,P2861,$Q$6:$Q$3267,"&lt;="&amp;Q2861,$N$6:$N$3267,Calendar!$K$4),"")</f>
        <v/>
      </c>
      <c r="W2861" s="47">
        <f>IF(AND(B2861=Queue!$C$4,OR(Queue!$K$4="*",N2861=Queue!$K$4)),Q2861,"")</f>
        <v/>
      </c>
    </row>
    <row r="2862">
      <c r="A2862" s="38">
        <f>IF(M2862="","",HYPERLINK("https://www.youtube.com/watch?v="&amp;M2862,"▶"))</f>
        <v/>
      </c>
      <c r="B2862" s="39">
        <f>IF(C2862&lt;&gt;"",C2862,IF(P2862&lt;=IFERROR(INDEX(tblChannels[Watched Through],MATCH(N2862,tblChannels[Channel ID],0)),0),"Watched","Unwatched"))</f>
        <v/>
      </c>
      <c r="C2862" s="40" t="n"/>
      <c r="D2862" s="41" t="n"/>
      <c r="E2862" s="42" t="n">
        <v>41891.99791666667</v>
      </c>
      <c r="F2862" s="50" t="inlineStr">
        <is>
          <t>Super Carlin Brothers</t>
        </is>
      </c>
      <c r="G2862" t="inlineStr">
        <is>
          <t>How To Make Money by Drinking Water</t>
        </is>
      </c>
      <c r="H2862" s="44" t="n">
        <v>0.003587962962962963</v>
      </c>
      <c r="I2862" s="45" t="n">
        <v>243074</v>
      </c>
      <c r="J2862" s="45" t="n">
        <v>5043</v>
      </c>
      <c r="K2862" s="45" t="n">
        <v>698</v>
      </c>
      <c r="L2862" s="46" t="n"/>
      <c r="M2862" s="47" t="n"/>
      <c r="N2862" s="47" t="inlineStr">
        <is>
          <t>UCKZo4N0lVPccBkSiuyVh4yg</t>
        </is>
      </c>
      <c r="O2862" s="48" t="n">
        <v>41892.16458333333</v>
      </c>
      <c r="P2862" s="49" t="n">
        <v>41891</v>
      </c>
      <c r="Q2862" s="47" t="n">
        <v>406</v>
      </c>
      <c r="R2862" s="47" t="inlineStr">
        <is>
          <t>No Video ID yet</t>
        </is>
      </c>
      <c r="S2862" s="49" t="n"/>
      <c r="T2862" s="49" t="n"/>
      <c r="U2862" s="47" t="inlineStr">
        <is>
          <t>Step 1: Drink Water Step 2: Profit! INSTAGRAM ::</t>
        </is>
      </c>
      <c r="V2862" s="47">
        <f>IF(AND(P2862&gt;=Calendar!$K$2,P2862&lt;EDATE(Calendar!$K$2,1),OR(Calendar!$K$4="*",N2862=Calendar!$K$4)),P2862*100+COUNTIFS($P$6:$P$3267,P2862,$Q$6:$Q$3267,"&lt;="&amp;Q2862,$N$6:$N$3267,Calendar!$K$4),"")</f>
        <v/>
      </c>
      <c r="W2862" s="47">
        <f>IF(AND(B2862=Queue!$C$4,OR(Queue!$K$4="*",N2862=Queue!$K$4)),Q2862,"")</f>
        <v/>
      </c>
    </row>
    <row r="2863">
      <c r="A2863" s="38">
        <f>IF(M2863="","",HYPERLINK("https://www.youtube.com/watch?v="&amp;M2863,"▶"))</f>
        <v/>
      </c>
      <c r="B2863" s="39">
        <f>IF(C2863&lt;&gt;"",C2863,IF(P2863&lt;=IFERROR(INDEX(tblChannels[Watched Through],MATCH(N2863,tblChannels[Channel ID],0)),0),"Watched","Unwatched"))</f>
        <v/>
      </c>
      <c r="C2863" s="40" t="n"/>
      <c r="D2863" s="41" t="n"/>
      <c r="E2863" s="42" t="n">
        <v>41886.98541666667</v>
      </c>
      <c r="F2863" s="50" t="inlineStr">
        <is>
          <t>Super Carlin Brothers</t>
        </is>
      </c>
      <c r="G2863" t="inlineStr">
        <is>
          <t>Rated-R Pixar: Toy Story</t>
        </is>
      </c>
      <c r="H2863" s="44" t="n">
        <v>0.002916666666666667</v>
      </c>
      <c r="I2863" s="45" t="n">
        <v>579164</v>
      </c>
      <c r="J2863" s="45" t="n">
        <v>7481</v>
      </c>
      <c r="K2863" s="45" t="n">
        <v>537</v>
      </c>
      <c r="L2863" s="46" t="n"/>
      <c r="M2863" s="47" t="n"/>
      <c r="N2863" s="47" t="inlineStr">
        <is>
          <t>UCKZo4N0lVPccBkSiuyVh4yg</t>
        </is>
      </c>
      <c r="O2863" s="48" t="n">
        <v>41887.15208333333</v>
      </c>
      <c r="P2863" s="49" t="n">
        <v>41886</v>
      </c>
      <c r="Q2863" s="47" t="n">
        <v>405</v>
      </c>
      <c r="R2863" s="47" t="inlineStr">
        <is>
          <t>No Video ID yet</t>
        </is>
      </c>
      <c r="S2863" s="49" t="n"/>
      <c r="T2863" s="49" t="n"/>
      <c r="U2863" s="47" t="inlineStr">
        <is>
          <t>Sometimes what I think is so great about Pixar is that they can tell really dark stories with really colorful characters. I wanted to tell the story the way I see it!</t>
        </is>
      </c>
      <c r="V2863" s="47">
        <f>IF(AND(P2863&gt;=Calendar!$K$2,P2863&lt;EDATE(Calendar!$K$2,1),OR(Calendar!$K$4="*",N2863=Calendar!$K$4)),P2863*100+COUNTIFS($P$6:$P$3267,P2863,$Q$6:$Q$3267,"&lt;="&amp;Q2863,$N$6:$N$3267,Calendar!$K$4),"")</f>
        <v/>
      </c>
      <c r="W2863" s="47">
        <f>IF(AND(B2863=Queue!$C$4,OR(Queue!$K$4="*",N2863=Queue!$K$4)),Q2863,"")</f>
        <v/>
      </c>
    </row>
    <row r="2864">
      <c r="A2864" s="38">
        <f>IF(M2864="","",HYPERLINK("https://www.youtube.com/watch?v="&amp;M2864,"▶"))</f>
        <v/>
      </c>
      <c r="B2864" s="39">
        <f>IF(C2864&lt;&gt;"",C2864,IF(P2864&lt;=IFERROR(INDEX(tblChannels[Watched Through],MATCH(N2864,tblChannels[Channel ID],0)),0),"Watched","Unwatched"))</f>
        <v/>
      </c>
      <c r="C2864" s="40" t="n"/>
      <c r="D2864" s="41" t="n"/>
      <c r="E2864" s="42" t="n">
        <v>41884.92013888889</v>
      </c>
      <c r="F2864" s="50" t="inlineStr">
        <is>
          <t>Super Carlin Brothers</t>
        </is>
      </c>
      <c r="G2864" t="inlineStr">
        <is>
          <t>49 Lies &amp; 1 Truth | North Carolina</t>
        </is>
      </c>
      <c r="H2864" s="44" t="n">
        <v>0.004143518518518519</v>
      </c>
      <c r="I2864" s="45" t="n">
        <v>64087</v>
      </c>
      <c r="J2864" s="45" t="n">
        <v>1142</v>
      </c>
      <c r="K2864" s="45" t="n">
        <v>503</v>
      </c>
      <c r="L2864" s="46" t="n"/>
      <c r="M2864" s="47" t="n"/>
      <c r="N2864" s="47" t="inlineStr">
        <is>
          <t>UCKZo4N0lVPccBkSiuyVh4yg</t>
        </is>
      </c>
      <c r="O2864" s="48" t="n">
        <v>41885.08680555555</v>
      </c>
      <c r="P2864" s="49" t="n">
        <v>41884</v>
      </c>
      <c r="Q2864" s="47" t="n">
        <v>404</v>
      </c>
      <c r="R2864" s="47" t="inlineStr">
        <is>
          <t>No Video ID yet</t>
        </is>
      </c>
      <c r="S2864" s="49" t="n"/>
      <c r="T2864" s="49" t="n"/>
      <c r="U2864" s="47" t="inlineStr">
        <is>
          <t>49 Lies &amp; 1 Truth about North Carolina - Which one is true???</t>
        </is>
      </c>
      <c r="V2864" s="47">
        <f>IF(AND(P2864&gt;=Calendar!$K$2,P2864&lt;EDATE(Calendar!$K$2,1),OR(Calendar!$K$4="*",N2864=Calendar!$K$4)),P2864*100+COUNTIFS($P$6:$P$3267,P2864,$Q$6:$Q$3267,"&lt;="&amp;Q2864,$N$6:$N$3267,Calendar!$K$4),"")</f>
        <v/>
      </c>
      <c r="W2864" s="47">
        <f>IF(AND(B2864=Queue!$C$4,OR(Queue!$K$4="*",N2864=Queue!$K$4)),Q2864,"")</f>
        <v/>
      </c>
    </row>
    <row r="2865">
      <c r="A2865" s="38">
        <f>IF(M2865="","",HYPERLINK("https://www.youtube.com/watch?v="&amp;M2865,"▶"))</f>
        <v/>
      </c>
      <c r="B2865" s="39">
        <f>IF(C2865&lt;&gt;"",C2865,IF(P2865&lt;=IFERROR(INDEX(tblChannels[Watched Through],MATCH(N2865,tblChannels[Channel ID],0)),0),"Watched","Unwatched"))</f>
        <v/>
      </c>
      <c r="C2865" s="40" t="n"/>
      <c r="D2865" s="41" t="n"/>
      <c r="E2865" s="42" t="n">
        <v>41879.91111111111</v>
      </c>
      <c r="F2865" s="50" t="inlineStr">
        <is>
          <t>Super Carlin Brothers</t>
        </is>
      </c>
      <c r="G2865" t="inlineStr">
        <is>
          <t>LEGO Speed Build | Conference Table</t>
        </is>
      </c>
      <c r="H2865" s="44" t="n">
        <v>0.001319444444444444</v>
      </c>
      <c r="I2865" s="45" t="n">
        <v>28691</v>
      </c>
      <c r="J2865" s="45" t="n">
        <v>598</v>
      </c>
      <c r="K2865" s="45" t="n">
        <v>106</v>
      </c>
      <c r="L2865" s="46" t="n"/>
      <c r="M2865" s="47" t="n"/>
      <c r="N2865" s="47" t="inlineStr">
        <is>
          <t>UCKZo4N0lVPccBkSiuyVh4yg</t>
        </is>
      </c>
      <c r="O2865" s="48" t="n">
        <v>41880.07777777778</v>
      </c>
      <c r="P2865" s="49" t="n">
        <v>41879</v>
      </c>
      <c r="Q2865" s="47" t="n">
        <v>403</v>
      </c>
      <c r="R2865" s="47" t="inlineStr">
        <is>
          <t>No Video ID yet</t>
        </is>
      </c>
      <c r="S2865" s="49" t="n"/>
      <c r="T2865" s="49" t="n"/>
      <c r="U2865" s="47" t="inlineStr">
        <is>
          <t>"Ben needed a new conference table." Is a boring sentence at first, until you add LEGOs. Can you find Emmet? Also sorry for the jumps, we underestimated the amount of Time, GoPro Battery Life, Pizza, Pepsi, Agents of Chaos, Shoulder Pain and LEGO Blocks we were going to need.</t>
        </is>
      </c>
      <c r="V2865" s="47">
        <f>IF(AND(P2865&gt;=Calendar!$K$2,P2865&lt;EDATE(Calendar!$K$2,1),OR(Calendar!$K$4="*",N2865=Calendar!$K$4)),P2865*100+COUNTIFS($P$6:$P$3267,P2865,$Q$6:$Q$3267,"&lt;="&amp;Q2865,$N$6:$N$3267,Calendar!$K$4),"")</f>
        <v/>
      </c>
      <c r="W2865" s="47">
        <f>IF(AND(B2865=Queue!$C$4,OR(Queue!$K$4="*",N2865=Queue!$K$4)),Q2865,"")</f>
        <v/>
      </c>
    </row>
    <row r="2866">
      <c r="A2866" s="38">
        <f>IF(M2866="","",HYPERLINK("https://www.youtube.com/watch?v="&amp;M2866,"▶"))</f>
        <v/>
      </c>
      <c r="B2866" s="39">
        <f>IF(C2866&lt;&gt;"",C2866,IF(P2866&lt;=IFERROR(INDEX(tblChannels[Watched Through],MATCH(N2866,tblChannels[Channel ID],0)),0),"Watched","Unwatched"))</f>
        <v/>
      </c>
      <c r="C2866" s="40" t="n"/>
      <c r="D2866" s="41" t="n"/>
      <c r="E2866" s="42" t="n">
        <v>41877.79861111111</v>
      </c>
      <c r="F2866" s="50" t="inlineStr">
        <is>
          <t>Super Carlin Brothers</t>
        </is>
      </c>
      <c r="G2866" t="inlineStr">
        <is>
          <t>Identity Crisis</t>
        </is>
      </c>
      <c r="H2866" s="44" t="n">
        <v>0.002939814814814815</v>
      </c>
      <c r="I2866" s="45" t="n">
        <v>21125</v>
      </c>
      <c r="J2866" s="45" t="n">
        <v>553</v>
      </c>
      <c r="K2866" s="45" t="n">
        <v>139</v>
      </c>
      <c r="L2866" s="46" t="n"/>
      <c r="M2866" s="47" t="n"/>
      <c r="N2866" s="47" t="inlineStr">
        <is>
          <t>UCKZo4N0lVPccBkSiuyVh4yg</t>
        </is>
      </c>
      <c r="O2866" s="48" t="n">
        <v>41877.96527777778</v>
      </c>
      <c r="P2866" s="49" t="n">
        <v>41877</v>
      </c>
      <c r="Q2866" s="47" t="n">
        <v>402</v>
      </c>
      <c r="R2866" s="47" t="inlineStr">
        <is>
          <t>No Video ID yet</t>
        </is>
      </c>
      <c r="S2866" s="49" t="n"/>
      <c r="T2866" s="49" t="n"/>
      <c r="U2866" s="47" t="inlineStr">
        <is>
          <t>Over the past few weeks I have had my car set and glasses taken away from me for various repairs and renovations. As a result I have felt less like myself and therefore less confident and less motivated. My glasses in particular were a big deal, I bought them during a very transformative part of my life as I transitioned from college into the real world. I changed my hair, clothes and appearance, the result was me feeling ready to take on whatever the world had in store for me. Four years later, having comfortably transitioned into adulthood, I never realized how much of a role I considered my glasses to be playing until I was left without them. Do you have something that you feel gives you confidence? That you wouldn't be you without? How can a material object make such a difference to who you are? =D</t>
        </is>
      </c>
      <c r="V2866" s="47">
        <f>IF(AND(P2866&gt;=Calendar!$K$2,P2866&lt;EDATE(Calendar!$K$2,1),OR(Calendar!$K$4="*",N2866=Calendar!$K$4)),P2866*100+COUNTIFS($P$6:$P$3267,P2866,$Q$6:$Q$3267,"&lt;="&amp;Q2866,$N$6:$N$3267,Calendar!$K$4),"")</f>
        <v/>
      </c>
      <c r="W2866" s="47">
        <f>IF(AND(B2866=Queue!$C$4,OR(Queue!$K$4="*",N2866=Queue!$K$4)),Q2866,"")</f>
        <v/>
      </c>
    </row>
    <row r="2867">
      <c r="A2867" s="38">
        <f>IF(M2867="","",HYPERLINK("https://www.youtube.com/watch?v="&amp;M2867,"▶"))</f>
        <v/>
      </c>
      <c r="B2867" s="39">
        <f>IF(C2867&lt;&gt;"",C2867,IF(P2867&lt;=IFERROR(INDEX(tblChannels[Watched Through],MATCH(N2867,tblChannels[Channel ID],0)),0),"Watched","Unwatched"))</f>
        <v/>
      </c>
      <c r="C2867" s="40" t="n"/>
      <c r="D2867" s="41" t="n"/>
      <c r="E2867" s="42" t="n">
        <v>41876.90208333333</v>
      </c>
      <c r="F2867" s="52" t="inlineStr">
        <is>
          <t>Super Carlin Gaming</t>
        </is>
      </c>
      <c r="G2867" t="inlineStr">
        <is>
          <t>Pokemon FireRed Nuzlocke Challenge #21: Roseki Arrives!</t>
        </is>
      </c>
      <c r="H2867" s="44" t="n">
        <v>0.01453703703703704</v>
      </c>
      <c r="I2867" s="45" t="n">
        <v>24489</v>
      </c>
      <c r="J2867" s="45" t="n">
        <v>417</v>
      </c>
      <c r="K2867" s="45" t="n">
        <v>42</v>
      </c>
      <c r="L2867" s="46" t="n"/>
      <c r="M2867" s="47" t="n"/>
      <c r="N2867" s="47" t="inlineStr">
        <is>
          <t>UCor_9jRnNNZVzTuQ92PKsaQ</t>
        </is>
      </c>
      <c r="O2867" s="48" t="n">
        <v>41877.06875</v>
      </c>
      <c r="P2867" s="49" t="n">
        <v>41876</v>
      </c>
      <c r="Q2867" s="47" t="n">
        <v>401</v>
      </c>
      <c r="R2867" s="47" t="inlineStr">
        <is>
          <t>No Video ID yet</t>
        </is>
      </c>
      <c r="S2867" s="49" t="n"/>
      <c r="T2867" s="49" t="n"/>
      <c r="U2867" s="47" t="inlineStr">
        <is>
          <t>For the first time ever a team member is replaced not by death, but by Legendary status - who will leave? Find out as Roseki joins our ranks and we explore the burnt out mansion on Cinnabar Island.. will the team survive even with our newest member?</t>
        </is>
      </c>
      <c r="V2867" s="47">
        <f>IF(AND(P2867&gt;=Calendar!$K$2,P2867&lt;EDATE(Calendar!$K$2,1),OR(Calendar!$K$4="*",N2867=Calendar!$K$4)),P2867*100+COUNTIFS($P$6:$P$3267,P2867,$Q$6:$Q$3267,"&lt;="&amp;Q2867,$N$6:$N$3267,Calendar!$K$4),"")</f>
        <v/>
      </c>
      <c r="W2867" s="47">
        <f>IF(AND(B2867=Queue!$C$4,OR(Queue!$K$4="*",N2867=Queue!$K$4)),Q2867,"")</f>
        <v/>
      </c>
    </row>
    <row r="2868">
      <c r="A2868" s="38">
        <f>IF(M2868="","",HYPERLINK("https://www.youtube.com/watch?v="&amp;M2868,"▶"))</f>
        <v/>
      </c>
      <c r="B2868" s="39">
        <f>IF(C2868&lt;&gt;"",C2868,IF(P2868&lt;=IFERROR(INDEX(tblChannels[Watched Through],MATCH(N2868,tblChannels[Channel ID],0)),0),"Watched","Unwatched"))</f>
        <v/>
      </c>
      <c r="C2868" s="40" t="n"/>
      <c r="D2868" s="41" t="n"/>
      <c r="E2868" s="42" t="n">
        <v>41872.88125</v>
      </c>
      <c r="F2868" s="50" t="inlineStr">
        <is>
          <t>Super Carlin Brothers</t>
        </is>
      </c>
      <c r="G2868" t="inlineStr">
        <is>
          <t>Motivation: Surviving Year One</t>
        </is>
      </c>
      <c r="H2868" s="44" t="n">
        <v>0.00369212962962963</v>
      </c>
      <c r="I2868" s="45" t="n">
        <v>12474</v>
      </c>
      <c r="J2868" s="45" t="n">
        <v>370</v>
      </c>
      <c r="K2868" s="45" t="n">
        <v>50</v>
      </c>
      <c r="L2868" s="46" t="n"/>
      <c r="M2868" s="47" t="n"/>
      <c r="N2868" s="47" t="inlineStr">
        <is>
          <t>UCKZo4N0lVPccBkSiuyVh4yg</t>
        </is>
      </c>
      <c r="O2868" s="48" t="n">
        <v>41873.04791666667</v>
      </c>
      <c r="P2868" s="49" t="n">
        <v>41872</v>
      </c>
      <c r="Q2868" s="47" t="n">
        <v>400</v>
      </c>
      <c r="R2868" s="47" t="inlineStr">
        <is>
          <t>No Video ID yet</t>
        </is>
      </c>
      <c r="S2868" s="49" t="n"/>
      <c r="T2868" s="49" t="n"/>
      <c r="U2868" s="47" t="inlineStr">
        <is>
          <t>Ben talks about the motivational challenges he faced during the first year of Super Carlin Brothers.</t>
        </is>
      </c>
      <c r="V2868" s="47">
        <f>IF(AND(P2868&gt;=Calendar!$K$2,P2868&lt;EDATE(Calendar!$K$2,1),OR(Calendar!$K$4="*",N2868=Calendar!$K$4)),P2868*100+COUNTIFS($P$6:$P$3267,P2868,$Q$6:$Q$3267,"&lt;="&amp;Q2868,$N$6:$N$3267,Calendar!$K$4),"")</f>
        <v/>
      </c>
      <c r="W2868" s="47">
        <f>IF(AND(B2868=Queue!$C$4,OR(Queue!$K$4="*",N2868=Queue!$K$4)),Q2868,"")</f>
        <v/>
      </c>
    </row>
    <row r="2869">
      <c r="A2869" s="38">
        <f>IF(M2869="","",HYPERLINK("https://www.youtube.com/watch?v="&amp;M2869,"▶"))</f>
        <v/>
      </c>
      <c r="B2869" s="39">
        <f>IF(C2869&lt;&gt;"",C2869,IF(P2869&lt;=IFERROR(INDEX(tblChannels[Watched Through],MATCH(N2869,tblChannels[Channel ID],0)),0),"Watched","Unwatched"))</f>
        <v/>
      </c>
      <c r="C2869" s="40" t="n"/>
      <c r="D2869" s="41" t="n"/>
      <c r="E2869" s="42" t="n">
        <v>41870.87291666667</v>
      </c>
      <c r="F2869" s="50" t="inlineStr">
        <is>
          <t>Super Carlin Brothers</t>
        </is>
      </c>
      <c r="G2869" t="inlineStr">
        <is>
          <t>Ice Bucket Challenge | SuperCarlinBrothers</t>
        </is>
      </c>
      <c r="H2869" s="44" t="n">
        <v>0.00306712962962963</v>
      </c>
      <c r="I2869" s="45" t="n">
        <v>44654</v>
      </c>
      <c r="J2869" s="45" t="n">
        <v>1279</v>
      </c>
      <c r="K2869" s="45" t="n">
        <v>107</v>
      </c>
      <c r="L2869" s="46" t="n"/>
      <c r="M2869" s="47" t="n"/>
      <c r="N2869" s="47" t="inlineStr">
        <is>
          <t>UCKZo4N0lVPccBkSiuyVh4yg</t>
        </is>
      </c>
      <c r="O2869" s="48" t="n">
        <v>41871.03958333333</v>
      </c>
      <c r="P2869" s="49" t="n">
        <v>41870</v>
      </c>
      <c r="Q2869" s="47" t="n">
        <v>399</v>
      </c>
      <c r="R2869" s="47" t="inlineStr">
        <is>
          <t>No Video ID yet</t>
        </is>
      </c>
      <c r="S2869" s="49" t="n"/>
      <c r="T2869" s="49" t="n"/>
      <c r="U2869" s="47" t="inlineStr">
        <is>
          <t>Donate here: RT my tweet to donate $0.50 :: The Challenged :: Panikann :: FootofaFerret :: DKlarations ::</t>
        </is>
      </c>
      <c r="V2869" s="47">
        <f>IF(AND(P2869&gt;=Calendar!$K$2,P2869&lt;EDATE(Calendar!$K$2,1),OR(Calendar!$K$4="*",N2869=Calendar!$K$4)),P2869*100+COUNTIFS($P$6:$P$3267,P2869,$Q$6:$Q$3267,"&lt;="&amp;Q2869,$N$6:$N$3267,Calendar!$K$4),"")</f>
        <v/>
      </c>
      <c r="W2869" s="47">
        <f>IF(AND(B2869=Queue!$C$4,OR(Queue!$K$4="*",N2869=Queue!$K$4)),Q2869,"")</f>
        <v/>
      </c>
    </row>
    <row r="2870">
      <c r="A2870" s="38">
        <f>IF(M2870="","",HYPERLINK("https://www.youtube.com/watch?v="&amp;M2870,"▶"))</f>
        <v/>
      </c>
      <c r="B2870" s="39">
        <f>IF(C2870&lt;&gt;"",C2870,IF(P2870&lt;=IFERROR(INDEX(tblChannels[Watched Through],MATCH(N2870,tblChannels[Channel ID],0)),0),"Watched","Unwatched"))</f>
        <v/>
      </c>
      <c r="C2870" s="40" t="n"/>
      <c r="D2870" s="41" t="n"/>
      <c r="E2870" s="42" t="n">
        <v>41865.98541666667</v>
      </c>
      <c r="F2870" s="50" t="inlineStr">
        <is>
          <t>Super Carlin Brothers</t>
        </is>
      </c>
      <c r="G2870" t="inlineStr">
        <is>
          <t>Password Therapy</t>
        </is>
      </c>
      <c r="H2870" s="44" t="n">
        <v>0.002824074074074074</v>
      </c>
      <c r="I2870" s="45" t="n">
        <v>24859</v>
      </c>
      <c r="J2870" s="45" t="n">
        <v>660</v>
      </c>
      <c r="K2870" s="45" t="n">
        <v>130</v>
      </c>
      <c r="L2870" s="46" t="n"/>
      <c r="M2870" s="47" t="n"/>
      <c r="N2870" s="47" t="inlineStr">
        <is>
          <t>UCKZo4N0lVPccBkSiuyVh4yg</t>
        </is>
      </c>
      <c r="O2870" s="48" t="n">
        <v>41866.15208333333</v>
      </c>
      <c r="P2870" s="49" t="n">
        <v>41865</v>
      </c>
      <c r="Q2870" s="47" t="n">
        <v>398</v>
      </c>
      <c r="R2870" s="47" t="inlineStr">
        <is>
          <t>No Video ID yet</t>
        </is>
      </c>
      <c r="S2870" s="49" t="n"/>
      <c r="T2870" s="49" t="n"/>
      <c r="U2870" s="47" t="inlineStr">
        <is>
          <t>INSTAGRAM: @BPCARLIN So as a youtuber... it feels very necessary to promote yourself. Be very active through social media. Post and re-post video links. I have trouble with this even though it's probably an essential aspect to the process. And I get it. It's not people who love themselves and their own opinions, think the whole world needs to see what they have to say. They WANT that. They believe firmly in their project. A channel and it's success can be a huge passion for someone. And sometimes it takes being damn near annoying to get traction. It is a means to an end. At some point the viral nature of the internet will step in and take control. I guess what I'm getting at is... my hawking at you in today's video is supposed to prove (and hopefully it will... follow me on instagram @bpcarlin) that if you get pinged enough to do something... results will come. Sorry for hawking... Marketing curiosity.</t>
        </is>
      </c>
      <c r="V2870" s="47">
        <f>IF(AND(P2870&gt;=Calendar!$K$2,P2870&lt;EDATE(Calendar!$K$2,1),OR(Calendar!$K$4="*",N2870=Calendar!$K$4)),P2870*100+COUNTIFS($P$6:$P$3267,P2870,$Q$6:$Q$3267,"&lt;="&amp;Q2870,$N$6:$N$3267,Calendar!$K$4),"")</f>
        <v/>
      </c>
      <c r="W2870" s="47">
        <f>IF(AND(B2870=Queue!$C$4,OR(Queue!$K$4="*",N2870=Queue!$K$4)),Q2870,"")</f>
        <v/>
      </c>
    </row>
    <row r="2871">
      <c r="A2871" s="38">
        <f>IF(M2871="","",HYPERLINK("https://www.youtube.com/watch?v="&amp;M2871,"▶"))</f>
        <v/>
      </c>
      <c r="B2871" s="39">
        <f>IF(C2871&lt;&gt;"",C2871,IF(P2871&lt;=IFERROR(INDEX(tblChannels[Watched Through],MATCH(N2871,tblChannels[Channel ID],0)),0),"Watched","Unwatched"))</f>
        <v/>
      </c>
      <c r="C2871" s="40" t="n"/>
      <c r="D2871" s="41" t="n"/>
      <c r="E2871" s="42" t="n">
        <v>41863.94722222222</v>
      </c>
      <c r="F2871" s="50" t="inlineStr">
        <is>
          <t>Super Carlin Brothers</t>
        </is>
      </c>
      <c r="G2871" t="inlineStr">
        <is>
          <t>The Mustache Dilemma</t>
        </is>
      </c>
      <c r="H2871" s="44" t="n">
        <v>0.002789351851851852</v>
      </c>
      <c r="I2871" s="45" t="n">
        <v>74823</v>
      </c>
      <c r="J2871" s="45" t="n">
        <v>1748</v>
      </c>
      <c r="K2871" s="45" t="n">
        <v>219</v>
      </c>
      <c r="L2871" s="46" t="n"/>
      <c r="M2871" s="47" t="n"/>
      <c r="N2871" s="47" t="inlineStr">
        <is>
          <t>UCKZo4N0lVPccBkSiuyVh4yg</t>
        </is>
      </c>
      <c r="O2871" s="48" t="n">
        <v>41864.11388888889</v>
      </c>
      <c r="P2871" s="49" t="n">
        <v>41863</v>
      </c>
      <c r="Q2871" s="47" t="n">
        <v>397</v>
      </c>
      <c r="R2871" s="47" t="inlineStr">
        <is>
          <t>No Video ID yet</t>
        </is>
      </c>
      <c r="S2871" s="49" t="n"/>
      <c r="T2871" s="49" t="n"/>
      <c r="U2871" s="47" t="n"/>
      <c r="V2871" s="47">
        <f>IF(AND(P2871&gt;=Calendar!$K$2,P2871&lt;EDATE(Calendar!$K$2,1),OR(Calendar!$K$4="*",N2871=Calendar!$K$4)),P2871*100+COUNTIFS($P$6:$P$3267,P2871,$Q$6:$Q$3267,"&lt;="&amp;Q2871,$N$6:$N$3267,Calendar!$K$4),"")</f>
        <v/>
      </c>
      <c r="W2871" s="47">
        <f>IF(AND(B2871=Queue!$C$4,OR(Queue!$K$4="*",N2871=Queue!$K$4)),Q2871,"")</f>
        <v/>
      </c>
    </row>
    <row r="2872">
      <c r="A2872" s="38">
        <f>IF(M2872="","",HYPERLINK("https://www.youtube.com/watch?v="&amp;M2872,"▶"))</f>
        <v/>
      </c>
      <c r="B2872" s="39">
        <f>IF(C2872&lt;&gt;"",C2872,IF(P2872&lt;=IFERROR(INDEX(tblChannels[Watched Through],MATCH(N2872,tblChannels[Channel ID],0)),0),"Watched","Unwatched"))</f>
        <v/>
      </c>
      <c r="C2872" s="40" t="n"/>
      <c r="D2872" s="41" t="n"/>
      <c r="E2872" s="42" t="n">
        <v>41858.91666666666</v>
      </c>
      <c r="F2872" s="50" t="inlineStr">
        <is>
          <t>Super Carlin Brothers</t>
        </is>
      </c>
      <c r="G2872" t="inlineStr">
        <is>
          <t>How to Cut a Watermelon with Rubber Bands</t>
        </is>
      </c>
      <c r="H2872" s="44" t="n">
        <v>0.001724537037037037</v>
      </c>
      <c r="I2872" s="45" t="n">
        <v>63319</v>
      </c>
      <c r="J2872" s="45" t="n">
        <v>1389</v>
      </c>
      <c r="K2872" s="45" t="n">
        <v>135</v>
      </c>
      <c r="L2872" s="46" t="n"/>
      <c r="M2872" s="47" t="n"/>
      <c r="N2872" s="47" t="inlineStr">
        <is>
          <t>UCKZo4N0lVPccBkSiuyVh4yg</t>
        </is>
      </c>
      <c r="O2872" s="48" t="n">
        <v>41859.08333333334</v>
      </c>
      <c r="P2872" s="49" t="n">
        <v>41858</v>
      </c>
      <c r="Q2872" s="47" t="n">
        <v>396</v>
      </c>
      <c r="R2872" s="47" t="inlineStr">
        <is>
          <t>No Video ID yet</t>
        </is>
      </c>
      <c r="S2872" s="49" t="n"/>
      <c r="T2872" s="49" t="n"/>
      <c r="U2872" s="47" t="inlineStr">
        <is>
          <t>This is WAY more efficient than a knife... just sayin...</t>
        </is>
      </c>
      <c r="V2872" s="47">
        <f>IF(AND(P2872&gt;=Calendar!$K$2,P2872&lt;EDATE(Calendar!$K$2,1),OR(Calendar!$K$4="*",N2872=Calendar!$K$4)),P2872*100+COUNTIFS($P$6:$P$3267,P2872,$Q$6:$Q$3267,"&lt;="&amp;Q2872,$N$6:$N$3267,Calendar!$K$4),"")</f>
        <v/>
      </c>
      <c r="W2872" s="47">
        <f>IF(AND(B2872=Queue!$C$4,OR(Queue!$K$4="*",N2872=Queue!$K$4)),Q2872,"")</f>
        <v/>
      </c>
    </row>
    <row r="2873">
      <c r="A2873" s="38">
        <f>IF(M2873="","",HYPERLINK("https://www.youtube.com/watch?v="&amp;M2873,"▶"))</f>
        <v/>
      </c>
      <c r="B2873" s="39">
        <f>IF(C2873&lt;&gt;"",C2873,IF(P2873&lt;=IFERROR(INDEX(tblChannels[Watched Through],MATCH(N2873,tblChannels[Channel ID],0)),0),"Watched","Unwatched"))</f>
        <v/>
      </c>
      <c r="C2873" s="40" t="n"/>
      <c r="D2873" s="41" t="n"/>
      <c r="E2873" s="42" t="n">
        <v>41856.94444444445</v>
      </c>
      <c r="F2873" s="50" t="inlineStr">
        <is>
          <t>Super Carlin Brothers</t>
        </is>
      </c>
      <c r="G2873" t="inlineStr">
        <is>
          <t>JUXTABROS! - Beaches and Werewolves!</t>
        </is>
      </c>
      <c r="H2873" s="44" t="n">
        <v>0.008726851851851852</v>
      </c>
      <c r="I2873" s="45" t="n">
        <v>54409</v>
      </c>
      <c r="J2873" s="45" t="n">
        <v>1010</v>
      </c>
      <c r="K2873" s="45" t="n">
        <v>352</v>
      </c>
      <c r="L2873" s="46" t="n"/>
      <c r="M2873" s="47" t="n"/>
      <c r="N2873" s="47" t="inlineStr">
        <is>
          <t>UCKZo4N0lVPccBkSiuyVh4yg</t>
        </is>
      </c>
      <c r="O2873" s="48" t="n">
        <v>41857.11111111111</v>
      </c>
      <c r="P2873" s="49" t="n">
        <v>41856</v>
      </c>
      <c r="Q2873" s="47" t="n">
        <v>395</v>
      </c>
      <c r="R2873" s="47" t="inlineStr">
        <is>
          <t>No Video ID yet</t>
        </is>
      </c>
      <c r="S2873" s="49" t="n"/>
      <c r="T2873" s="49" t="n"/>
      <c r="U2873" s="47" t="inlineStr">
        <is>
          <t>We are at the beach!! What Harry Potter House do you think corresponds with each suite of playing cards? Instagram ::</t>
        </is>
      </c>
      <c r="V2873" s="47">
        <f>IF(AND(P2873&gt;=Calendar!$K$2,P2873&lt;EDATE(Calendar!$K$2,1),OR(Calendar!$K$4="*",N2873=Calendar!$K$4)),P2873*100+COUNTIFS($P$6:$P$3267,P2873,$Q$6:$Q$3267,"&lt;="&amp;Q2873,$N$6:$N$3267,Calendar!$K$4),"")</f>
        <v/>
      </c>
      <c r="W2873" s="47">
        <f>IF(AND(B2873=Queue!$C$4,OR(Queue!$K$4="*",N2873=Queue!$K$4)),Q2873,"")</f>
        <v/>
      </c>
    </row>
    <row r="2874">
      <c r="A2874" s="38">
        <f>IF(M2874="","",HYPERLINK("https://www.youtube.com/watch?v="&amp;M2874,"▶"))</f>
        <v/>
      </c>
      <c r="B2874" s="39">
        <f>IF(C2874&lt;&gt;"",C2874,IF(P2874&lt;=IFERROR(INDEX(tblChannels[Watched Through],MATCH(N2874,tblChannels[Channel ID],0)),0),"Watched","Unwatched"))</f>
        <v/>
      </c>
      <c r="C2874" s="40" t="n"/>
      <c r="D2874" s="41" t="n"/>
      <c r="E2874" s="42" t="n">
        <v>41852.00763888889</v>
      </c>
      <c r="F2874" s="50" t="inlineStr">
        <is>
          <t>Super Carlin Brothers</t>
        </is>
      </c>
      <c r="G2874" t="inlineStr">
        <is>
          <t>The Tale of Generosity's Umbrella</t>
        </is>
      </c>
      <c r="H2874" s="44" t="n">
        <v>0.002604166666666667</v>
      </c>
      <c r="I2874" s="45" t="n">
        <v>15886</v>
      </c>
      <c r="J2874" s="45" t="n">
        <v>466</v>
      </c>
      <c r="K2874" s="45" t="n">
        <v>59</v>
      </c>
      <c r="L2874" s="46" t="n"/>
      <c r="M2874" s="47" t="n"/>
      <c r="N2874" s="47" t="inlineStr">
        <is>
          <t>UCKZo4N0lVPccBkSiuyVh4yg</t>
        </is>
      </c>
      <c r="O2874" s="48" t="n">
        <v>41852.17430555556</v>
      </c>
      <c r="P2874" s="49" t="n">
        <v>41852</v>
      </c>
      <c r="Q2874" s="47" t="n">
        <v>394</v>
      </c>
      <c r="R2874" s="47" t="inlineStr">
        <is>
          <t>No Video ID yet</t>
        </is>
      </c>
      <c r="S2874" s="49" t="n"/>
      <c r="T2874" s="49" t="n"/>
      <c r="U2874" s="47" t="inlineStr">
        <is>
          <t>Tweet your photos under Generosity's Umbrella to @SCB_Ben !! Okay so talk about a first world problem... But I can't tell you how often I feel like the scenarios pop up.. For example let's say J wants to have something built and is getting estimates for how much it's going to cost... and it's going to cost a lot. But me being the little brother builder says "No worries man! I can build that for you!" But I take forever. So the conversation would have to happen: "We really need to get it built... But I feel so rude pressuring him when he's doing us a favor" But I'm taking forever... and they are now unable to allow the project to be completed on their own terms. Which can be frustrating.</t>
        </is>
      </c>
      <c r="V2874" s="47">
        <f>IF(AND(P2874&gt;=Calendar!$K$2,P2874&lt;EDATE(Calendar!$K$2,1),OR(Calendar!$K$4="*",N2874=Calendar!$K$4)),P2874*100+COUNTIFS($P$6:$P$3267,P2874,$Q$6:$Q$3267,"&lt;="&amp;Q2874,$N$6:$N$3267,Calendar!$K$4),"")</f>
        <v/>
      </c>
      <c r="W2874" s="47">
        <f>IF(AND(B2874=Queue!$C$4,OR(Queue!$K$4="*",N2874=Queue!$K$4)),Q2874,"")</f>
        <v/>
      </c>
    </row>
    <row r="2875">
      <c r="A2875" s="38">
        <f>IF(M2875="","",HYPERLINK("https://www.youtube.com/watch?v="&amp;M2875,"▶"))</f>
        <v/>
      </c>
      <c r="B2875" s="39">
        <f>IF(C2875&lt;&gt;"",C2875,IF(P2875&lt;=IFERROR(INDEX(tblChannels[Watched Through],MATCH(N2875,tblChannels[Channel ID],0)),0),"Watched","Unwatched"))</f>
        <v/>
      </c>
      <c r="C2875" s="40" t="n"/>
      <c r="D2875" s="41" t="n"/>
      <c r="E2875" s="42" t="n">
        <v>41849.93472222222</v>
      </c>
      <c r="F2875" s="50" t="inlineStr">
        <is>
          <t>Super Carlin Brothers</t>
        </is>
      </c>
      <c r="G2875" t="inlineStr">
        <is>
          <t>Frozen Theory: The Prince of Arendelle</t>
        </is>
      </c>
      <c r="H2875" s="44" t="n">
        <v>0.004097222222222223</v>
      </c>
      <c r="I2875" s="45" t="n">
        <v>2157902</v>
      </c>
      <c r="J2875" s="45" t="n">
        <v>35906</v>
      </c>
      <c r="K2875" s="45" t="n">
        <v>7526</v>
      </c>
      <c r="L2875" s="46" t="n"/>
      <c r="M2875" s="47" t="n"/>
      <c r="N2875" s="47" t="inlineStr">
        <is>
          <t>UCKZo4N0lVPccBkSiuyVh4yg</t>
        </is>
      </c>
      <c r="O2875" s="48" t="n">
        <v>41850.10138888889</v>
      </c>
      <c r="P2875" s="49" t="n">
        <v>41849</v>
      </c>
      <c r="Q2875" s="47" t="n">
        <v>393</v>
      </c>
      <c r="R2875" s="47" t="inlineStr">
        <is>
          <t>No Video ID yet</t>
        </is>
      </c>
      <c r="S2875" s="49" t="n"/>
      <c r="T2875" s="49" t="n"/>
      <c r="U2875" s="47" t="inlineStr">
        <is>
          <t>What really happens to snow in the summer? Who is the true prince of Arendelle?? Frozen Theory Article :: Corona is in Germany :: INSTAGRAM:</t>
        </is>
      </c>
      <c r="V2875" s="47">
        <f>IF(AND(P2875&gt;=Calendar!$K$2,P2875&lt;EDATE(Calendar!$K$2,1),OR(Calendar!$K$4="*",N2875=Calendar!$K$4)),P2875*100+COUNTIFS($P$6:$P$3267,P2875,$Q$6:$Q$3267,"&lt;="&amp;Q2875,$N$6:$N$3267,Calendar!$K$4),"")</f>
        <v/>
      </c>
      <c r="W2875" s="47">
        <f>IF(AND(B2875=Queue!$C$4,OR(Queue!$K$4="*",N2875=Queue!$K$4)),Q2875,"")</f>
        <v/>
      </c>
    </row>
    <row r="2876">
      <c r="A2876" s="38">
        <f>IF(M2876="","",HYPERLINK("https://www.youtube.com/watch?v="&amp;M2876,"▶"))</f>
        <v/>
      </c>
      <c r="B2876" s="39">
        <f>IF(C2876&lt;&gt;"",C2876,IF(P2876&lt;=IFERROR(INDEX(tblChannels[Watched Through],MATCH(N2876,tblChannels[Channel ID],0)),0),"Watched","Unwatched"))</f>
        <v/>
      </c>
      <c r="C2876" s="40" t="n"/>
      <c r="D2876" s="41" t="n"/>
      <c r="E2876" s="42" t="n">
        <v>41847.57638888889</v>
      </c>
      <c r="F2876" s="52" t="inlineStr">
        <is>
          <t>Super Carlin Gaming</t>
        </is>
      </c>
      <c r="G2876" t="inlineStr">
        <is>
          <t>Pokemon FireRed Nuzlocke Challenge #20: Quest for Articuno!</t>
        </is>
      </c>
      <c r="H2876" s="44" t="n">
        <v>0.01881944444444444</v>
      </c>
      <c r="I2876" s="45" t="n">
        <v>26139</v>
      </c>
      <c r="J2876" s="45" t="n">
        <v>479</v>
      </c>
      <c r="K2876" s="45" t="n">
        <v>174</v>
      </c>
      <c r="L2876" s="46" t="n"/>
      <c r="M2876" s="47" t="n"/>
      <c r="N2876" s="47" t="inlineStr">
        <is>
          <t>UCor_9jRnNNZVzTuQ92PKsaQ</t>
        </is>
      </c>
      <c r="O2876" s="48" t="n">
        <v>41847.74305555555</v>
      </c>
      <c r="P2876" s="49" t="n">
        <v>41847</v>
      </c>
      <c r="Q2876" s="47" t="n">
        <v>392</v>
      </c>
      <c r="R2876" s="47" t="inlineStr">
        <is>
          <t>No Video ID yet</t>
        </is>
      </c>
      <c r="S2876" s="49" t="n"/>
      <c r="T2876" s="49" t="n"/>
      <c r="U2876" s="47" t="inlineStr">
        <is>
          <t>Today we seek a legend - Will the team survive an encounter with Articuno??</t>
        </is>
      </c>
      <c r="V2876" s="47">
        <f>IF(AND(P2876&gt;=Calendar!$K$2,P2876&lt;EDATE(Calendar!$K$2,1),OR(Calendar!$K$4="*",N2876=Calendar!$K$4)),P2876*100+COUNTIFS($P$6:$P$3267,P2876,$Q$6:$Q$3267,"&lt;="&amp;Q2876,$N$6:$N$3267,Calendar!$K$4),"")</f>
        <v/>
      </c>
      <c r="W2876" s="47">
        <f>IF(AND(B2876=Queue!$C$4,OR(Queue!$K$4="*",N2876=Queue!$K$4)),Q2876,"")</f>
        <v/>
      </c>
    </row>
    <row r="2877">
      <c r="A2877" s="38">
        <f>IF(M2877="","",HYPERLINK("https://www.youtube.com/watch?v="&amp;M2877,"▶"))</f>
        <v/>
      </c>
      <c r="B2877" s="39">
        <f>IF(C2877&lt;&gt;"",C2877,IF(P2877&lt;=IFERROR(INDEX(tblChannels[Watched Through],MATCH(N2877,tblChannels[Channel ID],0)),0),"Watched","Unwatched"))</f>
        <v/>
      </c>
      <c r="C2877" s="40" t="n"/>
      <c r="D2877" s="41" t="n"/>
      <c r="E2877" s="42" t="n">
        <v>41844.54166666666</v>
      </c>
      <c r="F2877" s="50" t="inlineStr">
        <is>
          <t>Super Carlin Brothers</t>
        </is>
      </c>
      <c r="G2877" t="inlineStr">
        <is>
          <t>I HEART SPICY</t>
        </is>
      </c>
      <c r="H2877" s="44" t="n">
        <v>0.002939814814814815</v>
      </c>
      <c r="I2877" s="45" t="n">
        <v>19373</v>
      </c>
      <c r="J2877" s="45" t="n">
        <v>395</v>
      </c>
      <c r="K2877" s="45" t="n">
        <v>208</v>
      </c>
      <c r="L2877" s="46" t="n"/>
      <c r="M2877" s="47" t="n"/>
      <c r="N2877" s="47" t="inlineStr">
        <is>
          <t>UCKZo4N0lVPccBkSiuyVh4yg</t>
        </is>
      </c>
      <c r="O2877" s="48" t="n">
        <v>41844.70833333334</v>
      </c>
      <c r="P2877" s="49" t="n">
        <v>41844</v>
      </c>
      <c r="Q2877" s="47" t="n">
        <v>391</v>
      </c>
      <c r="R2877" s="47" t="inlineStr">
        <is>
          <t>No Video ID yet</t>
        </is>
      </c>
      <c r="S2877" s="49" t="n"/>
      <c r="T2877" s="49" t="n"/>
      <c r="U2877" s="47" t="inlineStr">
        <is>
          <t>My score: 6. I hope we can still be friends.</t>
        </is>
      </c>
      <c r="V2877" s="47">
        <f>IF(AND(P2877&gt;=Calendar!$K$2,P2877&lt;EDATE(Calendar!$K$2,1),OR(Calendar!$K$4="*",N2877=Calendar!$K$4)),P2877*100+COUNTIFS($P$6:$P$3267,P2877,$Q$6:$Q$3267,"&lt;="&amp;Q2877,$N$6:$N$3267,Calendar!$K$4),"")</f>
        <v/>
      </c>
      <c r="W2877" s="47">
        <f>IF(AND(B2877=Queue!$C$4,OR(Queue!$K$4="*",N2877=Queue!$K$4)),Q2877,"")</f>
        <v/>
      </c>
    </row>
    <row r="2878">
      <c r="A2878" s="38">
        <f>IF(M2878="","",HYPERLINK("https://www.youtube.com/watch?v="&amp;M2878,"▶"))</f>
        <v/>
      </c>
      <c r="B2878" s="39">
        <f>IF(C2878&lt;&gt;"",C2878,IF(P2878&lt;=IFERROR(INDEX(tblChannels[Watched Through],MATCH(N2878,tblChannels[Channel ID],0)),0),"Watched","Unwatched"))</f>
        <v/>
      </c>
      <c r="C2878" s="40" t="n"/>
      <c r="D2878" s="41" t="n"/>
      <c r="E2878" s="42" t="n">
        <v>41843.98819444444</v>
      </c>
      <c r="F2878" s="52" t="inlineStr">
        <is>
          <t>Super Carlin Gaming</t>
        </is>
      </c>
      <c r="G2878" t="inlineStr">
        <is>
          <t>Pokemon FireRed Nuzlocke Challenge #19: KOGA</t>
        </is>
      </c>
      <c r="H2878" s="44" t="n">
        <v>0.01484953703703704</v>
      </c>
      <c r="I2878" s="45" t="n">
        <v>23863</v>
      </c>
      <c r="J2878" s="45" t="n">
        <v>424</v>
      </c>
      <c r="K2878" s="45" t="n">
        <v>52</v>
      </c>
      <c r="L2878" s="46" t="n"/>
      <c r="M2878" s="47" t="n"/>
      <c r="N2878" s="47" t="inlineStr">
        <is>
          <t>UCor_9jRnNNZVzTuQ92PKsaQ</t>
        </is>
      </c>
      <c r="O2878" s="48" t="n">
        <v>41844.15486111111</v>
      </c>
      <c r="P2878" s="49" t="n">
        <v>41843</v>
      </c>
      <c r="Q2878" s="47" t="n">
        <v>390</v>
      </c>
      <c r="R2878" s="47" t="inlineStr">
        <is>
          <t>No Video ID yet</t>
        </is>
      </c>
      <c r="S2878" s="49" t="n"/>
      <c r="T2878" s="49" t="n"/>
      <c r="U2878" s="47" t="inlineStr">
        <is>
          <t>Today we challenge Koga in the Psychi... uhh.. Poison gym? (If he says so I guess..) Will the team hold strong against all of the smokescreens and toxic??</t>
        </is>
      </c>
      <c r="V2878" s="47">
        <f>IF(AND(P2878&gt;=Calendar!$K$2,P2878&lt;EDATE(Calendar!$K$2,1),OR(Calendar!$K$4="*",N2878=Calendar!$K$4)),P2878*100+COUNTIFS($P$6:$P$3267,P2878,$Q$6:$Q$3267,"&lt;="&amp;Q2878,$N$6:$N$3267,Calendar!$K$4),"")</f>
        <v/>
      </c>
      <c r="W2878" s="47">
        <f>IF(AND(B2878=Queue!$C$4,OR(Queue!$K$4="*",N2878=Queue!$K$4)),Q2878,"")</f>
        <v/>
      </c>
    </row>
    <row r="2879">
      <c r="A2879" s="38">
        <f>IF(M2879="","",HYPERLINK("https://www.youtube.com/watch?v="&amp;M2879,"▶"))</f>
        <v/>
      </c>
      <c r="B2879" s="39">
        <f>IF(C2879&lt;&gt;"",C2879,IF(P2879&lt;=IFERROR(INDEX(tblChannels[Watched Through],MATCH(N2879,tblChannels[Channel ID],0)),0),"Watched","Unwatched"))</f>
        <v/>
      </c>
      <c r="C2879" s="40" t="n"/>
      <c r="D2879" s="41" t="n"/>
      <c r="E2879" s="42" t="n">
        <v>41842.90694444445</v>
      </c>
      <c r="F2879" s="50" t="inlineStr">
        <is>
          <t>Super Carlin Brothers</t>
        </is>
      </c>
      <c r="G2879" t="inlineStr">
        <is>
          <t>Infinity and Beyond!</t>
        </is>
      </c>
      <c r="H2879" s="44" t="n">
        <v>0.003252314814814815</v>
      </c>
      <c r="I2879" s="45" t="n">
        <v>221908</v>
      </c>
      <c r="J2879" s="45" t="n">
        <v>3054</v>
      </c>
      <c r="K2879" s="45" t="n">
        <v>591</v>
      </c>
      <c r="L2879" s="46" t="n"/>
      <c r="M2879" s="47" t="n"/>
      <c r="N2879" s="47" t="inlineStr">
        <is>
          <t>UCKZo4N0lVPccBkSiuyVh4yg</t>
        </is>
      </c>
      <c r="O2879" s="48" t="n">
        <v>41843.07361111111</v>
      </c>
      <c r="P2879" s="49" t="n">
        <v>41842</v>
      </c>
      <c r="Q2879" s="47" t="n">
        <v>389</v>
      </c>
      <c r="R2879" s="47" t="inlineStr">
        <is>
          <t>No Video ID yet</t>
        </is>
      </c>
      <c r="S2879" s="49" t="n"/>
      <c r="T2879" s="49" t="n"/>
      <c r="U2879" s="47" t="inlineStr">
        <is>
          <t>What are your infinity objects? Also why does Buzz freeze like the rest of the toys?? Questions for Ask J? Ask in the towel section or on any of our social pages below!!</t>
        </is>
      </c>
      <c r="V2879" s="47">
        <f>IF(AND(P2879&gt;=Calendar!$K$2,P2879&lt;EDATE(Calendar!$K$2,1),OR(Calendar!$K$4="*",N2879=Calendar!$K$4)),P2879*100+COUNTIFS($P$6:$P$3267,P2879,$Q$6:$Q$3267,"&lt;="&amp;Q2879,$N$6:$N$3267,Calendar!$K$4),"")</f>
        <v/>
      </c>
      <c r="W2879" s="47">
        <f>IF(AND(B2879=Queue!$C$4,OR(Queue!$K$4="*",N2879=Queue!$K$4)),Q2879,"")</f>
        <v/>
      </c>
    </row>
    <row r="2880">
      <c r="A2880" s="38">
        <f>IF(M2880="","",HYPERLINK("https://www.youtube.com/watch?v="&amp;M2880,"▶"))</f>
        <v/>
      </c>
      <c r="B2880" s="39">
        <f>IF(C2880&lt;&gt;"",C2880,IF(P2880&lt;=IFERROR(INDEX(tblChannels[Watched Through],MATCH(N2880,tblChannels[Channel ID],0)),0),"Watched","Unwatched"))</f>
        <v/>
      </c>
      <c r="C2880" s="40" t="n"/>
      <c r="D2880" s="41" t="n"/>
      <c r="E2880" s="42" t="n">
        <v>41837.96666666667</v>
      </c>
      <c r="F2880" s="50" t="inlineStr">
        <is>
          <t>Super Carlin Brothers</t>
        </is>
      </c>
      <c r="G2880" t="inlineStr">
        <is>
          <t>Chilly Bump Getting Whore</t>
        </is>
      </c>
      <c r="H2880" s="44" t="n">
        <v>0.002534722222222222</v>
      </c>
      <c r="I2880" s="45" t="n">
        <v>16435</v>
      </c>
      <c r="J2880" s="45" t="n">
        <v>345</v>
      </c>
      <c r="K2880" s="45" t="n">
        <v>140</v>
      </c>
      <c r="L2880" s="46" t="n"/>
      <c r="M2880" s="47" t="n"/>
      <c r="N2880" s="47" t="inlineStr">
        <is>
          <t>UCKZo4N0lVPccBkSiuyVh4yg</t>
        </is>
      </c>
      <c r="O2880" s="48" t="n">
        <v>41838.13333333333</v>
      </c>
      <c r="P2880" s="49" t="n">
        <v>41837</v>
      </c>
      <c r="Q2880" s="47" t="n">
        <v>388</v>
      </c>
      <c r="R2880" s="47" t="inlineStr">
        <is>
          <t>No Video ID yet</t>
        </is>
      </c>
      <c r="S2880" s="49" t="n"/>
      <c r="T2880" s="49" t="n"/>
      <c r="U2880" s="47" t="inlineStr">
        <is>
          <t>Movie trailers also get me...</t>
        </is>
      </c>
      <c r="V2880" s="47">
        <f>IF(AND(P2880&gt;=Calendar!$K$2,P2880&lt;EDATE(Calendar!$K$2,1),OR(Calendar!$K$4="*",N2880=Calendar!$K$4)),P2880*100+COUNTIFS($P$6:$P$3267,P2880,$Q$6:$Q$3267,"&lt;="&amp;Q2880,$N$6:$N$3267,Calendar!$K$4),"")</f>
        <v/>
      </c>
      <c r="W2880" s="47">
        <f>IF(AND(B2880=Queue!$C$4,OR(Queue!$K$4="*",N2880=Queue!$K$4)),Q2880,"")</f>
        <v/>
      </c>
    </row>
    <row r="2881">
      <c r="A2881" s="38">
        <f>IF(M2881="","",HYPERLINK("https://www.youtube.com/watch?v="&amp;M2881,"▶"))</f>
        <v/>
      </c>
      <c r="B2881" s="39">
        <f>IF(C2881&lt;&gt;"",C2881,IF(P2881&lt;=IFERROR(INDEX(tblChannels[Watched Through],MATCH(N2881,tblChannels[Channel ID],0)),0),"Watched","Unwatched"))</f>
        <v/>
      </c>
      <c r="C2881" s="40" t="n"/>
      <c r="D2881" s="41" t="n"/>
      <c r="E2881" s="42" t="n">
        <v>41835.99652777778</v>
      </c>
      <c r="F2881" s="50" t="inlineStr">
        <is>
          <t>Super Carlin Brothers</t>
        </is>
      </c>
      <c r="G2881" t="inlineStr">
        <is>
          <t>Are Narwhals Google Autofill</t>
        </is>
      </c>
      <c r="H2881" s="44" t="n">
        <v>0.003703703703703704</v>
      </c>
      <c r="I2881" s="45" t="n">
        <v>348327</v>
      </c>
      <c r="J2881" s="45" t="n">
        <v>5354</v>
      </c>
      <c r="K2881" s="45" t="n">
        <v>1148</v>
      </c>
      <c r="L2881" s="46" t="n"/>
      <c r="M2881" s="47" t="n"/>
      <c r="N2881" s="47" t="inlineStr">
        <is>
          <t>UCKZo4N0lVPccBkSiuyVh4yg</t>
        </is>
      </c>
      <c r="O2881" s="48" t="n">
        <v>41836.16319444445</v>
      </c>
      <c r="P2881" s="49" t="n">
        <v>41835</v>
      </c>
      <c r="Q2881" s="47" t="n">
        <v>387</v>
      </c>
      <c r="R2881" s="47" t="inlineStr">
        <is>
          <t>No Video ID yet</t>
        </is>
      </c>
      <c r="S2881" s="49" t="n"/>
      <c r="T2881" s="49" t="n"/>
      <c r="U2881" s="47" t="inlineStr">
        <is>
          <t>NARWHAL TSHIRT :: Narwhals - Real? Evil? Friendly? Jedi? Unicorns???? FOLLOW US ON INSTAGRAM: Ben: J:</t>
        </is>
      </c>
      <c r="V2881" s="47">
        <f>IF(AND(P2881&gt;=Calendar!$K$2,P2881&lt;EDATE(Calendar!$K$2,1),OR(Calendar!$K$4="*",N2881=Calendar!$K$4)),P2881*100+COUNTIFS($P$6:$P$3267,P2881,$Q$6:$Q$3267,"&lt;="&amp;Q2881,$N$6:$N$3267,Calendar!$K$4),"")</f>
        <v/>
      </c>
      <c r="W2881" s="47">
        <f>IF(AND(B2881=Queue!$C$4,OR(Queue!$K$4="*",N2881=Queue!$K$4)),Q2881,"")</f>
        <v/>
      </c>
    </row>
    <row r="2882">
      <c r="A2882" s="38">
        <f>IF(M2882="","",HYPERLINK("https://www.youtube.com/watch?v="&amp;M2882,"▶"))</f>
        <v/>
      </c>
      <c r="B2882" s="39">
        <f>IF(C2882&lt;&gt;"",C2882,IF(P2882&lt;=IFERROR(INDEX(tblChannels[Watched Through],MATCH(N2882,tblChannels[Channel ID],0)),0),"Watched","Unwatched"))</f>
        <v/>
      </c>
      <c r="C2882" s="40" t="n"/>
      <c r="D2882" s="41" t="n"/>
      <c r="E2882" s="42" t="n">
        <v>41830.95347222222</v>
      </c>
      <c r="F2882" s="50" t="inlineStr">
        <is>
          <t>Super Carlin Brothers</t>
        </is>
      </c>
      <c r="G2882" t="inlineStr">
        <is>
          <t>The Sloth Theory</t>
        </is>
      </c>
      <c r="H2882" s="44" t="n">
        <v>0.003032407407407407</v>
      </c>
      <c r="I2882" s="45" t="n">
        <v>258642</v>
      </c>
      <c r="J2882" s="45" t="n">
        <v>4234</v>
      </c>
      <c r="K2882" s="45" t="n">
        <v>929</v>
      </c>
      <c r="L2882" s="46" t="n"/>
      <c r="M2882" s="47" t="n"/>
      <c r="N2882" s="47" t="inlineStr">
        <is>
          <t>UCKZo4N0lVPccBkSiuyVh4yg</t>
        </is>
      </c>
      <c r="O2882" s="48" t="n">
        <v>41831.12013888889</v>
      </c>
      <c r="P2882" s="49" t="n">
        <v>41830</v>
      </c>
      <c r="Q2882" s="47" t="n">
        <v>386</v>
      </c>
      <c r="R2882" s="47" t="inlineStr">
        <is>
          <t>No Video ID yet</t>
        </is>
      </c>
      <c r="S2882" s="49" t="n"/>
      <c r="T2882" s="49" t="n"/>
      <c r="U2882" s="47" t="inlineStr">
        <is>
          <t>So what do you think?!!? Can they?! Muahaha you'll have to watch the video... Otherwise my question of the day would give away my theory without watching the video! I know and your right. It is very sneaky. Like a Sloth.</t>
        </is>
      </c>
      <c r="V2882" s="47">
        <f>IF(AND(P2882&gt;=Calendar!$K$2,P2882&lt;EDATE(Calendar!$K$2,1),OR(Calendar!$K$4="*",N2882=Calendar!$K$4)),P2882*100+COUNTIFS($P$6:$P$3267,P2882,$Q$6:$Q$3267,"&lt;="&amp;Q2882,$N$6:$N$3267,Calendar!$K$4),"")</f>
        <v/>
      </c>
      <c r="W2882" s="47">
        <f>IF(AND(B2882=Queue!$C$4,OR(Queue!$K$4="*",N2882=Queue!$K$4)),Q2882,"")</f>
        <v/>
      </c>
    </row>
    <row r="2883">
      <c r="A2883" s="38">
        <f>IF(M2883="","",HYPERLINK("https://www.youtube.com/watch?v="&amp;M2883,"▶"))</f>
        <v/>
      </c>
      <c r="B2883" s="39">
        <f>IF(C2883&lt;&gt;"",C2883,IF(P2883&lt;=IFERROR(INDEX(tblChannels[Watched Through],MATCH(N2883,tblChannels[Channel ID],0)),0),"Watched","Unwatched"))</f>
        <v/>
      </c>
      <c r="C2883" s="40" t="n"/>
      <c r="D2883" s="41" t="n"/>
      <c r="E2883" s="42" t="n">
        <v>41828.90972222222</v>
      </c>
      <c r="F2883" s="50" t="inlineStr">
        <is>
          <t>Super Carlin Brothers</t>
        </is>
      </c>
      <c r="G2883" t="inlineStr">
        <is>
          <t>The Coffee Creamer Challenge!</t>
        </is>
      </c>
      <c r="H2883" s="44" t="n">
        <v>0.003599537037037037</v>
      </c>
      <c r="I2883" s="45" t="n">
        <v>69614</v>
      </c>
      <c r="J2883" s="45" t="n">
        <v>1601</v>
      </c>
      <c r="K2883" s="45" t="n">
        <v>204</v>
      </c>
      <c r="L2883" s="46" t="n"/>
      <c r="M2883" s="47" t="n"/>
      <c r="N2883" s="47" t="inlineStr">
        <is>
          <t>UCKZo4N0lVPccBkSiuyVh4yg</t>
        </is>
      </c>
      <c r="O2883" s="48" t="n">
        <v>41829.07638888889</v>
      </c>
      <c r="P2883" s="49" t="n">
        <v>41828</v>
      </c>
      <c r="Q2883" s="47" t="n">
        <v>385</v>
      </c>
      <c r="R2883" s="47" t="inlineStr">
        <is>
          <t>No Video ID yet</t>
        </is>
      </c>
      <c r="S2883" s="49" t="n"/>
      <c r="T2883" s="49" t="n"/>
      <c r="U2883" s="47" t="inlineStr">
        <is>
          <t>What tiny thing has defeated you?? FOLLOW ME ON INSTAGRAM :: Contest Rules: Upload a video of you pouring creamer into a clear glass mug/glass of coffee to Instagram and tag me. Winner will be randomly chosen after Ben's vid on Thurs!</t>
        </is>
      </c>
      <c r="V2883" s="47">
        <f>IF(AND(P2883&gt;=Calendar!$K$2,P2883&lt;EDATE(Calendar!$K$2,1),OR(Calendar!$K$4="*",N2883=Calendar!$K$4)),P2883*100+COUNTIFS($P$6:$P$3267,P2883,$Q$6:$Q$3267,"&lt;="&amp;Q2883,$N$6:$N$3267,Calendar!$K$4),"")</f>
        <v/>
      </c>
      <c r="W2883" s="47">
        <f>IF(AND(B2883=Queue!$C$4,OR(Queue!$K$4="*",N2883=Queue!$K$4)),Q2883,"")</f>
        <v/>
      </c>
    </row>
    <row r="2884">
      <c r="A2884" s="38">
        <f>IF(M2884="","",HYPERLINK("https://www.youtube.com/watch?v="&amp;M2884,"▶"))</f>
        <v/>
      </c>
      <c r="B2884" s="39">
        <f>IF(C2884&lt;&gt;"",C2884,IF(P2884&lt;=IFERROR(INDEX(tblChannels[Watched Through],MATCH(N2884,tblChannels[Channel ID],0)),0),"Watched","Unwatched"))</f>
        <v/>
      </c>
      <c r="C2884" s="40" t="n"/>
      <c r="D2884" s="41" t="n"/>
      <c r="E2884" s="42" t="n">
        <v>41827.94097222222</v>
      </c>
      <c r="F2884" s="52" t="inlineStr">
        <is>
          <t>Super Carlin Gaming</t>
        </is>
      </c>
      <c r="G2884" t="inlineStr">
        <is>
          <t>Pokemon FireRed Nuzlocke Challenge #18: Twig vs Sabrina</t>
        </is>
      </c>
      <c r="H2884" s="44" t="n">
        <v>0.007974537037037037</v>
      </c>
      <c r="I2884" s="45" t="n">
        <v>22811</v>
      </c>
      <c r="J2884" s="45" t="n">
        <v>396</v>
      </c>
      <c r="K2884" s="45" t="n">
        <v>30</v>
      </c>
      <c r="L2884" s="46" t="n"/>
      <c r="M2884" s="47" t="n"/>
      <c r="N2884" s="47" t="inlineStr">
        <is>
          <t>UCor_9jRnNNZVzTuQ92PKsaQ</t>
        </is>
      </c>
      <c r="O2884" s="48" t="n">
        <v>41828.10763888889</v>
      </c>
      <c r="P2884" s="49" t="n">
        <v>41827</v>
      </c>
      <c r="Q2884" s="47" t="n">
        <v>384</v>
      </c>
      <c r="R2884" s="47" t="inlineStr">
        <is>
          <t>No Video ID yet</t>
        </is>
      </c>
      <c r="S2884" s="49" t="n"/>
      <c r="T2884" s="49" t="n"/>
      <c r="U2884" s="47" t="inlineStr">
        <is>
          <t>Today we take on the mighty Saffron City Gym - We struggled against Peaches Alakazam, can we conquer a gym full of psychic types without a death??</t>
        </is>
      </c>
      <c r="V2884" s="47">
        <f>IF(AND(P2884&gt;=Calendar!$K$2,P2884&lt;EDATE(Calendar!$K$2,1),OR(Calendar!$K$4="*",N2884=Calendar!$K$4)),P2884*100+COUNTIFS($P$6:$P$3267,P2884,$Q$6:$Q$3267,"&lt;="&amp;Q2884,$N$6:$N$3267,Calendar!$K$4),"")</f>
        <v/>
      </c>
      <c r="W2884" s="47">
        <f>IF(AND(B2884=Queue!$C$4,OR(Queue!$K$4="*",N2884=Queue!$K$4)),Q2884,"")</f>
        <v/>
      </c>
    </row>
    <row r="2885">
      <c r="A2885" s="38">
        <f>IF(M2885="","",HYPERLINK("https://www.youtube.com/watch?v="&amp;M2885,"▶"))</f>
        <v/>
      </c>
      <c r="B2885" s="39">
        <f>IF(C2885&lt;&gt;"",C2885,IF(P2885&lt;=IFERROR(INDEX(tblChannels[Watched Through],MATCH(N2885,tblChannels[Channel ID],0)),0),"Watched","Unwatched"))</f>
        <v/>
      </c>
      <c r="C2885" s="40" t="n"/>
      <c r="D2885" s="41" t="n"/>
      <c r="E2885" s="42" t="n">
        <v>41824.52916666667</v>
      </c>
      <c r="F2885" s="52" t="inlineStr">
        <is>
          <t>Super Carlin Gaming</t>
        </is>
      </c>
      <c r="G2885" t="inlineStr">
        <is>
          <t>Pokemon FireRed Nuzlocke Challenge #17: PEACHES AND GIOVANNI!</t>
        </is>
      </c>
      <c r="H2885" s="44" t="n">
        <v>0.01487268518518518</v>
      </c>
      <c r="I2885" s="45" t="n">
        <v>24863</v>
      </c>
      <c r="J2885" s="45" t="n">
        <v>425</v>
      </c>
      <c r="K2885" s="45" t="n">
        <v>40</v>
      </c>
      <c r="L2885" s="46" t="n"/>
      <c r="M2885" s="47" t="n"/>
      <c r="N2885" s="47" t="inlineStr">
        <is>
          <t>UCor_9jRnNNZVzTuQ92PKsaQ</t>
        </is>
      </c>
      <c r="O2885" s="48" t="n">
        <v>41824.69583333333</v>
      </c>
      <c r="P2885" s="49" t="n">
        <v>41824</v>
      </c>
      <c r="Q2885" s="47" t="n">
        <v>383</v>
      </c>
      <c r="R2885" s="47" t="inlineStr">
        <is>
          <t>No Video ID yet</t>
        </is>
      </c>
      <c r="S2885" s="49" t="n"/>
      <c r="T2885" s="49" t="n"/>
      <c r="U2885" s="47" t="inlineStr">
        <is>
          <t>Our journey through the SILPH Co. continues as we take on Peaches and Giovanni! Will the team survive or will another member fall in battle against 2 of our toughest opponents yet!</t>
        </is>
      </c>
      <c r="V2885" s="47">
        <f>IF(AND(P2885&gt;=Calendar!$K$2,P2885&lt;EDATE(Calendar!$K$2,1),OR(Calendar!$K$4="*",N2885=Calendar!$K$4)),P2885*100+COUNTIFS($P$6:$P$3267,P2885,$Q$6:$Q$3267,"&lt;="&amp;Q2885,$N$6:$N$3267,Calendar!$K$4),"")</f>
        <v/>
      </c>
      <c r="W2885" s="47">
        <f>IF(AND(B2885=Queue!$C$4,OR(Queue!$K$4="*",N2885=Queue!$K$4)),Q2885,"")</f>
        <v/>
      </c>
    </row>
    <row r="2886">
      <c r="A2886" s="38">
        <f>IF(M2886="","",HYPERLINK("https://www.youtube.com/watch?v="&amp;M2886,"▶"))</f>
        <v/>
      </c>
      <c r="B2886" s="39">
        <f>IF(C2886&lt;&gt;"",C2886,IF(P2886&lt;=IFERROR(INDEX(tblChannels[Watched Through],MATCH(N2886,tblChannels[Channel ID],0)),0),"Watched","Unwatched"))</f>
        <v/>
      </c>
      <c r="C2886" s="40" t="n"/>
      <c r="D2886" s="41" t="n"/>
      <c r="E2886" s="42" t="n">
        <v>41824.00625</v>
      </c>
      <c r="F2886" s="50" t="inlineStr">
        <is>
          <t>Super Carlin Brothers</t>
        </is>
      </c>
      <c r="G2886" t="inlineStr">
        <is>
          <t>SEEING THE FUTURE</t>
        </is>
      </c>
      <c r="H2886" s="44" t="n">
        <v>0.003344907407407408</v>
      </c>
      <c r="I2886" s="45" t="n">
        <v>20641</v>
      </c>
      <c r="J2886" s="45" t="n">
        <v>461</v>
      </c>
      <c r="K2886" s="45" t="n">
        <v>140</v>
      </c>
      <c r="L2886" s="46" t="n"/>
      <c r="M2886" s="47" t="n"/>
      <c r="N2886" s="47" t="inlineStr">
        <is>
          <t>UCKZo4N0lVPccBkSiuyVh4yg</t>
        </is>
      </c>
      <c r="O2886" s="48" t="n">
        <v>41824.17291666667</v>
      </c>
      <c r="P2886" s="49" t="n">
        <v>41824</v>
      </c>
      <c r="Q2886" s="47" t="n">
        <v>382</v>
      </c>
      <c r="R2886" s="47" t="inlineStr">
        <is>
          <t>No Video ID yet</t>
        </is>
      </c>
      <c r="S2886" s="49" t="n"/>
      <c r="T2886" s="49" t="n"/>
      <c r="U2886" s="47" t="inlineStr">
        <is>
          <t>How would seeing the future impact how you went about reaching it?</t>
        </is>
      </c>
      <c r="V2886" s="47">
        <f>IF(AND(P2886&gt;=Calendar!$K$2,P2886&lt;EDATE(Calendar!$K$2,1),OR(Calendar!$K$4="*",N2886=Calendar!$K$4)),P2886*100+COUNTIFS($P$6:$P$3267,P2886,$Q$6:$Q$3267,"&lt;="&amp;Q2886,$N$6:$N$3267,Calendar!$K$4),"")</f>
        <v/>
      </c>
      <c r="W2886" s="47">
        <f>IF(AND(B2886=Queue!$C$4,OR(Queue!$K$4="*",N2886=Queue!$K$4)),Q2886,"")</f>
        <v/>
      </c>
    </row>
    <row r="2887">
      <c r="A2887" s="38">
        <f>IF(M2887="","",HYPERLINK("https://www.youtube.com/watch?v="&amp;M2887,"▶"))</f>
        <v/>
      </c>
      <c r="B2887" s="39">
        <f>IF(C2887&lt;&gt;"",C2887,IF(P2887&lt;=IFERROR(INDEX(tblChannels[Watched Through],MATCH(N2887,tblChannels[Channel ID],0)),0),"Watched","Unwatched"))</f>
        <v/>
      </c>
      <c r="C2887" s="40" t="n"/>
      <c r="D2887" s="41" t="n"/>
      <c r="E2887" s="42" t="n">
        <v>41821.93472222222</v>
      </c>
      <c r="F2887" s="50" t="inlineStr">
        <is>
          <t>Super Carlin Brothers</t>
        </is>
      </c>
      <c r="G2887" t="inlineStr">
        <is>
          <t>DID YOU REALLY SEE THAT??</t>
        </is>
      </c>
      <c r="H2887" s="44" t="n">
        <v>0.003414351851851852</v>
      </c>
      <c r="I2887" s="45" t="n">
        <v>233129</v>
      </c>
      <c r="J2887" s="45" t="n">
        <v>3386</v>
      </c>
      <c r="K2887" s="45" t="n">
        <v>578</v>
      </c>
      <c r="L2887" s="46" t="n"/>
      <c r="M2887" s="47" t="n"/>
      <c r="N2887" s="47" t="inlineStr">
        <is>
          <t>UCKZo4N0lVPccBkSiuyVh4yg</t>
        </is>
      </c>
      <c r="O2887" s="48" t="n">
        <v>41822.10138888889</v>
      </c>
      <c r="P2887" s="49" t="n">
        <v>41821</v>
      </c>
      <c r="Q2887" s="47" t="n">
        <v>381</v>
      </c>
      <c r="R2887" s="47" t="inlineStr">
        <is>
          <t>No Video ID yet</t>
        </is>
      </c>
      <c r="S2887" s="49" t="n"/>
      <c r="T2887" s="49" t="n"/>
      <c r="U2887" s="47" t="inlineStr">
        <is>
          <t>Have you ever gotten away with something you shouldnt have or been punished for something you didnt do? Why witnesses cant recall just the facts:</t>
        </is>
      </c>
      <c r="V2887" s="47">
        <f>IF(AND(P2887&gt;=Calendar!$K$2,P2887&lt;EDATE(Calendar!$K$2,1),OR(Calendar!$K$4="*",N2887=Calendar!$K$4)),P2887*100+COUNTIFS($P$6:$P$3267,P2887,$Q$6:$Q$3267,"&lt;="&amp;Q2887,$N$6:$N$3267,Calendar!$K$4),"")</f>
        <v/>
      </c>
      <c r="W2887" s="47">
        <f>IF(AND(B2887=Queue!$C$4,OR(Queue!$K$4="*",N2887=Queue!$K$4)),Q2887,"")</f>
        <v/>
      </c>
    </row>
    <row r="2888">
      <c r="A2888" s="38">
        <f>IF(M2888="","",HYPERLINK("https://www.youtube.com/watch?v="&amp;M2888,"▶"))</f>
        <v/>
      </c>
      <c r="B2888" s="39">
        <f>IF(C2888&lt;&gt;"",C2888,IF(P2888&lt;=IFERROR(INDEX(tblChannels[Watched Through],MATCH(N2888,tblChannels[Channel ID],0)),0),"Watched","Unwatched"))</f>
        <v/>
      </c>
      <c r="C2888" s="40" t="n"/>
      <c r="D2888" s="41" t="n"/>
      <c r="E2888" s="42" t="n">
        <v>41821.30555555555</v>
      </c>
      <c r="F2888" s="52" t="inlineStr">
        <is>
          <t>Super Carlin Gaming</t>
        </is>
      </c>
      <c r="G2888" t="inlineStr">
        <is>
          <t>Pokemon FireRed Nuzlocke #16 - SILPH Co.</t>
        </is>
      </c>
      <c r="H2888" s="44" t="n">
        <v>0.01342592592592593</v>
      </c>
      <c r="I2888" s="45" t="n">
        <v>25379</v>
      </c>
      <c r="J2888" s="45" t="n">
        <v>423</v>
      </c>
      <c r="K2888" s="45" t="n">
        <v>32</v>
      </c>
      <c r="L2888" s="46" t="n"/>
      <c r="M2888" s="47" t="n"/>
      <c r="N2888" s="47" t="inlineStr">
        <is>
          <t>UCor_9jRnNNZVzTuQ92PKsaQ</t>
        </is>
      </c>
      <c r="O2888" s="48" t="n">
        <v>41821.47222222222</v>
      </c>
      <c r="P2888" s="49" t="n">
        <v>41821</v>
      </c>
      <c r="Q2888" s="47" t="n">
        <v>380</v>
      </c>
      <c r="R2888" s="47" t="inlineStr">
        <is>
          <t>No Video ID yet</t>
        </is>
      </c>
      <c r="S2888" s="49" t="n"/>
      <c r="T2888" s="49" t="n"/>
      <c r="U2888" s="47" t="inlineStr">
        <is>
          <t>I mean if I were Giovanni I would make sure, MAKE SURE the guy guarding the door wasn't prone to narcolepsy.. or at the very least had a few Pokemon to battle a potential 10 year old threat with.. But hey, thats just me</t>
        </is>
      </c>
      <c r="V2888" s="47">
        <f>IF(AND(P2888&gt;=Calendar!$K$2,P2888&lt;EDATE(Calendar!$K$2,1),OR(Calendar!$K$4="*",N2888=Calendar!$K$4)),P2888*100+COUNTIFS($P$6:$P$3267,P2888,$Q$6:$Q$3267,"&lt;="&amp;Q2888,$N$6:$N$3267,Calendar!$K$4),"")</f>
        <v/>
      </c>
      <c r="W2888" s="47">
        <f>IF(AND(B2888=Queue!$C$4,OR(Queue!$K$4="*",N2888=Queue!$K$4)),Q2888,"")</f>
        <v/>
      </c>
    </row>
    <row r="2889">
      <c r="A2889" s="38">
        <f>IF(M2889="","",HYPERLINK("https://www.youtube.com/watch?v="&amp;M2889,"▶"))</f>
        <v/>
      </c>
      <c r="B2889" s="39">
        <f>IF(C2889&lt;&gt;"",C2889,IF(P2889&lt;=IFERROR(INDEX(tblChannels[Watched Through],MATCH(N2889,tblChannels[Channel ID],0)),0),"Watched","Unwatched"))</f>
        <v/>
      </c>
      <c r="C2889" s="40" t="n"/>
      <c r="D2889" s="41" t="n"/>
      <c r="E2889" s="42" t="n">
        <v>41816.625</v>
      </c>
      <c r="F2889" s="50" t="inlineStr">
        <is>
          <t>Super Carlin Brothers</t>
        </is>
      </c>
      <c r="G2889" t="inlineStr">
        <is>
          <t>Guilty Pleasure</t>
        </is>
      </c>
      <c r="H2889" s="44" t="n">
        <v>0.003657407407407407</v>
      </c>
      <c r="I2889" s="45" t="n">
        <v>22733</v>
      </c>
      <c r="J2889" s="45" t="n">
        <v>405</v>
      </c>
      <c r="K2889" s="45" t="n">
        <v>103</v>
      </c>
      <c r="L2889" s="46" t="n"/>
      <c r="M2889" s="47" t="n"/>
      <c r="N2889" s="47" t="inlineStr">
        <is>
          <t>UCKZo4N0lVPccBkSiuyVh4yg</t>
        </is>
      </c>
      <c r="O2889" s="48" t="n">
        <v>41816.79166666666</v>
      </c>
      <c r="P2889" s="49" t="n">
        <v>41816</v>
      </c>
      <c r="Q2889" s="47" t="n">
        <v>379</v>
      </c>
      <c r="R2889" s="47" t="inlineStr">
        <is>
          <t>No Video ID yet</t>
        </is>
      </c>
      <c r="S2889" s="49" t="n"/>
      <c r="T2889" s="49" t="n"/>
      <c r="U2889" s="47" t="n"/>
      <c r="V2889" s="47">
        <f>IF(AND(P2889&gt;=Calendar!$K$2,P2889&lt;EDATE(Calendar!$K$2,1),OR(Calendar!$K$4="*",N2889=Calendar!$K$4)),P2889*100+COUNTIFS($P$6:$P$3267,P2889,$Q$6:$Q$3267,"&lt;="&amp;Q2889,$N$6:$N$3267,Calendar!$K$4),"")</f>
        <v/>
      </c>
      <c r="W2889" s="47">
        <f>IF(AND(B2889=Queue!$C$4,OR(Queue!$K$4="*",N2889=Queue!$K$4)),Q2889,"")</f>
        <v/>
      </c>
    </row>
    <row r="2890">
      <c r="A2890" s="38">
        <f>IF(M2890="","",HYPERLINK("https://www.youtube.com/watch?v="&amp;M2890,"▶"))</f>
        <v/>
      </c>
      <c r="B2890" s="39">
        <f>IF(C2890&lt;&gt;"",C2890,IF(P2890&lt;=IFERROR(INDEX(tblChannels[Watched Through],MATCH(N2890,tblChannels[Channel ID],0)),0),"Watched","Unwatched"))</f>
        <v/>
      </c>
      <c r="C2890" s="40" t="n"/>
      <c r="D2890" s="41" t="n"/>
      <c r="E2890" s="42" t="n">
        <v>41814.41666666666</v>
      </c>
      <c r="F2890" s="50" t="inlineStr">
        <is>
          <t>Super Carlin Brothers</t>
        </is>
      </c>
      <c r="G2890" t="inlineStr">
        <is>
          <t>A $100 DONUT!?</t>
        </is>
      </c>
      <c r="H2890" s="44" t="n">
        <v>0.002962962962962963</v>
      </c>
      <c r="I2890" s="45" t="n">
        <v>164926</v>
      </c>
      <c r="J2890" s="45" t="n">
        <v>2948</v>
      </c>
      <c r="K2890" s="45" t="n">
        <v>2581</v>
      </c>
      <c r="L2890" s="46" t="n"/>
      <c r="M2890" s="47" t="n"/>
      <c r="N2890" s="47" t="inlineStr">
        <is>
          <t>UCKZo4N0lVPccBkSiuyVh4yg</t>
        </is>
      </c>
      <c r="O2890" s="48" t="n">
        <v>41814.58333333334</v>
      </c>
      <c r="P2890" s="49" t="n">
        <v>41814</v>
      </c>
      <c r="Q2890" s="47" t="n">
        <v>378</v>
      </c>
      <c r="R2890" s="47" t="inlineStr">
        <is>
          <t>No Video ID yet</t>
        </is>
      </c>
      <c r="S2890" s="49" t="n"/>
      <c r="T2890" s="49" t="n"/>
      <c r="U2890" s="47" t="inlineStr">
        <is>
          <t>Would you rather have 100 donuts for $1 or 1 donut for $100? Follow us here:</t>
        </is>
      </c>
      <c r="V2890" s="47">
        <f>IF(AND(P2890&gt;=Calendar!$K$2,P2890&lt;EDATE(Calendar!$K$2,1),OR(Calendar!$K$4="*",N2890=Calendar!$K$4)),P2890*100+COUNTIFS($P$6:$P$3267,P2890,$Q$6:$Q$3267,"&lt;="&amp;Q2890,$N$6:$N$3267,Calendar!$K$4),"")</f>
        <v/>
      </c>
      <c r="W2890" s="47">
        <f>IF(AND(B2890=Queue!$C$4,OR(Queue!$K$4="*",N2890=Queue!$K$4)),Q2890,"")</f>
        <v/>
      </c>
    </row>
    <row r="2891">
      <c r="A2891" s="38">
        <f>IF(M2891="","",HYPERLINK("https://www.youtube.com/watch?v="&amp;M2891,"▶"))</f>
        <v/>
      </c>
      <c r="B2891" s="39">
        <f>IF(C2891&lt;&gt;"",C2891,IF(P2891&lt;=IFERROR(INDEX(tblChannels[Watched Through],MATCH(N2891,tblChannels[Channel ID],0)),0),"Watched","Unwatched"))</f>
        <v/>
      </c>
      <c r="C2891" s="40" t="n"/>
      <c r="D2891" s="41" t="n"/>
      <c r="E2891" s="42" t="n">
        <v>41810.28472222222</v>
      </c>
      <c r="F2891" s="50" t="inlineStr">
        <is>
          <t>Super Carlin Brothers</t>
        </is>
      </c>
      <c r="G2891" t="inlineStr">
        <is>
          <t>The Sweet Color Brown</t>
        </is>
      </c>
      <c r="H2891" s="44" t="n">
        <v>0.002835648148148148</v>
      </c>
      <c r="I2891" s="45" t="n">
        <v>23492</v>
      </c>
      <c r="J2891" s="45" t="n">
        <v>519</v>
      </c>
      <c r="K2891" s="45" t="n">
        <v>326</v>
      </c>
      <c r="L2891" s="46" t="n"/>
      <c r="M2891" s="47" t="n"/>
      <c r="N2891" s="47" t="inlineStr">
        <is>
          <t>UCKZo4N0lVPccBkSiuyVh4yg</t>
        </is>
      </c>
      <c r="O2891" s="48" t="n">
        <v>41810.45138888889</v>
      </c>
      <c r="P2891" s="49" t="n">
        <v>41810</v>
      </c>
      <c r="Q2891" s="47" t="n">
        <v>377</v>
      </c>
      <c r="R2891" s="47" t="inlineStr">
        <is>
          <t>No Video ID yet</t>
        </is>
      </c>
      <c r="S2891" s="49" t="n"/>
      <c r="T2891" s="49" t="n"/>
      <c r="U2891" s="47" t="inlineStr">
        <is>
          <t>Ah the sweet, sweet color of Brown! Hoping for some best friend material out there.</t>
        </is>
      </c>
      <c r="V2891" s="47">
        <f>IF(AND(P2891&gt;=Calendar!$K$2,P2891&lt;EDATE(Calendar!$K$2,1),OR(Calendar!$K$4="*",N2891=Calendar!$K$4)),P2891*100+COUNTIFS($P$6:$P$3267,P2891,$Q$6:$Q$3267,"&lt;="&amp;Q2891,$N$6:$N$3267,Calendar!$K$4),"")</f>
        <v/>
      </c>
      <c r="W2891" s="47">
        <f>IF(AND(B2891=Queue!$C$4,OR(Queue!$K$4="*",N2891=Queue!$K$4)),Q2891,"")</f>
        <v/>
      </c>
    </row>
    <row r="2892">
      <c r="A2892" s="38">
        <f>IF(M2892="","",HYPERLINK("https://www.youtube.com/watch?v="&amp;M2892,"▶"))</f>
        <v/>
      </c>
      <c r="B2892" s="39">
        <f>IF(C2892&lt;&gt;"",C2892,IF(P2892&lt;=IFERROR(INDEX(tblChannels[Watched Through],MATCH(N2892,tblChannels[Channel ID],0)),0),"Watched","Unwatched"))</f>
        <v/>
      </c>
      <c r="C2892" s="40" t="n"/>
      <c r="D2892" s="41" t="n"/>
      <c r="E2892" s="42" t="n">
        <v>41807.91736111111</v>
      </c>
      <c r="F2892" s="50" t="inlineStr">
        <is>
          <t>Super Carlin Brothers</t>
        </is>
      </c>
      <c r="G2892" t="inlineStr">
        <is>
          <t>What Not to Wear!</t>
        </is>
      </c>
      <c r="H2892" s="44" t="n">
        <v>0.004976851851851852</v>
      </c>
      <c r="I2892" s="45" t="n">
        <v>166303</v>
      </c>
      <c r="J2892" s="45" t="n">
        <v>3195</v>
      </c>
      <c r="K2892" s="45" t="n">
        <v>802</v>
      </c>
      <c r="L2892" s="46" t="n"/>
      <c r="M2892" s="47" t="n"/>
      <c r="N2892" s="47" t="inlineStr">
        <is>
          <t>UCKZo4N0lVPccBkSiuyVh4yg</t>
        </is>
      </c>
      <c r="O2892" s="48" t="n">
        <v>41808.08402777778</v>
      </c>
      <c r="P2892" s="49" t="n">
        <v>41807</v>
      </c>
      <c r="Q2892" s="47" t="n">
        <v>376</v>
      </c>
      <c r="R2892" s="47" t="inlineStr">
        <is>
          <t>No Video ID yet</t>
        </is>
      </c>
      <c r="S2892" s="49" t="n"/>
      <c r="T2892" s="49" t="n"/>
      <c r="U2892" s="47" t="inlineStr">
        <is>
          <t>What is your "aaah I wish someone had just told me!" moment??</t>
        </is>
      </c>
      <c r="V2892" s="47">
        <f>IF(AND(P2892&gt;=Calendar!$K$2,P2892&lt;EDATE(Calendar!$K$2,1),OR(Calendar!$K$4="*",N2892=Calendar!$K$4)),P2892*100+COUNTIFS($P$6:$P$3267,P2892,$Q$6:$Q$3267,"&lt;="&amp;Q2892,$N$6:$N$3267,Calendar!$K$4),"")</f>
        <v/>
      </c>
      <c r="W2892" s="47">
        <f>IF(AND(B2892=Queue!$C$4,OR(Queue!$K$4="*",N2892=Queue!$K$4)),Q2892,"")</f>
        <v/>
      </c>
    </row>
    <row r="2893">
      <c r="A2893" s="38">
        <f>IF(M2893="","",HYPERLINK("https://www.youtube.com/watch?v="&amp;M2893,"▶"))</f>
        <v/>
      </c>
      <c r="B2893" s="39">
        <f>IF(C2893&lt;&gt;"",C2893,IF(P2893&lt;=IFERROR(INDEX(tblChannels[Watched Through],MATCH(N2893,tblChannels[Channel ID],0)),0),"Watched","Unwatched"))</f>
        <v/>
      </c>
      <c r="C2893" s="40" t="n"/>
      <c r="D2893" s="41" t="n"/>
      <c r="E2893" s="42" t="n">
        <v>41802.94027777778</v>
      </c>
      <c r="F2893" s="50" t="inlineStr">
        <is>
          <t>Super Carlin Brothers</t>
        </is>
      </c>
      <c r="G2893" t="inlineStr">
        <is>
          <t>JUXTABROS! End of Year 2!</t>
        </is>
      </c>
      <c r="H2893" s="44" t="n">
        <v>0.01042824074074074</v>
      </c>
      <c r="I2893" s="45" t="n">
        <v>76843</v>
      </c>
      <c r="J2893" s="45" t="n">
        <v>1870</v>
      </c>
      <c r="K2893" s="45" t="n">
        <v>590</v>
      </c>
      <c r="L2893" s="46" t="n"/>
      <c r="M2893" s="47" t="n"/>
      <c r="N2893" s="47" t="inlineStr">
        <is>
          <t>UCKZo4N0lVPccBkSiuyVh4yg</t>
        </is>
      </c>
      <c r="O2893" s="48" t="n">
        <v>41803.10694444444</v>
      </c>
      <c r="P2893" s="49" t="n">
        <v>41802</v>
      </c>
      <c r="Q2893" s="47" t="n">
        <v>375</v>
      </c>
      <c r="R2893" s="47" t="inlineStr">
        <is>
          <t>No Video ID yet</t>
        </is>
      </c>
      <c r="S2893" s="49" t="n"/>
      <c r="T2893" s="49" t="n"/>
      <c r="U2893" s="47" t="inlineStr">
        <is>
          <t>We have successfully completed year 2!!! What were some of your favorite moments and what would you like to see in year 3?</t>
        </is>
      </c>
      <c r="V2893" s="47">
        <f>IF(AND(P2893&gt;=Calendar!$K$2,P2893&lt;EDATE(Calendar!$K$2,1),OR(Calendar!$K$4="*",N2893=Calendar!$K$4)),P2893*100+COUNTIFS($P$6:$P$3267,P2893,$Q$6:$Q$3267,"&lt;="&amp;Q2893,$N$6:$N$3267,Calendar!$K$4),"")</f>
        <v/>
      </c>
      <c r="W2893" s="47">
        <f>IF(AND(B2893=Queue!$C$4,OR(Queue!$K$4="*",N2893=Queue!$K$4)),Q2893,"")</f>
        <v/>
      </c>
    </row>
    <row r="2894">
      <c r="A2894" s="38">
        <f>IF(M2894="","",HYPERLINK("https://www.youtube.com/watch?v="&amp;M2894,"▶"))</f>
        <v/>
      </c>
      <c r="B2894" s="39">
        <f>IF(C2894&lt;&gt;"",C2894,IF(P2894&lt;=IFERROR(INDEX(tblChannels[Watched Through],MATCH(N2894,tblChannels[Channel ID],0)),0),"Watched","Unwatched"))</f>
        <v/>
      </c>
      <c r="C2894" s="40" t="n"/>
      <c r="D2894" s="41" t="n"/>
      <c r="E2894" s="42" t="n">
        <v>41800.99722222222</v>
      </c>
      <c r="F2894" s="50" t="inlineStr">
        <is>
          <t>Super Carlin Brothers</t>
        </is>
      </c>
      <c r="G2894" t="inlineStr">
        <is>
          <t>Is Harry Potter Google Autofill</t>
        </is>
      </c>
      <c r="H2894" s="44" t="n">
        <v>0.004548611111111111</v>
      </c>
      <c r="I2894" s="45" t="n">
        <v>815522</v>
      </c>
      <c r="J2894" s="45" t="n">
        <v>14180</v>
      </c>
      <c r="K2894" s="45" t="n">
        <v>6367</v>
      </c>
      <c r="L2894" s="46" t="n"/>
      <c r="M2894" s="47" t="n"/>
      <c r="N2894" s="47" t="inlineStr">
        <is>
          <t>UCKZo4N0lVPccBkSiuyVh4yg</t>
        </is>
      </c>
      <c r="O2894" s="48" t="n">
        <v>41801.16388888889</v>
      </c>
      <c r="P2894" s="49" t="n">
        <v>41800</v>
      </c>
      <c r="Q2894" s="47" t="n">
        <v>374</v>
      </c>
      <c r="R2894" s="47" t="inlineStr">
        <is>
          <t>No Video ID yet</t>
        </is>
      </c>
      <c r="S2894" s="49" t="n"/>
      <c r="T2894" s="49" t="n"/>
      <c r="U2894" s="47" t="inlineStr">
        <is>
          <t>Is Harry Potter Google Autofill - What house are you in? (You probably have cooler shirts than the Slytherin...)</t>
        </is>
      </c>
      <c r="V2894" s="47">
        <f>IF(AND(P2894&gt;=Calendar!$K$2,P2894&lt;EDATE(Calendar!$K$2,1),OR(Calendar!$K$4="*",N2894=Calendar!$K$4)),P2894*100+COUNTIFS($P$6:$P$3267,P2894,$Q$6:$Q$3267,"&lt;="&amp;Q2894,$N$6:$N$3267,Calendar!$K$4),"")</f>
        <v/>
      </c>
      <c r="W2894" s="47">
        <f>IF(AND(B2894=Queue!$C$4,OR(Queue!$K$4="*",N2894=Queue!$K$4)),Q2894,"")</f>
        <v/>
      </c>
    </row>
    <row r="2895">
      <c r="A2895" s="38">
        <f>IF(M2895="","",HYPERLINK("https://www.youtube.com/watch?v="&amp;M2895,"▶"))</f>
        <v/>
      </c>
      <c r="B2895" s="39">
        <f>IF(C2895&lt;&gt;"",C2895,IF(P2895&lt;=IFERROR(INDEX(tblChannels[Watched Through],MATCH(N2895,tblChannels[Channel ID],0)),0),"Watched","Unwatched"))</f>
        <v/>
      </c>
      <c r="C2895" s="40" t="n"/>
      <c r="D2895" s="41" t="n"/>
      <c r="E2895" s="42" t="n">
        <v>41795.9875</v>
      </c>
      <c r="F2895" s="50" t="inlineStr">
        <is>
          <t>Super Carlin Brothers</t>
        </is>
      </c>
      <c r="G2895" t="inlineStr">
        <is>
          <t>Protect Your Details!!!</t>
        </is>
      </c>
      <c r="H2895" s="44" t="n">
        <v>0.002280092592592593</v>
      </c>
      <c r="I2895" s="45" t="n">
        <v>9408</v>
      </c>
      <c r="J2895" s="45" t="n">
        <v>248</v>
      </c>
      <c r="K2895" s="45" t="n">
        <v>61</v>
      </c>
      <c r="L2895" s="46" t="n"/>
      <c r="M2895" s="47" t="n"/>
      <c r="N2895" s="47" t="inlineStr">
        <is>
          <t>UCKZo4N0lVPccBkSiuyVh4yg</t>
        </is>
      </c>
      <c r="O2895" s="48" t="n">
        <v>41796.15416666667</v>
      </c>
      <c r="P2895" s="49" t="n">
        <v>41795</v>
      </c>
      <c r="Q2895" s="47" t="n">
        <v>373</v>
      </c>
      <c r="R2895" s="47" t="inlineStr">
        <is>
          <t>No Video ID yet</t>
        </is>
      </c>
      <c r="S2895" s="49" t="n"/>
      <c r="T2895" s="49" t="n"/>
      <c r="U2895" s="47" t="n"/>
      <c r="V2895" s="47">
        <f>IF(AND(P2895&gt;=Calendar!$K$2,P2895&lt;EDATE(Calendar!$K$2,1),OR(Calendar!$K$4="*",N2895=Calendar!$K$4)),P2895*100+COUNTIFS($P$6:$P$3267,P2895,$Q$6:$Q$3267,"&lt;="&amp;Q2895,$N$6:$N$3267,Calendar!$K$4),"")</f>
        <v/>
      </c>
      <c r="W2895" s="47">
        <f>IF(AND(B2895=Queue!$C$4,OR(Queue!$K$4="*",N2895=Queue!$K$4)),Q2895,"")</f>
        <v/>
      </c>
    </row>
    <row r="2896">
      <c r="A2896" s="38">
        <f>IF(M2896="","",HYPERLINK("https://www.youtube.com/watch?v="&amp;M2896,"▶"))</f>
        <v/>
      </c>
      <c r="B2896" s="39">
        <f>IF(C2896&lt;&gt;"",C2896,IF(P2896&lt;=IFERROR(INDEX(tblChannels[Watched Through],MATCH(N2896,tblChannels[Channel ID],0)),0),"Watched","Unwatched"))</f>
        <v/>
      </c>
      <c r="C2896" s="40" t="n"/>
      <c r="D2896" s="41" t="n"/>
      <c r="E2896" s="42" t="n">
        <v>41793.93263888889</v>
      </c>
      <c r="F2896" s="50" t="inlineStr">
        <is>
          <t>Super Carlin Brothers</t>
        </is>
      </c>
      <c r="G2896" t="inlineStr">
        <is>
          <t>How To Walk Down Walls!</t>
        </is>
      </c>
      <c r="H2896" s="44" t="n">
        <v>0.004884259259259259</v>
      </c>
      <c r="I2896" s="45" t="n">
        <v>42205</v>
      </c>
      <c r="J2896" s="45" t="n">
        <v>862</v>
      </c>
      <c r="K2896" s="45" t="n">
        <v>182</v>
      </c>
      <c r="L2896" s="46" t="n"/>
      <c r="M2896" s="47" t="n"/>
      <c r="N2896" s="47" t="inlineStr">
        <is>
          <t>UCKZo4N0lVPccBkSiuyVh4yg</t>
        </is>
      </c>
      <c r="O2896" s="48" t="n">
        <v>41794.09930555556</v>
      </c>
      <c r="P2896" s="49" t="n">
        <v>41793</v>
      </c>
      <c r="Q2896" s="47" t="n">
        <v>372</v>
      </c>
      <c r="R2896" s="47" t="inlineStr">
        <is>
          <t>No Video ID yet</t>
        </is>
      </c>
      <c r="S2896" s="49" t="n"/>
      <c r="T2896" s="49" t="n"/>
      <c r="U2896" s="47" t="inlineStr">
        <is>
          <t>It's easier than you think, you just need a brother and then convince him to have a year long conversation with you - watch as your once brotherly challenge turns into a crazy online community, find a charity you like and walk down walls - EASY</t>
        </is>
      </c>
      <c r="V2896" s="47">
        <f>IF(AND(P2896&gt;=Calendar!$K$2,P2896&lt;EDATE(Calendar!$K$2,1),OR(Calendar!$K$4="*",N2896=Calendar!$K$4)),P2896*100+COUNTIFS($P$6:$P$3267,P2896,$Q$6:$Q$3267,"&lt;="&amp;Q2896,$N$6:$N$3267,Calendar!$K$4),"")</f>
        <v/>
      </c>
      <c r="W2896" s="47">
        <f>IF(AND(B2896=Queue!$C$4,OR(Queue!$K$4="*",N2896=Queue!$K$4)),Q2896,"")</f>
        <v/>
      </c>
    </row>
    <row r="2897">
      <c r="A2897" s="38">
        <f>IF(M2897="","",HYPERLINK("https://www.youtube.com/watch?v="&amp;M2897,"▶"))</f>
        <v/>
      </c>
      <c r="B2897" s="39">
        <f>IF(C2897&lt;&gt;"",C2897,IF(P2897&lt;=IFERROR(INDEX(tblChannels[Watched Through],MATCH(N2897,tblChannels[Channel ID],0)),0),"Watched","Unwatched"))</f>
        <v/>
      </c>
      <c r="C2897" s="40" t="n"/>
      <c r="D2897" s="41" t="n"/>
      <c r="E2897" s="42" t="n">
        <v>41788.95763888889</v>
      </c>
      <c r="F2897" s="50" t="inlineStr">
        <is>
          <t>Super Carlin Brothers</t>
        </is>
      </c>
      <c r="G2897" t="inlineStr">
        <is>
          <t>What is Love?!</t>
        </is>
      </c>
      <c r="H2897" s="44" t="n">
        <v>0.002222222222222222</v>
      </c>
      <c r="I2897" s="45" t="n">
        <v>12776</v>
      </c>
      <c r="J2897" s="45" t="n">
        <v>322</v>
      </c>
      <c r="K2897" s="45" t="n">
        <v>82</v>
      </c>
      <c r="L2897" s="46" t="n"/>
      <c r="M2897" s="47" t="n"/>
      <c r="N2897" s="47" t="inlineStr">
        <is>
          <t>UCKZo4N0lVPccBkSiuyVh4yg</t>
        </is>
      </c>
      <c r="O2897" s="48" t="n">
        <v>41789.12430555555</v>
      </c>
      <c r="P2897" s="49" t="n">
        <v>41788</v>
      </c>
      <c r="Q2897" s="47" t="n">
        <v>371</v>
      </c>
      <c r="R2897" s="47" t="inlineStr">
        <is>
          <t>No Video ID yet</t>
        </is>
      </c>
      <c r="S2897" s="49" t="n"/>
      <c r="T2897" s="49" t="n"/>
      <c r="U2897" s="47" t="inlineStr">
        <is>
          <t>The real question is: what is love? Can young love have all of the features with none of the longevity? Was it ever love to begin with if it is short lived? Physically the body can be experiencing love the same way whether it be after 5 days or 50 years. Is love a concept purely of the mind? Have I asked too many questions? Am I thinking too much into it? Have I lost you? Is anyone still reading? Did you know I like to ask questions? Did you also know I dislike when people don't take the time to consider the point thoroughly? Or make a joke of the point? Grr that grinds my gears... ....? Yes. Yes it does. ?</t>
        </is>
      </c>
      <c r="V2897" s="47">
        <f>IF(AND(P2897&gt;=Calendar!$K$2,P2897&lt;EDATE(Calendar!$K$2,1),OR(Calendar!$K$4="*",N2897=Calendar!$K$4)),P2897*100+COUNTIFS($P$6:$P$3267,P2897,$Q$6:$Q$3267,"&lt;="&amp;Q2897,$N$6:$N$3267,Calendar!$K$4),"")</f>
        <v/>
      </c>
      <c r="W2897" s="47">
        <f>IF(AND(B2897=Queue!$C$4,OR(Queue!$K$4="*",N2897=Queue!$K$4)),Q2897,"")</f>
        <v/>
      </c>
    </row>
    <row r="2898">
      <c r="A2898" s="38">
        <f>IF(M2898="","",HYPERLINK("https://www.youtube.com/watch?v="&amp;M2898,"▶"))</f>
        <v/>
      </c>
      <c r="B2898" s="39">
        <f>IF(C2898&lt;&gt;"",C2898,IF(P2898&lt;=IFERROR(INDEX(tblChannels[Watched Through],MATCH(N2898,tblChannels[Channel ID],0)),0),"Watched","Unwatched"))</f>
        <v/>
      </c>
      <c r="C2898" s="40" t="n"/>
      <c r="D2898" s="41" t="n"/>
      <c r="E2898" s="42" t="n">
        <v>41787.86527777778</v>
      </c>
      <c r="F2898" s="52" t="inlineStr">
        <is>
          <t>Super Carlin Gaming</t>
        </is>
      </c>
      <c r="G2898" t="inlineStr">
        <is>
          <t>Pokemon FireRed Nuzlocke Challenge #15: REVENGE OF INFERNO</t>
        </is>
      </c>
      <c r="H2898" s="44" t="n">
        <v>0.007905092592592592</v>
      </c>
      <c r="I2898" s="45" t="n">
        <v>25714</v>
      </c>
      <c r="J2898" s="45" t="n">
        <v>382</v>
      </c>
      <c r="K2898" s="45" t="n">
        <v>46</v>
      </c>
      <c r="L2898" s="46" t="n"/>
      <c r="M2898" s="47" t="n"/>
      <c r="N2898" s="47" t="inlineStr">
        <is>
          <t>UCor_9jRnNNZVzTuQ92PKsaQ</t>
        </is>
      </c>
      <c r="O2898" s="48" t="n">
        <v>41788.03194444445</v>
      </c>
      <c r="P2898" s="49" t="n">
        <v>41787</v>
      </c>
      <c r="Q2898" s="47" t="n">
        <v>370</v>
      </c>
      <c r="R2898" s="47" t="inlineStr">
        <is>
          <t>No Video ID yet</t>
        </is>
      </c>
      <c r="S2898" s="49" t="n"/>
      <c r="T2898" s="49" t="n"/>
      <c r="U2898" s="47" t="inlineStr">
        <is>
          <t>The Fighting Dojo struck down one of our allies, but they have awakened a sleeping giant.... INFERNO!</t>
        </is>
      </c>
      <c r="V2898" s="47">
        <f>IF(AND(P2898&gt;=Calendar!$K$2,P2898&lt;EDATE(Calendar!$K$2,1),OR(Calendar!$K$4="*",N2898=Calendar!$K$4)),P2898*100+COUNTIFS($P$6:$P$3267,P2898,$Q$6:$Q$3267,"&lt;="&amp;Q2898,$N$6:$N$3267,Calendar!$K$4),"")</f>
        <v/>
      </c>
      <c r="W2898" s="47">
        <f>IF(AND(B2898=Queue!$C$4,OR(Queue!$K$4="*",N2898=Queue!$K$4)),Q2898,"")</f>
        <v/>
      </c>
    </row>
    <row r="2899">
      <c r="A2899" s="38">
        <f>IF(M2899="","",HYPERLINK("https://www.youtube.com/watch?v="&amp;M2899,"▶"))</f>
        <v/>
      </c>
      <c r="B2899" s="39">
        <f>IF(C2899&lt;&gt;"",C2899,IF(P2899&lt;=IFERROR(INDEX(tblChannels[Watched Through],MATCH(N2899,tblChannels[Channel ID],0)),0),"Watched","Unwatched"))</f>
        <v/>
      </c>
      <c r="C2899" s="40" t="n"/>
      <c r="D2899" s="41" t="n"/>
      <c r="E2899" s="42" t="n">
        <v>41786.91458333333</v>
      </c>
      <c r="F2899" s="50" t="inlineStr">
        <is>
          <t>Super Carlin Brothers</t>
        </is>
      </c>
      <c r="G2899" t="inlineStr">
        <is>
          <t>The Case of Sherlock's Birthday</t>
        </is>
      </c>
      <c r="H2899" s="44" t="n">
        <v>0.003946759259259259</v>
      </c>
      <c r="I2899" s="45" t="n">
        <v>137249</v>
      </c>
      <c r="J2899" s="45" t="n">
        <v>2436</v>
      </c>
      <c r="K2899" s="45" t="n">
        <v>335</v>
      </c>
      <c r="L2899" s="46" t="n"/>
      <c r="M2899" s="47" t="n"/>
      <c r="N2899" s="47" t="inlineStr">
        <is>
          <t>UCKZo4N0lVPccBkSiuyVh4yg</t>
        </is>
      </c>
      <c r="O2899" s="48" t="n">
        <v>41787.08125</v>
      </c>
      <c r="P2899" s="49" t="n">
        <v>41786</v>
      </c>
      <c r="Q2899" s="47" t="n">
        <v>369</v>
      </c>
      <c r="R2899" s="47" t="inlineStr">
        <is>
          <t>No Video ID yet</t>
        </is>
      </c>
      <c r="S2899" s="49" t="n"/>
      <c r="T2899" s="49" t="n"/>
      <c r="U2899" s="47" t="inlineStr">
        <is>
          <t>Big Brothers Big Sisters donation page: When is Sherlock's bday?? I case worthy of the detective himself! More details on this mystery can be found here:</t>
        </is>
      </c>
      <c r="V2899" s="47">
        <f>IF(AND(P2899&gt;=Calendar!$K$2,P2899&lt;EDATE(Calendar!$K$2,1),OR(Calendar!$K$4="*",N2899=Calendar!$K$4)),P2899*100+COUNTIFS($P$6:$P$3267,P2899,$Q$6:$Q$3267,"&lt;="&amp;Q2899,$N$6:$N$3267,Calendar!$K$4),"")</f>
        <v/>
      </c>
      <c r="W2899" s="47">
        <f>IF(AND(B2899=Queue!$C$4,OR(Queue!$K$4="*",N2899=Queue!$K$4)),Q2899,"")</f>
        <v/>
      </c>
    </row>
    <row r="2900">
      <c r="A2900" s="38">
        <f>IF(M2900="","",HYPERLINK("https://www.youtube.com/watch?v="&amp;M2900,"▶"))</f>
        <v/>
      </c>
      <c r="B2900" s="39">
        <f>IF(C2900&lt;&gt;"",C2900,IF(P2900&lt;=IFERROR(INDEX(tblChannels[Watched Through],MATCH(N2900,tblChannels[Channel ID],0)),0),"Watched","Unwatched"))</f>
        <v/>
      </c>
      <c r="C2900" s="40" t="n"/>
      <c r="D2900" s="41" t="n"/>
      <c r="E2900" s="42" t="n">
        <v>41781.9875</v>
      </c>
      <c r="F2900" s="50" t="inlineStr">
        <is>
          <t>Super Carlin Brothers</t>
        </is>
      </c>
      <c r="G2900" t="inlineStr">
        <is>
          <t>Best of the Worst</t>
        </is>
      </c>
      <c r="H2900" s="44" t="n">
        <v>0.002199074074074074</v>
      </c>
      <c r="I2900" s="45" t="n">
        <v>10475</v>
      </c>
      <c r="J2900" s="45" t="n">
        <v>282</v>
      </c>
      <c r="K2900" s="45" t="n">
        <v>41</v>
      </c>
      <c r="L2900" s="46" t="n"/>
      <c r="M2900" s="47" t="n"/>
      <c r="N2900" s="47" t="inlineStr">
        <is>
          <t>UCKZo4N0lVPccBkSiuyVh4yg</t>
        </is>
      </c>
      <c r="O2900" s="48" t="n">
        <v>41782.15416666667</v>
      </c>
      <c r="P2900" s="49" t="n">
        <v>41781</v>
      </c>
      <c r="Q2900" s="47" t="n">
        <v>368</v>
      </c>
      <c r="R2900" s="47" t="inlineStr">
        <is>
          <t>No Video ID yet</t>
        </is>
      </c>
      <c r="S2900" s="49" t="n"/>
      <c r="T2900" s="49" t="n"/>
      <c r="U2900" s="47" t="inlineStr">
        <is>
          <t>But what do I know... I take care of fish for a living :D</t>
        </is>
      </c>
      <c r="V2900" s="47">
        <f>IF(AND(P2900&gt;=Calendar!$K$2,P2900&lt;EDATE(Calendar!$K$2,1),OR(Calendar!$K$4="*",N2900=Calendar!$K$4)),P2900*100+COUNTIFS($P$6:$P$3267,P2900,$Q$6:$Q$3267,"&lt;="&amp;Q2900,$N$6:$N$3267,Calendar!$K$4),"")</f>
        <v/>
      </c>
      <c r="W2900" s="47">
        <f>IF(AND(B2900=Queue!$C$4,OR(Queue!$K$4="*",N2900=Queue!$K$4)),Q2900,"")</f>
        <v/>
      </c>
    </row>
    <row r="2901">
      <c r="A2901" s="38">
        <f>IF(M2901="","",HYPERLINK("https://www.youtube.com/watch?v="&amp;M2901,"▶"))</f>
        <v/>
      </c>
      <c r="B2901" s="39">
        <f>IF(C2901&lt;&gt;"",C2901,IF(P2901&lt;=IFERROR(INDEX(tblChannels[Watched Through],MATCH(N2901,tblChannels[Channel ID],0)),0),"Watched","Unwatched"))</f>
        <v/>
      </c>
      <c r="C2901" s="40" t="n"/>
      <c r="D2901" s="41" t="n"/>
      <c r="E2901" s="42" t="n">
        <v>41781.90972222222</v>
      </c>
      <c r="F2901" s="52" t="inlineStr">
        <is>
          <t>Super Carlin Gaming</t>
        </is>
      </c>
      <c r="G2901" t="inlineStr">
        <is>
          <t>Pokemon FireRed Nuzlocke Challenge #14: Kill the birds!</t>
        </is>
      </c>
      <c r="H2901" s="44" t="n">
        <v>0.01489583333333333</v>
      </c>
      <c r="I2901" s="45" t="n">
        <v>27556</v>
      </c>
      <c r="J2901" s="45" t="n">
        <v>477</v>
      </c>
      <c r="K2901" s="45" t="n">
        <v>74</v>
      </c>
      <c r="L2901" s="46" t="n"/>
      <c r="M2901" s="47" t="n"/>
      <c r="N2901" s="47" t="inlineStr">
        <is>
          <t>UCor_9jRnNNZVzTuQ92PKsaQ</t>
        </is>
      </c>
      <c r="O2901" s="48" t="n">
        <v>41782.07638888889</v>
      </c>
      <c r="P2901" s="49" t="n">
        <v>41781</v>
      </c>
      <c r="Q2901" s="47" t="n">
        <v>367</v>
      </c>
      <c r="R2901" s="47" t="inlineStr">
        <is>
          <t>No Video ID yet</t>
        </is>
      </c>
      <c r="S2901" s="49" t="n"/>
      <c r="T2901" s="49" t="n"/>
      <c r="U2901" s="47" t="inlineStr">
        <is>
          <t>It's a bad day to be a bird! The saga continues! We have acquired all the HM's and have collected another Rare Candy.. but who to use it on? Arya continues to work her way up the team ladder while Woody, decimates an entire routes worth of birds and we meet a new friend and try our luck at the fighting dojo!</t>
        </is>
      </c>
      <c r="V2901" s="47">
        <f>IF(AND(P2901&gt;=Calendar!$K$2,P2901&lt;EDATE(Calendar!$K$2,1),OR(Calendar!$K$4="*",N2901=Calendar!$K$4)),P2901*100+COUNTIFS($P$6:$P$3267,P2901,$Q$6:$Q$3267,"&lt;="&amp;Q2901,$N$6:$N$3267,Calendar!$K$4),"")</f>
        <v/>
      </c>
      <c r="W2901" s="47">
        <f>IF(AND(B2901=Queue!$C$4,OR(Queue!$K$4="*",N2901=Queue!$K$4)),Q2901,"")</f>
        <v/>
      </c>
    </row>
    <row r="2902">
      <c r="A2902" s="38">
        <f>IF(M2902="","",HYPERLINK("https://www.youtube.com/watch?v="&amp;M2902,"▶"))</f>
        <v/>
      </c>
      <c r="B2902" s="39">
        <f>IF(C2902&lt;&gt;"",C2902,IF(P2902&lt;=IFERROR(INDEX(tblChannels[Watched Through],MATCH(N2902,tblChannels[Channel ID],0)),0),"Watched","Unwatched"))</f>
        <v/>
      </c>
      <c r="C2902" s="40" t="n"/>
      <c r="D2902" s="41" t="n"/>
      <c r="E2902" s="42" t="n">
        <v>41779.97916666666</v>
      </c>
      <c r="F2902" s="50" t="inlineStr">
        <is>
          <t>Super Carlin Brothers</t>
        </is>
      </c>
      <c r="G2902" t="inlineStr">
        <is>
          <t>Beauty and the Beast makes no sense!</t>
        </is>
      </c>
      <c r="H2902" s="44" t="n">
        <v>0.003935185185185185</v>
      </c>
      <c r="I2902" s="45" t="n">
        <v>1663521</v>
      </c>
      <c r="J2902" s="45" t="n">
        <v>31321</v>
      </c>
      <c r="K2902" s="45" t="n">
        <v>5375</v>
      </c>
      <c r="L2902" s="46" t="n"/>
      <c r="M2902" s="47" t="n"/>
      <c r="N2902" s="47" t="inlineStr">
        <is>
          <t>UCKZo4N0lVPccBkSiuyVh4yg</t>
        </is>
      </c>
      <c r="O2902" s="48" t="n">
        <v>41780.14583333334</v>
      </c>
      <c r="P2902" s="49" t="n">
        <v>41779</v>
      </c>
      <c r="Q2902" s="47" t="n">
        <v>366</v>
      </c>
      <c r="R2902" s="47" t="inlineStr">
        <is>
          <t>No Video ID yet</t>
        </is>
      </c>
      <c r="S2902" s="49" t="n"/>
      <c r="T2902" s="49" t="n"/>
      <c r="U2902" s="47" t="inlineStr">
        <is>
          <t>It might be dumb to complain about a movie that came out in 1991, but I was only 3 then - so we are doing it now! Is Gaston the villain? Is The Beast?</t>
        </is>
      </c>
      <c r="V2902" s="47">
        <f>IF(AND(P2902&gt;=Calendar!$K$2,P2902&lt;EDATE(Calendar!$K$2,1),OR(Calendar!$K$4="*",N2902=Calendar!$K$4)),P2902*100+COUNTIFS($P$6:$P$3267,P2902,$Q$6:$Q$3267,"&lt;="&amp;Q2902,$N$6:$N$3267,Calendar!$K$4),"")</f>
        <v/>
      </c>
      <c r="W2902" s="47">
        <f>IF(AND(B2902=Queue!$C$4,OR(Queue!$K$4="*",N2902=Queue!$K$4)),Q2902,"")</f>
        <v/>
      </c>
    </row>
    <row r="2903">
      <c r="A2903" s="38">
        <f>IF(M2903="","",HYPERLINK("https://www.youtube.com/watch?v="&amp;M2903,"▶"))</f>
        <v/>
      </c>
      <c r="B2903" s="39">
        <f>IF(C2903&lt;&gt;"",C2903,IF(P2903&lt;=IFERROR(INDEX(tblChannels[Watched Through],MATCH(N2903,tblChannels[Channel ID],0)),0),"Watched","Unwatched"))</f>
        <v/>
      </c>
      <c r="C2903" s="40" t="n"/>
      <c r="D2903" s="41" t="n"/>
      <c r="E2903" s="42" t="n">
        <v>41774.88472222222</v>
      </c>
      <c r="F2903" s="50" t="inlineStr">
        <is>
          <t>Super Carlin Brothers</t>
        </is>
      </c>
      <c r="G2903" t="inlineStr">
        <is>
          <t>What is a Villain's End Goal?</t>
        </is>
      </c>
      <c r="H2903" s="44" t="n">
        <v>0.002025462962962963</v>
      </c>
      <c r="I2903" s="45" t="n">
        <v>63287</v>
      </c>
      <c r="J2903" s="45" t="n">
        <v>1396</v>
      </c>
      <c r="K2903" s="45" t="n">
        <v>276</v>
      </c>
      <c r="L2903" s="46" t="n"/>
      <c r="M2903" s="47" t="n"/>
      <c r="N2903" s="47" t="inlineStr">
        <is>
          <t>UCKZo4N0lVPccBkSiuyVh4yg</t>
        </is>
      </c>
      <c r="O2903" s="48" t="n">
        <v>41775.05138888889</v>
      </c>
      <c r="P2903" s="49" t="n">
        <v>41774</v>
      </c>
      <c r="Q2903" s="47" t="n">
        <v>365</v>
      </c>
      <c r="R2903" s="47" t="inlineStr">
        <is>
          <t>No Video ID yet</t>
        </is>
      </c>
      <c r="S2903" s="49" t="n"/>
      <c r="T2903" s="49" t="n"/>
      <c r="U2903" s="47" t="inlineStr">
        <is>
          <t>So here's the spit... was ruefully left out of this video... please forgive me.</t>
        </is>
      </c>
      <c r="V2903" s="47">
        <f>IF(AND(P2903&gt;=Calendar!$K$2,P2903&lt;EDATE(Calendar!$K$2,1),OR(Calendar!$K$4="*",N2903=Calendar!$K$4)),P2903*100+COUNTIFS($P$6:$P$3267,P2903,$Q$6:$Q$3267,"&lt;="&amp;Q2903,$N$6:$N$3267,Calendar!$K$4),"")</f>
        <v/>
      </c>
      <c r="W2903" s="47">
        <f>IF(AND(B2903=Queue!$C$4,OR(Queue!$K$4="*",N2903=Queue!$K$4)),Q2903,"")</f>
        <v/>
      </c>
    </row>
    <row r="2904">
      <c r="A2904" s="38">
        <f>IF(M2904="","",HYPERLINK("https://www.youtube.com/watch?v="&amp;M2904,"▶"))</f>
        <v/>
      </c>
      <c r="B2904" s="39">
        <f>IF(C2904&lt;&gt;"",C2904,IF(P2904&lt;=IFERROR(INDEX(tblChannels[Watched Through],MATCH(N2904,tblChannels[Channel ID],0)),0),"Watched","Unwatched"))</f>
        <v/>
      </c>
      <c r="C2904" s="40" t="n"/>
      <c r="D2904" s="41" t="n"/>
      <c r="E2904" s="42" t="n">
        <v>41772.95763888889</v>
      </c>
      <c r="F2904" s="50" t="inlineStr">
        <is>
          <t>Super Carlin Brothers</t>
        </is>
      </c>
      <c r="G2904" t="inlineStr">
        <is>
          <t>Star Wars Theory: WE ARE ALL SITH</t>
        </is>
      </c>
      <c r="H2904" s="44" t="n">
        <v>0.004178240740740741</v>
      </c>
      <c r="I2904" s="45" t="n">
        <v>1055209</v>
      </c>
      <c r="J2904" s="45" t="n">
        <v>17753</v>
      </c>
      <c r="K2904" s="45" t="n">
        <v>4978</v>
      </c>
      <c r="L2904" s="46" t="n"/>
      <c r="M2904" s="47" t="n"/>
      <c r="N2904" s="47" t="inlineStr">
        <is>
          <t>UCKZo4N0lVPccBkSiuyVh4yg</t>
        </is>
      </c>
      <c r="O2904" s="48" t="n">
        <v>41773.12430555555</v>
      </c>
      <c r="P2904" s="49" t="n">
        <v>41772</v>
      </c>
      <c r="Q2904" s="47" t="n">
        <v>364</v>
      </c>
      <c r="R2904" s="47" t="inlineStr">
        <is>
          <t>No Video ID yet</t>
        </is>
      </c>
      <c r="S2904" s="49" t="n"/>
      <c r="T2904" s="49" t="n"/>
      <c r="U2904" s="47" t="inlineStr">
        <is>
          <t>What do you think? Are we all Sith? Is it the path you would follow or are already following??</t>
        </is>
      </c>
      <c r="V2904" s="47">
        <f>IF(AND(P2904&gt;=Calendar!$K$2,P2904&lt;EDATE(Calendar!$K$2,1),OR(Calendar!$K$4="*",N2904=Calendar!$K$4)),P2904*100+COUNTIFS($P$6:$P$3267,P2904,$Q$6:$Q$3267,"&lt;="&amp;Q2904,$N$6:$N$3267,Calendar!$K$4),"")</f>
        <v/>
      </c>
      <c r="W2904" s="47">
        <f>IF(AND(B2904=Queue!$C$4,OR(Queue!$K$4="*",N2904=Queue!$K$4)),Q2904,"")</f>
        <v/>
      </c>
    </row>
    <row r="2905">
      <c r="A2905" s="38">
        <f>IF(M2905="","",HYPERLINK("https://www.youtube.com/watch?v="&amp;M2905,"▶"))</f>
        <v/>
      </c>
      <c r="B2905" s="39">
        <f>IF(C2905&lt;&gt;"",C2905,IF(P2905&lt;=IFERROR(INDEX(tblChannels[Watched Through],MATCH(N2905,tblChannels[Channel ID],0)),0),"Watched","Unwatched"))</f>
        <v/>
      </c>
      <c r="C2905" s="40" t="n"/>
      <c r="D2905" s="41" t="n"/>
      <c r="E2905" s="42" t="n">
        <v>41767.96597222222</v>
      </c>
      <c r="F2905" s="50" t="inlineStr">
        <is>
          <t>Super Carlin Brothers</t>
        </is>
      </c>
      <c r="G2905" t="inlineStr">
        <is>
          <t>Being Your Character</t>
        </is>
      </c>
      <c r="H2905" s="44" t="n">
        <v>0.002233796296296296</v>
      </c>
      <c r="I2905" s="45" t="n">
        <v>24774</v>
      </c>
      <c r="J2905" s="45" t="n">
        <v>502</v>
      </c>
      <c r="K2905" s="45" t="n">
        <v>101</v>
      </c>
      <c r="L2905" s="46" t="n"/>
      <c r="M2905" s="47" t="n"/>
      <c r="N2905" s="47" t="inlineStr">
        <is>
          <t>UCKZo4N0lVPccBkSiuyVh4yg</t>
        </is>
      </c>
      <c r="O2905" s="48" t="n">
        <v>41768.13263888889</v>
      </c>
      <c r="P2905" s="49" t="n">
        <v>41767</v>
      </c>
      <c r="Q2905" s="47" t="n">
        <v>363</v>
      </c>
      <c r="R2905" s="47" t="inlineStr">
        <is>
          <t>No Video ID yet</t>
        </is>
      </c>
      <c r="S2905" s="49" t="n"/>
      <c r="T2905" s="49" t="n"/>
      <c r="U2905" s="47" t="n"/>
      <c r="V2905" s="47">
        <f>IF(AND(P2905&gt;=Calendar!$K$2,P2905&lt;EDATE(Calendar!$K$2,1),OR(Calendar!$K$4="*",N2905=Calendar!$K$4)),P2905*100+COUNTIFS($P$6:$P$3267,P2905,$Q$6:$Q$3267,"&lt;="&amp;Q2905,$N$6:$N$3267,Calendar!$K$4),"")</f>
        <v/>
      </c>
      <c r="W2905" s="47">
        <f>IF(AND(B2905=Queue!$C$4,OR(Queue!$K$4="*",N2905=Queue!$K$4)),Q2905,"")</f>
        <v/>
      </c>
    </row>
    <row r="2906">
      <c r="A2906" s="38">
        <f>IF(M2906="","",HYPERLINK("https://www.youtube.com/watch?v="&amp;M2906,"▶"))</f>
        <v/>
      </c>
      <c r="B2906" s="39">
        <f>IF(C2906&lt;&gt;"",C2906,IF(P2906&lt;=IFERROR(INDEX(tblChannels[Watched Through],MATCH(N2906,tblChannels[Channel ID],0)),0),"Watched","Unwatched"))</f>
        <v/>
      </c>
      <c r="C2906" s="40" t="n"/>
      <c r="D2906" s="41" t="n"/>
      <c r="E2906" s="42" t="n">
        <v>41765.96111111111</v>
      </c>
      <c r="F2906" s="50" t="inlineStr">
        <is>
          <t>Super Carlin Brothers</t>
        </is>
      </c>
      <c r="G2906" t="inlineStr">
        <is>
          <t>Star Wars Theory: JEDI ARE EVIL</t>
        </is>
      </c>
      <c r="H2906" s="44" t="n">
        <v>0.005775462962962963</v>
      </c>
      <c r="I2906" s="45" t="n">
        <v>3033549</v>
      </c>
      <c r="J2906" s="45" t="n">
        <v>32897</v>
      </c>
      <c r="K2906" s="45" t="n">
        <v>8156</v>
      </c>
      <c r="L2906" s="46" t="n"/>
      <c r="M2906" s="47" t="n"/>
      <c r="N2906" s="47" t="inlineStr">
        <is>
          <t>UCKZo4N0lVPccBkSiuyVh4yg</t>
        </is>
      </c>
      <c r="O2906" s="48" t="n">
        <v>41766.12777777778</v>
      </c>
      <c r="P2906" s="49" t="n">
        <v>41765</v>
      </c>
      <c r="Q2906" s="47" t="n">
        <v>362</v>
      </c>
      <c r="R2906" s="47" t="inlineStr">
        <is>
          <t>No Video ID yet</t>
        </is>
      </c>
      <c r="S2906" s="49" t="n"/>
      <c r="T2906" s="49" t="n"/>
      <c r="U2906" s="47" t="inlineStr">
        <is>
          <t>Full Theory here: Jedi: Infallible super heroes or EVIL?</t>
        </is>
      </c>
      <c r="V2906" s="47">
        <f>IF(AND(P2906&gt;=Calendar!$K$2,P2906&lt;EDATE(Calendar!$K$2,1),OR(Calendar!$K$4="*",N2906=Calendar!$K$4)),P2906*100+COUNTIFS($P$6:$P$3267,P2906,$Q$6:$Q$3267,"&lt;="&amp;Q2906,$N$6:$N$3267,Calendar!$K$4),"")</f>
        <v/>
      </c>
      <c r="W2906" s="47">
        <f>IF(AND(B2906=Queue!$C$4,OR(Queue!$K$4="*",N2906=Queue!$K$4)),Q2906,"")</f>
        <v/>
      </c>
    </row>
    <row r="2907">
      <c r="A2907" s="38">
        <f>IF(M2907="","",HYPERLINK("https://www.youtube.com/watch?v="&amp;M2907,"▶"))</f>
        <v/>
      </c>
      <c r="B2907" s="39">
        <f>IF(C2907&lt;&gt;"",C2907,IF(P2907&lt;=IFERROR(INDEX(tblChannels[Watched Through],MATCH(N2907,tblChannels[Channel ID],0)),0),"Watched","Unwatched"))</f>
        <v/>
      </c>
      <c r="C2907" s="40" t="n"/>
      <c r="D2907" s="41" t="n"/>
      <c r="E2907" s="42" t="n">
        <v>41761.98194444444</v>
      </c>
      <c r="F2907" s="50" t="inlineStr">
        <is>
          <t>Super Carlin Brothers</t>
        </is>
      </c>
      <c r="G2907" t="inlineStr">
        <is>
          <t>Pop Culture vs Culture</t>
        </is>
      </c>
      <c r="H2907" s="44" t="n">
        <v>0.003009259259259259</v>
      </c>
      <c r="I2907" s="45" t="n">
        <v>18053</v>
      </c>
      <c r="J2907" s="45" t="n">
        <v>381</v>
      </c>
      <c r="K2907" s="45" t="n">
        <v>70</v>
      </c>
      <c r="L2907" s="46" t="n"/>
      <c r="M2907" s="47" t="n"/>
      <c r="N2907" s="47" t="inlineStr">
        <is>
          <t>UCKZo4N0lVPccBkSiuyVh4yg</t>
        </is>
      </c>
      <c r="O2907" s="48" t="n">
        <v>41762.14861111111</v>
      </c>
      <c r="P2907" s="49" t="n">
        <v>41761</v>
      </c>
      <c r="Q2907" s="47" t="n">
        <v>361</v>
      </c>
      <c r="R2907" s="47" t="inlineStr">
        <is>
          <t>No Video ID yet</t>
        </is>
      </c>
      <c r="S2907" s="49" t="n"/>
      <c r="T2907" s="49" t="n"/>
      <c r="U2907" s="47" t="inlineStr">
        <is>
          <t>LKJHASEKLFJHASDFKLJHASDLKFJHSA CAN WE ALL JUST PRETEND I STARTED THIS VIDEO WITH THE THREE MOST ELEGANT WORDS OF ALL TIME, HERE'S THE SPIT. Thanks guys. Yall rock. and you get me. spit and all.</t>
        </is>
      </c>
      <c r="V2907" s="47">
        <f>IF(AND(P2907&gt;=Calendar!$K$2,P2907&lt;EDATE(Calendar!$K$2,1),OR(Calendar!$K$4="*",N2907=Calendar!$K$4)),P2907*100+COUNTIFS($P$6:$P$3267,P2907,$Q$6:$Q$3267,"&lt;="&amp;Q2907,$N$6:$N$3267,Calendar!$K$4),"")</f>
        <v/>
      </c>
      <c r="W2907" s="47">
        <f>IF(AND(B2907=Queue!$C$4,OR(Queue!$K$4="*",N2907=Queue!$K$4)),Q2907,"")</f>
        <v/>
      </c>
    </row>
    <row r="2908">
      <c r="A2908" s="38">
        <f>IF(M2908="","",HYPERLINK("https://www.youtube.com/watch?v="&amp;M2908,"▶"))</f>
        <v/>
      </c>
      <c r="B2908" s="39">
        <f>IF(C2908&lt;&gt;"",C2908,IF(P2908&lt;=IFERROR(INDEX(tblChannels[Watched Through],MATCH(N2908,tblChannels[Channel ID],0)),0),"Watched","Unwatched"))</f>
        <v/>
      </c>
      <c r="C2908" s="40" t="n"/>
      <c r="D2908" s="41" t="n"/>
      <c r="E2908" s="42" t="n">
        <v>41758.99791666667</v>
      </c>
      <c r="F2908" s="50" t="inlineStr">
        <is>
          <t>Super Carlin Brothers</t>
        </is>
      </c>
      <c r="G2908" t="inlineStr">
        <is>
          <t>Google Autofill: Who Would Win in a Fight!?</t>
        </is>
      </c>
      <c r="H2908" s="44" t="n">
        <v>0.004120370370370371</v>
      </c>
      <c r="I2908" s="45" t="n">
        <v>320038</v>
      </c>
      <c r="J2908" s="45" t="n">
        <v>5336</v>
      </c>
      <c r="K2908" s="45" t="n">
        <v>3402</v>
      </c>
      <c r="L2908" s="46" t="n"/>
      <c r="M2908" s="47" t="n"/>
      <c r="N2908" s="47" t="inlineStr">
        <is>
          <t>UCKZo4N0lVPccBkSiuyVh4yg</t>
        </is>
      </c>
      <c r="O2908" s="48" t="n">
        <v>41759.16458333333</v>
      </c>
      <c r="P2908" s="49" t="n">
        <v>41758</v>
      </c>
      <c r="Q2908" s="47" t="n">
        <v>360</v>
      </c>
      <c r="R2908" s="47" t="inlineStr">
        <is>
          <t>No Video ID yet</t>
        </is>
      </c>
      <c r="S2908" s="49" t="n"/>
      <c r="T2908" s="49" t="n"/>
      <c r="U2908" s="47" t="inlineStr">
        <is>
          <t>But seriously.. Grilled Cheese vs. Taco!</t>
        </is>
      </c>
      <c r="V2908" s="47">
        <f>IF(AND(P2908&gt;=Calendar!$K$2,P2908&lt;EDATE(Calendar!$K$2,1),OR(Calendar!$K$4="*",N2908=Calendar!$K$4)),P2908*100+COUNTIFS($P$6:$P$3267,P2908,$Q$6:$Q$3267,"&lt;="&amp;Q2908,$N$6:$N$3267,Calendar!$K$4),"")</f>
        <v/>
      </c>
      <c r="W2908" s="47">
        <f>IF(AND(B2908=Queue!$C$4,OR(Queue!$K$4="*",N2908=Queue!$K$4)),Q2908,"")</f>
        <v/>
      </c>
    </row>
    <row r="2909">
      <c r="A2909" s="38">
        <f>IF(M2909="","",HYPERLINK("https://www.youtube.com/watch?v="&amp;M2909,"▶"))</f>
        <v/>
      </c>
      <c r="B2909" s="39">
        <f>IF(C2909&lt;&gt;"",C2909,IF(P2909&lt;=IFERROR(INDEX(tblChannels[Watched Through],MATCH(N2909,tblChannels[Channel ID],0)),0),"Watched","Unwatched"))</f>
        <v/>
      </c>
      <c r="C2909" s="40" t="n"/>
      <c r="D2909" s="41" t="n"/>
      <c r="E2909" s="42" t="n">
        <v>41753.96319444444</v>
      </c>
      <c r="F2909" s="50" t="inlineStr">
        <is>
          <t>Super Carlin Brothers</t>
        </is>
      </c>
      <c r="G2909" t="inlineStr">
        <is>
          <t>Happiness isn't Interesting</t>
        </is>
      </c>
      <c r="H2909" s="44" t="n">
        <v>0.001805555555555555</v>
      </c>
      <c r="I2909" s="45" t="n">
        <v>10974</v>
      </c>
      <c r="J2909" s="45" t="n">
        <v>351</v>
      </c>
      <c r="K2909" s="45" t="n">
        <v>120</v>
      </c>
      <c r="L2909" s="46" t="n"/>
      <c r="M2909" s="47" t="n"/>
      <c r="N2909" s="47" t="inlineStr">
        <is>
          <t>UCKZo4N0lVPccBkSiuyVh4yg</t>
        </is>
      </c>
      <c r="O2909" s="48" t="n">
        <v>41754.12986111111</v>
      </c>
      <c r="P2909" s="49" t="n">
        <v>41753</v>
      </c>
      <c r="Q2909" s="47" t="n">
        <v>359</v>
      </c>
      <c r="R2909" s="47" t="inlineStr">
        <is>
          <t>No Video ID yet</t>
        </is>
      </c>
      <c r="S2909" s="49" t="n"/>
      <c r="T2909" s="49" t="n"/>
      <c r="U2909" s="47" t="inlineStr">
        <is>
          <t>Bonus points if your start your response... "So here's the spit..."</t>
        </is>
      </c>
      <c r="V2909" s="47">
        <f>IF(AND(P2909&gt;=Calendar!$K$2,P2909&lt;EDATE(Calendar!$K$2,1),OR(Calendar!$K$4="*",N2909=Calendar!$K$4)),P2909*100+COUNTIFS($P$6:$P$3267,P2909,$Q$6:$Q$3267,"&lt;="&amp;Q2909,$N$6:$N$3267,Calendar!$K$4),"")</f>
        <v/>
      </c>
      <c r="W2909" s="47">
        <f>IF(AND(B2909=Queue!$C$4,OR(Queue!$K$4="*",N2909=Queue!$K$4)),Q2909,"")</f>
        <v/>
      </c>
    </row>
    <row r="2910">
      <c r="A2910" s="38">
        <f>IF(M2910="","",HYPERLINK("https://www.youtube.com/watch?v="&amp;M2910,"▶"))</f>
        <v/>
      </c>
      <c r="B2910" s="39">
        <f>IF(C2910&lt;&gt;"",C2910,IF(P2910&lt;=IFERROR(INDEX(tblChannels[Watched Through],MATCH(N2910,tblChannels[Channel ID],0)),0),"Watched","Unwatched"))</f>
        <v/>
      </c>
      <c r="C2910" s="40" t="n"/>
      <c r="D2910" s="41" t="n"/>
      <c r="E2910" s="42" t="n">
        <v>41751.90833333333</v>
      </c>
      <c r="F2910" s="50" t="inlineStr">
        <is>
          <t>Super Carlin Brothers</t>
        </is>
      </c>
      <c r="G2910" t="inlineStr">
        <is>
          <t>Narwhal Appreciation Day!</t>
        </is>
      </c>
      <c r="H2910" s="44" t="n">
        <v>0.002557870370370371</v>
      </c>
      <c r="I2910" s="45" t="n">
        <v>34521</v>
      </c>
      <c r="J2910" s="45" t="n">
        <v>846</v>
      </c>
      <c r="K2910" s="45" t="n">
        <v>258</v>
      </c>
      <c r="L2910" s="46" t="n"/>
      <c r="M2910" s="47" t="n"/>
      <c r="N2910" s="47" t="inlineStr">
        <is>
          <t>UCKZo4N0lVPccBkSiuyVh4yg</t>
        </is>
      </c>
      <c r="O2910" s="48" t="n">
        <v>41752.075</v>
      </c>
      <c r="P2910" s="49" t="n">
        <v>41751</v>
      </c>
      <c r="Q2910" s="47" t="n">
        <v>358</v>
      </c>
      <c r="R2910" s="47" t="inlineStr">
        <is>
          <t>No Video ID yet</t>
        </is>
      </c>
      <c r="S2910" s="49" t="n"/>
      <c r="T2910" s="49" t="n"/>
      <c r="U2910" s="47" t="inlineStr">
        <is>
          <t>NARWHAL TSHIRT :: Real? Not Real? Are you Sure? ARE YOU SURE??? Big Brothers Big Sisters Donation Page! ::</t>
        </is>
      </c>
      <c r="V2910" s="47">
        <f>IF(AND(P2910&gt;=Calendar!$K$2,P2910&lt;EDATE(Calendar!$K$2,1),OR(Calendar!$K$4="*",N2910=Calendar!$K$4)),P2910*100+COUNTIFS($P$6:$P$3267,P2910,$Q$6:$Q$3267,"&lt;="&amp;Q2910,$N$6:$N$3267,Calendar!$K$4),"")</f>
        <v/>
      </c>
      <c r="W2910" s="47">
        <f>IF(AND(B2910=Queue!$C$4,OR(Queue!$K$4="*",N2910=Queue!$K$4)),Q2910,"")</f>
        <v/>
      </c>
    </row>
    <row r="2911">
      <c r="A2911" s="38">
        <f>IF(M2911="","",HYPERLINK("https://www.youtube.com/watch?v="&amp;M2911,"▶"))</f>
        <v/>
      </c>
      <c r="B2911" s="39">
        <f>IF(C2911&lt;&gt;"",C2911,IF(P2911&lt;=IFERROR(INDEX(tblChannels[Watched Through],MATCH(N2911,tblChannels[Channel ID],0)),0),"Watched","Unwatched"))</f>
        <v/>
      </c>
      <c r="C2911" s="40" t="n"/>
      <c r="D2911" s="41" t="n"/>
      <c r="E2911" s="42" t="n">
        <v>41746.92083333333</v>
      </c>
      <c r="F2911" s="50" t="inlineStr">
        <is>
          <t>Super Carlin Brothers</t>
        </is>
      </c>
      <c r="G2911" t="inlineStr">
        <is>
          <t>Theory: GoT Next Mona Lisa?</t>
        </is>
      </c>
      <c r="H2911" s="44" t="n">
        <v>0.001643518518518519</v>
      </c>
      <c r="I2911" s="45" t="n">
        <v>93643</v>
      </c>
      <c r="J2911" s="45" t="n">
        <v>814</v>
      </c>
      <c r="K2911" s="45" t="n">
        <v>93</v>
      </c>
      <c r="L2911" s="46" t="n"/>
      <c r="M2911" s="47" t="n"/>
      <c r="N2911" s="47" t="inlineStr">
        <is>
          <t>UCKZo4N0lVPccBkSiuyVh4yg</t>
        </is>
      </c>
      <c r="O2911" s="48" t="n">
        <v>41747.0875</v>
      </c>
      <c r="P2911" s="49" t="n">
        <v>41746</v>
      </c>
      <c r="Q2911" s="47" t="n">
        <v>357</v>
      </c>
      <c r="R2911" s="47" t="inlineStr">
        <is>
          <t>No Video ID yet</t>
        </is>
      </c>
      <c r="S2911" s="49" t="n"/>
      <c r="T2911" s="49" t="n"/>
      <c r="U2911" s="47" t="inlineStr">
        <is>
          <t>There is like a 40% chance I found this thumbnail and loved it so much I had to make a video about it to use it. 60% chance I got freakishly lucky there was such a fitting thumbnail available.</t>
        </is>
      </c>
      <c r="V2911" s="47">
        <f>IF(AND(P2911&gt;=Calendar!$K$2,P2911&lt;EDATE(Calendar!$K$2,1),OR(Calendar!$K$4="*",N2911=Calendar!$K$4)),P2911*100+COUNTIFS($P$6:$P$3267,P2911,$Q$6:$Q$3267,"&lt;="&amp;Q2911,$N$6:$N$3267,Calendar!$K$4),"")</f>
        <v/>
      </c>
      <c r="W2911" s="47">
        <f>IF(AND(B2911=Queue!$C$4,OR(Queue!$K$4="*",N2911=Queue!$K$4)),Q2911,"")</f>
        <v/>
      </c>
    </row>
    <row r="2912">
      <c r="A2912" s="38">
        <f>IF(M2912="","",HYPERLINK("https://www.youtube.com/watch?v="&amp;M2912,"▶"))</f>
        <v/>
      </c>
      <c r="B2912" s="39">
        <f>IF(C2912&lt;&gt;"",C2912,IF(P2912&lt;=IFERROR(INDEX(tblChannels[Watched Through],MATCH(N2912,tblChannels[Channel ID],0)),0),"Watched","Unwatched"))</f>
        <v/>
      </c>
      <c r="C2912" s="40" t="n"/>
      <c r="D2912" s="41" t="n"/>
      <c r="E2912" s="42" t="n">
        <v>41744.92847222222</v>
      </c>
      <c r="F2912" s="50" t="inlineStr">
        <is>
          <t>Super Carlin Brothers</t>
        </is>
      </c>
      <c r="G2912" t="inlineStr">
        <is>
          <t>OVER PREPARED!</t>
        </is>
      </c>
      <c r="H2912" s="44" t="n">
        <v>0.003530092592592592</v>
      </c>
      <c r="I2912" s="45" t="n">
        <v>59064</v>
      </c>
      <c r="J2912" s="45" t="n">
        <v>1145</v>
      </c>
      <c r="K2912" s="45" t="n">
        <v>141</v>
      </c>
      <c r="L2912" s="46" t="n"/>
      <c r="M2912" s="47" t="n"/>
      <c r="N2912" s="47" t="inlineStr">
        <is>
          <t>UCKZo4N0lVPccBkSiuyVh4yg</t>
        </is>
      </c>
      <c r="O2912" s="48" t="n">
        <v>41745.09513888889</v>
      </c>
      <c r="P2912" s="49" t="n">
        <v>41744</v>
      </c>
      <c r="Q2912" s="47" t="n">
        <v>356</v>
      </c>
      <c r="R2912" s="47" t="inlineStr">
        <is>
          <t>No Video ID yet</t>
        </is>
      </c>
      <c r="S2912" s="49" t="n"/>
      <c r="T2912" s="49" t="n"/>
      <c r="U2912" s="47" t="inlineStr">
        <is>
          <t>SCB Donation Page: Thank you for supporting Big Brothers Big Sisters any contributions is greatly appreciated! Have you ever over prepared/thought something to the point where it immobilized you?</t>
        </is>
      </c>
      <c r="V2912" s="47">
        <f>IF(AND(P2912&gt;=Calendar!$K$2,P2912&lt;EDATE(Calendar!$K$2,1),OR(Calendar!$K$4="*",N2912=Calendar!$K$4)),P2912*100+COUNTIFS($P$6:$P$3267,P2912,$Q$6:$Q$3267,"&lt;="&amp;Q2912,$N$6:$N$3267,Calendar!$K$4),"")</f>
        <v/>
      </c>
      <c r="W2912" s="47">
        <f>IF(AND(B2912=Queue!$C$4,OR(Queue!$K$4="*",N2912=Queue!$K$4)),Q2912,"")</f>
        <v/>
      </c>
    </row>
    <row r="2913">
      <c r="A2913" s="38">
        <f>IF(M2913="","",HYPERLINK("https://www.youtube.com/watch?v="&amp;M2913,"▶"))</f>
        <v/>
      </c>
      <c r="B2913" s="39">
        <f>IF(C2913&lt;&gt;"",C2913,IF(P2913&lt;=IFERROR(INDEX(tblChannels[Watched Through],MATCH(N2913,tblChannels[Channel ID],0)),0),"Watched","Unwatched"))</f>
        <v/>
      </c>
      <c r="C2913" s="40" t="n"/>
      <c r="D2913" s="41" t="n"/>
      <c r="E2913" s="42" t="n">
        <v>41739.85416666666</v>
      </c>
      <c r="F2913" s="50" t="inlineStr">
        <is>
          <t>Super Carlin Brothers</t>
        </is>
      </c>
      <c r="G2913" t="inlineStr">
        <is>
          <t>Hulu Plus is Evil... Kinda Pt. 2</t>
        </is>
      </c>
      <c r="H2913" s="44" t="n">
        <v>0.00193287037037037</v>
      </c>
      <c r="I2913" s="45" t="n">
        <v>12995</v>
      </c>
      <c r="J2913" s="45" t="n">
        <v>227</v>
      </c>
      <c r="K2913" s="45" t="n">
        <v>53</v>
      </c>
      <c r="L2913" s="46" t="n"/>
      <c r="M2913" s="47" t="n"/>
      <c r="N2913" s="47" t="inlineStr">
        <is>
          <t>UCKZo4N0lVPccBkSiuyVh4yg</t>
        </is>
      </c>
      <c r="O2913" s="48" t="n">
        <v>41740.02083333334</v>
      </c>
      <c r="P2913" s="49" t="n">
        <v>41739</v>
      </c>
      <c r="Q2913" s="47" t="n">
        <v>355</v>
      </c>
      <c r="R2913" s="47" t="inlineStr">
        <is>
          <t>No Video ID yet</t>
        </is>
      </c>
      <c r="S2913" s="49" t="n"/>
      <c r="T2913" s="49" t="n"/>
      <c r="U2913" s="47" t="inlineStr">
        <is>
          <t>Link... (hesitantly...) to the old one..: This one didn't quite take 5 hours... :D</t>
        </is>
      </c>
      <c r="V2913" s="47">
        <f>IF(AND(P2913&gt;=Calendar!$K$2,P2913&lt;EDATE(Calendar!$K$2,1),OR(Calendar!$K$4="*",N2913=Calendar!$K$4)),P2913*100+COUNTIFS($P$6:$P$3267,P2913,$Q$6:$Q$3267,"&lt;="&amp;Q2913,$N$6:$N$3267,Calendar!$K$4),"")</f>
        <v/>
      </c>
      <c r="W2913" s="47">
        <f>IF(AND(B2913=Queue!$C$4,OR(Queue!$K$4="*",N2913=Queue!$K$4)),Q2913,"")</f>
        <v/>
      </c>
    </row>
    <row r="2914">
      <c r="A2914" s="38">
        <f>IF(M2914="","",HYPERLINK("https://www.youtube.com/watch?v="&amp;M2914,"▶"))</f>
        <v/>
      </c>
      <c r="B2914" s="39">
        <f>IF(C2914&lt;&gt;"",C2914,IF(P2914&lt;=IFERROR(INDEX(tblChannels[Watched Through],MATCH(N2914,tblChannels[Channel ID],0)),0),"Watched","Unwatched"))</f>
        <v/>
      </c>
      <c r="C2914" s="40" t="n"/>
      <c r="D2914" s="41" t="n"/>
      <c r="E2914" s="42" t="n">
        <v>41738.94791666666</v>
      </c>
      <c r="F2914" s="52" t="inlineStr">
        <is>
          <t>Super Carlin Gaming</t>
        </is>
      </c>
      <c r="G2914" t="inlineStr">
        <is>
          <t>Pokemon FireRed Nuzlocke Challenge #13 - THUNDERBOLT</t>
        </is>
      </c>
      <c r="H2914" s="44" t="n">
        <v>0.01436342592592593</v>
      </c>
      <c r="I2914" s="45" t="n">
        <v>29982</v>
      </c>
      <c r="J2914" s="45" t="n">
        <v>449</v>
      </c>
      <c r="K2914" s="45" t="n">
        <v>101</v>
      </c>
      <c r="L2914" s="46" t="n"/>
      <c r="M2914" s="47" t="n"/>
      <c r="N2914" s="47" t="inlineStr">
        <is>
          <t>UCor_9jRnNNZVzTuQ92PKsaQ</t>
        </is>
      </c>
      <c r="O2914" s="48" t="n">
        <v>41739.11458333334</v>
      </c>
      <c r="P2914" s="49" t="n">
        <v>41738</v>
      </c>
      <c r="Q2914" s="47" t="n">
        <v>354</v>
      </c>
      <c r="R2914" s="47" t="inlineStr">
        <is>
          <t>No Video ID yet</t>
        </is>
      </c>
      <c r="S2914" s="49" t="n"/>
      <c r="T2914" s="49" t="n"/>
      <c r="U2914" s="47" t="inlineStr">
        <is>
          <t>Finally.. FINALLY.. THUNDERBOLT!!! Favorite Eeveelution?</t>
        </is>
      </c>
      <c r="V2914" s="47">
        <f>IF(AND(P2914&gt;=Calendar!$K$2,P2914&lt;EDATE(Calendar!$K$2,1),OR(Calendar!$K$4="*",N2914=Calendar!$K$4)),P2914*100+COUNTIFS($P$6:$P$3267,P2914,$Q$6:$Q$3267,"&lt;="&amp;Q2914,$N$6:$N$3267,Calendar!$K$4),"")</f>
        <v/>
      </c>
      <c r="W2914" s="47">
        <f>IF(AND(B2914=Queue!$C$4,OR(Queue!$K$4="*",N2914=Queue!$K$4)),Q2914,"")</f>
        <v/>
      </c>
    </row>
    <row r="2915">
      <c r="A2915" s="38">
        <f>IF(M2915="","",HYPERLINK("https://www.youtube.com/watch?v="&amp;M2915,"▶"))</f>
        <v/>
      </c>
      <c r="B2915" s="39">
        <f>IF(C2915&lt;&gt;"",C2915,IF(P2915&lt;=IFERROR(INDEX(tblChannels[Watched Through],MATCH(N2915,tblChannels[Channel ID],0)),0),"Watched","Unwatched"))</f>
        <v/>
      </c>
      <c r="C2915" s="40" t="n"/>
      <c r="D2915" s="41" t="n"/>
      <c r="E2915" s="42" t="n">
        <v>41737.99097222222</v>
      </c>
      <c r="F2915" s="50" t="inlineStr">
        <is>
          <t>Super Carlin Brothers</t>
        </is>
      </c>
      <c r="G2915" t="inlineStr">
        <is>
          <t>Ask J #7 - Narwhals and Bacon</t>
        </is>
      </c>
      <c r="H2915" s="44" t="n">
        <v>0.002916666666666667</v>
      </c>
      <c r="I2915" s="45" t="n">
        <v>38214</v>
      </c>
      <c r="J2915" s="45" t="n">
        <v>696</v>
      </c>
      <c r="K2915" s="45" t="n">
        <v>279</v>
      </c>
      <c r="L2915" s="46" t="n"/>
      <c r="M2915" s="47" t="n"/>
      <c r="N2915" s="47" t="inlineStr">
        <is>
          <t>UCKZo4N0lVPccBkSiuyVh4yg</t>
        </is>
      </c>
      <c r="O2915" s="48" t="n">
        <v>41738.15763888889</v>
      </c>
      <c r="P2915" s="49" t="n">
        <v>41737</v>
      </c>
      <c r="Q2915" s="47" t="n">
        <v>353</v>
      </c>
      <c r="R2915" s="47" t="inlineStr">
        <is>
          <t>No Video ID yet</t>
        </is>
      </c>
      <c r="S2915" s="49" t="n"/>
      <c r="T2915" s="49" t="n"/>
      <c r="U2915" s="47" t="inlineStr">
        <is>
          <t>What story would you be a part of? SCB Donation Page: Send us your Pigwhal, Grizzly Eagle Sharks and Giraffalents to any of the pages below!</t>
        </is>
      </c>
      <c r="V2915" s="47">
        <f>IF(AND(P2915&gt;=Calendar!$K$2,P2915&lt;EDATE(Calendar!$K$2,1),OR(Calendar!$K$4="*",N2915=Calendar!$K$4)),P2915*100+COUNTIFS($P$6:$P$3267,P2915,$Q$6:$Q$3267,"&lt;="&amp;Q2915,$N$6:$N$3267,Calendar!$K$4),"")</f>
        <v/>
      </c>
      <c r="W2915" s="47">
        <f>IF(AND(B2915=Queue!$C$4,OR(Queue!$K$4="*",N2915=Queue!$K$4)),Q2915,"")</f>
        <v/>
      </c>
    </row>
    <row r="2916">
      <c r="A2916" s="38">
        <f>IF(M2916="","",HYPERLINK("https://www.youtube.com/watch?v="&amp;M2916,"▶"))</f>
        <v/>
      </c>
      <c r="B2916" s="39">
        <f>IF(C2916&lt;&gt;"",C2916,IF(P2916&lt;=IFERROR(INDEX(tblChannels[Watched Through],MATCH(N2916,tblChannels[Channel ID],0)),0),"Watched","Unwatched"))</f>
        <v/>
      </c>
      <c r="C2916" s="40" t="n"/>
      <c r="D2916" s="41" t="n"/>
      <c r="E2916" s="42" t="n">
        <v>41732.86319444444</v>
      </c>
      <c r="F2916" s="50" t="inlineStr">
        <is>
          <t>Super Carlin Brothers</t>
        </is>
      </c>
      <c r="G2916" t="inlineStr">
        <is>
          <t>Video Game Freakout</t>
        </is>
      </c>
      <c r="H2916" s="44" t="n">
        <v>0.002824074074074074</v>
      </c>
      <c r="I2916" s="45" t="n">
        <v>15194</v>
      </c>
      <c r="J2916" s="45" t="n">
        <v>282</v>
      </c>
      <c r="K2916" s="45" t="n">
        <v>64</v>
      </c>
      <c r="L2916" s="46" t="n"/>
      <c r="M2916" s="47" t="n"/>
      <c r="N2916" s="47" t="inlineStr">
        <is>
          <t>UCKZo4N0lVPccBkSiuyVh4yg</t>
        </is>
      </c>
      <c r="O2916" s="48" t="n">
        <v>41733.02986111111</v>
      </c>
      <c r="P2916" s="49" t="n">
        <v>41732</v>
      </c>
      <c r="Q2916" s="47" t="n">
        <v>352</v>
      </c>
      <c r="R2916" s="47" t="inlineStr">
        <is>
          <t>No Video ID yet</t>
        </is>
      </c>
      <c r="S2916" s="49" t="n"/>
      <c r="T2916" s="49" t="n"/>
      <c r="U2916" s="47" t="inlineStr">
        <is>
          <t>Big Brothers Big Sisters - SCB Donation Page: Send Outtros here: SuperCarlinBrothers@gmail.com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 The following price levels all include a sticker, poster and t-shirt, we will sign items upon request. $75 - 1 Hour Skype Session with J, Ben or Both! (0 of 3 claimed) $100 - Choose an SCB Video Topic! (1 of 2 claimed) $150 - Be in an SCB video! Collab with us, promote your channel, whatever you want! (0 of 2 claimed) All items are available on a first come first serve basis.Tumblr:</t>
        </is>
      </c>
      <c r="V2916" s="47">
        <f>IF(AND(P2916&gt;=Calendar!$K$2,P2916&lt;EDATE(Calendar!$K$2,1),OR(Calendar!$K$4="*",N2916=Calendar!$K$4)),P2916*100+COUNTIFS($P$6:$P$3267,P2916,$Q$6:$Q$3267,"&lt;="&amp;Q2916,$N$6:$N$3267,Calendar!$K$4),"")</f>
        <v/>
      </c>
      <c r="W2916" s="47">
        <f>IF(AND(B2916=Queue!$C$4,OR(Queue!$K$4="*",N2916=Queue!$K$4)),Q2916,"")</f>
        <v/>
      </c>
    </row>
    <row r="2917">
      <c r="A2917" s="38">
        <f>IF(M2917="","",HYPERLINK("https://www.youtube.com/watch?v="&amp;M2917,"▶"))</f>
        <v/>
      </c>
      <c r="B2917" s="39">
        <f>IF(C2917&lt;&gt;"",C2917,IF(P2917&lt;=IFERROR(INDEX(tblChannels[Watched Through],MATCH(N2917,tblChannels[Channel ID],0)),0),"Watched","Unwatched"))</f>
        <v/>
      </c>
      <c r="C2917" s="40" t="n"/>
      <c r="D2917" s="41" t="n"/>
      <c r="E2917" s="42" t="n">
        <v>41732.31736111111</v>
      </c>
      <c r="F2917" s="52" t="inlineStr">
        <is>
          <t>Super Carlin Gaming</t>
        </is>
      </c>
      <c r="G2917" t="inlineStr">
        <is>
          <t>Pokemon FireRed Nuzlocke Challenge #12 - Munchlax Breeding</t>
        </is>
      </c>
      <c r="H2917" s="44" t="n">
        <v>0.01748842592592592</v>
      </c>
      <c r="I2917" s="45" t="n">
        <v>34104</v>
      </c>
      <c r="J2917" s="45" t="n">
        <v>495</v>
      </c>
      <c r="K2917" s="45" t="n">
        <v>74</v>
      </c>
      <c r="L2917" s="46" t="n"/>
      <c r="M2917" s="47" t="n"/>
      <c r="N2917" s="47" t="inlineStr">
        <is>
          <t>UCor_9jRnNNZVzTuQ92PKsaQ</t>
        </is>
      </c>
      <c r="O2917" s="48" t="n">
        <v>41732.48402777778</v>
      </c>
      <c r="P2917" s="49" t="n">
        <v>41732</v>
      </c>
      <c r="Q2917" s="47" t="n">
        <v>351</v>
      </c>
      <c r="R2917" s="47" t="inlineStr">
        <is>
          <t>No Video ID yet</t>
        </is>
      </c>
      <c r="S2917" s="49" t="n"/>
      <c r="T2917" s="49" t="n"/>
      <c r="U2917" s="47" t="inlineStr">
        <is>
          <t>Why do so many trainers have MACHAMPS on cycling road?? Also which side of Munchlax breeding are you on? Sorry for the delay between video's - the last few months have been crazy busy and something had to give, but we are back!</t>
        </is>
      </c>
      <c r="V2917" s="47">
        <f>IF(AND(P2917&gt;=Calendar!$K$2,P2917&lt;EDATE(Calendar!$K$2,1),OR(Calendar!$K$4="*",N2917=Calendar!$K$4)),P2917*100+COUNTIFS($P$6:$P$3267,P2917,$Q$6:$Q$3267,"&lt;="&amp;Q2917,$N$6:$N$3267,Calendar!$K$4),"")</f>
        <v/>
      </c>
      <c r="W2917" s="47">
        <f>IF(AND(B2917=Queue!$C$4,OR(Queue!$K$4="*",N2917=Queue!$K$4)),Q2917,"")</f>
        <v/>
      </c>
    </row>
    <row r="2918">
      <c r="A2918" s="38">
        <f>IF(M2918="","",HYPERLINK("https://www.youtube.com/watch?v="&amp;M2918,"▶"))</f>
        <v/>
      </c>
      <c r="B2918" s="39">
        <f>IF(C2918&lt;&gt;"",C2918,IF(P2918&lt;=IFERROR(INDEX(tblChannels[Watched Through],MATCH(N2918,tblChannels[Channel ID],0)),0),"Watched","Unwatched"))</f>
        <v/>
      </c>
      <c r="C2918" s="40" t="n"/>
      <c r="D2918" s="41" t="n"/>
      <c r="E2918" s="42" t="n">
        <v>41730.96319444444</v>
      </c>
      <c r="F2918" s="50" t="inlineStr">
        <is>
          <t>Super Carlin Brothers</t>
        </is>
      </c>
      <c r="G2918" t="inlineStr">
        <is>
          <t>Ben Quit</t>
        </is>
      </c>
      <c r="H2918" s="44" t="n">
        <v>0.003784722222222222</v>
      </c>
      <c r="I2918" s="45" t="n">
        <v>734863</v>
      </c>
      <c r="J2918" s="45" t="n">
        <v>15210</v>
      </c>
      <c r="K2918" s="45" t="n">
        <v>3703</v>
      </c>
      <c r="L2918" s="46" t="n"/>
      <c r="M2918" s="47" t="n"/>
      <c r="N2918" s="47" t="inlineStr">
        <is>
          <t>UCKZo4N0lVPccBkSiuyVh4yg</t>
        </is>
      </c>
      <c r="O2918" s="48" t="n">
        <v>41731.12986111111</v>
      </c>
      <c r="P2918" s="49" t="n">
        <v>41730</v>
      </c>
      <c r="Q2918" s="47" t="n">
        <v>350</v>
      </c>
      <c r="R2918" s="47" t="inlineStr">
        <is>
          <t>No Video ID yet</t>
        </is>
      </c>
      <c r="S2918" s="49" t="n"/>
      <c r="T2918" s="49" t="n"/>
      <c r="U2918" s="47" t="inlineStr">
        <is>
          <t>Big Brothers Big Sisters - SCB Donation Page: Send Outtros here: SuperCarlinBrothers@gmail.com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 The following price levels all include a sticker, poster and t-shirt, we will sign items upon request. $75 - 1 Hour Skype Session with J, Ben or Both! (0 of 3 claimed) $100 - Choose an SCB Video Topic! (1 of 2 claimed) $150 - Be in an SCB video! Collab with us, promote your channel, whatever you want! (0 of 2 claimed) All items are available on a first come first serve basis.</t>
        </is>
      </c>
      <c r="V2918" s="47">
        <f>IF(AND(P2918&gt;=Calendar!$K$2,P2918&lt;EDATE(Calendar!$K$2,1),OR(Calendar!$K$4="*",N2918=Calendar!$K$4)),P2918*100+COUNTIFS($P$6:$P$3267,P2918,$Q$6:$Q$3267,"&lt;="&amp;Q2918,$N$6:$N$3267,Calendar!$K$4),"")</f>
        <v/>
      </c>
      <c r="W2918" s="47">
        <f>IF(AND(B2918=Queue!$C$4,OR(Queue!$K$4="*",N2918=Queue!$K$4)),Q2918,"")</f>
        <v/>
      </c>
    </row>
    <row r="2919">
      <c r="A2919" s="38">
        <f>IF(M2919="","",HYPERLINK("https://www.youtube.com/watch?v="&amp;M2919,"▶"))</f>
        <v/>
      </c>
      <c r="B2919" s="39">
        <f>IF(C2919&lt;&gt;"",C2919,IF(P2919&lt;=IFERROR(INDEX(tblChannels[Watched Through],MATCH(N2919,tblChannels[Channel ID],0)),0),"Watched","Unwatched"))</f>
        <v/>
      </c>
      <c r="C2919" s="40" t="n"/>
      <c r="D2919" s="41" t="n"/>
      <c r="E2919" s="42" t="n">
        <v>41725.92291666667</v>
      </c>
      <c r="F2919" s="50" t="inlineStr">
        <is>
          <t>Super Carlin Brothers</t>
        </is>
      </c>
      <c r="G2919" t="inlineStr">
        <is>
          <t>Buyers Remorse</t>
        </is>
      </c>
      <c r="H2919" s="44" t="n">
        <v>0.001898148148148148</v>
      </c>
      <c r="I2919" s="45" t="n">
        <v>15994</v>
      </c>
      <c r="J2919" s="45" t="n">
        <v>268</v>
      </c>
      <c r="K2919" s="45" t="n">
        <v>46</v>
      </c>
      <c r="L2919" s="46" t="n"/>
      <c r="M2919" s="47" t="n"/>
      <c r="N2919" s="47" t="inlineStr">
        <is>
          <t>UCKZo4N0lVPccBkSiuyVh4yg</t>
        </is>
      </c>
      <c r="O2919" s="48" t="n">
        <v>41726.08958333333</v>
      </c>
      <c r="P2919" s="49" t="n">
        <v>41725</v>
      </c>
      <c r="Q2919" s="47" t="n">
        <v>349</v>
      </c>
      <c r="R2919" s="47" t="inlineStr">
        <is>
          <t>No Video ID yet</t>
        </is>
      </c>
      <c r="S2919" s="49" t="n"/>
      <c r="T2919" s="49" t="n"/>
      <c r="U2919" s="47" t="inlineStr">
        <is>
          <t>Big Brothers Big Sisters - SCB Donation Page: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t>
        </is>
      </c>
      <c r="V2919" s="47">
        <f>IF(AND(P2919&gt;=Calendar!$K$2,P2919&lt;EDATE(Calendar!$K$2,1),OR(Calendar!$K$4="*",N2919=Calendar!$K$4)),P2919*100+COUNTIFS($P$6:$P$3267,P2919,$Q$6:$Q$3267,"&lt;="&amp;Q2919,$N$6:$N$3267,Calendar!$K$4),"")</f>
        <v/>
      </c>
      <c r="W2919" s="47">
        <f>IF(AND(B2919=Queue!$C$4,OR(Queue!$K$4="*",N2919=Queue!$K$4)),Q2919,"")</f>
        <v/>
      </c>
    </row>
    <row r="2920">
      <c r="A2920" s="38">
        <f>IF(M2920="","",HYPERLINK("https://www.youtube.com/watch?v="&amp;M2920,"▶"))</f>
        <v/>
      </c>
      <c r="B2920" s="39">
        <f>IF(C2920&lt;&gt;"",C2920,IF(P2920&lt;=IFERROR(INDEX(tblChannels[Watched Through],MATCH(N2920,tblChannels[Channel ID],0)),0),"Watched","Unwatched"))</f>
        <v/>
      </c>
      <c r="C2920" s="40" t="n"/>
      <c r="D2920" s="41" t="n"/>
      <c r="E2920" s="42" t="n">
        <v>41723.91111111111</v>
      </c>
      <c r="F2920" s="50" t="inlineStr">
        <is>
          <t>Super Carlin Brothers</t>
        </is>
      </c>
      <c r="G2920" t="inlineStr">
        <is>
          <t>Is Batman Google Autofill</t>
        </is>
      </c>
      <c r="H2920" s="44" t="n">
        <v>0.004085648148148148</v>
      </c>
      <c r="I2920" s="45" t="n">
        <v>269859</v>
      </c>
      <c r="J2920" s="45" t="n">
        <v>3877</v>
      </c>
      <c r="K2920" s="45" t="n">
        <v>897</v>
      </c>
      <c r="L2920" s="46" t="n"/>
      <c r="M2920" s="47" t="n"/>
      <c r="N2920" s="47" t="inlineStr">
        <is>
          <t>UCKZo4N0lVPccBkSiuyVh4yg</t>
        </is>
      </c>
      <c r="O2920" s="48" t="n">
        <v>41724.07777777778</v>
      </c>
      <c r="P2920" s="49" t="n">
        <v>41723</v>
      </c>
      <c r="Q2920" s="47" t="n">
        <v>348</v>
      </c>
      <c r="R2920" s="47" t="inlineStr">
        <is>
          <t>No Video ID yet</t>
        </is>
      </c>
      <c r="S2920" s="49" t="n"/>
      <c r="T2920" s="49" t="n"/>
      <c r="U2920" s="47" t="inlineStr">
        <is>
          <t>Big Brothers Big Sisters - SCB Donation Page: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 The following price levels all include a sticker, poster and t-shirt, we will sign items upon request. $75 - 1 Hour Skype Session with J, Ben or Both! (0 of 3 claimed) $100 - Choose an SCB Video Topic! (1 of 2 claimed) $150 - Be in an SCB video! Collab with us, promote your channel, whatever you want! (0 of 2 claimed) All items are available on a first come first serve basis.</t>
        </is>
      </c>
      <c r="V2920" s="47">
        <f>IF(AND(P2920&gt;=Calendar!$K$2,P2920&lt;EDATE(Calendar!$K$2,1),OR(Calendar!$K$4="*",N2920=Calendar!$K$4)),P2920*100+COUNTIFS($P$6:$P$3267,P2920,$Q$6:$Q$3267,"&lt;="&amp;Q2920,$N$6:$N$3267,Calendar!$K$4),"")</f>
        <v/>
      </c>
      <c r="W2920" s="47">
        <f>IF(AND(B2920=Queue!$C$4,OR(Queue!$K$4="*",N2920=Queue!$K$4)),Q2920,"")</f>
        <v/>
      </c>
    </row>
    <row r="2921">
      <c r="A2921" s="38">
        <f>IF(M2921="","",HYPERLINK("https://www.youtube.com/watch?v="&amp;M2921,"▶"))</f>
        <v/>
      </c>
      <c r="B2921" s="39">
        <f>IF(C2921&lt;&gt;"",C2921,IF(P2921&lt;=IFERROR(INDEX(tblChannels[Watched Through],MATCH(N2921,tblChannels[Channel ID],0)),0),"Watched","Unwatched"))</f>
        <v/>
      </c>
      <c r="C2921" s="40" t="n"/>
      <c r="D2921" s="41" t="n"/>
      <c r="E2921" s="42" t="n">
        <v>41718.97361111111</v>
      </c>
      <c r="F2921" s="50" t="inlineStr">
        <is>
          <t>Super Carlin Brothers</t>
        </is>
      </c>
      <c r="G2921" t="inlineStr">
        <is>
          <t>Being Challenged</t>
        </is>
      </c>
      <c r="H2921" s="44" t="n">
        <v>0.003842592592592593</v>
      </c>
      <c r="I2921" s="45" t="n">
        <v>10621</v>
      </c>
      <c r="J2921" s="45" t="n">
        <v>247</v>
      </c>
      <c r="K2921" s="45" t="n">
        <v>24</v>
      </c>
      <c r="L2921" s="46" t="n"/>
      <c r="M2921" s="47" t="n"/>
      <c r="N2921" s="47" t="inlineStr">
        <is>
          <t>UCKZo4N0lVPccBkSiuyVh4yg</t>
        </is>
      </c>
      <c r="O2921" s="48" t="n">
        <v>41719.14027777778</v>
      </c>
      <c r="P2921" s="49" t="n">
        <v>41718</v>
      </c>
      <c r="Q2921" s="47" t="n">
        <v>347</v>
      </c>
      <c r="R2921" s="47" t="inlineStr">
        <is>
          <t>No Video ID yet</t>
        </is>
      </c>
      <c r="S2921" s="49" t="n"/>
      <c r="T2921" s="49" t="n"/>
      <c r="U2921" s="47" t="inlineStr">
        <is>
          <t>Speaking of being challenged. iMovie got update on my computer today. It was way different. For all I know there isn't audio in this video. OVER THE EDGE: THANKS FOR YOUR SUPPORT :D SCB Donation Page: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 The following price levels all include a sticker, poster and t-shirt, we will sign items upon request. $75 - 1 Hour Skype Session with J, Ben or Both! $100 - Choose an SCB Video Topic! $150 - Be in an SCB video! Collab with us, promote your channel, whatever you want! All items are available on a first come first serve basis. Additionally J and I have agreed to donate 1 penny (up to $100 each) for every comment on this video, every like on this video, and every share of this video on Twitter, Tumblr and Facebook with #SuperCarlinBrothers</t>
        </is>
      </c>
      <c r="V2921" s="47">
        <f>IF(AND(P2921&gt;=Calendar!$K$2,P2921&lt;EDATE(Calendar!$K$2,1),OR(Calendar!$K$4="*",N2921=Calendar!$K$4)),P2921*100+COUNTIFS($P$6:$P$3267,P2921,$Q$6:$Q$3267,"&lt;="&amp;Q2921,$N$6:$N$3267,Calendar!$K$4),"")</f>
        <v/>
      </c>
      <c r="W2921" s="47">
        <f>IF(AND(B2921=Queue!$C$4,OR(Queue!$K$4="*",N2921=Queue!$K$4)),Q2921,"")</f>
        <v/>
      </c>
    </row>
    <row r="2922">
      <c r="A2922" s="38">
        <f>IF(M2922="","",HYPERLINK("https://www.youtube.com/watch?v="&amp;M2922,"▶"))</f>
        <v/>
      </c>
      <c r="B2922" s="39">
        <f>IF(C2922&lt;&gt;"",C2922,IF(P2922&lt;=IFERROR(INDEX(tblChannels[Watched Through],MATCH(N2922,tblChannels[Channel ID],0)),0),"Watched","Unwatched"))</f>
        <v/>
      </c>
      <c r="C2922" s="40" t="n"/>
      <c r="D2922" s="41" t="n"/>
      <c r="E2922" s="42" t="n">
        <v>41716.92638888889</v>
      </c>
      <c r="F2922" s="50" t="inlineStr">
        <is>
          <t>Super Carlin Brothers</t>
        </is>
      </c>
      <c r="G2922" t="inlineStr">
        <is>
          <t>OVER THE EDGE!</t>
        </is>
      </c>
      <c r="H2922" s="44" t="n">
        <v>0.003171296296296296</v>
      </c>
      <c r="I2922" s="45" t="n">
        <v>22696</v>
      </c>
      <c r="J2922" s="45" t="n">
        <v>597</v>
      </c>
      <c r="K2922" s="45" t="n">
        <v>232</v>
      </c>
      <c r="L2922" s="46" t="n"/>
      <c r="M2922" s="47" t="n"/>
      <c r="N2922" s="47" t="inlineStr">
        <is>
          <t>UCKZo4N0lVPccBkSiuyVh4yg</t>
        </is>
      </c>
      <c r="O2922" s="48" t="n">
        <v>41717.09305555555</v>
      </c>
      <c r="P2922" s="49" t="n">
        <v>41716</v>
      </c>
      <c r="Q2922" s="47" t="n">
        <v>346</v>
      </c>
      <c r="R2922" s="47" t="inlineStr">
        <is>
          <t>No Video ID yet</t>
        </is>
      </c>
      <c r="S2922" s="49" t="n"/>
      <c r="T2922" s="49" t="n"/>
      <c r="U2922" s="47" t="inlineStr">
        <is>
          <t>SCB Donation Page: Thank you for supporting Big Brothers Big Sisters any contributions is greatly appreciated! We have lots of great reward levels for donations: $10 - SCB Sticker (200x available) $15 - SCB Sticker (signed) $20 - SCB Poster (50x Available) $25 - SCB Poster (signed) $30 - SCB T-Shirt (30x available) $40 - SCB T-Shirt, Poster &amp; Sticker $50 - SCB T-Shirt, Poster (signed) &amp; Sticker (signed) The following price levels all include a sticker, poster and t-shirt, we will sign items upon request. $75 - 1 Hour Skype Session with J, Ben or Both! (0 of 3 claimed) $100 - Choose an SCB Video Topic! (0 of 2 claimed) $150 - Be in an SCB video! Collab with us, promote your channel, whatever you want! (0 of 2 claimed) All items are available on a first come first serve basis. Additionally Ben and I have agreed to donate 1 penny (up to $100 each) for every comment on this video, every like on this video, and every share of this video on Twitter, Tumblr and Facebook with #SuperCarlinBrothers</t>
        </is>
      </c>
      <c r="V2922" s="47">
        <f>IF(AND(P2922&gt;=Calendar!$K$2,P2922&lt;EDATE(Calendar!$K$2,1),OR(Calendar!$K$4="*",N2922=Calendar!$K$4)),P2922*100+COUNTIFS($P$6:$P$3267,P2922,$Q$6:$Q$3267,"&lt;="&amp;Q2922,$N$6:$N$3267,Calendar!$K$4),"")</f>
        <v/>
      </c>
      <c r="W2922" s="47">
        <f>IF(AND(B2922=Queue!$C$4,OR(Queue!$K$4="*",N2922=Queue!$K$4)),Q2922,"")</f>
        <v/>
      </c>
    </row>
    <row r="2923">
      <c r="A2923" s="38">
        <f>IF(M2923="","",HYPERLINK("https://www.youtube.com/watch?v="&amp;M2923,"▶"))</f>
        <v/>
      </c>
      <c r="B2923" s="39">
        <f>IF(C2923&lt;&gt;"",C2923,IF(P2923&lt;=IFERROR(INDEX(tblChannels[Watched Through],MATCH(N2923,tblChannels[Channel ID],0)),0),"Watched","Unwatched"))</f>
        <v/>
      </c>
      <c r="C2923" s="40" t="n"/>
      <c r="D2923" s="41" t="n"/>
      <c r="E2923" s="42" t="n">
        <v>41711.92638888889</v>
      </c>
      <c r="F2923" s="50" t="inlineStr">
        <is>
          <t>Super Carlin Brothers</t>
        </is>
      </c>
      <c r="G2923" t="inlineStr">
        <is>
          <t>Toilet Talk</t>
        </is>
      </c>
      <c r="H2923" s="44" t="n">
        <v>0.002314814814814815</v>
      </c>
      <c r="I2923" s="45" t="n">
        <v>11102</v>
      </c>
      <c r="J2923" s="45" t="n">
        <v>253</v>
      </c>
      <c r="K2923" s="45" t="n">
        <v>71</v>
      </c>
      <c r="L2923" s="46" t="n"/>
      <c r="M2923" s="47" t="n"/>
      <c r="N2923" s="47" t="inlineStr">
        <is>
          <t>UCKZo4N0lVPccBkSiuyVh4yg</t>
        </is>
      </c>
      <c r="O2923" s="48" t="n">
        <v>41712.09305555555</v>
      </c>
      <c r="P2923" s="49" t="n">
        <v>41711</v>
      </c>
      <c r="Q2923" s="47" t="n">
        <v>345</v>
      </c>
      <c r="R2923" s="47" t="inlineStr">
        <is>
          <t>No Video ID yet</t>
        </is>
      </c>
      <c r="S2923" s="49" t="n"/>
      <c r="T2923" s="49" t="n"/>
      <c r="U2923" s="47" t="inlineStr">
        <is>
          <t>A video that could have used so many more puns in hindsight. Please. offer up your toilet puns.</t>
        </is>
      </c>
      <c r="V2923" s="47">
        <f>IF(AND(P2923&gt;=Calendar!$K$2,P2923&lt;EDATE(Calendar!$K$2,1),OR(Calendar!$K$4="*",N2923=Calendar!$K$4)),P2923*100+COUNTIFS($P$6:$P$3267,P2923,$Q$6:$Q$3267,"&lt;="&amp;Q2923,$N$6:$N$3267,Calendar!$K$4),"")</f>
        <v/>
      </c>
      <c r="W2923" s="47">
        <f>IF(AND(B2923=Queue!$C$4,OR(Queue!$K$4="*",N2923=Queue!$K$4)),Q2923,"")</f>
        <v/>
      </c>
    </row>
    <row r="2924">
      <c r="A2924" s="38">
        <f>IF(M2924="","",HYPERLINK("https://www.youtube.com/watch?v="&amp;M2924,"▶"))</f>
        <v/>
      </c>
      <c r="B2924" s="39">
        <f>IF(C2924&lt;&gt;"",C2924,IF(P2924&lt;=IFERROR(INDEX(tblChannels[Watched Through],MATCH(N2924,tblChannels[Channel ID],0)),0),"Watched","Unwatched"))</f>
        <v/>
      </c>
      <c r="C2924" s="40" t="n"/>
      <c r="D2924" s="41" t="n"/>
      <c r="E2924" s="42" t="n">
        <v>41709.85416666666</v>
      </c>
      <c r="F2924" s="50" t="inlineStr">
        <is>
          <t>Super Carlin Brothers</t>
        </is>
      </c>
      <c r="G2924" t="inlineStr">
        <is>
          <t>SPEED READING!!!</t>
        </is>
      </c>
      <c r="H2924" s="44" t="n">
        <v>0.002777777777777778</v>
      </c>
      <c r="I2924" s="45" t="n">
        <v>52375</v>
      </c>
      <c r="J2924" s="45" t="n">
        <v>1318</v>
      </c>
      <c r="K2924" s="45" t="n">
        <v>215</v>
      </c>
      <c r="L2924" s="46" t="n"/>
      <c r="M2924" s="47" t="n"/>
      <c r="N2924" s="47" t="inlineStr">
        <is>
          <t>UCKZo4N0lVPccBkSiuyVh4yg</t>
        </is>
      </c>
      <c r="O2924" s="48" t="n">
        <v>41710.02083333334</v>
      </c>
      <c r="P2924" s="49" t="n">
        <v>41709</v>
      </c>
      <c r="Q2924" s="47" t="n">
        <v>344</v>
      </c>
      <c r="R2924" s="47" t="inlineStr">
        <is>
          <t>No Video ID yet</t>
        </is>
      </c>
      <c r="S2924" s="49" t="n"/>
      <c r="T2924" s="49" t="n"/>
      <c r="U2924" s="47" t="inlineStr">
        <is>
          <t>Would you like to read a book like this or just read like this in general? Discuss! Also play around with this at www.Spreeder.com</t>
        </is>
      </c>
      <c r="V2924" s="47">
        <f>IF(AND(P2924&gt;=Calendar!$K$2,P2924&lt;EDATE(Calendar!$K$2,1),OR(Calendar!$K$4="*",N2924=Calendar!$K$4)),P2924*100+COUNTIFS($P$6:$P$3267,P2924,$Q$6:$Q$3267,"&lt;="&amp;Q2924,$N$6:$N$3267,Calendar!$K$4),"")</f>
        <v/>
      </c>
      <c r="W2924" s="47">
        <f>IF(AND(B2924=Queue!$C$4,OR(Queue!$K$4="*",N2924=Queue!$K$4)),Q2924,"")</f>
        <v/>
      </c>
    </row>
    <row r="2925">
      <c r="A2925" s="38">
        <f>IF(M2925="","",HYPERLINK("https://www.youtube.com/watch?v="&amp;M2925,"▶"))</f>
        <v/>
      </c>
      <c r="B2925" s="39">
        <f>IF(C2925&lt;&gt;"",C2925,IF(P2925&lt;=IFERROR(INDEX(tblChannels[Watched Through],MATCH(N2925,tblChannels[Channel ID],0)),0),"Watched","Unwatched"))</f>
        <v/>
      </c>
      <c r="C2925" s="40" t="n"/>
      <c r="D2925" s="41" t="n"/>
      <c r="E2925" s="42" t="n">
        <v>41704.97291666667</v>
      </c>
      <c r="F2925" s="50" t="inlineStr">
        <is>
          <t>Super Carlin Brothers</t>
        </is>
      </c>
      <c r="G2925" t="inlineStr">
        <is>
          <t>What is it all for?</t>
        </is>
      </c>
      <c r="H2925" s="44" t="n">
        <v>0.002314814814814815</v>
      </c>
      <c r="I2925" s="45" t="n">
        <v>8392</v>
      </c>
      <c r="J2925" s="45" t="n">
        <v>191</v>
      </c>
      <c r="K2925" s="45" t="n">
        <v>31</v>
      </c>
      <c r="L2925" s="46" t="n"/>
      <c r="M2925" s="47" t="n"/>
      <c r="N2925" s="47" t="inlineStr">
        <is>
          <t>UCKZo4N0lVPccBkSiuyVh4yg</t>
        </is>
      </c>
      <c r="O2925" s="48" t="n">
        <v>41705.18125</v>
      </c>
      <c r="P2925" s="49" t="n">
        <v>41704</v>
      </c>
      <c r="Q2925" s="47" t="n">
        <v>343</v>
      </c>
      <c r="R2925" s="47" t="inlineStr">
        <is>
          <t>No Video ID yet</t>
        </is>
      </c>
      <c r="S2925" s="49" t="n"/>
      <c r="T2925" s="49" t="n"/>
      <c r="U2925" s="47" t="inlineStr">
        <is>
          <t>Well... This one explains itself - What are you working towards and for in life? Thanks to my buddy Paul for filming this (and managing to keep up with me =P)</t>
        </is>
      </c>
      <c r="V2925" s="47">
        <f>IF(AND(P2925&gt;=Calendar!$K$2,P2925&lt;EDATE(Calendar!$K$2,1),OR(Calendar!$K$4="*",N2925=Calendar!$K$4)),P2925*100+COUNTIFS($P$6:$P$3267,P2925,$Q$6:$Q$3267,"&lt;="&amp;Q2925,$N$6:$N$3267,Calendar!$K$4),"")</f>
        <v/>
      </c>
      <c r="W2925" s="47">
        <f>IF(AND(B2925=Queue!$C$4,OR(Queue!$K$4="*",N2925=Queue!$K$4)),Q2925,"")</f>
        <v/>
      </c>
    </row>
    <row r="2926">
      <c r="A2926" s="38">
        <f>IF(M2926="","",HYPERLINK("https://www.youtube.com/watch?v="&amp;M2926,"▶"))</f>
        <v/>
      </c>
      <c r="B2926" s="39">
        <f>IF(C2926&lt;&gt;"",C2926,IF(P2926&lt;=IFERROR(INDEX(tblChannels[Watched Through],MATCH(N2926,tblChannels[Channel ID],0)),0),"Watched","Unwatched"))</f>
        <v/>
      </c>
      <c r="C2926" s="40" t="n"/>
      <c r="D2926" s="41" t="n"/>
      <c r="E2926" s="42" t="n">
        <v>41702.92222222222</v>
      </c>
      <c r="F2926" s="50" t="inlineStr">
        <is>
          <t>Super Carlin Brothers</t>
        </is>
      </c>
      <c r="G2926" t="inlineStr">
        <is>
          <t>Thoughts from Places: Snowshoe</t>
        </is>
      </c>
      <c r="H2926" s="44" t="n">
        <v>0.002453703703703704</v>
      </c>
      <c r="I2926" s="45" t="n">
        <v>7813</v>
      </c>
      <c r="J2926" s="45" t="n">
        <v>188</v>
      </c>
      <c r="K2926" s="45" t="n">
        <v>44</v>
      </c>
      <c r="L2926" s="46" t="n"/>
      <c r="M2926" s="47" t="n"/>
      <c r="N2926" s="47" t="inlineStr">
        <is>
          <t>UCKZo4N0lVPccBkSiuyVh4yg</t>
        </is>
      </c>
      <c r="O2926" s="48" t="n">
        <v>41703.13055555556</v>
      </c>
      <c r="P2926" s="49" t="n">
        <v>41702</v>
      </c>
      <c r="Q2926" s="47" t="n">
        <v>342</v>
      </c>
      <c r="R2926" s="47" t="inlineStr">
        <is>
          <t>No Video ID yet</t>
        </is>
      </c>
      <c r="S2926" s="49" t="n"/>
      <c r="T2926" s="49" t="n"/>
      <c r="U2926" s="47" t="inlineStr">
        <is>
          <t>It has been an amazing season of skiing and it got me through the winter What got you through?? Want to add something to our sets? Send viewer mail here:</t>
        </is>
      </c>
      <c r="V2926" s="47">
        <f>IF(AND(P2926&gt;=Calendar!$K$2,P2926&lt;EDATE(Calendar!$K$2,1),OR(Calendar!$K$4="*",N2926=Calendar!$K$4)),P2926*100+COUNTIFS($P$6:$P$3267,P2926,$Q$6:$Q$3267,"&lt;="&amp;Q2926,$N$6:$N$3267,Calendar!$K$4),"")</f>
        <v/>
      </c>
      <c r="W2926" s="47">
        <f>IF(AND(B2926=Queue!$C$4,OR(Queue!$K$4="*",N2926=Queue!$K$4)),Q2926,"")</f>
        <v/>
      </c>
    </row>
    <row r="2927">
      <c r="A2927" s="38">
        <f>IF(M2927="","",HYPERLINK("https://www.youtube.com/watch?v="&amp;M2927,"▶"))</f>
        <v/>
      </c>
      <c r="B2927" s="39">
        <f>IF(C2927&lt;&gt;"",C2927,IF(P2927&lt;=IFERROR(INDEX(tblChannels[Watched Through],MATCH(N2927,tblChannels[Channel ID],0)),0),"Watched","Unwatched"))</f>
        <v/>
      </c>
      <c r="C2927" s="40" t="n"/>
      <c r="D2927" s="41" t="n"/>
      <c r="E2927" s="42" t="n">
        <v>41697.92291666667</v>
      </c>
      <c r="F2927" s="50" t="inlineStr">
        <is>
          <t>Super Carlin Brothers</t>
        </is>
      </c>
      <c r="G2927" t="inlineStr">
        <is>
          <t>Little Luxuries</t>
        </is>
      </c>
      <c r="H2927" s="44" t="n">
        <v>0.0008564814814814815</v>
      </c>
      <c r="I2927" s="45" t="n">
        <v>8711</v>
      </c>
      <c r="J2927" s="45" t="n">
        <v>181</v>
      </c>
      <c r="K2927" s="45" t="n">
        <v>23</v>
      </c>
      <c r="L2927" s="46" t="n"/>
      <c r="M2927" s="47" t="n"/>
      <c r="N2927" s="47" t="inlineStr">
        <is>
          <t>UCKZo4N0lVPccBkSiuyVh4yg</t>
        </is>
      </c>
      <c r="O2927" s="48" t="n">
        <v>41698.13125</v>
      </c>
      <c r="P2927" s="49" t="n">
        <v>41697</v>
      </c>
      <c r="Q2927" s="47" t="n">
        <v>341</v>
      </c>
      <c r="R2927" s="47" t="inlineStr">
        <is>
          <t>No Video ID yet</t>
        </is>
      </c>
      <c r="S2927" s="49" t="n"/>
      <c r="T2927" s="49" t="n"/>
      <c r="U2927" s="47" t="inlineStr">
        <is>
          <t>So I had planned on this being a far more fleshed out concept/video... But had a crazy day and was only able to piece this together!</t>
        </is>
      </c>
      <c r="V2927" s="47">
        <f>IF(AND(P2927&gt;=Calendar!$K$2,P2927&lt;EDATE(Calendar!$K$2,1),OR(Calendar!$K$4="*",N2927=Calendar!$K$4)),P2927*100+COUNTIFS($P$6:$P$3267,P2927,$Q$6:$Q$3267,"&lt;="&amp;Q2927,$N$6:$N$3267,Calendar!$K$4),"")</f>
        <v/>
      </c>
      <c r="W2927" s="47">
        <f>IF(AND(B2927=Queue!$C$4,OR(Queue!$K$4="*",N2927=Queue!$K$4)),Q2927,"")</f>
        <v/>
      </c>
    </row>
    <row r="2928">
      <c r="A2928" s="38">
        <f>IF(M2928="","",HYPERLINK("https://www.youtube.com/watch?v="&amp;M2928,"▶"))</f>
        <v/>
      </c>
      <c r="B2928" s="39">
        <f>IF(C2928&lt;&gt;"",C2928,IF(P2928&lt;=IFERROR(INDEX(tblChannels[Watched Through],MATCH(N2928,tblChannels[Channel ID],0)),0),"Watched","Unwatched"))</f>
        <v/>
      </c>
      <c r="C2928" s="40" t="n"/>
      <c r="D2928" s="41" t="n"/>
      <c r="E2928" s="42" t="n">
        <v>41696.01111111111</v>
      </c>
      <c r="F2928" s="50" t="inlineStr">
        <is>
          <t>Super Carlin Brothers</t>
        </is>
      </c>
      <c r="G2928" t="inlineStr">
        <is>
          <t>The Pixar Theory - Andy's Mom</t>
        </is>
      </c>
      <c r="H2928" s="44" t="n">
        <v>0.004340277777777778</v>
      </c>
      <c r="I2928" s="45" t="n">
        <v>2778276</v>
      </c>
      <c r="J2928" s="45" t="n">
        <v>34633</v>
      </c>
      <c r="K2928" s="45" t="n">
        <v>4272</v>
      </c>
      <c r="L2928" s="46" t="n"/>
      <c r="M2928" s="47" t="n"/>
      <c r="N2928" s="47" t="inlineStr">
        <is>
          <t>UCKZo4N0lVPccBkSiuyVh4yg</t>
        </is>
      </c>
      <c r="O2928" s="48" t="n">
        <v>41696.21944444445</v>
      </c>
      <c r="P2928" s="49" t="n">
        <v>41696</v>
      </c>
      <c r="Q2928" s="47" t="n">
        <v>340</v>
      </c>
      <c r="R2928" s="47" t="inlineStr">
        <is>
          <t>No Video ID yet</t>
        </is>
      </c>
      <c r="S2928" s="49" t="n"/>
      <c r="T2928" s="49" t="n"/>
      <c r="U2928" s="47" t="inlineStr">
        <is>
          <t>What are your thoughts on this Theory - Do you think its true? Full Andy's Mom Theory: Full Pixar Theory:</t>
        </is>
      </c>
      <c r="V2928" s="47">
        <f>IF(AND(P2928&gt;=Calendar!$K$2,P2928&lt;EDATE(Calendar!$K$2,1),OR(Calendar!$K$4="*",N2928=Calendar!$K$4)),P2928*100+COUNTIFS($P$6:$P$3267,P2928,$Q$6:$Q$3267,"&lt;="&amp;Q2928,$N$6:$N$3267,Calendar!$K$4),"")</f>
        <v/>
      </c>
      <c r="W2928" s="47">
        <f>IF(AND(B2928=Queue!$C$4,OR(Queue!$K$4="*",N2928=Queue!$K$4)),Q2928,"")</f>
        <v/>
      </c>
    </row>
    <row r="2929">
      <c r="A2929" s="38">
        <f>IF(M2929="","",HYPERLINK("https://www.youtube.com/watch?v="&amp;M2929,"▶"))</f>
        <v/>
      </c>
      <c r="B2929" s="39">
        <f>IF(C2929&lt;&gt;"",C2929,IF(P2929&lt;=IFERROR(INDEX(tblChannels[Watched Through],MATCH(N2929,tblChannels[Channel ID],0)),0),"Watched","Unwatched"))</f>
        <v/>
      </c>
      <c r="C2929" s="40" t="n"/>
      <c r="D2929" s="41" t="n"/>
      <c r="E2929" s="42" t="n">
        <v>41690.85486111111</v>
      </c>
      <c r="F2929" s="50" t="inlineStr">
        <is>
          <t>Super Carlin Brothers</t>
        </is>
      </c>
      <c r="G2929" t="inlineStr">
        <is>
          <t>Nostalgia</t>
        </is>
      </c>
      <c r="H2929" s="44" t="n">
        <v>0.00224537037037037</v>
      </c>
      <c r="I2929" s="45" t="n">
        <v>9812</v>
      </c>
      <c r="J2929" s="45" t="n">
        <v>235</v>
      </c>
      <c r="K2929" s="45" t="n">
        <v>52</v>
      </c>
      <c r="L2929" s="46" t="n"/>
      <c r="M2929" s="47" t="n"/>
      <c r="N2929" s="47" t="inlineStr">
        <is>
          <t>UCKZo4N0lVPccBkSiuyVh4yg</t>
        </is>
      </c>
      <c r="O2929" s="48" t="n">
        <v>41691.06319444445</v>
      </c>
      <c r="P2929" s="49" t="n">
        <v>41690</v>
      </c>
      <c r="Q2929" s="47" t="n">
        <v>339</v>
      </c>
      <c r="R2929" s="47" t="inlineStr">
        <is>
          <t>No Video ID yet</t>
        </is>
      </c>
      <c r="S2929" s="49" t="n"/>
      <c r="T2929" s="49" t="n"/>
      <c r="U2929" s="47" t="inlineStr">
        <is>
          <t>Are you nostalgic about anything? Can you figure out specifically why?</t>
        </is>
      </c>
      <c r="V2929" s="47">
        <f>IF(AND(P2929&gt;=Calendar!$K$2,P2929&lt;EDATE(Calendar!$K$2,1),OR(Calendar!$K$4="*",N2929=Calendar!$K$4)),P2929*100+COUNTIFS($P$6:$P$3267,P2929,$Q$6:$Q$3267,"&lt;="&amp;Q2929,$N$6:$N$3267,Calendar!$K$4),"")</f>
        <v/>
      </c>
      <c r="W2929" s="47">
        <f>IF(AND(B2929=Queue!$C$4,OR(Queue!$K$4="*",N2929=Queue!$K$4)),Q2929,"")</f>
        <v/>
      </c>
    </row>
    <row r="2930">
      <c r="A2930" s="38">
        <f>IF(M2930="","",HYPERLINK("https://www.youtube.com/watch?v="&amp;M2930,"▶"))</f>
        <v/>
      </c>
      <c r="B2930" s="39">
        <f>IF(C2930&lt;&gt;"",C2930,IF(P2930&lt;=IFERROR(INDEX(tblChannels[Watched Through],MATCH(N2930,tblChannels[Channel ID],0)),0),"Watched","Unwatched"))</f>
        <v/>
      </c>
      <c r="C2930" s="40" t="n"/>
      <c r="D2930" s="41" t="n"/>
      <c r="E2930" s="42" t="n">
        <v>41688.93402777778</v>
      </c>
      <c r="F2930" s="50" t="inlineStr">
        <is>
          <t>Super Carlin Brothers</t>
        </is>
      </c>
      <c r="G2930" t="inlineStr">
        <is>
          <t>EAT THE FROG!</t>
        </is>
      </c>
      <c r="H2930" s="44" t="n">
        <v>0.002407407407407408</v>
      </c>
      <c r="I2930" s="45" t="n">
        <v>26613</v>
      </c>
      <c r="J2930" s="45" t="n">
        <v>551</v>
      </c>
      <c r="K2930" s="45" t="n">
        <v>103</v>
      </c>
      <c r="L2930" s="46" t="n"/>
      <c r="M2930" s="47" t="n"/>
      <c r="N2930" s="47" t="inlineStr">
        <is>
          <t>UCKZo4N0lVPccBkSiuyVh4yg</t>
        </is>
      </c>
      <c r="O2930" s="48" t="n">
        <v>41689.14236111111</v>
      </c>
      <c r="P2930" s="49" t="n">
        <v>41688</v>
      </c>
      <c r="Q2930" s="47" t="n">
        <v>338</v>
      </c>
      <c r="R2930" s="47" t="inlineStr">
        <is>
          <t>No Video ID yet</t>
        </is>
      </c>
      <c r="S2930" s="49" t="n"/>
      <c r="T2930" s="49" t="n"/>
      <c r="U2930" s="47" t="inlineStr">
        <is>
          <t>Basically what it comes down to is tadpole breeding... wait.. What is your worst procrastination story?! What is your worst Giraffalent story?!</t>
        </is>
      </c>
      <c r="V2930" s="47">
        <f>IF(AND(P2930&gt;=Calendar!$K$2,P2930&lt;EDATE(Calendar!$K$2,1),OR(Calendar!$K$4="*",N2930=Calendar!$K$4)),P2930*100+COUNTIFS($P$6:$P$3267,P2930,$Q$6:$Q$3267,"&lt;="&amp;Q2930,$N$6:$N$3267,Calendar!$K$4),"")</f>
        <v/>
      </c>
      <c r="W2930" s="47">
        <f>IF(AND(B2930=Queue!$C$4,OR(Queue!$K$4="*",N2930=Queue!$K$4)),Q2930,"")</f>
        <v/>
      </c>
    </row>
    <row r="2931">
      <c r="A2931" s="38">
        <f>IF(M2931="","",HYPERLINK("https://www.youtube.com/watch?v="&amp;M2931,"▶"))</f>
        <v/>
      </c>
      <c r="B2931" s="39">
        <f>IF(C2931&lt;&gt;"",C2931,IF(P2931&lt;=IFERROR(INDEX(tblChannels[Watched Through],MATCH(N2931,tblChannels[Channel ID],0)),0),"Watched","Unwatched"))</f>
        <v/>
      </c>
      <c r="C2931" s="40" t="n"/>
      <c r="D2931" s="41" t="n"/>
      <c r="E2931" s="42" t="n">
        <v>41683.70902777778</v>
      </c>
      <c r="F2931" s="50" t="inlineStr">
        <is>
          <t>Super Carlin Brothers</t>
        </is>
      </c>
      <c r="G2931" t="inlineStr">
        <is>
          <t>Acclimation</t>
        </is>
      </c>
      <c r="H2931" s="44" t="n">
        <v>0.002581018518518519</v>
      </c>
      <c r="I2931" s="45" t="n">
        <v>12727</v>
      </c>
      <c r="J2931" s="45" t="n">
        <v>310</v>
      </c>
      <c r="K2931" s="45" t="n">
        <v>48</v>
      </c>
      <c r="L2931" s="46" t="n"/>
      <c r="M2931" s="47" t="n"/>
      <c r="N2931" s="47" t="inlineStr">
        <is>
          <t>UCKZo4N0lVPccBkSiuyVh4yg</t>
        </is>
      </c>
      <c r="O2931" s="48" t="n">
        <v>41683.91736111111</v>
      </c>
      <c r="P2931" s="49" t="n">
        <v>41683</v>
      </c>
      <c r="Q2931" s="47" t="n">
        <v>337</v>
      </c>
      <c r="R2931" s="47" t="inlineStr">
        <is>
          <t>No Video ID yet</t>
        </is>
      </c>
      <c r="S2931" s="49" t="n"/>
      <c r="T2931" s="49" t="n"/>
      <c r="U2931" s="47" t="inlineStr">
        <is>
          <t>Nearing the end of my college career and before I officially made the decision to be a professional aquarium.... person... I was going through a slough of interviews for companies all over the country. I was, however, never good at interviewing. And to this day I've always had this chip on my shoulder about it. Like why can't they see through this terrible interview into the capable person that I am... So now every success I have I mentally throw in those companies face's. Like HA! See... I can succeed. And even though I absolutely love my career path. And get to do what I genuinely want to do. I am always trying to figure out what I could have said in those interviews that would have gone better. Acclimation is the best response I've come up with yet. Explaining to people and demonstrating my awareness of the acclimation process to a new job or situation. Explaining one of my greatest weaknesses dissipates daily as I get more comfortable with my surroundings. Sometimes I think that chip is a good thing.</t>
        </is>
      </c>
      <c r="V2931" s="47">
        <f>IF(AND(P2931&gt;=Calendar!$K$2,P2931&lt;EDATE(Calendar!$K$2,1),OR(Calendar!$K$4="*",N2931=Calendar!$K$4)),P2931*100+COUNTIFS($P$6:$P$3267,P2931,$Q$6:$Q$3267,"&lt;="&amp;Q2931,$N$6:$N$3267,Calendar!$K$4),"")</f>
        <v/>
      </c>
      <c r="W2931" s="47">
        <f>IF(AND(B2931=Queue!$C$4,OR(Queue!$K$4="*",N2931=Queue!$K$4)),Q2931,"")</f>
        <v/>
      </c>
    </row>
    <row r="2932">
      <c r="A2932" s="38">
        <f>IF(M2932="","",HYPERLINK("https://www.youtube.com/watch?v="&amp;M2932,"▶"))</f>
        <v/>
      </c>
      <c r="B2932" s="39">
        <f>IF(C2932&lt;&gt;"",C2932,IF(P2932&lt;=IFERROR(INDEX(tblChannels[Watched Through],MATCH(N2932,tblChannels[Channel ID],0)),0),"Watched","Unwatched"))</f>
        <v/>
      </c>
      <c r="C2932" s="40" t="n"/>
      <c r="D2932" s="41" t="n"/>
      <c r="E2932" s="42" t="n">
        <v>41681.93541666667</v>
      </c>
      <c r="F2932" s="50" t="inlineStr">
        <is>
          <t>Super Carlin Brothers</t>
        </is>
      </c>
      <c r="G2932" t="inlineStr">
        <is>
          <t>Comfort Food</t>
        </is>
      </c>
      <c r="H2932" s="44" t="n">
        <v>0.002430555555555556</v>
      </c>
      <c r="I2932" s="45" t="n">
        <v>31148</v>
      </c>
      <c r="J2932" s="45" t="n">
        <v>665</v>
      </c>
      <c r="K2932" s="45" t="n">
        <v>153</v>
      </c>
      <c r="L2932" s="46" t="n"/>
      <c r="M2932" s="47" t="n"/>
      <c r="N2932" s="47" t="inlineStr">
        <is>
          <t>UCKZo4N0lVPccBkSiuyVh4yg</t>
        </is>
      </c>
      <c r="O2932" s="48" t="n">
        <v>41682.14375</v>
      </c>
      <c r="P2932" s="49" t="n">
        <v>41681</v>
      </c>
      <c r="Q2932" s="47" t="n">
        <v>336</v>
      </c>
      <c r="R2932" s="47" t="inlineStr">
        <is>
          <t>No Video ID yet</t>
        </is>
      </c>
      <c r="S2932" s="49" t="n"/>
      <c r="T2932" s="49" t="n"/>
      <c r="U2932" s="47" t="inlineStr">
        <is>
          <t>How do you handle a bad day and what is your go to comfort food? FRENCH ONION SOUP IN A SOURDOUGH BREAD BOWL</t>
        </is>
      </c>
      <c r="V2932" s="47">
        <f>IF(AND(P2932&gt;=Calendar!$K$2,P2932&lt;EDATE(Calendar!$K$2,1),OR(Calendar!$K$4="*",N2932=Calendar!$K$4)),P2932*100+COUNTIFS($P$6:$P$3267,P2932,$Q$6:$Q$3267,"&lt;="&amp;Q2932,$N$6:$N$3267,Calendar!$K$4),"")</f>
        <v/>
      </c>
      <c r="W2932" s="47">
        <f>IF(AND(B2932=Queue!$C$4,OR(Queue!$K$4="*",N2932=Queue!$K$4)),Q2932,"")</f>
        <v/>
      </c>
    </row>
    <row r="2933">
      <c r="A2933" s="38">
        <f>IF(M2933="","",HYPERLINK("https://www.youtube.com/watch?v="&amp;M2933,"▶"))</f>
        <v/>
      </c>
      <c r="B2933" s="39">
        <f>IF(C2933&lt;&gt;"",C2933,IF(P2933&lt;=IFERROR(INDEX(tblChannels[Watched Through],MATCH(N2933,tblChannels[Channel ID],0)),0),"Watched","Unwatched"))</f>
        <v/>
      </c>
      <c r="C2933" s="40" t="n"/>
      <c r="D2933" s="41" t="n"/>
      <c r="E2933" s="42" t="n">
        <v>41676.86180555556</v>
      </c>
      <c r="F2933" s="50" t="inlineStr">
        <is>
          <t>Super Carlin Brothers</t>
        </is>
      </c>
      <c r="G2933" t="inlineStr">
        <is>
          <t>Becoming Iconic</t>
        </is>
      </c>
      <c r="H2933" s="44" t="n">
        <v>0.002476851851851852</v>
      </c>
      <c r="I2933" s="45" t="n">
        <v>8467</v>
      </c>
      <c r="J2933" s="45" t="n">
        <v>189</v>
      </c>
      <c r="K2933" s="45" t="n">
        <v>39</v>
      </c>
      <c r="L2933" s="46" t="n"/>
      <c r="M2933" s="47" t="n"/>
      <c r="N2933" s="47" t="inlineStr">
        <is>
          <t>UCKZo4N0lVPccBkSiuyVh4yg</t>
        </is>
      </c>
      <c r="O2933" s="48" t="n">
        <v>41677.07013888889</v>
      </c>
      <c r="P2933" s="49" t="n">
        <v>41676</v>
      </c>
      <c r="Q2933" s="47" t="n">
        <v>335</v>
      </c>
      <c r="R2933" s="47" t="inlineStr">
        <is>
          <t>No Video ID yet</t>
        </is>
      </c>
      <c r="S2933" s="49" t="n"/>
      <c r="T2933" s="49" t="n"/>
      <c r="U2933" s="47" t="inlineStr">
        <is>
          <t>View of Roanoke from the Iconic Star:</t>
        </is>
      </c>
      <c r="V2933" s="47">
        <f>IF(AND(P2933&gt;=Calendar!$K$2,P2933&lt;EDATE(Calendar!$K$2,1),OR(Calendar!$K$4="*",N2933=Calendar!$K$4)),P2933*100+COUNTIFS($P$6:$P$3267,P2933,$Q$6:$Q$3267,"&lt;="&amp;Q2933,$N$6:$N$3267,Calendar!$K$4),"")</f>
        <v/>
      </c>
      <c r="W2933" s="47">
        <f>IF(AND(B2933=Queue!$C$4,OR(Queue!$K$4="*",N2933=Queue!$K$4)),Q2933,"")</f>
        <v/>
      </c>
    </row>
    <row r="2934">
      <c r="A2934" s="38">
        <f>IF(M2934="","",HYPERLINK("https://www.youtube.com/watch?v="&amp;M2934,"▶"))</f>
        <v/>
      </c>
      <c r="B2934" s="39">
        <f>IF(C2934&lt;&gt;"",C2934,IF(P2934&lt;=IFERROR(INDEX(tblChannels[Watched Through],MATCH(N2934,tblChannels[Channel ID],0)),0),"Watched","Unwatched"))</f>
        <v/>
      </c>
      <c r="C2934" s="40" t="n"/>
      <c r="D2934" s="41" t="n"/>
      <c r="E2934" s="42" t="n">
        <v>41674.97152777778</v>
      </c>
      <c r="F2934" s="50" t="inlineStr">
        <is>
          <t>Super Carlin Brothers</t>
        </is>
      </c>
      <c r="G2934" t="inlineStr">
        <is>
          <t>9,497 Days Old!!</t>
        </is>
      </c>
      <c r="H2934" s="44" t="n">
        <v>0.002881944444444444</v>
      </c>
      <c r="I2934" s="45" t="n">
        <v>55384</v>
      </c>
      <c r="J2934" s="45" t="n">
        <v>1113</v>
      </c>
      <c r="K2934" s="45" t="n">
        <v>273</v>
      </c>
      <c r="L2934" s="46" t="n"/>
      <c r="M2934" s="47" t="n"/>
      <c r="N2934" s="47" t="inlineStr">
        <is>
          <t>UCKZo4N0lVPccBkSiuyVh4yg</t>
        </is>
      </c>
      <c r="O2934" s="48" t="n">
        <v>41675.17986111111</v>
      </c>
      <c r="P2934" s="49" t="n">
        <v>41674</v>
      </c>
      <c r="Q2934" s="47" t="n">
        <v>334</v>
      </c>
      <c r="R2934" s="47" t="inlineStr">
        <is>
          <t>No Video ID yet</t>
        </is>
      </c>
      <c r="S2934" s="49" t="n"/>
      <c r="T2934" s="49" t="n"/>
      <c r="U2934" s="47" t="inlineStr">
        <is>
          <t>Do you fear getting older?!!? Hopefully this didnt come across as depressing or anything I actually had a really good day!</t>
        </is>
      </c>
      <c r="V2934" s="47">
        <f>IF(AND(P2934&gt;=Calendar!$K$2,P2934&lt;EDATE(Calendar!$K$2,1),OR(Calendar!$K$4="*",N2934=Calendar!$K$4)),P2934*100+COUNTIFS($P$6:$P$3267,P2934,$Q$6:$Q$3267,"&lt;="&amp;Q2934,$N$6:$N$3267,Calendar!$K$4),"")</f>
        <v/>
      </c>
      <c r="W2934" s="47">
        <f>IF(AND(B2934=Queue!$C$4,OR(Queue!$K$4="*",N2934=Queue!$K$4)),Q2934,"")</f>
        <v/>
      </c>
    </row>
    <row r="2935">
      <c r="A2935" s="38">
        <f>IF(M2935="","",HYPERLINK("https://www.youtube.com/watch?v="&amp;M2935,"▶"))</f>
        <v/>
      </c>
      <c r="B2935" s="39">
        <f>IF(C2935&lt;&gt;"",C2935,IF(P2935&lt;=IFERROR(INDEX(tblChannels[Watched Through],MATCH(N2935,tblChannels[Channel ID],0)),0),"Watched","Unwatched"))</f>
        <v/>
      </c>
      <c r="C2935" s="40" t="n"/>
      <c r="D2935" s="41" t="n"/>
      <c r="E2935" s="42" t="n">
        <v>41669.96458333333</v>
      </c>
      <c r="F2935" s="50" t="inlineStr">
        <is>
          <t>Super Carlin Brothers</t>
        </is>
      </c>
      <c r="G2935" t="inlineStr">
        <is>
          <t>What is your Vision</t>
        </is>
      </c>
      <c r="H2935" s="44" t="n">
        <v>0.003090277777777778</v>
      </c>
      <c r="I2935" s="45" t="n">
        <v>14129</v>
      </c>
      <c r="J2935" s="45" t="n">
        <v>223</v>
      </c>
      <c r="K2935" s="45" t="n">
        <v>37</v>
      </c>
      <c r="L2935" s="46" t="n"/>
      <c r="M2935" s="47" t="n"/>
      <c r="N2935" s="47" t="inlineStr">
        <is>
          <t>UCKZo4N0lVPccBkSiuyVh4yg</t>
        </is>
      </c>
      <c r="O2935" s="48" t="n">
        <v>41670.17291666667</v>
      </c>
      <c r="P2935" s="49" t="n">
        <v>41669</v>
      </c>
      <c r="Q2935" s="47" t="n">
        <v>333</v>
      </c>
      <c r="R2935" s="47" t="inlineStr">
        <is>
          <t>No Video ID yet</t>
        </is>
      </c>
      <c r="S2935" s="49" t="n"/>
      <c r="T2935" s="49" t="n"/>
      <c r="U2935" s="47" t="inlineStr">
        <is>
          <t>When I was in college I had this habit of having a new business idea... every single day. I think it slowly drove my friends crazy because I almost never pitch an idea without being serious. Each new business idea... in the moment felt like the one. But one thing I've learned since I've actually started my business is that things can be harder to accomplish than I would have expected. (Like building enough business to move into a warehouse). I sort of just thought those things came with it. I could envision how it was going to be once I had the facility and a massive customer base and tons of employees... I had no idea how to get there. So one thing I have become a real stickler of when people present me with their ideas... Is the question: "How" And I don't mean it in a discouraging way... if anything I want to encourage them. Thats your vision... How can you make it happen? Once you realize what it's going to take, do you still want to do it? If yes, let me know. I'll invest.</t>
        </is>
      </c>
      <c r="V2935" s="47">
        <f>IF(AND(P2935&gt;=Calendar!$K$2,P2935&lt;EDATE(Calendar!$K$2,1),OR(Calendar!$K$4="*",N2935=Calendar!$K$4)),P2935*100+COUNTIFS($P$6:$P$3267,P2935,$Q$6:$Q$3267,"&lt;="&amp;Q2935,$N$6:$N$3267,Calendar!$K$4),"")</f>
        <v/>
      </c>
      <c r="W2935" s="47">
        <f>IF(AND(B2935=Queue!$C$4,OR(Queue!$K$4="*",N2935=Queue!$K$4)),Q2935,"")</f>
        <v/>
      </c>
    </row>
    <row r="2936">
      <c r="A2936" s="38">
        <f>IF(M2936="","",HYPERLINK("https://www.youtube.com/watch?v="&amp;M2936,"▶"))</f>
        <v/>
      </c>
      <c r="B2936" s="39">
        <f>IF(C2936&lt;&gt;"",C2936,IF(P2936&lt;=IFERROR(INDEX(tblChannels[Watched Through],MATCH(N2936,tblChannels[Channel ID],0)),0),"Watched","Unwatched"))</f>
        <v/>
      </c>
      <c r="C2936" s="40" t="n"/>
      <c r="D2936" s="41" t="n"/>
      <c r="E2936" s="42" t="n">
        <v>41668.02708333333</v>
      </c>
      <c r="F2936" s="50" t="inlineStr">
        <is>
          <t>Super Carlin Brothers</t>
        </is>
      </c>
      <c r="G2936" t="inlineStr">
        <is>
          <t>The Pixar Theory FAQs</t>
        </is>
      </c>
      <c r="H2936" s="44" t="n">
        <v>0.006724537037037037</v>
      </c>
      <c r="I2936" s="45" t="n">
        <v>1049255</v>
      </c>
      <c r="J2936" s="45" t="n">
        <v>13106</v>
      </c>
      <c r="K2936" s="45" t="n">
        <v>2096</v>
      </c>
      <c r="L2936" s="46" t="n"/>
      <c r="M2936" s="47" t="n"/>
      <c r="N2936" s="47" t="inlineStr">
        <is>
          <t>UCKZo4N0lVPccBkSiuyVh4yg</t>
        </is>
      </c>
      <c r="O2936" s="48" t="n">
        <v>41668.23541666667</v>
      </c>
      <c r="P2936" s="49" t="n">
        <v>41668</v>
      </c>
      <c r="Q2936" s="47" t="n">
        <v>332</v>
      </c>
      <c r="R2936" s="47" t="inlineStr">
        <is>
          <t>No Video ID yet</t>
        </is>
      </c>
      <c r="S2936" s="49" t="n"/>
      <c r="T2936" s="49" t="n"/>
      <c r="U2936" s="47" t="inlineStr">
        <is>
          <t>Any other questions? Let me know I'll try and get you answers! FULL THEORY HERE:</t>
        </is>
      </c>
      <c r="V2936" s="47">
        <f>IF(AND(P2936&gt;=Calendar!$K$2,P2936&lt;EDATE(Calendar!$K$2,1),OR(Calendar!$K$4="*",N2936=Calendar!$K$4)),P2936*100+COUNTIFS($P$6:$P$3267,P2936,$Q$6:$Q$3267,"&lt;="&amp;Q2936,$N$6:$N$3267,Calendar!$K$4),"")</f>
        <v/>
      </c>
      <c r="W2936" s="47">
        <f>IF(AND(B2936=Queue!$C$4,OR(Queue!$K$4="*",N2936=Queue!$K$4)),Q2936,"")</f>
        <v/>
      </c>
    </row>
    <row r="2937">
      <c r="A2937" s="38">
        <f>IF(M2937="","",HYPERLINK("https://www.youtube.com/watch?v="&amp;M2937,"▶"))</f>
        <v/>
      </c>
      <c r="B2937" s="39">
        <f>IF(C2937&lt;&gt;"",C2937,IF(P2937&lt;=IFERROR(INDEX(tblChannels[Watched Through],MATCH(N2937,tblChannels[Channel ID],0)),0),"Watched","Unwatched"))</f>
        <v/>
      </c>
      <c r="C2937" s="40" t="n"/>
      <c r="D2937" s="41" t="n"/>
      <c r="E2937" s="42" t="n">
        <v>41662.93888888889</v>
      </c>
      <c r="F2937" s="50" t="inlineStr">
        <is>
          <t>Super Carlin Brothers</t>
        </is>
      </c>
      <c r="G2937" t="inlineStr">
        <is>
          <t>Are We... Smart?</t>
        </is>
      </c>
      <c r="H2937" s="44" t="n">
        <v>0.003090277777777778</v>
      </c>
      <c r="I2937" s="45" t="n">
        <v>21118</v>
      </c>
      <c r="J2937" s="45" t="n">
        <v>413</v>
      </c>
      <c r="K2937" s="45" t="n">
        <v>114</v>
      </c>
      <c r="L2937" s="46" t="n"/>
      <c r="M2937" s="47" t="n"/>
      <c r="N2937" s="47" t="inlineStr">
        <is>
          <t>UCKZo4N0lVPccBkSiuyVh4yg</t>
        </is>
      </c>
      <c r="O2937" s="48" t="n">
        <v>41663.14722222222</v>
      </c>
      <c r="P2937" s="49" t="n">
        <v>41662</v>
      </c>
      <c r="Q2937" s="47" t="n">
        <v>331</v>
      </c>
      <c r="R2937" s="47" t="inlineStr">
        <is>
          <t>No Video ID yet</t>
        </is>
      </c>
      <c r="S2937" s="49" t="n"/>
      <c r="T2937" s="49" t="n"/>
      <c r="U2937" s="47" t="inlineStr">
        <is>
          <t>I wonder a lot about this information that is newly and readily available to us... Because in a lot of cases... this information is actually becoming available during our lifetimes. We've grown up with it enough to fully understand how to access and use it... But also remember a time without it (And therefor embrace it). I can't help but wonder what kind of long term effects it will have on the relationship between older and younger generations... It's naive to think technology will not continue to expand beyond our current bounds but still be second nature for the generations that grow up with it. But have we reached a point where skills may be more applicable across age groups? Will this potential "greater encompassing knowledge" have some kind of bull whip effect as our group reaches leadership positions? I can't wait to see.</t>
        </is>
      </c>
      <c r="V2937" s="47">
        <f>IF(AND(P2937&gt;=Calendar!$K$2,P2937&lt;EDATE(Calendar!$K$2,1),OR(Calendar!$K$4="*",N2937=Calendar!$K$4)),P2937*100+COUNTIFS($P$6:$P$3267,P2937,$Q$6:$Q$3267,"&lt;="&amp;Q2937,$N$6:$N$3267,Calendar!$K$4),"")</f>
        <v/>
      </c>
      <c r="W2937" s="47">
        <f>IF(AND(B2937=Queue!$C$4,OR(Queue!$K$4="*",N2937=Queue!$K$4)),Q2937,"")</f>
        <v/>
      </c>
    </row>
    <row r="2938">
      <c r="A2938" s="38">
        <f>IF(M2938="","",HYPERLINK("https://www.youtube.com/watch?v="&amp;M2938,"▶"))</f>
        <v/>
      </c>
      <c r="B2938" s="39">
        <f>IF(C2938&lt;&gt;"",C2938,IF(P2938&lt;=IFERROR(INDEX(tblChannels[Watched Through],MATCH(N2938,tblChannels[Channel ID],0)),0),"Watched","Unwatched"))</f>
        <v/>
      </c>
      <c r="C2938" s="40" t="n"/>
      <c r="D2938" s="41" t="n"/>
      <c r="E2938" s="42" t="n">
        <v>41661.00347222222</v>
      </c>
      <c r="F2938" s="50" t="inlineStr">
        <is>
          <t>Super Carlin Brothers</t>
        </is>
      </c>
      <c r="G2938" t="inlineStr">
        <is>
          <t>World's Greatest Vlogger!!</t>
        </is>
      </c>
      <c r="H2938" s="44" t="n">
        <v>0.003472222222222222</v>
      </c>
      <c r="I2938" s="45" t="n">
        <v>17607</v>
      </c>
      <c r="J2938" s="45" t="n">
        <v>388</v>
      </c>
      <c r="K2938" s="45" t="n">
        <v>109</v>
      </c>
      <c r="L2938" s="46" t="n"/>
      <c r="M2938" s="47" t="n"/>
      <c r="N2938" s="47" t="inlineStr">
        <is>
          <t>UCKZo4N0lVPccBkSiuyVh4yg</t>
        </is>
      </c>
      <c r="O2938" s="48" t="n">
        <v>41661.21180555555</v>
      </c>
      <c r="P2938" s="49" t="n">
        <v>41661</v>
      </c>
      <c r="Q2938" s="47" t="n">
        <v>330</v>
      </c>
      <c r="R2938" s="47" t="inlineStr">
        <is>
          <t>No Video ID yet</t>
        </is>
      </c>
      <c r="S2938" s="49" t="n"/>
      <c r="T2938" s="49" t="n"/>
      <c r="U2938" s="47" t="inlineStr">
        <is>
          <t>Setting some goals for myself! - Any challenges to add? What should we name the one-eyed orange man? Panikann: FootOfAFerret:</t>
        </is>
      </c>
      <c r="V2938" s="47">
        <f>IF(AND(P2938&gt;=Calendar!$K$2,P2938&lt;EDATE(Calendar!$K$2,1),OR(Calendar!$K$4="*",N2938=Calendar!$K$4)),P2938*100+COUNTIFS($P$6:$P$3267,P2938,$Q$6:$Q$3267,"&lt;="&amp;Q2938,$N$6:$N$3267,Calendar!$K$4),"")</f>
        <v/>
      </c>
      <c r="W2938" s="47">
        <f>IF(AND(B2938=Queue!$C$4,OR(Queue!$K$4="*",N2938=Queue!$K$4)),Q2938,"")</f>
        <v/>
      </c>
    </row>
    <row r="2939">
      <c r="A2939" s="38">
        <f>IF(M2939="","",HYPERLINK("https://www.youtube.com/watch?v="&amp;M2939,"▶"))</f>
        <v/>
      </c>
      <c r="B2939" s="39">
        <f>IF(C2939&lt;&gt;"",C2939,IF(P2939&lt;=IFERROR(INDEX(tblChannels[Watched Through],MATCH(N2939,tblChannels[Channel ID],0)),0),"Watched","Unwatched"))</f>
        <v/>
      </c>
      <c r="C2939" s="40" t="n"/>
      <c r="D2939" s="41" t="n"/>
      <c r="E2939" s="42" t="n">
        <v>41655.94444444445</v>
      </c>
      <c r="F2939" s="50" t="inlineStr">
        <is>
          <t>Super Carlin Brothers</t>
        </is>
      </c>
      <c r="G2939" t="inlineStr">
        <is>
          <t>Thoughts... with Ben</t>
        </is>
      </c>
      <c r="H2939" s="44" t="n">
        <v>0.003391203703703704</v>
      </c>
      <c r="I2939" s="45" t="n">
        <v>9996</v>
      </c>
      <c r="J2939" s="45" t="n">
        <v>260</v>
      </c>
      <c r="K2939" s="45" t="n">
        <v>39</v>
      </c>
      <c r="L2939" s="46" t="n"/>
      <c r="M2939" s="47" t="n"/>
      <c r="N2939" s="47" t="inlineStr">
        <is>
          <t>UCKZo4N0lVPccBkSiuyVh4yg</t>
        </is>
      </c>
      <c r="O2939" s="48" t="n">
        <v>41656.15277777778</v>
      </c>
      <c r="P2939" s="49" t="n">
        <v>41655</v>
      </c>
      <c r="Q2939" s="47" t="n">
        <v>329</v>
      </c>
      <c r="R2939" s="47" t="inlineStr">
        <is>
          <t>No Video ID yet</t>
        </is>
      </c>
      <c r="S2939" s="49" t="n"/>
      <c r="T2939" s="49" t="n"/>
      <c r="U2939" s="47" t="n"/>
      <c r="V2939" s="47">
        <f>IF(AND(P2939&gt;=Calendar!$K$2,P2939&lt;EDATE(Calendar!$K$2,1),OR(Calendar!$K$4="*",N2939=Calendar!$K$4)),P2939*100+COUNTIFS($P$6:$P$3267,P2939,$Q$6:$Q$3267,"&lt;="&amp;Q2939,$N$6:$N$3267,Calendar!$K$4),"")</f>
        <v/>
      </c>
      <c r="W2939" s="47">
        <f>IF(AND(B2939=Queue!$C$4,OR(Queue!$K$4="*",N2939=Queue!$K$4)),Q2939,"")</f>
        <v/>
      </c>
    </row>
    <row r="2940">
      <c r="A2940" s="38">
        <f>IF(M2940="","",HYPERLINK("https://www.youtube.com/watch?v="&amp;M2940,"▶"))</f>
        <v/>
      </c>
      <c r="B2940" s="39">
        <f>IF(C2940&lt;&gt;"",C2940,IF(P2940&lt;=IFERROR(INDEX(tblChannels[Watched Through],MATCH(N2940,tblChannels[Channel ID],0)),0),"Watched","Unwatched"))</f>
        <v/>
      </c>
      <c r="C2940" s="40" t="n"/>
      <c r="D2940" s="41" t="n"/>
      <c r="E2940" s="42" t="n">
        <v>41655.70138888889</v>
      </c>
      <c r="F2940" s="52" t="inlineStr">
        <is>
          <t>Super Carlin Gaming</t>
        </is>
      </c>
      <c r="G2940" t="inlineStr">
        <is>
          <t>Pokemon FireRed Nuzlocke Challenge #11 - BURN!</t>
        </is>
      </c>
      <c r="H2940" s="44" t="n">
        <v>0.0121412037037037</v>
      </c>
      <c r="I2940" s="45" t="n">
        <v>30317</v>
      </c>
      <c r="J2940" s="45" t="n">
        <v>491</v>
      </c>
      <c r="K2940" s="45" t="n">
        <v>60</v>
      </c>
      <c r="L2940" s="46" t="n"/>
      <c r="M2940" s="47" t="n"/>
      <c r="N2940" s="47" t="inlineStr">
        <is>
          <t>UCor_9jRnNNZVzTuQ92PKsaQ</t>
        </is>
      </c>
      <c r="O2940" s="48" t="n">
        <v>41655.90972222222</v>
      </c>
      <c r="P2940" s="49" t="n">
        <v>41655</v>
      </c>
      <c r="Q2940" s="47" t="n">
        <v>328</v>
      </c>
      <c r="R2940" s="47" t="inlineStr">
        <is>
          <t>No Video ID yet</t>
        </is>
      </c>
      <c r="S2940" s="49" t="n"/>
      <c r="T2940" s="49" t="n"/>
      <c r="U2940" s="47" t="inlineStr">
        <is>
          <t>BURN IT TO THE GROUND!!!</t>
        </is>
      </c>
      <c r="V2940" s="47">
        <f>IF(AND(P2940&gt;=Calendar!$K$2,P2940&lt;EDATE(Calendar!$K$2,1),OR(Calendar!$K$4="*",N2940=Calendar!$K$4)),P2940*100+COUNTIFS($P$6:$P$3267,P2940,$Q$6:$Q$3267,"&lt;="&amp;Q2940,$N$6:$N$3267,Calendar!$K$4),"")</f>
        <v/>
      </c>
      <c r="W2940" s="47">
        <f>IF(AND(B2940=Queue!$C$4,OR(Queue!$K$4="*",N2940=Queue!$K$4)),Q2940,"")</f>
        <v/>
      </c>
    </row>
    <row r="2941">
      <c r="A2941" s="38">
        <f>IF(M2941="","",HYPERLINK("https://www.youtube.com/watch?v="&amp;M2941,"▶"))</f>
        <v/>
      </c>
      <c r="B2941" s="39">
        <f>IF(C2941&lt;&gt;"",C2941,IF(P2941&lt;=IFERROR(INDEX(tblChannels[Watched Through],MATCH(N2941,tblChannels[Channel ID],0)),0),"Watched","Unwatched"))</f>
        <v/>
      </c>
      <c r="C2941" s="40" t="n"/>
      <c r="D2941" s="41" t="n"/>
      <c r="E2941" s="42" t="n">
        <v>41653.95</v>
      </c>
      <c r="F2941" s="50" t="inlineStr">
        <is>
          <t>Super Carlin Brothers</t>
        </is>
      </c>
      <c r="G2941" t="inlineStr">
        <is>
          <t>SINGING IN THE CAR! Beth's Top 25</t>
        </is>
      </c>
      <c r="H2941" s="44" t="n">
        <v>0.005358796296296296</v>
      </c>
      <c r="I2941" s="45" t="n">
        <v>53275</v>
      </c>
      <c r="J2941" s="45" t="n">
        <v>1347</v>
      </c>
      <c r="K2941" s="45" t="n">
        <v>249</v>
      </c>
      <c r="L2941" s="46" t="n"/>
      <c r="M2941" s="47" t="n"/>
      <c r="N2941" s="47" t="inlineStr">
        <is>
          <t>UCKZo4N0lVPccBkSiuyVh4yg</t>
        </is>
      </c>
      <c r="O2941" s="48" t="n">
        <v>41654.15833333333</v>
      </c>
      <c r="P2941" s="49" t="n">
        <v>41653</v>
      </c>
      <c r="Q2941" s="47" t="n">
        <v>327</v>
      </c>
      <c r="R2941" s="47" t="inlineStr">
        <is>
          <t>No Video ID yet</t>
        </is>
      </c>
      <c r="S2941" s="49" t="n"/>
      <c r="T2941" s="49" t="n"/>
      <c r="U2941" s="47" t="inlineStr">
        <is>
          <t>The sequel your ears have been bleeding for is finally here! Top song in your iTunes library? (I will totally be singing at the Worst Day of the Year Party next year!) SINGING IN THE CAR: J's Top 25:</t>
        </is>
      </c>
      <c r="V2941" s="47">
        <f>IF(AND(P2941&gt;=Calendar!$K$2,P2941&lt;EDATE(Calendar!$K$2,1),OR(Calendar!$K$4="*",N2941=Calendar!$K$4)),P2941*100+COUNTIFS($P$6:$P$3267,P2941,$Q$6:$Q$3267,"&lt;="&amp;Q2941,$N$6:$N$3267,Calendar!$K$4),"")</f>
        <v/>
      </c>
      <c r="W2941" s="47">
        <f>IF(AND(B2941=Queue!$C$4,OR(Queue!$K$4="*",N2941=Queue!$K$4)),Q2941,"")</f>
        <v/>
      </c>
    </row>
    <row r="2942">
      <c r="A2942" s="38">
        <f>IF(M2942="","",HYPERLINK("https://www.youtube.com/watch?v="&amp;M2942,"▶"))</f>
        <v/>
      </c>
      <c r="B2942" s="39">
        <f>IF(C2942&lt;&gt;"",C2942,IF(P2942&lt;=IFERROR(INDEX(tblChannels[Watched Through],MATCH(N2942,tblChannels[Channel ID],0)),0),"Watched","Unwatched"))</f>
        <v/>
      </c>
      <c r="C2942" s="40" t="n"/>
      <c r="D2942" s="41" t="n"/>
      <c r="E2942" s="42" t="n">
        <v>41648.94166666667</v>
      </c>
      <c r="F2942" s="50" t="inlineStr">
        <is>
          <t>Super Carlin Brothers</t>
        </is>
      </c>
      <c r="G2942" t="inlineStr">
        <is>
          <t>Motivational Advice... With Ben</t>
        </is>
      </c>
      <c r="H2942" s="44" t="n">
        <v>0.002905092592592593</v>
      </c>
      <c r="I2942" s="45" t="n">
        <v>8639</v>
      </c>
      <c r="J2942" s="45" t="n">
        <v>195</v>
      </c>
      <c r="K2942" s="45" t="n">
        <v>38</v>
      </c>
      <c r="L2942" s="46" t="n"/>
      <c r="M2942" s="47" t="n"/>
      <c r="N2942" s="47" t="inlineStr">
        <is>
          <t>UCKZo4N0lVPccBkSiuyVh4yg</t>
        </is>
      </c>
      <c r="O2942" s="48" t="n">
        <v>41649.15</v>
      </c>
      <c r="P2942" s="49" t="n">
        <v>41648</v>
      </c>
      <c r="Q2942" s="47" t="n">
        <v>326</v>
      </c>
      <c r="R2942" s="47" t="inlineStr">
        <is>
          <t>No Video ID yet</t>
        </is>
      </c>
      <c r="S2942" s="49" t="n"/>
      <c r="T2942" s="49" t="n"/>
      <c r="U2942" s="47" t="inlineStr">
        <is>
          <t>Please let there be a day (and please tell me when it happens) when you say "Like my friend Ben always says: Always have both a rooftop koi pond AND a snow machine" It could be surprisingly relatable. Also I say block of ice three times. That's what I get for not writing a script.</t>
        </is>
      </c>
      <c r="V2942" s="47">
        <f>IF(AND(P2942&gt;=Calendar!$K$2,P2942&lt;EDATE(Calendar!$K$2,1),OR(Calendar!$K$4="*",N2942=Calendar!$K$4)),P2942*100+COUNTIFS($P$6:$P$3267,P2942,$Q$6:$Q$3267,"&lt;="&amp;Q2942,$N$6:$N$3267,Calendar!$K$4),"")</f>
        <v/>
      </c>
      <c r="W2942" s="47">
        <f>IF(AND(B2942=Queue!$C$4,OR(Queue!$K$4="*",N2942=Queue!$K$4)),Q2942,"")</f>
        <v/>
      </c>
    </row>
    <row r="2943">
      <c r="A2943" s="38">
        <f>IF(M2943="","",HYPERLINK("https://www.youtube.com/watch?v="&amp;M2943,"▶"))</f>
        <v/>
      </c>
      <c r="B2943" s="39">
        <f>IF(C2943&lt;&gt;"",C2943,IF(P2943&lt;=IFERROR(INDEX(tblChannels[Watched Through],MATCH(N2943,tblChannels[Channel ID],0)),0),"Watched","Unwatched"))</f>
        <v/>
      </c>
      <c r="C2943" s="40" t="n"/>
      <c r="D2943" s="41" t="n"/>
      <c r="E2943" s="42" t="n">
        <v>41646.91180555556</v>
      </c>
      <c r="F2943" s="50" t="inlineStr">
        <is>
          <t>Super Carlin Brothers</t>
        </is>
      </c>
      <c r="G2943" t="inlineStr">
        <is>
          <t>Worst Day of 2014!</t>
        </is>
      </c>
      <c r="H2943" s="44" t="n">
        <v>0.003171296296296296</v>
      </c>
      <c r="I2943" s="45" t="n">
        <v>39389</v>
      </c>
      <c r="J2943" s="45" t="n">
        <v>758</v>
      </c>
      <c r="K2943" s="45" t="n">
        <v>215</v>
      </c>
      <c r="L2943" s="46" t="n"/>
      <c r="M2943" s="47" t="n"/>
      <c r="N2943" s="47" t="inlineStr">
        <is>
          <t>UCKZo4N0lVPccBkSiuyVh4yg</t>
        </is>
      </c>
      <c r="O2943" s="48" t="n">
        <v>41647.12013888889</v>
      </c>
      <c r="P2943" s="49" t="n">
        <v>41646</v>
      </c>
      <c r="Q2943" s="47" t="n">
        <v>325</v>
      </c>
      <c r="R2943" s="47" t="inlineStr">
        <is>
          <t>No Video ID yet</t>
        </is>
      </c>
      <c r="S2943" s="49" t="n"/>
      <c r="T2943" s="49" t="n"/>
      <c r="U2943" s="47" t="inlineStr">
        <is>
          <t>Seriously if you guys don't RSVP..... Why Jan. 6 was the worst day all year ::</t>
        </is>
      </c>
      <c r="V2943" s="47">
        <f>IF(AND(P2943&gt;=Calendar!$K$2,P2943&lt;EDATE(Calendar!$K$2,1),OR(Calendar!$K$4="*",N2943=Calendar!$K$4)),P2943*100+COUNTIFS($P$6:$P$3267,P2943,$Q$6:$Q$3267,"&lt;="&amp;Q2943,$N$6:$N$3267,Calendar!$K$4),"")</f>
        <v/>
      </c>
      <c r="W2943" s="47">
        <f>IF(AND(B2943=Queue!$C$4,OR(Queue!$K$4="*",N2943=Queue!$K$4)),Q2943,"")</f>
        <v/>
      </c>
    </row>
    <row r="2944">
      <c r="A2944" s="38">
        <f>IF(M2944="","",HYPERLINK("https://www.youtube.com/watch?v="&amp;M2944,"▶"))</f>
        <v/>
      </c>
      <c r="B2944" s="39">
        <f>IF(C2944&lt;&gt;"",C2944,IF(P2944&lt;=IFERROR(INDEX(tblChannels[Watched Through],MATCH(N2944,tblChannels[Channel ID],0)),0),"Watched","Unwatched"))</f>
        <v/>
      </c>
      <c r="C2944" s="40" t="n"/>
      <c r="D2944" s="41" t="n"/>
      <c r="E2944" s="42" t="n">
        <v>41641.98194444444</v>
      </c>
      <c r="F2944" s="50" t="inlineStr">
        <is>
          <t>Super Carlin Brothers</t>
        </is>
      </c>
      <c r="G2944" t="inlineStr">
        <is>
          <t>Million Dollar Idea</t>
        </is>
      </c>
      <c r="H2944" s="44" t="n">
        <v>0.002488425925925926</v>
      </c>
      <c r="I2944" s="45" t="n">
        <v>9300</v>
      </c>
      <c r="J2944" s="45" t="n">
        <v>258</v>
      </c>
      <c r="K2944" s="45" t="n">
        <v>73</v>
      </c>
      <c r="L2944" s="46" t="n"/>
      <c r="M2944" s="47" t="n"/>
      <c r="N2944" s="47" t="inlineStr">
        <is>
          <t>UCKZo4N0lVPccBkSiuyVh4yg</t>
        </is>
      </c>
      <c r="O2944" s="48" t="n">
        <v>41642.19027777778</v>
      </c>
      <c r="P2944" s="49" t="n">
        <v>41641</v>
      </c>
      <c r="Q2944" s="47" t="n">
        <v>324</v>
      </c>
      <c r="R2944" s="47" t="inlineStr">
        <is>
          <t>No Video ID yet</t>
        </is>
      </c>
      <c r="S2944" s="49" t="n"/>
      <c r="T2944" s="49" t="n"/>
      <c r="U2944" s="47" t="n"/>
      <c r="V2944" s="47">
        <f>IF(AND(P2944&gt;=Calendar!$K$2,P2944&lt;EDATE(Calendar!$K$2,1),OR(Calendar!$K$4="*",N2944=Calendar!$K$4)),P2944*100+COUNTIFS($P$6:$P$3267,P2944,$Q$6:$Q$3267,"&lt;="&amp;Q2944,$N$6:$N$3267,Calendar!$K$4),"")</f>
        <v/>
      </c>
      <c r="W2944" s="47">
        <f>IF(AND(B2944=Queue!$C$4,OR(Queue!$K$4="*",N2944=Queue!$K$4)),Q2944,"")</f>
        <v/>
      </c>
    </row>
    <row r="2945">
      <c r="A2945" s="38">
        <f>IF(M2945="","",HYPERLINK("https://www.youtube.com/watch?v="&amp;M2945,"▶"))</f>
        <v/>
      </c>
      <c r="B2945" s="39">
        <f>IF(C2945&lt;&gt;"",C2945,IF(P2945&lt;=IFERROR(INDEX(tblChannels[Watched Through],MATCH(N2945,tblChannels[Channel ID],0)),0),"Watched","Unwatched"))</f>
        <v/>
      </c>
      <c r="C2945" s="40" t="n"/>
      <c r="D2945" s="41" t="n"/>
      <c r="E2945" s="42" t="n">
        <v>41639.63055555556</v>
      </c>
      <c r="F2945" s="50" t="inlineStr">
        <is>
          <t>Super Carlin Brothers</t>
        </is>
      </c>
      <c r="G2945" t="inlineStr">
        <is>
          <t>Is Angry Birds for Kids?</t>
        </is>
      </c>
      <c r="H2945" s="44" t="n">
        <v>0.003460648148148148</v>
      </c>
      <c r="I2945" s="45" t="n">
        <v>171577</v>
      </c>
      <c r="J2945" s="45" t="n">
        <v>2513</v>
      </c>
      <c r="K2945" s="45" t="n">
        <v>432</v>
      </c>
      <c r="L2945" s="46" t="n"/>
      <c r="M2945" s="47" t="n"/>
      <c r="N2945" s="47" t="inlineStr">
        <is>
          <t>UCKZo4N0lVPccBkSiuyVh4yg</t>
        </is>
      </c>
      <c r="O2945" s="48" t="n">
        <v>41639.83888888889</v>
      </c>
      <c r="P2945" s="49" t="n">
        <v>41639</v>
      </c>
      <c r="Q2945" s="47" t="n">
        <v>323</v>
      </c>
      <c r="R2945" s="47" t="inlineStr">
        <is>
          <t>No Video ID yet</t>
        </is>
      </c>
      <c r="S2945" s="49" t="n"/>
      <c r="T2945" s="49" t="n"/>
      <c r="U2945" s="47" t="inlineStr">
        <is>
          <t>Basically what I'm trying to say is.. please send me fruit snacks!</t>
        </is>
      </c>
      <c r="V2945" s="47">
        <f>IF(AND(P2945&gt;=Calendar!$K$2,P2945&lt;EDATE(Calendar!$K$2,1),OR(Calendar!$K$4="*",N2945=Calendar!$K$4)),P2945*100+COUNTIFS($P$6:$P$3267,P2945,$Q$6:$Q$3267,"&lt;="&amp;Q2945,$N$6:$N$3267,Calendar!$K$4),"")</f>
        <v/>
      </c>
      <c r="W2945" s="47">
        <f>IF(AND(B2945=Queue!$C$4,OR(Queue!$K$4="*",N2945=Queue!$K$4)),Q2945,"")</f>
        <v/>
      </c>
    </row>
    <row r="2946">
      <c r="A2946" s="38">
        <f>IF(M2946="","",HYPERLINK("https://www.youtube.com/watch?v="&amp;M2946,"▶"))</f>
        <v/>
      </c>
      <c r="B2946" s="39">
        <f>IF(C2946&lt;&gt;"",C2946,IF(P2946&lt;=IFERROR(INDEX(tblChannels[Watched Through],MATCH(N2946,tblChannels[Channel ID],0)),0),"Watched","Unwatched"))</f>
        <v/>
      </c>
      <c r="C2946" s="40" t="n"/>
      <c r="D2946" s="41" t="n"/>
      <c r="E2946" s="42" t="n">
        <v>41627.91736111111</v>
      </c>
      <c r="F2946" s="50" t="inlineStr">
        <is>
          <t>Super Carlin Brothers</t>
        </is>
      </c>
      <c r="G2946" t="inlineStr">
        <is>
          <t>Anti-Tourist</t>
        </is>
      </c>
      <c r="H2946" s="44" t="n">
        <v>0.002638888888888889</v>
      </c>
      <c r="I2946" s="45" t="n">
        <v>9404</v>
      </c>
      <c r="J2946" s="45" t="n">
        <v>229</v>
      </c>
      <c r="K2946" s="45" t="n">
        <v>55</v>
      </c>
      <c r="L2946" s="46" t="n"/>
      <c r="M2946" s="47" t="n"/>
      <c r="N2946" s="47" t="inlineStr">
        <is>
          <t>UCKZo4N0lVPccBkSiuyVh4yg</t>
        </is>
      </c>
      <c r="O2946" s="48" t="n">
        <v>41628.12569444445</v>
      </c>
      <c r="P2946" s="49" t="n">
        <v>41627</v>
      </c>
      <c r="Q2946" s="47" t="n">
        <v>322</v>
      </c>
      <c r="R2946" s="47" t="inlineStr">
        <is>
          <t>No Video ID yet</t>
        </is>
      </c>
      <c r="S2946" s="49" t="n"/>
      <c r="T2946" s="49" t="n"/>
      <c r="U2946" s="47" t="inlineStr">
        <is>
          <t>i.e.: Rank enjoyment of an activity on a scale of 1-10. Rank awesomeness of location on a scale of 1-10. Multiply. Standing: Activity Points: 1 Uluru: Location Points: 10 1 x 10 = 10. Snowboarding: Activity Points: 10 Colorado: Location Points: 10 10 x 10 = 100. That's roughly what I'm saying yall.</t>
        </is>
      </c>
      <c r="V2946" s="47">
        <f>IF(AND(P2946&gt;=Calendar!$K$2,P2946&lt;EDATE(Calendar!$K$2,1),OR(Calendar!$K$4="*",N2946=Calendar!$K$4)),P2946*100+COUNTIFS($P$6:$P$3267,P2946,$Q$6:$Q$3267,"&lt;="&amp;Q2946,$N$6:$N$3267,Calendar!$K$4),"")</f>
        <v/>
      </c>
      <c r="W2946" s="47">
        <f>IF(AND(B2946=Queue!$C$4,OR(Queue!$K$4="*",N2946=Queue!$K$4)),Q2946,"")</f>
        <v/>
      </c>
    </row>
    <row r="2947">
      <c r="A2947" s="38">
        <f>IF(M2947="","",HYPERLINK("https://www.youtube.com/watch?v="&amp;M2947,"▶"))</f>
        <v/>
      </c>
      <c r="B2947" s="39">
        <f>IF(C2947&lt;&gt;"",C2947,IF(P2947&lt;=IFERROR(INDEX(tblChannels[Watched Through],MATCH(N2947,tblChannels[Channel ID],0)),0),"Watched","Unwatched"))</f>
        <v/>
      </c>
      <c r="C2947" s="40" t="n"/>
      <c r="D2947" s="41" t="n"/>
      <c r="E2947" s="42" t="n">
        <v>41625.91805555556</v>
      </c>
      <c r="F2947" s="50" t="inlineStr">
        <is>
          <t>Super Carlin Brothers</t>
        </is>
      </c>
      <c r="G2947" t="inlineStr">
        <is>
          <t>Project For Awesome 2013: Big Brothers Big Sisters</t>
        </is>
      </c>
      <c r="H2947" s="44" t="n">
        <v>0.002604166666666667</v>
      </c>
      <c r="I2947" s="45" t="n">
        <v>8434</v>
      </c>
      <c r="J2947" s="45" t="n">
        <v>329</v>
      </c>
      <c r="K2947" s="45" t="n">
        <v>210</v>
      </c>
      <c r="L2947" s="46" t="n"/>
      <c r="M2947" s="47" t="n"/>
      <c r="N2947" s="47" t="inlineStr">
        <is>
          <t>UCKZo4N0lVPccBkSiuyVh4yg</t>
        </is>
      </c>
      <c r="O2947" s="48" t="n">
        <v>41626.12638888889</v>
      </c>
      <c r="P2947" s="49" t="n">
        <v>41625</v>
      </c>
      <c r="Q2947" s="47" t="n">
        <v>321</v>
      </c>
      <c r="R2947" s="47" t="inlineStr">
        <is>
          <t>No Video ID yet</t>
        </is>
      </c>
      <c r="S2947" s="49" t="n"/>
      <c r="T2947" s="49" t="n"/>
      <c r="U2947" s="47" t="inlineStr">
        <is>
          <t>Big Brothers Big Sisters of Southwest Virginia: Big Brothers Big Sisters National: Vote for this video here :: DFTBA</t>
        </is>
      </c>
      <c r="V2947" s="47">
        <f>IF(AND(P2947&gt;=Calendar!$K$2,P2947&lt;EDATE(Calendar!$K$2,1),OR(Calendar!$K$4="*",N2947=Calendar!$K$4)),P2947*100+COUNTIFS($P$6:$P$3267,P2947,$Q$6:$Q$3267,"&lt;="&amp;Q2947,$N$6:$N$3267,Calendar!$K$4),"")</f>
        <v/>
      </c>
      <c r="W2947" s="47">
        <f>IF(AND(B2947=Queue!$C$4,OR(Queue!$K$4="*",N2947=Queue!$K$4)),Q2947,"")</f>
        <v/>
      </c>
    </row>
    <row r="2948">
      <c r="A2948" s="38">
        <f>IF(M2948="","",HYPERLINK("https://www.youtube.com/watch?v="&amp;M2948,"▶"))</f>
        <v/>
      </c>
      <c r="B2948" s="39">
        <f>IF(C2948&lt;&gt;"",C2948,IF(P2948&lt;=IFERROR(INDEX(tblChannels[Watched Through],MATCH(N2948,tblChannels[Channel ID],0)),0),"Watched","Unwatched"))</f>
        <v/>
      </c>
      <c r="C2948" s="40" t="n"/>
      <c r="D2948" s="41" t="n"/>
      <c r="E2948" s="42" t="n">
        <v>41625.87361111111</v>
      </c>
      <c r="F2948" s="52" t="inlineStr">
        <is>
          <t>Super Carlin Gaming</t>
        </is>
      </c>
      <c r="G2948" t="inlineStr">
        <is>
          <t>Pokemon FireRed Nuzlocke Challenge #10 - SELFDESTRUCT</t>
        </is>
      </c>
      <c r="H2948" s="44" t="n">
        <v>0.01685185185185185</v>
      </c>
      <c r="I2948" s="45" t="n">
        <v>34307</v>
      </c>
      <c r="J2948" s="45" t="n">
        <v>531</v>
      </c>
      <c r="K2948" s="45" t="n">
        <v>257</v>
      </c>
      <c r="L2948" s="46" t="n"/>
      <c r="M2948" s="47" t="n"/>
      <c r="N2948" s="47" t="inlineStr">
        <is>
          <t>UCor_9jRnNNZVzTuQ92PKsaQ</t>
        </is>
      </c>
      <c r="O2948" s="48" t="n">
        <v>41626.08194444444</v>
      </c>
      <c r="P2948" s="49" t="n">
        <v>41625</v>
      </c>
      <c r="Q2948" s="47" t="n">
        <v>320</v>
      </c>
      <c r="R2948" s="47" t="inlineStr">
        <is>
          <t>No Video ID yet</t>
        </is>
      </c>
      <c r="S2948" s="49" t="n"/>
      <c r="T2948" s="49" t="n"/>
      <c r="U2948" s="47" t="inlineStr">
        <is>
          <t>I SHOULD HAVE USED SLEEP POWER!...</t>
        </is>
      </c>
      <c r="V2948" s="47">
        <f>IF(AND(P2948&gt;=Calendar!$K$2,P2948&lt;EDATE(Calendar!$K$2,1),OR(Calendar!$K$4="*",N2948=Calendar!$K$4)),P2948*100+COUNTIFS($P$6:$P$3267,P2948,$Q$6:$Q$3267,"&lt;="&amp;Q2948,$N$6:$N$3267,Calendar!$K$4),"")</f>
        <v/>
      </c>
      <c r="W2948" s="47">
        <f>IF(AND(B2948=Queue!$C$4,OR(Queue!$K$4="*",N2948=Queue!$K$4)),Q2948,"")</f>
        <v/>
      </c>
    </row>
    <row r="2949">
      <c r="A2949" s="38">
        <f>IF(M2949="","",HYPERLINK("https://www.youtube.com/watch?v="&amp;M2949,"▶"))</f>
        <v/>
      </c>
      <c r="B2949" s="39">
        <f>IF(C2949&lt;&gt;"",C2949,IF(P2949&lt;=IFERROR(INDEX(tblChannels[Watched Through],MATCH(N2949,tblChannels[Channel ID],0)),0),"Watched","Unwatched"))</f>
        <v/>
      </c>
      <c r="C2949" s="40" t="n"/>
      <c r="D2949" s="41" t="n"/>
      <c r="E2949" s="42" t="n">
        <v>41620.93055555555</v>
      </c>
      <c r="F2949" s="50" t="inlineStr">
        <is>
          <t>Super Carlin Brothers</t>
        </is>
      </c>
      <c r="G2949" t="inlineStr">
        <is>
          <t>Gift Giving Clichés</t>
        </is>
      </c>
      <c r="H2949" s="44" t="n">
        <v>0.002453703703703704</v>
      </c>
      <c r="I2949" s="45" t="n">
        <v>12069</v>
      </c>
      <c r="J2949" s="45" t="n">
        <v>270</v>
      </c>
      <c r="K2949" s="45" t="n">
        <v>40</v>
      </c>
      <c r="L2949" s="46" t="n"/>
      <c r="M2949" s="47" t="n"/>
      <c r="N2949" s="47" t="inlineStr">
        <is>
          <t>UCKZo4N0lVPccBkSiuyVh4yg</t>
        </is>
      </c>
      <c r="O2949" s="48" t="n">
        <v>41621.13888888889</v>
      </c>
      <c r="P2949" s="49" t="n">
        <v>41620</v>
      </c>
      <c r="Q2949" s="47" t="n">
        <v>319</v>
      </c>
      <c r="R2949" s="47" t="inlineStr">
        <is>
          <t>No Video ID yet</t>
        </is>
      </c>
      <c r="S2949" s="49" t="n"/>
      <c r="T2949" s="49" t="n"/>
      <c r="U2949" s="47" t="inlineStr">
        <is>
          <t>What kind of gift giver or gift receiver are you?</t>
        </is>
      </c>
      <c r="V2949" s="47">
        <f>IF(AND(P2949&gt;=Calendar!$K$2,P2949&lt;EDATE(Calendar!$K$2,1),OR(Calendar!$K$4="*",N2949=Calendar!$K$4)),P2949*100+COUNTIFS($P$6:$P$3267,P2949,$Q$6:$Q$3267,"&lt;="&amp;Q2949,$N$6:$N$3267,Calendar!$K$4),"")</f>
        <v/>
      </c>
      <c r="W2949" s="47">
        <f>IF(AND(B2949=Queue!$C$4,OR(Queue!$K$4="*",N2949=Queue!$K$4)),Q2949,"")</f>
        <v/>
      </c>
    </row>
    <row r="2950">
      <c r="A2950" s="38">
        <f>IF(M2950="","",HYPERLINK("https://www.youtube.com/watch?v="&amp;M2950,"▶"))</f>
        <v/>
      </c>
      <c r="B2950" s="39">
        <f>IF(C2950&lt;&gt;"",C2950,IF(P2950&lt;=IFERROR(INDEX(tblChannels[Watched Through],MATCH(N2950,tblChannels[Channel ID],0)),0),"Watched","Unwatched"))</f>
        <v/>
      </c>
      <c r="C2950" s="40" t="n"/>
      <c r="D2950" s="41" t="n"/>
      <c r="E2950" s="42" t="n">
        <v>41618.94513888889</v>
      </c>
      <c r="F2950" s="50" t="inlineStr">
        <is>
          <t>Super Carlin Brothers</t>
        </is>
      </c>
      <c r="G2950" t="inlineStr">
        <is>
          <t>12 Things You Will Do This Winter</t>
        </is>
      </c>
      <c r="H2950" s="44" t="n">
        <v>0.002280092592592593</v>
      </c>
      <c r="I2950" s="45" t="n">
        <v>45500</v>
      </c>
      <c r="J2950" s="45" t="n">
        <v>814</v>
      </c>
      <c r="K2950" s="45" t="n">
        <v>177</v>
      </c>
      <c r="L2950" s="46" t="n"/>
      <c r="M2950" s="47" t="n"/>
      <c r="N2950" s="47" t="inlineStr">
        <is>
          <t>UCKZo4N0lVPccBkSiuyVh4yg</t>
        </is>
      </c>
      <c r="O2950" s="48" t="n">
        <v>41619.15347222222</v>
      </c>
      <c r="P2950" s="49" t="n">
        <v>41618</v>
      </c>
      <c r="Q2950" s="47" t="n">
        <v>318</v>
      </c>
      <c r="R2950" s="47" t="inlineStr">
        <is>
          <t>No Video ID yet</t>
        </is>
      </c>
      <c r="S2950" s="49" t="n"/>
      <c r="T2950" s="49" t="n"/>
      <c r="U2950" s="47" t="inlineStr">
        <is>
          <t>Admit it, you can't beat her at Scrabble.. What are some other Winter stereotypes?</t>
        </is>
      </c>
      <c r="V2950" s="47">
        <f>IF(AND(P2950&gt;=Calendar!$K$2,P2950&lt;EDATE(Calendar!$K$2,1),OR(Calendar!$K$4="*",N2950=Calendar!$K$4)),P2950*100+COUNTIFS($P$6:$P$3267,P2950,$Q$6:$Q$3267,"&lt;="&amp;Q2950,$N$6:$N$3267,Calendar!$K$4),"")</f>
        <v/>
      </c>
      <c r="W2950" s="47">
        <f>IF(AND(B2950=Queue!$C$4,OR(Queue!$K$4="*",N2950=Queue!$K$4)),Q2950,"")</f>
        <v/>
      </c>
    </row>
    <row r="2951">
      <c r="A2951" s="38">
        <f>IF(M2951="","",HYPERLINK("https://www.youtube.com/watch?v="&amp;M2951,"▶"))</f>
        <v/>
      </c>
      <c r="B2951" s="39">
        <f>IF(C2951&lt;&gt;"",C2951,IF(P2951&lt;=IFERROR(INDEX(tblChannels[Watched Through],MATCH(N2951,tblChannels[Channel ID],0)),0),"Watched","Unwatched"))</f>
        <v/>
      </c>
      <c r="C2951" s="40" t="n"/>
      <c r="D2951" s="41" t="n"/>
      <c r="E2951" s="42" t="n">
        <v>41613.97777777778</v>
      </c>
      <c r="F2951" s="50" t="inlineStr">
        <is>
          <t>Super Carlin Brothers</t>
        </is>
      </c>
      <c r="G2951" t="inlineStr">
        <is>
          <t>Amazon Drones</t>
        </is>
      </c>
      <c r="H2951" s="44" t="n">
        <v>0.001597222222222222</v>
      </c>
      <c r="I2951" s="45" t="n">
        <v>8282</v>
      </c>
      <c r="J2951" s="45" t="n">
        <v>169</v>
      </c>
      <c r="K2951" s="45" t="n">
        <v>28</v>
      </c>
      <c r="L2951" s="46" t="n"/>
      <c r="M2951" s="47" t="n"/>
      <c r="N2951" s="47" t="inlineStr">
        <is>
          <t>UCKZo4N0lVPccBkSiuyVh4yg</t>
        </is>
      </c>
      <c r="O2951" s="48" t="n">
        <v>41614.18611111111</v>
      </c>
      <c r="P2951" s="49" t="n">
        <v>41613</v>
      </c>
      <c r="Q2951" s="47" t="n">
        <v>317</v>
      </c>
      <c r="R2951" s="47" t="inlineStr">
        <is>
          <t>No Video ID yet</t>
        </is>
      </c>
      <c r="S2951" s="49" t="n"/>
      <c r="T2951" s="49" t="n"/>
      <c r="U2951" s="47" t="inlineStr">
        <is>
          <t>Sorry for the seemingly pointless video. The idea was to give an example of how I would tell a story to get you to be on my side by the end of it. Similar to the concept of J's video "YOU KNOW WHAT I MEAN." I really do think this concept stand to be pretty groundbreaking. Wouldn't it be crazy to get an amazon order delivered faster than a pizza?</t>
        </is>
      </c>
      <c r="V2951" s="47">
        <f>IF(AND(P2951&gt;=Calendar!$K$2,P2951&lt;EDATE(Calendar!$K$2,1),OR(Calendar!$K$4="*",N2951=Calendar!$K$4)),P2951*100+COUNTIFS($P$6:$P$3267,P2951,$Q$6:$Q$3267,"&lt;="&amp;Q2951,$N$6:$N$3267,Calendar!$K$4),"")</f>
        <v/>
      </c>
      <c r="W2951" s="47">
        <f>IF(AND(B2951=Queue!$C$4,OR(Queue!$K$4="*",N2951=Queue!$K$4)),Q2951,"")</f>
        <v/>
      </c>
    </row>
    <row r="2952">
      <c r="A2952" s="38">
        <f>IF(M2952="","",HYPERLINK("https://www.youtube.com/watch?v="&amp;M2952,"▶"))</f>
        <v/>
      </c>
      <c r="B2952" s="39">
        <f>IF(C2952&lt;&gt;"",C2952,IF(P2952&lt;=IFERROR(INDEX(tblChannels[Watched Through],MATCH(N2952,tblChannels[Channel ID],0)),0),"Watched","Unwatched"))</f>
        <v/>
      </c>
      <c r="C2952" s="40" t="n"/>
      <c r="D2952" s="41" t="n"/>
      <c r="E2952" s="42" t="n">
        <v>41611.93194444444</v>
      </c>
      <c r="F2952" s="50" t="inlineStr">
        <is>
          <t>Super Carlin Brothers</t>
        </is>
      </c>
      <c r="G2952" t="inlineStr">
        <is>
          <t>YOU KNOW WHAT I MEAN!</t>
        </is>
      </c>
      <c r="H2952" s="44" t="n">
        <v>0.002395833333333333</v>
      </c>
      <c r="I2952" s="45" t="n">
        <v>42150</v>
      </c>
      <c r="J2952" s="45" t="n">
        <v>1272</v>
      </c>
      <c r="K2952" s="45" t="n">
        <v>173</v>
      </c>
      <c r="L2952" s="46" t="n"/>
      <c r="M2952" s="47" t="n"/>
      <c r="N2952" s="47" t="inlineStr">
        <is>
          <t>UCKZo4N0lVPccBkSiuyVh4yg</t>
        </is>
      </c>
      <c r="O2952" s="48" t="n">
        <v>41612.14027777778</v>
      </c>
      <c r="P2952" s="49" t="n">
        <v>41611</v>
      </c>
      <c r="Q2952" s="47" t="n">
        <v>316</v>
      </c>
      <c r="R2952" s="47" t="inlineStr">
        <is>
          <t>No Video ID yet</t>
        </is>
      </c>
      <c r="S2952" s="49" t="n"/>
      <c r="T2952" s="49" t="n"/>
      <c r="U2952" s="47" t="inlineStr">
        <is>
          <t>If you know what I mean... What are super manipulative phrases and/or just annoying over used ones???</t>
        </is>
      </c>
      <c r="V2952" s="47">
        <f>IF(AND(P2952&gt;=Calendar!$K$2,P2952&lt;EDATE(Calendar!$K$2,1),OR(Calendar!$K$4="*",N2952=Calendar!$K$4)),P2952*100+COUNTIFS($P$6:$P$3267,P2952,$Q$6:$Q$3267,"&lt;="&amp;Q2952,$N$6:$N$3267,Calendar!$K$4),"")</f>
        <v/>
      </c>
      <c r="W2952" s="47">
        <f>IF(AND(B2952=Queue!$C$4,OR(Queue!$K$4="*",N2952=Queue!$K$4)),Q2952,"")</f>
        <v/>
      </c>
    </row>
    <row r="2953">
      <c r="A2953" s="38">
        <f>IF(M2953="","",HYPERLINK("https://www.youtube.com/watch?v="&amp;M2953,"▶"))</f>
        <v/>
      </c>
      <c r="B2953" s="39">
        <f>IF(C2953&lt;&gt;"",C2953,IF(P2953&lt;=IFERROR(INDEX(tblChannels[Watched Through],MATCH(N2953,tblChannels[Channel ID],0)),0),"Watched","Unwatched"))</f>
        <v/>
      </c>
      <c r="C2953" s="40" t="n"/>
      <c r="D2953" s="41" t="n"/>
      <c r="E2953" s="42" t="n">
        <v>41611.33611111111</v>
      </c>
      <c r="F2953" s="52" t="inlineStr">
        <is>
          <t>Super Carlin Gaming</t>
        </is>
      </c>
      <c r="G2953" t="inlineStr">
        <is>
          <t>Pokemon FireRed Nuzlocke Challenge #9 - FANG UNIT ALPHA</t>
        </is>
      </c>
      <c r="H2953" s="44" t="n">
        <v>0.01480324074074074</v>
      </c>
      <c r="I2953" s="45" t="n">
        <v>33926</v>
      </c>
      <c r="J2953" s="45" t="n">
        <v>530</v>
      </c>
      <c r="K2953" s="45" t="n">
        <v>45</v>
      </c>
      <c r="L2953" s="46" t="n"/>
      <c r="M2953" s="47" t="n"/>
      <c r="N2953" s="47" t="inlineStr">
        <is>
          <t>UCor_9jRnNNZVzTuQ92PKsaQ</t>
        </is>
      </c>
      <c r="O2953" s="48" t="n">
        <v>41611.54444444444</v>
      </c>
      <c r="P2953" s="49" t="n">
        <v>41611</v>
      </c>
      <c r="Q2953" s="47" t="n">
        <v>315</v>
      </c>
      <c r="R2953" s="47" t="inlineStr">
        <is>
          <t>No Video ID yet</t>
        </is>
      </c>
      <c r="S2953" s="49" t="n"/>
      <c r="T2953" s="49" t="n"/>
      <c r="U2953" s="47" t="inlineStr">
        <is>
          <t>FANG UNIT ALPHA grinds their way into usability and we take on Team Rocket at the Game Corner.</t>
        </is>
      </c>
      <c r="V2953" s="47">
        <f>IF(AND(P2953&gt;=Calendar!$K$2,P2953&lt;EDATE(Calendar!$K$2,1),OR(Calendar!$K$4="*",N2953=Calendar!$K$4)),P2953*100+COUNTIFS($P$6:$P$3267,P2953,$Q$6:$Q$3267,"&lt;="&amp;Q2953,$N$6:$N$3267,Calendar!$K$4),"")</f>
        <v/>
      </c>
      <c r="W2953" s="47">
        <f>IF(AND(B2953=Queue!$C$4,OR(Queue!$K$4="*",N2953=Queue!$K$4)),Q2953,"")</f>
        <v/>
      </c>
    </row>
    <row r="2954">
      <c r="A2954" s="38">
        <f>IF(M2954="","",HYPERLINK("https://www.youtube.com/watch?v="&amp;M2954,"▶"))</f>
        <v/>
      </c>
      <c r="B2954" s="39">
        <f>IF(C2954&lt;&gt;"",C2954,IF(P2954&lt;=IFERROR(INDEX(tblChannels[Watched Through],MATCH(N2954,tblChannels[Channel ID],0)),0),"Watched","Unwatched"))</f>
        <v/>
      </c>
      <c r="C2954" s="40" t="n"/>
      <c r="D2954" s="41" t="n"/>
      <c r="E2954" s="42" t="n">
        <v>41606.61666666667</v>
      </c>
      <c r="F2954" s="50" t="inlineStr">
        <is>
          <t>Super Carlin Brothers</t>
        </is>
      </c>
      <c r="G2954" t="inlineStr">
        <is>
          <t>Juxtabros, Thanksgiving, and Apocalypse</t>
        </is>
      </c>
      <c r="H2954" s="44" t="n">
        <v>0.003159722222222222</v>
      </c>
      <c r="I2954" s="45" t="n">
        <v>47391</v>
      </c>
      <c r="J2954" s="45" t="n">
        <v>830</v>
      </c>
      <c r="K2954" s="45" t="n">
        <v>168</v>
      </c>
      <c r="L2954" s="46" t="n"/>
      <c r="M2954" s="47" t="n"/>
      <c r="N2954" s="47" t="inlineStr">
        <is>
          <t>UCKZo4N0lVPccBkSiuyVh4yg</t>
        </is>
      </c>
      <c r="O2954" s="48" t="n">
        <v>41606.825</v>
      </c>
      <c r="P2954" s="49" t="n">
        <v>41606</v>
      </c>
      <c r="Q2954" s="47" t="n">
        <v>314</v>
      </c>
      <c r="R2954" s="47" t="inlineStr">
        <is>
          <t>No Video ID yet</t>
        </is>
      </c>
      <c r="S2954" s="49" t="n"/>
      <c r="T2954" s="49" t="n"/>
      <c r="U2954" s="47" t="inlineStr">
        <is>
          <t>Happy Thanksgiving! What are you thankful for this year?</t>
        </is>
      </c>
      <c r="V2954" s="47">
        <f>IF(AND(P2954&gt;=Calendar!$K$2,P2954&lt;EDATE(Calendar!$K$2,1),OR(Calendar!$K$4="*",N2954=Calendar!$K$4)),P2954*100+COUNTIFS($P$6:$P$3267,P2954,$Q$6:$Q$3267,"&lt;="&amp;Q2954,$N$6:$N$3267,Calendar!$K$4),"")</f>
        <v/>
      </c>
      <c r="W2954" s="47">
        <f>IF(AND(B2954=Queue!$C$4,OR(Queue!$K$4="*",N2954=Queue!$K$4)),Q2954,"")</f>
        <v/>
      </c>
    </row>
    <row r="2955">
      <c r="A2955" s="38">
        <f>IF(M2955="","",HYPERLINK("https://www.youtube.com/watch?v="&amp;M2955,"▶"))</f>
        <v/>
      </c>
      <c r="B2955" s="39">
        <f>IF(C2955&lt;&gt;"",C2955,IF(P2955&lt;=IFERROR(INDEX(tblChannels[Watched Through],MATCH(N2955,tblChannels[Channel ID],0)),0),"Watched","Unwatched"))</f>
        <v/>
      </c>
      <c r="C2955" s="40" t="n"/>
      <c r="D2955" s="41" t="n"/>
      <c r="E2955" s="42" t="n">
        <v>41604.90347222222</v>
      </c>
      <c r="F2955" s="50" t="inlineStr">
        <is>
          <t>Super Carlin Brothers</t>
        </is>
      </c>
      <c r="G2955" t="inlineStr">
        <is>
          <t>THE COTTON BALL CHALLENGE WITH BETH!</t>
        </is>
      </c>
      <c r="H2955" s="44" t="n">
        <v>0.004780092592592593</v>
      </c>
      <c r="I2955" s="45" t="n">
        <v>85888</v>
      </c>
      <c r="J2955" s="45" t="n">
        <v>2579</v>
      </c>
      <c r="K2955" s="45" t="n">
        <v>139</v>
      </c>
      <c r="L2955" s="46" t="n"/>
      <c r="M2955" s="47" t="n"/>
      <c r="N2955" s="47" t="inlineStr">
        <is>
          <t>UCKZo4N0lVPccBkSiuyVh4yg</t>
        </is>
      </c>
      <c r="O2955" s="48" t="n">
        <v>41605.11180555556</v>
      </c>
      <c r="P2955" s="49" t="n">
        <v>41604</v>
      </c>
      <c r="Q2955" s="47" t="n">
        <v>313</v>
      </c>
      <c r="R2955" s="47" t="inlineStr">
        <is>
          <t>No Video ID yet</t>
        </is>
      </c>
      <c r="S2955" s="49" t="n"/>
      <c r="T2955" s="49" t="n"/>
      <c r="U2955" s="47" t="inlineStr">
        <is>
          <t>Leave Ben, Ty and I questions for JUXTABROS!!! Any other challenges you'd like to see us try?</t>
        </is>
      </c>
      <c r="V2955" s="47">
        <f>IF(AND(P2955&gt;=Calendar!$K$2,P2955&lt;EDATE(Calendar!$K$2,1),OR(Calendar!$K$4="*",N2955=Calendar!$K$4)),P2955*100+COUNTIFS($P$6:$P$3267,P2955,$Q$6:$Q$3267,"&lt;="&amp;Q2955,$N$6:$N$3267,Calendar!$K$4),"")</f>
        <v/>
      </c>
      <c r="W2955" s="47">
        <f>IF(AND(B2955=Queue!$C$4,OR(Queue!$K$4="*",N2955=Queue!$K$4)),Q2955,"")</f>
        <v/>
      </c>
    </row>
    <row r="2956">
      <c r="A2956" s="38">
        <f>IF(M2956="","",HYPERLINK("https://www.youtube.com/watch?v="&amp;M2956,"▶"))</f>
        <v/>
      </c>
      <c r="B2956" s="39">
        <f>IF(C2956&lt;&gt;"",C2956,IF(P2956&lt;=IFERROR(INDEX(tblChannels[Watched Through],MATCH(N2956,tblChannels[Channel ID],0)),0),"Watched","Unwatched"))</f>
        <v/>
      </c>
      <c r="C2956" s="40" t="n"/>
      <c r="D2956" s="41" t="n"/>
      <c r="E2956" s="42" t="n">
        <v>41603.99930555555</v>
      </c>
      <c r="F2956" s="52" t="inlineStr">
        <is>
          <t>Super Carlin Gaming</t>
        </is>
      </c>
      <c r="G2956" t="inlineStr">
        <is>
          <t>Pokemon FireRed Nuzlocke Challenge #8 - Golden Boy!</t>
        </is>
      </c>
      <c r="H2956" s="44" t="n">
        <v>0.01667824074074074</v>
      </c>
      <c r="I2956" s="45" t="n">
        <v>36955</v>
      </c>
      <c r="J2956" s="45" t="n">
        <v>575</v>
      </c>
      <c r="K2956" s="45" t="n">
        <v>145</v>
      </c>
      <c r="L2956" s="46" t="n"/>
      <c r="M2956" s="47" t="n"/>
      <c r="N2956" s="47" t="inlineStr">
        <is>
          <t>UCor_9jRnNNZVzTuQ92PKsaQ</t>
        </is>
      </c>
      <c r="O2956" s="48" t="n">
        <v>41604.20763888889</v>
      </c>
      <c r="P2956" s="49" t="n">
        <v>41603</v>
      </c>
      <c r="Q2956" s="47" t="n">
        <v>312</v>
      </c>
      <c r="R2956" s="47" t="inlineStr">
        <is>
          <t>No Video ID yet</t>
        </is>
      </c>
      <c r="S2956" s="49" t="n"/>
      <c r="T2956" s="49" t="n"/>
      <c r="U2956" s="47" t="inlineStr">
        <is>
          <t>This episode cut short due to a case of DEATH! ....oooh it hurts.... Leave your votes below!</t>
        </is>
      </c>
      <c r="V2956" s="47">
        <f>IF(AND(P2956&gt;=Calendar!$K$2,P2956&lt;EDATE(Calendar!$K$2,1),OR(Calendar!$K$4="*",N2956=Calendar!$K$4)),P2956*100+COUNTIFS($P$6:$P$3267,P2956,$Q$6:$Q$3267,"&lt;="&amp;Q2956,$N$6:$N$3267,Calendar!$K$4),"")</f>
        <v/>
      </c>
      <c r="W2956" s="47">
        <f>IF(AND(B2956=Queue!$C$4,OR(Queue!$K$4="*",N2956=Queue!$K$4)),Q2956,"")</f>
        <v/>
      </c>
    </row>
    <row r="2957">
      <c r="A2957" s="38">
        <f>IF(M2957="","",HYPERLINK("https://www.youtube.com/watch?v="&amp;M2957,"▶"))</f>
        <v/>
      </c>
      <c r="B2957" s="39">
        <f>IF(C2957&lt;&gt;"",C2957,IF(P2957&lt;=IFERROR(INDEX(tblChannels[Watched Through],MATCH(N2957,tblChannels[Channel ID],0)),0),"Watched","Unwatched"))</f>
        <v/>
      </c>
      <c r="C2957" s="40" t="n"/>
      <c r="D2957" s="41" t="n"/>
      <c r="E2957" s="42" t="n">
        <v>41599.79375</v>
      </c>
      <c r="F2957" s="50" t="inlineStr">
        <is>
          <t>Super Carlin Brothers</t>
        </is>
      </c>
      <c r="G2957" t="inlineStr">
        <is>
          <t>What is Layman's Terms</t>
        </is>
      </c>
      <c r="H2957" s="44" t="n">
        <v>0.002465277777777778</v>
      </c>
      <c r="I2957" s="45" t="n">
        <v>26513</v>
      </c>
      <c r="J2957" s="45" t="n">
        <v>357</v>
      </c>
      <c r="K2957" s="45" t="n">
        <v>122</v>
      </c>
      <c r="L2957" s="46" t="n"/>
      <c r="M2957" s="47" t="n"/>
      <c r="N2957" s="47" t="inlineStr">
        <is>
          <t>UCKZo4N0lVPccBkSiuyVh4yg</t>
        </is>
      </c>
      <c r="O2957" s="48" t="n">
        <v>41600.00208333333</v>
      </c>
      <c r="P2957" s="49" t="n">
        <v>41599</v>
      </c>
      <c r="Q2957" s="47" t="n">
        <v>311</v>
      </c>
      <c r="R2957" s="47" t="inlineStr">
        <is>
          <t>No Video ID yet</t>
        </is>
      </c>
      <c r="S2957" s="49" t="n"/>
      <c r="T2957" s="49" t="n"/>
      <c r="U2957" s="47" t="inlineStr">
        <is>
          <t>Explain it to me. In terms I wont understand.</t>
        </is>
      </c>
      <c r="V2957" s="47">
        <f>IF(AND(P2957&gt;=Calendar!$K$2,P2957&lt;EDATE(Calendar!$K$2,1),OR(Calendar!$K$4="*",N2957=Calendar!$K$4)),P2957*100+COUNTIFS($P$6:$P$3267,P2957,$Q$6:$Q$3267,"&lt;="&amp;Q2957,$N$6:$N$3267,Calendar!$K$4),"")</f>
        <v/>
      </c>
      <c r="W2957" s="47">
        <f>IF(AND(B2957=Queue!$C$4,OR(Queue!$K$4="*",N2957=Queue!$K$4)),Q2957,"")</f>
        <v/>
      </c>
    </row>
    <row r="2958">
      <c r="A2958" s="38">
        <f>IF(M2958="","",HYPERLINK("https://www.youtube.com/watch?v="&amp;M2958,"▶"))</f>
        <v/>
      </c>
      <c r="B2958" s="39">
        <f>IF(C2958&lt;&gt;"",C2958,IF(P2958&lt;=IFERROR(INDEX(tblChannels[Watched Through],MATCH(N2958,tblChannels[Channel ID],0)),0),"Watched","Unwatched"))</f>
        <v/>
      </c>
      <c r="C2958" s="40" t="n"/>
      <c r="D2958" s="41" t="n"/>
      <c r="E2958" s="42" t="n">
        <v>41598.98541666667</v>
      </c>
      <c r="F2958" s="52" t="inlineStr">
        <is>
          <t>Super Carlin Gaming</t>
        </is>
      </c>
      <c r="G2958" t="inlineStr">
        <is>
          <t>Pokemon FireRed Nuzlocke Challenge #7 - Dont try anything funny in the dark!</t>
        </is>
      </c>
      <c r="H2958" s="44" t="n">
        <v>0.02011574074074074</v>
      </c>
      <c r="I2958" s="45" t="n">
        <v>41137</v>
      </c>
      <c r="J2958" s="45" t="n">
        <v>656</v>
      </c>
      <c r="K2958" s="45" t="n">
        <v>107</v>
      </c>
      <c r="L2958" s="46" t="n"/>
      <c r="M2958" s="47" t="n"/>
      <c r="N2958" s="47" t="inlineStr">
        <is>
          <t>UCor_9jRnNNZVzTuQ92PKsaQ</t>
        </is>
      </c>
      <c r="O2958" s="48" t="n">
        <v>41599.19375</v>
      </c>
      <c r="P2958" s="49" t="n">
        <v>41598</v>
      </c>
      <c r="Q2958" s="47" t="n">
        <v>310</v>
      </c>
      <c r="R2958" s="47" t="inlineStr">
        <is>
          <t>No Video ID yet</t>
        </is>
      </c>
      <c r="S2958" s="49" t="n"/>
      <c r="T2958" s="49" t="n"/>
      <c r="U2958" s="47" t="inlineStr">
        <is>
          <t>Lavender town or bust!</t>
        </is>
      </c>
      <c r="V2958" s="47">
        <f>IF(AND(P2958&gt;=Calendar!$K$2,P2958&lt;EDATE(Calendar!$K$2,1),OR(Calendar!$K$4="*",N2958=Calendar!$K$4)),P2958*100+COUNTIFS($P$6:$P$3267,P2958,$Q$6:$Q$3267,"&lt;="&amp;Q2958,$N$6:$N$3267,Calendar!$K$4),"")</f>
        <v/>
      </c>
      <c r="W2958" s="47">
        <f>IF(AND(B2958=Queue!$C$4,OR(Queue!$K$4="*",N2958=Queue!$K$4)),Q2958,"")</f>
        <v/>
      </c>
    </row>
    <row r="2959">
      <c r="A2959" s="38">
        <f>IF(M2959="","",HYPERLINK("https://www.youtube.com/watch?v="&amp;M2959,"▶"))</f>
        <v/>
      </c>
      <c r="B2959" s="39">
        <f>IF(C2959&lt;&gt;"",C2959,IF(P2959&lt;=IFERROR(INDEX(tblChannels[Watched Through],MATCH(N2959,tblChannels[Channel ID],0)),0),"Watched","Unwatched"))</f>
        <v/>
      </c>
      <c r="C2959" s="40" t="n"/>
      <c r="D2959" s="41" t="n"/>
      <c r="E2959" s="42" t="n">
        <v>41597.97847222222</v>
      </c>
      <c r="F2959" s="50" t="inlineStr">
        <is>
          <t>Super Carlin Brothers</t>
        </is>
      </c>
      <c r="G2959" t="inlineStr">
        <is>
          <t>How to Public Speak</t>
        </is>
      </c>
      <c r="H2959" s="44" t="n">
        <v>0.003564814814814815</v>
      </c>
      <c r="I2959" s="45" t="n">
        <v>16598</v>
      </c>
      <c r="J2959" s="45" t="n">
        <v>526</v>
      </c>
      <c r="K2959" s="45" t="n">
        <v>97</v>
      </c>
      <c r="L2959" s="46" t="n"/>
      <c r="M2959" s="47" t="n"/>
      <c r="N2959" s="47" t="inlineStr">
        <is>
          <t>UCKZo4N0lVPccBkSiuyVh4yg</t>
        </is>
      </c>
      <c r="O2959" s="48" t="n">
        <v>41598.18680555555</v>
      </c>
      <c r="P2959" s="49" t="n">
        <v>41597</v>
      </c>
      <c r="Q2959" s="47" t="n">
        <v>309</v>
      </c>
      <c r="R2959" s="47" t="inlineStr">
        <is>
          <t>No Video ID yet</t>
        </is>
      </c>
      <c r="S2959" s="49" t="n"/>
      <c r="T2959" s="49" t="n"/>
      <c r="U2959" s="47" t="inlineStr">
        <is>
          <t>Are you a good public speaker? Share your stories below!</t>
        </is>
      </c>
      <c r="V2959" s="47">
        <f>IF(AND(P2959&gt;=Calendar!$K$2,P2959&lt;EDATE(Calendar!$K$2,1),OR(Calendar!$K$4="*",N2959=Calendar!$K$4)),P2959*100+COUNTIFS($P$6:$P$3267,P2959,$Q$6:$Q$3267,"&lt;="&amp;Q2959,$N$6:$N$3267,Calendar!$K$4),"")</f>
        <v/>
      </c>
      <c r="W2959" s="47">
        <f>IF(AND(B2959=Queue!$C$4,OR(Queue!$K$4="*",N2959=Queue!$K$4)),Q2959,"")</f>
        <v/>
      </c>
    </row>
    <row r="2960">
      <c r="A2960" s="38">
        <f>IF(M2960="","",HYPERLINK("https://www.youtube.com/watch?v="&amp;M2960,"▶"))</f>
        <v/>
      </c>
      <c r="B2960" s="39">
        <f>IF(C2960&lt;&gt;"",C2960,IF(P2960&lt;=IFERROR(INDEX(tblChannels[Watched Through],MATCH(N2960,tblChannels[Channel ID],0)),0),"Watched","Unwatched"))</f>
        <v/>
      </c>
      <c r="C2960" s="40" t="n"/>
      <c r="D2960" s="41" t="n"/>
      <c r="E2960" s="42" t="n">
        <v>41592.92013888889</v>
      </c>
      <c r="F2960" s="50" t="inlineStr">
        <is>
          <t>Super Carlin Brothers</t>
        </is>
      </c>
      <c r="G2960" t="inlineStr">
        <is>
          <t>My Idea</t>
        </is>
      </c>
      <c r="H2960" s="44" t="n">
        <v>0.002789351851851852</v>
      </c>
      <c r="I2960" s="45" t="n">
        <v>9692</v>
      </c>
      <c r="J2960" s="45" t="n">
        <v>239</v>
      </c>
      <c r="K2960" s="45" t="n">
        <v>63</v>
      </c>
      <c r="L2960" s="46" t="n"/>
      <c r="M2960" s="47" t="n"/>
      <c r="N2960" s="47" t="inlineStr">
        <is>
          <t>UCKZo4N0lVPccBkSiuyVh4yg</t>
        </is>
      </c>
      <c r="O2960" s="48" t="n">
        <v>41593.12847222222</v>
      </c>
      <c r="P2960" s="49" t="n">
        <v>41592</v>
      </c>
      <c r="Q2960" s="47" t="n">
        <v>308</v>
      </c>
      <c r="R2960" s="47" t="inlineStr">
        <is>
          <t>No Video ID yet</t>
        </is>
      </c>
      <c r="S2960" s="49" t="n"/>
      <c r="T2960" s="49" t="n"/>
      <c r="U2960" s="47" t="n"/>
      <c r="V2960" s="47">
        <f>IF(AND(P2960&gt;=Calendar!$K$2,P2960&lt;EDATE(Calendar!$K$2,1),OR(Calendar!$K$4="*",N2960=Calendar!$K$4)),P2960*100+COUNTIFS($P$6:$P$3267,P2960,$Q$6:$Q$3267,"&lt;="&amp;Q2960,$N$6:$N$3267,Calendar!$K$4),"")</f>
        <v/>
      </c>
      <c r="W2960" s="47">
        <f>IF(AND(B2960=Queue!$C$4,OR(Queue!$K$4="*",N2960=Queue!$K$4)),Q2960,"")</f>
        <v/>
      </c>
    </row>
    <row r="2961">
      <c r="A2961" s="38">
        <f>IF(M2961="","",HYPERLINK("https://www.youtube.com/watch?v="&amp;M2961,"▶"))</f>
        <v/>
      </c>
      <c r="B2961" s="39">
        <f>IF(C2961&lt;&gt;"",C2961,IF(P2961&lt;=IFERROR(INDEX(tblChannels[Watched Through],MATCH(N2961,tblChannels[Channel ID],0)),0),"Watched","Unwatched"))</f>
        <v/>
      </c>
      <c r="C2961" s="40" t="n"/>
      <c r="D2961" s="41" t="n"/>
      <c r="E2961" s="42" t="n">
        <v>41591.00416666667</v>
      </c>
      <c r="F2961" s="50" t="inlineStr">
        <is>
          <t>Super Carlin Brothers</t>
        </is>
      </c>
      <c r="G2961" t="inlineStr">
        <is>
          <t>Will I Google Autofill</t>
        </is>
      </c>
      <c r="H2961" s="44" t="n">
        <v>0.003240740740740741</v>
      </c>
      <c r="I2961" s="45" t="n">
        <v>250153</v>
      </c>
      <c r="J2961" s="45" t="n">
        <v>4254</v>
      </c>
      <c r="K2961" s="45" t="n">
        <v>494</v>
      </c>
      <c r="L2961" s="46" t="n"/>
      <c r="M2961" s="47" t="n"/>
      <c r="N2961" s="47" t="inlineStr">
        <is>
          <t>UCKZo4N0lVPccBkSiuyVh4yg</t>
        </is>
      </c>
      <c r="O2961" s="48" t="n">
        <v>41591.2125</v>
      </c>
      <c r="P2961" s="49" t="n">
        <v>41591</v>
      </c>
      <c r="Q2961" s="47" t="n">
        <v>307</v>
      </c>
      <c r="R2961" s="47" t="inlineStr">
        <is>
          <t>No Video ID yet</t>
        </is>
      </c>
      <c r="S2961" s="49" t="n"/>
      <c r="T2961" s="49" t="n"/>
      <c r="U2961" s="47" t="inlineStr">
        <is>
          <t>There is horrible singing in this video... you have been warned. Suggest punishments for Ben in the Towel section! Thank you everyone for helping us get to 2,200 Subs and 300 videos!!!</t>
        </is>
      </c>
      <c r="V2961" s="47">
        <f>IF(AND(P2961&gt;=Calendar!$K$2,P2961&lt;EDATE(Calendar!$K$2,1),OR(Calendar!$K$4="*",N2961=Calendar!$K$4)),P2961*100+COUNTIFS($P$6:$P$3267,P2961,$Q$6:$Q$3267,"&lt;="&amp;Q2961,$N$6:$N$3267,Calendar!$K$4),"")</f>
        <v/>
      </c>
      <c r="W2961" s="47">
        <f>IF(AND(B2961=Queue!$C$4,OR(Queue!$K$4="*",N2961=Queue!$K$4)),Q2961,"")</f>
        <v/>
      </c>
    </row>
    <row r="2962">
      <c r="A2962" s="38">
        <f>IF(M2962="","",HYPERLINK("https://www.youtube.com/watch?v="&amp;M2962,"▶"))</f>
        <v/>
      </c>
      <c r="B2962" s="39">
        <f>IF(C2962&lt;&gt;"",C2962,IF(P2962&lt;=IFERROR(INDEX(tblChannels[Watched Through],MATCH(N2962,tblChannels[Channel ID],0)),0),"Watched","Unwatched"))</f>
        <v/>
      </c>
      <c r="C2962" s="40" t="n"/>
      <c r="D2962" s="41" t="n"/>
      <c r="E2962" s="42" t="n">
        <v>41590.34583333333</v>
      </c>
      <c r="F2962" s="52" t="inlineStr">
        <is>
          <t>Super Carlin Gaming</t>
        </is>
      </c>
      <c r="G2962" t="inlineStr">
        <is>
          <t>Pokemon FireRed Nuzlocke Challenge #6 - SO MANY DIGLETTS</t>
        </is>
      </c>
      <c r="H2962" s="44" t="n">
        <v>0.01890046296296296</v>
      </c>
      <c r="I2962" s="45" t="n">
        <v>41942</v>
      </c>
      <c r="J2962" s="45" t="n">
        <v>642</v>
      </c>
      <c r="K2962" s="45" t="n">
        <v>175</v>
      </c>
      <c r="L2962" s="46" t="n"/>
      <c r="M2962" s="47" t="n"/>
      <c r="N2962" s="47" t="inlineStr">
        <is>
          <t>UCor_9jRnNNZVzTuQ92PKsaQ</t>
        </is>
      </c>
      <c r="O2962" s="48" t="n">
        <v>41590.55416666667</v>
      </c>
      <c r="P2962" s="49" t="n">
        <v>41590</v>
      </c>
      <c r="Q2962" s="47" t="n">
        <v>306</v>
      </c>
      <c r="R2962" s="47" t="inlineStr">
        <is>
          <t>No Video ID yet</t>
        </is>
      </c>
      <c r="S2962" s="49" t="n"/>
      <c r="T2962" s="49" t="n"/>
      <c r="U2962" s="47" t="inlineStr">
        <is>
          <t>But seriously so many Digletts... Also we meet a new friend and fight Lt. Surge!</t>
        </is>
      </c>
      <c r="V2962" s="47">
        <f>IF(AND(P2962&gt;=Calendar!$K$2,P2962&lt;EDATE(Calendar!$K$2,1),OR(Calendar!$K$4="*",N2962=Calendar!$K$4)),P2962*100+COUNTIFS($P$6:$P$3267,P2962,$Q$6:$Q$3267,"&lt;="&amp;Q2962,$N$6:$N$3267,Calendar!$K$4),"")</f>
        <v/>
      </c>
      <c r="W2962" s="47">
        <f>IF(AND(B2962=Queue!$C$4,OR(Queue!$K$4="*",N2962=Queue!$K$4)),Q2962,"")</f>
        <v/>
      </c>
    </row>
    <row r="2963">
      <c r="A2963" s="38">
        <f>IF(M2963="","",HYPERLINK("https://www.youtube.com/watch?v="&amp;M2963,"▶"))</f>
        <v/>
      </c>
      <c r="B2963" s="39">
        <f>IF(C2963&lt;&gt;"",C2963,IF(P2963&lt;=IFERROR(INDEX(tblChannels[Watched Through],MATCH(N2963,tblChannels[Channel ID],0)),0),"Watched","Unwatched"))</f>
        <v/>
      </c>
      <c r="C2963" s="40" t="n"/>
      <c r="D2963" s="41" t="n"/>
      <c r="E2963" s="42" t="n">
        <v>41583.86666666667</v>
      </c>
      <c r="F2963" s="50" t="inlineStr">
        <is>
          <t>Super Carlin Brothers</t>
        </is>
      </c>
      <c r="G2963" t="inlineStr">
        <is>
          <t>Machines Control Your Thoughts!</t>
        </is>
      </c>
      <c r="H2963" s="44" t="n">
        <v>0.00306712962962963</v>
      </c>
      <c r="I2963" s="45" t="n">
        <v>30918</v>
      </c>
      <c r="J2963" s="45" t="n">
        <v>776</v>
      </c>
      <c r="K2963" s="45" t="n">
        <v>162</v>
      </c>
      <c r="L2963" s="46" t="n"/>
      <c r="M2963" s="47" t="n"/>
      <c r="N2963" s="47" t="inlineStr">
        <is>
          <t>UCKZo4N0lVPccBkSiuyVh4yg</t>
        </is>
      </c>
      <c r="O2963" s="48" t="n">
        <v>41584.075</v>
      </c>
      <c r="P2963" s="49" t="n">
        <v>41583</v>
      </c>
      <c r="Q2963" s="47" t="n">
        <v>305</v>
      </c>
      <c r="R2963" s="47" t="inlineStr">
        <is>
          <t>No Video ID yet</t>
        </is>
      </c>
      <c r="S2963" s="49" t="n"/>
      <c r="T2963" s="49" t="n"/>
      <c r="U2963" s="47" t="inlineStr">
        <is>
          <t>Friend Code: 3368-2100-2035 (leave yours in comments or PM me and I'll add you back) Seriously it seems like I am doing nothing but looking at screens some days - are we to connected? Tumblr, Tumblr, Tumblr, Tumblr:</t>
        </is>
      </c>
      <c r="V2963" s="47">
        <f>IF(AND(P2963&gt;=Calendar!$K$2,P2963&lt;EDATE(Calendar!$K$2,1),OR(Calendar!$K$4="*",N2963=Calendar!$K$4)),P2963*100+COUNTIFS($P$6:$P$3267,P2963,$Q$6:$Q$3267,"&lt;="&amp;Q2963,$N$6:$N$3267,Calendar!$K$4),"")</f>
        <v/>
      </c>
      <c r="W2963" s="47">
        <f>IF(AND(B2963=Queue!$C$4,OR(Queue!$K$4="*",N2963=Queue!$K$4)),Q2963,"")</f>
        <v/>
      </c>
    </row>
    <row r="2964">
      <c r="A2964" s="38">
        <f>IF(M2964="","",HYPERLINK("https://www.youtube.com/watch?v="&amp;M2964,"▶"))</f>
        <v/>
      </c>
      <c r="B2964" s="39">
        <f>IF(C2964&lt;&gt;"",C2964,IF(P2964&lt;=IFERROR(INDEX(tblChannels[Watched Through],MATCH(N2964,tblChannels[Channel ID],0)),0),"Watched","Unwatched"))</f>
        <v/>
      </c>
      <c r="C2964" s="40" t="n"/>
      <c r="D2964" s="41" t="n"/>
      <c r="E2964" s="42" t="n">
        <v>41578.88888888889</v>
      </c>
      <c r="F2964" s="50" t="inlineStr">
        <is>
          <t>Super Carlin Brothers</t>
        </is>
      </c>
      <c r="G2964" t="inlineStr">
        <is>
          <t>Halloween Curse</t>
        </is>
      </c>
      <c r="H2964" s="44" t="n">
        <v>0.0008217592592592593</v>
      </c>
      <c r="I2964" s="45" t="n">
        <v>9990</v>
      </c>
      <c r="J2964" s="45" t="n">
        <v>185</v>
      </c>
      <c r="K2964" s="45" t="n">
        <v>22</v>
      </c>
      <c r="L2964" s="46" t="n"/>
      <c r="M2964" s="47" t="n"/>
      <c r="N2964" s="47" t="inlineStr">
        <is>
          <t>UCKZo4N0lVPccBkSiuyVh4yg</t>
        </is>
      </c>
      <c r="O2964" s="48" t="n">
        <v>41579.05555555555</v>
      </c>
      <c r="P2964" s="49" t="n">
        <v>41578</v>
      </c>
      <c r="Q2964" s="47" t="n">
        <v>304</v>
      </c>
      <c r="R2964" s="47" t="inlineStr">
        <is>
          <t>No Video ID yet</t>
        </is>
      </c>
      <c r="S2964" s="49" t="n"/>
      <c r="T2964" s="49" t="n"/>
      <c r="U2964" s="47" t="inlineStr">
        <is>
          <t>Wooo you have no clue how hard I worked even to get this pitiful video together today... I basically filmed three other topics but just wasn't happy with what I was getting... How was your Halloween? Any insane stories from previous years?!</t>
        </is>
      </c>
      <c r="V2964" s="47">
        <f>IF(AND(P2964&gt;=Calendar!$K$2,P2964&lt;EDATE(Calendar!$K$2,1),OR(Calendar!$K$4="*",N2964=Calendar!$K$4)),P2964*100+COUNTIFS($P$6:$P$3267,P2964,$Q$6:$Q$3267,"&lt;="&amp;Q2964,$N$6:$N$3267,Calendar!$K$4),"")</f>
        <v/>
      </c>
      <c r="W2964" s="47">
        <f>IF(AND(B2964=Queue!$C$4,OR(Queue!$K$4="*",N2964=Queue!$K$4)),Q2964,"")</f>
        <v/>
      </c>
    </row>
    <row r="2965">
      <c r="A2965" s="38">
        <f>IF(M2965="","",HYPERLINK("https://www.youtube.com/watch?v="&amp;M2965,"▶"))</f>
        <v/>
      </c>
      <c r="B2965" s="39">
        <f>IF(C2965&lt;&gt;"",C2965,IF(P2965&lt;=IFERROR(INDEX(tblChannels[Watched Through],MATCH(N2965,tblChannels[Channel ID],0)),0),"Watched","Unwatched"))</f>
        <v/>
      </c>
      <c r="C2965" s="40" t="n"/>
      <c r="D2965" s="41" t="n"/>
      <c r="E2965" s="42" t="n">
        <v>41576.88541666666</v>
      </c>
      <c r="F2965" s="50" t="inlineStr">
        <is>
          <t>Super Carlin Brothers</t>
        </is>
      </c>
      <c r="G2965" t="inlineStr">
        <is>
          <t>FIRST IMPRESSIONS</t>
        </is>
      </c>
      <c r="H2965" s="44" t="n">
        <v>0.002222222222222222</v>
      </c>
      <c r="I2965" s="45" t="n">
        <v>23007</v>
      </c>
      <c r="J2965" s="45" t="n">
        <v>497</v>
      </c>
      <c r="K2965" s="45" t="n">
        <v>73</v>
      </c>
      <c r="L2965" s="46" t="n"/>
      <c r="M2965" s="47" t="n"/>
      <c r="N2965" s="47" t="inlineStr">
        <is>
          <t>UCKZo4N0lVPccBkSiuyVh4yg</t>
        </is>
      </c>
      <c r="O2965" s="48" t="n">
        <v>41577.05208333334</v>
      </c>
      <c r="P2965" s="49" t="n">
        <v>41576</v>
      </c>
      <c r="Q2965" s="47" t="n">
        <v>303</v>
      </c>
      <c r="R2965" s="47" t="inlineStr">
        <is>
          <t>No Video ID yet</t>
        </is>
      </c>
      <c r="S2965" s="49" t="n"/>
      <c r="T2965" s="49" t="n"/>
      <c r="U2965" s="47" t="inlineStr">
        <is>
          <t>How important is it to make a good first impression? Have you ever judged someone incorrectly based on one?</t>
        </is>
      </c>
      <c r="V2965" s="47">
        <f>IF(AND(P2965&gt;=Calendar!$K$2,P2965&lt;EDATE(Calendar!$K$2,1),OR(Calendar!$K$4="*",N2965=Calendar!$K$4)),P2965*100+COUNTIFS($P$6:$P$3267,P2965,$Q$6:$Q$3267,"&lt;="&amp;Q2965,$N$6:$N$3267,Calendar!$K$4),"")</f>
        <v/>
      </c>
      <c r="W2965" s="47">
        <f>IF(AND(B2965=Queue!$C$4,OR(Queue!$K$4="*",N2965=Queue!$K$4)),Q2965,"")</f>
        <v/>
      </c>
    </row>
    <row r="2966">
      <c r="A2966" s="38">
        <f>IF(M2966="","",HYPERLINK("https://www.youtube.com/watch?v="&amp;M2966,"▶"))</f>
        <v/>
      </c>
      <c r="B2966" s="39">
        <f>IF(C2966&lt;&gt;"",C2966,IF(P2966&lt;=IFERROR(INDEX(tblChannels[Watched Through],MATCH(N2966,tblChannels[Channel ID],0)),0),"Watched","Unwatched"))</f>
        <v/>
      </c>
      <c r="C2966" s="40" t="n"/>
      <c r="D2966" s="41" t="n"/>
      <c r="E2966" s="42" t="n">
        <v>41576.30763888889</v>
      </c>
      <c r="F2966" s="52" t="inlineStr">
        <is>
          <t>Super Carlin Gaming</t>
        </is>
      </c>
      <c r="G2966" t="inlineStr">
        <is>
          <t>Pokemon FireRed Nuzlocke Challenge #5 - Feisty Kids</t>
        </is>
      </c>
      <c r="H2966" s="44" t="n">
        <v>0.02023148148148148</v>
      </c>
      <c r="I2966" s="45" t="n">
        <v>47564</v>
      </c>
      <c r="J2966" s="45" t="n">
        <v>646</v>
      </c>
      <c r="K2966" s="45" t="n">
        <v>87</v>
      </c>
      <c r="L2966" s="46" t="n"/>
      <c r="M2966" s="47" t="n"/>
      <c r="N2966" s="47" t="inlineStr">
        <is>
          <t>UCor_9jRnNNZVzTuQ92PKsaQ</t>
        </is>
      </c>
      <c r="O2966" s="48" t="n">
        <v>41576.47430555556</v>
      </c>
      <c r="P2966" s="49" t="n">
        <v>41576</v>
      </c>
      <c r="Q2966" s="47" t="n">
        <v>302</v>
      </c>
      <c r="R2966" s="47" t="inlineStr">
        <is>
          <t>No Video ID yet</t>
        </is>
      </c>
      <c r="S2966" s="49" t="n"/>
      <c r="T2966" s="49" t="n"/>
      <c r="U2966" s="47" t="inlineStr">
        <is>
          <t>A new team member rises through the ranks as we make our way through the S.S. Anne Also the cruise ship totally abandons us...</t>
        </is>
      </c>
      <c r="V2966" s="47">
        <f>IF(AND(P2966&gt;=Calendar!$K$2,P2966&lt;EDATE(Calendar!$K$2,1),OR(Calendar!$K$4="*",N2966=Calendar!$K$4)),P2966*100+COUNTIFS($P$6:$P$3267,P2966,$Q$6:$Q$3267,"&lt;="&amp;Q2966,$N$6:$N$3267,Calendar!$K$4),"")</f>
        <v/>
      </c>
      <c r="W2966" s="47">
        <f>IF(AND(B2966=Queue!$C$4,OR(Queue!$K$4="*",N2966=Queue!$K$4)),Q2966,"")</f>
        <v/>
      </c>
    </row>
    <row r="2967">
      <c r="A2967" s="38">
        <f>IF(M2967="","",HYPERLINK("https://www.youtube.com/watch?v="&amp;M2967,"▶"))</f>
        <v/>
      </c>
      <c r="B2967" s="39">
        <f>IF(C2967&lt;&gt;"",C2967,IF(P2967&lt;=IFERROR(INDEX(tblChannels[Watched Through],MATCH(N2967,tblChannels[Channel ID],0)),0),"Watched","Unwatched"))</f>
        <v/>
      </c>
      <c r="C2967" s="40" t="n"/>
      <c r="D2967" s="41" t="n"/>
      <c r="E2967" s="42" t="n">
        <v>41571.94513888889</v>
      </c>
      <c r="F2967" s="50" t="inlineStr">
        <is>
          <t>Super Carlin Brothers</t>
        </is>
      </c>
      <c r="G2967" t="inlineStr">
        <is>
          <t>Snapshot</t>
        </is>
      </c>
      <c r="H2967" s="44" t="n">
        <v>0.001539351851851852</v>
      </c>
      <c r="I2967" s="45" t="n">
        <v>8588</v>
      </c>
      <c r="J2967" s="45" t="n">
        <v>195</v>
      </c>
      <c r="K2967" s="45" t="n">
        <v>34</v>
      </c>
      <c r="L2967" s="46" t="n"/>
      <c r="M2967" s="47" t="n"/>
      <c r="N2967" s="47" t="inlineStr">
        <is>
          <t>UCKZo4N0lVPccBkSiuyVh4yg</t>
        </is>
      </c>
      <c r="O2967" s="48" t="n">
        <v>41572.11180555556</v>
      </c>
      <c r="P2967" s="49" t="n">
        <v>41571</v>
      </c>
      <c r="Q2967" s="47" t="n">
        <v>301</v>
      </c>
      <c r="R2967" s="47" t="inlineStr">
        <is>
          <t>No Video ID yet</t>
        </is>
      </c>
      <c r="S2967" s="49" t="n"/>
      <c r="T2967" s="49" t="n"/>
      <c r="U2967" s="47" t="inlineStr">
        <is>
          <t>What is your snapshot?!</t>
        </is>
      </c>
      <c r="V2967" s="47">
        <f>IF(AND(P2967&gt;=Calendar!$K$2,P2967&lt;EDATE(Calendar!$K$2,1),OR(Calendar!$K$4="*",N2967=Calendar!$K$4)),P2967*100+COUNTIFS($P$6:$P$3267,P2967,$Q$6:$Q$3267,"&lt;="&amp;Q2967,$N$6:$N$3267,Calendar!$K$4),"")</f>
        <v/>
      </c>
      <c r="W2967" s="47">
        <f>IF(AND(B2967=Queue!$C$4,OR(Queue!$K$4="*",N2967=Queue!$K$4)),Q2967,"")</f>
        <v/>
      </c>
    </row>
    <row r="2968">
      <c r="A2968" s="38">
        <f>IF(M2968="","",HYPERLINK("https://www.youtube.com/watch?v="&amp;M2968,"▶"))</f>
        <v/>
      </c>
      <c r="B2968" s="39">
        <f>IF(C2968&lt;&gt;"",C2968,IF(P2968&lt;=IFERROR(INDEX(tblChannels[Watched Through],MATCH(N2968,tblChannels[Channel ID],0)),0),"Watched","Unwatched"))</f>
        <v/>
      </c>
      <c r="C2968" s="40" t="n"/>
      <c r="D2968" s="41" t="n"/>
      <c r="E2968" s="42" t="n">
        <v>41569.92361111111</v>
      </c>
      <c r="F2968" s="50" t="inlineStr">
        <is>
          <t>Super Carlin Brothers</t>
        </is>
      </c>
      <c r="G2968" t="inlineStr">
        <is>
          <t>SMILE!</t>
        </is>
      </c>
      <c r="H2968" s="44" t="n">
        <v>0.001539351851851852</v>
      </c>
      <c r="I2968" s="45" t="n">
        <v>12641</v>
      </c>
      <c r="J2968" s="45" t="n">
        <v>461</v>
      </c>
      <c r="K2968" s="45" t="n">
        <v>73</v>
      </c>
      <c r="L2968" s="46" t="n"/>
      <c r="M2968" s="47" t="n"/>
      <c r="N2968" s="47" t="inlineStr">
        <is>
          <t>UCKZo4N0lVPccBkSiuyVh4yg</t>
        </is>
      </c>
      <c r="O2968" s="48" t="n">
        <v>41570.09027777778</v>
      </c>
      <c r="P2968" s="49" t="n">
        <v>41569</v>
      </c>
      <c r="Q2968" s="47" t="n">
        <v>300</v>
      </c>
      <c r="R2968" s="47" t="inlineStr">
        <is>
          <t>No Video ID yet</t>
        </is>
      </c>
      <c r="S2968" s="49" t="n"/>
      <c r="T2968" s="49" t="n"/>
      <c r="U2968" s="47" t="inlineStr">
        <is>
          <t>I like smiling, smiling is my favorite!</t>
        </is>
      </c>
      <c r="V2968" s="47">
        <f>IF(AND(P2968&gt;=Calendar!$K$2,P2968&lt;EDATE(Calendar!$K$2,1),OR(Calendar!$K$4="*",N2968=Calendar!$K$4)),P2968*100+COUNTIFS($P$6:$P$3267,P2968,$Q$6:$Q$3267,"&lt;="&amp;Q2968,$N$6:$N$3267,Calendar!$K$4),"")</f>
        <v/>
      </c>
      <c r="W2968" s="47">
        <f>IF(AND(B2968=Queue!$C$4,OR(Queue!$K$4="*",N2968=Queue!$K$4)),Q2968,"")</f>
        <v/>
      </c>
    </row>
    <row r="2969">
      <c r="A2969" s="38">
        <f>IF(M2969="","",HYPERLINK("https://www.youtube.com/watch?v="&amp;M2969,"▶"))</f>
        <v/>
      </c>
      <c r="B2969" s="39">
        <f>IF(C2969&lt;&gt;"",C2969,IF(P2969&lt;=IFERROR(INDEX(tblChannels[Watched Through],MATCH(N2969,tblChannels[Channel ID],0)),0),"Watched","Unwatched"))</f>
        <v/>
      </c>
      <c r="C2969" s="40" t="n"/>
      <c r="D2969" s="41" t="n"/>
      <c r="E2969" s="42" t="n">
        <v>41569.19097222222</v>
      </c>
      <c r="F2969" s="52" t="inlineStr">
        <is>
          <t>Super Carlin Gaming</t>
        </is>
      </c>
      <c r="G2969" t="inlineStr">
        <is>
          <t>Pokemon FireRed Nuzlocke Challenge #4 - Someone will die..</t>
        </is>
      </c>
      <c r="H2969" s="44" t="n">
        <v>0.01555555555555556</v>
      </c>
      <c r="I2969" s="45" t="n">
        <v>51625</v>
      </c>
      <c r="J2969" s="45" t="n">
        <v>696</v>
      </c>
      <c r="K2969" s="45" t="n">
        <v>134</v>
      </c>
      <c r="L2969" s="46" t="n"/>
      <c r="M2969" s="47" t="n"/>
      <c r="N2969" s="47" t="inlineStr">
        <is>
          <t>UCor_9jRnNNZVzTuQ92PKsaQ</t>
        </is>
      </c>
      <c r="O2969" s="48" t="n">
        <v>41569.35763888889</v>
      </c>
      <c r="P2969" s="49" t="n">
        <v>41569</v>
      </c>
      <c r="Q2969" s="47" t="n">
        <v>299</v>
      </c>
      <c r="R2969" s="47" t="inlineStr">
        <is>
          <t>No Video ID yet</t>
        </is>
      </c>
      <c r="S2969" s="49" t="n"/>
      <c r="T2969" s="49" t="n"/>
      <c r="U2969" s="47" t="inlineStr">
        <is>
          <t>The title says it all... but who will perish in this weeks episode?!?! Grinding Muisc Courtesy of: Maklibek POKEMON BATTLE THEME DUBSTEP REMIX!</t>
        </is>
      </c>
      <c r="V2969" s="47">
        <f>IF(AND(P2969&gt;=Calendar!$K$2,P2969&lt;EDATE(Calendar!$K$2,1),OR(Calendar!$K$4="*",N2969=Calendar!$K$4)),P2969*100+COUNTIFS($P$6:$P$3267,P2969,$Q$6:$Q$3267,"&lt;="&amp;Q2969,$N$6:$N$3267,Calendar!$K$4),"")</f>
        <v/>
      </c>
      <c r="W2969" s="47">
        <f>IF(AND(B2969=Queue!$C$4,OR(Queue!$K$4="*",N2969=Queue!$K$4)),Q2969,"")</f>
        <v/>
      </c>
    </row>
    <row r="2970">
      <c r="A2970" s="38">
        <f>IF(M2970="","",HYPERLINK("https://www.youtube.com/watch?v="&amp;M2970,"▶"))</f>
        <v/>
      </c>
      <c r="B2970" s="39">
        <f>IF(C2970&lt;&gt;"",C2970,IF(P2970&lt;=IFERROR(INDEX(tblChannels[Watched Through],MATCH(N2970,tblChannels[Channel ID],0)),0),"Watched","Unwatched"))</f>
        <v/>
      </c>
      <c r="C2970" s="40" t="n"/>
      <c r="D2970" s="41" t="n"/>
      <c r="E2970" s="42" t="n">
        <v>41564.77638888889</v>
      </c>
      <c r="F2970" s="50" t="inlineStr">
        <is>
          <t>Super Carlin Brothers</t>
        </is>
      </c>
      <c r="G2970" t="inlineStr">
        <is>
          <t>Bragging</t>
        </is>
      </c>
      <c r="H2970" s="44" t="n">
        <v>0.002766203703703704</v>
      </c>
      <c r="I2970" s="45" t="n">
        <v>9962</v>
      </c>
      <c r="J2970" s="45" t="n">
        <v>215</v>
      </c>
      <c r="K2970" s="45" t="n">
        <v>33</v>
      </c>
      <c r="L2970" s="46" t="n"/>
      <c r="M2970" s="47" t="n"/>
      <c r="N2970" s="47" t="inlineStr">
        <is>
          <t>UCKZo4N0lVPccBkSiuyVh4yg</t>
        </is>
      </c>
      <c r="O2970" s="48" t="n">
        <v>41564.94305555556</v>
      </c>
      <c r="P2970" s="49" t="n">
        <v>41564</v>
      </c>
      <c r="Q2970" s="47" t="n">
        <v>298</v>
      </c>
      <c r="R2970" s="47" t="inlineStr">
        <is>
          <t>No Video ID yet</t>
        </is>
      </c>
      <c r="S2970" s="49" t="n"/>
      <c r="T2970" s="49" t="n"/>
      <c r="U2970" s="47" t="inlineStr">
        <is>
          <t>Had to hit upload as I was running out the door... It's kinda like playing thumbnail roulette... :-/</t>
        </is>
      </c>
      <c r="V2970" s="47">
        <f>IF(AND(P2970&gt;=Calendar!$K$2,P2970&lt;EDATE(Calendar!$K$2,1),OR(Calendar!$K$4="*",N2970=Calendar!$K$4)),P2970*100+COUNTIFS($P$6:$P$3267,P2970,$Q$6:$Q$3267,"&lt;="&amp;Q2970,$N$6:$N$3267,Calendar!$K$4),"")</f>
        <v/>
      </c>
      <c r="W2970" s="47">
        <f>IF(AND(B2970=Queue!$C$4,OR(Queue!$K$4="*",N2970=Queue!$K$4)),Q2970,"")</f>
        <v/>
      </c>
    </row>
    <row r="2971">
      <c r="A2971" s="38">
        <f>IF(M2971="","",HYPERLINK("https://www.youtube.com/watch?v="&amp;M2971,"▶"))</f>
        <v/>
      </c>
      <c r="B2971" s="39">
        <f>IF(C2971&lt;&gt;"",C2971,IF(P2971&lt;=IFERROR(INDEX(tblChannels[Watched Through],MATCH(N2971,tblChannels[Channel ID],0)),0),"Watched","Unwatched"))</f>
        <v/>
      </c>
      <c r="C2971" s="40" t="n"/>
      <c r="D2971" s="41" t="n"/>
      <c r="E2971" s="42" t="n">
        <v>41562.85</v>
      </c>
      <c r="F2971" s="50" t="inlineStr">
        <is>
          <t>Super Carlin Brothers</t>
        </is>
      </c>
      <c r="G2971" t="inlineStr">
        <is>
          <t>The Other 90%</t>
        </is>
      </c>
      <c r="H2971" s="44" t="n">
        <v>0.003321759259259259</v>
      </c>
      <c r="I2971" s="45" t="n">
        <v>79641</v>
      </c>
      <c r="J2971" s="45" t="n">
        <v>1480</v>
      </c>
      <c r="K2971" s="45" t="n">
        <v>192</v>
      </c>
      <c r="L2971" s="46" t="n"/>
      <c r="M2971" s="47" t="n"/>
      <c r="N2971" s="47" t="inlineStr">
        <is>
          <t>UCKZo4N0lVPccBkSiuyVh4yg</t>
        </is>
      </c>
      <c r="O2971" s="48" t="n">
        <v>41563.01666666667</v>
      </c>
      <c r="P2971" s="49" t="n">
        <v>41562</v>
      </c>
      <c r="Q2971" s="47" t="n">
        <v>297</v>
      </c>
      <c r="R2971" s="47" t="inlineStr">
        <is>
          <t>No Video ID yet</t>
        </is>
      </c>
      <c r="S2971" s="49" t="n"/>
      <c r="T2971" s="49" t="n"/>
      <c r="U2971" s="47" t="inlineStr">
        <is>
          <t>Nintendo FC: 3368-2100-2035 What is something that has gotten in your way that had nothing to do with the task at hand??</t>
        </is>
      </c>
      <c r="V2971" s="47">
        <f>IF(AND(P2971&gt;=Calendar!$K$2,P2971&lt;EDATE(Calendar!$K$2,1),OR(Calendar!$K$4="*",N2971=Calendar!$K$4)),P2971*100+COUNTIFS($P$6:$P$3267,P2971,$Q$6:$Q$3267,"&lt;="&amp;Q2971,$N$6:$N$3267,Calendar!$K$4),"")</f>
        <v/>
      </c>
      <c r="W2971" s="47">
        <f>IF(AND(B2971=Queue!$C$4,OR(Queue!$K$4="*",N2971=Queue!$K$4)),Q2971,"")</f>
        <v/>
      </c>
    </row>
    <row r="2972">
      <c r="A2972" s="38">
        <f>IF(M2972="","",HYPERLINK("https://www.youtube.com/watch?v="&amp;M2972,"▶"))</f>
        <v/>
      </c>
      <c r="B2972" s="39">
        <f>IF(C2972&lt;&gt;"",C2972,IF(P2972&lt;=IFERROR(INDEX(tblChannels[Watched Through],MATCH(N2972,tblChannels[Channel ID],0)),0),"Watched","Unwatched"))</f>
        <v/>
      </c>
      <c r="C2972" s="40" t="n"/>
      <c r="D2972" s="41" t="n"/>
      <c r="E2972" s="42" t="n">
        <v>41560.75625</v>
      </c>
      <c r="F2972" s="52" t="inlineStr">
        <is>
          <t>Super Carlin Gaming</t>
        </is>
      </c>
      <c r="G2972" t="inlineStr">
        <is>
          <t>Pokemon FireRed Nuzlocke Challenge #3 - I like shorts!</t>
        </is>
      </c>
      <c r="H2972" s="44" t="n">
        <v>0.01733796296296296</v>
      </c>
      <c r="I2972" s="45" t="n">
        <v>56185</v>
      </c>
      <c r="J2972" s="45" t="n">
        <v>817</v>
      </c>
      <c r="K2972" s="45" t="n">
        <v>135</v>
      </c>
      <c r="L2972" s="46" t="n"/>
      <c r="M2972" s="47" t="n"/>
      <c r="N2972" s="47" t="inlineStr">
        <is>
          <t>UCor_9jRnNNZVzTuQ92PKsaQ</t>
        </is>
      </c>
      <c r="O2972" s="48" t="n">
        <v>41560.92291666667</v>
      </c>
      <c r="P2972" s="49" t="n">
        <v>41560</v>
      </c>
      <c r="Q2972" s="47" t="n">
        <v>296</v>
      </c>
      <c r="R2972" s="47" t="inlineStr">
        <is>
          <t>No Video ID yet</t>
        </is>
      </c>
      <c r="S2972" s="49" t="n"/>
      <c r="T2972" s="49" t="n"/>
      <c r="U2972" s="47" t="inlineStr">
        <is>
          <t>Episode 3 - Route 3 and Mt. Moon! .... I like shorts.. Will Donatello achieve his dream of evolution? Can Sanza and Pegoo settle their differences? What new friends will join the team?</t>
        </is>
      </c>
      <c r="V2972" s="47">
        <f>IF(AND(P2972&gt;=Calendar!$K$2,P2972&lt;EDATE(Calendar!$K$2,1),OR(Calendar!$K$4="*",N2972=Calendar!$K$4)),P2972*100+COUNTIFS($P$6:$P$3267,P2972,$Q$6:$Q$3267,"&lt;="&amp;Q2972,$N$6:$N$3267,Calendar!$K$4),"")</f>
        <v/>
      </c>
      <c r="W2972" s="47">
        <f>IF(AND(B2972=Queue!$C$4,OR(Queue!$K$4="*",N2972=Queue!$K$4)),Q2972,"")</f>
        <v/>
      </c>
    </row>
    <row r="2973">
      <c r="A2973" s="38">
        <f>IF(M2973="","",HYPERLINK("https://www.youtube.com/watch?v="&amp;M2973,"▶"))</f>
        <v/>
      </c>
      <c r="B2973" s="39">
        <f>IF(C2973&lt;&gt;"",C2973,IF(P2973&lt;=IFERROR(INDEX(tblChannels[Watched Through],MATCH(N2973,tblChannels[Channel ID],0)),0),"Watched","Unwatched"))</f>
        <v/>
      </c>
      <c r="C2973" s="40" t="n"/>
      <c r="D2973" s="41" t="n"/>
      <c r="E2973" s="42" t="n">
        <v>41557.8875</v>
      </c>
      <c r="F2973" s="50" t="inlineStr">
        <is>
          <t>Super Carlin Brothers</t>
        </is>
      </c>
      <c r="G2973" t="inlineStr">
        <is>
          <t>10%</t>
        </is>
      </c>
      <c r="H2973" s="44" t="n">
        <v>0.002627314814814815</v>
      </c>
      <c r="I2973" s="45" t="n">
        <v>14287</v>
      </c>
      <c r="J2973" s="45" t="n">
        <v>281</v>
      </c>
      <c r="K2973" s="45" t="n">
        <v>20</v>
      </c>
      <c r="L2973" s="46" t="n"/>
      <c r="M2973" s="47" t="n"/>
      <c r="N2973" s="47" t="inlineStr">
        <is>
          <t>UCKZo4N0lVPccBkSiuyVh4yg</t>
        </is>
      </c>
      <c r="O2973" s="48" t="n">
        <v>41558.05416666667</v>
      </c>
      <c r="P2973" s="49" t="n">
        <v>41557</v>
      </c>
      <c r="Q2973" s="47" t="n">
        <v>295</v>
      </c>
      <c r="R2973" s="47" t="inlineStr">
        <is>
          <t>No Video ID yet</t>
        </is>
      </c>
      <c r="S2973" s="49" t="n"/>
      <c r="T2973" s="49" t="n"/>
      <c r="U2973" s="47" t="inlineStr">
        <is>
          <t>Writing this description really falls into my last ten percent philosophy... Seems kinda hypocritical to not put more effort into it...</t>
        </is>
      </c>
      <c r="V2973" s="47">
        <f>IF(AND(P2973&gt;=Calendar!$K$2,P2973&lt;EDATE(Calendar!$K$2,1),OR(Calendar!$K$4="*",N2973=Calendar!$K$4)),P2973*100+COUNTIFS($P$6:$P$3267,P2973,$Q$6:$Q$3267,"&lt;="&amp;Q2973,$N$6:$N$3267,Calendar!$K$4),"")</f>
        <v/>
      </c>
      <c r="W2973" s="47">
        <f>IF(AND(B2973=Queue!$C$4,OR(Queue!$K$4="*",N2973=Queue!$K$4)),Q2973,"")</f>
        <v/>
      </c>
    </row>
    <row r="2974">
      <c r="A2974" s="38">
        <f>IF(M2974="","",HYPERLINK("https://www.youtube.com/watch?v="&amp;M2974,"▶"))</f>
        <v/>
      </c>
      <c r="B2974" s="39">
        <f>IF(C2974&lt;&gt;"",C2974,IF(P2974&lt;=IFERROR(INDEX(tblChannels[Watched Through],MATCH(N2974,tblChannels[Channel ID],0)),0),"Watched","Unwatched"))</f>
        <v/>
      </c>
      <c r="C2974" s="40" t="n"/>
      <c r="D2974" s="41" t="n"/>
      <c r="E2974" s="42" t="n">
        <v>41555.80972222222</v>
      </c>
      <c r="F2974" s="50" t="inlineStr">
        <is>
          <t>Super Carlin Brothers</t>
        </is>
      </c>
      <c r="G2974" t="inlineStr">
        <is>
          <t>NETFLIX Cheating</t>
        </is>
      </c>
      <c r="H2974" s="44" t="n">
        <v>0.002627314814814815</v>
      </c>
      <c r="I2974" s="45" t="n">
        <v>160433</v>
      </c>
      <c r="J2974" s="45" t="n">
        <v>2613</v>
      </c>
      <c r="K2974" s="45" t="n">
        <v>386</v>
      </c>
      <c r="L2974" s="46" t="n"/>
      <c r="M2974" s="47" t="n"/>
      <c r="N2974" s="47" t="inlineStr">
        <is>
          <t>UCKZo4N0lVPccBkSiuyVh4yg</t>
        </is>
      </c>
      <c r="O2974" s="48" t="n">
        <v>41555.97638888889</v>
      </c>
      <c r="P2974" s="49" t="n">
        <v>41555</v>
      </c>
      <c r="Q2974" s="47" t="n">
        <v>294</v>
      </c>
      <c r="R2974" s="47" t="inlineStr">
        <is>
          <t>No Video ID yet</t>
        </is>
      </c>
      <c r="S2974" s="49" t="n"/>
      <c r="T2974" s="49" t="n"/>
      <c r="U2974" s="47" t="inlineStr">
        <is>
          <t>Lets face it, you do this. NEW CHANNEL :: SUPER CARLIN GAMING</t>
        </is>
      </c>
      <c r="V2974" s="47">
        <f>IF(AND(P2974&gt;=Calendar!$K$2,P2974&lt;EDATE(Calendar!$K$2,1),OR(Calendar!$K$4="*",N2974=Calendar!$K$4)),P2974*100+COUNTIFS($P$6:$P$3267,P2974,$Q$6:$Q$3267,"&lt;="&amp;Q2974,$N$6:$N$3267,Calendar!$K$4),"")</f>
        <v/>
      </c>
      <c r="W2974" s="47">
        <f>IF(AND(B2974=Queue!$C$4,OR(Queue!$K$4="*",N2974=Queue!$K$4)),Q2974,"")</f>
        <v/>
      </c>
    </row>
    <row r="2975">
      <c r="A2975" s="38">
        <f>IF(M2975="","",HYPERLINK("https://www.youtube.com/watch?v="&amp;M2975,"▶"))</f>
        <v/>
      </c>
      <c r="B2975" s="39">
        <f>IF(C2975&lt;&gt;"",C2975,IF(P2975&lt;=IFERROR(INDEX(tblChannels[Watched Through],MATCH(N2975,tblChannels[Channel ID],0)),0),"Watched","Unwatched"))</f>
        <v/>
      </c>
      <c r="C2975" s="40" t="n"/>
      <c r="D2975" s="41" t="n"/>
      <c r="E2975" s="42" t="n">
        <v>41553.44166666667</v>
      </c>
      <c r="F2975" s="52" t="inlineStr">
        <is>
          <t>Super Carlin Gaming</t>
        </is>
      </c>
      <c r="G2975" t="inlineStr">
        <is>
          <t>Pokemon FireRed Nuzlocke Challenge #2 - Jamming Out</t>
        </is>
      </c>
      <c r="H2975" s="44" t="n">
        <v>0.01586805555555556</v>
      </c>
      <c r="I2975" s="45" t="n">
        <v>65104</v>
      </c>
      <c r="J2975" s="45" t="n">
        <v>1174</v>
      </c>
      <c r="K2975" s="45" t="n">
        <v>162</v>
      </c>
      <c r="L2975" s="46" t="n"/>
      <c r="M2975" s="47" t="n"/>
      <c r="N2975" s="47" t="inlineStr">
        <is>
          <t>UCor_9jRnNNZVzTuQ92PKsaQ</t>
        </is>
      </c>
      <c r="O2975" s="48" t="n">
        <v>41553.60833333333</v>
      </c>
      <c r="P2975" s="49" t="n">
        <v>41553</v>
      </c>
      <c r="Q2975" s="47" t="n">
        <v>293</v>
      </c>
      <c r="R2975" s="47" t="inlineStr">
        <is>
          <t>No Video ID yet</t>
        </is>
      </c>
      <c r="S2975" s="49" t="n"/>
      <c r="T2975" s="49" t="n"/>
      <c r="U2975" s="47" t="inlineStr">
        <is>
          <t>Episode 2 - We journey through Viridian Forest and take on our first Gym Leader - the team struggles for respect within its members and new friends are made! Apologies if any of the music is off I had to edit it back in manually after forgetting to hit record on the microphone during game play (whoops!) Grinding Muisc Courtesy of: Maklibek POKEMON BATTLE THEME DUBSTEP REMIX!</t>
        </is>
      </c>
      <c r="V2975" s="47">
        <f>IF(AND(P2975&gt;=Calendar!$K$2,P2975&lt;EDATE(Calendar!$K$2,1),OR(Calendar!$K$4="*",N2975=Calendar!$K$4)),P2975*100+COUNTIFS($P$6:$P$3267,P2975,$Q$6:$Q$3267,"&lt;="&amp;Q2975,$N$6:$N$3267,Calendar!$K$4),"")</f>
        <v/>
      </c>
      <c r="W2975" s="47">
        <f>IF(AND(B2975=Queue!$C$4,OR(Queue!$K$4="*",N2975=Queue!$K$4)),Q2975,"")</f>
        <v/>
      </c>
    </row>
    <row r="2976">
      <c r="A2976" s="38">
        <f>IF(M2976="","",HYPERLINK("https://www.youtube.com/watch?v="&amp;M2976,"▶"))</f>
        <v/>
      </c>
      <c r="B2976" s="39">
        <f>IF(C2976&lt;&gt;"",C2976,IF(P2976&lt;=IFERROR(INDEX(tblChannels[Watched Through],MATCH(N2976,tblChannels[Channel ID],0)),0),"Watched","Unwatched"))</f>
        <v/>
      </c>
      <c r="C2976" s="40" t="n"/>
      <c r="D2976" s="41" t="n"/>
      <c r="E2976" s="42" t="n">
        <v>41550.88611111111</v>
      </c>
      <c r="F2976" s="50" t="inlineStr">
        <is>
          <t>Super Carlin Brothers</t>
        </is>
      </c>
      <c r="G2976" t="inlineStr">
        <is>
          <t>Boxers</t>
        </is>
      </c>
      <c r="H2976" s="44" t="n">
        <v>0.002534722222222222</v>
      </c>
      <c r="I2976" s="45" t="n">
        <v>14697</v>
      </c>
      <c r="J2976" s="45" t="n">
        <v>193</v>
      </c>
      <c r="K2976" s="45" t="n">
        <v>50</v>
      </c>
      <c r="L2976" s="46" t="n"/>
      <c r="M2976" s="47" t="n"/>
      <c r="N2976" s="47" t="inlineStr">
        <is>
          <t>UCKZo4N0lVPccBkSiuyVh4yg</t>
        </is>
      </c>
      <c r="O2976" s="48" t="n">
        <v>41551.05277777778</v>
      </c>
      <c r="P2976" s="49" t="n">
        <v>41550</v>
      </c>
      <c r="Q2976" s="47" t="n">
        <v>292</v>
      </c>
      <c r="R2976" s="47" t="inlineStr">
        <is>
          <t>No Video ID yet</t>
        </is>
      </c>
      <c r="S2976" s="49" t="n"/>
      <c r="T2976" s="49" t="n"/>
      <c r="U2976" s="47" t="inlineStr">
        <is>
          <t>Well look who's digging around the bottom of the video topics barrel. Me. I am. So! Boxers or Briefs?! This is real good first date material. Also! Do you have any aspect of your life or way of doing something that you decided when you were a kid and it just kind of stuck? I also leave the cap off of my toothpaste. Don't know why. I'm told it's the most annoying part about living with me.</t>
        </is>
      </c>
      <c r="V2976" s="47">
        <f>IF(AND(P2976&gt;=Calendar!$K$2,P2976&lt;EDATE(Calendar!$K$2,1),OR(Calendar!$K$4="*",N2976=Calendar!$K$4)),P2976*100+COUNTIFS($P$6:$P$3267,P2976,$Q$6:$Q$3267,"&lt;="&amp;Q2976,$N$6:$N$3267,Calendar!$K$4),"")</f>
        <v/>
      </c>
      <c r="W2976" s="47">
        <f>IF(AND(B2976=Queue!$C$4,OR(Queue!$K$4="*",N2976=Queue!$K$4)),Q2976,"")</f>
        <v/>
      </c>
    </row>
    <row r="2977">
      <c r="A2977" s="38">
        <f>IF(M2977="","",HYPERLINK("https://www.youtube.com/watch?v="&amp;M2977,"▶"))</f>
        <v/>
      </c>
      <c r="B2977" s="39">
        <f>IF(C2977&lt;&gt;"",C2977,IF(P2977&lt;=IFERROR(INDEX(tblChannels[Watched Through],MATCH(N2977,tblChannels[Channel ID],0)),0),"Watched","Unwatched"))</f>
        <v/>
      </c>
      <c r="C2977" s="40" t="n"/>
      <c r="D2977" s="41" t="n"/>
      <c r="E2977" s="42" t="n">
        <v>41548.93819444445</v>
      </c>
      <c r="F2977" s="50" t="inlineStr">
        <is>
          <t>Super Carlin Brothers</t>
        </is>
      </c>
      <c r="G2977" t="inlineStr">
        <is>
          <t>NUZLOCKE</t>
        </is>
      </c>
      <c r="H2977" s="44" t="n">
        <v>0.003460648148148148</v>
      </c>
      <c r="I2977" s="45" t="n">
        <v>34032</v>
      </c>
      <c r="J2977" s="45" t="n">
        <v>728</v>
      </c>
      <c r="K2977" s="45" t="n">
        <v>70</v>
      </c>
      <c r="L2977" s="46" t="n"/>
      <c r="M2977" s="47" t="n"/>
      <c r="N2977" s="47" t="inlineStr">
        <is>
          <t>UCKZo4N0lVPccBkSiuyVh4yg</t>
        </is>
      </c>
      <c r="O2977" s="48" t="n">
        <v>41549.10486111111</v>
      </c>
      <c r="P2977" s="49" t="n">
        <v>41548</v>
      </c>
      <c r="Q2977" s="47" t="n">
        <v>291</v>
      </c>
      <c r="R2977" s="47" t="inlineStr">
        <is>
          <t>No Video ID yet</t>
        </is>
      </c>
      <c r="S2977" s="49" t="n"/>
      <c r="T2977" s="49" t="n"/>
      <c r="U2977" s="47" t="inlineStr">
        <is>
          <t>Jonathan tells the history of his ups and down with Pokemon and makes a BIG announcement! Super Carlin Gaming:</t>
        </is>
      </c>
      <c r="V2977" s="47">
        <f>IF(AND(P2977&gt;=Calendar!$K$2,P2977&lt;EDATE(Calendar!$K$2,1),OR(Calendar!$K$4="*",N2977=Calendar!$K$4)),P2977*100+COUNTIFS($P$6:$P$3267,P2977,$Q$6:$Q$3267,"&lt;="&amp;Q2977,$N$6:$N$3267,Calendar!$K$4),"")</f>
        <v/>
      </c>
      <c r="W2977" s="47">
        <f>IF(AND(B2977=Queue!$C$4,OR(Queue!$K$4="*",N2977=Queue!$K$4)),Q2977,"")</f>
        <v/>
      </c>
    </row>
    <row r="2978">
      <c r="A2978" s="38">
        <f>IF(M2978="","",HYPERLINK("https://www.youtube.com/watch?v="&amp;M2978,"▶"))</f>
        <v/>
      </c>
      <c r="B2978" s="39">
        <f>IF(C2978&lt;&gt;"",C2978,IF(P2978&lt;=IFERROR(INDEX(tblChannels[Watched Through],MATCH(N2978,tblChannels[Channel ID],0)),0),"Watched","Unwatched"))</f>
        <v/>
      </c>
      <c r="C2978" s="40" t="n"/>
      <c r="D2978" s="41" t="n"/>
      <c r="E2978" s="42" t="n">
        <v>41547.92986111111</v>
      </c>
      <c r="F2978" s="52" t="inlineStr">
        <is>
          <t>Super Carlin Gaming</t>
        </is>
      </c>
      <c r="G2978" t="inlineStr">
        <is>
          <t>Pokemon FireRed Nuzlocke Challenge #1 - Enter Peaches</t>
        </is>
      </c>
      <c r="H2978" s="44" t="n">
        <v>0.01302083333333333</v>
      </c>
      <c r="I2978" s="45" t="n">
        <v>149150</v>
      </c>
      <c r="J2978" s="45" t="n">
        <v>1867</v>
      </c>
      <c r="K2978" s="45" t="n">
        <v>340</v>
      </c>
      <c r="L2978" s="46" t="n"/>
      <c r="M2978" s="47" t="n"/>
      <c r="N2978" s="47" t="inlineStr">
        <is>
          <t>UCor_9jRnNNZVzTuQ92PKsaQ</t>
        </is>
      </c>
      <c r="O2978" s="48" t="n">
        <v>41548.09652777778</v>
      </c>
      <c r="P2978" s="49" t="n">
        <v>41547</v>
      </c>
      <c r="Q2978" s="47" t="n">
        <v>290</v>
      </c>
      <c r="R2978" s="47" t="inlineStr">
        <is>
          <t>No Video ID yet</t>
        </is>
      </c>
      <c r="S2978" s="49" t="n"/>
      <c r="T2978" s="49" t="n"/>
      <c r="U2978" s="47" t="inlineStr">
        <is>
          <t>Our journey begins! We get the pokedex and meet our first new teammates, as well as take our Rival, PEACHES, for the first 2 times.. who will win? Grinding Muisc Courtesy of: Maklibek POKEMON BATTLE THEME DUBSTEP REMIX!</t>
        </is>
      </c>
      <c r="V2978" s="47">
        <f>IF(AND(P2978&gt;=Calendar!$K$2,P2978&lt;EDATE(Calendar!$K$2,1),OR(Calendar!$K$4="*",N2978=Calendar!$K$4)),P2978*100+COUNTIFS($P$6:$P$3267,P2978,$Q$6:$Q$3267,"&lt;="&amp;Q2978,$N$6:$N$3267,Calendar!$K$4),"")</f>
        <v/>
      </c>
      <c r="W2978" s="47">
        <f>IF(AND(B2978=Queue!$C$4,OR(Queue!$K$4="*",N2978=Queue!$K$4)),Q2978,"")</f>
        <v/>
      </c>
    </row>
    <row r="2979">
      <c r="A2979" s="38">
        <f>IF(M2979="","",HYPERLINK("https://www.youtube.com/watch?v="&amp;M2979,"▶"))</f>
        <v/>
      </c>
      <c r="B2979" s="39">
        <f>IF(C2979&lt;&gt;"",C2979,IF(P2979&lt;=IFERROR(INDEX(tblChannels[Watched Through],MATCH(N2979,tblChannels[Channel ID],0)),0),"Watched","Unwatched"))</f>
        <v/>
      </c>
      <c r="C2979" s="40" t="n"/>
      <c r="D2979" s="41" t="n"/>
      <c r="E2979" s="42" t="n">
        <v>41543.73263888889</v>
      </c>
      <c r="F2979" s="50" t="inlineStr">
        <is>
          <t>Super Carlin Brothers</t>
        </is>
      </c>
      <c r="G2979" t="inlineStr">
        <is>
          <t>Stereotypes</t>
        </is>
      </c>
      <c r="H2979" s="44" t="n">
        <v>0.00212962962962963</v>
      </c>
      <c r="I2979" s="45" t="n">
        <v>18180</v>
      </c>
      <c r="J2979" s="45" t="n">
        <v>356</v>
      </c>
      <c r="K2979" s="45" t="n">
        <v>91</v>
      </c>
      <c r="L2979" s="46" t="n"/>
      <c r="M2979" s="47" t="n"/>
      <c r="N2979" s="47" t="inlineStr">
        <is>
          <t>UCKZo4N0lVPccBkSiuyVh4yg</t>
        </is>
      </c>
      <c r="O2979" s="48" t="n">
        <v>41543.89930555555</v>
      </c>
      <c r="P2979" s="49" t="n">
        <v>41543</v>
      </c>
      <c r="Q2979" s="47" t="n">
        <v>289</v>
      </c>
      <c r="R2979" s="47" t="inlineStr">
        <is>
          <t>No Video ID yet</t>
        </is>
      </c>
      <c r="S2979" s="49" t="n"/>
      <c r="T2979" s="49" t="n"/>
      <c r="U2979" s="47" t="inlineStr">
        <is>
          <t>Where do you land on stereotypes? Are you stereotyped? Do you stereotype?</t>
        </is>
      </c>
      <c r="V2979" s="47">
        <f>IF(AND(P2979&gt;=Calendar!$K$2,P2979&lt;EDATE(Calendar!$K$2,1),OR(Calendar!$K$4="*",N2979=Calendar!$K$4)),P2979*100+COUNTIFS($P$6:$P$3267,P2979,$Q$6:$Q$3267,"&lt;="&amp;Q2979,$N$6:$N$3267,Calendar!$K$4),"")</f>
        <v/>
      </c>
      <c r="W2979" s="47">
        <f>IF(AND(B2979=Queue!$C$4,OR(Queue!$K$4="*",N2979=Queue!$K$4)),Q2979,"")</f>
        <v/>
      </c>
    </row>
    <row r="2980">
      <c r="A2980" s="38">
        <f>IF(M2980="","",HYPERLINK("https://www.youtube.com/watch?v="&amp;M2980,"▶"))</f>
        <v/>
      </c>
      <c r="B2980" s="39">
        <f>IF(C2980&lt;&gt;"",C2980,IF(P2980&lt;=IFERROR(INDEX(tblChannels[Watched Through],MATCH(N2980,tblChannels[Channel ID],0)),0),"Watched","Unwatched"))</f>
        <v/>
      </c>
      <c r="C2980" s="40" t="n"/>
      <c r="D2980" s="41" t="n"/>
      <c r="E2980" s="42" t="n">
        <v>41541.97013888889</v>
      </c>
      <c r="F2980" s="50" t="inlineStr">
        <is>
          <t>Super Carlin Brothers</t>
        </is>
      </c>
      <c r="G2980" t="inlineStr">
        <is>
          <t>Serving Sizes are BS</t>
        </is>
      </c>
      <c r="H2980" s="44" t="n">
        <v>0.003333333333333334</v>
      </c>
      <c r="I2980" s="45" t="n">
        <v>158499</v>
      </c>
      <c r="J2980" s="45" t="n">
        <v>3349</v>
      </c>
      <c r="K2980" s="45" t="n">
        <v>994</v>
      </c>
      <c r="L2980" s="46" t="n"/>
      <c r="M2980" s="47" t="n"/>
      <c r="N2980" s="47" t="inlineStr">
        <is>
          <t>UCKZo4N0lVPccBkSiuyVh4yg</t>
        </is>
      </c>
      <c r="O2980" s="48" t="n">
        <v>41542.13680555556</v>
      </c>
      <c r="P2980" s="49" t="n">
        <v>41541</v>
      </c>
      <c r="Q2980" s="47" t="n">
        <v>288</v>
      </c>
      <c r="R2980" s="47" t="inlineStr">
        <is>
          <t>No Video ID yet</t>
        </is>
      </c>
      <c r="S2980" s="49" t="n"/>
      <c r="T2980" s="49" t="n"/>
      <c r="U2980" s="47" t="inlineStr">
        <is>
          <t>Seriously who ever only ate 2 Oreos.. nobody thats who. They are sooooo freaking good, I cant even buy them or they are just all gone, the ones I was holding in the vid were bought by Ben - they will probably be devoured by the time this finishes uploading</t>
        </is>
      </c>
      <c r="V2980" s="47">
        <f>IF(AND(P2980&gt;=Calendar!$K$2,P2980&lt;EDATE(Calendar!$K$2,1),OR(Calendar!$K$4="*",N2980=Calendar!$K$4)),P2980*100+COUNTIFS($P$6:$P$3267,P2980,$Q$6:$Q$3267,"&lt;="&amp;Q2980,$N$6:$N$3267,Calendar!$K$4),"")</f>
        <v/>
      </c>
      <c r="W2980" s="47">
        <f>IF(AND(B2980=Queue!$C$4,OR(Queue!$K$4="*",N2980=Queue!$K$4)),Q2980,"")</f>
        <v/>
      </c>
    </row>
    <row r="2981">
      <c r="A2981" s="38">
        <f>IF(M2981="","",HYPERLINK("https://www.youtube.com/watch?v="&amp;M2981,"▶"))</f>
        <v/>
      </c>
      <c r="B2981" s="39">
        <f>IF(C2981&lt;&gt;"",C2981,IF(P2981&lt;=IFERROR(INDEX(tblChannels[Watched Through],MATCH(N2981,tblChannels[Channel ID],0)),0),"Watched","Unwatched"))</f>
        <v/>
      </c>
      <c r="C2981" s="40" t="n"/>
      <c r="D2981" s="41" t="n"/>
      <c r="E2981" s="42" t="n">
        <v>41536.87777777778</v>
      </c>
      <c r="F2981" s="50" t="inlineStr">
        <is>
          <t>Super Carlin Brothers</t>
        </is>
      </c>
      <c r="G2981" t="inlineStr">
        <is>
          <t>YouTube Survey 2013 BEN (and punishment)</t>
        </is>
      </c>
      <c r="H2981" s="44" t="n">
        <v>0.002754629629629629</v>
      </c>
      <c r="I2981" s="45" t="n">
        <v>19120</v>
      </c>
      <c r="J2981" s="45" t="n">
        <v>400</v>
      </c>
      <c r="K2981" s="45" t="n">
        <v>53</v>
      </c>
      <c r="L2981" s="46" t="n"/>
      <c r="M2981" s="47" t="n"/>
      <c r="N2981" s="47" t="inlineStr">
        <is>
          <t>UCKZo4N0lVPccBkSiuyVh4yg</t>
        </is>
      </c>
      <c r="O2981" s="48" t="n">
        <v>41537.04444444444</v>
      </c>
      <c r="P2981" s="49" t="n">
        <v>41536</v>
      </c>
      <c r="Q2981" s="47" t="n">
        <v>287</v>
      </c>
      <c r="R2981" s="47" t="inlineStr">
        <is>
          <t>No Video ID yet</t>
        </is>
      </c>
      <c r="S2981" s="49" t="n"/>
      <c r="T2981" s="49" t="n"/>
      <c r="U2981" s="47" t="inlineStr">
        <is>
          <t>What do you guys think of using money as a score opposed to... "if I make that much I can buy ________" Driven by the desire to get a high score. Whether it be in competition with friends or peers or purely as a personal goal.</t>
        </is>
      </c>
      <c r="V2981" s="47">
        <f>IF(AND(P2981&gt;=Calendar!$K$2,P2981&lt;EDATE(Calendar!$K$2,1),OR(Calendar!$K$4="*",N2981=Calendar!$K$4)),P2981*100+COUNTIFS($P$6:$P$3267,P2981,$Q$6:$Q$3267,"&lt;="&amp;Q2981,$N$6:$N$3267,Calendar!$K$4),"")</f>
        <v/>
      </c>
      <c r="W2981" s="47">
        <f>IF(AND(B2981=Queue!$C$4,OR(Queue!$K$4="*",N2981=Queue!$K$4)),Q2981,"")</f>
        <v/>
      </c>
    </row>
    <row r="2982">
      <c r="A2982" s="38">
        <f>IF(M2982="","",HYPERLINK("https://www.youtube.com/watch?v="&amp;M2982,"▶"))</f>
        <v/>
      </c>
      <c r="B2982" s="39">
        <f>IF(C2982&lt;&gt;"",C2982,IF(P2982&lt;=IFERROR(INDEX(tblChannels[Watched Through],MATCH(N2982,tblChannels[Channel ID],0)),0),"Watched","Unwatched"))</f>
        <v/>
      </c>
      <c r="C2982" s="40" t="n"/>
      <c r="D2982" s="41" t="n"/>
      <c r="E2982" s="42" t="n">
        <v>41534.375</v>
      </c>
      <c r="F2982" s="50" t="inlineStr">
        <is>
          <t>Super Carlin Brothers</t>
        </is>
      </c>
      <c r="G2982" t="inlineStr">
        <is>
          <t>Youtube Survey 2013</t>
        </is>
      </c>
      <c r="H2982" s="44" t="n">
        <v>0.004097222222222223</v>
      </c>
      <c r="I2982" s="45" t="n">
        <v>20165</v>
      </c>
      <c r="J2982" s="45" t="n">
        <v>481</v>
      </c>
      <c r="K2982" s="45" t="n">
        <v>129</v>
      </c>
      <c r="L2982" s="46" t="n"/>
      <c r="M2982" s="47" t="n"/>
      <c r="N2982" s="47" t="inlineStr">
        <is>
          <t>UCKZo4N0lVPccBkSiuyVh4yg</t>
        </is>
      </c>
      <c r="O2982" s="48" t="n">
        <v>41534.54166666666</v>
      </c>
      <c r="P2982" s="49" t="n">
        <v>41534</v>
      </c>
      <c r="Q2982" s="47" t="n">
        <v>286</v>
      </c>
      <c r="R2982" s="47" t="inlineStr">
        <is>
          <t>No Video ID yet</t>
        </is>
      </c>
      <c r="S2982" s="49" t="n"/>
      <c r="T2982" s="49" t="n"/>
      <c r="U2982" s="47" t="inlineStr">
        <is>
          <t>In which Jonathan answers the 2013 Youtube "Nerimon" Survey THE QUESTIONS 1 - WHAT IS YOUR BIGGEST FEAR? 2 - HOW DID YOU FIND OUT SANTA ISN'T REAL? 3 - WHAT IS THE BEST IDEA YOU'VE EVER HAD? 4 - MOST EMBARRASSING THING YOUR PARENTS HAVE EVER DONE? 5 - IF YOU WERE ONLY ALLOWED TO PICK ONE CAREER FOR THE REST OF YOUR LIFE, WHAT WOULD IT BE? The Tags: NerdyAndQuirky: AwkwardAdolecents: SuperCarlinBrothers: You Are Already HERE!</t>
        </is>
      </c>
      <c r="V2982" s="47">
        <f>IF(AND(P2982&gt;=Calendar!$K$2,P2982&lt;EDATE(Calendar!$K$2,1),OR(Calendar!$K$4="*",N2982=Calendar!$K$4)),P2982*100+COUNTIFS($P$6:$P$3267,P2982,$Q$6:$Q$3267,"&lt;="&amp;Q2982,$N$6:$N$3267,Calendar!$K$4),"")</f>
        <v/>
      </c>
      <c r="W2982" s="47">
        <f>IF(AND(B2982=Queue!$C$4,OR(Queue!$K$4="*",N2982=Queue!$K$4)),Q2982,"")</f>
        <v/>
      </c>
    </row>
    <row r="2983">
      <c r="A2983" s="38">
        <f>IF(M2983="","",HYPERLINK("https://www.youtube.com/watch?v="&amp;M2983,"▶"))</f>
        <v/>
      </c>
      <c r="B2983" s="39">
        <f>IF(C2983&lt;&gt;"",C2983,IF(P2983&lt;=IFERROR(INDEX(tblChannels[Watched Through],MATCH(N2983,tblChannels[Channel ID],0)),0),"Watched","Unwatched"))</f>
        <v/>
      </c>
      <c r="C2983" s="40" t="n"/>
      <c r="D2983" s="41" t="n"/>
      <c r="E2983" s="42" t="n">
        <v>41529.96805555555</v>
      </c>
      <c r="F2983" s="50" t="inlineStr">
        <is>
          <t>Super Carlin Brothers</t>
        </is>
      </c>
      <c r="G2983" t="inlineStr">
        <is>
          <t>Battle of the Brands</t>
        </is>
      </c>
      <c r="H2983" s="44" t="n">
        <v>0.002210648148148148</v>
      </c>
      <c r="I2983" s="45" t="n">
        <v>9109</v>
      </c>
      <c r="J2983" s="45" t="n">
        <v>164</v>
      </c>
      <c r="K2983" s="45" t="n">
        <v>66</v>
      </c>
      <c r="L2983" s="46" t="n"/>
      <c r="M2983" s="47" t="n"/>
      <c r="N2983" s="47" t="inlineStr">
        <is>
          <t>UCKZo4N0lVPccBkSiuyVh4yg</t>
        </is>
      </c>
      <c r="O2983" s="48" t="n">
        <v>41530.13472222222</v>
      </c>
      <c r="P2983" s="49" t="n">
        <v>41529</v>
      </c>
      <c r="Q2983" s="47" t="n">
        <v>285</v>
      </c>
      <c r="R2983" s="47" t="inlineStr">
        <is>
          <t>No Video ID yet</t>
        </is>
      </c>
      <c r="S2983" s="49" t="n"/>
      <c r="T2983" s="49" t="n"/>
      <c r="U2983" s="47" t="inlineStr">
        <is>
          <t>Where do you land?! Any, one, none, some? LET ME KNOW Apple vs. Android Verizon vs. AT&amp;T Lowes vs. Home Depot Coke vs. pepsi Xbox vs. Playstation Sweet and Low vs. Splenda vs. Sugar vs. Stevia</t>
        </is>
      </c>
      <c r="V2983" s="47">
        <f>IF(AND(P2983&gt;=Calendar!$K$2,P2983&lt;EDATE(Calendar!$K$2,1),OR(Calendar!$K$4="*",N2983=Calendar!$K$4)),P2983*100+COUNTIFS($P$6:$P$3267,P2983,$Q$6:$Q$3267,"&lt;="&amp;Q2983,$N$6:$N$3267,Calendar!$K$4),"")</f>
        <v/>
      </c>
      <c r="W2983" s="47">
        <f>IF(AND(B2983=Queue!$C$4,OR(Queue!$K$4="*",N2983=Queue!$K$4)),Q2983,"")</f>
        <v/>
      </c>
    </row>
    <row r="2984">
      <c r="A2984" s="38">
        <f>IF(M2984="","",HYPERLINK("https://www.youtube.com/watch?v="&amp;M2984,"▶"))</f>
        <v/>
      </c>
      <c r="B2984" s="39">
        <f>IF(C2984&lt;&gt;"",C2984,IF(P2984&lt;=IFERROR(INDEX(tblChannels[Watched Through],MATCH(N2984,tblChannels[Channel ID],0)),0),"Watched","Unwatched"))</f>
        <v/>
      </c>
      <c r="C2984" s="40" t="n"/>
      <c r="D2984" s="41" t="n"/>
      <c r="E2984" s="42" t="n">
        <v>41527.98055555556</v>
      </c>
      <c r="F2984" s="50" t="inlineStr">
        <is>
          <t>Super Carlin Brothers</t>
        </is>
      </c>
      <c r="G2984" t="inlineStr">
        <is>
          <t>RGIII vs. Game of Thrones</t>
        </is>
      </c>
      <c r="H2984" s="44" t="n">
        <v>0.003391203703703704</v>
      </c>
      <c r="I2984" s="45" t="n">
        <v>10702</v>
      </c>
      <c r="J2984" s="45" t="n">
        <v>202</v>
      </c>
      <c r="K2984" s="45" t="n">
        <v>75</v>
      </c>
      <c r="L2984" s="46" t="n"/>
      <c r="M2984" s="47" t="n"/>
      <c r="N2984" s="47" t="inlineStr">
        <is>
          <t>UCKZo4N0lVPccBkSiuyVh4yg</t>
        </is>
      </c>
      <c r="O2984" s="48" t="n">
        <v>41528.14722222222</v>
      </c>
      <c r="P2984" s="49" t="n">
        <v>41527</v>
      </c>
      <c r="Q2984" s="47" t="n">
        <v>284</v>
      </c>
      <c r="R2984" s="47" t="inlineStr">
        <is>
          <t>No Video ID yet</t>
        </is>
      </c>
      <c r="S2984" s="49" t="n"/>
      <c r="T2984" s="49" t="n"/>
      <c r="U2984" s="47" t="inlineStr">
        <is>
          <t>My real concern here is that despite signing up for a service I greatly enjoy in Audible I have unwittingly forced myself to no longer enjoy the radio... maybe forever! I dont know if everyone enjoys radio as much as me but I think its an incredibly entertaining medium, and while TV, Movies and Print have all fallen by the wayside to other services like Netflix, Hulu and well the internet as a whole I never really suspected a way for radio to be threatened in the same way. I mean obviously there are iPods and CD's and stuff, but thats still optional, whats odd about this scenario is how I feel bound to the service I signed up for by the cost I have to pay every month, if I'm not listening to the books its just a waste of money.</t>
        </is>
      </c>
      <c r="V2984" s="47">
        <f>IF(AND(P2984&gt;=Calendar!$K$2,P2984&lt;EDATE(Calendar!$K$2,1),OR(Calendar!$K$4="*",N2984=Calendar!$K$4)),P2984*100+COUNTIFS($P$6:$P$3267,P2984,$Q$6:$Q$3267,"&lt;="&amp;Q2984,$N$6:$N$3267,Calendar!$K$4),"")</f>
        <v/>
      </c>
      <c r="W2984" s="47">
        <f>IF(AND(B2984=Queue!$C$4,OR(Queue!$K$4="*",N2984=Queue!$K$4)),Q2984,"")</f>
        <v/>
      </c>
    </row>
    <row r="2985">
      <c r="A2985" s="38">
        <f>IF(M2985="","",HYPERLINK("https://www.youtube.com/watch?v="&amp;M2985,"▶"))</f>
        <v/>
      </c>
      <c r="B2985" s="39">
        <f>IF(C2985&lt;&gt;"",C2985,IF(P2985&lt;=IFERROR(INDEX(tblChannels[Watched Through],MATCH(N2985,tblChannels[Channel ID],0)),0),"Watched","Unwatched"))</f>
        <v/>
      </c>
      <c r="C2985" s="40" t="n"/>
      <c r="D2985" s="41" t="n"/>
      <c r="E2985" s="42" t="n">
        <v>41522.92986111111</v>
      </c>
      <c r="F2985" s="50" t="inlineStr">
        <is>
          <t>Super Carlin Brothers</t>
        </is>
      </c>
      <c r="G2985" t="inlineStr">
        <is>
          <t>Underdog Advantage</t>
        </is>
      </c>
      <c r="H2985" s="44" t="n">
        <v>0.003136574074074074</v>
      </c>
      <c r="I2985" s="45" t="n">
        <v>10179</v>
      </c>
      <c r="J2985" s="45" t="n">
        <v>212</v>
      </c>
      <c r="K2985" s="45" t="n">
        <v>27</v>
      </c>
      <c r="L2985" s="46" t="n"/>
      <c r="M2985" s="47" t="n"/>
      <c r="N2985" s="47" t="inlineStr">
        <is>
          <t>UCKZo4N0lVPccBkSiuyVh4yg</t>
        </is>
      </c>
      <c r="O2985" s="48" t="n">
        <v>41523.09652777778</v>
      </c>
      <c r="P2985" s="49" t="n">
        <v>41522</v>
      </c>
      <c r="Q2985" s="47" t="n">
        <v>283</v>
      </c>
      <c r="R2985" s="47" t="inlineStr">
        <is>
          <t>No Video ID yet</t>
        </is>
      </c>
      <c r="S2985" s="49" t="n"/>
      <c r="T2985" s="49" t="n"/>
      <c r="U2985" s="47" t="n"/>
      <c r="V2985" s="47">
        <f>IF(AND(P2985&gt;=Calendar!$K$2,P2985&lt;EDATE(Calendar!$K$2,1),OR(Calendar!$K$4="*",N2985=Calendar!$K$4)),P2985*100+COUNTIFS($P$6:$P$3267,P2985,$Q$6:$Q$3267,"&lt;="&amp;Q2985,$N$6:$N$3267,Calendar!$K$4),"")</f>
        <v/>
      </c>
      <c r="W2985" s="47">
        <f>IF(AND(B2985=Queue!$C$4,OR(Queue!$K$4="*",N2985=Queue!$K$4)),Q2985,"")</f>
        <v/>
      </c>
    </row>
    <row r="2986">
      <c r="A2986" s="38">
        <f>IF(M2986="","",HYPERLINK("https://www.youtube.com/watch?v="&amp;M2986,"▶"))</f>
        <v/>
      </c>
      <c r="B2986" s="39">
        <f>IF(C2986&lt;&gt;"",C2986,IF(P2986&lt;=IFERROR(INDEX(tblChannels[Watched Through],MATCH(N2986,tblChannels[Channel ID],0)),0),"Watched","Unwatched"))</f>
        <v/>
      </c>
      <c r="C2986" s="40" t="n"/>
      <c r="D2986" s="41" t="n"/>
      <c r="E2986" s="42" t="n">
        <v>41520.94930555556</v>
      </c>
      <c r="F2986" s="50" t="inlineStr">
        <is>
          <t>Super Carlin Brothers</t>
        </is>
      </c>
      <c r="G2986" t="inlineStr">
        <is>
          <t>The Importance of Nothing!</t>
        </is>
      </c>
      <c r="H2986" s="44" t="n">
        <v>0.002349537037037037</v>
      </c>
      <c r="I2986" s="45" t="n">
        <v>147971</v>
      </c>
      <c r="J2986" s="45" t="n">
        <v>2880</v>
      </c>
      <c r="K2986" s="45" t="n">
        <v>759</v>
      </c>
      <c r="L2986" s="46" t="n"/>
      <c r="M2986" s="47" t="n"/>
      <c r="N2986" s="47" t="inlineStr">
        <is>
          <t>UCKZo4N0lVPccBkSiuyVh4yg</t>
        </is>
      </c>
      <c r="O2986" s="48" t="n">
        <v>41521.11597222222</v>
      </c>
      <c r="P2986" s="49" t="n">
        <v>41520</v>
      </c>
      <c r="Q2986" s="47" t="n">
        <v>282</v>
      </c>
      <c r="R2986" s="47" t="inlineStr">
        <is>
          <t>No Video ID yet</t>
        </is>
      </c>
      <c r="S2986" s="49" t="n"/>
      <c r="T2986" s="49" t="n"/>
      <c r="U2986" s="47" t="inlineStr">
        <is>
          <t>I thought about just leaving this whole box blank...</t>
        </is>
      </c>
      <c r="V2986" s="47">
        <f>IF(AND(P2986&gt;=Calendar!$K$2,P2986&lt;EDATE(Calendar!$K$2,1),OR(Calendar!$K$4="*",N2986=Calendar!$K$4)),P2986*100+COUNTIFS($P$6:$P$3267,P2986,$Q$6:$Q$3267,"&lt;="&amp;Q2986,$N$6:$N$3267,Calendar!$K$4),"")</f>
        <v/>
      </c>
      <c r="W2986" s="47">
        <f>IF(AND(B2986=Queue!$C$4,OR(Queue!$K$4="*",N2986=Queue!$K$4)),Q2986,"")</f>
        <v/>
      </c>
    </row>
    <row r="2987">
      <c r="A2987" s="38">
        <f>IF(M2987="","",HYPERLINK("https://www.youtube.com/watch?v="&amp;M2987,"▶"))</f>
        <v/>
      </c>
      <c r="B2987" s="39">
        <f>IF(C2987&lt;&gt;"",C2987,IF(P2987&lt;=IFERROR(INDEX(tblChannels[Watched Through],MATCH(N2987,tblChannels[Channel ID],0)),0),"Watched","Unwatched"))</f>
        <v/>
      </c>
      <c r="C2987" s="40" t="n"/>
      <c r="D2987" s="41" t="n"/>
      <c r="E2987" s="42" t="n">
        <v>41515.98125</v>
      </c>
      <c r="F2987" s="50" t="inlineStr">
        <is>
          <t>Super Carlin Brothers</t>
        </is>
      </c>
      <c r="G2987" t="inlineStr">
        <is>
          <t>Tongue Stitches</t>
        </is>
      </c>
      <c r="H2987" s="44" t="n">
        <v>0.001435185185185185</v>
      </c>
      <c r="I2987" s="45" t="n">
        <v>11056</v>
      </c>
      <c r="J2987" s="45" t="n">
        <v>186</v>
      </c>
      <c r="K2987" s="45" t="n">
        <v>10</v>
      </c>
      <c r="L2987" s="46" t="n"/>
      <c r="M2987" s="47" t="n"/>
      <c r="N2987" s="47" t="inlineStr">
        <is>
          <t>UCKZo4N0lVPccBkSiuyVh4yg</t>
        </is>
      </c>
      <c r="O2987" s="48" t="n">
        <v>41516.14791666667</v>
      </c>
      <c r="P2987" s="49" t="n">
        <v>41515</v>
      </c>
      <c r="Q2987" s="47" t="n">
        <v>281</v>
      </c>
      <c r="R2987" s="47" t="inlineStr">
        <is>
          <t>No Video ID yet</t>
        </is>
      </c>
      <c r="S2987" s="49" t="n"/>
      <c r="T2987" s="49" t="n"/>
      <c r="U2987" s="47" t="n"/>
      <c r="V2987" s="47">
        <f>IF(AND(P2987&gt;=Calendar!$K$2,P2987&lt;EDATE(Calendar!$K$2,1),OR(Calendar!$K$4="*",N2987=Calendar!$K$4)),P2987*100+COUNTIFS($P$6:$P$3267,P2987,$Q$6:$Q$3267,"&lt;="&amp;Q2987,$N$6:$N$3267,Calendar!$K$4),"")</f>
        <v/>
      </c>
      <c r="W2987" s="47">
        <f>IF(AND(B2987=Queue!$C$4,OR(Queue!$K$4="*",N2987=Queue!$K$4)),Q2987,"")</f>
        <v/>
      </c>
    </row>
    <row r="2988">
      <c r="A2988" s="38">
        <f>IF(M2988="","",HYPERLINK("https://www.youtube.com/watch?v="&amp;M2988,"▶"))</f>
        <v/>
      </c>
      <c r="B2988" s="39">
        <f>IF(C2988&lt;&gt;"",C2988,IF(P2988&lt;=IFERROR(INDEX(tblChannels[Watched Through],MATCH(N2988,tblChannels[Channel ID],0)),0),"Watched","Unwatched"))</f>
        <v/>
      </c>
      <c r="C2988" s="40" t="n"/>
      <c r="D2988" s="41" t="n"/>
      <c r="E2988" s="42" t="n">
        <v>41513.9875</v>
      </c>
      <c r="F2988" s="50" t="inlineStr">
        <is>
          <t>Super Carlin Brothers</t>
        </is>
      </c>
      <c r="G2988" t="inlineStr">
        <is>
          <t>SCARS!</t>
        </is>
      </c>
      <c r="H2988" s="44" t="n">
        <v>0.002476851851851852</v>
      </c>
      <c r="I2988" s="45" t="n">
        <v>53090</v>
      </c>
      <c r="J2988" s="45" t="n">
        <v>933</v>
      </c>
      <c r="K2988" s="45" t="n">
        <v>480</v>
      </c>
      <c r="L2988" s="46" t="n"/>
      <c r="M2988" s="47" t="n"/>
      <c r="N2988" s="47" t="inlineStr">
        <is>
          <t>UCKZo4N0lVPccBkSiuyVh4yg</t>
        </is>
      </c>
      <c r="O2988" s="48" t="n">
        <v>41514.15416666667</v>
      </c>
      <c r="P2988" s="49" t="n">
        <v>41513</v>
      </c>
      <c r="Q2988" s="47" t="n">
        <v>280</v>
      </c>
      <c r="R2988" s="47" t="inlineStr">
        <is>
          <t>No Video ID yet</t>
        </is>
      </c>
      <c r="S2988" s="49" t="n"/>
      <c r="T2988" s="49" t="n"/>
      <c r="U2988" s="47" t="inlineStr">
        <is>
          <t>What is your best scar story??? Also seriously Gaston is the best villain and he gets screwed. Yes, he is a total dick, but for a guy who is supposed to appear as more of a threat than he is, he is INCREDIBLY effective and resourceful. Everyone in the town loves him and he is charismatic enough and has enough leadership skills to convince the town to go to arms and hunt down a beast far away in a castle with no other proof than a MIRROR an effing mirror are you kidding me? Not only that, but when he gets to the castle he doesn't hesitate at all before engaging the Beast despite obviously being physically outmatched. Yes I know he attacks the Beast even though the Beast has yielded, but even after Beast joins the fight Gaston is still winning, he hits him with that huge cement thing and STABS him.. what does the beast do? Shove him? Boring.</t>
        </is>
      </c>
      <c r="V2988" s="47">
        <f>IF(AND(P2988&gt;=Calendar!$K$2,P2988&lt;EDATE(Calendar!$K$2,1),OR(Calendar!$K$4="*",N2988=Calendar!$K$4)),P2988*100+COUNTIFS($P$6:$P$3267,P2988,$Q$6:$Q$3267,"&lt;="&amp;Q2988,$N$6:$N$3267,Calendar!$K$4),"")</f>
        <v/>
      </c>
      <c r="W2988" s="47">
        <f>IF(AND(B2988=Queue!$C$4,OR(Queue!$K$4="*",N2988=Queue!$K$4)),Q2988,"")</f>
        <v/>
      </c>
    </row>
    <row r="2989">
      <c r="A2989" s="38">
        <f>IF(M2989="","",HYPERLINK("https://www.youtube.com/watch?v="&amp;M2989,"▶"))</f>
        <v/>
      </c>
      <c r="B2989" s="39">
        <f>IF(C2989&lt;&gt;"",C2989,IF(P2989&lt;=IFERROR(INDEX(tblChannels[Watched Through],MATCH(N2989,tblChannels[Channel ID],0)),0),"Watched","Unwatched"))</f>
        <v/>
      </c>
      <c r="C2989" s="40" t="n"/>
      <c r="D2989" s="41" t="n"/>
      <c r="E2989" s="42" t="n">
        <v>41509.00416666667</v>
      </c>
      <c r="F2989" s="50" t="inlineStr">
        <is>
          <t>Super Carlin Brothers</t>
        </is>
      </c>
      <c r="G2989" t="inlineStr">
        <is>
          <t>Weakness</t>
        </is>
      </c>
      <c r="H2989" s="44" t="n">
        <v>0.003726851851851852</v>
      </c>
      <c r="I2989" s="45" t="n">
        <v>11296</v>
      </c>
      <c r="J2989" s="45" t="n">
        <v>227</v>
      </c>
      <c r="K2989" s="45" t="n">
        <v>100</v>
      </c>
      <c r="L2989" s="46" t="n"/>
      <c r="M2989" s="47" t="n"/>
      <c r="N2989" s="47" t="inlineStr">
        <is>
          <t>UCKZo4N0lVPccBkSiuyVh4yg</t>
        </is>
      </c>
      <c r="O2989" s="48" t="n">
        <v>41509.17083333333</v>
      </c>
      <c r="P2989" s="49" t="n">
        <v>41509</v>
      </c>
      <c r="Q2989" s="47" t="n">
        <v>279</v>
      </c>
      <c r="R2989" s="47" t="inlineStr">
        <is>
          <t>No Video ID yet</t>
        </is>
      </c>
      <c r="S2989" s="49" t="n"/>
      <c r="T2989" s="49" t="n"/>
      <c r="U2989" s="47" t="inlineStr">
        <is>
          <t>What is your weakness?</t>
        </is>
      </c>
      <c r="V2989" s="47">
        <f>IF(AND(P2989&gt;=Calendar!$K$2,P2989&lt;EDATE(Calendar!$K$2,1),OR(Calendar!$K$4="*",N2989=Calendar!$K$4)),P2989*100+COUNTIFS($P$6:$P$3267,P2989,$Q$6:$Q$3267,"&lt;="&amp;Q2989,$N$6:$N$3267,Calendar!$K$4),"")</f>
        <v/>
      </c>
      <c r="W2989" s="47">
        <f>IF(AND(B2989=Queue!$C$4,OR(Queue!$K$4="*",N2989=Queue!$K$4)),Q2989,"")</f>
        <v/>
      </c>
    </row>
    <row r="2990">
      <c r="A2990" s="38">
        <f>IF(M2990="","",HYPERLINK("https://www.youtube.com/watch?v="&amp;M2990,"▶"))</f>
        <v/>
      </c>
      <c r="B2990" s="39">
        <f>IF(C2990&lt;&gt;"",C2990,IF(P2990&lt;=IFERROR(INDEX(tblChannels[Watched Through],MATCH(N2990,tblChannels[Channel ID],0)),0),"Watched","Unwatched"))</f>
        <v/>
      </c>
      <c r="C2990" s="40" t="n"/>
      <c r="D2990" s="41" t="n"/>
      <c r="E2990" s="42" t="n">
        <v>41506.97152777778</v>
      </c>
      <c r="F2990" s="50" t="inlineStr">
        <is>
          <t>Super Carlin Brothers</t>
        </is>
      </c>
      <c r="G2990" t="inlineStr">
        <is>
          <t>BEST VIDEO EVER!!!</t>
        </is>
      </c>
      <c r="H2990" s="44" t="n">
        <v>0.002708333333333333</v>
      </c>
      <c r="I2990" s="45" t="n">
        <v>37937</v>
      </c>
      <c r="J2990" s="45" t="n">
        <v>1054</v>
      </c>
      <c r="K2990" s="45" t="n">
        <v>90</v>
      </c>
      <c r="L2990" s="46" t="n"/>
      <c r="M2990" s="47" t="n"/>
      <c r="N2990" s="47" t="inlineStr">
        <is>
          <t>UCKZo4N0lVPccBkSiuyVh4yg</t>
        </is>
      </c>
      <c r="O2990" s="48" t="n">
        <v>41507.13819444444</v>
      </c>
      <c r="P2990" s="49" t="n">
        <v>41506</v>
      </c>
      <c r="Q2990" s="47" t="n">
        <v>278</v>
      </c>
      <c r="R2990" s="47" t="inlineStr">
        <is>
          <t>No Video ID yet</t>
        </is>
      </c>
      <c r="S2990" s="49" t="n"/>
      <c r="T2990" s="49" t="n"/>
      <c r="U2990" s="47" t="inlineStr">
        <is>
          <t>Probably not but I TRIED SO HARD!! Do you think effort should be rewarded?</t>
        </is>
      </c>
      <c r="V2990" s="47">
        <f>IF(AND(P2990&gt;=Calendar!$K$2,P2990&lt;EDATE(Calendar!$K$2,1),OR(Calendar!$K$4="*",N2990=Calendar!$K$4)),P2990*100+COUNTIFS($P$6:$P$3267,P2990,$Q$6:$Q$3267,"&lt;="&amp;Q2990,$N$6:$N$3267,Calendar!$K$4),"")</f>
        <v/>
      </c>
      <c r="W2990" s="47">
        <f>IF(AND(B2990=Queue!$C$4,OR(Queue!$K$4="*",N2990=Queue!$K$4)),Q2990,"")</f>
        <v/>
      </c>
    </row>
    <row r="2991">
      <c r="A2991" s="38">
        <f>IF(M2991="","",HYPERLINK("https://www.youtube.com/watch?v="&amp;M2991,"▶"))</f>
        <v/>
      </c>
      <c r="B2991" s="39">
        <f>IF(C2991&lt;&gt;"",C2991,IF(P2991&lt;=IFERROR(INDEX(tblChannels[Watched Through],MATCH(N2991,tblChannels[Channel ID],0)),0),"Watched","Unwatched"))</f>
        <v/>
      </c>
      <c r="C2991" s="40" t="n"/>
      <c r="D2991" s="41" t="n"/>
      <c r="E2991" s="42" t="n">
        <v>41501.94236111111</v>
      </c>
      <c r="F2991" s="50" t="inlineStr">
        <is>
          <t>Super Carlin Brothers</t>
        </is>
      </c>
      <c r="G2991" t="inlineStr">
        <is>
          <t>Beavers</t>
        </is>
      </c>
      <c r="H2991" s="44" t="n">
        <v>0.00369212962962963</v>
      </c>
      <c r="I2991" s="45" t="n">
        <v>10333</v>
      </c>
      <c r="J2991" s="45" t="n">
        <v>195</v>
      </c>
      <c r="K2991" s="45" t="n">
        <v>45</v>
      </c>
      <c r="L2991" s="46" t="n"/>
      <c r="M2991" s="47" t="n"/>
      <c r="N2991" s="47" t="inlineStr">
        <is>
          <t>UCKZo4N0lVPccBkSiuyVh4yg</t>
        </is>
      </c>
      <c r="O2991" s="48" t="n">
        <v>41502.10902777778</v>
      </c>
      <c r="P2991" s="49" t="n">
        <v>41501</v>
      </c>
      <c r="Q2991" s="47" t="n">
        <v>277</v>
      </c>
      <c r="R2991" s="47" t="inlineStr">
        <is>
          <t>No Video ID yet</t>
        </is>
      </c>
      <c r="S2991" s="49" t="n"/>
      <c r="T2991" s="49" t="n"/>
      <c r="U2991" s="47" t="inlineStr">
        <is>
          <t>I've been thinking about human environmental impacts a lot lately due to a recent aquarium install I did specifically designed to promote awareness about a local endangered fish: the Roanoke Log Perch =D</t>
        </is>
      </c>
      <c r="V2991" s="47">
        <f>IF(AND(P2991&gt;=Calendar!$K$2,P2991&lt;EDATE(Calendar!$K$2,1),OR(Calendar!$K$4="*",N2991=Calendar!$K$4)),P2991*100+COUNTIFS($P$6:$P$3267,P2991,$Q$6:$Q$3267,"&lt;="&amp;Q2991,$N$6:$N$3267,Calendar!$K$4),"")</f>
        <v/>
      </c>
      <c r="W2991" s="47">
        <f>IF(AND(B2991=Queue!$C$4,OR(Queue!$K$4="*",N2991=Queue!$K$4)),Q2991,"")</f>
        <v/>
      </c>
    </row>
    <row r="2992">
      <c r="A2992" s="38">
        <f>IF(M2992="","",HYPERLINK("https://www.youtube.com/watch?v="&amp;M2992,"▶"))</f>
        <v/>
      </c>
      <c r="B2992" s="39">
        <f>IF(C2992&lt;&gt;"",C2992,IF(P2992&lt;=IFERROR(INDEX(tblChannels[Watched Through],MATCH(N2992,tblChannels[Channel ID],0)),0),"Watched","Unwatched"))</f>
        <v/>
      </c>
      <c r="C2992" s="40" t="n"/>
      <c r="D2992" s="41" t="n"/>
      <c r="E2992" s="42" t="n">
        <v>41499.91944444444</v>
      </c>
      <c r="F2992" s="50" t="inlineStr">
        <is>
          <t>Super Carlin Brothers</t>
        </is>
      </c>
      <c r="G2992" t="inlineStr">
        <is>
          <t>ZOMBIE APOCALYPSE!</t>
        </is>
      </c>
      <c r="H2992" s="44" t="n">
        <v>0.003171296296296296</v>
      </c>
      <c r="I2992" s="45" t="n">
        <v>18867</v>
      </c>
      <c r="J2992" s="45" t="n">
        <v>383</v>
      </c>
      <c r="K2992" s="45" t="n">
        <v>116</v>
      </c>
      <c r="L2992" s="46" t="n"/>
      <c r="M2992" s="47" t="n"/>
      <c r="N2992" s="47" t="inlineStr">
        <is>
          <t>UCKZo4N0lVPccBkSiuyVh4yg</t>
        </is>
      </c>
      <c r="O2992" s="48" t="n">
        <v>41500.08611111111</v>
      </c>
      <c r="P2992" s="49" t="n">
        <v>41499</v>
      </c>
      <c r="Q2992" s="47" t="n">
        <v>276</v>
      </c>
      <c r="R2992" s="47" t="inlineStr">
        <is>
          <t>No Video ID yet</t>
        </is>
      </c>
      <c r="S2992" s="49" t="n"/>
      <c r="T2992" s="49" t="n"/>
      <c r="U2992" s="47" t="inlineStr">
        <is>
          <t>We are all doomed.. that is all. Not really.. what could you offer in a post apocalyptic world?</t>
        </is>
      </c>
      <c r="V2992" s="47">
        <f>IF(AND(P2992&gt;=Calendar!$K$2,P2992&lt;EDATE(Calendar!$K$2,1),OR(Calendar!$K$4="*",N2992=Calendar!$K$4)),P2992*100+COUNTIFS($P$6:$P$3267,P2992,$Q$6:$Q$3267,"&lt;="&amp;Q2992,$N$6:$N$3267,Calendar!$K$4),"")</f>
        <v/>
      </c>
      <c r="W2992" s="47">
        <f>IF(AND(B2992=Queue!$C$4,OR(Queue!$K$4="*",N2992=Queue!$K$4)),Q2992,"")</f>
        <v/>
      </c>
    </row>
    <row r="2993">
      <c r="A2993" s="38">
        <f>IF(M2993="","",HYPERLINK("https://www.youtube.com/watch?v="&amp;M2993,"▶"))</f>
        <v/>
      </c>
      <c r="B2993" s="39">
        <f>IF(C2993&lt;&gt;"",C2993,IF(P2993&lt;=IFERROR(INDEX(tblChannels[Watched Through],MATCH(N2993,tblChannels[Channel ID],0)),0),"Watched","Unwatched"))</f>
        <v/>
      </c>
      <c r="C2993" s="40" t="n"/>
      <c r="D2993" s="41" t="n"/>
      <c r="E2993" s="42" t="n">
        <v>41494.78333333333</v>
      </c>
      <c r="F2993" s="50" t="inlineStr">
        <is>
          <t>Super Carlin Brothers</t>
        </is>
      </c>
      <c r="G2993" t="inlineStr">
        <is>
          <t>Segway</t>
        </is>
      </c>
      <c r="H2993" s="44" t="n">
        <v>0.001793981481481481</v>
      </c>
      <c r="I2993" s="45" t="n">
        <v>9923</v>
      </c>
      <c r="J2993" s="45" t="n">
        <v>204</v>
      </c>
      <c r="K2993" s="45" t="n">
        <v>38</v>
      </c>
      <c r="L2993" s="46" t="n"/>
      <c r="M2993" s="47" t="n"/>
      <c r="N2993" s="47" t="inlineStr">
        <is>
          <t>UCKZo4N0lVPccBkSiuyVh4yg</t>
        </is>
      </c>
      <c r="O2993" s="48" t="n">
        <v>41494.95</v>
      </c>
      <c r="P2993" s="49" t="n">
        <v>41494</v>
      </c>
      <c r="Q2993" s="47" t="n">
        <v>275</v>
      </c>
      <c r="R2993" s="47" t="inlineStr">
        <is>
          <t>No Video ID yet</t>
        </is>
      </c>
      <c r="S2993" s="49" t="n"/>
      <c r="T2993" s="49" t="n"/>
      <c r="U2993" s="47" t="inlineStr">
        <is>
          <t>There were two things that could happen when we finished the year long conversation where we had 2-3 videos to do every week.... 1: I would have waaaay more time to focus on making 1 really good video a week... or 2: I would have exactly the same amount of time as always and maintain the previous video standard. I said two things but the third was I would sometimes still have no time. But just because I don't have time doesn't mean I'm not hyper... hence me talking in double time today... that was unplanned.</t>
        </is>
      </c>
      <c r="V2993" s="47">
        <f>IF(AND(P2993&gt;=Calendar!$K$2,P2993&lt;EDATE(Calendar!$K$2,1),OR(Calendar!$K$4="*",N2993=Calendar!$K$4)),P2993*100+COUNTIFS($P$6:$P$3267,P2993,$Q$6:$Q$3267,"&lt;="&amp;Q2993,$N$6:$N$3267,Calendar!$K$4),"")</f>
        <v/>
      </c>
      <c r="W2993" s="47">
        <f>IF(AND(B2993=Queue!$C$4,OR(Queue!$K$4="*",N2993=Queue!$K$4)),Q2993,"")</f>
        <v/>
      </c>
    </row>
    <row r="2994">
      <c r="A2994" s="38">
        <f>IF(M2994="","",HYPERLINK("https://www.youtube.com/watch?v="&amp;M2994,"▶"))</f>
        <v/>
      </c>
      <c r="B2994" s="39">
        <f>IF(C2994&lt;&gt;"",C2994,IF(P2994&lt;=IFERROR(INDEX(tblChannels[Watched Through],MATCH(N2994,tblChannels[Channel ID],0)),0),"Watched","Unwatched"))</f>
        <v/>
      </c>
      <c r="C2994" s="40" t="n"/>
      <c r="D2994" s="41" t="n"/>
      <c r="E2994" s="42" t="n">
        <v>41492.99097222222</v>
      </c>
      <c r="F2994" s="50" t="inlineStr">
        <is>
          <t>Super Carlin Brothers</t>
        </is>
      </c>
      <c r="G2994" t="inlineStr">
        <is>
          <t>J's Summer Favorites</t>
        </is>
      </c>
      <c r="H2994" s="44" t="n">
        <v>0.00337962962962963</v>
      </c>
      <c r="I2994" s="45" t="n">
        <v>15205</v>
      </c>
      <c r="J2994" s="45" t="n">
        <v>286</v>
      </c>
      <c r="K2994" s="45" t="n">
        <v>39</v>
      </c>
      <c r="L2994" s="46" t="n"/>
      <c r="M2994" s="47" t="n"/>
      <c r="N2994" s="47" t="inlineStr">
        <is>
          <t>UCKZo4N0lVPccBkSiuyVh4yg</t>
        </is>
      </c>
      <c r="O2994" s="48" t="n">
        <v>41493.15763888889</v>
      </c>
      <c r="P2994" s="49" t="n">
        <v>41492</v>
      </c>
      <c r="Q2994" s="47" t="n">
        <v>274</v>
      </c>
      <c r="R2994" s="47" t="inlineStr">
        <is>
          <t>No Video ID yet</t>
        </is>
      </c>
      <c r="S2994" s="49" t="n"/>
      <c r="T2994" s="49" t="n"/>
      <c r="U2994" s="47" t="inlineStr">
        <is>
          <t>All my favorite things this summer! What else should I be checking out?? NerdyAndQuirky:</t>
        </is>
      </c>
      <c r="V2994" s="47">
        <f>IF(AND(P2994&gt;=Calendar!$K$2,P2994&lt;EDATE(Calendar!$K$2,1),OR(Calendar!$K$4="*",N2994=Calendar!$K$4)),P2994*100+COUNTIFS($P$6:$P$3267,P2994,$Q$6:$Q$3267,"&lt;="&amp;Q2994,$N$6:$N$3267,Calendar!$K$4),"")</f>
        <v/>
      </c>
      <c r="W2994" s="47">
        <f>IF(AND(B2994=Queue!$C$4,OR(Queue!$K$4="*",N2994=Queue!$K$4)),Q2994,"")</f>
        <v/>
      </c>
    </row>
    <row r="2995">
      <c r="A2995" s="38">
        <f>IF(M2995="","",HYPERLINK("https://www.youtube.com/watch?v="&amp;M2995,"▶"))</f>
        <v/>
      </c>
      <c r="B2995" s="39">
        <f>IF(C2995&lt;&gt;"",C2995,IF(P2995&lt;=IFERROR(INDEX(tblChannels[Watched Through],MATCH(N2995,tblChannels[Channel ID],0)),0),"Watched","Unwatched"))</f>
        <v/>
      </c>
      <c r="C2995" s="40" t="n"/>
      <c r="D2995" s="41" t="n"/>
      <c r="E2995" s="42" t="n">
        <v>41487.95277777778</v>
      </c>
      <c r="F2995" s="50" t="inlineStr">
        <is>
          <t>Super Carlin Brothers</t>
        </is>
      </c>
      <c r="G2995" t="inlineStr">
        <is>
          <t>Not Enough Bad Things</t>
        </is>
      </c>
      <c r="H2995" s="44" t="n">
        <v>0.002685185185185185</v>
      </c>
      <c r="I2995" s="45" t="n">
        <v>11449</v>
      </c>
      <c r="J2995" s="45" t="n">
        <v>223</v>
      </c>
      <c r="K2995" s="45" t="n">
        <v>39</v>
      </c>
      <c r="L2995" s="46" t="n"/>
      <c r="M2995" s="47" t="n"/>
      <c r="N2995" s="47" t="inlineStr">
        <is>
          <t>UCKZo4N0lVPccBkSiuyVh4yg</t>
        </is>
      </c>
      <c r="O2995" s="48" t="n">
        <v>41488.11944444444</v>
      </c>
      <c r="P2995" s="49" t="n">
        <v>41487</v>
      </c>
      <c r="Q2995" s="47" t="n">
        <v>273</v>
      </c>
      <c r="R2995" s="47" t="inlineStr">
        <is>
          <t>No Video ID yet</t>
        </is>
      </c>
      <c r="S2995" s="49" t="n"/>
      <c r="T2995" s="49" t="n"/>
      <c r="U2995" s="47" t="inlineStr">
        <is>
          <t>I know where I land on this question at work. But recently I have started mountain biking... which has proven to provide just extreme amounts of enjoyment. But at my current skill level... I am capable enough to put myself in difficult situations but not good enough to always fully succeed.. aka I fall. some. Enough to call it consistent. But going into every ride I am never carrying the mentality of: sometime in the next 2 hours I will fly from this bike and into a tree/rock/passing mongoose. Even though I will. This particular video was hard to write because I genuinely think I agree with one philosophy or the other. And I can jump back and forth on any given day..</t>
        </is>
      </c>
      <c r="V2995" s="47">
        <f>IF(AND(P2995&gt;=Calendar!$K$2,P2995&lt;EDATE(Calendar!$K$2,1),OR(Calendar!$K$4="*",N2995=Calendar!$K$4)),P2995*100+COUNTIFS($P$6:$P$3267,P2995,$Q$6:$Q$3267,"&lt;="&amp;Q2995,$N$6:$N$3267,Calendar!$K$4),"")</f>
        <v/>
      </c>
      <c r="W2995" s="47">
        <f>IF(AND(B2995=Queue!$C$4,OR(Queue!$K$4="*",N2995=Queue!$K$4)),Q2995,"")</f>
        <v/>
      </c>
    </row>
    <row r="2996">
      <c r="A2996" s="38">
        <f>IF(M2996="","",HYPERLINK("https://www.youtube.com/watch?v="&amp;M2996,"▶"))</f>
        <v/>
      </c>
      <c r="B2996" s="39">
        <f>IF(C2996&lt;&gt;"",C2996,IF(P2996&lt;=IFERROR(INDEX(tblChannels[Watched Through],MATCH(N2996,tblChannels[Channel ID],0)),0),"Watched","Unwatched"))</f>
        <v/>
      </c>
      <c r="C2996" s="40" t="n"/>
      <c r="D2996" s="41" t="n"/>
      <c r="E2996" s="42" t="n">
        <v>41485.97916666666</v>
      </c>
      <c r="F2996" s="50" t="inlineStr">
        <is>
          <t>Super Carlin Brothers</t>
        </is>
      </c>
      <c r="G2996" t="inlineStr">
        <is>
          <t>PERSONAL PHOTOS!</t>
        </is>
      </c>
      <c r="H2996" s="44" t="n">
        <v>0.002314814814814815</v>
      </c>
      <c r="I2996" s="45" t="n">
        <v>52932</v>
      </c>
      <c r="J2996" s="45" t="n">
        <v>937</v>
      </c>
      <c r="K2996" s="45" t="n">
        <v>213</v>
      </c>
      <c r="L2996" s="46" t="n"/>
      <c r="M2996" s="47" t="n"/>
      <c r="N2996" s="47" t="inlineStr">
        <is>
          <t>UCKZo4N0lVPccBkSiuyVh4yg</t>
        </is>
      </c>
      <c r="O2996" s="48" t="n">
        <v>41486.14583333334</v>
      </c>
      <c r="P2996" s="49" t="n">
        <v>41485</v>
      </c>
      <c r="Q2996" s="47" t="n">
        <v>272</v>
      </c>
      <c r="R2996" s="47" t="inlineStr">
        <is>
          <t>No Video ID yet</t>
        </is>
      </c>
      <c r="S2996" s="49" t="n"/>
      <c r="T2996" s="49" t="n"/>
      <c r="U2996" s="47" t="inlineStr">
        <is>
          <t>Why I am very uncomfortable letting people touch my phone.. Are you? Send us your awkward photos here: Speaking of awkward you should totally go check out AwkwardAdolescents: Twitter: @jonkerlin and @SCB_Ben =D</t>
        </is>
      </c>
      <c r="V2996" s="47">
        <f>IF(AND(P2996&gt;=Calendar!$K$2,P2996&lt;EDATE(Calendar!$K$2,1),OR(Calendar!$K$4="*",N2996=Calendar!$K$4)),P2996*100+COUNTIFS($P$6:$P$3267,P2996,$Q$6:$Q$3267,"&lt;="&amp;Q2996,$N$6:$N$3267,Calendar!$K$4),"")</f>
        <v/>
      </c>
      <c r="W2996" s="47">
        <f>IF(AND(B2996=Queue!$C$4,OR(Queue!$K$4="*",N2996=Queue!$K$4)),Q2996,"")</f>
        <v/>
      </c>
    </row>
    <row r="2997">
      <c r="A2997" s="38">
        <f>IF(M2997="","",HYPERLINK("https://www.youtube.com/watch?v="&amp;M2997,"▶"))</f>
        <v/>
      </c>
      <c r="B2997" s="39">
        <f>IF(C2997&lt;&gt;"",C2997,IF(P2997&lt;=IFERROR(INDEX(tblChannels[Watched Through],MATCH(N2997,tblChannels[Channel ID],0)),0),"Watched","Unwatched"))</f>
        <v/>
      </c>
      <c r="C2997" s="40" t="n"/>
      <c r="D2997" s="41" t="n"/>
      <c r="E2997" s="42" t="n">
        <v>41480.85833333333</v>
      </c>
      <c r="F2997" s="50" t="inlineStr">
        <is>
          <t>Super Carlin Brothers</t>
        </is>
      </c>
      <c r="G2997" t="inlineStr">
        <is>
          <t>WHY</t>
        </is>
      </c>
      <c r="H2997" s="44" t="n">
        <v>0.002476851851851852</v>
      </c>
      <c r="I2997" s="45" t="n">
        <v>14852</v>
      </c>
      <c r="J2997" s="45" t="n">
        <v>302</v>
      </c>
      <c r="K2997" s="45" t="n">
        <v>62</v>
      </c>
      <c r="L2997" s="46" t="n"/>
      <c r="M2997" s="47" t="n"/>
      <c r="N2997" s="47" t="inlineStr">
        <is>
          <t>UCKZo4N0lVPccBkSiuyVh4yg</t>
        </is>
      </c>
      <c r="O2997" s="48" t="n">
        <v>41481.025</v>
      </c>
      <c r="P2997" s="49" t="n">
        <v>41480</v>
      </c>
      <c r="Q2997" s="47" t="n">
        <v>271</v>
      </c>
      <c r="R2997" s="47" t="inlineStr">
        <is>
          <t>No Video ID yet</t>
        </is>
      </c>
      <c r="S2997" s="49" t="n"/>
      <c r="T2997" s="49" t="n"/>
      <c r="U2997" s="47" t="inlineStr">
        <is>
          <t>My adventure into the world of vlogging was probably not the typical story. Someone watches vlogs as a primary hobby or as a focal point of their day and slowly comes to the conclusion that maybe they'd be good at it or even just enjoy the process. J was that person. I am J's brother. J started vlogging under the channel name "Jonkerlin" several years ago. As a supporting brother I watched every one of his videos and slowly found 1 or 2 other channels that interested me (sxephil and the vlogbrothers). J had the idea for supercarlinbrothers for years and it took lots of convincing before I finally agreed to give it a shot. After my first video was uploaded I thought I would certainly be sick. I was inconsolable the entire first day and when I got something like 3 comments I considered that a success beyond my wildest imagination. Here I am now... 133 videos later. I still think it would be a reach to classify myself as an a-typical vlogger. But, maybe like being a gossip... no one thinks they are.</t>
        </is>
      </c>
      <c r="V2997" s="47">
        <f>IF(AND(P2997&gt;=Calendar!$K$2,P2997&lt;EDATE(Calendar!$K$2,1),OR(Calendar!$K$4="*",N2997=Calendar!$K$4)),P2997*100+COUNTIFS($P$6:$P$3267,P2997,$Q$6:$Q$3267,"&lt;="&amp;Q2997,$N$6:$N$3267,Calendar!$K$4),"")</f>
        <v/>
      </c>
      <c r="W2997" s="47">
        <f>IF(AND(B2997=Queue!$C$4,OR(Queue!$K$4="*",N2997=Queue!$K$4)),Q2997,"")</f>
        <v/>
      </c>
    </row>
    <row r="2998">
      <c r="A2998" s="38">
        <f>IF(M2998="","",HYPERLINK("https://www.youtube.com/watch?v="&amp;M2998,"▶"))</f>
        <v/>
      </c>
      <c r="B2998" s="39">
        <f>IF(C2998&lt;&gt;"",C2998,IF(P2998&lt;=IFERROR(INDEX(tblChannels[Watched Through],MATCH(N2998,tblChannels[Channel ID],0)),0),"Watched","Unwatched"))</f>
        <v/>
      </c>
      <c r="C2998" s="40" t="n"/>
      <c r="D2998" s="41" t="n"/>
      <c r="E2998" s="42" t="n">
        <v>41479.07777777778</v>
      </c>
      <c r="F2998" s="50" t="inlineStr">
        <is>
          <t>Super Carlin Brothers</t>
        </is>
      </c>
      <c r="G2998" t="inlineStr">
        <is>
          <t>The Pixar Theory</t>
        </is>
      </c>
      <c r="H2998" s="44" t="n">
        <v>0.008437500000000001</v>
      </c>
      <c r="I2998" s="45" t="n">
        <v>10470949</v>
      </c>
      <c r="J2998" s="45" t="n">
        <v>158794</v>
      </c>
      <c r="K2998" s="45" t="n">
        <v>16889</v>
      </c>
      <c r="L2998" s="46" t="n"/>
      <c r="M2998" s="47" t="n"/>
      <c r="N2998" s="47" t="inlineStr">
        <is>
          <t>UCKZo4N0lVPccBkSiuyVh4yg</t>
        </is>
      </c>
      <c r="O2998" s="48" t="n">
        <v>41479.24444444444</v>
      </c>
      <c r="P2998" s="49" t="n">
        <v>41479</v>
      </c>
      <c r="Q2998" s="47" t="n">
        <v>270</v>
      </c>
      <c r="R2998" s="47" t="inlineStr">
        <is>
          <t>No Video ID yet</t>
        </is>
      </c>
      <c r="S2998" s="49" t="n"/>
      <c r="T2998" s="49" t="n"/>
      <c r="U2998" s="47" t="inlineStr">
        <is>
          <t>The theory continues here with the TRUTH ABOUT ANDY'S MOM :: If you think you have found a flaw check out my FAQ video here: Full Theory by Jon Negroni here DFTBA!: Also there is now an official website! For the record as of Dec. 12, 2013 the movies mentioned in the video are the ONLY Pixar movies. The following movies, although commonly mistaken for, are NOT Pixar: Frozen, Tangled, Planes, Wreck it Ralph. Also many of you have commented on Flick and Heimlich appearing in Toy Story 2 as proof of the falsehood of this theory. It is not, please read the full theory as it explains this within the Theory as well.</t>
        </is>
      </c>
      <c r="V2998" s="47">
        <f>IF(AND(P2998&gt;=Calendar!$K$2,P2998&lt;EDATE(Calendar!$K$2,1),OR(Calendar!$K$4="*",N2998=Calendar!$K$4)),P2998*100+COUNTIFS($P$6:$P$3267,P2998,$Q$6:$Q$3267,"&lt;="&amp;Q2998,$N$6:$N$3267,Calendar!$K$4),"")</f>
        <v/>
      </c>
      <c r="W2998" s="47">
        <f>IF(AND(B2998=Queue!$C$4,OR(Queue!$K$4="*",N2998=Queue!$K$4)),Q2998,"")</f>
        <v/>
      </c>
    </row>
    <row r="2999">
      <c r="A2999" s="38">
        <f>IF(M2999="","",HYPERLINK("https://www.youtube.com/watch?v="&amp;M2999,"▶"))</f>
        <v/>
      </c>
      <c r="B2999" s="39">
        <f>IF(C2999&lt;&gt;"",C2999,IF(P2999&lt;=IFERROR(INDEX(tblChannels[Watched Through],MATCH(N2999,tblChannels[Channel ID],0)),0),"Watched","Unwatched"))</f>
        <v/>
      </c>
      <c r="C2999" s="40" t="n"/>
      <c r="D2999" s="41" t="n"/>
      <c r="E2999" s="42" t="n">
        <v>41473.91805555556</v>
      </c>
      <c r="F2999" s="50" t="inlineStr">
        <is>
          <t>Super Carlin Brothers</t>
        </is>
      </c>
      <c r="G2999" t="inlineStr">
        <is>
          <t>TV Paradigm Shift</t>
        </is>
      </c>
      <c r="H2999" s="44" t="n">
        <v>0.002696759259259259</v>
      </c>
      <c r="I2999" s="45" t="n">
        <v>13895</v>
      </c>
      <c r="J2999" s="45" t="n">
        <v>264</v>
      </c>
      <c r="K2999" s="45" t="n">
        <v>71</v>
      </c>
      <c r="L2999" s="46" t="n"/>
      <c r="M2999" s="47" t="n"/>
      <c r="N2999" s="47" t="inlineStr">
        <is>
          <t>UCKZo4N0lVPccBkSiuyVh4yg</t>
        </is>
      </c>
      <c r="O2999" s="48" t="n">
        <v>41474.08472222222</v>
      </c>
      <c r="P2999" s="49" t="n">
        <v>41473</v>
      </c>
      <c r="Q2999" s="47" t="n">
        <v>269</v>
      </c>
      <c r="R2999" s="47" t="inlineStr">
        <is>
          <t>No Video ID yet</t>
        </is>
      </c>
      <c r="S2999" s="49" t="n"/>
      <c r="T2999" s="49" t="n"/>
      <c r="U2999" s="47" t="inlineStr">
        <is>
          <t>Isn't it time for television as we know it to get flipped upside down? Based on how people react to format changes on facebook I have a feeling I'm not going to catch a lot of support... But how cool is it that I got to use "paradigm shift"?? I'll be happy about that all night.</t>
        </is>
      </c>
      <c r="V2999" s="47">
        <f>IF(AND(P2999&gt;=Calendar!$K$2,P2999&lt;EDATE(Calendar!$K$2,1),OR(Calendar!$K$4="*",N2999=Calendar!$K$4)),P2999*100+COUNTIFS($P$6:$P$3267,P2999,$Q$6:$Q$3267,"&lt;="&amp;Q2999,$N$6:$N$3267,Calendar!$K$4),"")</f>
        <v/>
      </c>
      <c r="W2999" s="47">
        <f>IF(AND(B2999=Queue!$C$4,OR(Queue!$K$4="*",N2999=Queue!$K$4)),Q2999,"")</f>
        <v/>
      </c>
    </row>
    <row r="3000">
      <c r="A3000" s="38">
        <f>IF(M3000="","",HYPERLINK("https://www.youtube.com/watch?v="&amp;M3000,"▶"))</f>
        <v/>
      </c>
      <c r="B3000" s="39">
        <f>IF(C3000&lt;&gt;"",C3000,IF(P3000&lt;=IFERROR(INDEX(tblChannels[Watched Through],MATCH(N3000,tblChannels[Channel ID],0)),0),"Watched","Unwatched"))</f>
        <v/>
      </c>
      <c r="C3000" s="40" t="n"/>
      <c r="D3000" s="41" t="n"/>
      <c r="E3000" s="42" t="n">
        <v>41471.95972222222</v>
      </c>
      <c r="F3000" s="50" t="inlineStr">
        <is>
          <t>Super Carlin Brothers</t>
        </is>
      </c>
      <c r="G3000" t="inlineStr">
        <is>
          <t>CHERRY COKE AND TWIZZLERS!</t>
        </is>
      </c>
      <c r="H3000" s="44" t="n">
        <v>0.002754629629629629</v>
      </c>
      <c r="I3000" s="45" t="n">
        <v>73902</v>
      </c>
      <c r="J3000" s="45" t="n">
        <v>1353</v>
      </c>
      <c r="K3000" s="45" t="n">
        <v>395</v>
      </c>
      <c r="L3000" s="46" t="n"/>
      <c r="M3000" s="47" t="n"/>
      <c r="N3000" s="47" t="inlineStr">
        <is>
          <t>UCKZo4N0lVPccBkSiuyVh4yg</t>
        </is>
      </c>
      <c r="O3000" s="48" t="n">
        <v>41472.12638888889</v>
      </c>
      <c r="P3000" s="49" t="n">
        <v>41471</v>
      </c>
      <c r="Q3000" s="47" t="n">
        <v>268</v>
      </c>
      <c r="R3000" s="47" t="inlineStr">
        <is>
          <t>No Video ID yet</t>
        </is>
      </c>
      <c r="S3000" s="49" t="n"/>
      <c r="T3000" s="49" t="n"/>
      <c r="U3000" s="47" t="inlineStr">
        <is>
          <t>Jonathan describes some odd situational food items he enjoys and reveals Ben's punishment!</t>
        </is>
      </c>
      <c r="V3000" s="47">
        <f>IF(AND(P3000&gt;=Calendar!$K$2,P3000&lt;EDATE(Calendar!$K$2,1),OR(Calendar!$K$4="*",N3000=Calendar!$K$4)),P3000*100+COUNTIFS($P$6:$P$3267,P3000,$Q$6:$Q$3267,"&lt;="&amp;Q3000,$N$6:$N$3267,Calendar!$K$4),"")</f>
        <v/>
      </c>
      <c r="W3000" s="47">
        <f>IF(AND(B3000=Queue!$C$4,OR(Queue!$K$4="*",N3000=Queue!$K$4)),Q3000,"")</f>
        <v/>
      </c>
    </row>
    <row r="3001">
      <c r="A3001" s="38">
        <f>IF(M3001="","",HYPERLINK("https://www.youtube.com/watch?v="&amp;M3001,"▶"))</f>
        <v/>
      </c>
      <c r="B3001" s="39">
        <f>IF(C3001&lt;&gt;"",C3001,IF(P3001&lt;=IFERROR(INDEX(tblChannels[Watched Through],MATCH(N3001,tblChannels[Channel ID],0)),0),"Watched","Unwatched"))</f>
        <v/>
      </c>
      <c r="C3001" s="40" t="n"/>
      <c r="D3001" s="41" t="n"/>
      <c r="E3001" s="42" t="n">
        <v>41467.92986111111</v>
      </c>
      <c r="F3001" s="50" t="inlineStr">
        <is>
          <t>Super Carlin Brothers</t>
        </is>
      </c>
      <c r="G3001" t="inlineStr">
        <is>
          <t>Fear</t>
        </is>
      </c>
      <c r="H3001" s="44" t="n">
        <v>0.002511574074074074</v>
      </c>
      <c r="I3001" s="45" t="n">
        <v>13749</v>
      </c>
      <c r="J3001" s="45" t="n">
        <v>307</v>
      </c>
      <c r="K3001" s="45" t="n">
        <v>85</v>
      </c>
      <c r="L3001" s="46" t="n"/>
      <c r="M3001" s="47" t="n"/>
      <c r="N3001" s="47" t="inlineStr">
        <is>
          <t>UCKZo4N0lVPccBkSiuyVh4yg</t>
        </is>
      </c>
      <c r="O3001" s="48" t="n">
        <v>41468.09652777778</v>
      </c>
      <c r="P3001" s="49" t="n">
        <v>41467</v>
      </c>
      <c r="Q3001" s="47" t="n">
        <v>267</v>
      </c>
      <c r="R3001" s="47" t="inlineStr">
        <is>
          <t>No Video ID yet</t>
        </is>
      </c>
      <c r="S3001" s="49" t="n"/>
      <c r="T3001" s="49" t="n"/>
      <c r="U3001" s="47" t="inlineStr">
        <is>
          <t>Well, I'm back... I MISSED YOU GUYS</t>
        </is>
      </c>
      <c r="V3001" s="47">
        <f>IF(AND(P3001&gt;=Calendar!$K$2,P3001&lt;EDATE(Calendar!$K$2,1),OR(Calendar!$K$4="*",N3001=Calendar!$K$4)),P3001*100+COUNTIFS($P$6:$P$3267,P3001,$Q$6:$Q$3267,"&lt;="&amp;Q3001,$N$6:$N$3267,Calendar!$K$4),"")</f>
        <v/>
      </c>
      <c r="W3001" s="47">
        <f>IF(AND(B3001=Queue!$C$4,OR(Queue!$K$4="*",N3001=Queue!$K$4)),Q3001,"")</f>
        <v/>
      </c>
    </row>
    <row r="3002">
      <c r="A3002" s="38">
        <f>IF(M3002="","",HYPERLINK("https://www.youtube.com/watch?v="&amp;M3002,"▶"))</f>
        <v/>
      </c>
      <c r="B3002" s="39">
        <f>IF(C3002&lt;&gt;"",C3002,IF(P3002&lt;=IFERROR(INDEX(tblChannels[Watched Through],MATCH(N3002,tblChannels[Channel ID],0)),0),"Watched","Unwatched"))</f>
        <v/>
      </c>
      <c r="C3002" s="40" t="n"/>
      <c r="D3002" s="41" t="n"/>
      <c r="E3002" s="42" t="n">
        <v>41464.52083333334</v>
      </c>
      <c r="F3002" s="50" t="inlineStr">
        <is>
          <t>Super Carlin Brothers</t>
        </is>
      </c>
      <c r="G3002" t="inlineStr">
        <is>
          <t>Thoughts from Places: Lake Champlain</t>
        </is>
      </c>
      <c r="H3002" s="44" t="n">
        <v>0.002141203703703704</v>
      </c>
      <c r="I3002" s="45" t="n">
        <v>12356</v>
      </c>
      <c r="J3002" s="45" t="n">
        <v>286</v>
      </c>
      <c r="K3002" s="45" t="n">
        <v>74</v>
      </c>
      <c r="L3002" s="46" t="n"/>
      <c r="M3002" s="47" t="n"/>
      <c r="N3002" s="47" t="inlineStr">
        <is>
          <t>UCKZo4N0lVPccBkSiuyVh4yg</t>
        </is>
      </c>
      <c r="O3002" s="48" t="n">
        <v>41464.6875</v>
      </c>
      <c r="P3002" s="49" t="n">
        <v>41464</v>
      </c>
      <c r="Q3002" s="47" t="n">
        <v>266</v>
      </c>
      <c r="R3002" s="47" t="inlineStr">
        <is>
          <t>No Video ID yet</t>
        </is>
      </c>
      <c r="S3002" s="49" t="n"/>
      <c r="T3002" s="49" t="n"/>
      <c r="U3002" s="47" t="inlineStr">
        <is>
          <t>I know this is kind of a John Green thing, but I've wanted to make one of these for awhile so I just went for it. Where is your favorite place?</t>
        </is>
      </c>
      <c r="V3002" s="47">
        <f>IF(AND(P3002&gt;=Calendar!$K$2,P3002&lt;EDATE(Calendar!$K$2,1),OR(Calendar!$K$4="*",N3002=Calendar!$K$4)),P3002*100+COUNTIFS($P$6:$P$3267,P3002,$Q$6:$Q$3267,"&lt;="&amp;Q3002,$N$6:$N$3267,Calendar!$K$4),"")</f>
        <v/>
      </c>
      <c r="W3002" s="47">
        <f>IF(AND(B3002=Queue!$C$4,OR(Queue!$K$4="*",N3002=Queue!$K$4)),Q3002,"")</f>
        <v/>
      </c>
    </row>
    <row r="3003">
      <c r="A3003" s="38">
        <f>IF(M3003="","",HYPERLINK("https://www.youtube.com/watch?v="&amp;M3003,"▶"))</f>
        <v/>
      </c>
      <c r="B3003" s="39">
        <f>IF(C3003&lt;&gt;"",C3003,IF(P3003&lt;=IFERROR(INDEX(tblChannels[Watched Through],MATCH(N3003,tblChannels[Channel ID],0)),0),"Watched","Unwatched"))</f>
        <v/>
      </c>
      <c r="C3003" s="40" t="n"/>
      <c r="D3003" s="41" t="n"/>
      <c r="E3003" s="42" t="n">
        <v>41462.44444444445</v>
      </c>
      <c r="F3003" s="50" t="inlineStr">
        <is>
          <t>Super Carlin Brothers</t>
        </is>
      </c>
      <c r="G3003" t="inlineStr">
        <is>
          <t>Super Carlin Friends Wheezy Wink!</t>
        </is>
      </c>
      <c r="H3003" s="44" t="n">
        <v>4.629629629629629e-05</v>
      </c>
      <c r="I3003" s="45" t="n">
        <v>2157</v>
      </c>
      <c r="J3003" s="45" t="n">
        <v>0</v>
      </c>
      <c r="K3003" s="45" t="n">
        <v>0</v>
      </c>
      <c r="L3003" s="46" t="n"/>
      <c r="M3003" s="47" t="n"/>
      <c r="N3003" s="47" t="inlineStr">
        <is>
          <t>UCKZo4N0lVPccBkSiuyVh4yg</t>
        </is>
      </c>
      <c r="O3003" s="48" t="n">
        <v>41462.61111111111</v>
      </c>
      <c r="P3003" s="49" t="n">
        <v>41462</v>
      </c>
      <c r="Q3003" s="47" t="n">
        <v>265</v>
      </c>
      <c r="R3003" s="47" t="inlineStr">
        <is>
          <t>No Video ID yet</t>
        </is>
      </c>
      <c r="S3003" s="49" t="n"/>
      <c r="T3003" s="49" t="n"/>
      <c r="U3003" s="47" t="inlineStr">
        <is>
          <t>Members of the Super Carlin Brothers community came together to make you a super collab wink!</t>
        </is>
      </c>
      <c r="V3003" s="47">
        <f>IF(AND(P3003&gt;=Calendar!$K$2,P3003&lt;EDATE(Calendar!$K$2,1),OR(Calendar!$K$4="*",N3003=Calendar!$K$4)),P3003*100+COUNTIFS($P$6:$P$3267,P3003,$Q$6:$Q$3267,"&lt;="&amp;Q3003,$N$6:$N$3267,Calendar!$K$4),"")</f>
        <v/>
      </c>
      <c r="W3003" s="47">
        <f>IF(AND(B3003=Queue!$C$4,OR(Queue!$K$4="*",N3003=Queue!$K$4)),Q3003,"")</f>
        <v/>
      </c>
    </row>
    <row r="3004">
      <c r="A3004" s="38">
        <f>IF(M3004="","",HYPERLINK("https://www.youtube.com/watch?v="&amp;M3004,"▶"))</f>
        <v/>
      </c>
      <c r="B3004" s="39">
        <f>IF(C3004&lt;&gt;"",C3004,IF(P3004&lt;=IFERROR(INDEX(tblChannels[Watched Through],MATCH(N3004,tblChannels[Channel ID],0)),0),"Watched","Unwatched"))</f>
        <v/>
      </c>
      <c r="C3004" s="40" t="n"/>
      <c r="D3004" s="41" t="n"/>
      <c r="E3004" s="42" t="n">
        <v>41459.85277777778</v>
      </c>
      <c r="F3004" s="50" t="inlineStr">
        <is>
          <t>Super Carlin Brothers</t>
        </is>
      </c>
      <c r="G3004" t="inlineStr">
        <is>
          <t>Ty Talks on a lake!</t>
        </is>
      </c>
      <c r="H3004" s="44" t="n">
        <v>0.001701388888888889</v>
      </c>
      <c r="I3004" s="45" t="n">
        <v>12993</v>
      </c>
      <c r="J3004" s="45" t="n">
        <v>214</v>
      </c>
      <c r="K3004" s="45" t="n">
        <v>30</v>
      </c>
      <c r="L3004" s="46" t="n"/>
      <c r="M3004" s="47" t="n"/>
      <c r="N3004" s="47" t="inlineStr">
        <is>
          <t>UCKZo4N0lVPccBkSiuyVh4yg</t>
        </is>
      </c>
      <c r="O3004" s="48" t="n">
        <v>41460.01944444444</v>
      </c>
      <c r="P3004" s="49" t="n">
        <v>41459</v>
      </c>
      <c r="Q3004" s="47" t="n">
        <v>264</v>
      </c>
      <c r="R3004" s="47" t="inlineStr">
        <is>
          <t>No Video ID yet</t>
        </is>
      </c>
      <c r="S3004" s="49" t="n"/>
      <c r="T3004" s="49" t="n"/>
      <c r="U3004" s="47" t="inlineStr">
        <is>
          <t>Hey guys! Sorry for the quality! I took a page or of ben's book with the iPhone video to make sure it got out there!!! =D</t>
        </is>
      </c>
      <c r="V3004" s="47">
        <f>IF(AND(P3004&gt;=Calendar!$K$2,P3004&lt;EDATE(Calendar!$K$2,1),OR(Calendar!$K$4="*",N3004=Calendar!$K$4)),P3004*100+COUNTIFS($P$6:$P$3267,P3004,$Q$6:$Q$3267,"&lt;="&amp;Q3004,$N$6:$N$3267,Calendar!$K$4),"")</f>
        <v/>
      </c>
      <c r="W3004" s="47">
        <f>IF(AND(B3004=Queue!$C$4,OR(Queue!$K$4="*",N3004=Queue!$K$4)),Q3004,"")</f>
        <v/>
      </c>
    </row>
    <row r="3005">
      <c r="A3005" s="38">
        <f>IF(M3005="","",HYPERLINK("https://www.youtube.com/watch?v="&amp;M3005,"▶"))</f>
        <v/>
      </c>
      <c r="B3005" s="39">
        <f>IF(C3005&lt;&gt;"",C3005,IF(P3005&lt;=IFERROR(INDEX(tblChannels[Watched Through],MATCH(N3005,tblChannels[Channel ID],0)),0),"Watched","Unwatched"))</f>
        <v/>
      </c>
      <c r="C3005" s="40" t="n"/>
      <c r="D3005" s="41" t="n"/>
      <c r="E3005" s="42" t="n">
        <v>41457.58333333334</v>
      </c>
      <c r="F3005" s="50" t="inlineStr">
        <is>
          <t>Super Carlin Brothers</t>
        </is>
      </c>
      <c r="G3005" t="inlineStr">
        <is>
          <t>HOW TO COLLEGE</t>
        </is>
      </c>
      <c r="H3005" s="44" t="n">
        <v>0.003344907407407408</v>
      </c>
      <c r="I3005" s="45" t="n">
        <v>36428</v>
      </c>
      <c r="J3005" s="45" t="n">
        <v>746</v>
      </c>
      <c r="K3005" s="45" t="n">
        <v>114</v>
      </c>
      <c r="L3005" s="46" t="n"/>
      <c r="M3005" s="47" t="n"/>
      <c r="N3005" s="47" t="inlineStr">
        <is>
          <t>UCKZo4N0lVPccBkSiuyVh4yg</t>
        </is>
      </c>
      <c r="O3005" s="48" t="n">
        <v>41457.75</v>
      </c>
      <c r="P3005" s="49" t="n">
        <v>41457</v>
      </c>
      <c r="Q3005" s="47" t="n">
        <v>263</v>
      </c>
      <c r="R3005" s="47" t="inlineStr">
        <is>
          <t>No Video ID yet</t>
        </is>
      </c>
      <c r="S3005" s="49" t="n"/>
      <c r="T3005" s="49" t="n"/>
      <c r="U3005" s="47" t="inlineStr">
        <is>
          <t>Everything you need to know to succeed in college Mainly what you have to do is Drink.. Coffee and Water</t>
        </is>
      </c>
      <c r="V3005" s="47">
        <f>IF(AND(P3005&gt;=Calendar!$K$2,P3005&lt;EDATE(Calendar!$K$2,1),OR(Calendar!$K$4="*",N3005=Calendar!$K$4)),P3005*100+COUNTIFS($P$6:$P$3267,P3005,$Q$6:$Q$3267,"&lt;="&amp;Q3005,$N$6:$N$3267,Calendar!$K$4),"")</f>
        <v/>
      </c>
      <c r="W3005" s="47">
        <f>IF(AND(B3005=Queue!$C$4,OR(Queue!$K$4="*",N3005=Queue!$K$4)),Q3005,"")</f>
        <v/>
      </c>
    </row>
    <row r="3006">
      <c r="A3006" s="38">
        <f>IF(M3006="","",HYPERLINK("https://www.youtube.com/watch?v="&amp;M3006,"▶"))</f>
        <v/>
      </c>
      <c r="B3006" s="39">
        <f>IF(C3006&lt;&gt;"",C3006,IF(P3006&lt;=IFERROR(INDEX(tblChannels[Watched Through],MATCH(N3006,tblChannels[Channel ID],0)),0),"Watched","Unwatched"))</f>
        <v/>
      </c>
      <c r="C3006" s="40" t="n"/>
      <c r="D3006" s="41" t="n"/>
      <c r="E3006" s="42" t="n">
        <v>41452.59444444445</v>
      </c>
      <c r="F3006" s="50" t="inlineStr">
        <is>
          <t>Super Carlin Brothers</t>
        </is>
      </c>
      <c r="G3006" t="inlineStr">
        <is>
          <t>I HAVE SO MUCH I WANTED TO TELL YOU!</t>
        </is>
      </c>
      <c r="H3006" s="44" t="n">
        <v>0.002835648148148148</v>
      </c>
      <c r="I3006" s="45" t="n">
        <v>24484</v>
      </c>
      <c r="J3006" s="45" t="n">
        <v>481</v>
      </c>
      <c r="K3006" s="45" t="n">
        <v>111</v>
      </c>
      <c r="L3006" s="46" t="n"/>
      <c r="M3006" s="47" t="n"/>
      <c r="N3006" s="47" t="inlineStr">
        <is>
          <t>UCKZo4N0lVPccBkSiuyVh4yg</t>
        </is>
      </c>
      <c r="O3006" s="48" t="n">
        <v>41452.76111111111</v>
      </c>
      <c r="P3006" s="49" t="n">
        <v>41452</v>
      </c>
      <c r="Q3006" s="47" t="n">
        <v>262</v>
      </c>
      <c r="R3006" s="47" t="inlineStr">
        <is>
          <t>No Video ID yet</t>
        </is>
      </c>
      <c r="S3006" s="49" t="n"/>
      <c r="T3006" s="49" t="n"/>
      <c r="U3006" s="47" t="inlineStr">
        <is>
          <t>HEY SUPER CARLIN BROTHERS COMMUNITY! I HAVE TO DO ANOTHER ONE NEXT THURSDAY! what do you want to know?! Twitter: @jonkerlin and @SCB_Ben AND @TyCarlin</t>
        </is>
      </c>
      <c r="V3006" s="47">
        <f>IF(AND(P3006&gt;=Calendar!$K$2,P3006&lt;EDATE(Calendar!$K$2,1),OR(Calendar!$K$4="*",N3006=Calendar!$K$4)),P3006*100+COUNTIFS($P$6:$P$3267,P3006,$Q$6:$Q$3267,"&lt;="&amp;Q3006,$N$6:$N$3267,Calendar!$K$4),"")</f>
        <v/>
      </c>
      <c r="W3006" s="47">
        <f>IF(AND(B3006=Queue!$C$4,OR(Queue!$K$4="*",N3006=Queue!$K$4)),Q3006,"")</f>
        <v/>
      </c>
    </row>
    <row r="3007">
      <c r="A3007" s="38">
        <f>IF(M3007="","",HYPERLINK("https://www.youtube.com/watch?v="&amp;M3007,"▶"))</f>
        <v/>
      </c>
      <c r="B3007" s="39">
        <f>IF(C3007&lt;&gt;"",C3007,IF(P3007&lt;=IFERROR(INDEX(tblChannels[Watched Through],MATCH(N3007,tblChannels[Channel ID],0)),0),"Watched","Unwatched"))</f>
        <v/>
      </c>
      <c r="C3007" s="40" t="n"/>
      <c r="D3007" s="41" t="n"/>
      <c r="E3007" s="42" t="n">
        <v>41450.96736111111</v>
      </c>
      <c r="F3007" s="50" t="inlineStr">
        <is>
          <t>Super Carlin Brothers</t>
        </is>
      </c>
      <c r="G3007" t="inlineStr">
        <is>
          <t>HOW TO VLOG!</t>
        </is>
      </c>
      <c r="H3007" s="44" t="n">
        <v>0.002384259259259259</v>
      </c>
      <c r="I3007" s="45" t="n">
        <v>32721</v>
      </c>
      <c r="J3007" s="45" t="n">
        <v>463</v>
      </c>
      <c r="K3007" s="45" t="n">
        <v>89</v>
      </c>
      <c r="L3007" s="46" t="n"/>
      <c r="M3007" s="47" t="n"/>
      <c r="N3007" s="47" t="inlineStr">
        <is>
          <t>UCKZo4N0lVPccBkSiuyVh4yg</t>
        </is>
      </c>
      <c r="O3007" s="48" t="n">
        <v>41451.13402777778</v>
      </c>
      <c r="P3007" s="49" t="n">
        <v>41450</v>
      </c>
      <c r="Q3007" s="47" t="n">
        <v>261</v>
      </c>
      <c r="R3007" s="47" t="inlineStr">
        <is>
          <t>No Video ID yet</t>
        </is>
      </c>
      <c r="S3007" s="49" t="n"/>
      <c r="T3007" s="49" t="n"/>
      <c r="U3007" s="47" t="inlineStr">
        <is>
          <t>Year 2 is underway!!! - Do you guys have any topics, questions, issues, etc you would like me to discuss/ help with? (not that I am an expert on like... anything)</t>
        </is>
      </c>
      <c r="V3007" s="47">
        <f>IF(AND(P3007&gt;=Calendar!$K$2,P3007&lt;EDATE(Calendar!$K$2,1),OR(Calendar!$K$4="*",N3007=Calendar!$K$4)),P3007*100+COUNTIFS($P$6:$P$3267,P3007,$Q$6:$Q$3267,"&lt;="&amp;Q3007,$N$6:$N$3267,Calendar!$K$4),"")</f>
        <v/>
      </c>
      <c r="W3007" s="47">
        <f>IF(AND(B3007=Queue!$C$4,OR(Queue!$K$4="*",N3007=Queue!$K$4)),Q3007,"")</f>
        <v/>
      </c>
    </row>
    <row r="3008">
      <c r="A3008" s="38">
        <f>IF(M3008="","",HYPERLINK("https://www.youtube.com/watch?v="&amp;M3008,"▶"))</f>
        <v/>
      </c>
      <c r="B3008" s="39">
        <f>IF(C3008&lt;&gt;"",C3008,IF(P3008&lt;=IFERROR(INDEX(tblChannels[Watched Through],MATCH(N3008,tblChannels[Channel ID],0)),0),"Watched","Unwatched"))</f>
        <v/>
      </c>
      <c r="C3008" s="40" t="n"/>
      <c r="D3008" s="41" t="n"/>
      <c r="E3008" s="42" t="n">
        <v>41446.50069444445</v>
      </c>
      <c r="F3008" s="50" t="inlineStr">
        <is>
          <t>Super Carlin Brothers</t>
        </is>
      </c>
      <c r="G3008" t="inlineStr">
        <is>
          <t>A Video Long Conversation Between Brothers</t>
        </is>
      </c>
      <c r="H3008" s="44" t="n">
        <v>0.007037037037037037</v>
      </c>
      <c r="I3008" s="45" t="n">
        <v>89979</v>
      </c>
      <c r="J3008" s="45" t="n">
        <v>2350</v>
      </c>
      <c r="K3008" s="45" t="n">
        <v>438</v>
      </c>
      <c r="L3008" s="46" t="n"/>
      <c r="M3008" s="47" t="n"/>
      <c r="N3008" s="47" t="inlineStr">
        <is>
          <t>UCKZo4N0lVPccBkSiuyVh4yg</t>
        </is>
      </c>
      <c r="O3008" s="48" t="n">
        <v>41446.66736111111</v>
      </c>
      <c r="P3008" s="49" t="n">
        <v>41446</v>
      </c>
      <c r="Q3008" s="47" t="n">
        <v>260</v>
      </c>
      <c r="R3008" s="47" t="inlineStr">
        <is>
          <t>No Video ID yet</t>
        </is>
      </c>
      <c r="S3008" s="49" t="n"/>
      <c r="T3008" s="49" t="n"/>
      <c r="U3008" s="47" t="inlineStr">
        <is>
          <t>WE DID IT!!!!!!!! Now What? (Also make sure you stick around for the end!)</t>
        </is>
      </c>
      <c r="V3008" s="47">
        <f>IF(AND(P3008&gt;=Calendar!$K$2,P3008&lt;EDATE(Calendar!$K$2,1),OR(Calendar!$K$4="*",N3008=Calendar!$K$4)),P3008*100+COUNTIFS($P$6:$P$3267,P3008,$Q$6:$Q$3267,"&lt;="&amp;Q3008,$N$6:$N$3267,Calendar!$K$4),"")</f>
        <v/>
      </c>
      <c r="W3008" s="47">
        <f>IF(AND(B3008=Queue!$C$4,OR(Queue!$K$4="*",N3008=Queue!$K$4)),Q3008,"")</f>
        <v/>
      </c>
    </row>
    <row r="3009">
      <c r="A3009" s="38">
        <f>IF(M3009="","",HYPERLINK("https://www.youtube.com/watch?v="&amp;M3009,"▶"))</f>
        <v/>
      </c>
      <c r="B3009" s="39">
        <f>IF(C3009&lt;&gt;"",C3009,IF(P3009&lt;=IFERROR(INDEX(tblChannels[Watched Through],MATCH(N3009,tblChannels[Channel ID],0)),0),"Watched","Unwatched"))</f>
        <v/>
      </c>
      <c r="C3009" s="40" t="n"/>
      <c r="D3009" s="41" t="n"/>
      <c r="E3009" s="42" t="n">
        <v>41445.50069444445</v>
      </c>
      <c r="F3009" s="50" t="inlineStr">
        <is>
          <t>Super Carlin Brothers</t>
        </is>
      </c>
      <c r="G3009" t="inlineStr">
        <is>
          <t>Ending Problems</t>
        </is>
      </c>
      <c r="H3009" s="44" t="n">
        <v>0.00224537037037037</v>
      </c>
      <c r="I3009" s="45" t="n">
        <v>24158</v>
      </c>
      <c r="J3009" s="45" t="n">
        <v>630</v>
      </c>
      <c r="K3009" s="45" t="n">
        <v>74</v>
      </c>
      <c r="L3009" s="46" t="n"/>
      <c r="M3009" s="47" t="n"/>
      <c r="N3009" s="47" t="inlineStr">
        <is>
          <t>UCKZo4N0lVPccBkSiuyVh4yg</t>
        </is>
      </c>
      <c r="O3009" s="48" t="n">
        <v>41445.66736111111</v>
      </c>
      <c r="P3009" s="49" t="n">
        <v>41445</v>
      </c>
      <c r="Q3009" s="47" t="n">
        <v>259</v>
      </c>
      <c r="R3009" s="47" t="inlineStr">
        <is>
          <t>No Video ID yet</t>
        </is>
      </c>
      <c r="S3009" s="49" t="n"/>
      <c r="T3009" s="49" t="n"/>
      <c r="U3009" s="47" t="inlineStr">
        <is>
          <t>Not gonna lie.. it was kind of emotional editing this...</t>
        </is>
      </c>
      <c r="V3009" s="47">
        <f>IF(AND(P3009&gt;=Calendar!$K$2,P3009&lt;EDATE(Calendar!$K$2,1),OR(Calendar!$K$4="*",N3009=Calendar!$K$4)),P3009*100+COUNTIFS($P$6:$P$3267,P3009,$Q$6:$Q$3267,"&lt;="&amp;Q3009,$N$6:$N$3267,Calendar!$K$4),"")</f>
        <v/>
      </c>
      <c r="W3009" s="47">
        <f>IF(AND(B3009=Queue!$C$4,OR(Queue!$K$4="*",N3009=Queue!$K$4)),Q3009,"")</f>
        <v/>
      </c>
    </row>
    <row r="3010">
      <c r="A3010" s="38">
        <f>IF(M3010="","",HYPERLINK("https://www.youtube.com/watch?v="&amp;M3010,"▶"))</f>
        <v/>
      </c>
      <c r="B3010" s="39">
        <f>IF(C3010&lt;&gt;"",C3010,IF(P3010&lt;=IFERROR(INDEX(tblChannels[Watched Through],MATCH(N3010,tblChannels[Channel ID],0)),0),"Watched","Unwatched"))</f>
        <v/>
      </c>
      <c r="C3010" s="40" t="n"/>
      <c r="D3010" s="41" t="n"/>
      <c r="E3010" s="42" t="n">
        <v>41444.79861111111</v>
      </c>
      <c r="F3010" s="50" t="inlineStr">
        <is>
          <t>Super Carlin Brothers</t>
        </is>
      </c>
      <c r="G3010" t="inlineStr">
        <is>
          <t>What's Next</t>
        </is>
      </c>
      <c r="H3010" s="44" t="n">
        <v>0.001261574074074074</v>
      </c>
      <c r="I3010" s="45" t="n">
        <v>8517</v>
      </c>
      <c r="J3010" s="45" t="n">
        <v>177</v>
      </c>
      <c r="K3010" s="45" t="n">
        <v>51</v>
      </c>
      <c r="L3010" s="46" t="n"/>
      <c r="M3010" s="47" t="n"/>
      <c r="N3010" s="47" t="inlineStr">
        <is>
          <t>UCKZo4N0lVPccBkSiuyVh4yg</t>
        </is>
      </c>
      <c r="O3010" s="48" t="n">
        <v>41444.96527777778</v>
      </c>
      <c r="P3010" s="49" t="n">
        <v>41444</v>
      </c>
      <c r="Q3010" s="47" t="n">
        <v>258</v>
      </c>
      <c r="R3010" s="47" t="inlineStr">
        <is>
          <t>No Video ID yet</t>
        </is>
      </c>
      <c r="S3010" s="49" t="n"/>
      <c r="T3010" s="49" t="n"/>
      <c r="U3010" s="47" t="inlineStr">
        <is>
          <t>So for me: I think one of the big things I really want to do is experiment with different video styles. Now it may be obvious, and maybe it's not. But I'm not sure I fit the a-typical vlogger mold quite the same way as J does. I mean it's been 10+ years since I've played pokemon through.... But one of the channels that I have stumbled across since this project started is Devinsupertramp who does all sorts of seriously upbeat, incredibly well shot, just flat out awesome adventures. The type of adventures that I live for year round. So one of the things I hope to continue to do with J is start a small video production agency that allows me to follow some of the dreams and visions I have for my future with youtube. A project that gains me access to things that I couldn't otherwise justify. I am on a constant mission to never have a day where I don't get to do something that I enjoy.</t>
        </is>
      </c>
      <c r="V3010" s="47">
        <f>IF(AND(P3010&gt;=Calendar!$K$2,P3010&lt;EDATE(Calendar!$K$2,1),OR(Calendar!$K$4="*",N3010=Calendar!$K$4)),P3010*100+COUNTIFS($P$6:$P$3267,P3010,$Q$6:$Q$3267,"&lt;="&amp;Q3010,$N$6:$N$3267,Calendar!$K$4),"")</f>
        <v/>
      </c>
      <c r="W3010" s="47">
        <f>IF(AND(B3010=Queue!$C$4,OR(Queue!$K$4="*",N3010=Queue!$K$4)),Q3010,"")</f>
        <v/>
      </c>
    </row>
    <row r="3011">
      <c r="A3011" s="38">
        <f>IF(M3011="","",HYPERLINK("https://www.youtube.com/watch?v="&amp;M3011,"▶"))</f>
        <v/>
      </c>
      <c r="B3011" s="39">
        <f>IF(C3011&lt;&gt;"",C3011,IF(P3011&lt;=IFERROR(INDEX(tblChannels[Watched Through],MATCH(N3011,tblChannels[Channel ID],0)),0),"Watched","Unwatched"))</f>
        <v/>
      </c>
      <c r="C3011" s="40" t="n"/>
      <c r="D3011" s="41" t="n"/>
      <c r="E3011" s="42" t="n">
        <v>41443.49722222222</v>
      </c>
      <c r="F3011" s="50" t="inlineStr">
        <is>
          <t>Super Carlin Brothers</t>
        </is>
      </c>
      <c r="G3011" t="inlineStr">
        <is>
          <t>Summer Time Blues</t>
        </is>
      </c>
      <c r="H3011" s="44" t="n">
        <v>0.00306712962962963</v>
      </c>
      <c r="I3011" s="45" t="n">
        <v>15362</v>
      </c>
      <c r="J3011" s="45" t="n">
        <v>415</v>
      </c>
      <c r="K3011" s="45" t="n">
        <v>90</v>
      </c>
      <c r="L3011" s="46" t="n"/>
      <c r="M3011" s="47" t="n"/>
      <c r="N3011" s="47" t="inlineStr">
        <is>
          <t>UCKZo4N0lVPccBkSiuyVh4yg</t>
        </is>
      </c>
      <c r="O3011" s="48" t="n">
        <v>41443.66388888889</v>
      </c>
      <c r="P3011" s="49" t="n">
        <v>41443</v>
      </c>
      <c r="Q3011" s="47" t="n">
        <v>257</v>
      </c>
      <c r="R3011" s="47" t="inlineStr">
        <is>
          <t>No Video ID yet</t>
        </is>
      </c>
      <c r="S3011" s="49" t="n"/>
      <c r="T3011" s="49" t="n"/>
      <c r="U3011" s="47" t="inlineStr">
        <is>
          <t>Summer always seems so vast and endless when it starts and then without warning almost over... What are you doing this summer?</t>
        </is>
      </c>
      <c r="V3011" s="47">
        <f>IF(AND(P3011&gt;=Calendar!$K$2,P3011&lt;EDATE(Calendar!$K$2,1),OR(Calendar!$K$4="*",N3011=Calendar!$K$4)),P3011*100+COUNTIFS($P$6:$P$3267,P3011,$Q$6:$Q$3267,"&lt;="&amp;Q3011,$N$6:$N$3267,Calendar!$K$4),"")</f>
        <v/>
      </c>
      <c r="W3011" s="47">
        <f>IF(AND(B3011=Queue!$C$4,OR(Queue!$K$4="*",N3011=Queue!$K$4)),Q3011,"")</f>
        <v/>
      </c>
    </row>
    <row r="3012">
      <c r="A3012" s="38">
        <f>IF(M3012="","",HYPERLINK("https://www.youtube.com/watch?v="&amp;M3012,"▶"))</f>
        <v/>
      </c>
      <c r="B3012" s="39">
        <f>IF(C3012&lt;&gt;"",C3012,IF(P3012&lt;=IFERROR(INDEX(tblChannels[Watched Through],MATCH(N3012,tblChannels[Channel ID],0)),0),"Watched","Unwatched"))</f>
        <v/>
      </c>
      <c r="C3012" s="40" t="n"/>
      <c r="D3012" s="41" t="n"/>
      <c r="E3012" s="42" t="n">
        <v>41442.9375</v>
      </c>
      <c r="F3012" s="50" t="inlineStr">
        <is>
          <t>Super Carlin Brothers</t>
        </is>
      </c>
      <c r="G3012" t="inlineStr">
        <is>
          <t>The Kick</t>
        </is>
      </c>
      <c r="H3012" s="44" t="n">
        <v>0.001770833333333333</v>
      </c>
      <c r="I3012" s="45" t="n">
        <v>7764</v>
      </c>
      <c r="J3012" s="45" t="n">
        <v>215</v>
      </c>
      <c r="K3012" s="45" t="n">
        <v>27</v>
      </c>
      <c r="L3012" s="46" t="n"/>
      <c r="M3012" s="47" t="n"/>
      <c r="N3012" s="47" t="inlineStr">
        <is>
          <t>UCKZo4N0lVPccBkSiuyVh4yg</t>
        </is>
      </c>
      <c r="O3012" s="48" t="n">
        <v>41443.10416666666</v>
      </c>
      <c r="P3012" s="49" t="n">
        <v>41442</v>
      </c>
      <c r="Q3012" s="47" t="n">
        <v>256</v>
      </c>
      <c r="R3012" s="47" t="inlineStr">
        <is>
          <t>No Video ID yet</t>
        </is>
      </c>
      <c r="S3012" s="49" t="n"/>
      <c r="T3012" s="49" t="n"/>
      <c r="U3012" s="47" t="n"/>
      <c r="V3012" s="47">
        <f>IF(AND(P3012&gt;=Calendar!$K$2,P3012&lt;EDATE(Calendar!$K$2,1),OR(Calendar!$K$4="*",N3012=Calendar!$K$4)),P3012*100+COUNTIFS($P$6:$P$3267,P3012,$Q$6:$Q$3267,"&lt;="&amp;Q3012,$N$6:$N$3267,Calendar!$K$4),"")</f>
        <v/>
      </c>
      <c r="W3012" s="47">
        <f>IF(AND(B3012=Queue!$C$4,OR(Queue!$K$4="*",N3012=Queue!$K$4)),Q3012,"")</f>
        <v/>
      </c>
    </row>
    <row r="3013">
      <c r="A3013" s="38">
        <f>IF(M3013="","",HYPERLINK("https://www.youtube.com/watch?v="&amp;M3013,"▶"))</f>
        <v/>
      </c>
      <c r="B3013" s="39">
        <f>IF(C3013&lt;&gt;"",C3013,IF(P3013&lt;=IFERROR(INDEX(tblChannels[Watched Through],MATCH(N3013,tblChannels[Channel ID],0)),0),"Watched","Unwatched"))</f>
        <v/>
      </c>
      <c r="C3013" s="40" t="n"/>
      <c r="D3013" s="41" t="n"/>
      <c r="E3013" s="42" t="n">
        <v>41439.84305555555</v>
      </c>
      <c r="F3013" s="50" t="inlineStr">
        <is>
          <t>Super Carlin Brothers</t>
        </is>
      </c>
      <c r="G3013" t="inlineStr">
        <is>
          <t>Should Men Google Autofill</t>
        </is>
      </c>
      <c r="H3013" s="44" t="n">
        <v>0.003599537037037037</v>
      </c>
      <c r="I3013" s="45" t="n">
        <v>289247</v>
      </c>
      <c r="J3013" s="45" t="n">
        <v>4438</v>
      </c>
      <c r="K3013" s="45" t="n">
        <v>821</v>
      </c>
      <c r="L3013" s="46" t="n"/>
      <c r="M3013" s="47" t="n"/>
      <c r="N3013" s="47" t="inlineStr">
        <is>
          <t>UCKZo4N0lVPccBkSiuyVh4yg</t>
        </is>
      </c>
      <c r="O3013" s="48" t="n">
        <v>41440.00972222222</v>
      </c>
      <c r="P3013" s="49" t="n">
        <v>41439</v>
      </c>
      <c r="Q3013" s="47" t="n">
        <v>255</v>
      </c>
      <c r="R3013" s="47" t="inlineStr">
        <is>
          <t>No Video ID yet</t>
        </is>
      </c>
      <c r="S3013" s="49" t="n"/>
      <c r="T3013" s="49" t="n"/>
      <c r="U3013" s="47" t="inlineStr">
        <is>
          <t>To be fair I'm sure knitting is a useful skill... Week 51 complete! What do you guys want to see next week as we round off year 1?? Also I really just cant thank you guys enough for making this year as a amazing as it has been. Some days the last thing I want to do is sit down and make a video but then I wake up and read your comments and its all worth it. SCB is nothing without you guys and it just makes my day when out of nowhere I get a text saying "I love your videos" or how you "just had to mention SCB in the vlogbrothers census". Seriously I cant describe it. I know 1,100 isnt a huge number of subscribers or anything, but its awesome getting to know you guys better and better each day. I know some of you dont always agree with some of the stuff we say or have different opinions but I think its so cool that you respect ours and offer yours. Thanks, J</t>
        </is>
      </c>
      <c r="V3013" s="47">
        <f>IF(AND(P3013&gt;=Calendar!$K$2,P3013&lt;EDATE(Calendar!$K$2,1),OR(Calendar!$K$4="*",N3013=Calendar!$K$4)),P3013*100+COUNTIFS($P$6:$P$3267,P3013,$Q$6:$Q$3267,"&lt;="&amp;Q3013,$N$6:$N$3267,Calendar!$K$4),"")</f>
        <v/>
      </c>
      <c r="W3013" s="47">
        <f>IF(AND(B3013=Queue!$C$4,OR(Queue!$K$4="*",N3013=Queue!$K$4)),Q3013,"")</f>
        <v/>
      </c>
    </row>
    <row r="3014">
      <c r="A3014" s="38">
        <f>IF(M3014="","",HYPERLINK("https://www.youtube.com/watch?v="&amp;M3014,"▶"))</f>
        <v/>
      </c>
      <c r="B3014" s="39">
        <f>IF(C3014&lt;&gt;"",C3014,IF(P3014&lt;=IFERROR(INDEX(tblChannels[Watched Through],MATCH(N3014,tblChannels[Channel ID],0)),0),"Watched","Unwatched"))</f>
        <v/>
      </c>
      <c r="C3014" s="40" t="n"/>
      <c r="D3014" s="41" t="n"/>
      <c r="E3014" s="42" t="n">
        <v>41438.91319444445</v>
      </c>
      <c r="F3014" s="50" t="inlineStr">
        <is>
          <t>Super Carlin Brothers</t>
        </is>
      </c>
      <c r="G3014" t="inlineStr">
        <is>
          <t>Dwelling</t>
        </is>
      </c>
      <c r="H3014" s="44" t="n">
        <v>0.002002314814814815</v>
      </c>
      <c r="I3014" s="45" t="n">
        <v>8366</v>
      </c>
      <c r="J3014" s="45" t="n">
        <v>186</v>
      </c>
      <c r="K3014" s="45" t="n">
        <v>29</v>
      </c>
      <c r="L3014" s="46" t="n"/>
      <c r="M3014" s="47" t="n"/>
      <c r="N3014" s="47" t="inlineStr">
        <is>
          <t>UCKZo4N0lVPccBkSiuyVh4yg</t>
        </is>
      </c>
      <c r="O3014" s="48" t="n">
        <v>41439.07986111111</v>
      </c>
      <c r="P3014" s="49" t="n">
        <v>41438</v>
      </c>
      <c r="Q3014" s="47" t="n">
        <v>254</v>
      </c>
      <c r="R3014" s="47" t="inlineStr">
        <is>
          <t>No Video ID yet</t>
        </is>
      </c>
      <c r="S3014" s="49" t="n"/>
      <c r="T3014" s="49" t="n"/>
      <c r="U3014" s="47" t="inlineStr">
        <is>
          <t>For real life social situations I chose not to include this example in the actual video but figured it was worth a good share in text form. I first noticed this phenomenon with a friend from college who was crazy about this girl. had been since high school. and every person that knew either of the two people knew how he felt about her. He talked about it with... everyone he met, brought it up constantly with existing friends, talked with her friends about it. And inflated the situation to where I almost feel like in addition to real feelings he now made it so every person he knew was going to know if he didn't win her over. It became this insane uphill battle. And the deeper he got into it, the more it mattered to him, which fueled him to talk about it more. Just one guy's take.</t>
        </is>
      </c>
      <c r="V3014" s="47">
        <f>IF(AND(P3014&gt;=Calendar!$K$2,P3014&lt;EDATE(Calendar!$K$2,1),OR(Calendar!$K$4="*",N3014=Calendar!$K$4)),P3014*100+COUNTIFS($P$6:$P$3267,P3014,$Q$6:$Q$3267,"&lt;="&amp;Q3014,$N$6:$N$3267,Calendar!$K$4),"")</f>
        <v/>
      </c>
      <c r="W3014" s="47">
        <f>IF(AND(B3014=Queue!$C$4,OR(Queue!$K$4="*",N3014=Queue!$K$4)),Q3014,"")</f>
        <v/>
      </c>
    </row>
    <row r="3015">
      <c r="A3015" s="38">
        <f>IF(M3015="","",HYPERLINK("https://www.youtube.com/watch?v="&amp;M3015,"▶"))</f>
        <v/>
      </c>
      <c r="B3015" s="39">
        <f>IF(C3015&lt;&gt;"",C3015,IF(P3015&lt;=IFERROR(INDEX(tblChannels[Watched Through],MATCH(N3015,tblChannels[Channel ID],0)),0),"Watched","Unwatched"))</f>
        <v/>
      </c>
      <c r="C3015" s="40" t="n"/>
      <c r="D3015" s="41" t="n"/>
      <c r="E3015" s="42" t="n">
        <v>41437.98819444444</v>
      </c>
      <c r="F3015" s="50" t="inlineStr">
        <is>
          <t>Super Carlin Brothers</t>
        </is>
      </c>
      <c r="G3015" t="inlineStr">
        <is>
          <t>DOESN'T MATTER!</t>
        </is>
      </c>
      <c r="H3015" s="44" t="n">
        <v>0.002025462962962963</v>
      </c>
      <c r="I3015" s="45" t="n">
        <v>28114</v>
      </c>
      <c r="J3015" s="45" t="n">
        <v>554</v>
      </c>
      <c r="K3015" s="45" t="n">
        <v>99</v>
      </c>
      <c r="L3015" s="46" t="n"/>
      <c r="M3015" s="47" t="n"/>
      <c r="N3015" s="47" t="inlineStr">
        <is>
          <t>UCKZo4N0lVPccBkSiuyVh4yg</t>
        </is>
      </c>
      <c r="O3015" s="48" t="n">
        <v>41438.15486111111</v>
      </c>
      <c r="P3015" s="49" t="n">
        <v>41437</v>
      </c>
      <c r="Q3015" s="47" t="n">
        <v>253</v>
      </c>
      <c r="R3015" s="47" t="inlineStr">
        <is>
          <t>No Video ID yet</t>
        </is>
      </c>
      <c r="S3015" s="49" t="n"/>
      <c r="T3015" s="49" t="n"/>
      <c r="U3015" s="47" t="inlineStr">
        <is>
          <t>Sometimes I have a habit of focusing on really small things that just dont matter, things that I have been living with my whole life but that have only been recently brought to my attention.. nothing I can do about it, just the way things are.. so why sweat it? Do you worry way to much about things you know you shouldnt??</t>
        </is>
      </c>
      <c r="V3015" s="47">
        <f>IF(AND(P3015&gt;=Calendar!$K$2,P3015&lt;EDATE(Calendar!$K$2,1),OR(Calendar!$K$4="*",N3015=Calendar!$K$4)),P3015*100+COUNTIFS($P$6:$P$3267,P3015,$Q$6:$Q$3267,"&lt;="&amp;Q3015,$N$6:$N$3267,Calendar!$K$4),"")</f>
        <v/>
      </c>
      <c r="W3015" s="47">
        <f>IF(AND(B3015=Queue!$C$4,OR(Queue!$K$4="*",N3015=Queue!$K$4)),Q3015,"")</f>
        <v/>
      </c>
    </row>
    <row r="3016">
      <c r="A3016" s="38">
        <f>IF(M3016="","",HYPERLINK("https://www.youtube.com/watch?v="&amp;M3016,"▶"))</f>
        <v/>
      </c>
      <c r="B3016" s="39">
        <f>IF(C3016&lt;&gt;"",C3016,IF(P3016&lt;=IFERROR(INDEX(tblChannels[Watched Through],MATCH(N3016,tblChannels[Channel ID],0)),0),"Watched","Unwatched"))</f>
        <v/>
      </c>
      <c r="C3016" s="40" t="n"/>
      <c r="D3016" s="41" t="n"/>
      <c r="E3016" s="42" t="n">
        <v>41436.90972222222</v>
      </c>
      <c r="F3016" s="50" t="inlineStr">
        <is>
          <t>Super Carlin Brothers</t>
        </is>
      </c>
      <c r="G3016" t="inlineStr">
        <is>
          <t>BEING WATCHED</t>
        </is>
      </c>
      <c r="H3016" s="44" t="n">
        <v>0.001608796296296296</v>
      </c>
      <c r="I3016" s="45" t="n">
        <v>11609</v>
      </c>
      <c r="J3016" s="45" t="n">
        <v>278</v>
      </c>
      <c r="K3016" s="45" t="n">
        <v>63</v>
      </c>
      <c r="L3016" s="46" t="n"/>
      <c r="M3016" s="47" t="n"/>
      <c r="N3016" s="47" t="inlineStr">
        <is>
          <t>UCKZo4N0lVPccBkSiuyVh4yg</t>
        </is>
      </c>
      <c r="O3016" s="48" t="n">
        <v>41437.07638888889</v>
      </c>
      <c r="P3016" s="49" t="n">
        <v>41436</v>
      </c>
      <c r="Q3016" s="47" t="n">
        <v>252</v>
      </c>
      <c r="R3016" s="47" t="inlineStr">
        <is>
          <t>No Video ID yet</t>
        </is>
      </c>
      <c r="S3016" s="49" t="n"/>
      <c r="T3016" s="49" t="n"/>
      <c r="U3016" s="47" t="inlineStr">
        <is>
          <t>Are you being watched... right this second... how do you feel about it?</t>
        </is>
      </c>
      <c r="V3016" s="47">
        <f>IF(AND(P3016&gt;=Calendar!$K$2,P3016&lt;EDATE(Calendar!$K$2,1),OR(Calendar!$K$4="*",N3016=Calendar!$K$4)),P3016*100+COUNTIFS($P$6:$P$3267,P3016,$Q$6:$Q$3267,"&lt;="&amp;Q3016,$N$6:$N$3267,Calendar!$K$4),"")</f>
        <v/>
      </c>
      <c r="W3016" s="47">
        <f>IF(AND(B3016=Queue!$C$4,OR(Queue!$K$4="*",N3016=Queue!$K$4)),Q3016,"")</f>
        <v/>
      </c>
    </row>
    <row r="3017">
      <c r="A3017" s="38">
        <f>IF(M3017="","",HYPERLINK("https://www.youtube.com/watch?v="&amp;M3017,"▶"))</f>
        <v/>
      </c>
      <c r="B3017" s="39">
        <f>IF(C3017&lt;&gt;"",C3017,IF(P3017&lt;=IFERROR(INDEX(tblChannels[Watched Through],MATCH(N3017,tblChannels[Channel ID],0)),0),"Watched","Unwatched"))</f>
        <v/>
      </c>
      <c r="C3017" s="40" t="n"/>
      <c r="D3017" s="41" t="n"/>
      <c r="E3017" s="42" t="n">
        <v>41435.96388888889</v>
      </c>
      <c r="F3017" s="50" t="inlineStr">
        <is>
          <t>Super Carlin Brothers</t>
        </is>
      </c>
      <c r="G3017" t="inlineStr">
        <is>
          <t>BEARD FACE TATTOO!</t>
        </is>
      </c>
      <c r="H3017" s="44" t="n">
        <v>0.002650462962962963</v>
      </c>
      <c r="I3017" s="45" t="n">
        <v>36439</v>
      </c>
      <c r="J3017" s="45" t="n">
        <v>688</v>
      </c>
      <c r="K3017" s="45" t="n">
        <v>273</v>
      </c>
      <c r="L3017" s="46" t="n"/>
      <c r="M3017" s="47" t="n"/>
      <c r="N3017" s="47" t="inlineStr">
        <is>
          <t>UCKZo4N0lVPccBkSiuyVh4yg</t>
        </is>
      </c>
      <c r="O3017" s="48" t="n">
        <v>41436.13055555556</v>
      </c>
      <c r="P3017" s="49" t="n">
        <v>41435</v>
      </c>
      <c r="Q3017" s="47" t="n">
        <v>251</v>
      </c>
      <c r="R3017" s="47" t="inlineStr">
        <is>
          <t>No Video ID yet</t>
        </is>
      </c>
      <c r="S3017" s="49" t="n"/>
      <c r="T3017" s="49" t="n"/>
      <c r="U3017" s="47" t="inlineStr">
        <is>
          <t>Would you get a tattoo? What would you get? Where would it go???</t>
        </is>
      </c>
      <c r="V3017" s="47">
        <f>IF(AND(P3017&gt;=Calendar!$K$2,P3017&lt;EDATE(Calendar!$K$2,1),OR(Calendar!$K$4="*",N3017=Calendar!$K$4)),P3017*100+COUNTIFS($P$6:$P$3267,P3017,$Q$6:$Q$3267,"&lt;="&amp;Q3017,$N$6:$N$3267,Calendar!$K$4),"")</f>
        <v/>
      </c>
      <c r="W3017" s="47">
        <f>IF(AND(B3017=Queue!$C$4,OR(Queue!$K$4="*",N3017=Queue!$K$4)),Q3017,"")</f>
        <v/>
      </c>
    </row>
    <row r="3018">
      <c r="A3018" s="38">
        <f>IF(M3018="","",HYPERLINK("https://www.youtube.com/watch?v="&amp;M3018,"▶"))</f>
        <v/>
      </c>
      <c r="B3018" s="39">
        <f>IF(C3018&lt;&gt;"",C3018,IF(P3018&lt;=IFERROR(INDEX(tblChannels[Watched Through],MATCH(N3018,tblChannels[Channel ID],0)),0),"Watched","Unwatched"))</f>
        <v/>
      </c>
      <c r="C3018" s="40" t="n"/>
      <c r="D3018" s="41" t="n"/>
      <c r="E3018" s="42" t="n">
        <v>41432.96944444445</v>
      </c>
      <c r="F3018" s="50" t="inlineStr">
        <is>
          <t>Super Carlin Brothers</t>
        </is>
      </c>
      <c r="G3018" t="inlineStr">
        <is>
          <t>The Touch</t>
        </is>
      </c>
      <c r="H3018" s="44" t="n">
        <v>0.002152777777777778</v>
      </c>
      <c r="I3018" s="45" t="n">
        <v>7794</v>
      </c>
      <c r="J3018" s="45" t="n">
        <v>178</v>
      </c>
      <c r="K3018" s="45" t="n">
        <v>38</v>
      </c>
      <c r="L3018" s="46" t="n"/>
      <c r="M3018" s="47" t="n"/>
      <c r="N3018" s="47" t="inlineStr">
        <is>
          <t>UCKZo4N0lVPccBkSiuyVh4yg</t>
        </is>
      </c>
      <c r="O3018" s="48" t="n">
        <v>41433.13611111111</v>
      </c>
      <c r="P3018" s="49" t="n">
        <v>41432</v>
      </c>
      <c r="Q3018" s="47" t="n">
        <v>250</v>
      </c>
      <c r="R3018" s="47" t="inlineStr">
        <is>
          <t>No Video ID yet</t>
        </is>
      </c>
      <c r="S3018" s="49" t="n"/>
      <c r="T3018" s="49" t="n"/>
      <c r="U3018" s="47" t="inlineStr">
        <is>
          <t>Well here we are... 250 videos in... 10 to go... no clue what to talk about. SUGGESTIONS WELCOME :)</t>
        </is>
      </c>
      <c r="V3018" s="47">
        <f>IF(AND(P3018&gt;=Calendar!$K$2,P3018&lt;EDATE(Calendar!$K$2,1),OR(Calendar!$K$4="*",N3018=Calendar!$K$4)),P3018*100+COUNTIFS($P$6:$P$3267,P3018,$Q$6:$Q$3267,"&lt;="&amp;Q3018,$N$6:$N$3267,Calendar!$K$4),"")</f>
        <v/>
      </c>
      <c r="W3018" s="47">
        <f>IF(AND(B3018=Queue!$C$4,OR(Queue!$K$4="*",N3018=Queue!$K$4)),Q3018,"")</f>
        <v/>
      </c>
    </row>
    <row r="3019">
      <c r="A3019" s="38">
        <f>IF(M3019="","",HYPERLINK("https://www.youtube.com/watch?v="&amp;M3019,"▶"))</f>
        <v/>
      </c>
      <c r="B3019" s="39">
        <f>IF(C3019&lt;&gt;"",C3019,IF(P3019&lt;=IFERROR(INDEX(tblChannels[Watched Through],MATCH(N3019,tblChannels[Channel ID],0)),0),"Watched","Unwatched"))</f>
        <v/>
      </c>
      <c r="C3019" s="40" t="n"/>
      <c r="D3019" s="41" t="n"/>
      <c r="E3019" s="42" t="n">
        <v>41431.86111111111</v>
      </c>
      <c r="F3019" s="50" t="inlineStr">
        <is>
          <t>Super Carlin Brothers</t>
        </is>
      </c>
      <c r="G3019" t="inlineStr">
        <is>
          <t>TRUMPET TALES</t>
        </is>
      </c>
      <c r="H3019" s="44" t="n">
        <v>0.003321759259259259</v>
      </c>
      <c r="I3019" s="45" t="n">
        <v>37091</v>
      </c>
      <c r="J3019" s="45" t="n">
        <v>767</v>
      </c>
      <c r="K3019" s="45" t="n">
        <v>480</v>
      </c>
      <c r="L3019" s="46" t="n"/>
      <c r="M3019" s="47" t="n"/>
      <c r="N3019" s="47" t="inlineStr">
        <is>
          <t>UCKZo4N0lVPccBkSiuyVh4yg</t>
        </is>
      </c>
      <c r="O3019" s="48" t="n">
        <v>41432.02777777778</v>
      </c>
      <c r="P3019" s="49" t="n">
        <v>41431</v>
      </c>
      <c r="Q3019" s="47" t="n">
        <v>249</v>
      </c>
      <c r="R3019" s="47" t="inlineStr">
        <is>
          <t>No Video ID yet</t>
        </is>
      </c>
      <c r="S3019" s="49" t="n"/>
      <c r="T3019" s="49" t="n"/>
      <c r="U3019" s="47" t="inlineStr">
        <is>
          <t>What instrument do you play/want to play?!!? Also dont forget to send us a wink for our group wink to Wheezy Waiter!! Can you believe Danielle switching the song on me like that? Ugh I cant tell you how embarrassed I was for that... Oh well I guess ultimately it motivated me to become better. Are you guys competitive? I get insanely competitive over things, like to me when I'm playing a board game I never understand why people are like, I'm just trying to have fun, it doesnt matter if I win or not. Right. Good for you... but dont you want to win? Like sure you could just be playing for fun but I imagine you would still rather win than lose? I dunno, that just doesn't make sense to me. THEN when you go about winning in commanding fashion they act like you are some big jerk for being competitive about it.. which is when I say to them.. "I though you didnt care if you lost" BOOM. ROASTED.</t>
        </is>
      </c>
      <c r="V3019" s="47">
        <f>IF(AND(P3019&gt;=Calendar!$K$2,P3019&lt;EDATE(Calendar!$K$2,1),OR(Calendar!$K$4="*",N3019=Calendar!$K$4)),P3019*100+COUNTIFS($P$6:$P$3267,P3019,$Q$6:$Q$3267,"&lt;="&amp;Q3019,$N$6:$N$3267,Calendar!$K$4),"")</f>
        <v/>
      </c>
      <c r="W3019" s="47">
        <f>IF(AND(B3019=Queue!$C$4,OR(Queue!$K$4="*",N3019=Queue!$K$4)),Q3019,"")</f>
        <v/>
      </c>
    </row>
    <row r="3020">
      <c r="A3020" s="38">
        <f>IF(M3020="","",HYPERLINK("https://www.youtube.com/watch?v="&amp;M3020,"▶"))</f>
        <v/>
      </c>
      <c r="B3020" s="39">
        <f>IF(C3020&lt;&gt;"",C3020,IF(P3020&lt;=IFERROR(INDEX(tblChannels[Watched Through],MATCH(N3020,tblChannels[Channel ID],0)),0),"Watched","Unwatched"))</f>
        <v/>
      </c>
      <c r="C3020" s="40" t="n"/>
      <c r="D3020" s="41" t="n"/>
      <c r="E3020" s="42" t="n">
        <v>41430.95208333333</v>
      </c>
      <c r="F3020" s="50" t="inlineStr">
        <is>
          <t>Super Carlin Brothers</t>
        </is>
      </c>
      <c r="G3020" t="inlineStr">
        <is>
          <t>Problem Recognition</t>
        </is>
      </c>
      <c r="H3020" s="44" t="n">
        <v>0.002858796296296296</v>
      </c>
      <c r="I3020" s="45" t="n">
        <v>9261</v>
      </c>
      <c r="J3020" s="45" t="n">
        <v>248</v>
      </c>
      <c r="K3020" s="45" t="n">
        <v>20</v>
      </c>
      <c r="L3020" s="46" t="n"/>
      <c r="M3020" s="47" t="n"/>
      <c r="N3020" s="47" t="inlineStr">
        <is>
          <t>UCKZo4N0lVPccBkSiuyVh4yg</t>
        </is>
      </c>
      <c r="O3020" s="48" t="n">
        <v>41431.11875</v>
      </c>
      <c r="P3020" s="49" t="n">
        <v>41430</v>
      </c>
      <c r="Q3020" s="47" t="n">
        <v>248</v>
      </c>
      <c r="R3020" s="47" t="inlineStr">
        <is>
          <t>No Video ID yet</t>
        </is>
      </c>
      <c r="S3020" s="49" t="n"/>
      <c r="T3020" s="49" t="n"/>
      <c r="U3020" s="47" t="inlineStr">
        <is>
          <t>Guess who was too lazy to change their desktop background? or do I just really like crossfire... I hope this wasn't overly aquarium-y and the example makes sense... Best, Ben CROSSFIRE!!!!</t>
        </is>
      </c>
      <c r="V3020" s="47">
        <f>IF(AND(P3020&gt;=Calendar!$K$2,P3020&lt;EDATE(Calendar!$K$2,1),OR(Calendar!$K$4="*",N3020=Calendar!$K$4)),P3020*100+COUNTIFS($P$6:$P$3267,P3020,$Q$6:$Q$3267,"&lt;="&amp;Q3020,$N$6:$N$3267,Calendar!$K$4),"")</f>
        <v/>
      </c>
      <c r="W3020" s="47">
        <f>IF(AND(B3020=Queue!$C$4,OR(Queue!$K$4="*",N3020=Queue!$K$4)),Q3020,"")</f>
        <v/>
      </c>
    </row>
    <row r="3021">
      <c r="A3021" s="38">
        <f>IF(M3021="","",HYPERLINK("https://www.youtube.com/watch?v="&amp;M3021,"▶"))</f>
        <v/>
      </c>
      <c r="B3021" s="39">
        <f>IF(C3021&lt;&gt;"",C3021,IF(P3021&lt;=IFERROR(INDEX(tblChannels[Watched Through],MATCH(N3021,tblChannels[Channel ID],0)),0),"Watched","Unwatched"))</f>
        <v/>
      </c>
      <c r="C3021" s="40" t="n"/>
      <c r="D3021" s="41" t="n"/>
      <c r="E3021" s="42" t="n">
        <v>41429.98263888889</v>
      </c>
      <c r="F3021" s="50" t="inlineStr">
        <is>
          <t>Super Carlin Brothers</t>
        </is>
      </c>
      <c r="G3021" t="inlineStr">
        <is>
          <t>On Creativity</t>
        </is>
      </c>
      <c r="H3021" s="44" t="n">
        <v>0.002754629629629629</v>
      </c>
      <c r="I3021" s="45" t="n">
        <v>21928</v>
      </c>
      <c r="J3021" s="45" t="n">
        <v>556</v>
      </c>
      <c r="K3021" s="45" t="n">
        <v>91</v>
      </c>
      <c r="L3021" s="46" t="n"/>
      <c r="M3021" s="47" t="n"/>
      <c r="N3021" s="47" t="inlineStr">
        <is>
          <t>UCKZo4N0lVPccBkSiuyVh4yg</t>
        </is>
      </c>
      <c r="O3021" s="48" t="n">
        <v>41430.14930555555</v>
      </c>
      <c r="P3021" s="49" t="n">
        <v>41429</v>
      </c>
      <c r="Q3021" s="47" t="n">
        <v>247</v>
      </c>
      <c r="R3021" s="47" t="inlineStr">
        <is>
          <t>No Video ID yet</t>
        </is>
      </c>
      <c r="S3021" s="49" t="n"/>
      <c r="T3021" s="49" t="n"/>
      <c r="U3021" s="47" t="inlineStr">
        <is>
          <t>Upload us a wink vid! What is the most creative thing you have ever done! (Dont worry I wont judge you for considering yourself creative in this instance!) I got asked that question in my job interview for my current job and I actually responded with my old Jonkerlin video channel and they loved the answer and thought that all the stuff I did to grow the channel was impressive and so now I have a job! Thanks YT</t>
        </is>
      </c>
      <c r="V3021" s="47">
        <f>IF(AND(P3021&gt;=Calendar!$K$2,P3021&lt;EDATE(Calendar!$K$2,1),OR(Calendar!$K$4="*",N3021=Calendar!$K$4)),P3021*100+COUNTIFS($P$6:$P$3267,P3021,$Q$6:$Q$3267,"&lt;="&amp;Q3021,$N$6:$N$3267,Calendar!$K$4),"")</f>
        <v/>
      </c>
      <c r="W3021" s="47">
        <f>IF(AND(B3021=Queue!$C$4,OR(Queue!$K$4="*",N3021=Queue!$K$4)),Q3021,"")</f>
        <v/>
      </c>
    </row>
    <row r="3022">
      <c r="A3022" s="38">
        <f>IF(M3022="","",HYPERLINK("https://www.youtube.com/watch?v="&amp;M3022,"▶"))</f>
        <v/>
      </c>
      <c r="B3022" s="39">
        <f>IF(C3022&lt;&gt;"",C3022,IF(P3022&lt;=IFERROR(INDEX(tblChannels[Watched Through],MATCH(N3022,tblChannels[Channel ID],0)),0),"Watched","Unwatched"))</f>
        <v/>
      </c>
      <c r="C3022" s="40" t="n"/>
      <c r="D3022" s="41" t="n"/>
      <c r="E3022" s="42" t="n">
        <v>41428.99166666667</v>
      </c>
      <c r="F3022" s="50" t="inlineStr">
        <is>
          <t>Super Carlin Brothers</t>
        </is>
      </c>
      <c r="G3022" t="inlineStr">
        <is>
          <t>Ben's 90's tag</t>
        </is>
      </c>
      <c r="H3022" s="44" t="n">
        <v>0.003194444444444445</v>
      </c>
      <c r="I3022" s="45" t="n">
        <v>16416</v>
      </c>
      <c r="J3022" s="45" t="n">
        <v>392</v>
      </c>
      <c r="K3022" s="45" t="n">
        <v>62</v>
      </c>
      <c r="L3022" s="46" t="n"/>
      <c r="M3022" s="47" t="n"/>
      <c r="N3022" s="47" t="inlineStr">
        <is>
          <t>UCKZo4N0lVPccBkSiuyVh4yg</t>
        </is>
      </c>
      <c r="O3022" s="48" t="n">
        <v>41429.15833333333</v>
      </c>
      <c r="P3022" s="49" t="n">
        <v>41428</v>
      </c>
      <c r="Q3022" s="47" t="n">
        <v>246</v>
      </c>
      <c r="R3022" s="47" t="inlineStr">
        <is>
          <t>No Video ID yet</t>
        </is>
      </c>
      <c r="S3022" s="49" t="n"/>
      <c r="T3022" s="49" t="n"/>
      <c r="U3022" s="47" t="inlineStr">
        <is>
          <t>What is something you do right now that you believe you will someday be nostalgic about?</t>
        </is>
      </c>
      <c r="V3022" s="47">
        <f>IF(AND(P3022&gt;=Calendar!$K$2,P3022&lt;EDATE(Calendar!$K$2,1),OR(Calendar!$K$4="*",N3022=Calendar!$K$4)),P3022*100+COUNTIFS($P$6:$P$3267,P3022,$Q$6:$Q$3267,"&lt;="&amp;Q3022,$N$6:$N$3267,Calendar!$K$4),"")</f>
        <v/>
      </c>
      <c r="W3022" s="47">
        <f>IF(AND(B3022=Queue!$C$4,OR(Queue!$K$4="*",N3022=Queue!$K$4)),Q3022,"")</f>
        <v/>
      </c>
    </row>
    <row r="3023">
      <c r="A3023" s="38">
        <f>IF(M3023="","",HYPERLINK("https://www.youtube.com/watch?v="&amp;M3023,"▶"))</f>
        <v/>
      </c>
      <c r="B3023" s="39">
        <f>IF(C3023&lt;&gt;"",C3023,IF(P3023&lt;=IFERROR(INDEX(tblChannels[Watched Through],MATCH(N3023,tblChannels[Channel ID],0)),0),"Watched","Unwatched"))</f>
        <v/>
      </c>
      <c r="C3023" s="40" t="n"/>
      <c r="D3023" s="41" t="n"/>
      <c r="E3023" s="42" t="n">
        <v>41425.98472222222</v>
      </c>
      <c r="F3023" s="50" t="inlineStr">
        <is>
          <t>Super Carlin Brothers</t>
        </is>
      </c>
      <c r="G3023" t="inlineStr">
        <is>
          <t>Ask J #6</t>
        </is>
      </c>
      <c r="H3023" s="44" t="n">
        <v>0.003414351851851852</v>
      </c>
      <c r="I3023" s="45" t="n">
        <v>41811</v>
      </c>
      <c r="J3023" s="45" t="n">
        <v>724</v>
      </c>
      <c r="K3023" s="45" t="n">
        <v>146</v>
      </c>
      <c r="L3023" s="46" t="n"/>
      <c r="M3023" s="47" t="n"/>
      <c r="N3023" s="47" t="inlineStr">
        <is>
          <t>UCKZo4N0lVPccBkSiuyVh4yg</t>
        </is>
      </c>
      <c r="O3023" s="48" t="n">
        <v>41426.15138888889</v>
      </c>
      <c r="P3023" s="49" t="n">
        <v>41425</v>
      </c>
      <c r="Q3023" s="47" t="n">
        <v>245</v>
      </c>
      <c r="R3023" s="47" t="inlineStr">
        <is>
          <t>No Video ID yet</t>
        </is>
      </c>
      <c r="S3023" s="49" t="n"/>
      <c r="T3023" s="49" t="n"/>
      <c r="U3023" s="47" t="inlineStr">
        <is>
          <t>But seriously I totally woudnt mind at all if you wanted to tweet them: Jennette McCurdy: @JennetteMcCurdy Emma Watson: @EmWatson What makes you feel human? - Thanks everyone for your questions sorry if I didnt get to yours!</t>
        </is>
      </c>
      <c r="V3023" s="47">
        <f>IF(AND(P3023&gt;=Calendar!$K$2,P3023&lt;EDATE(Calendar!$K$2,1),OR(Calendar!$K$4="*",N3023=Calendar!$K$4)),P3023*100+COUNTIFS($P$6:$P$3267,P3023,$Q$6:$Q$3267,"&lt;="&amp;Q3023,$N$6:$N$3267,Calendar!$K$4),"")</f>
        <v/>
      </c>
      <c r="W3023" s="47">
        <f>IF(AND(B3023=Queue!$C$4,OR(Queue!$K$4="*",N3023=Queue!$K$4)),Q3023,"")</f>
        <v/>
      </c>
    </row>
    <row r="3024">
      <c r="A3024" s="38">
        <f>IF(M3024="","",HYPERLINK("https://www.youtube.com/watch?v="&amp;M3024,"▶"))</f>
        <v/>
      </c>
      <c r="B3024" s="39">
        <f>IF(C3024&lt;&gt;"",C3024,IF(P3024&lt;=IFERROR(INDEX(tblChannels[Watched Through],MATCH(N3024,tblChannels[Channel ID],0)),0),"Watched","Unwatched"))</f>
        <v/>
      </c>
      <c r="C3024" s="40" t="n"/>
      <c r="D3024" s="41" t="n"/>
      <c r="E3024" s="42" t="n">
        <v>41424.98472222222</v>
      </c>
      <c r="F3024" s="50" t="inlineStr">
        <is>
          <t>Super Carlin Brothers</t>
        </is>
      </c>
      <c r="G3024" t="inlineStr">
        <is>
          <t>Shopping Habits</t>
        </is>
      </c>
      <c r="H3024" s="44" t="n">
        <v>0.002395833333333333</v>
      </c>
      <c r="I3024" s="45" t="n">
        <v>9952</v>
      </c>
      <c r="J3024" s="45" t="n">
        <v>244</v>
      </c>
      <c r="K3024" s="45" t="n">
        <v>49</v>
      </c>
      <c r="L3024" s="46" t="n"/>
      <c r="M3024" s="47" t="n"/>
      <c r="N3024" s="47" t="inlineStr">
        <is>
          <t>UCKZo4N0lVPccBkSiuyVh4yg</t>
        </is>
      </c>
      <c r="O3024" s="48" t="n">
        <v>41425.15138888889</v>
      </c>
      <c r="P3024" s="49" t="n">
        <v>41424</v>
      </c>
      <c r="Q3024" s="47" t="n">
        <v>244</v>
      </c>
      <c r="R3024" s="47" t="inlineStr">
        <is>
          <t>No Video ID yet</t>
        </is>
      </c>
      <c r="S3024" s="49" t="n"/>
      <c r="T3024" s="49" t="n"/>
      <c r="U3024" s="47" t="inlineStr">
        <is>
          <t>Ask lots of really great question for an episode of ask J tomorrow!!!</t>
        </is>
      </c>
      <c r="V3024" s="47">
        <f>IF(AND(P3024&gt;=Calendar!$K$2,P3024&lt;EDATE(Calendar!$K$2,1),OR(Calendar!$K$4="*",N3024=Calendar!$K$4)),P3024*100+COUNTIFS($P$6:$P$3267,P3024,$Q$6:$Q$3267,"&lt;="&amp;Q3024,$N$6:$N$3267,Calendar!$K$4),"")</f>
        <v/>
      </c>
      <c r="W3024" s="47">
        <f>IF(AND(B3024=Queue!$C$4,OR(Queue!$K$4="*",N3024=Queue!$K$4)),Q3024,"")</f>
        <v/>
      </c>
    </row>
    <row r="3025">
      <c r="A3025" s="38">
        <f>IF(M3025="","",HYPERLINK("https://www.youtube.com/watch?v="&amp;M3025,"▶"))</f>
        <v/>
      </c>
      <c r="B3025" s="39">
        <f>IF(C3025&lt;&gt;"",C3025,IF(P3025&lt;=IFERROR(INDEX(tblChannels[Watched Through],MATCH(N3025,tblChannels[Channel ID],0)),0),"Watched","Unwatched"))</f>
        <v/>
      </c>
      <c r="C3025" s="40" t="n"/>
      <c r="D3025" s="41" t="n"/>
      <c r="E3025" s="42" t="n">
        <v>41423.97222222222</v>
      </c>
      <c r="F3025" s="50" t="inlineStr">
        <is>
          <t>Super Carlin Brothers</t>
        </is>
      </c>
      <c r="G3025" t="inlineStr">
        <is>
          <t>RAIN IS THE BEST!</t>
        </is>
      </c>
      <c r="H3025" s="44" t="n">
        <v>0.002719907407407407</v>
      </c>
      <c r="I3025" s="45" t="n">
        <v>53261</v>
      </c>
      <c r="J3025" s="45" t="n">
        <v>1336</v>
      </c>
      <c r="K3025" s="45" t="n">
        <v>479</v>
      </c>
      <c r="L3025" s="46" t="n"/>
      <c r="M3025" s="47" t="n"/>
      <c r="N3025" s="47" t="inlineStr">
        <is>
          <t>UCKZo4N0lVPccBkSiuyVh4yg</t>
        </is>
      </c>
      <c r="O3025" s="48" t="n">
        <v>41424.13888888889</v>
      </c>
      <c r="P3025" s="49" t="n">
        <v>41423</v>
      </c>
      <c r="Q3025" s="47" t="n">
        <v>243</v>
      </c>
      <c r="R3025" s="47" t="inlineStr">
        <is>
          <t>No Video ID yet</t>
        </is>
      </c>
      <c r="S3025" s="49" t="n"/>
      <c r="T3025" s="49" t="n"/>
      <c r="U3025" s="47" t="inlineStr">
        <is>
          <t>Rain vs Sun.... Winner? OK this has nothing to do with the video but I'm reading about it on Buzz Feed as it uploads.. how crazy is this experiment.. Text your Boyfriend/Girlfriend "I'm afraid I have not been totally honest with you" and then dont touch your phone for an hour. Ugh, that would be horrible! Longest hour ever I would have to imagine, like I can guarantee you I would have like 50 missed calls, I'd be willing to bet friends of mine would start getting calls to. But like I was saying about the rain, I really think its odd that people are soaking wet everyday, cause it's such a routine that you dont even realize it. Or maybe you do and I'm just typing this like a MORON. Have you guys watched the new season of Arrested Development yet?? Fun fact the whole "Hey Brother" thing is from that show! Trivia Question: What is "See you in another life brotha" from? Honestly when I frist started signing off like that I felt like i was just copying that character but at this point I think it has really become of the SCB project. A lot of things feel like that these days, I've got this whole odd bank of memories that most of the people I deal with in person each day are very unaware o</t>
        </is>
      </c>
      <c r="V3025" s="47">
        <f>IF(AND(P3025&gt;=Calendar!$K$2,P3025&lt;EDATE(Calendar!$K$2,1),OR(Calendar!$K$4="*",N3025=Calendar!$K$4)),P3025*100+COUNTIFS($P$6:$P$3267,P3025,$Q$6:$Q$3267,"&lt;="&amp;Q3025,$N$6:$N$3267,Calendar!$K$4),"")</f>
        <v/>
      </c>
      <c r="W3025" s="47">
        <f>IF(AND(B3025=Queue!$C$4,OR(Queue!$K$4="*",N3025=Queue!$K$4)),Q3025,"")</f>
        <v/>
      </c>
    </row>
    <row r="3026">
      <c r="A3026" s="38">
        <f>IF(M3026="","",HYPERLINK("https://www.youtube.com/watch?v="&amp;M3026,"▶"))</f>
        <v/>
      </c>
      <c r="B3026" s="39">
        <f>IF(C3026&lt;&gt;"",C3026,IF(P3026&lt;=IFERROR(INDEX(tblChannels[Watched Through],MATCH(N3026,tblChannels[Channel ID],0)),0),"Watched","Unwatched"))</f>
        <v/>
      </c>
      <c r="C3026" s="40" t="n"/>
      <c r="D3026" s="41" t="n"/>
      <c r="E3026" s="42" t="n">
        <v>41422.91805555556</v>
      </c>
      <c r="F3026" s="50" t="inlineStr">
        <is>
          <t>Super Carlin Brothers</t>
        </is>
      </c>
      <c r="G3026" t="inlineStr">
        <is>
          <t>How to... Fun.</t>
        </is>
      </c>
      <c r="H3026" s="44" t="n">
        <v>0.001678240740740741</v>
      </c>
      <c r="I3026" s="45" t="n">
        <v>9262</v>
      </c>
      <c r="J3026" s="45" t="n">
        <v>200</v>
      </c>
      <c r="K3026" s="45" t="n">
        <v>35</v>
      </c>
      <c r="L3026" s="46" t="n"/>
      <c r="M3026" s="47" t="n"/>
      <c r="N3026" s="47" t="inlineStr">
        <is>
          <t>UCKZo4N0lVPccBkSiuyVh4yg</t>
        </is>
      </c>
      <c r="O3026" s="48" t="n">
        <v>41423.08472222222</v>
      </c>
      <c r="P3026" s="49" t="n">
        <v>41422</v>
      </c>
      <c r="Q3026" s="47" t="n">
        <v>242</v>
      </c>
      <c r="R3026" s="47" t="inlineStr">
        <is>
          <t>No Video ID yet</t>
        </is>
      </c>
      <c r="S3026" s="49" t="n"/>
      <c r="T3026" s="49" t="n"/>
      <c r="U3026" s="47" t="n"/>
      <c r="V3026" s="47">
        <f>IF(AND(P3026&gt;=Calendar!$K$2,P3026&lt;EDATE(Calendar!$K$2,1),OR(Calendar!$K$4="*",N3026=Calendar!$K$4)),P3026*100+COUNTIFS($P$6:$P$3267,P3026,$Q$6:$Q$3267,"&lt;="&amp;Q3026,$N$6:$N$3267,Calendar!$K$4),"")</f>
        <v/>
      </c>
      <c r="W3026" s="47">
        <f>IF(AND(B3026=Queue!$C$4,OR(Queue!$K$4="*",N3026=Queue!$K$4)),Q3026,"")</f>
        <v/>
      </c>
    </row>
    <row r="3027">
      <c r="A3027" s="38">
        <f>IF(M3027="","",HYPERLINK("https://www.youtube.com/watch?v="&amp;M3027,"▶"))</f>
        <v/>
      </c>
      <c r="B3027" s="39">
        <f>IF(C3027&lt;&gt;"",C3027,IF(P3027&lt;=IFERROR(INDEX(tblChannels[Watched Through],MATCH(N3027,tblChannels[Channel ID],0)),0),"Watched","Unwatched"))</f>
        <v/>
      </c>
      <c r="C3027" s="40" t="n"/>
      <c r="D3027" s="41" t="n"/>
      <c r="E3027" s="42" t="n">
        <v>41421.52638888889</v>
      </c>
      <c r="F3027" s="50" t="inlineStr">
        <is>
          <t>Super Carlin Brothers</t>
        </is>
      </c>
      <c r="G3027" t="inlineStr">
        <is>
          <t>A WILD GIRAFFALENT APPEARS!!</t>
        </is>
      </c>
      <c r="H3027" s="44" t="n">
        <v>0.001597222222222222</v>
      </c>
      <c r="I3027" s="45" t="n">
        <v>38172</v>
      </c>
      <c r="J3027" s="45" t="n">
        <v>1285</v>
      </c>
      <c r="K3027" s="45" t="n">
        <v>135</v>
      </c>
      <c r="L3027" s="46" t="n"/>
      <c r="M3027" s="47" t="n"/>
      <c r="N3027" s="47" t="inlineStr">
        <is>
          <t>UCKZo4N0lVPccBkSiuyVh4yg</t>
        </is>
      </c>
      <c r="O3027" s="48" t="n">
        <v>41421.69305555556</v>
      </c>
      <c r="P3027" s="49" t="n">
        <v>41421</v>
      </c>
      <c r="Q3027" s="47" t="n">
        <v>241</v>
      </c>
      <c r="R3027" s="47" t="inlineStr">
        <is>
          <t>No Video ID yet</t>
        </is>
      </c>
      <c r="S3027" s="49" t="n"/>
      <c r="T3027" s="49" t="n"/>
      <c r="U3027" s="47" t="inlineStr">
        <is>
          <t>A Wild Giraffalent Appears! The Giraffalent is known for its cunning and trickery. The Giraffalent uses its cute appearance to lure in foes before viciously murdering them. It is hell bent on world domination. When angered its spots turn black. Fortunately as per usual I was packing a bagel.</t>
        </is>
      </c>
      <c r="V3027" s="47">
        <f>IF(AND(P3027&gt;=Calendar!$K$2,P3027&lt;EDATE(Calendar!$K$2,1),OR(Calendar!$K$4="*",N3027=Calendar!$K$4)),P3027*100+COUNTIFS($P$6:$P$3267,P3027,$Q$6:$Q$3267,"&lt;="&amp;Q3027,$N$6:$N$3267,Calendar!$K$4),"")</f>
        <v/>
      </c>
      <c r="W3027" s="47">
        <f>IF(AND(B3027=Queue!$C$4,OR(Queue!$K$4="*",N3027=Queue!$K$4)),Q3027,"")</f>
        <v/>
      </c>
    </row>
    <row r="3028">
      <c r="A3028" s="38">
        <f>IF(M3028="","",HYPERLINK("https://www.youtube.com/watch?v="&amp;M3028,"▶"))</f>
        <v/>
      </c>
      <c r="B3028" s="39">
        <f>IF(C3028&lt;&gt;"",C3028,IF(P3028&lt;=IFERROR(INDEX(tblChannels[Watched Through],MATCH(N3028,tblChannels[Channel ID],0)),0),"Watched","Unwatched"))</f>
        <v/>
      </c>
      <c r="C3028" s="40" t="n"/>
      <c r="D3028" s="41" t="n"/>
      <c r="E3028" s="42" t="n">
        <v>41418.98472222222</v>
      </c>
      <c r="F3028" s="50" t="inlineStr">
        <is>
          <t>Super Carlin Brothers</t>
        </is>
      </c>
      <c r="G3028" t="inlineStr">
        <is>
          <t>Becoming Actionable</t>
        </is>
      </c>
      <c r="H3028" s="44" t="n">
        <v>0.002557870370370371</v>
      </c>
      <c r="I3028" s="45" t="n">
        <v>8194</v>
      </c>
      <c r="J3028" s="45" t="n">
        <v>296</v>
      </c>
      <c r="K3028" s="45" t="n">
        <v>120</v>
      </c>
      <c r="L3028" s="46" t="n"/>
      <c r="M3028" s="47" t="n"/>
      <c r="N3028" s="47" t="inlineStr">
        <is>
          <t>UCKZo4N0lVPccBkSiuyVh4yg</t>
        </is>
      </c>
      <c r="O3028" s="48" t="n">
        <v>41419.15138888889</v>
      </c>
      <c r="P3028" s="49" t="n">
        <v>41418</v>
      </c>
      <c r="Q3028" s="47" t="n">
        <v>240</v>
      </c>
      <c r="R3028" s="47" t="inlineStr">
        <is>
          <t>No Video ID yet</t>
        </is>
      </c>
      <c r="S3028" s="49" t="n"/>
      <c r="T3028" s="49" t="n"/>
      <c r="U3028" s="47" t="n"/>
      <c r="V3028" s="47">
        <f>IF(AND(P3028&gt;=Calendar!$K$2,P3028&lt;EDATE(Calendar!$K$2,1),OR(Calendar!$K$4="*",N3028=Calendar!$K$4)),P3028*100+COUNTIFS($P$6:$P$3267,P3028,$Q$6:$Q$3267,"&lt;="&amp;Q3028,$N$6:$N$3267,Calendar!$K$4),"")</f>
        <v/>
      </c>
      <c r="W3028" s="47">
        <f>IF(AND(B3028=Queue!$C$4,OR(Queue!$K$4="*",N3028=Queue!$K$4)),Q3028,"")</f>
        <v/>
      </c>
    </row>
    <row r="3029">
      <c r="A3029" s="38">
        <f>IF(M3029="","",HYPERLINK("https://www.youtube.com/watch?v="&amp;M3029,"▶"))</f>
        <v/>
      </c>
      <c r="B3029" s="39">
        <f>IF(C3029&lt;&gt;"",C3029,IF(P3029&lt;=IFERROR(INDEX(tblChannels[Watched Through],MATCH(N3029,tblChannels[Channel ID],0)),0),"Watched","Unwatched"))</f>
        <v/>
      </c>
      <c r="C3029" s="40" t="n"/>
      <c r="D3029" s="41" t="n"/>
      <c r="E3029" s="42" t="n">
        <v>41417.92638888889</v>
      </c>
      <c r="F3029" s="50" t="inlineStr">
        <is>
          <t>Super Carlin Brothers</t>
        </is>
      </c>
      <c r="G3029" t="inlineStr">
        <is>
          <t>How Long Should a Vlog be?</t>
        </is>
      </c>
      <c r="H3029" s="44" t="n">
        <v>0.002175925925925926</v>
      </c>
      <c r="I3029" s="45" t="n">
        <v>16418</v>
      </c>
      <c r="J3029" s="45" t="n">
        <v>342</v>
      </c>
      <c r="K3029" s="45" t="n">
        <v>80</v>
      </c>
      <c r="L3029" s="46" t="n"/>
      <c r="M3029" s="47" t="n"/>
      <c r="N3029" s="47" t="inlineStr">
        <is>
          <t>UCKZo4N0lVPccBkSiuyVh4yg</t>
        </is>
      </c>
      <c r="O3029" s="48" t="n">
        <v>41418.09305555555</v>
      </c>
      <c r="P3029" s="49" t="n">
        <v>41417</v>
      </c>
      <c r="Q3029" s="47" t="n">
        <v>239</v>
      </c>
      <c r="R3029" s="47" t="inlineStr">
        <is>
          <t>No Video ID yet</t>
        </is>
      </c>
      <c r="S3029" s="49" t="n"/>
      <c r="T3029" s="49" t="n"/>
      <c r="U3029" s="47" t="inlineStr">
        <is>
          <t>Woohoo Under 4 Min! How long do you think a typical vlog should go? Is there a limit at all?! WHO KNOWS?! How did I not mention the swoodily poopers as a longer video series that I watch? You guys should see the conversations I have on IM at work with my coworkers about Swindon Town.. I'd be lying if I said there wasnt some Fat Lucas posters on the walls. Side note if you are a very meticulous viewer you may have in fact noticed a length change in my videos as of late, this was actually because of a comment from one of our long time viewers 777greenday777 who said they would love to see longer vids. I have not heard any complains or anything so I'm guessing you guys have been ok with it. In any case if you ever do have suggestions I encourage you to leave them as we read all of our comments and take what you guys say very seriously. See you in another life!</t>
        </is>
      </c>
      <c r="V3029" s="47">
        <f>IF(AND(P3029&gt;=Calendar!$K$2,P3029&lt;EDATE(Calendar!$K$2,1),OR(Calendar!$K$4="*",N3029=Calendar!$K$4)),P3029*100+COUNTIFS($P$6:$P$3267,P3029,$Q$6:$Q$3267,"&lt;="&amp;Q3029,$N$6:$N$3267,Calendar!$K$4),"")</f>
        <v/>
      </c>
      <c r="W3029" s="47">
        <f>IF(AND(B3029=Queue!$C$4,OR(Queue!$K$4="*",N3029=Queue!$K$4)),Q3029,"")</f>
        <v/>
      </c>
    </row>
    <row r="3030">
      <c r="A3030" s="38">
        <f>IF(M3030="","",HYPERLINK("https://www.youtube.com/watch?v="&amp;M3030,"▶"))</f>
        <v/>
      </c>
      <c r="B3030" s="39">
        <f>IF(C3030&lt;&gt;"",C3030,IF(P3030&lt;=IFERROR(INDEX(tblChannels[Watched Through],MATCH(N3030,tblChannels[Channel ID],0)),0),"Watched","Unwatched"))</f>
        <v/>
      </c>
      <c r="C3030" s="40" t="n"/>
      <c r="D3030" s="41" t="n"/>
      <c r="E3030" s="42" t="n">
        <v>41416.9875</v>
      </c>
      <c r="F3030" s="50" t="inlineStr">
        <is>
          <t>Super Carlin Brothers</t>
        </is>
      </c>
      <c r="G3030" t="inlineStr">
        <is>
          <t>Fish Geek</t>
        </is>
      </c>
      <c r="H3030" s="44" t="n">
        <v>0.00224537037037037</v>
      </c>
      <c r="I3030" s="45" t="n">
        <v>9297</v>
      </c>
      <c r="J3030" s="45" t="n">
        <v>207</v>
      </c>
      <c r="K3030" s="45" t="n">
        <v>29</v>
      </c>
      <c r="L3030" s="46" t="n"/>
      <c r="M3030" s="47" t="n"/>
      <c r="N3030" s="47" t="inlineStr">
        <is>
          <t>UCKZo4N0lVPccBkSiuyVh4yg</t>
        </is>
      </c>
      <c r="O3030" s="48" t="n">
        <v>41417.15416666667</v>
      </c>
      <c r="P3030" s="49" t="n">
        <v>41416</v>
      </c>
      <c r="Q3030" s="47" t="n">
        <v>238</v>
      </c>
      <c r="R3030" s="47" t="inlineStr">
        <is>
          <t>No Video ID yet</t>
        </is>
      </c>
      <c r="S3030" s="49" t="n"/>
      <c r="T3030" s="49" t="n"/>
      <c r="U3030" s="47" t="inlineStr">
        <is>
          <t>In his obsession to be obsessed Ben takes his role as bagger to the next level. It's important to note that the grocery business is not the focus. It is the BAGGING. Therefore Ben sets out on a quest to find ways to revolutionize the bagging industry. He wrote his plan in a notebook... and in an effort to keep true to his mission refused to store said notebook in any type of existing carrying device (or bag). Without a bag to store the notebook and other valuables the notebook is left to fend for itself. It on it's own is not important enough to hold Ben's attention. Ben leaves the notebook on a bus. Ben realizes the bag concept may not be totally flawed and may not need improving. Ben loses.</t>
        </is>
      </c>
      <c r="V3030" s="47">
        <f>IF(AND(P3030&gt;=Calendar!$K$2,P3030&lt;EDATE(Calendar!$K$2,1),OR(Calendar!$K$4="*",N3030=Calendar!$K$4)),P3030*100+COUNTIFS($P$6:$P$3267,P3030,$Q$6:$Q$3267,"&lt;="&amp;Q3030,$N$6:$N$3267,Calendar!$K$4),"")</f>
        <v/>
      </c>
      <c r="W3030" s="47">
        <f>IF(AND(B3030=Queue!$C$4,OR(Queue!$K$4="*",N3030=Queue!$K$4)),Q3030,"")</f>
        <v/>
      </c>
    </row>
    <row r="3031">
      <c r="A3031" s="38">
        <f>IF(M3031="","",HYPERLINK("https://www.youtube.com/watch?v="&amp;M3031,"▶"))</f>
        <v/>
      </c>
      <c r="B3031" s="39">
        <f>IF(C3031&lt;&gt;"",C3031,IF(P3031&lt;=IFERROR(INDEX(tblChannels[Watched Through],MATCH(N3031,tblChannels[Channel ID],0)),0),"Watched","Unwatched"))</f>
        <v/>
      </c>
      <c r="C3031" s="40" t="n"/>
      <c r="D3031" s="41" t="n"/>
      <c r="E3031" s="42" t="n">
        <v>41416.04305555556</v>
      </c>
      <c r="F3031" s="50" t="inlineStr">
        <is>
          <t>Super Carlin Brothers</t>
        </is>
      </c>
      <c r="G3031" t="inlineStr">
        <is>
          <t>Destiny Story :: What I Wouldn't do</t>
        </is>
      </c>
      <c r="H3031" s="44" t="n">
        <v>0.003460648148148148</v>
      </c>
      <c r="I3031" s="45" t="n">
        <v>28414</v>
      </c>
      <c r="J3031" s="45" t="n">
        <v>536</v>
      </c>
      <c r="K3031" s="45" t="n">
        <v>91</v>
      </c>
      <c r="L3031" s="46" t="n"/>
      <c r="M3031" s="47" t="n"/>
      <c r="N3031" s="47" t="inlineStr">
        <is>
          <t>UCKZo4N0lVPccBkSiuyVh4yg</t>
        </is>
      </c>
      <c r="O3031" s="48" t="n">
        <v>41416.20972222222</v>
      </c>
      <c r="P3031" s="49" t="n">
        <v>41416</v>
      </c>
      <c r="Q3031" s="47" t="n">
        <v>237</v>
      </c>
      <c r="R3031" s="47" t="inlineStr">
        <is>
          <t>No Video ID yet</t>
        </is>
      </c>
      <c r="S3031" s="49" t="n"/>
      <c r="T3031" s="49" t="n"/>
      <c r="U3031" s="47" t="inlineStr">
        <is>
          <t>Have you ever made a tiny decision that you think changed everything for you? Panikann: www.youtube.com/user/Panikann Angry Video Game Nerd: Natalie Tran: True Facts about Ze Frank: Seriously though, if you are ever at a party it's ridiculous how the pizza goes down. Like 10 people will pony up enough money for 2 pizzas and then it will take forever to get there and ultimately you get maybe 2 slices.. um NO. Ordering pizza is one of the hardest things to do in a group, its impossible to decide on toppings, who is going to order (why does nobody want to call (including me!)) plus then you have to get everyone to pool their money, which is impossible because it seems like everyone has a different form of currencty - card, Student Card, cash, check etc. (lets face it if someone says they will pay you back... they wont) Plus then where to order from? Everyone likes somewhere else, and then there will be people who want to use a coupon, which is ridiculous considering how many people are already cutting the price into fractions, but the coupon will still determine location and often set up rules for the order like 2 - 2 topping pizzas. Ugh you always end up with a cheese pizza in the sc</t>
        </is>
      </c>
      <c r="V3031" s="47">
        <f>IF(AND(P3031&gt;=Calendar!$K$2,P3031&lt;EDATE(Calendar!$K$2,1),OR(Calendar!$K$4="*",N3031=Calendar!$K$4)),P3031*100+COUNTIFS($P$6:$P$3267,P3031,$Q$6:$Q$3267,"&lt;="&amp;Q3031,$N$6:$N$3267,Calendar!$K$4),"")</f>
        <v/>
      </c>
      <c r="W3031" s="47">
        <f>IF(AND(B3031=Queue!$C$4,OR(Queue!$K$4="*",N3031=Queue!$K$4)),Q3031,"")</f>
        <v/>
      </c>
    </row>
    <row r="3032">
      <c r="A3032" s="38">
        <f>IF(M3032="","",HYPERLINK("https://www.youtube.com/watch?v="&amp;M3032,"▶"))</f>
        <v/>
      </c>
      <c r="B3032" s="39">
        <f>IF(C3032&lt;&gt;"",C3032,IF(P3032&lt;=IFERROR(INDEX(tblChannels[Watched Through],MATCH(N3032,tblChannels[Channel ID],0)),0),"Watched","Unwatched"))</f>
        <v/>
      </c>
      <c r="C3032" s="40" t="n"/>
      <c r="D3032" s="41" t="n"/>
      <c r="E3032" s="42" t="n">
        <v>41414.93055555555</v>
      </c>
      <c r="F3032" s="50" t="inlineStr">
        <is>
          <t>Super Carlin Brothers</t>
        </is>
      </c>
      <c r="G3032" t="inlineStr">
        <is>
          <t>Pizza</t>
        </is>
      </c>
      <c r="H3032" s="44" t="n">
        <v>0.002210648148148148</v>
      </c>
      <c r="I3032" s="45" t="n">
        <v>10706</v>
      </c>
      <c r="J3032" s="45" t="n">
        <v>233</v>
      </c>
      <c r="K3032" s="45" t="n">
        <v>93</v>
      </c>
      <c r="L3032" s="46" t="n"/>
      <c r="M3032" s="47" t="n"/>
      <c r="N3032" s="47" t="inlineStr">
        <is>
          <t>UCKZo4N0lVPccBkSiuyVh4yg</t>
        </is>
      </c>
      <c r="O3032" s="48" t="n">
        <v>41415.09722222222</v>
      </c>
      <c r="P3032" s="49" t="n">
        <v>41414</v>
      </c>
      <c r="Q3032" s="47" t="n">
        <v>236</v>
      </c>
      <c r="R3032" s="47" t="inlineStr">
        <is>
          <t>No Video ID yet</t>
        </is>
      </c>
      <c r="S3032" s="49" t="n"/>
      <c r="T3032" s="49" t="n"/>
      <c r="U3032" s="47" t="inlineStr">
        <is>
          <t>Funny story: When we were in high school we had a very very tight group of friends called the GMA: Me, Jonathan, John... the architect, and Mike we weren't unpopular but we had our little crew and just stuck to it. But we did have one thing that differentiated us from many high school groups. Sue. Sue was my 1996 isuzu trooper that we took to hell and back in many a offroading adventure. Even though we didn't exactly "party" we had access to really cool spots to do so. So every once and while we would throw a small gathering that we called "Pizzafest" The name arose on a family vacation that the GMA attended and we decided we wanted to see if we could pull one off. We wanted to discuss the event at length without our parents hearing so we used the code word "pizza" Looking back on it I'm sure this wasn't a bulletproof guise and our parents likely knew what we were up to the entire time. Either way we invented Pizzafest. Which had nothing to do with pizza.</t>
        </is>
      </c>
      <c r="V3032" s="47">
        <f>IF(AND(P3032&gt;=Calendar!$K$2,P3032&lt;EDATE(Calendar!$K$2,1),OR(Calendar!$K$4="*",N3032=Calendar!$K$4)),P3032*100+COUNTIFS($P$6:$P$3267,P3032,$Q$6:$Q$3267,"&lt;="&amp;Q3032,$N$6:$N$3267,Calendar!$K$4),"")</f>
        <v/>
      </c>
      <c r="W3032" s="47">
        <f>IF(AND(B3032=Queue!$C$4,OR(Queue!$K$4="*",N3032=Queue!$K$4)),Q3032,"")</f>
        <v/>
      </c>
    </row>
    <row r="3033">
      <c r="A3033" s="38">
        <f>IF(M3033="","",HYPERLINK("https://www.youtube.com/watch?v="&amp;M3033,"▶"))</f>
        <v/>
      </c>
      <c r="B3033" s="39">
        <f>IF(C3033&lt;&gt;"",C3033,IF(P3033&lt;=IFERROR(INDEX(tblChannels[Watched Through],MATCH(N3033,tblChannels[Channel ID],0)),0),"Watched","Unwatched"))</f>
        <v/>
      </c>
      <c r="C3033" s="40" t="n"/>
      <c r="D3033" s="41" t="n"/>
      <c r="E3033" s="42" t="n">
        <v>41411.76388888889</v>
      </c>
      <c r="F3033" s="50" t="inlineStr">
        <is>
          <t>Super Carlin Brothers</t>
        </is>
      </c>
      <c r="G3033" t="inlineStr">
        <is>
          <t>OPPORTUNITY FOOD!</t>
        </is>
      </c>
      <c r="H3033" s="44" t="n">
        <v>0.002939814814814815</v>
      </c>
      <c r="I3033" s="45" t="n">
        <v>50439</v>
      </c>
      <c r="J3033" s="45" t="n">
        <v>1012</v>
      </c>
      <c r="K3033" s="45" t="n">
        <v>263</v>
      </c>
      <c r="L3033" s="46" t="n"/>
      <c r="M3033" s="47" t="n"/>
      <c r="N3033" s="47" t="inlineStr">
        <is>
          <t>UCKZo4N0lVPccBkSiuyVh4yg</t>
        </is>
      </c>
      <c r="O3033" s="48" t="n">
        <v>41411.93055555555</v>
      </c>
      <c r="P3033" s="49" t="n">
        <v>41411</v>
      </c>
      <c r="Q3033" s="47" t="n">
        <v>235</v>
      </c>
      <c r="R3033" s="47" t="inlineStr">
        <is>
          <t>No Video ID yet</t>
        </is>
      </c>
      <c r="S3033" s="49" t="n"/>
      <c r="T3033" s="49" t="n"/>
      <c r="U3033" s="47" t="inlineStr">
        <is>
          <t>What is your opportunity food weakness? I always think its just on holidays when I will be confronted with extra large portions of food, that after Xmas or Thanksgiving I will be able to get into a groove and just be healthy. It never works out that way though, there is ALWAYS another event or occasion where people are pouring it on. My boss is what I would call a "food pusher" like if there is any available food he wants you to eat it, will tell you about it, will remind you about it. I'm not sure what the reasoning is, maybe he will feel better about eating it if someone else does too? Maybe just grew up in a house where food never went to waste? Maybe he just wants to get other people fat? Do you know food pushers? My friend John does this too, if there is a slice of pizza left he'll be like "Joncarlin, finish that!" And if I dont want it he will get upset, not upset at me, just physically upset, like all of a sudden he has been faced with an unsolvable problem. One time he brought like 70 hot dogs on a week long ski trip.. and by the 2nd to last day we'd only eaten like 30.. He was freaking out, and I'm not sure why.. it was as if he would have been embarrassed to have over pac</t>
        </is>
      </c>
      <c r="V3033" s="47">
        <f>IF(AND(P3033&gt;=Calendar!$K$2,P3033&lt;EDATE(Calendar!$K$2,1),OR(Calendar!$K$4="*",N3033=Calendar!$K$4)),P3033*100+COUNTIFS($P$6:$P$3267,P3033,$Q$6:$Q$3267,"&lt;="&amp;Q3033,$N$6:$N$3267,Calendar!$K$4),"")</f>
        <v/>
      </c>
      <c r="W3033" s="47">
        <f>IF(AND(B3033=Queue!$C$4,OR(Queue!$K$4="*",N3033=Queue!$K$4)),Q3033,"")</f>
        <v/>
      </c>
    </row>
    <row r="3034">
      <c r="A3034" s="38">
        <f>IF(M3034="","",HYPERLINK("https://www.youtube.com/watch?v="&amp;M3034,"▶"))</f>
        <v/>
      </c>
      <c r="B3034" s="39">
        <f>IF(C3034&lt;&gt;"",C3034,IF(P3034&lt;=IFERROR(INDEX(tblChannels[Watched Through],MATCH(N3034,tblChannels[Channel ID],0)),0),"Watched","Unwatched"))</f>
        <v/>
      </c>
      <c r="C3034" s="40" t="n"/>
      <c r="D3034" s="41" t="n"/>
      <c r="E3034" s="42" t="n">
        <v>41410.96736111111</v>
      </c>
      <c r="F3034" s="50" t="inlineStr">
        <is>
          <t>Super Carlin Brothers</t>
        </is>
      </c>
      <c r="G3034" t="inlineStr">
        <is>
          <t>I LOVE THIS SONG</t>
        </is>
      </c>
      <c r="H3034" s="44" t="n">
        <v>0.001643518518518519</v>
      </c>
      <c r="I3034" s="45" t="n">
        <v>10539</v>
      </c>
      <c r="J3034" s="45" t="n">
        <v>273</v>
      </c>
      <c r="K3034" s="45" t="n">
        <v>65</v>
      </c>
      <c r="L3034" s="46" t="n"/>
      <c r="M3034" s="47" t="n"/>
      <c r="N3034" s="47" t="inlineStr">
        <is>
          <t>UCKZo4N0lVPccBkSiuyVh4yg</t>
        </is>
      </c>
      <c r="O3034" s="48" t="n">
        <v>41411.13402777778</v>
      </c>
      <c r="P3034" s="49" t="n">
        <v>41410</v>
      </c>
      <c r="Q3034" s="47" t="n">
        <v>234</v>
      </c>
      <c r="R3034" s="47" t="inlineStr">
        <is>
          <t>No Video ID yet</t>
        </is>
      </c>
      <c r="S3034" s="49" t="n"/>
      <c r="T3034" s="49" t="n"/>
      <c r="U3034" s="47" t="n"/>
      <c r="V3034" s="47">
        <f>IF(AND(P3034&gt;=Calendar!$K$2,P3034&lt;EDATE(Calendar!$K$2,1),OR(Calendar!$K$4="*",N3034=Calendar!$K$4)),P3034*100+COUNTIFS($P$6:$P$3267,P3034,$Q$6:$Q$3267,"&lt;="&amp;Q3034,$N$6:$N$3267,Calendar!$K$4),"")</f>
        <v/>
      </c>
      <c r="W3034" s="47">
        <f>IF(AND(B3034=Queue!$C$4,OR(Queue!$K$4="*",N3034=Queue!$K$4)),Q3034,"")</f>
        <v/>
      </c>
    </row>
    <row r="3035">
      <c r="A3035" s="38">
        <f>IF(M3035="","",HYPERLINK("https://www.youtube.com/watch?v="&amp;M3035,"▶"))</f>
        <v/>
      </c>
      <c r="B3035" s="39">
        <f>IF(C3035&lt;&gt;"",C3035,IF(P3035&lt;=IFERROR(INDEX(tblChannels[Watched Through],MATCH(N3035,tblChannels[Channel ID],0)),0),"Watched","Unwatched"))</f>
        <v/>
      </c>
      <c r="C3035" s="40" t="n"/>
      <c r="D3035" s="41" t="n"/>
      <c r="E3035" s="42" t="n">
        <v>41409.98472222222</v>
      </c>
      <c r="F3035" s="50" t="inlineStr">
        <is>
          <t>Super Carlin Brothers</t>
        </is>
      </c>
      <c r="G3035" t="inlineStr">
        <is>
          <t>90's TAG!</t>
        </is>
      </c>
      <c r="H3035" s="44" t="n">
        <v>0.006226851851851851</v>
      </c>
      <c r="I3035" s="45" t="n">
        <v>65562</v>
      </c>
      <c r="J3035" s="45" t="n">
        <v>1165</v>
      </c>
      <c r="K3035" s="45" t="n">
        <v>340</v>
      </c>
      <c r="L3035" s="46" t="n"/>
      <c r="M3035" s="47" t="n"/>
      <c r="N3035" s="47" t="inlineStr">
        <is>
          <t>UCKZo4N0lVPccBkSiuyVh4yg</t>
        </is>
      </c>
      <c r="O3035" s="48" t="n">
        <v>41410.15138888889</v>
      </c>
      <c r="P3035" s="49" t="n">
        <v>41409</v>
      </c>
      <c r="Q3035" s="47" t="n">
        <v>233</v>
      </c>
      <c r="R3035" s="47" t="inlineStr">
        <is>
          <t>No Video ID yet</t>
        </is>
      </c>
      <c r="S3035" s="49" t="n"/>
      <c r="T3035" s="49" t="n"/>
      <c r="U3035" s="47" t="inlineStr">
        <is>
          <t>What were some of your favorite things from the 90's? Let us know in a video response! (or comment whatever) Chayce's Garfield Clock response:</t>
        </is>
      </c>
      <c r="V3035" s="47">
        <f>IF(AND(P3035&gt;=Calendar!$K$2,P3035&lt;EDATE(Calendar!$K$2,1),OR(Calendar!$K$4="*",N3035=Calendar!$K$4)),P3035*100+COUNTIFS($P$6:$P$3267,P3035,$Q$6:$Q$3267,"&lt;="&amp;Q3035,$N$6:$N$3267,Calendar!$K$4),"")</f>
        <v/>
      </c>
      <c r="W3035" s="47">
        <f>IF(AND(B3035=Queue!$C$4,OR(Queue!$K$4="*",N3035=Queue!$K$4)),Q3035,"")</f>
        <v/>
      </c>
    </row>
    <row r="3036">
      <c r="A3036" s="38">
        <f>IF(M3036="","",HYPERLINK("https://www.youtube.com/watch?v="&amp;M3036,"▶"))</f>
        <v/>
      </c>
      <c r="B3036" s="39">
        <f>IF(C3036&lt;&gt;"",C3036,IF(P3036&lt;=IFERROR(INDEX(tblChannels[Watched Through],MATCH(N3036,tblChannels[Channel ID],0)),0),"Watched","Unwatched"))</f>
        <v/>
      </c>
      <c r="C3036" s="40" t="n"/>
      <c r="D3036" s="41" t="n"/>
      <c r="E3036" s="42" t="n">
        <v>41408.90416666667</v>
      </c>
      <c r="F3036" s="50" t="inlineStr">
        <is>
          <t>Super Carlin Brothers</t>
        </is>
      </c>
      <c r="G3036" t="inlineStr">
        <is>
          <t>ADD</t>
        </is>
      </c>
      <c r="H3036" s="44" t="n">
        <v>0.001793981481481481</v>
      </c>
      <c r="I3036" s="45" t="n">
        <v>10565</v>
      </c>
      <c r="J3036" s="45" t="n">
        <v>240</v>
      </c>
      <c r="K3036" s="45" t="n">
        <v>68</v>
      </c>
      <c r="L3036" s="46" t="n"/>
      <c r="M3036" s="47" t="n"/>
      <c r="N3036" s="47" t="inlineStr">
        <is>
          <t>UCKZo4N0lVPccBkSiuyVh4yg</t>
        </is>
      </c>
      <c r="O3036" s="48" t="n">
        <v>41409.07083333333</v>
      </c>
      <c r="P3036" s="49" t="n">
        <v>41408</v>
      </c>
      <c r="Q3036" s="47" t="n">
        <v>232</v>
      </c>
      <c r="R3036" s="47" t="inlineStr">
        <is>
          <t>No Video ID yet</t>
        </is>
      </c>
      <c r="S3036" s="49" t="n"/>
      <c r="T3036" s="49" t="n"/>
      <c r="U3036" s="47" t="inlineStr">
        <is>
          <t>Okay so here is the Ben Theory on ADD... When I was a kid... My next door neighbor was an elderly woman and she was my babysitter for a good chunk of my childhood. We called her Mama Scott. Looking back I now know she was a very caring person and did my parents a huge favor by watching us. When I was a kid I was convinced it was a ploy to teach me how to handle boredom. There was just about nothing to do... which led to just way too many imagination based games with whatever we could find to play with. My theory is... I think at a young age I basically learned how to handle boredom. I wen't to war with it and made peace with it. And despite that I think I am still mildly ADD but more in the form of not always thinking in a linear manner. Now kids have iPads. My time limit for these is the amount of time it takes to upload the video. Just ran out of time. Myers Briggs Personality Test:</t>
        </is>
      </c>
      <c r="V3036" s="47">
        <f>IF(AND(P3036&gt;=Calendar!$K$2,P3036&lt;EDATE(Calendar!$K$2,1),OR(Calendar!$K$4="*",N3036=Calendar!$K$4)),P3036*100+COUNTIFS($P$6:$P$3267,P3036,$Q$6:$Q$3267,"&lt;="&amp;Q3036,$N$6:$N$3267,Calendar!$K$4),"")</f>
        <v/>
      </c>
      <c r="W3036" s="47">
        <f>IF(AND(B3036=Queue!$C$4,OR(Queue!$K$4="*",N3036=Queue!$K$4)),Q3036,"")</f>
        <v/>
      </c>
    </row>
    <row r="3037">
      <c r="A3037" s="38">
        <f>IF(M3037="","",HYPERLINK("https://www.youtube.com/watch?v="&amp;M3037,"▶"))</f>
        <v/>
      </c>
      <c r="B3037" s="39">
        <f>IF(C3037&lt;&gt;"",C3037,IF(P3037&lt;=IFERROR(INDEX(tblChannels[Watched Through],MATCH(N3037,tblChannels[Channel ID],0)),0),"Watched","Unwatched"))</f>
        <v/>
      </c>
      <c r="C3037" s="40" t="n"/>
      <c r="D3037" s="41" t="n"/>
      <c r="E3037" s="42" t="n">
        <v>41407.95833333334</v>
      </c>
      <c r="F3037" s="50" t="inlineStr">
        <is>
          <t>Super Carlin Brothers</t>
        </is>
      </c>
      <c r="G3037" t="inlineStr">
        <is>
          <t>What's in my Wallet</t>
        </is>
      </c>
      <c r="H3037" s="44" t="n">
        <v>0.003449074074074074</v>
      </c>
      <c r="I3037" s="45" t="n">
        <v>90146</v>
      </c>
      <c r="J3037" s="45" t="n">
        <v>1442</v>
      </c>
      <c r="K3037" s="45" t="n">
        <v>311</v>
      </c>
      <c r="L3037" s="46" t="n"/>
      <c r="M3037" s="47" t="n"/>
      <c r="N3037" s="47" t="inlineStr">
        <is>
          <t>UCKZo4N0lVPccBkSiuyVh4yg</t>
        </is>
      </c>
      <c r="O3037" s="48" t="n">
        <v>41408.125</v>
      </c>
      <c r="P3037" s="49" t="n">
        <v>41407</v>
      </c>
      <c r="Q3037" s="47" t="n">
        <v>231</v>
      </c>
      <c r="R3037" s="47" t="inlineStr">
        <is>
          <t>No Video ID yet</t>
        </is>
      </c>
      <c r="S3037" s="49" t="n"/>
      <c r="T3037" s="49" t="n"/>
      <c r="U3037" s="47" t="inlineStr">
        <is>
          <t>I've got some attachement issues in my wallet... do you carry around anything you dont need? I'm really glad I made this because I actually managed to remove 3 keys and 9 cards from my wallet, its crazy how hard it was to just make the cut for something that seems so easy. I think a lot of times I just have to be in the right mood to throw stuff out. I get that way at work, a lot because I inherited someone else's office and it turns out they were a freaking hoarder, but right when I got there it was hard to tell what was necessary to keep for the job and what was just freaking garbage. Turns out most of it was garbage. BUT a lot of it was like "garbage with potential" like unopened picture frames and really nice resume paper. The thing is they are good products that have some value to them BUT SERVE NO PURPOSE TO ME or anyone nor will they. They will just continue to take up space in my filing cabinets.</t>
        </is>
      </c>
      <c r="V3037" s="47">
        <f>IF(AND(P3037&gt;=Calendar!$K$2,P3037&lt;EDATE(Calendar!$K$2,1),OR(Calendar!$K$4="*",N3037=Calendar!$K$4)),P3037*100+COUNTIFS($P$6:$P$3267,P3037,$Q$6:$Q$3267,"&lt;="&amp;Q3037,$N$6:$N$3267,Calendar!$K$4),"")</f>
        <v/>
      </c>
      <c r="W3037" s="47">
        <f>IF(AND(B3037=Queue!$C$4,OR(Queue!$K$4="*",N3037=Queue!$K$4)),Q3037,"")</f>
        <v/>
      </c>
    </row>
    <row r="3038">
      <c r="A3038" s="38">
        <f>IF(M3038="","",HYPERLINK("https://www.youtube.com/watch?v="&amp;M3038,"▶"))</f>
        <v/>
      </c>
      <c r="B3038" s="39">
        <f>IF(C3038&lt;&gt;"",C3038,IF(P3038&lt;=IFERROR(INDEX(tblChannels[Watched Through],MATCH(N3038,tblChannels[Channel ID],0)),0),"Watched","Unwatched"))</f>
        <v/>
      </c>
      <c r="C3038" s="40" t="n"/>
      <c r="D3038" s="41" t="n"/>
      <c r="E3038" s="42" t="n">
        <v>41404.88958333333</v>
      </c>
      <c r="F3038" s="50" t="inlineStr">
        <is>
          <t>Super Carlin Brothers</t>
        </is>
      </c>
      <c r="G3038" t="inlineStr">
        <is>
          <t>John Carlin's Son</t>
        </is>
      </c>
      <c r="H3038" s="44" t="n">
        <v>0.001898148148148148</v>
      </c>
      <c r="I3038" s="45" t="n">
        <v>19381</v>
      </c>
      <c r="J3038" s="45" t="n">
        <v>436</v>
      </c>
      <c r="K3038" s="45" t="n">
        <v>157</v>
      </c>
      <c r="L3038" s="46" t="n"/>
      <c r="M3038" s="47" t="n"/>
      <c r="N3038" s="47" t="inlineStr">
        <is>
          <t>UCKZo4N0lVPccBkSiuyVh4yg</t>
        </is>
      </c>
      <c r="O3038" s="48" t="n">
        <v>41405.05625</v>
      </c>
      <c r="P3038" s="49" t="n">
        <v>41404</v>
      </c>
      <c r="Q3038" s="47" t="n">
        <v>230</v>
      </c>
      <c r="R3038" s="47" t="inlineStr">
        <is>
          <t>No Video ID yet</t>
        </is>
      </c>
      <c r="S3038" s="49" t="n"/>
      <c r="T3038" s="49" t="n"/>
      <c r="U3038" s="47" t="inlineStr">
        <is>
          <t>Are you known for something specific? All in all I feel extremely fortunate to have a Dad like I do.</t>
        </is>
      </c>
      <c r="V3038" s="47">
        <f>IF(AND(P3038&gt;=Calendar!$K$2,P3038&lt;EDATE(Calendar!$K$2,1),OR(Calendar!$K$4="*",N3038=Calendar!$K$4)),P3038*100+COUNTIFS($P$6:$P$3267,P3038,$Q$6:$Q$3267,"&lt;="&amp;Q3038,$N$6:$N$3267,Calendar!$K$4),"")</f>
        <v/>
      </c>
      <c r="W3038" s="47">
        <f>IF(AND(B3038=Queue!$C$4,OR(Queue!$K$4="*",N3038=Queue!$K$4)),Q3038,"")</f>
        <v/>
      </c>
    </row>
    <row r="3039">
      <c r="A3039" s="38">
        <f>IF(M3039="","",HYPERLINK("https://www.youtube.com/watch?v="&amp;M3039,"▶"))</f>
        <v/>
      </c>
      <c r="B3039" s="39">
        <f>IF(C3039&lt;&gt;"",C3039,IF(P3039&lt;=IFERROR(INDEX(tblChannels[Watched Through],MATCH(N3039,tblChannels[Channel ID],0)),0),"Watched","Unwatched"))</f>
        <v/>
      </c>
      <c r="C3039" s="40" t="n"/>
      <c r="D3039" s="41" t="n"/>
      <c r="E3039" s="42" t="n">
        <v>41403.98611111111</v>
      </c>
      <c r="F3039" s="50" t="inlineStr">
        <is>
          <t>Super Carlin Brothers</t>
        </is>
      </c>
      <c r="G3039" t="inlineStr">
        <is>
          <t>I FOUND BIGFOOT!!</t>
        </is>
      </c>
      <c r="H3039" s="44" t="n">
        <v>0.002650462962962963</v>
      </c>
      <c r="I3039" s="45" t="n">
        <v>141712</v>
      </c>
      <c r="J3039" s="45" t="n">
        <v>1869</v>
      </c>
      <c r="K3039" s="45" t="n">
        <v>345</v>
      </c>
      <c r="L3039" s="46" t="n"/>
      <c r="M3039" s="47" t="n"/>
      <c r="N3039" s="47" t="inlineStr">
        <is>
          <t>UCKZo4N0lVPccBkSiuyVh4yg</t>
        </is>
      </c>
      <c r="O3039" s="48" t="n">
        <v>41404.15277777778</v>
      </c>
      <c r="P3039" s="49" t="n">
        <v>41403</v>
      </c>
      <c r="Q3039" s="47" t="n">
        <v>229</v>
      </c>
      <c r="R3039" s="47" t="inlineStr">
        <is>
          <t>No Video ID yet</t>
        </is>
      </c>
      <c r="S3039" s="49" t="n"/>
      <c r="T3039" s="49" t="n"/>
      <c r="U3039" s="47" t="inlineStr">
        <is>
          <t xml:space="preserve">Oh so you're the Funke everyone's been talking about! Great news on the Garfield Clock front, not sure if you noticed but Chayce (if that is your real name) left a comment promising a response. We will get to the bottom of this madness! So the rumor is you guys actually read these whole descriptions! In other exciting news I will be wearing a tuxedo this weekend, so I may actually have to learn how to tie a bow-tie or maybe I'll just end up using one of those adjustable slider ones that they give you for Prom. I'll actually be wearing the tux to Ben's big Gala thing he talked about yesterday, it's certainly costing me enough money to be there so he better have that freaking fish tank looking awesome. And the turtle tank! I learned so much about keeping turtles yesterday in the comments, i didnt realize there was so much to it, mostly I though meh its a turtle.. doesnt do much just make sure you feed it. Guess that was way wrong. Speaking of turtles I guess Megan Fox is going to be playing April O'Niel in the new TMNT movie? Not sure how I feel about that.. I mean on the one hand.. HELLO Megan, but on the other hand TMNT has never really had anything sexy about it, it has more than </t>
        </is>
      </c>
      <c r="V3039" s="47">
        <f>IF(AND(P3039&gt;=Calendar!$K$2,P3039&lt;EDATE(Calendar!$K$2,1),OR(Calendar!$K$4="*",N3039=Calendar!$K$4)),P3039*100+COUNTIFS($P$6:$P$3267,P3039,$Q$6:$Q$3267,"&lt;="&amp;Q3039,$N$6:$N$3267,Calendar!$K$4),"")</f>
        <v/>
      </c>
      <c r="W3039" s="47">
        <f>IF(AND(B3039=Queue!$C$4,OR(Queue!$K$4="*",N3039=Queue!$K$4)),Q3039,"")</f>
        <v/>
      </c>
    </row>
    <row r="3040">
      <c r="A3040" s="38">
        <f>IF(M3040="","",HYPERLINK("https://www.youtube.com/watch?v="&amp;M3040,"▶"))</f>
        <v/>
      </c>
      <c r="B3040" s="39">
        <f>IF(C3040&lt;&gt;"",C3040,IF(P3040&lt;=IFERROR(INDEX(tblChannels[Watched Through],MATCH(N3040,tblChannels[Channel ID],0)),0),"Watched","Unwatched"))</f>
        <v/>
      </c>
      <c r="C3040" s="40" t="n"/>
      <c r="D3040" s="41" t="n"/>
      <c r="E3040" s="42" t="n">
        <v>41402.97847222222</v>
      </c>
      <c r="F3040" s="50" t="inlineStr">
        <is>
          <t>Super Carlin Brothers</t>
        </is>
      </c>
      <c r="G3040" t="inlineStr">
        <is>
          <t>Progress Report</t>
        </is>
      </c>
      <c r="H3040" s="44" t="n">
        <v>0.00224537037037037</v>
      </c>
      <c r="I3040" s="45" t="n">
        <v>9065</v>
      </c>
      <c r="J3040" s="45" t="n">
        <v>197</v>
      </c>
      <c r="K3040" s="45" t="n">
        <v>42</v>
      </c>
      <c r="L3040" s="46" t="n"/>
      <c r="M3040" s="47" t="n"/>
      <c r="N3040" s="47" t="inlineStr">
        <is>
          <t>UCKZo4N0lVPccBkSiuyVh4yg</t>
        </is>
      </c>
      <c r="O3040" s="48" t="n">
        <v>41403.14513888889</v>
      </c>
      <c r="P3040" s="49" t="n">
        <v>41402</v>
      </c>
      <c r="Q3040" s="47" t="n">
        <v>228</v>
      </c>
      <c r="R3040" s="47" t="inlineStr">
        <is>
          <t>No Video ID yet</t>
        </is>
      </c>
      <c r="S3040" s="49" t="n"/>
      <c r="T3040" s="49" t="n"/>
      <c r="U3040" s="47" t="inlineStr">
        <is>
          <t>I thought I would take a minute (or 3) to tell you guys about everything that I've been working on lately. This is the reason I couldn't spend the time working out a real topic today so it IS the topic today. It's a bizarre combination of stress and excitement and anticipation. Like if it became Christmas day and you've been so excited about it for so long but before you get to spend time with your family and exchange gifts you had to run 10 miles barefoot through the snow which is dreadful but completing the task not only allows you to have Christmas but to then have every day thereafter be Christmas. It's hard work... I would say one of the more challenging ordeals I have endured in my lifetime. It is both mentally and physically demanding. Time consuming and exhausting. It's one of the few situations where I am nearly terrified of my excitement. Which in itself is a foreign feeling. I can only imagine it to be like walking a tight rope for the very first time. You've worked and worked. Only a few steps away from safety. But your fatigued and all you can think is your almost there... You cannot fall now. I have a feeling in a month Ill be able to go back and reread this and I wil</t>
        </is>
      </c>
      <c r="V3040" s="47">
        <f>IF(AND(P3040&gt;=Calendar!$K$2,P3040&lt;EDATE(Calendar!$K$2,1),OR(Calendar!$K$4="*",N3040=Calendar!$K$4)),P3040*100+COUNTIFS($P$6:$P$3267,P3040,$Q$6:$Q$3267,"&lt;="&amp;Q3040,$N$6:$N$3267,Calendar!$K$4),"")</f>
        <v/>
      </c>
      <c r="W3040" s="47">
        <f>IF(AND(B3040=Queue!$C$4,OR(Queue!$K$4="*",N3040=Queue!$K$4)),Q3040,"")</f>
        <v/>
      </c>
    </row>
    <row r="3041">
      <c r="A3041" s="38">
        <f>IF(M3041="","",HYPERLINK("https://www.youtube.com/watch?v="&amp;M3041,"▶"))</f>
        <v/>
      </c>
      <c r="B3041" s="39">
        <f>IF(C3041&lt;&gt;"",C3041,IF(P3041&lt;=IFERROR(INDEX(tblChannels[Watched Through],MATCH(N3041,tblChannels[Channel ID],0)),0),"Watched","Unwatched"))</f>
        <v/>
      </c>
      <c r="C3041" s="40" t="n"/>
      <c r="D3041" s="41" t="n"/>
      <c r="E3041" s="42" t="n">
        <v>41401.87569444445</v>
      </c>
      <c r="F3041" s="50" t="inlineStr">
        <is>
          <t>Super Carlin Brothers</t>
        </is>
      </c>
      <c r="G3041" t="inlineStr">
        <is>
          <t>The Garfield Clock</t>
        </is>
      </c>
      <c r="H3041" s="44" t="n">
        <v>0.003032407407407407</v>
      </c>
      <c r="I3041" s="45" t="n">
        <v>54226</v>
      </c>
      <c r="J3041" s="45" t="n">
        <v>790</v>
      </c>
      <c r="K3041" s="45" t="n">
        <v>124</v>
      </c>
      <c r="L3041" s="46" t="n"/>
      <c r="M3041" s="47" t="n"/>
      <c r="N3041" s="47" t="inlineStr">
        <is>
          <t>UCKZo4N0lVPccBkSiuyVh4yg</t>
        </is>
      </c>
      <c r="O3041" s="48" t="n">
        <v>41402.04236111111</v>
      </c>
      <c r="P3041" s="49" t="n">
        <v>41401</v>
      </c>
      <c r="Q3041" s="47" t="n">
        <v>227</v>
      </c>
      <c r="R3041" s="47" t="inlineStr">
        <is>
          <t>No Video ID yet</t>
        </is>
      </c>
      <c r="S3041" s="49" t="n"/>
      <c r="T3041" s="49" t="n"/>
      <c r="U3041" s="47" t="inlineStr">
        <is>
          <t>Humerous Vlogger or Marketing Mastermind??? Chayce's Video: Also you can just check out the entire FriendsWOBenefits Channel here:</t>
        </is>
      </c>
      <c r="V3041" s="47">
        <f>IF(AND(P3041&gt;=Calendar!$K$2,P3041&lt;EDATE(Calendar!$K$2,1),OR(Calendar!$K$4="*",N3041=Calendar!$K$4)),P3041*100+COUNTIFS($P$6:$P$3267,P3041,$Q$6:$Q$3267,"&lt;="&amp;Q3041,$N$6:$N$3267,Calendar!$K$4),"")</f>
        <v/>
      </c>
      <c r="W3041" s="47">
        <f>IF(AND(B3041=Queue!$C$4,OR(Queue!$K$4="*",N3041=Queue!$K$4)),Q3041,"")</f>
        <v/>
      </c>
    </row>
    <row r="3042">
      <c r="A3042" s="38">
        <f>IF(M3042="","",HYPERLINK("https://www.youtube.com/watch?v="&amp;M3042,"▶"))</f>
        <v/>
      </c>
      <c r="B3042" s="39">
        <f>IF(C3042&lt;&gt;"",C3042,IF(P3042&lt;=IFERROR(INDEX(tblChannels[Watched Through],MATCH(N3042,tblChannels[Channel ID],0)),0),"Watched","Unwatched"))</f>
        <v/>
      </c>
      <c r="C3042" s="40" t="n"/>
      <c r="D3042" s="41" t="n"/>
      <c r="E3042" s="42" t="n">
        <v>41400.94861111111</v>
      </c>
      <c r="F3042" s="50" t="inlineStr">
        <is>
          <t>Super Carlin Brothers</t>
        </is>
      </c>
      <c r="G3042" t="inlineStr">
        <is>
          <t>Mini Hippos</t>
        </is>
      </c>
      <c r="H3042" s="44" t="n">
        <v>0.001585648148148148</v>
      </c>
      <c r="I3042" s="45" t="n">
        <v>9788</v>
      </c>
      <c r="J3042" s="45" t="n">
        <v>216</v>
      </c>
      <c r="K3042" s="45" t="n">
        <v>87</v>
      </c>
      <c r="L3042" s="46" t="n"/>
      <c r="M3042" s="47" t="n"/>
      <c r="N3042" s="47" t="inlineStr">
        <is>
          <t>UCKZo4N0lVPccBkSiuyVh4yg</t>
        </is>
      </c>
      <c r="O3042" s="48" t="n">
        <v>41401.11527777778</v>
      </c>
      <c r="P3042" s="49" t="n">
        <v>41400</v>
      </c>
      <c r="Q3042" s="47" t="n">
        <v>226</v>
      </c>
      <c r="R3042" s="47" t="inlineStr">
        <is>
          <t>No Video ID yet</t>
        </is>
      </c>
      <c r="S3042" s="49" t="n"/>
      <c r="T3042" s="49" t="n"/>
      <c r="U3042" s="47" t="inlineStr">
        <is>
          <t>I am intentionally not putting the QOTD in the description today.</t>
        </is>
      </c>
      <c r="V3042" s="47">
        <f>IF(AND(P3042&gt;=Calendar!$K$2,P3042&lt;EDATE(Calendar!$K$2,1),OR(Calendar!$K$4="*",N3042=Calendar!$K$4)),P3042*100+COUNTIFS($P$6:$P$3267,P3042,$Q$6:$Q$3267,"&lt;="&amp;Q3042,$N$6:$N$3267,Calendar!$K$4),"")</f>
        <v/>
      </c>
      <c r="W3042" s="47">
        <f>IF(AND(B3042=Queue!$C$4,OR(Queue!$K$4="*",N3042=Queue!$K$4)),Q3042,"")</f>
        <v/>
      </c>
    </row>
    <row r="3043">
      <c r="A3043" s="38">
        <f>IF(M3043="","",HYPERLINK("https://www.youtube.com/watch?v="&amp;M3043,"▶"))</f>
        <v/>
      </c>
      <c r="B3043" s="39">
        <f>IF(C3043&lt;&gt;"",C3043,IF(P3043&lt;=IFERROR(INDEX(tblChannels[Watched Through],MATCH(N3043,tblChannels[Channel ID],0)),0),"Watched","Unwatched"))</f>
        <v/>
      </c>
      <c r="C3043" s="40" t="n"/>
      <c r="D3043" s="41" t="n"/>
      <c r="E3043" s="42" t="n">
        <v>41397.97152777778</v>
      </c>
      <c r="F3043" s="50" t="inlineStr">
        <is>
          <t>Super Carlin Brothers</t>
        </is>
      </c>
      <c r="G3043" t="inlineStr">
        <is>
          <t>Dr. Who's on First</t>
        </is>
      </c>
      <c r="H3043" s="44" t="n">
        <v>0.003136574074074074</v>
      </c>
      <c r="I3043" s="45" t="n">
        <v>79025</v>
      </c>
      <c r="J3043" s="45" t="n">
        <v>2057</v>
      </c>
      <c r="K3043" s="45" t="n">
        <v>365</v>
      </c>
      <c r="L3043" s="46" t="n"/>
      <c r="M3043" s="47" t="n"/>
      <c r="N3043" s="47" t="inlineStr">
        <is>
          <t>UCKZo4N0lVPccBkSiuyVh4yg</t>
        </is>
      </c>
      <c r="O3043" s="48" t="n">
        <v>41398.13819444444</v>
      </c>
      <c r="P3043" s="49" t="n">
        <v>41397</v>
      </c>
      <c r="Q3043" s="47" t="n">
        <v>225</v>
      </c>
      <c r="R3043" s="47" t="inlineStr">
        <is>
          <t>No Video ID yet</t>
        </is>
      </c>
      <c r="S3043" s="49" t="n"/>
      <c r="T3043" s="49" t="n"/>
      <c r="U3043" s="47" t="inlineStr">
        <is>
          <t>Where is the From? What is the From? Who is the From? When is the From? Why...... is the From? JUXTABROS - Tyler is home from college and decided to come pay me a visit, we spend the day investigating Ben's Typo.. whoops.</t>
        </is>
      </c>
      <c r="V3043" s="47">
        <f>IF(AND(P3043&gt;=Calendar!$K$2,P3043&lt;EDATE(Calendar!$K$2,1),OR(Calendar!$K$4="*",N3043=Calendar!$K$4)),P3043*100+COUNTIFS($P$6:$P$3267,P3043,$Q$6:$Q$3267,"&lt;="&amp;Q3043,$N$6:$N$3267,Calendar!$K$4),"")</f>
        <v/>
      </c>
      <c r="W3043" s="47">
        <f>IF(AND(B3043=Queue!$C$4,OR(Queue!$K$4="*",N3043=Queue!$K$4)),Q3043,"")</f>
        <v/>
      </c>
    </row>
    <row r="3044">
      <c r="A3044" s="38">
        <f>IF(M3044="","",HYPERLINK("https://www.youtube.com/watch?v="&amp;M3044,"▶"))</f>
        <v/>
      </c>
      <c r="B3044" s="39">
        <f>IF(C3044&lt;&gt;"",C3044,IF(P3044&lt;=IFERROR(INDEX(tblChannels[Watched Through],MATCH(N3044,tblChannels[Channel ID],0)),0),"Watched","Unwatched"))</f>
        <v/>
      </c>
      <c r="C3044" s="40" t="n"/>
      <c r="D3044" s="41" t="n"/>
      <c r="E3044" s="42" t="n">
        <v>41396.94513888889</v>
      </c>
      <c r="F3044" s="50" t="inlineStr">
        <is>
          <t>Super Carlin Brothers</t>
        </is>
      </c>
      <c r="G3044" t="inlineStr">
        <is>
          <t>What are they from!?</t>
        </is>
      </c>
      <c r="H3044" s="44" t="n">
        <v>0.001712962962962963</v>
      </c>
      <c r="I3044" s="45" t="n">
        <v>25030</v>
      </c>
      <c r="J3044" s="45" t="n">
        <v>469</v>
      </c>
      <c r="K3044" s="45" t="n">
        <v>117</v>
      </c>
      <c r="L3044" s="46" t="n"/>
      <c r="M3044" s="47" t="n"/>
      <c r="N3044" s="47" t="inlineStr">
        <is>
          <t>UCKZo4N0lVPccBkSiuyVh4yg</t>
        </is>
      </c>
      <c r="O3044" s="48" t="n">
        <v>41397.11180555556</v>
      </c>
      <c r="P3044" s="49" t="n">
        <v>41396</v>
      </c>
      <c r="Q3044" s="47" t="n">
        <v>224</v>
      </c>
      <c r="R3044" s="47" t="inlineStr">
        <is>
          <t>No Video ID yet</t>
        </is>
      </c>
      <c r="S3044" s="49" t="n"/>
      <c r="T3044" s="49" t="n"/>
      <c r="U3044" s="47" t="inlineStr">
        <is>
          <t>Do you ever play what are they from or name that show/movie?!</t>
        </is>
      </c>
      <c r="V3044" s="47">
        <f>IF(AND(P3044&gt;=Calendar!$K$2,P3044&lt;EDATE(Calendar!$K$2,1),OR(Calendar!$K$4="*",N3044=Calendar!$K$4)),P3044*100+COUNTIFS($P$6:$P$3267,P3044,$Q$6:$Q$3267,"&lt;="&amp;Q3044,$N$6:$N$3267,Calendar!$K$4),"")</f>
        <v/>
      </c>
      <c r="W3044" s="47">
        <f>IF(AND(B3044=Queue!$C$4,OR(Queue!$K$4="*",N3044=Queue!$K$4)),Q3044,"")</f>
        <v/>
      </c>
    </row>
    <row r="3045">
      <c r="A3045" s="38">
        <f>IF(M3045="","",HYPERLINK("https://www.youtube.com/watch?v="&amp;M3045,"▶"))</f>
        <v/>
      </c>
      <c r="B3045" s="39">
        <f>IF(C3045&lt;&gt;"",C3045,IF(P3045&lt;=IFERROR(INDEX(tblChannels[Watched Through],MATCH(N3045,tblChannels[Channel ID],0)),0),"Watched","Unwatched"))</f>
        <v/>
      </c>
      <c r="C3045" s="40" t="n"/>
      <c r="D3045" s="41" t="n"/>
      <c r="E3045" s="42" t="n">
        <v>41395.99583333333</v>
      </c>
      <c r="F3045" s="50" t="inlineStr">
        <is>
          <t>Super Carlin Brothers</t>
        </is>
      </c>
      <c r="G3045" t="inlineStr">
        <is>
          <t>How I Met Your Mother Talk</t>
        </is>
      </c>
      <c r="H3045" s="44" t="n">
        <v>0.003599537037037037</v>
      </c>
      <c r="I3045" s="45" t="n">
        <v>52318</v>
      </c>
      <c r="J3045" s="45" t="n">
        <v>1153</v>
      </c>
      <c r="K3045" s="45" t="n">
        <v>245</v>
      </c>
      <c r="L3045" s="46" t="n"/>
      <c r="M3045" s="47" t="n"/>
      <c r="N3045" s="47" t="inlineStr">
        <is>
          <t>UCKZo4N0lVPccBkSiuyVh4yg</t>
        </is>
      </c>
      <c r="O3045" s="48" t="n">
        <v>41396.1625</v>
      </c>
      <c r="P3045" s="49" t="n">
        <v>41395</v>
      </c>
      <c r="Q3045" s="47" t="n">
        <v>223</v>
      </c>
      <c r="R3045" s="47" t="inlineStr">
        <is>
          <t>No Video ID yet</t>
        </is>
      </c>
      <c r="S3045" s="49" t="n"/>
      <c r="T3045" s="49" t="n"/>
      <c r="U3045" s="47" t="inlineStr">
        <is>
          <t>Anytime I'm about to write a dumb description, I stop and write an awesome one instead. True Story. LETS GO TO THE MALL!</t>
        </is>
      </c>
      <c r="V3045" s="47">
        <f>IF(AND(P3045&gt;=Calendar!$K$2,P3045&lt;EDATE(Calendar!$K$2,1),OR(Calendar!$K$4="*",N3045=Calendar!$K$4)),P3045*100+COUNTIFS($P$6:$P$3267,P3045,$Q$6:$Q$3267,"&lt;="&amp;Q3045,$N$6:$N$3267,Calendar!$K$4),"")</f>
        <v/>
      </c>
      <c r="W3045" s="47">
        <f>IF(AND(B3045=Queue!$C$4,OR(Queue!$K$4="*",N3045=Queue!$K$4)),Q3045,"")</f>
        <v/>
      </c>
    </row>
    <row r="3046">
      <c r="A3046" s="38">
        <f>IF(M3046="","",HYPERLINK("https://www.youtube.com/watch?v="&amp;M3046,"▶"))</f>
        <v/>
      </c>
      <c r="B3046" s="39">
        <f>IF(C3046&lt;&gt;"",C3046,IF(P3046&lt;=IFERROR(INDEX(tblChannels[Watched Through],MATCH(N3046,tblChannels[Channel ID],0)),0),"Watched","Unwatched"))</f>
        <v/>
      </c>
      <c r="C3046" s="40" t="n"/>
      <c r="D3046" s="41" t="n"/>
      <c r="E3046" s="42" t="n">
        <v>41394.98958333334</v>
      </c>
      <c r="F3046" s="50" t="inlineStr">
        <is>
          <t>Super Carlin Brothers</t>
        </is>
      </c>
      <c r="G3046" t="inlineStr">
        <is>
          <t>Mantis Shrimp and the Newsroom</t>
        </is>
      </c>
      <c r="H3046" s="44" t="n">
        <v>0.003263888888888889</v>
      </c>
      <c r="I3046" s="45" t="n">
        <v>9171</v>
      </c>
      <c r="J3046" s="45" t="n">
        <v>189</v>
      </c>
      <c r="K3046" s="45" t="n">
        <v>40</v>
      </c>
      <c r="L3046" s="46" t="n"/>
      <c r="M3046" s="47" t="n"/>
      <c r="N3046" s="47" t="inlineStr">
        <is>
          <t>UCKZo4N0lVPccBkSiuyVh4yg</t>
        </is>
      </c>
      <c r="O3046" s="48" t="n">
        <v>41395.15625</v>
      </c>
      <c r="P3046" s="49" t="n">
        <v>41394</v>
      </c>
      <c r="Q3046" s="47" t="n">
        <v>222</v>
      </c>
      <c r="R3046" s="47" t="inlineStr">
        <is>
          <t>No Video ID yet</t>
        </is>
      </c>
      <c r="S3046" s="49" t="n"/>
      <c r="T3046" s="49" t="n"/>
      <c r="U3046" s="47" t="inlineStr">
        <is>
          <t>Do you ever look at watching a tv series as similar to reading a book? Really really really really really really really really tired. Closest I've come to giving up hope on even attempting to make a video. I want to give a huge thank you to all of you that come and watch our videos. You all are an amazing audience and I am honored to have your attention for 3-4 minutes at a time.</t>
        </is>
      </c>
      <c r="V3046" s="47">
        <f>IF(AND(P3046&gt;=Calendar!$K$2,P3046&lt;EDATE(Calendar!$K$2,1),OR(Calendar!$K$4="*",N3046=Calendar!$K$4)),P3046*100+COUNTIFS($P$6:$P$3267,P3046,$Q$6:$Q$3267,"&lt;="&amp;Q3046,$N$6:$N$3267,Calendar!$K$4),"")</f>
        <v/>
      </c>
      <c r="W3046" s="47">
        <f>IF(AND(B3046=Queue!$C$4,OR(Queue!$K$4="*",N3046=Queue!$K$4)),Q3046,"")</f>
        <v/>
      </c>
    </row>
    <row r="3047">
      <c r="A3047" s="38">
        <f>IF(M3047="","",HYPERLINK("https://www.youtube.com/watch?v="&amp;M3047,"▶"))</f>
        <v/>
      </c>
      <c r="B3047" s="39">
        <f>IF(C3047&lt;&gt;"",C3047,IF(P3047&lt;=IFERROR(INDEX(tblChannels[Watched Through],MATCH(N3047,tblChannels[Channel ID],0)),0),"Watched","Unwatched"))</f>
        <v/>
      </c>
      <c r="C3047" s="40" t="n"/>
      <c r="D3047" s="41" t="n"/>
      <c r="E3047" s="42" t="n">
        <v>41393.99444444444</v>
      </c>
      <c r="F3047" s="50" t="inlineStr">
        <is>
          <t>Super Carlin Brothers</t>
        </is>
      </c>
      <c r="G3047" t="inlineStr">
        <is>
          <t>What Makes Something Newsworthy?</t>
        </is>
      </c>
      <c r="H3047" s="44" t="n">
        <v>0.003368055555555556</v>
      </c>
      <c r="I3047" s="45" t="n">
        <v>45792</v>
      </c>
      <c r="J3047" s="45" t="n">
        <v>1466</v>
      </c>
      <c r="K3047" s="45" t="n">
        <v>88</v>
      </c>
      <c r="L3047" s="46" t="n"/>
      <c r="M3047" s="47" t="n"/>
      <c r="N3047" s="47" t="inlineStr">
        <is>
          <t>UCKZo4N0lVPccBkSiuyVh4yg</t>
        </is>
      </c>
      <c r="O3047" s="48" t="n">
        <v>41394.16111111111</v>
      </c>
      <c r="P3047" s="49" t="n">
        <v>41393</v>
      </c>
      <c r="Q3047" s="47" t="n">
        <v>221</v>
      </c>
      <c r="R3047" s="47" t="inlineStr">
        <is>
          <t>No Video ID yet</t>
        </is>
      </c>
      <c r="S3047" s="49" t="n"/>
      <c r="T3047" s="49" t="n"/>
      <c r="U3047" s="47" t="inlineStr">
        <is>
          <t>What kind of shows are newsworthy to you? ... MOOOOOOOOOOO! TV WEEK IS FINALLY HERE! I've thought about so many ways to try and do this week before but am always faced with the same problem.. TV is massive! There are so many genre's and shows we could talk about but also so many people we could alienate if they arent familiar with the show - My thought was to just talk about my favorite shows, but then I also want you guys to be a part of this week since its FOR YOU! Anyway I guess the its up to Ben now to figure it out muwhahaha - thats one of my favorite things about this channel, that at any given point I can just ask ben to do something or promise he will do it on his behalf and he is somewhat obliged to do so - Of course he could just do the same to me at any given point.. I' surprised we dont take advantage of that more often - We really have not had any punishments to speak of this whole year - not that it was ever established that we would but really I always kind of thought that at some point it would come up - I really cant believe that to this point we have completed every single upload. Is anyone still reading this? I'll tell you what I really want to talk about more is</t>
        </is>
      </c>
      <c r="V3047" s="47">
        <f>IF(AND(P3047&gt;=Calendar!$K$2,P3047&lt;EDATE(Calendar!$K$2,1),OR(Calendar!$K$4="*",N3047=Calendar!$K$4)),P3047*100+COUNTIFS($P$6:$P$3267,P3047,$Q$6:$Q$3267,"&lt;="&amp;Q3047,$N$6:$N$3267,Calendar!$K$4),"")</f>
        <v/>
      </c>
      <c r="W3047" s="47">
        <f>IF(AND(B3047=Queue!$C$4,OR(Queue!$K$4="*",N3047=Queue!$K$4)),Q3047,"")</f>
        <v/>
      </c>
    </row>
    <row r="3048">
      <c r="A3048" s="38">
        <f>IF(M3048="","",HYPERLINK("https://www.youtube.com/watch?v="&amp;M3048,"▶"))</f>
        <v/>
      </c>
      <c r="B3048" s="39">
        <f>IF(C3048&lt;&gt;"",C3048,IF(P3048&lt;=IFERROR(INDEX(tblChannels[Watched Through],MATCH(N3048,tblChannels[Channel ID],0)),0),"Watched","Unwatched"))</f>
        <v/>
      </c>
      <c r="C3048" s="40" t="n"/>
      <c r="D3048" s="41" t="n"/>
      <c r="E3048" s="42" t="n">
        <v>41390.9875</v>
      </c>
      <c r="F3048" s="50" t="inlineStr">
        <is>
          <t>Super Carlin Brothers</t>
        </is>
      </c>
      <c r="G3048" t="inlineStr">
        <is>
          <t>Kickstarter</t>
        </is>
      </c>
      <c r="H3048" s="44" t="n">
        <v>0.002893518518518518</v>
      </c>
      <c r="I3048" s="45" t="n">
        <v>9238</v>
      </c>
      <c r="J3048" s="45" t="n">
        <v>206</v>
      </c>
      <c r="K3048" s="45" t="n">
        <v>152</v>
      </c>
      <c r="L3048" s="46" t="n"/>
      <c r="M3048" s="47" t="n"/>
      <c r="N3048" s="47" t="inlineStr">
        <is>
          <t>UCKZo4N0lVPccBkSiuyVh4yg</t>
        </is>
      </c>
      <c r="O3048" s="48" t="n">
        <v>41391.15416666667</v>
      </c>
      <c r="P3048" s="49" t="n">
        <v>41390</v>
      </c>
      <c r="Q3048" s="47" t="n">
        <v>220</v>
      </c>
      <c r="R3048" s="47" t="inlineStr">
        <is>
          <t>No Video ID yet</t>
        </is>
      </c>
      <c r="S3048" s="49" t="n"/>
      <c r="T3048" s="49" t="n"/>
      <c r="U3048" s="47" t="inlineStr">
        <is>
          <t>How do you feel about the rich and/or famous using kickstarter as a means for funding projects? I overthink everything. Maybe everyone does it... maybe they don't.. I definitely do. If something matters to me then that thought rolls its way around in my head relentlessly until something else distracts me or the concern is dealt with. But I will dwell on things that many people around me don't even remember happening. In high school this was a particularly big problem for me because there were so many things that felt like big problems... school, college, girls, sports, work, whether or not I was sleeping enough... I think watching Scrubs was my way of checking out. After a while I had seen the show through so many times that the story line wasn't my drive for watching.. It was so my mind could just sit easy for a little while. The funny thing about it is I've never actually seen the final couple seasons of the show. I sensed it taking a turn and I was too afraid to ruin something that had become so oddly important to me. Somehow ended up overthinking the thing that allow me not to overthink. Zach Braff Kickstarter Page:</t>
        </is>
      </c>
      <c r="V3048" s="47">
        <f>IF(AND(P3048&gt;=Calendar!$K$2,P3048&lt;EDATE(Calendar!$K$2,1),OR(Calendar!$K$4="*",N3048=Calendar!$K$4)),P3048*100+COUNTIFS($P$6:$P$3267,P3048,$Q$6:$Q$3267,"&lt;="&amp;Q3048,$N$6:$N$3267,Calendar!$K$4),"")</f>
        <v/>
      </c>
      <c r="W3048" s="47">
        <f>IF(AND(B3048=Queue!$C$4,OR(Queue!$K$4="*",N3048=Queue!$K$4)),Q3048,"")</f>
        <v/>
      </c>
    </row>
    <row r="3049">
      <c r="A3049" s="38">
        <f>IF(M3049="","",HYPERLINK("https://www.youtube.com/watch?v="&amp;M3049,"▶"))</f>
        <v/>
      </c>
      <c r="B3049" s="39">
        <f>IF(C3049&lt;&gt;"",C3049,IF(P3049&lt;=IFERROR(INDEX(tblChannels[Watched Through],MATCH(N3049,tblChannels[Channel ID],0)),0),"Watched","Unwatched"))</f>
        <v/>
      </c>
      <c r="C3049" s="40" t="n"/>
      <c r="D3049" s="41" t="n"/>
      <c r="E3049" s="42" t="n">
        <v>41389.95208333333</v>
      </c>
      <c r="F3049" s="50" t="inlineStr">
        <is>
          <t>Super Carlin Brothers</t>
        </is>
      </c>
      <c r="G3049" t="inlineStr">
        <is>
          <t>Why do we sneeze?</t>
        </is>
      </c>
      <c r="H3049" s="44" t="n">
        <v>0.003460648148148148</v>
      </c>
      <c r="I3049" s="45" t="n">
        <v>50864</v>
      </c>
      <c r="J3049" s="45" t="n">
        <v>917</v>
      </c>
      <c r="K3049" s="45" t="n">
        <v>299</v>
      </c>
      <c r="L3049" s="46" t="n"/>
      <c r="M3049" s="47" t="n"/>
      <c r="N3049" s="47" t="inlineStr">
        <is>
          <t>UCKZo4N0lVPccBkSiuyVh4yg</t>
        </is>
      </c>
      <c r="O3049" s="48" t="n">
        <v>41390.11875</v>
      </c>
      <c r="P3049" s="49" t="n">
        <v>41389</v>
      </c>
      <c r="Q3049" s="47" t="n">
        <v>219</v>
      </c>
      <c r="R3049" s="47" t="inlineStr">
        <is>
          <t>No Video ID yet</t>
        </is>
      </c>
      <c r="S3049" s="49" t="n"/>
      <c r="T3049" s="49" t="n"/>
      <c r="U3049" s="47" t="inlineStr">
        <is>
          <t>How many times do you have to say God Bless You in a chain of sneezes?</t>
        </is>
      </c>
      <c r="V3049" s="47">
        <f>IF(AND(P3049&gt;=Calendar!$K$2,P3049&lt;EDATE(Calendar!$K$2,1),OR(Calendar!$K$4="*",N3049=Calendar!$K$4)),P3049*100+COUNTIFS($P$6:$P$3267,P3049,$Q$6:$Q$3267,"&lt;="&amp;Q3049,$N$6:$N$3267,Calendar!$K$4),"")</f>
        <v/>
      </c>
      <c r="W3049" s="47">
        <f>IF(AND(B3049=Queue!$C$4,OR(Queue!$K$4="*",N3049=Queue!$K$4)),Q3049,"")</f>
        <v/>
      </c>
    </row>
    <row r="3050">
      <c r="A3050" s="38">
        <f>IF(M3050="","",HYPERLINK("https://www.youtube.com/watch?v="&amp;M3050,"▶"))</f>
        <v/>
      </c>
      <c r="B3050" s="39">
        <f>IF(C3050&lt;&gt;"",C3050,IF(P3050&lt;=IFERROR(INDEX(tblChannels[Watched Through],MATCH(N3050,tblChannels[Channel ID],0)),0),"Watched","Unwatched"))</f>
        <v/>
      </c>
      <c r="C3050" s="40" t="n"/>
      <c r="D3050" s="41" t="n"/>
      <c r="E3050" s="42" t="n">
        <v>41388.97569444445</v>
      </c>
      <c r="F3050" s="50" t="inlineStr">
        <is>
          <t>Super Carlin Brothers</t>
        </is>
      </c>
      <c r="G3050" t="inlineStr">
        <is>
          <t>Not a Controversial Topic</t>
        </is>
      </c>
      <c r="H3050" s="44" t="n">
        <v>0.002824074074074074</v>
      </c>
      <c r="I3050" s="45" t="n">
        <v>11256</v>
      </c>
      <c r="J3050" s="45" t="n">
        <v>221</v>
      </c>
      <c r="K3050" s="45" t="n">
        <v>38</v>
      </c>
      <c r="L3050" s="46" t="n"/>
      <c r="M3050" s="47" t="n"/>
      <c r="N3050" s="47" t="inlineStr">
        <is>
          <t>UCKZo4N0lVPccBkSiuyVh4yg</t>
        </is>
      </c>
      <c r="O3050" s="48" t="n">
        <v>41389.14236111111</v>
      </c>
      <c r="P3050" s="49" t="n">
        <v>41388</v>
      </c>
      <c r="Q3050" s="47" t="n">
        <v>218</v>
      </c>
      <c r="R3050" s="47" t="inlineStr">
        <is>
          <t>No Video ID yet</t>
        </is>
      </c>
      <c r="S3050" s="49" t="n"/>
      <c r="T3050" s="49" t="n"/>
      <c r="U3050" s="47" t="inlineStr">
        <is>
          <t>Is there anything you look back on and ask... why did I ever do that? So my desktop in this video is something that I look back on... and I sure as hell no why I did it. Because it's some of the best damn times I've ever had. What you see is my friends and I (including John, the architect) offroading. Which in itself had a tendency to get myself in trouble with the fuzz (we were so badass) my parents (blew out 3 tires, an alternator, and put countless scratches and dents in my hand-me-down isuzu trooper and sometimes just plain getting stuck. But we decided we could make it more interesting by car surfing... aka I drive and they ride on top of Sue (my troopers name). Looking back on these days I know that there were countless instances where we could have hurt ourselves... but damn if I don't miss feeling invincible. Thank you for watching :D!</t>
        </is>
      </c>
      <c r="V3050" s="47">
        <f>IF(AND(P3050&gt;=Calendar!$K$2,P3050&lt;EDATE(Calendar!$K$2,1),OR(Calendar!$K$4="*",N3050=Calendar!$K$4)),P3050*100+COUNTIFS($P$6:$P$3267,P3050,$Q$6:$Q$3267,"&lt;="&amp;Q3050,$N$6:$N$3267,Calendar!$K$4),"")</f>
        <v/>
      </c>
      <c r="W3050" s="47">
        <f>IF(AND(B3050=Queue!$C$4,OR(Queue!$K$4="*",N3050=Queue!$K$4)),Q3050,"")</f>
        <v/>
      </c>
    </row>
    <row r="3051">
      <c r="A3051" s="38">
        <f>IF(M3051="","",HYPERLINK("https://www.youtube.com/watch?v="&amp;M3051,"▶"))</f>
        <v/>
      </c>
      <c r="B3051" s="39">
        <f>IF(C3051&lt;&gt;"",C3051,IF(P3051&lt;=IFERROR(INDEX(tblChannels[Watched Through],MATCH(N3051,tblChannels[Channel ID],0)),0),"Watched","Unwatched"))</f>
        <v/>
      </c>
      <c r="C3051" s="40" t="n"/>
      <c r="D3051" s="41" t="n"/>
      <c r="E3051" s="42" t="n">
        <v>41387.96180555555</v>
      </c>
      <c r="F3051" s="50" t="inlineStr">
        <is>
          <t>Super Carlin Brothers</t>
        </is>
      </c>
      <c r="G3051" t="inlineStr">
        <is>
          <t>Weight Lifting Epiphany!</t>
        </is>
      </c>
      <c r="H3051" s="44" t="n">
        <v>0.003321759259259259</v>
      </c>
      <c r="I3051" s="45" t="n">
        <v>18055</v>
      </c>
      <c r="J3051" s="45" t="n">
        <v>448</v>
      </c>
      <c r="K3051" s="45" t="n">
        <v>59</v>
      </c>
      <c r="L3051" s="46" t="n"/>
      <c r="M3051" s="47" t="n"/>
      <c r="N3051" s="47" t="inlineStr">
        <is>
          <t>UCKZo4N0lVPccBkSiuyVh4yg</t>
        </is>
      </c>
      <c r="O3051" s="48" t="n">
        <v>41388.12847222222</v>
      </c>
      <c r="P3051" s="49" t="n">
        <v>41387</v>
      </c>
      <c r="Q3051" s="47" t="n">
        <v>217</v>
      </c>
      <c r="R3051" s="47" t="inlineStr">
        <is>
          <t>No Video ID yet</t>
        </is>
      </c>
      <c r="S3051" s="49" t="n"/>
      <c r="T3051" s="49" t="n"/>
      <c r="U3051" s="47" t="inlineStr">
        <is>
          <t>Have you ever redefined yourself or had a life changing epiphany?</t>
        </is>
      </c>
      <c r="V3051" s="47">
        <f>IF(AND(P3051&gt;=Calendar!$K$2,P3051&lt;EDATE(Calendar!$K$2,1),OR(Calendar!$K$4="*",N3051=Calendar!$K$4)),P3051*100+COUNTIFS($P$6:$P$3267,P3051,$Q$6:$Q$3267,"&lt;="&amp;Q3051,$N$6:$N$3267,Calendar!$K$4),"")</f>
        <v/>
      </c>
      <c r="W3051" s="47">
        <f>IF(AND(B3051=Queue!$C$4,OR(Queue!$K$4="*",N3051=Queue!$K$4)),Q3051,"")</f>
        <v/>
      </c>
    </row>
    <row r="3052">
      <c r="A3052" s="38">
        <f>IF(M3052="","",HYPERLINK("https://www.youtube.com/watch?v="&amp;M3052,"▶"))</f>
        <v/>
      </c>
      <c r="B3052" s="39">
        <f>IF(C3052&lt;&gt;"",C3052,IF(P3052&lt;=IFERROR(INDEX(tblChannels[Watched Through],MATCH(N3052,tblChannels[Channel ID],0)),0),"Watched","Unwatched"))</f>
        <v/>
      </c>
      <c r="C3052" s="40" t="n"/>
      <c r="D3052" s="41" t="n"/>
      <c r="E3052" s="42" t="n">
        <v>41387.00138888889</v>
      </c>
      <c r="F3052" s="50" t="inlineStr">
        <is>
          <t>Super Carlin Brothers</t>
        </is>
      </c>
      <c r="G3052" t="inlineStr">
        <is>
          <t>Negligence</t>
        </is>
      </c>
      <c r="H3052" s="44" t="n">
        <v>0.003101851851851852</v>
      </c>
      <c r="I3052" s="45" t="n">
        <v>10405</v>
      </c>
      <c r="J3052" s="45" t="n">
        <v>222</v>
      </c>
      <c r="K3052" s="45" t="n">
        <v>90</v>
      </c>
      <c r="L3052" s="46" t="n"/>
      <c r="M3052" s="47" t="n"/>
      <c r="N3052" s="47" t="inlineStr">
        <is>
          <t>UCKZo4N0lVPccBkSiuyVh4yg</t>
        </is>
      </c>
      <c r="O3052" s="48" t="n">
        <v>41387.16805555556</v>
      </c>
      <c r="P3052" s="49" t="n">
        <v>41387</v>
      </c>
      <c r="Q3052" s="47" t="n">
        <v>216</v>
      </c>
      <c r="R3052" s="47" t="inlineStr">
        <is>
          <t>No Video ID yet</t>
        </is>
      </c>
      <c r="S3052" s="49" t="n"/>
      <c r="T3052" s="49" t="n"/>
      <c r="U3052" s="47" t="inlineStr">
        <is>
          <t>Is it possible to draw the line on who receives help based on negligence? Is it fair to even suggest there should be a standard for one health? This was a strange observation my friend Trae and I noticed that really turned into a pretty lively conversation. We really sparked by talking about welfare and slowly whittled it down to the question: is there a line? is there a point where someone despite everything else doesn't qualify? And I don't know that I stand firmly on this point... I certainly can't imagine any circumstance where I would just say no to people that were in need. But for the sake of detached arguments and conversations I came to the conclusion that my stance would be on people who do not care for themselves. And it's not to say you have to be a super athlete... but just keeping yourself in check enough to where your own lack of effort isn't your demise. And the responsibility of prevention of that demise is placed on others. Thanks for watching!! :)</t>
        </is>
      </c>
      <c r="V3052" s="47">
        <f>IF(AND(P3052&gt;=Calendar!$K$2,P3052&lt;EDATE(Calendar!$K$2,1),OR(Calendar!$K$4="*",N3052=Calendar!$K$4)),P3052*100+COUNTIFS($P$6:$P$3267,P3052,$Q$6:$Q$3267,"&lt;="&amp;Q3052,$N$6:$N$3267,Calendar!$K$4),"")</f>
        <v/>
      </c>
      <c r="W3052" s="47">
        <f>IF(AND(B3052=Queue!$C$4,OR(Queue!$K$4="*",N3052=Queue!$K$4)),Q3052,"")</f>
        <v/>
      </c>
    </row>
    <row r="3053">
      <c r="A3053" s="38">
        <f>IF(M3053="","",HYPERLINK("https://www.youtube.com/watch?v="&amp;M3053,"▶"))</f>
        <v/>
      </c>
      <c r="B3053" s="39">
        <f>IF(C3053&lt;&gt;"",C3053,IF(P3053&lt;=IFERROR(INDEX(tblChannels[Watched Through],MATCH(N3053,tblChannels[Channel ID],0)),0),"Watched","Unwatched"))</f>
        <v/>
      </c>
      <c r="C3053" s="40" t="n"/>
      <c r="D3053" s="41" t="n"/>
      <c r="E3053" s="42" t="n">
        <v>41383.9375</v>
      </c>
      <c r="F3053" s="50" t="inlineStr">
        <is>
          <t>Super Carlin Brothers</t>
        </is>
      </c>
      <c r="G3053" t="inlineStr">
        <is>
          <t>I'M CRAZIER THAN YOU!</t>
        </is>
      </c>
      <c r="H3053" s="44" t="n">
        <v>0.003171296296296296</v>
      </c>
      <c r="I3053" s="45" t="n">
        <v>50669</v>
      </c>
      <c r="J3053" s="45" t="n">
        <v>1072</v>
      </c>
      <c r="K3053" s="45" t="n">
        <v>235</v>
      </c>
      <c r="L3053" s="46" t="n"/>
      <c r="M3053" s="47" t="n"/>
      <c r="N3053" s="47" t="inlineStr">
        <is>
          <t>UCKZo4N0lVPccBkSiuyVh4yg</t>
        </is>
      </c>
      <c r="O3053" s="48" t="n">
        <v>41384.10416666666</v>
      </c>
      <c r="P3053" s="49" t="n">
        <v>41383</v>
      </c>
      <c r="Q3053" s="47" t="n">
        <v>215</v>
      </c>
      <c r="R3053" s="47" t="inlineStr">
        <is>
          <t>No Video ID yet</t>
        </is>
      </c>
      <c r="S3053" s="49" t="n"/>
      <c r="T3053" s="49" t="n"/>
      <c r="U3053" s="47" t="inlineStr">
        <is>
          <t>Have you ever felt threatened by someone liking something you like more than you? GLOBAL SOUP:</t>
        </is>
      </c>
      <c r="V3053" s="47">
        <f>IF(AND(P3053&gt;=Calendar!$K$2,P3053&lt;EDATE(Calendar!$K$2,1),OR(Calendar!$K$4="*",N3053=Calendar!$K$4)),P3053*100+COUNTIFS($P$6:$P$3267,P3053,$Q$6:$Q$3267,"&lt;="&amp;Q3053,$N$6:$N$3267,Calendar!$K$4),"")</f>
        <v/>
      </c>
      <c r="W3053" s="47">
        <f>IF(AND(B3053=Queue!$C$4,OR(Queue!$K$4="*",N3053=Queue!$K$4)),Q3053,"")</f>
        <v/>
      </c>
    </row>
    <row r="3054">
      <c r="A3054" s="38">
        <f>IF(M3054="","",HYPERLINK("https://www.youtube.com/watch?v="&amp;M3054,"▶"))</f>
        <v/>
      </c>
      <c r="B3054" s="39">
        <f>IF(C3054&lt;&gt;"",C3054,IF(P3054&lt;=IFERROR(INDEX(tblChannels[Watched Through],MATCH(N3054,tblChannels[Channel ID],0)),0),"Watched","Unwatched"))</f>
        <v/>
      </c>
      <c r="C3054" s="40" t="n"/>
      <c r="D3054" s="41" t="n"/>
      <c r="E3054" s="42" t="n">
        <v>41382.93541666667</v>
      </c>
      <c r="F3054" s="50" t="inlineStr">
        <is>
          <t>Super Carlin Brothers</t>
        </is>
      </c>
      <c r="G3054" t="inlineStr">
        <is>
          <t>People are Crazy</t>
        </is>
      </c>
      <c r="H3054" s="44" t="n">
        <v>0.002210648148148148</v>
      </c>
      <c r="I3054" s="45" t="n">
        <v>11916</v>
      </c>
      <c r="J3054" s="45" t="n">
        <v>237</v>
      </c>
      <c r="K3054" s="45" t="n">
        <v>88</v>
      </c>
      <c r="L3054" s="46" t="n"/>
      <c r="M3054" s="47" t="n"/>
      <c r="N3054" s="47" t="inlineStr">
        <is>
          <t>UCKZo4N0lVPccBkSiuyVh4yg</t>
        </is>
      </c>
      <c r="O3054" s="48" t="n">
        <v>41383.10208333333</v>
      </c>
      <c r="P3054" s="49" t="n">
        <v>41382</v>
      </c>
      <c r="Q3054" s="47" t="n">
        <v>214</v>
      </c>
      <c r="R3054" s="47" t="inlineStr">
        <is>
          <t>No Video ID yet</t>
        </is>
      </c>
      <c r="S3054" s="49" t="n"/>
      <c r="T3054" s="49" t="n"/>
      <c r="U3054" s="47" t="inlineStr">
        <is>
          <t>What is your crazy! Since it's your crazy... these comments should be particularly interesting. Unless you know someone with a pacu... OKAY. There is a lot I can say about this video topic and why I chose it. When I wrote it... I almost scrapped the entire thing because I felt like I was going to come across as an ass... Hopefully that wasn't the case. Two big reasons why knowing more in depth what goes on beyond the surface. First being the reason I said... lots and lots and lots of conversations and trying to pretend to have the reaction fitting to their expectation of how crazy their story was. This is a fault even I am guilty of and even with aquariums... When I first met my mentor (yes there is such a thing as a fish yoda) I asked him all sorts of questions that in the grand scheme of things were not great questions. They weren't questions that were going to help me further my success and better emulate his business model (which was the goal). Now when I spend time with him I see other people come up and ask the exact questions I asked upon first meeting him. And it puts a pit in my stomach that I once didn't know the answer to that question or that I even thought it was a que</t>
        </is>
      </c>
      <c r="V3054" s="47">
        <f>IF(AND(P3054&gt;=Calendar!$K$2,P3054&lt;EDATE(Calendar!$K$2,1),OR(Calendar!$K$4="*",N3054=Calendar!$K$4)),P3054*100+COUNTIFS($P$6:$P$3267,P3054,$Q$6:$Q$3267,"&lt;="&amp;Q3054,$N$6:$N$3267,Calendar!$K$4),"")</f>
        <v/>
      </c>
      <c r="W3054" s="47">
        <f>IF(AND(B3054=Queue!$C$4,OR(Queue!$K$4="*",N3054=Queue!$K$4)),Q3054,"")</f>
        <v/>
      </c>
    </row>
    <row r="3055">
      <c r="A3055" s="38">
        <f>IF(M3055="","",HYPERLINK("https://www.youtube.com/watch?v="&amp;M3055,"▶"))</f>
        <v/>
      </c>
      <c r="B3055" s="39">
        <f>IF(C3055&lt;&gt;"",C3055,IF(P3055&lt;=IFERROR(INDEX(tblChannels[Watched Through],MATCH(N3055,tblChannels[Channel ID],0)),0),"Watched","Unwatched"))</f>
        <v/>
      </c>
      <c r="C3055" s="40" t="n"/>
      <c r="D3055" s="41" t="n"/>
      <c r="E3055" s="42" t="n">
        <v>41381.975</v>
      </c>
      <c r="F3055" s="50" t="inlineStr">
        <is>
          <t>Super Carlin Brothers</t>
        </is>
      </c>
      <c r="G3055" t="inlineStr">
        <is>
          <t>Fan of Creation = Fan of Creator?</t>
        </is>
      </c>
      <c r="H3055" s="44" t="n">
        <v>0.003252314814814815</v>
      </c>
      <c r="I3055" s="45" t="n">
        <v>24418</v>
      </c>
      <c r="J3055" s="45" t="n">
        <v>486</v>
      </c>
      <c r="K3055" s="45" t="n">
        <v>109</v>
      </c>
      <c r="L3055" s="46" t="n"/>
      <c r="M3055" s="47" t="n"/>
      <c r="N3055" s="47" t="inlineStr">
        <is>
          <t>UCKZo4N0lVPccBkSiuyVh4yg</t>
        </is>
      </c>
      <c r="O3055" s="48" t="n">
        <v>41382.14166666667</v>
      </c>
      <c r="P3055" s="49" t="n">
        <v>41381</v>
      </c>
      <c r="Q3055" s="47" t="n">
        <v>213</v>
      </c>
      <c r="R3055" s="47" t="inlineStr">
        <is>
          <t>No Video ID yet</t>
        </is>
      </c>
      <c r="S3055" s="49" t="n"/>
      <c r="T3055" s="49" t="n"/>
      <c r="U3055" s="47" t="inlineStr">
        <is>
          <t>Should your fandom of something you love be affected by the creators personal life?</t>
        </is>
      </c>
      <c r="V3055" s="47">
        <f>IF(AND(P3055&gt;=Calendar!$K$2,P3055&lt;EDATE(Calendar!$K$2,1),OR(Calendar!$K$4="*",N3055=Calendar!$K$4)),P3055*100+COUNTIFS($P$6:$P$3267,P3055,$Q$6:$Q$3267,"&lt;="&amp;Q3055,$N$6:$N$3267,Calendar!$K$4),"")</f>
        <v/>
      </c>
      <c r="W3055" s="47">
        <f>IF(AND(B3055=Queue!$C$4,OR(Queue!$K$4="*",N3055=Queue!$K$4)),Q3055,"")</f>
        <v/>
      </c>
    </row>
    <row r="3056">
      <c r="A3056" s="38">
        <f>IF(M3056="","",HYPERLINK("https://www.youtube.com/watch?v="&amp;M3056,"▶"))</f>
        <v/>
      </c>
      <c r="B3056" s="39">
        <f>IF(C3056&lt;&gt;"",C3056,IF(P3056&lt;=IFERROR(INDEX(tblChannels[Watched Through],MATCH(N3056,tblChannels[Channel ID],0)),0),"Watched","Unwatched"))</f>
        <v/>
      </c>
      <c r="C3056" s="40" t="n"/>
      <c r="D3056" s="41" t="n"/>
      <c r="E3056" s="42" t="n">
        <v>41380.94444444445</v>
      </c>
      <c r="F3056" s="50" t="inlineStr">
        <is>
          <t>Super Carlin Brothers</t>
        </is>
      </c>
      <c r="G3056" t="inlineStr">
        <is>
          <t>Should We Talk About It?</t>
        </is>
      </c>
      <c r="H3056" s="44" t="n">
        <v>0.002395833333333333</v>
      </c>
      <c r="I3056" s="45" t="n">
        <v>10331</v>
      </c>
      <c r="J3056" s="45" t="n">
        <v>204</v>
      </c>
      <c r="K3056" s="45" t="n">
        <v>39</v>
      </c>
      <c r="L3056" s="46" t="n"/>
      <c r="M3056" s="47" t="n"/>
      <c r="N3056" s="47" t="inlineStr">
        <is>
          <t>UCKZo4N0lVPccBkSiuyVh4yg</t>
        </is>
      </c>
      <c r="O3056" s="48" t="n">
        <v>41381.11111111111</v>
      </c>
      <c r="P3056" s="49" t="n">
        <v>41380</v>
      </c>
      <c r="Q3056" s="47" t="n">
        <v>212</v>
      </c>
      <c r="R3056" s="47" t="inlineStr">
        <is>
          <t>No Video ID yet</t>
        </is>
      </c>
      <c r="S3056" s="49" t="n"/>
      <c r="T3056" s="49" t="n"/>
      <c r="U3056" s="47" t="inlineStr">
        <is>
          <t>Weighing this thought for me quickly turns into a perpetual teeter totter. I hate the idea of "sugar coated" media as much as I have concern for the effects plastering the headlines with the latest tragedy... There are certainly families of victims to think about... as great as it is to highlight the amazing efforts of those people who risked their lives in the efforts to save others... Showing these heroes and throwing a positive spin on a tragedy would lack a necessary compassion for those who fell. I do not believe the world is filled with terrible people... When these events air people from all over send their prayers, words of support, financial contributions, food and water. My concern is desensitization... not only in the minds of the masses... but the twisted. A fear of competition to inflict terror. A bar that is set. But not only set, mounted with a target, a target that only get higher as that bar rises. Like I said. I don't know where I stand. Maybe there isn't a right and wrong answer to this one.</t>
        </is>
      </c>
      <c r="V3056" s="47">
        <f>IF(AND(P3056&gt;=Calendar!$K$2,P3056&lt;EDATE(Calendar!$K$2,1),OR(Calendar!$K$4="*",N3056=Calendar!$K$4)),P3056*100+COUNTIFS($P$6:$P$3267,P3056,$Q$6:$Q$3267,"&lt;="&amp;Q3056,$N$6:$N$3267,Calendar!$K$4),"")</f>
        <v/>
      </c>
      <c r="W3056" s="47">
        <f>IF(AND(B3056=Queue!$C$4,OR(Queue!$K$4="*",N3056=Queue!$K$4)),Q3056,"")</f>
        <v/>
      </c>
    </row>
    <row r="3057">
      <c r="A3057" s="38">
        <f>IF(M3057="","",HYPERLINK("https://www.youtube.com/watch?v="&amp;M3057,"▶"))</f>
        <v/>
      </c>
      <c r="B3057" s="39">
        <f>IF(C3057&lt;&gt;"",C3057,IF(P3057&lt;=IFERROR(INDEX(tblChannels[Watched Through],MATCH(N3057,tblChannels[Channel ID],0)),0),"Watched","Unwatched"))</f>
        <v/>
      </c>
      <c r="C3057" s="40" t="n"/>
      <c r="D3057" s="41" t="n"/>
      <c r="E3057" s="42" t="n">
        <v>41379.95347222222</v>
      </c>
      <c r="F3057" s="50" t="inlineStr">
        <is>
          <t>Super Carlin Brothers</t>
        </is>
      </c>
      <c r="G3057" t="inlineStr">
        <is>
          <t>The Manly Horse Paradox</t>
        </is>
      </c>
      <c r="H3057" s="44" t="n">
        <v>0.002777777777777778</v>
      </c>
      <c r="I3057" s="45" t="n">
        <v>62424</v>
      </c>
      <c r="J3057" s="45" t="n">
        <v>1191</v>
      </c>
      <c r="K3057" s="45" t="n">
        <v>384</v>
      </c>
      <c r="L3057" s="46" t="n"/>
      <c r="M3057" s="47" t="n"/>
      <c r="N3057" s="47" t="inlineStr">
        <is>
          <t>UCKZo4N0lVPccBkSiuyVh4yg</t>
        </is>
      </c>
      <c r="O3057" s="48" t="n">
        <v>41380.12013888889</v>
      </c>
      <c r="P3057" s="49" t="n">
        <v>41379</v>
      </c>
      <c r="Q3057" s="47" t="n">
        <v>211</v>
      </c>
      <c r="R3057" s="47" t="inlineStr">
        <is>
          <t>No Video ID yet</t>
        </is>
      </c>
      <c r="S3057" s="49" t="n"/>
      <c r="T3057" s="49" t="n"/>
      <c r="U3057" s="47" t="inlineStr">
        <is>
          <t>What do you think is oddly assigned to one gender or to both? Yes, 4H camp is where all the cool kids went to summer camp but I have no idea how I ended up in Horse Back Riding. I was told it was very hard to get into because it was so popular, but that just made me feel bad cause I was obviously taking the spot of someone who really wanted to do horseback riding. Sucker. Of course it takes them like 2 days to even let you get on the horse and even then you only get to slowly gallop around. The horse they let me ride was the biggest one there cause ya know I was so brave and stuff his name was Big Tex. I also got a certificate for excellence in canoeing that year. BOOM!</t>
        </is>
      </c>
      <c r="V3057" s="47">
        <f>IF(AND(P3057&gt;=Calendar!$K$2,P3057&lt;EDATE(Calendar!$K$2,1),OR(Calendar!$K$4="*",N3057=Calendar!$K$4)),P3057*100+COUNTIFS($P$6:$P$3267,P3057,$Q$6:$Q$3267,"&lt;="&amp;Q3057,$N$6:$N$3267,Calendar!$K$4),"")</f>
        <v/>
      </c>
      <c r="W3057" s="47">
        <f>IF(AND(B3057=Queue!$C$4,OR(Queue!$K$4="*",N3057=Queue!$K$4)),Q3057,"")</f>
        <v/>
      </c>
    </row>
    <row r="3058">
      <c r="A3058" s="38">
        <f>IF(M3058="","",HYPERLINK("https://www.youtube.com/watch?v="&amp;M3058,"▶"))</f>
        <v/>
      </c>
      <c r="B3058" s="39">
        <f>IF(C3058&lt;&gt;"",C3058,IF(P3058&lt;=IFERROR(INDEX(tblChannels[Watched Through],MATCH(N3058,tblChannels[Channel ID],0)),0),"Watched","Unwatched"))</f>
        <v/>
      </c>
      <c r="C3058" s="40" t="n"/>
      <c r="D3058" s="41" t="n"/>
      <c r="E3058" s="42" t="n">
        <v>41376.96388888889</v>
      </c>
      <c r="F3058" s="50" t="inlineStr">
        <is>
          <t>Super Carlin Brothers</t>
        </is>
      </c>
      <c r="G3058" t="inlineStr">
        <is>
          <t>A Day With Ben</t>
        </is>
      </c>
      <c r="H3058" s="44" t="n">
        <v>0.00431712962962963</v>
      </c>
      <c r="I3058" s="45" t="n">
        <v>19658</v>
      </c>
      <c r="J3058" s="45" t="n">
        <v>449</v>
      </c>
      <c r="K3058" s="45" t="n">
        <v>92</v>
      </c>
      <c r="L3058" s="46" t="n"/>
      <c r="M3058" s="47" t="n"/>
      <c r="N3058" s="47" t="inlineStr">
        <is>
          <t>UCKZo4N0lVPccBkSiuyVh4yg</t>
        </is>
      </c>
      <c r="O3058" s="48" t="n">
        <v>41377.13055555556</v>
      </c>
      <c r="P3058" s="49" t="n">
        <v>41376</v>
      </c>
      <c r="Q3058" s="47" t="n">
        <v>210</v>
      </c>
      <c r="R3058" s="47" t="inlineStr">
        <is>
          <t>No Video ID yet</t>
        </is>
      </c>
      <c r="S3058" s="49" t="n"/>
      <c r="T3058" s="49" t="n"/>
      <c r="U3058" s="47" t="inlineStr">
        <is>
          <t>What are your greatest pet peeve. Rant about it. Okay so owning my own business has been a bit of an experience over the past year since I graduated from college. It has been a time that included some great things and some frustrating things. But when I graduated the museum I referenced in the video was supposed to only be a few months out... Meaning the big exciting work wasn't that far off. Unfortunately construction delays have been a huge problem throughout the year meaning I've just had to keep pushing back when life really gets to start. I tend to be strange about my autonomous life. It's nice a lot of the time because I don't have anyone breathing down my neck and I tend to hold fairly high standards for my work without it. The troubling thing is having no one to ever talk to. To even bounce ideas around with. More often than not I will call one of my parents, J, or Kayla. And start talking about a plumbing concept I'm trying to work over in my head. They have no idea what I'm really talking about but having a sounding board is amazing. Never underestimate how good it is to have someone to share your ideas with. People respond to different things in incredibly different ways</t>
        </is>
      </c>
      <c r="V3058" s="47">
        <f>IF(AND(P3058&gt;=Calendar!$K$2,P3058&lt;EDATE(Calendar!$K$2,1),OR(Calendar!$K$4="*",N3058=Calendar!$K$4)),P3058*100+COUNTIFS($P$6:$P$3267,P3058,$Q$6:$Q$3267,"&lt;="&amp;Q3058,$N$6:$N$3267,Calendar!$K$4),"")</f>
        <v/>
      </c>
      <c r="W3058" s="47">
        <f>IF(AND(B3058=Queue!$C$4,OR(Queue!$K$4="*",N3058=Queue!$K$4)),Q3058,"")</f>
        <v/>
      </c>
    </row>
    <row r="3059">
      <c r="A3059" s="38">
        <f>IF(M3059="","",HYPERLINK("https://www.youtube.com/watch?v="&amp;M3059,"▶"))</f>
        <v/>
      </c>
      <c r="B3059" s="39">
        <f>IF(C3059&lt;&gt;"",C3059,IF(P3059&lt;=IFERROR(INDEX(tblChannels[Watched Through],MATCH(N3059,tblChannels[Channel ID],0)),0),"Watched","Unwatched"))</f>
        <v/>
      </c>
      <c r="C3059" s="40" t="n"/>
      <c r="D3059" s="41" t="n"/>
      <c r="E3059" s="42" t="n">
        <v>41375.97569444445</v>
      </c>
      <c r="F3059" s="50" t="inlineStr">
        <is>
          <t>Super Carlin Brothers</t>
        </is>
      </c>
      <c r="G3059" t="inlineStr">
        <is>
          <t>Good Grief</t>
        </is>
      </c>
      <c r="H3059" s="44" t="n">
        <v>0.002106481481481481</v>
      </c>
      <c r="I3059" s="45" t="n">
        <v>16797</v>
      </c>
      <c r="J3059" s="45" t="n">
        <v>407</v>
      </c>
      <c r="K3059" s="45" t="n">
        <v>141</v>
      </c>
      <c r="L3059" s="46" t="n"/>
      <c r="M3059" s="47" t="n"/>
      <c r="N3059" s="47" t="inlineStr">
        <is>
          <t>UCKZo4N0lVPccBkSiuyVh4yg</t>
        </is>
      </c>
      <c r="O3059" s="48" t="n">
        <v>41376.14236111111</v>
      </c>
      <c r="P3059" s="49" t="n">
        <v>41375</v>
      </c>
      <c r="Q3059" s="47" t="n">
        <v>209</v>
      </c>
      <c r="R3059" s="47" t="inlineStr">
        <is>
          <t>No Video ID yet</t>
        </is>
      </c>
      <c r="S3059" s="49" t="n"/>
      <c r="T3059" s="49" t="n"/>
      <c r="U3059" s="47" t="inlineStr">
        <is>
          <t>How do you grieve and/or what have you grieved over? One of the worst nights of my life was when my best friend John called me, balling his eyes out, something I have never even thought John capable of doing, and just kept repeating, "He's Gone!" After finally calming him down I got him to piece together that his dad had suffered a fatal heart attack out of complete nowhere. I had no idea what to do and had never experienced death before. He asked me to call Ben and our friend Mike because he just couldn't do it. I spent the rest of the night wandering aimlessly around campus, trying to call Ben and Mike and anyone would would listen to me. Ultimately I called Beth, were broken up at the time and had not spoken in months, but I knew she was the only person that could possibly make me feel better. She did, and now here we are.</t>
        </is>
      </c>
      <c r="V3059" s="47">
        <f>IF(AND(P3059&gt;=Calendar!$K$2,P3059&lt;EDATE(Calendar!$K$2,1),OR(Calendar!$K$4="*",N3059=Calendar!$K$4)),P3059*100+COUNTIFS($P$6:$P$3267,P3059,$Q$6:$Q$3267,"&lt;="&amp;Q3059,$N$6:$N$3267,Calendar!$K$4),"")</f>
        <v/>
      </c>
      <c r="W3059" s="47">
        <f>IF(AND(B3059=Queue!$C$4,OR(Queue!$K$4="*",N3059=Queue!$K$4)),Q3059,"")</f>
        <v/>
      </c>
    </row>
    <row r="3060">
      <c r="A3060" s="38">
        <f>IF(M3060="","",HYPERLINK("https://www.youtube.com/watch?v="&amp;M3060,"▶"))</f>
        <v/>
      </c>
      <c r="B3060" s="39">
        <f>IF(C3060&lt;&gt;"",C3060,IF(P3060&lt;=IFERROR(INDEX(tblChannels[Watched Through],MATCH(N3060,tblChannels[Channel ID],0)),0),"Watched","Unwatched"))</f>
        <v/>
      </c>
      <c r="C3060" s="40" t="n"/>
      <c r="D3060" s="41" t="n"/>
      <c r="E3060" s="42" t="n">
        <v>41374.97291666667</v>
      </c>
      <c r="F3060" s="50" t="inlineStr">
        <is>
          <t>Super Carlin Brothers</t>
        </is>
      </c>
      <c r="G3060" t="inlineStr">
        <is>
          <t>Joel...</t>
        </is>
      </c>
      <c r="H3060" s="44" t="n">
        <v>0.001180555555555556</v>
      </c>
      <c r="I3060" s="45" t="n">
        <v>10075</v>
      </c>
      <c r="J3060" s="45" t="n">
        <v>222</v>
      </c>
      <c r="K3060" s="45" t="n">
        <v>47</v>
      </c>
      <c r="L3060" s="46" t="n"/>
      <c r="M3060" s="47" t="n"/>
      <c r="N3060" s="47" t="inlineStr">
        <is>
          <t>UCKZo4N0lVPccBkSiuyVh4yg</t>
        </is>
      </c>
      <c r="O3060" s="48" t="n">
        <v>41375.13958333333</v>
      </c>
      <c r="P3060" s="49" t="n">
        <v>41374</v>
      </c>
      <c r="Q3060" s="47" t="n">
        <v>208</v>
      </c>
      <c r="R3060" s="47" t="inlineStr">
        <is>
          <t>No Video ID yet</t>
        </is>
      </c>
      <c r="S3060" s="49" t="n"/>
      <c r="T3060" s="49" t="n"/>
      <c r="U3060" s="47" t="inlineStr">
        <is>
          <t>Have you ever had something stolen (In 4th grade I stole a Chansey Pokemon card from a class mate... sorry dude) or lost something important that you could never find/recover? I had this red binder thing that held my pokemon cards which were sorted by my gut feeling of how rare they were... Chansey had 120 hp... I wanted that. Charizard, which I pegged as rarest card... also had 120 hp... they don't just hand that shit out. If you read this... also what was your favorite ORIGINAL pokemon card. i'm talking first 150 ya'll. I would always stack my deck with a card called "Bill" which allowed you to draw to cards. I feel quite certain it was breaking some kind of rule... having like seventeen of these in my deck... but who cares jonathan always beat me anyway... I'm interested to see how many people actually read the description? I kinda want to start making this more interesting.</t>
        </is>
      </c>
      <c r="V3060" s="47">
        <f>IF(AND(P3060&gt;=Calendar!$K$2,P3060&lt;EDATE(Calendar!$K$2,1),OR(Calendar!$K$4="*",N3060=Calendar!$K$4)),P3060*100+COUNTIFS($P$6:$P$3267,P3060,$Q$6:$Q$3267,"&lt;="&amp;Q3060,$N$6:$N$3267,Calendar!$K$4),"")</f>
        <v/>
      </c>
      <c r="W3060" s="47">
        <f>IF(AND(B3060=Queue!$C$4,OR(Queue!$K$4="*",N3060=Queue!$K$4)),Q3060,"")</f>
        <v/>
      </c>
    </row>
    <row r="3061">
      <c r="A3061" s="38">
        <f>IF(M3061="","",HYPERLINK("https://www.youtube.com/watch?v="&amp;M3061,"▶"))</f>
        <v/>
      </c>
      <c r="B3061" s="39">
        <f>IF(C3061&lt;&gt;"",C3061,IF(P3061&lt;=IFERROR(INDEX(tblChannels[Watched Through],MATCH(N3061,tblChannels[Channel ID],0)),0),"Watched","Unwatched"))</f>
        <v/>
      </c>
      <c r="C3061" s="40" t="n"/>
      <c r="D3061" s="41" t="n"/>
      <c r="E3061" s="42" t="n">
        <v>41373.92638888889</v>
      </c>
      <c r="F3061" s="50" t="inlineStr">
        <is>
          <t>Super Carlin Brothers</t>
        </is>
      </c>
      <c r="G3061" t="inlineStr">
        <is>
          <t>SINGING IN THE CAR! - J's Top 25</t>
        </is>
      </c>
      <c r="H3061" s="44" t="n">
        <v>0.004803240740740741</v>
      </c>
      <c r="I3061" s="45" t="n">
        <v>45677</v>
      </c>
      <c r="J3061" s="45" t="n">
        <v>1056</v>
      </c>
      <c r="K3061" s="45" t="n">
        <v>293</v>
      </c>
      <c r="L3061" s="46" t="n"/>
      <c r="M3061" s="47" t="n"/>
      <c r="N3061" s="47" t="inlineStr">
        <is>
          <t>UCKZo4N0lVPccBkSiuyVh4yg</t>
        </is>
      </c>
      <c r="O3061" s="48" t="n">
        <v>41374.09305555555</v>
      </c>
      <c r="P3061" s="49" t="n">
        <v>41373</v>
      </c>
      <c r="Q3061" s="47" t="n">
        <v>207</v>
      </c>
      <c r="R3061" s="47" t="inlineStr">
        <is>
          <t>No Video ID yet</t>
        </is>
      </c>
      <c r="S3061" s="49" t="n"/>
      <c r="T3061" s="49" t="n"/>
      <c r="U3061" s="47" t="inlineStr">
        <is>
          <t>What is the top played song in your iTunes library?</t>
        </is>
      </c>
      <c r="V3061" s="47">
        <f>IF(AND(P3061&gt;=Calendar!$K$2,P3061&lt;EDATE(Calendar!$K$2,1),OR(Calendar!$K$4="*",N3061=Calendar!$K$4)),P3061*100+COUNTIFS($P$6:$P$3267,P3061,$Q$6:$Q$3267,"&lt;="&amp;Q3061,$N$6:$N$3267,Calendar!$K$4),"")</f>
        <v/>
      </c>
      <c r="W3061" s="47">
        <f>IF(AND(B3061=Queue!$C$4,OR(Queue!$K$4="*",N3061=Queue!$K$4)),Q3061,"")</f>
        <v/>
      </c>
    </row>
    <row r="3062">
      <c r="A3062" s="38">
        <f>IF(M3062="","",HYPERLINK("https://www.youtube.com/watch?v="&amp;M3062,"▶"))</f>
        <v/>
      </c>
      <c r="B3062" s="39">
        <f>IF(C3062&lt;&gt;"",C3062,IF(P3062&lt;=IFERROR(INDEX(tblChannels[Watched Through],MATCH(N3062,tblChannels[Channel ID],0)),0),"Watched","Unwatched"))</f>
        <v/>
      </c>
      <c r="C3062" s="40" t="n"/>
      <c r="D3062" s="41" t="n"/>
      <c r="E3062" s="42" t="n">
        <v>41372.97152777778</v>
      </c>
      <c r="F3062" s="50" t="inlineStr">
        <is>
          <t>Super Carlin Brothers</t>
        </is>
      </c>
      <c r="G3062" t="inlineStr">
        <is>
          <t>Social Media Development</t>
        </is>
      </c>
      <c r="H3062" s="44" t="n">
        <v>0.003564814814814815</v>
      </c>
      <c r="I3062" s="45" t="n">
        <v>10596</v>
      </c>
      <c r="J3062" s="45" t="n">
        <v>223</v>
      </c>
      <c r="K3062" s="45" t="n">
        <v>32</v>
      </c>
      <c r="L3062" s="46" t="n"/>
      <c r="M3062" s="47" t="n"/>
      <c r="N3062" s="47" t="inlineStr">
        <is>
          <t>UCKZo4N0lVPccBkSiuyVh4yg</t>
        </is>
      </c>
      <c r="O3062" s="48" t="n">
        <v>41373.13819444444</v>
      </c>
      <c r="P3062" s="49" t="n">
        <v>41372</v>
      </c>
      <c r="Q3062" s="47" t="n">
        <v>206</v>
      </c>
      <c r="R3062" s="47" t="inlineStr">
        <is>
          <t>No Video ID yet</t>
        </is>
      </c>
      <c r="S3062" s="49" t="n"/>
      <c r="T3062" s="49" t="n"/>
      <c r="U3062" s="47" t="inlineStr">
        <is>
          <t>Specifically why do you like your favorite social media site? Have you ever thought about your shift away from facebook? Did you have a shift from facebook: Meaning starting your social media career on facebook and then branching or just starting somewhere else? Mail stuff here: We friggin love it, and we will show it.</t>
        </is>
      </c>
      <c r="V3062" s="47">
        <f>IF(AND(P3062&gt;=Calendar!$K$2,P3062&lt;EDATE(Calendar!$K$2,1),OR(Calendar!$K$4="*",N3062=Calendar!$K$4)),P3062*100+COUNTIFS($P$6:$P$3267,P3062,$Q$6:$Q$3267,"&lt;="&amp;Q3062,$N$6:$N$3267,Calendar!$K$4),"")</f>
        <v/>
      </c>
      <c r="W3062" s="47">
        <f>IF(AND(B3062=Queue!$C$4,OR(Queue!$K$4="*",N3062=Queue!$K$4)),Q3062,"")</f>
        <v/>
      </c>
    </row>
    <row r="3063">
      <c r="A3063" s="38">
        <f>IF(M3063="","",HYPERLINK("https://www.youtube.com/watch?v="&amp;M3063,"▶"))</f>
        <v/>
      </c>
      <c r="B3063" s="39">
        <f>IF(C3063&lt;&gt;"",C3063,IF(P3063&lt;=IFERROR(INDEX(tblChannels[Watched Through],MATCH(N3063,tblChannels[Channel ID],0)),0),"Watched","Unwatched"))</f>
        <v/>
      </c>
      <c r="C3063" s="40" t="n"/>
      <c r="D3063" s="41" t="n"/>
      <c r="E3063" s="42" t="n">
        <v>41369.71319444444</v>
      </c>
      <c r="F3063" s="50" t="inlineStr">
        <is>
          <t>Super Carlin Brothers</t>
        </is>
      </c>
      <c r="G3063" t="inlineStr">
        <is>
          <t>When is Art Finished?</t>
        </is>
      </c>
      <c r="H3063" s="44" t="n">
        <v>0.002696759259259259</v>
      </c>
      <c r="I3063" s="45" t="n">
        <v>24648</v>
      </c>
      <c r="J3063" s="45" t="n">
        <v>585</v>
      </c>
      <c r="K3063" s="45" t="n">
        <v>156</v>
      </c>
      <c r="L3063" s="46" t="n"/>
      <c r="M3063" s="47" t="n"/>
      <c r="N3063" s="47" t="inlineStr">
        <is>
          <t>UCKZo4N0lVPccBkSiuyVh4yg</t>
        </is>
      </c>
      <c r="O3063" s="48" t="n">
        <v>41369.87986111111</v>
      </c>
      <c r="P3063" s="49" t="n">
        <v>41369</v>
      </c>
      <c r="Q3063" s="47" t="n">
        <v>205</v>
      </c>
      <c r="R3063" s="47" t="inlineStr">
        <is>
          <t>No Video ID yet</t>
        </is>
      </c>
      <c r="S3063" s="49" t="n"/>
      <c r="T3063" s="49" t="n"/>
      <c r="U3063" s="47" t="inlineStr">
        <is>
          <t>When do you know your creation is done and needs no more modification?</t>
        </is>
      </c>
      <c r="V3063" s="47">
        <f>IF(AND(P3063&gt;=Calendar!$K$2,P3063&lt;EDATE(Calendar!$K$2,1),OR(Calendar!$K$4="*",N3063=Calendar!$K$4)),P3063*100+COUNTIFS($P$6:$P$3267,P3063,$Q$6:$Q$3267,"&lt;="&amp;Q3063,$N$6:$N$3267,Calendar!$K$4),"")</f>
        <v/>
      </c>
      <c r="W3063" s="47">
        <f>IF(AND(B3063=Queue!$C$4,OR(Queue!$K$4="*",N3063=Queue!$K$4)),Q3063,"")</f>
        <v/>
      </c>
    </row>
    <row r="3064">
      <c r="A3064" s="38">
        <f>IF(M3064="","",HYPERLINK("https://www.youtube.com/watch?v="&amp;M3064,"▶"))</f>
        <v/>
      </c>
      <c r="B3064" s="39">
        <f>IF(C3064&lt;&gt;"",C3064,IF(P3064&lt;=IFERROR(INDEX(tblChannels[Watched Through],MATCH(N3064,tblChannels[Channel ID],0)),0),"Watched","Unwatched"))</f>
        <v/>
      </c>
      <c r="C3064" s="40" t="n"/>
      <c r="D3064" s="41" t="n"/>
      <c r="E3064" s="42" t="n">
        <v>41368.82430555556</v>
      </c>
      <c r="F3064" s="50" t="inlineStr">
        <is>
          <t>Super Carlin Brothers</t>
        </is>
      </c>
      <c r="G3064" t="inlineStr">
        <is>
          <t>Sick Days</t>
        </is>
      </c>
      <c r="H3064" s="44" t="n">
        <v>0.002604166666666667</v>
      </c>
      <c r="I3064" s="45" t="n">
        <v>13139</v>
      </c>
      <c r="J3064" s="45" t="n">
        <v>278</v>
      </c>
      <c r="K3064" s="45" t="n">
        <v>52</v>
      </c>
      <c r="L3064" s="46" t="n"/>
      <c r="M3064" s="47" t="n"/>
      <c r="N3064" s="47" t="inlineStr">
        <is>
          <t>UCKZo4N0lVPccBkSiuyVh4yg</t>
        </is>
      </c>
      <c r="O3064" s="48" t="n">
        <v>41368.99097222222</v>
      </c>
      <c r="P3064" s="49" t="n">
        <v>41368</v>
      </c>
      <c r="Q3064" s="47" t="n">
        <v>204</v>
      </c>
      <c r="R3064" s="47" t="inlineStr">
        <is>
          <t>No Video ID yet</t>
        </is>
      </c>
      <c r="S3064" s="49" t="n"/>
      <c r="T3064" s="49" t="n"/>
      <c r="U3064" s="47" t="inlineStr">
        <is>
          <t>Have you ever overextended yourself? How do you handle it? Mail Shtuff: Salem, VA 24153 Twitter:@scb_Ben and @jonkerlin =D</t>
        </is>
      </c>
      <c r="V3064" s="47">
        <f>IF(AND(P3064&gt;=Calendar!$K$2,P3064&lt;EDATE(Calendar!$K$2,1),OR(Calendar!$K$4="*",N3064=Calendar!$K$4)),P3064*100+COUNTIFS($P$6:$P$3267,P3064,$Q$6:$Q$3267,"&lt;="&amp;Q3064,$N$6:$N$3267,Calendar!$K$4),"")</f>
        <v/>
      </c>
      <c r="W3064" s="47">
        <f>IF(AND(B3064=Queue!$C$4,OR(Queue!$K$4="*",N3064=Queue!$K$4)),Q3064,"")</f>
        <v/>
      </c>
    </row>
    <row r="3065">
      <c r="A3065" s="38">
        <f>IF(M3065="","",HYPERLINK("https://www.youtube.com/watch?v="&amp;M3065,"▶"))</f>
        <v/>
      </c>
      <c r="B3065" s="39">
        <f>IF(C3065&lt;&gt;"",C3065,IF(P3065&lt;=IFERROR(INDEX(tblChannels[Watched Through],MATCH(N3065,tblChannels[Channel ID],0)),0),"Watched","Unwatched"))</f>
        <v/>
      </c>
      <c r="C3065" s="40" t="n"/>
      <c r="D3065" s="41" t="n"/>
      <c r="E3065" s="42" t="n">
        <v>41367.94791666666</v>
      </c>
      <c r="F3065" s="50" t="inlineStr">
        <is>
          <t>Super Carlin Brothers</t>
        </is>
      </c>
      <c r="G3065" t="inlineStr">
        <is>
          <t>Stretching and Lunges!</t>
        </is>
      </c>
      <c r="H3065" s="44" t="n">
        <v>0.002465277777777778</v>
      </c>
      <c r="I3065" s="45" t="n">
        <v>13217</v>
      </c>
      <c r="J3065" s="45" t="n">
        <v>293</v>
      </c>
      <c r="K3065" s="45" t="n">
        <v>66</v>
      </c>
      <c r="L3065" s="46" t="n"/>
      <c r="M3065" s="47" t="n"/>
      <c r="N3065" s="47" t="inlineStr">
        <is>
          <t>UCKZo4N0lVPccBkSiuyVh4yg</t>
        </is>
      </c>
      <c r="O3065" s="48" t="n">
        <v>41368.11458333334</v>
      </c>
      <c r="P3065" s="49" t="n">
        <v>41367</v>
      </c>
      <c r="Q3065" s="47" t="n">
        <v>203</v>
      </c>
      <c r="R3065" s="47" t="inlineStr">
        <is>
          <t>No Video ID yet</t>
        </is>
      </c>
      <c r="S3065" s="49" t="n"/>
      <c r="T3065" s="49" t="n"/>
      <c r="U3065" s="47" t="inlineStr">
        <is>
          <t>What were your sick days like as a kid?</t>
        </is>
      </c>
      <c r="V3065" s="47">
        <f>IF(AND(P3065&gt;=Calendar!$K$2,P3065&lt;EDATE(Calendar!$K$2,1),OR(Calendar!$K$4="*",N3065=Calendar!$K$4)),P3065*100+COUNTIFS($P$6:$P$3267,P3065,$Q$6:$Q$3267,"&lt;="&amp;Q3065,$N$6:$N$3267,Calendar!$K$4),"")</f>
        <v/>
      </c>
      <c r="W3065" s="47">
        <f>IF(AND(B3065=Queue!$C$4,OR(Queue!$K$4="*",N3065=Queue!$K$4)),Q3065,"")</f>
        <v/>
      </c>
    </row>
    <row r="3066">
      <c r="A3066" s="38">
        <f>IF(M3066="","",HYPERLINK("https://www.youtube.com/watch?v="&amp;M3066,"▶"))</f>
        <v/>
      </c>
      <c r="B3066" s="39">
        <f>IF(C3066&lt;&gt;"",C3066,IF(P3066&lt;=IFERROR(INDEX(tblChannels[Watched Through],MATCH(N3066,tblChannels[Channel ID],0)),0),"Watched","Unwatched"))</f>
        <v/>
      </c>
      <c r="C3066" s="40" t="n"/>
      <c r="D3066" s="41" t="n"/>
      <c r="E3066" s="42" t="n">
        <v>41366.85416666666</v>
      </c>
      <c r="F3066" s="50" t="inlineStr">
        <is>
          <t>Super Carlin Brothers</t>
        </is>
      </c>
      <c r="G3066" t="inlineStr">
        <is>
          <t>Pop Music</t>
        </is>
      </c>
      <c r="H3066" s="44" t="n">
        <v>0.003368055555555556</v>
      </c>
      <c r="I3066" s="45" t="n">
        <v>14465</v>
      </c>
      <c r="J3066" s="45" t="n">
        <v>321</v>
      </c>
      <c r="K3066" s="45" t="n">
        <v>69</v>
      </c>
      <c r="L3066" s="46" t="n"/>
      <c r="M3066" s="47" t="n"/>
      <c r="N3066" s="47" t="inlineStr">
        <is>
          <t>UCKZo4N0lVPccBkSiuyVh4yg</t>
        </is>
      </c>
      <c r="O3066" s="48" t="n">
        <v>41367.02083333334</v>
      </c>
      <c r="P3066" s="49" t="n">
        <v>41366</v>
      </c>
      <c r="Q3066" s="47" t="n">
        <v>202</v>
      </c>
      <c r="R3066" s="47" t="inlineStr">
        <is>
          <t>No Video ID yet</t>
        </is>
      </c>
      <c r="S3066" s="49" t="n"/>
      <c r="T3066" s="49" t="n"/>
      <c r="U3066" s="47" t="inlineStr">
        <is>
          <t>This video could one day be used to black mail me... Do you think popularity drives popularity? or Does the good stuff always make its way to the surface? What video should represent SCB for Nerd Factor?!!? THIS IS IMPORTANT Twitter: @SCB_Ben and @Jonkerlin =D</t>
        </is>
      </c>
      <c r="V3066" s="47">
        <f>IF(AND(P3066&gt;=Calendar!$K$2,P3066&lt;EDATE(Calendar!$K$2,1),OR(Calendar!$K$4="*",N3066=Calendar!$K$4)),P3066*100+COUNTIFS($P$6:$P$3267,P3066,$Q$6:$Q$3267,"&lt;="&amp;Q3066,$N$6:$N$3267,Calendar!$K$4),"")</f>
        <v/>
      </c>
      <c r="W3066" s="47">
        <f>IF(AND(B3066=Queue!$C$4,OR(Queue!$K$4="*",N3066=Queue!$K$4)),Q3066,"")</f>
        <v/>
      </c>
    </row>
    <row r="3067">
      <c r="A3067" s="38">
        <f>IF(M3067="","",HYPERLINK("https://www.youtube.com/watch?v="&amp;M3067,"▶"))</f>
        <v/>
      </c>
      <c r="B3067" s="39">
        <f>IF(C3067&lt;&gt;"",C3067,IF(P3067&lt;=IFERROR(INDEX(tblChannels[Watched Through],MATCH(N3067,tblChannels[Channel ID],0)),0),"Watched","Unwatched"))</f>
        <v/>
      </c>
      <c r="C3067" s="40" t="n"/>
      <c r="D3067" s="41" t="n"/>
      <c r="E3067" s="42" t="n">
        <v>41365.97291666667</v>
      </c>
      <c r="F3067" s="50" t="inlineStr">
        <is>
          <t>Super Carlin Brothers</t>
        </is>
      </c>
      <c r="G3067" t="inlineStr">
        <is>
          <t>Facebook is Walmart</t>
        </is>
      </c>
      <c r="H3067" s="44" t="n">
        <v>0.002696759259259259</v>
      </c>
      <c r="I3067" s="45" t="n">
        <v>33601</v>
      </c>
      <c r="J3067" s="45" t="n">
        <v>777</v>
      </c>
      <c r="K3067" s="45" t="n">
        <v>118</v>
      </c>
      <c r="L3067" s="46" t="n"/>
      <c r="M3067" s="47" t="n"/>
      <c r="N3067" s="47" t="inlineStr">
        <is>
          <t>UCKZo4N0lVPccBkSiuyVh4yg</t>
        </is>
      </c>
      <c r="O3067" s="48" t="n">
        <v>41366.13958333333</v>
      </c>
      <c r="P3067" s="49" t="n">
        <v>41365</v>
      </c>
      <c r="Q3067" s="47" t="n">
        <v>201</v>
      </c>
      <c r="R3067" s="47" t="inlineStr">
        <is>
          <t>No Video ID yet</t>
        </is>
      </c>
      <c r="S3067" s="49" t="n"/>
      <c r="T3067" s="49" t="n"/>
      <c r="U3067" s="47" t="inlineStr">
        <is>
          <t>What are your internet "Specialty shops"?</t>
        </is>
      </c>
      <c r="V3067" s="47">
        <f>IF(AND(P3067&gt;=Calendar!$K$2,P3067&lt;EDATE(Calendar!$K$2,1),OR(Calendar!$K$4="*",N3067=Calendar!$K$4)),P3067*100+COUNTIFS($P$6:$P$3267,P3067,$Q$6:$Q$3267,"&lt;="&amp;Q3067,$N$6:$N$3267,Calendar!$K$4),"")</f>
        <v/>
      </c>
      <c r="W3067" s="47">
        <f>IF(AND(B3067=Queue!$C$4,OR(Queue!$K$4="*",N3067=Queue!$K$4)),Q3067,"")</f>
        <v/>
      </c>
    </row>
    <row r="3068">
      <c r="A3068" s="38">
        <f>IF(M3068="","",HYPERLINK("https://www.youtube.com/watch?v="&amp;M3068,"▶"))</f>
        <v/>
      </c>
      <c r="B3068" s="39">
        <f>IF(C3068&lt;&gt;"",C3068,IF(P3068&lt;=IFERROR(INDEX(tblChannels[Watched Through],MATCH(N3068,tblChannels[Channel ID],0)),0),"Watched","Unwatched"))</f>
        <v/>
      </c>
      <c r="C3068" s="40" t="n"/>
      <c r="D3068" s="41" t="n"/>
      <c r="E3068" s="42" t="n">
        <v>41363.03888888889</v>
      </c>
      <c r="F3068" s="50" t="inlineStr">
        <is>
          <t>Super Carlin Brothers</t>
        </is>
      </c>
      <c r="G3068" t="inlineStr">
        <is>
          <t>JUXTABROS Video 200!!!</t>
        </is>
      </c>
      <c r="H3068" s="44" t="n">
        <v>0.007824074074074074</v>
      </c>
      <c r="I3068" s="45" t="n">
        <v>30192</v>
      </c>
      <c r="J3068" s="45" t="n">
        <v>736</v>
      </c>
      <c r="K3068" s="45" t="n">
        <v>85</v>
      </c>
      <c r="L3068" s="46" t="n"/>
      <c r="M3068" s="47" t="n"/>
      <c r="N3068" s="47" t="inlineStr">
        <is>
          <t>UCKZo4N0lVPccBkSiuyVh4yg</t>
        </is>
      </c>
      <c r="O3068" s="48" t="n">
        <v>41363.20555555556</v>
      </c>
      <c r="P3068" s="49" t="n">
        <v>41363</v>
      </c>
      <c r="Q3068" s="47" t="n">
        <v>200</v>
      </c>
      <c r="R3068" s="47" t="inlineStr">
        <is>
          <t>No Video ID yet</t>
        </is>
      </c>
      <c r="S3068" s="49" t="n"/>
      <c r="T3068" s="49" t="n"/>
      <c r="U3068" s="47" t="inlineStr">
        <is>
          <t>What is your favorite SCB Video?! Share that video or this video with... well... anyone!!! Panikann: FootofaFerret: =D</t>
        </is>
      </c>
      <c r="V3068" s="47">
        <f>IF(AND(P3068&gt;=Calendar!$K$2,P3068&lt;EDATE(Calendar!$K$2,1),OR(Calendar!$K$4="*",N3068=Calendar!$K$4)),P3068*100+COUNTIFS($P$6:$P$3267,P3068,$Q$6:$Q$3267,"&lt;="&amp;Q3068,$N$6:$N$3267,Calendar!$K$4),"")</f>
        <v/>
      </c>
      <c r="W3068" s="47">
        <f>IF(AND(B3068=Queue!$C$4,OR(Queue!$K$4="*",N3068=Queue!$K$4)),Q3068,"")</f>
        <v/>
      </c>
    </row>
    <row r="3069">
      <c r="A3069" s="38">
        <f>IF(M3069="","",HYPERLINK("https://www.youtube.com/watch?v="&amp;M3069,"▶"))</f>
        <v/>
      </c>
      <c r="B3069" s="39">
        <f>IF(C3069&lt;&gt;"",C3069,IF(P3069&lt;=IFERROR(INDEX(tblChannels[Watched Through],MATCH(N3069,tblChannels[Channel ID],0)),0),"Watched","Unwatched"))</f>
        <v/>
      </c>
      <c r="C3069" s="40" t="n"/>
      <c r="D3069" s="41" t="n"/>
      <c r="E3069" s="42" t="n">
        <v>41361.90069444444</v>
      </c>
      <c r="F3069" s="50" t="inlineStr">
        <is>
          <t>Super Carlin Brothers</t>
        </is>
      </c>
      <c r="G3069" t="inlineStr">
        <is>
          <t>Anti-Bullying and The Golden Rule</t>
        </is>
      </c>
      <c r="H3069" s="44" t="n">
        <v>0.003368055555555556</v>
      </c>
      <c r="I3069" s="45" t="n">
        <v>44614</v>
      </c>
      <c r="J3069" s="45" t="n">
        <v>693</v>
      </c>
      <c r="K3069" s="45" t="n">
        <v>192</v>
      </c>
      <c r="L3069" s="46" t="n"/>
      <c r="M3069" s="47" t="n"/>
      <c r="N3069" s="47" t="inlineStr">
        <is>
          <t>UCKZo4N0lVPccBkSiuyVh4yg</t>
        </is>
      </c>
      <c r="O3069" s="48" t="n">
        <v>41362.06736111111</v>
      </c>
      <c r="P3069" s="49" t="n">
        <v>41361</v>
      </c>
      <c r="Q3069" s="47" t="n">
        <v>199</v>
      </c>
      <c r="R3069" s="47" t="inlineStr">
        <is>
          <t>No Video ID yet</t>
        </is>
      </c>
      <c r="S3069" s="49" t="n"/>
      <c r="T3069" s="49" t="n"/>
      <c r="U3069" s="47" t="inlineStr">
        <is>
          <t>Have you ever been bullied? Leave us questions for JUXTABROS!</t>
        </is>
      </c>
      <c r="V3069" s="47">
        <f>IF(AND(P3069&gt;=Calendar!$K$2,P3069&lt;EDATE(Calendar!$K$2,1),OR(Calendar!$K$4="*",N3069=Calendar!$K$4)),P3069*100+COUNTIFS($P$6:$P$3267,P3069,$Q$6:$Q$3267,"&lt;="&amp;Q3069,$N$6:$N$3267,Calendar!$K$4),"")</f>
        <v/>
      </c>
      <c r="W3069" s="47">
        <f>IF(AND(B3069=Queue!$C$4,OR(Queue!$K$4="*",N3069=Queue!$K$4)),Q3069,"")</f>
        <v/>
      </c>
    </row>
    <row r="3070">
      <c r="A3070" s="38">
        <f>IF(M3070="","",HYPERLINK("https://www.youtube.com/watch?v="&amp;M3070,"▶"))</f>
        <v/>
      </c>
      <c r="B3070" s="39">
        <f>IF(C3070&lt;&gt;"",C3070,IF(P3070&lt;=IFERROR(INDEX(tblChannels[Watched Through],MATCH(N3070,tblChannels[Channel ID],0)),0),"Watched","Unwatched"))</f>
        <v/>
      </c>
      <c r="C3070" s="40" t="n"/>
      <c r="D3070" s="41" t="n"/>
      <c r="E3070" s="42" t="n">
        <v>41360.89930555555</v>
      </c>
      <c r="F3070" s="50" t="inlineStr">
        <is>
          <t>Super Carlin Brothers</t>
        </is>
      </c>
      <c r="G3070" t="inlineStr">
        <is>
          <t>Movie Remakes and Country Music</t>
        </is>
      </c>
      <c r="H3070" s="44" t="n">
        <v>0.002719907407407407</v>
      </c>
      <c r="I3070" s="45" t="n">
        <v>12971</v>
      </c>
      <c r="J3070" s="45" t="n">
        <v>309</v>
      </c>
      <c r="K3070" s="45" t="n">
        <v>110</v>
      </c>
      <c r="L3070" s="46" t="n"/>
      <c r="M3070" s="47" t="n"/>
      <c r="N3070" s="47" t="inlineStr">
        <is>
          <t>UCKZo4N0lVPccBkSiuyVh4yg</t>
        </is>
      </c>
      <c r="O3070" s="48" t="n">
        <v>41361.06597222222</v>
      </c>
      <c r="P3070" s="49" t="n">
        <v>41360</v>
      </c>
      <c r="Q3070" s="47" t="n">
        <v>198</v>
      </c>
      <c r="R3070" s="47" t="inlineStr">
        <is>
          <t>No Video ID yet</t>
        </is>
      </c>
      <c r="S3070" s="49" t="n"/>
      <c r="T3070" s="49" t="n"/>
      <c r="U3070" s="47" t="inlineStr">
        <is>
          <t>Do you dislike any genres at large? What is your favorite Genre/Band?? Do you dance? More importantly... can you? Follow Me! @SCB_Ben and @Jonkerlin =D</t>
        </is>
      </c>
      <c r="V3070" s="47">
        <f>IF(AND(P3070&gt;=Calendar!$K$2,P3070&lt;EDATE(Calendar!$K$2,1),OR(Calendar!$K$4="*",N3070=Calendar!$K$4)),P3070*100+COUNTIFS($P$6:$P$3267,P3070,$Q$6:$Q$3267,"&lt;="&amp;Q3070,$N$6:$N$3267,Calendar!$K$4),"")</f>
        <v/>
      </c>
      <c r="W3070" s="47">
        <f>IF(AND(B3070=Queue!$C$4,OR(Queue!$K$4="*",N3070=Queue!$K$4)),Q3070,"")</f>
        <v/>
      </c>
    </row>
    <row r="3071">
      <c r="A3071" s="38">
        <f>IF(M3071="","",HYPERLINK("https://www.youtube.com/watch?v="&amp;M3071,"▶"))</f>
        <v/>
      </c>
      <c r="B3071" s="39">
        <f>IF(C3071&lt;&gt;"",C3071,IF(P3071&lt;=IFERROR(INDEX(tblChannels[Watched Through],MATCH(N3071,tblChannels[Channel ID],0)),0),"Watched","Unwatched"))</f>
        <v/>
      </c>
      <c r="C3071" s="40" t="n"/>
      <c r="D3071" s="41" t="n"/>
      <c r="E3071" s="42" t="n">
        <v>41359.97083333333</v>
      </c>
      <c r="F3071" s="50" t="inlineStr">
        <is>
          <t>Super Carlin Brothers</t>
        </is>
      </c>
      <c r="G3071" t="inlineStr">
        <is>
          <t>Books vs Movies</t>
        </is>
      </c>
      <c r="H3071" s="44" t="n">
        <v>0.003935185185185185</v>
      </c>
      <c r="I3071" s="45" t="n">
        <v>149608</v>
      </c>
      <c r="J3071" s="45" t="n">
        <v>2974</v>
      </c>
      <c r="K3071" s="45" t="n">
        <v>1560</v>
      </c>
      <c r="L3071" s="46" t="n"/>
      <c r="M3071" s="47" t="n"/>
      <c r="N3071" s="47" t="inlineStr">
        <is>
          <t>UCKZo4N0lVPccBkSiuyVh4yg</t>
        </is>
      </c>
      <c r="O3071" s="48" t="n">
        <v>41360.1375</v>
      </c>
      <c r="P3071" s="49" t="n">
        <v>41359</v>
      </c>
      <c r="Q3071" s="47" t="n">
        <v>197</v>
      </c>
      <c r="R3071" s="47" t="inlineStr">
        <is>
          <t>No Video ID yet</t>
        </is>
      </c>
      <c r="S3071" s="49" t="n"/>
      <c r="T3071" s="49" t="n"/>
      <c r="U3071" s="47" t="inlineStr">
        <is>
          <t>They butchered the Lorax worse than the Onceler butchered the Trufula Trees :*( What movies did you like better than the book or vice versa?</t>
        </is>
      </c>
      <c r="V3071" s="47">
        <f>IF(AND(P3071&gt;=Calendar!$K$2,P3071&lt;EDATE(Calendar!$K$2,1),OR(Calendar!$K$4="*",N3071=Calendar!$K$4)),P3071*100+COUNTIFS($P$6:$P$3267,P3071,$Q$6:$Q$3267,"&lt;="&amp;Q3071,$N$6:$N$3267,Calendar!$K$4),"")</f>
        <v/>
      </c>
      <c r="W3071" s="47">
        <f>IF(AND(B3071=Queue!$C$4,OR(Queue!$K$4="*",N3071=Queue!$K$4)),Q3071,"")</f>
        <v/>
      </c>
    </row>
    <row r="3072">
      <c r="A3072" s="38">
        <f>IF(M3072="","",HYPERLINK("https://www.youtube.com/watch?v="&amp;M3072,"▶"))</f>
        <v/>
      </c>
      <c r="B3072" s="39">
        <f>IF(C3072&lt;&gt;"",C3072,IF(P3072&lt;=IFERROR(INDEX(tblChannels[Watched Through],MATCH(N3072,tblChannels[Channel ID],0)),0),"Watched","Unwatched"))</f>
        <v/>
      </c>
      <c r="C3072" s="40" t="n"/>
      <c r="D3072" s="41" t="n"/>
      <c r="E3072" s="42" t="n">
        <v>41358.95555555556</v>
      </c>
      <c r="F3072" s="50" t="inlineStr">
        <is>
          <t>Super Carlin Brothers</t>
        </is>
      </c>
      <c r="G3072" t="inlineStr">
        <is>
          <t>Thoughts on Vlogging</t>
        </is>
      </c>
      <c r="H3072" s="44" t="n">
        <v>0.0025</v>
      </c>
      <c r="I3072" s="45" t="n">
        <v>9037</v>
      </c>
      <c r="J3072" s="45" t="n">
        <v>214</v>
      </c>
      <c r="K3072" s="45" t="n">
        <v>60</v>
      </c>
      <c r="L3072" s="46" t="n"/>
      <c r="M3072" s="47" t="n"/>
      <c r="N3072" s="47" t="inlineStr">
        <is>
          <t>UCKZo4N0lVPccBkSiuyVh4yg</t>
        </is>
      </c>
      <c r="O3072" s="48" t="n">
        <v>41359.12222222222</v>
      </c>
      <c r="P3072" s="49" t="n">
        <v>41358</v>
      </c>
      <c r="Q3072" s="47" t="n">
        <v>196</v>
      </c>
      <c r="R3072" s="47" t="inlineStr">
        <is>
          <t>No Video ID yet</t>
        </is>
      </c>
      <c r="S3072" s="49" t="n"/>
      <c r="T3072" s="49" t="n"/>
      <c r="U3072" s="47" t="inlineStr">
        <is>
          <t>What tiny morsel, specific nugget, of a unique personal characteristic or trait can you tell us about yourself? Also keep suggesting video topics!! @SCB_Ben and @Jonkerlin =D</t>
        </is>
      </c>
      <c r="V3072" s="47">
        <f>IF(AND(P3072&gt;=Calendar!$K$2,P3072&lt;EDATE(Calendar!$K$2,1),OR(Calendar!$K$4="*",N3072=Calendar!$K$4)),P3072*100+COUNTIFS($P$6:$P$3267,P3072,$Q$6:$Q$3267,"&lt;="&amp;Q3072,$N$6:$N$3267,Calendar!$K$4),"")</f>
        <v/>
      </c>
      <c r="W3072" s="47">
        <f>IF(AND(B3072=Queue!$C$4,OR(Queue!$K$4="*",N3072=Queue!$K$4)),Q3072,"")</f>
        <v/>
      </c>
    </row>
    <row r="3073">
      <c r="A3073" s="38">
        <f>IF(M3073="","",HYPERLINK("https://www.youtube.com/watch?v="&amp;M3073,"▶"))</f>
        <v/>
      </c>
      <c r="B3073" s="39">
        <f>IF(C3073&lt;&gt;"",C3073,IF(P3073&lt;=IFERROR(INDEX(tblChannels[Watched Through],MATCH(N3073,tblChannels[Channel ID],0)),0),"Watched","Unwatched"))</f>
        <v/>
      </c>
      <c r="C3073" s="40" t="n"/>
      <c r="D3073" s="41" t="n"/>
      <c r="E3073" s="42" t="n">
        <v>41355.95208333333</v>
      </c>
      <c r="F3073" s="50" t="inlineStr">
        <is>
          <t>Super Carlin Brothers</t>
        </is>
      </c>
      <c r="G3073" t="inlineStr">
        <is>
          <t>Agenda Setting</t>
        </is>
      </c>
      <c r="H3073" s="44" t="n">
        <v>0.003368055555555556</v>
      </c>
      <c r="I3073" s="45" t="n">
        <v>15108</v>
      </c>
      <c r="J3073" s="45" t="n">
        <v>333</v>
      </c>
      <c r="K3073" s="45" t="n">
        <v>58</v>
      </c>
      <c r="L3073" s="46" t="n"/>
      <c r="M3073" s="47" t="n"/>
      <c r="N3073" s="47" t="inlineStr">
        <is>
          <t>UCKZo4N0lVPccBkSiuyVh4yg</t>
        </is>
      </c>
      <c r="O3073" s="48" t="n">
        <v>41356.11875</v>
      </c>
      <c r="P3073" s="49" t="n">
        <v>41355</v>
      </c>
      <c r="Q3073" s="47" t="n">
        <v>195</v>
      </c>
      <c r="R3073" s="47" t="inlineStr">
        <is>
          <t>No Video ID yet</t>
        </is>
      </c>
      <c r="S3073" s="49" t="n"/>
      <c r="T3073" s="49" t="n"/>
      <c r="U3073" s="47" t="inlineStr">
        <is>
          <t>You set the agenda next week! Tell us what you want us to talk about in the towel section and we will! Tweet questions to: @jonkerlin and @SCB_Ben Facebook: www.facebook.com/supercarlinbrothers =D</t>
        </is>
      </c>
      <c r="V3073" s="47">
        <f>IF(AND(P3073&gt;=Calendar!$K$2,P3073&lt;EDATE(Calendar!$K$2,1),OR(Calendar!$K$4="*",N3073=Calendar!$K$4)),P3073*100+COUNTIFS($P$6:$P$3267,P3073,$Q$6:$Q$3267,"&lt;="&amp;Q3073,$N$6:$N$3267,Calendar!$K$4),"")</f>
        <v/>
      </c>
      <c r="W3073" s="47">
        <f>IF(AND(B3073=Queue!$C$4,OR(Queue!$K$4="*",N3073=Queue!$K$4)),Q3073,"")</f>
        <v/>
      </c>
    </row>
    <row r="3074">
      <c r="A3074" s="38">
        <f>IF(M3074="","",HYPERLINK("https://www.youtube.com/watch?v="&amp;M3074,"▶"))</f>
        <v/>
      </c>
      <c r="B3074" s="39">
        <f>IF(C3074&lt;&gt;"",C3074,IF(P3074&lt;=IFERROR(INDEX(tblChannels[Watched Through],MATCH(N3074,tblChannels[Channel ID],0)),0),"Watched","Unwatched"))</f>
        <v/>
      </c>
      <c r="C3074" s="40" t="n"/>
      <c r="D3074" s="41" t="n"/>
      <c r="E3074" s="42" t="n">
        <v>41354.72916666666</v>
      </c>
      <c r="F3074" s="50" t="inlineStr">
        <is>
          <t>Super Carlin Brothers</t>
        </is>
      </c>
      <c r="G3074" t="inlineStr">
        <is>
          <t>Only if it fits in a Bomb Shelter</t>
        </is>
      </c>
      <c r="H3074" s="44" t="n">
        <v>0.002523148148148148</v>
      </c>
      <c r="I3074" s="45" t="n">
        <v>12990</v>
      </c>
      <c r="J3074" s="45" t="n">
        <v>326</v>
      </c>
      <c r="K3074" s="45" t="n">
        <v>72</v>
      </c>
      <c r="L3074" s="46" t="n"/>
      <c r="M3074" s="47" t="n"/>
      <c r="N3074" s="47" t="inlineStr">
        <is>
          <t>UCKZo4N0lVPccBkSiuyVh4yg</t>
        </is>
      </c>
      <c r="O3074" s="48" t="n">
        <v>41354.89583333334</v>
      </c>
      <c r="P3074" s="49" t="n">
        <v>41354</v>
      </c>
      <c r="Q3074" s="47" t="n">
        <v>194</v>
      </c>
      <c r="R3074" s="47" t="inlineStr">
        <is>
          <t>No Video ID yet</t>
        </is>
      </c>
      <c r="S3074" s="49" t="n"/>
      <c r="T3074" s="49" t="n"/>
      <c r="U3074" s="47" t="inlineStr">
        <is>
          <t>Even if a large percentage of people are taking advantage of a system... what is your opinion on the ethnicity of changing the program that will negatively affect those that are using it for all of the right reasons? What are your thoughts on the voucher system? Or a way to better manage the way people spend welfare related dollars? Is the government becoming too hands on if we control the way people spend the money? Are the circumstances different because they aren't earning that money? Keep it objective. Thanks for Watching. =D</t>
        </is>
      </c>
      <c r="V3074" s="47">
        <f>IF(AND(P3074&gt;=Calendar!$K$2,P3074&lt;EDATE(Calendar!$K$2,1),OR(Calendar!$K$4="*",N3074=Calendar!$K$4)),P3074*100+COUNTIFS($P$6:$P$3267,P3074,$Q$6:$Q$3267,"&lt;="&amp;Q3074,$N$6:$N$3267,Calendar!$K$4),"")</f>
        <v/>
      </c>
      <c r="W3074" s="47">
        <f>IF(AND(B3074=Queue!$C$4,OR(Queue!$K$4="*",N3074=Queue!$K$4)),Q3074,"")</f>
        <v/>
      </c>
    </row>
    <row r="3075">
      <c r="A3075" s="38">
        <f>IF(M3075="","",HYPERLINK("https://www.youtube.com/watch?v="&amp;M3075,"▶"))</f>
        <v/>
      </c>
      <c r="B3075" s="39">
        <f>IF(C3075&lt;&gt;"",C3075,IF(P3075&lt;=IFERROR(INDEX(tblChannels[Watched Through],MATCH(N3075,tblChannels[Channel ID],0)),0),"Watched","Unwatched"))</f>
        <v/>
      </c>
      <c r="C3075" s="40" t="n"/>
      <c r="D3075" s="41" t="n"/>
      <c r="E3075" s="42" t="n">
        <v>41353.94375</v>
      </c>
      <c r="F3075" s="50" t="inlineStr">
        <is>
          <t>Super Carlin Brothers</t>
        </is>
      </c>
      <c r="G3075" t="inlineStr">
        <is>
          <t>The Truth About Heart Stones</t>
        </is>
      </c>
      <c r="H3075" s="44" t="n">
        <v>0.002164351851851852</v>
      </c>
      <c r="I3075" s="45" t="n">
        <v>17696</v>
      </c>
      <c r="J3075" s="45" t="n">
        <v>347</v>
      </c>
      <c r="K3075" s="45" t="n">
        <v>83</v>
      </c>
      <c r="L3075" s="46" t="n"/>
      <c r="M3075" s="47" t="n"/>
      <c r="N3075" s="47" t="inlineStr">
        <is>
          <t>UCKZo4N0lVPccBkSiuyVh4yg</t>
        </is>
      </c>
      <c r="O3075" s="48" t="n">
        <v>41354.11041666667</v>
      </c>
      <c r="P3075" s="49" t="n">
        <v>41353</v>
      </c>
      <c r="Q3075" s="47" t="n">
        <v>193</v>
      </c>
      <c r="R3075" s="47" t="inlineStr">
        <is>
          <t>No Video ID yet</t>
        </is>
      </c>
      <c r="S3075" s="49" t="n"/>
      <c r="T3075" s="49" t="n"/>
      <c r="U3075" s="47" t="inlineStr">
        <is>
          <t>One of the most unusual things about me. What has been your most "fun" trip to the hospital?</t>
        </is>
      </c>
      <c r="V3075" s="47">
        <f>IF(AND(P3075&gt;=Calendar!$K$2,P3075&lt;EDATE(Calendar!$K$2,1),OR(Calendar!$K$4="*",N3075=Calendar!$K$4)),P3075*100+COUNTIFS($P$6:$P$3267,P3075,$Q$6:$Q$3267,"&lt;="&amp;Q3075,$N$6:$N$3267,Calendar!$K$4),"")</f>
        <v/>
      </c>
      <c r="W3075" s="47">
        <f>IF(AND(B3075=Queue!$C$4,OR(Queue!$K$4="*",N3075=Queue!$K$4)),Q3075,"")</f>
        <v/>
      </c>
    </row>
    <row r="3076">
      <c r="A3076" s="38">
        <f>IF(M3076="","",HYPERLINK("https://www.youtube.com/watch?v="&amp;M3076,"▶"))</f>
        <v/>
      </c>
      <c r="B3076" s="39">
        <f>IF(C3076&lt;&gt;"",C3076,IF(P3076&lt;=IFERROR(INDEX(tblChannels[Watched Through],MATCH(N3076,tblChannels[Channel ID],0)),0),"Watched","Unwatched"))</f>
        <v/>
      </c>
      <c r="C3076" s="40" t="n"/>
      <c r="D3076" s="41" t="n"/>
      <c r="E3076" s="42" t="n">
        <v>41352.86666666667</v>
      </c>
      <c r="F3076" s="50" t="inlineStr">
        <is>
          <t>Super Carlin Brothers</t>
        </is>
      </c>
      <c r="G3076" t="inlineStr">
        <is>
          <t>Fan Mail, Jellyfish, and Baller Status</t>
        </is>
      </c>
      <c r="H3076" s="44" t="n">
        <v>0.001793981481481481</v>
      </c>
      <c r="I3076" s="45" t="n">
        <v>9199</v>
      </c>
      <c r="J3076" s="45" t="n">
        <v>196</v>
      </c>
      <c r="K3076" s="45" t="n">
        <v>50</v>
      </c>
      <c r="L3076" s="46" t="n"/>
      <c r="M3076" s="47" t="n"/>
      <c r="N3076" s="47" t="inlineStr">
        <is>
          <t>UCKZo4N0lVPccBkSiuyVh4yg</t>
        </is>
      </c>
      <c r="O3076" s="48" t="n">
        <v>41353.03333333333</v>
      </c>
      <c r="P3076" s="49" t="n">
        <v>41352</v>
      </c>
      <c r="Q3076" s="47" t="n">
        <v>192</v>
      </c>
      <c r="R3076" s="47" t="inlineStr">
        <is>
          <t>No Video ID yet</t>
        </is>
      </c>
      <c r="S3076" s="49" t="n"/>
      <c r="T3076" s="49" t="n"/>
      <c r="U3076" s="47" t="inlineStr">
        <is>
          <t>What is your most baller moment?! and what are you most looking forward to about warm weather?! @SCB_Ben and @jonkerlin =D</t>
        </is>
      </c>
      <c r="V3076" s="47">
        <f>IF(AND(P3076&gt;=Calendar!$K$2,P3076&lt;EDATE(Calendar!$K$2,1),OR(Calendar!$K$4="*",N3076=Calendar!$K$4)),P3076*100+COUNTIFS($P$6:$P$3267,P3076,$Q$6:$Q$3267,"&lt;="&amp;Q3076,$N$6:$N$3267,Calendar!$K$4),"")</f>
        <v/>
      </c>
      <c r="W3076" s="47">
        <f>IF(AND(B3076=Queue!$C$4,OR(Queue!$K$4="*",N3076=Queue!$K$4)),Q3076,"")</f>
        <v/>
      </c>
    </row>
    <row r="3077">
      <c r="A3077" s="38">
        <f>IF(M3077="","",HYPERLINK("https://www.youtube.com/watch?v="&amp;M3077,"▶"))</f>
        <v/>
      </c>
      <c r="B3077" s="39">
        <f>IF(C3077&lt;&gt;"",C3077,IF(P3077&lt;=IFERROR(INDEX(tblChannels[Watched Through],MATCH(N3077,tblChannels[Channel ID],0)),0),"Watched","Unwatched"))</f>
        <v/>
      </c>
      <c r="C3077" s="40" t="n"/>
      <c r="D3077" s="41" t="n"/>
      <c r="E3077" s="42" t="n">
        <v>41351.96597222222</v>
      </c>
      <c r="F3077" s="50" t="inlineStr">
        <is>
          <t>Super Carlin Brothers</t>
        </is>
      </c>
      <c r="G3077" t="inlineStr">
        <is>
          <t>Half Marathon and Road Trip Food</t>
        </is>
      </c>
      <c r="H3077" s="44" t="n">
        <v>0.002905092592592593</v>
      </c>
      <c r="I3077" s="45" t="n">
        <v>15693</v>
      </c>
      <c r="J3077" s="45" t="n">
        <v>369</v>
      </c>
      <c r="K3077" s="45" t="n">
        <v>63</v>
      </c>
      <c r="L3077" s="46" t="n"/>
      <c r="M3077" s="47" t="n"/>
      <c r="N3077" s="47" t="inlineStr">
        <is>
          <t>UCKZo4N0lVPccBkSiuyVh4yg</t>
        </is>
      </c>
      <c r="O3077" s="48" t="n">
        <v>41352.13263888889</v>
      </c>
      <c r="P3077" s="49" t="n">
        <v>41351</v>
      </c>
      <c r="Q3077" s="47" t="n">
        <v>191</v>
      </c>
      <c r="R3077" s="47" t="inlineStr">
        <is>
          <t>No Video ID yet</t>
        </is>
      </c>
      <c r="S3077" s="49" t="n"/>
      <c r="T3077" s="49" t="n"/>
      <c r="U3077" s="47" t="inlineStr">
        <is>
          <t>...and then Beth had to pee.</t>
        </is>
      </c>
      <c r="V3077" s="47">
        <f>IF(AND(P3077&gt;=Calendar!$K$2,P3077&lt;EDATE(Calendar!$K$2,1),OR(Calendar!$K$4="*",N3077=Calendar!$K$4)),P3077*100+COUNTIFS($P$6:$P$3267,P3077,$Q$6:$Q$3267,"&lt;="&amp;Q3077,$N$6:$N$3267,Calendar!$K$4),"")</f>
        <v/>
      </c>
      <c r="W3077" s="47">
        <f>IF(AND(B3077=Queue!$C$4,OR(Queue!$K$4="*",N3077=Queue!$K$4)),Q3077,"")</f>
        <v/>
      </c>
    </row>
    <row r="3078">
      <c r="A3078" s="38">
        <f>IF(M3078="","",HYPERLINK("https://www.youtube.com/watch?v="&amp;M3078,"▶"))</f>
        <v/>
      </c>
      <c r="B3078" s="39">
        <f>IF(C3078&lt;&gt;"",C3078,IF(P3078&lt;=IFERROR(INDEX(tblChannels[Watched Through],MATCH(N3078,tblChannels[Channel ID],0)),0),"Watched","Unwatched"))</f>
        <v/>
      </c>
      <c r="C3078" s="40" t="n"/>
      <c r="D3078" s="41" t="n"/>
      <c r="E3078" s="42" t="n">
        <v>41348.95416666667</v>
      </c>
      <c r="F3078" s="50" t="inlineStr">
        <is>
          <t>Super Carlin Brothers</t>
        </is>
      </c>
      <c r="G3078" t="inlineStr">
        <is>
          <t>Best of Ben SCB</t>
        </is>
      </c>
      <c r="H3078" s="44" t="n">
        <v>0.003310185185185185</v>
      </c>
      <c r="I3078" s="45" t="n">
        <v>15988</v>
      </c>
      <c r="J3078" s="45" t="n">
        <v>437</v>
      </c>
      <c r="K3078" s="45" t="n">
        <v>57</v>
      </c>
      <c r="L3078" s="46" t="n"/>
      <c r="M3078" s="47" t="n"/>
      <c r="N3078" s="47" t="inlineStr">
        <is>
          <t>UCKZo4N0lVPccBkSiuyVh4yg</t>
        </is>
      </c>
      <c r="O3078" s="48" t="n">
        <v>41349.12083333333</v>
      </c>
      <c r="P3078" s="49" t="n">
        <v>41348</v>
      </c>
      <c r="Q3078" s="47" t="n">
        <v>190</v>
      </c>
      <c r="R3078" s="47" t="inlineStr">
        <is>
          <t>No Video ID yet</t>
        </is>
      </c>
      <c r="S3078" s="49" t="n"/>
      <c r="T3078" s="49" t="n"/>
      <c r="U3078" s="47" t="inlineStr">
        <is>
          <t>Super Carlin Brothers fans are one of a kind. You all are the best. =D</t>
        </is>
      </c>
      <c r="V3078" s="47">
        <f>IF(AND(P3078&gt;=Calendar!$K$2,P3078&lt;EDATE(Calendar!$K$2,1),OR(Calendar!$K$4="*",N3078=Calendar!$K$4)),P3078*100+COUNTIFS($P$6:$P$3267,P3078,$Q$6:$Q$3267,"&lt;="&amp;Q3078,$N$6:$N$3267,Calendar!$K$4),"")</f>
        <v/>
      </c>
      <c r="W3078" s="47">
        <f>IF(AND(B3078=Queue!$C$4,OR(Queue!$K$4="*",N3078=Queue!$K$4)),Q3078,"")</f>
        <v/>
      </c>
    </row>
    <row r="3079">
      <c r="A3079" s="38">
        <f>IF(M3079="","",HYPERLINK("https://www.youtube.com/watch?v="&amp;M3079,"▶"))</f>
        <v/>
      </c>
      <c r="B3079" s="39">
        <f>IF(C3079&lt;&gt;"",C3079,IF(P3079&lt;=IFERROR(INDEX(tblChannels[Watched Through],MATCH(N3079,tblChannels[Channel ID],0)),0),"Watched","Unwatched"))</f>
        <v/>
      </c>
      <c r="C3079" s="40" t="n"/>
      <c r="D3079" s="41" t="n"/>
      <c r="E3079" s="42" t="n">
        <v>41347.91736111111</v>
      </c>
      <c r="F3079" s="50" t="inlineStr">
        <is>
          <t>Super Carlin Brothers</t>
        </is>
      </c>
      <c r="G3079" t="inlineStr">
        <is>
          <t>Most Random Number 1-100</t>
        </is>
      </c>
      <c r="H3079" s="44" t="n">
        <v>0.002951388888888889</v>
      </c>
      <c r="I3079" s="45" t="n">
        <v>99023</v>
      </c>
      <c r="J3079" s="45" t="n">
        <v>2056</v>
      </c>
      <c r="K3079" s="45" t="n">
        <v>5087</v>
      </c>
      <c r="L3079" s="46" t="n"/>
      <c r="M3079" s="47" t="n"/>
      <c r="N3079" s="47" t="inlineStr">
        <is>
          <t>UCKZo4N0lVPccBkSiuyVh4yg</t>
        </is>
      </c>
      <c r="O3079" s="48" t="n">
        <v>41348.08402777778</v>
      </c>
      <c r="P3079" s="49" t="n">
        <v>41347</v>
      </c>
      <c r="Q3079" s="47" t="n">
        <v>189</v>
      </c>
      <c r="R3079" s="47" t="inlineStr">
        <is>
          <t>No Video ID yet</t>
        </is>
      </c>
      <c r="S3079" s="49" t="n"/>
      <c r="T3079" s="49" t="n"/>
      <c r="U3079" s="47" t="inlineStr">
        <is>
          <t>Pick a number right now 1-100 and leave it in the towel section! GO! HURRY! Thanks for supporting us and helping our community grow to over 1000 subscribers, what has been your favorite memory so far?</t>
        </is>
      </c>
      <c r="V3079" s="47">
        <f>IF(AND(P3079&gt;=Calendar!$K$2,P3079&lt;EDATE(Calendar!$K$2,1),OR(Calendar!$K$4="*",N3079=Calendar!$K$4)),P3079*100+COUNTIFS($P$6:$P$3267,P3079,$Q$6:$Q$3267,"&lt;="&amp;Q3079,$N$6:$N$3267,Calendar!$K$4),"")</f>
        <v/>
      </c>
      <c r="W3079" s="47">
        <f>IF(AND(B3079=Queue!$C$4,OR(Queue!$K$4="*",N3079=Queue!$K$4)),Q3079,"")</f>
        <v/>
      </c>
    </row>
    <row r="3080">
      <c r="A3080" s="38">
        <f>IF(M3080="","",HYPERLINK("https://www.youtube.com/watch?v="&amp;M3080,"▶"))</f>
        <v/>
      </c>
      <c r="B3080" s="39">
        <f>IF(C3080&lt;&gt;"",C3080,IF(P3080&lt;=IFERROR(INDEX(tblChannels[Watched Through],MATCH(N3080,tblChannels[Channel ID],0)),0),"Watched","Unwatched"))</f>
        <v/>
      </c>
      <c r="C3080" s="40" t="n"/>
      <c r="D3080" s="41" t="n"/>
      <c r="E3080" s="42" t="n">
        <v>41346.90486111111</v>
      </c>
      <c r="F3080" s="50" t="inlineStr">
        <is>
          <t>Super Carlin Brothers</t>
        </is>
      </c>
      <c r="G3080" t="inlineStr">
        <is>
          <t>Being Yourself</t>
        </is>
      </c>
      <c r="H3080" s="44" t="n">
        <v>0.002048611111111111</v>
      </c>
      <c r="I3080" s="45" t="n">
        <v>9273</v>
      </c>
      <c r="J3080" s="45" t="n">
        <v>216</v>
      </c>
      <c r="K3080" s="45" t="n">
        <v>47</v>
      </c>
      <c r="L3080" s="46" t="n"/>
      <c r="M3080" s="47" t="n"/>
      <c r="N3080" s="47" t="inlineStr">
        <is>
          <t>UCKZo4N0lVPccBkSiuyVh4yg</t>
        </is>
      </c>
      <c r="O3080" s="48" t="n">
        <v>41347.07152777778</v>
      </c>
      <c r="P3080" s="49" t="n">
        <v>41346</v>
      </c>
      <c r="Q3080" s="47" t="n">
        <v>188</v>
      </c>
      <c r="R3080" s="47" t="inlineStr">
        <is>
          <t>No Video ID yet</t>
        </is>
      </c>
      <c r="S3080" s="49" t="n"/>
      <c r="T3080" s="49" t="n"/>
      <c r="U3080" s="47" t="inlineStr">
        <is>
          <t>Do you have one version of yourself that applies to all situations? or Different versions to fit situations? This seemed brilliant when I came up with it but I've had very little sleep this week... go easy on me :) Twitter: @SCB_Ben and @Jonkerlin =D</t>
        </is>
      </c>
      <c r="V3080" s="47">
        <f>IF(AND(P3080&gt;=Calendar!$K$2,P3080&lt;EDATE(Calendar!$K$2,1),OR(Calendar!$K$4="*",N3080=Calendar!$K$4)),P3080*100+COUNTIFS($P$6:$P$3267,P3080,$Q$6:$Q$3267,"&lt;="&amp;Q3080,$N$6:$N$3267,Calendar!$K$4),"")</f>
        <v/>
      </c>
      <c r="W3080" s="47">
        <f>IF(AND(B3080=Queue!$C$4,OR(Queue!$K$4="*",N3080=Queue!$K$4)),Q3080,"")</f>
        <v/>
      </c>
    </row>
    <row r="3081">
      <c r="A3081" s="38">
        <f>IF(M3081="","",HYPERLINK("https://www.youtube.com/watch?v="&amp;M3081,"▶"))</f>
        <v/>
      </c>
      <c r="B3081" s="39">
        <f>IF(C3081&lt;&gt;"",C3081,IF(P3081&lt;=IFERROR(INDEX(tblChannels[Watched Through],MATCH(N3081,tblChannels[Channel ID],0)),0),"Watched","Unwatched"))</f>
        <v/>
      </c>
      <c r="C3081" s="40" t="n"/>
      <c r="D3081" s="41" t="n"/>
      <c r="E3081" s="42" t="n">
        <v>41345.86666666667</v>
      </c>
      <c r="F3081" s="50" t="inlineStr">
        <is>
          <t>Super Carlin Brothers</t>
        </is>
      </c>
      <c r="G3081" t="inlineStr">
        <is>
          <t>Candy Wars! -  Feat. Panikann</t>
        </is>
      </c>
      <c r="H3081" s="44" t="n">
        <v>0.002615740740740741</v>
      </c>
      <c r="I3081" s="45" t="n">
        <v>31391</v>
      </c>
      <c r="J3081" s="45" t="n">
        <v>692</v>
      </c>
      <c r="K3081" s="45" t="n">
        <v>86</v>
      </c>
      <c r="L3081" s="46" t="n"/>
      <c r="M3081" s="47" t="n"/>
      <c r="N3081" s="47" t="inlineStr">
        <is>
          <t>UCKZo4N0lVPccBkSiuyVh4yg</t>
        </is>
      </c>
      <c r="O3081" s="48" t="n">
        <v>41346.03333333333</v>
      </c>
      <c r="P3081" s="49" t="n">
        <v>41345</v>
      </c>
      <c r="Q3081" s="47" t="n">
        <v>187</v>
      </c>
      <c r="R3081" s="47" t="inlineStr">
        <is>
          <t>No Video ID yet</t>
        </is>
      </c>
      <c r="S3081" s="49" t="n"/>
      <c r="T3081" s="49" t="n"/>
      <c r="U3081" s="47" t="inlineStr">
        <is>
          <t>Check out Panikann here: What is your favorite Candy? A battle rages across the internet.. who will win??? Twitter: @jonkerlin AND @SCB_Ben AND @Panikann</t>
        </is>
      </c>
      <c r="V3081" s="47">
        <f>IF(AND(P3081&gt;=Calendar!$K$2,P3081&lt;EDATE(Calendar!$K$2,1),OR(Calendar!$K$4="*",N3081=Calendar!$K$4)),P3081*100+COUNTIFS($P$6:$P$3267,P3081,$Q$6:$Q$3267,"&lt;="&amp;Q3081,$N$6:$N$3267,Calendar!$K$4),"")</f>
        <v/>
      </c>
      <c r="W3081" s="47">
        <f>IF(AND(B3081=Queue!$C$4,OR(Queue!$K$4="*",N3081=Queue!$K$4)),Q3081,"")</f>
        <v/>
      </c>
    </row>
    <row r="3082">
      <c r="A3082" s="38">
        <f>IF(M3082="","",HYPERLINK("https://www.youtube.com/watch?v="&amp;M3082,"▶"))</f>
        <v/>
      </c>
      <c r="B3082" s="39">
        <f>IF(C3082&lt;&gt;"",C3082,IF(P3082&lt;=IFERROR(INDEX(tblChannels[Watched Through],MATCH(N3082,tblChannels[Channel ID],0)),0),"Watched","Unwatched"))</f>
        <v/>
      </c>
      <c r="C3082" s="40" t="n"/>
      <c r="D3082" s="41" t="n"/>
      <c r="E3082" s="42" t="n">
        <v>41344.90138888889</v>
      </c>
      <c r="F3082" s="50" t="inlineStr">
        <is>
          <t>Super Carlin Brothers</t>
        </is>
      </c>
      <c r="G3082" t="inlineStr">
        <is>
          <t>Just Noticeable Difference</t>
        </is>
      </c>
      <c r="H3082" s="44" t="n">
        <v>0.002083333333333333</v>
      </c>
      <c r="I3082" s="45" t="n">
        <v>16985</v>
      </c>
      <c r="J3082" s="45" t="n">
        <v>295</v>
      </c>
      <c r="K3082" s="45" t="n">
        <v>49</v>
      </c>
      <c r="L3082" s="46" t="n"/>
      <c r="M3082" s="47" t="n"/>
      <c r="N3082" s="47" t="inlineStr">
        <is>
          <t>UCKZo4N0lVPccBkSiuyVh4yg</t>
        </is>
      </c>
      <c r="O3082" s="48" t="n">
        <v>41345.06805555556</v>
      </c>
      <c r="P3082" s="49" t="n">
        <v>41344</v>
      </c>
      <c r="Q3082" s="47" t="n">
        <v>186</v>
      </c>
      <c r="R3082" s="47" t="inlineStr">
        <is>
          <t>No Video ID yet</t>
        </is>
      </c>
      <c r="S3082" s="49" t="n"/>
      <c r="T3082" s="49" t="n"/>
      <c r="U3082" s="47" t="inlineStr">
        <is>
          <t>1. Do you ever get impatient to where you call just 10 seconds too soon? 2. Would you notice 1-2 fewer m&amp;m's per bag!? 3. Did you notice what was different?! Twitter: @SCB_Ben and @jonkerlin =D</t>
        </is>
      </c>
      <c r="V3082" s="47">
        <f>IF(AND(P3082&gt;=Calendar!$K$2,P3082&lt;EDATE(Calendar!$K$2,1),OR(Calendar!$K$4="*",N3082=Calendar!$K$4)),P3082*100+COUNTIFS($P$6:$P$3267,P3082,$Q$6:$Q$3267,"&lt;="&amp;Q3082,$N$6:$N$3267,Calendar!$K$4),"")</f>
        <v/>
      </c>
      <c r="W3082" s="47">
        <f>IF(AND(B3082=Queue!$C$4,OR(Queue!$K$4="*",N3082=Queue!$K$4)),Q3082,"")</f>
        <v/>
      </c>
    </row>
    <row r="3083">
      <c r="A3083" s="38">
        <f>IF(M3083="","",HYPERLINK("https://www.youtube.com/watch?v="&amp;M3083,"▶"))</f>
        <v/>
      </c>
      <c r="B3083" s="39">
        <f>IF(C3083&lt;&gt;"",C3083,IF(P3083&lt;=IFERROR(INDEX(tblChannels[Watched Through],MATCH(N3083,tblChannels[Channel ID],0)),0),"Watched","Unwatched"))</f>
        <v/>
      </c>
      <c r="C3083" s="40" t="n"/>
      <c r="D3083" s="41" t="n"/>
      <c r="E3083" s="42" t="n">
        <v>41341.86319444444</v>
      </c>
      <c r="F3083" s="50" t="inlineStr">
        <is>
          <t>Super Carlin Brothers</t>
        </is>
      </c>
      <c r="G3083" t="inlineStr">
        <is>
          <t>NOT A Small World Afterall</t>
        </is>
      </c>
      <c r="H3083" s="44" t="n">
        <v>0.00287037037037037</v>
      </c>
      <c r="I3083" s="45" t="n">
        <v>32713</v>
      </c>
      <c r="J3083" s="45" t="n">
        <v>662</v>
      </c>
      <c r="K3083" s="45" t="n">
        <v>186</v>
      </c>
      <c r="L3083" s="46" t="n"/>
      <c r="M3083" s="47" t="n"/>
      <c r="N3083" s="47" t="inlineStr">
        <is>
          <t>UCKZo4N0lVPccBkSiuyVh4yg</t>
        </is>
      </c>
      <c r="O3083" s="48" t="n">
        <v>41342.07152777778</v>
      </c>
      <c r="P3083" s="49" t="n">
        <v>41341</v>
      </c>
      <c r="Q3083" s="47" t="n">
        <v>185</v>
      </c>
      <c r="R3083" s="47" t="inlineStr">
        <is>
          <t>No Video ID yet</t>
        </is>
      </c>
      <c r="S3083" s="49" t="n"/>
      <c r="T3083" s="49" t="n"/>
      <c r="U3083" s="47" t="inlineStr">
        <is>
          <t>I reveal my very poor Geography hand and talk about annoying people. How do you determine where you are from?</t>
        </is>
      </c>
      <c r="V3083" s="47">
        <f>IF(AND(P3083&gt;=Calendar!$K$2,P3083&lt;EDATE(Calendar!$K$2,1),OR(Calendar!$K$4="*",N3083=Calendar!$K$4)),P3083*100+COUNTIFS($P$6:$P$3267,P3083,$Q$6:$Q$3267,"&lt;="&amp;Q3083,$N$6:$N$3267,Calendar!$K$4),"")</f>
        <v/>
      </c>
      <c r="W3083" s="47">
        <f>IF(AND(B3083=Queue!$C$4,OR(Queue!$K$4="*",N3083=Queue!$K$4)),Q3083,"")</f>
        <v/>
      </c>
    </row>
    <row r="3084">
      <c r="A3084" s="38">
        <f>IF(M3084="","",HYPERLINK("https://www.youtube.com/watch?v="&amp;M3084,"▶"))</f>
        <v/>
      </c>
      <c r="B3084" s="39">
        <f>IF(C3084&lt;&gt;"",C3084,IF(P3084&lt;=IFERROR(INDEX(tblChannels[Watched Through],MATCH(N3084,tblChannels[Channel ID],0)),0),"Watched","Unwatched"))</f>
        <v/>
      </c>
      <c r="C3084" s="40" t="n"/>
      <c r="D3084" s="41" t="n"/>
      <c r="E3084" s="42" t="n">
        <v>41341.00208333333</v>
      </c>
      <c r="F3084" s="50" t="inlineStr">
        <is>
          <t>Super Carlin Brothers</t>
        </is>
      </c>
      <c r="G3084" t="inlineStr">
        <is>
          <t>10,000 Hour Rule</t>
        </is>
      </c>
      <c r="H3084" s="44" t="n">
        <v>0.002743055555555555</v>
      </c>
      <c r="I3084" s="45" t="n">
        <v>14079</v>
      </c>
      <c r="J3084" s="45" t="n">
        <v>305</v>
      </c>
      <c r="K3084" s="45" t="n">
        <v>78</v>
      </c>
      <c r="L3084" s="46" t="n"/>
      <c r="M3084" s="47" t="n"/>
      <c r="N3084" s="47" t="inlineStr">
        <is>
          <t>UCKZo4N0lVPccBkSiuyVh4yg</t>
        </is>
      </c>
      <c r="O3084" s="48" t="n">
        <v>41341.21041666667</v>
      </c>
      <c r="P3084" s="49" t="n">
        <v>41341</v>
      </c>
      <c r="Q3084" s="47" t="n">
        <v>184</v>
      </c>
      <c r="R3084" s="47" t="inlineStr">
        <is>
          <t>No Video ID yet</t>
        </is>
      </c>
      <c r="S3084" s="49" t="n"/>
      <c r="T3084" s="49" t="n"/>
      <c r="U3084" s="47" t="inlineStr">
        <is>
          <t>Does talent effect the amount of time it takes to become a professional? Twitter... if you've got one follow me... J is killing me... @SCB_Ben Thanks for watching! =D</t>
        </is>
      </c>
      <c r="V3084" s="47">
        <f>IF(AND(P3084&gt;=Calendar!$K$2,P3084&lt;EDATE(Calendar!$K$2,1),OR(Calendar!$K$4="*",N3084=Calendar!$K$4)),P3084*100+COUNTIFS($P$6:$P$3267,P3084,$Q$6:$Q$3267,"&lt;="&amp;Q3084,$N$6:$N$3267,Calendar!$K$4),"")</f>
        <v/>
      </c>
      <c r="W3084" s="47">
        <f>IF(AND(B3084=Queue!$C$4,OR(Queue!$K$4="*",N3084=Queue!$K$4)),Q3084,"")</f>
        <v/>
      </c>
    </row>
    <row r="3085">
      <c r="A3085" s="38">
        <f>IF(M3085="","",HYPERLINK("https://www.youtube.com/watch?v="&amp;M3085,"▶"))</f>
        <v/>
      </c>
      <c r="B3085" s="39">
        <f>IF(C3085&lt;&gt;"",C3085,IF(P3085&lt;=IFERROR(INDEX(tblChannels[Watched Through],MATCH(N3085,tblChannels[Channel ID],0)),0),"Watched","Unwatched"))</f>
        <v/>
      </c>
      <c r="C3085" s="40" t="n"/>
      <c r="D3085" s="41" t="n"/>
      <c r="E3085" s="42" t="n">
        <v>41339.88402777778</v>
      </c>
      <c r="F3085" s="50" t="inlineStr">
        <is>
          <t>Super Carlin Brothers</t>
        </is>
      </c>
      <c r="G3085" t="inlineStr">
        <is>
          <t>Maximize the Experience!</t>
        </is>
      </c>
      <c r="H3085" s="44" t="n">
        <v>0.003240740740740741</v>
      </c>
      <c r="I3085" s="45" t="n">
        <v>22813</v>
      </c>
      <c r="J3085" s="45" t="n">
        <v>480</v>
      </c>
      <c r="K3085" s="45" t="n">
        <v>82</v>
      </c>
      <c r="L3085" s="46" t="n"/>
      <c r="M3085" s="47" t="n"/>
      <c r="N3085" s="47" t="inlineStr">
        <is>
          <t>UCKZo4N0lVPccBkSiuyVh4yg</t>
        </is>
      </c>
      <c r="O3085" s="48" t="n">
        <v>41340.09236111111</v>
      </c>
      <c r="P3085" s="49" t="n">
        <v>41339</v>
      </c>
      <c r="Q3085" s="47" t="n">
        <v>183</v>
      </c>
      <c r="R3085" s="47" t="inlineStr">
        <is>
          <t>No Video ID yet</t>
        </is>
      </c>
      <c r="S3085" s="49" t="n"/>
      <c r="T3085" s="49" t="n"/>
      <c r="U3085" s="47" t="inlineStr">
        <is>
          <t>Do you try and get the most memories out of every situation?</t>
        </is>
      </c>
      <c r="V3085" s="47">
        <f>IF(AND(P3085&gt;=Calendar!$K$2,P3085&lt;EDATE(Calendar!$K$2,1),OR(Calendar!$K$4="*",N3085=Calendar!$K$4)),P3085*100+COUNTIFS($P$6:$P$3267,P3085,$Q$6:$Q$3267,"&lt;="&amp;Q3085,$N$6:$N$3267,Calendar!$K$4),"")</f>
        <v/>
      </c>
      <c r="W3085" s="47">
        <f>IF(AND(B3085=Queue!$C$4,OR(Queue!$K$4="*",N3085=Queue!$K$4)),Q3085,"")</f>
        <v/>
      </c>
    </row>
    <row r="3086">
      <c r="A3086" s="38">
        <f>IF(M3086="","",HYPERLINK("https://www.youtube.com/watch?v="&amp;M3086,"▶"))</f>
        <v/>
      </c>
      <c r="B3086" s="39">
        <f>IF(C3086&lt;&gt;"",C3086,IF(P3086&lt;=IFERROR(INDEX(tblChannels[Watched Through],MATCH(N3086,tblChannels[Channel ID],0)),0),"Watched","Unwatched"))</f>
        <v/>
      </c>
      <c r="C3086" s="40" t="n"/>
      <c r="D3086" s="41" t="n"/>
      <c r="E3086" s="42" t="n">
        <v>41338.99652777778</v>
      </c>
      <c r="F3086" s="50" t="inlineStr">
        <is>
          <t>Super Carlin Brothers</t>
        </is>
      </c>
      <c r="G3086" t="inlineStr">
        <is>
          <t>Coffee Beans and Tennis Shoes</t>
        </is>
      </c>
      <c r="H3086" s="44" t="n">
        <v>0.002418981481481482</v>
      </c>
      <c r="I3086" s="45" t="n">
        <v>10849</v>
      </c>
      <c r="J3086" s="45" t="n">
        <v>222</v>
      </c>
      <c r="K3086" s="45" t="n">
        <v>68</v>
      </c>
      <c r="L3086" s="46" t="n"/>
      <c r="M3086" s="47" t="n"/>
      <c r="N3086" s="47" t="inlineStr">
        <is>
          <t>UCKZo4N0lVPccBkSiuyVh4yg</t>
        </is>
      </c>
      <c r="O3086" s="48" t="n">
        <v>41339.20486111111</v>
      </c>
      <c r="P3086" s="49" t="n">
        <v>41338</v>
      </c>
      <c r="Q3086" s="47" t="n">
        <v>182</v>
      </c>
      <c r="R3086" s="47" t="inlineStr">
        <is>
          <t>No Video ID yet</t>
        </is>
      </c>
      <c r="S3086" s="49" t="n"/>
      <c r="T3086" s="49" t="n"/>
      <c r="U3086" s="47" t="inlineStr">
        <is>
          <t>I guess what I am wondering is if the end result is the same... Should intentions matter? Twitter: @SCB_Ben and @Jonkerlin =D</t>
        </is>
      </c>
      <c r="V3086" s="47">
        <f>IF(AND(P3086&gt;=Calendar!$K$2,P3086&lt;EDATE(Calendar!$K$2,1),OR(Calendar!$K$4="*",N3086=Calendar!$K$4)),P3086*100+COUNTIFS($P$6:$P$3267,P3086,$Q$6:$Q$3267,"&lt;="&amp;Q3086,$N$6:$N$3267,Calendar!$K$4),"")</f>
        <v/>
      </c>
      <c r="W3086" s="47">
        <f>IF(AND(B3086=Queue!$C$4,OR(Queue!$K$4="*",N3086=Queue!$K$4)),Q3086,"")</f>
        <v/>
      </c>
    </row>
    <row r="3087">
      <c r="A3087" s="38">
        <f>IF(M3087="","",HYPERLINK("https://www.youtube.com/watch?v="&amp;M3087,"▶"))</f>
        <v/>
      </c>
      <c r="B3087" s="39">
        <f>IF(C3087&lt;&gt;"",C3087,IF(P3087&lt;=IFERROR(INDEX(tblChannels[Watched Through],MATCH(N3087,tblChannels[Channel ID],0)),0),"Watched","Unwatched"))</f>
        <v/>
      </c>
      <c r="C3087" s="40" t="n"/>
      <c r="D3087" s="41" t="n"/>
      <c r="E3087" s="42" t="n">
        <v>41337.94375</v>
      </c>
      <c r="F3087" s="50" t="inlineStr">
        <is>
          <t>Super Carlin Brothers</t>
        </is>
      </c>
      <c r="G3087" t="inlineStr">
        <is>
          <t>SNOWMAGEDDON!</t>
        </is>
      </c>
      <c r="H3087" s="44" t="n">
        <v>0.002835648148148148</v>
      </c>
      <c r="I3087" s="45" t="n">
        <v>13852</v>
      </c>
      <c r="J3087" s="45" t="n">
        <v>320</v>
      </c>
      <c r="K3087" s="45" t="n">
        <v>205</v>
      </c>
      <c r="L3087" s="46" t="n"/>
      <c r="M3087" s="47" t="n"/>
      <c r="N3087" s="47" t="inlineStr">
        <is>
          <t>UCKZo4N0lVPccBkSiuyVh4yg</t>
        </is>
      </c>
      <c r="O3087" s="48" t="n">
        <v>41338.15208333333</v>
      </c>
      <c r="P3087" s="49" t="n">
        <v>41337</v>
      </c>
      <c r="Q3087" s="47" t="n">
        <v>181</v>
      </c>
      <c r="R3087" s="47" t="inlineStr">
        <is>
          <t>No Video ID yet</t>
        </is>
      </c>
      <c r="S3087" s="49" t="n"/>
      <c r="T3087" s="49" t="n"/>
      <c r="U3087" s="47" t="inlineStr">
        <is>
          <t>Its worse than a hurricane! Worse than Tornado! It's 4-8 inches of snow!!! Does your town totally freak out when in snows?</t>
        </is>
      </c>
      <c r="V3087" s="47">
        <f>IF(AND(P3087&gt;=Calendar!$K$2,P3087&lt;EDATE(Calendar!$K$2,1),OR(Calendar!$K$4="*",N3087=Calendar!$K$4)),P3087*100+COUNTIFS($P$6:$P$3267,P3087,$Q$6:$Q$3267,"&lt;="&amp;Q3087,$N$6:$N$3267,Calendar!$K$4),"")</f>
        <v/>
      </c>
      <c r="W3087" s="47">
        <f>IF(AND(B3087=Queue!$C$4,OR(Queue!$K$4="*",N3087=Queue!$K$4)),Q3087,"")</f>
        <v/>
      </c>
    </row>
    <row r="3088">
      <c r="A3088" s="38">
        <f>IF(M3088="","",HYPERLINK("https://www.youtube.com/watch?v="&amp;M3088,"▶"))</f>
        <v/>
      </c>
      <c r="B3088" s="39">
        <f>IF(C3088&lt;&gt;"",C3088,IF(P3088&lt;=IFERROR(INDEX(tblChannels[Watched Through],MATCH(N3088,tblChannels[Channel ID],0)),0),"Watched","Unwatched"))</f>
        <v/>
      </c>
      <c r="C3088" s="40" t="n"/>
      <c r="D3088" s="41" t="n"/>
      <c r="E3088" s="42" t="n">
        <v>41334.99236111111</v>
      </c>
      <c r="F3088" s="50" t="inlineStr">
        <is>
          <t>Super Carlin Brothers</t>
        </is>
      </c>
      <c r="G3088" t="inlineStr">
        <is>
          <t>Coral Fragging and Puppy Naming</t>
        </is>
      </c>
      <c r="H3088" s="44" t="n">
        <v>0.002662037037037037</v>
      </c>
      <c r="I3088" s="45" t="n">
        <v>10596</v>
      </c>
      <c r="J3088" s="45" t="n">
        <v>294</v>
      </c>
      <c r="K3088" s="45" t="n">
        <v>77</v>
      </c>
      <c r="L3088" s="46" t="n"/>
      <c r="M3088" s="47" t="n"/>
      <c r="N3088" s="47" t="inlineStr">
        <is>
          <t>UCKZo4N0lVPccBkSiuyVh4yg</t>
        </is>
      </c>
      <c r="O3088" s="48" t="n">
        <v>41335.20069444444</v>
      </c>
      <c r="P3088" s="49" t="n">
        <v>41334</v>
      </c>
      <c r="Q3088" s="47" t="n">
        <v>180</v>
      </c>
      <c r="R3088" s="47" t="inlineStr">
        <is>
          <t>No Video ID yet</t>
        </is>
      </c>
      <c r="S3088" s="49" t="n"/>
      <c r="T3088" s="49" t="n"/>
      <c r="U3088" s="47" t="inlineStr">
        <is>
          <t>Please help me think of a name for this dog :) If I haven't mentioned it before SCB viewers are the best. Twitter: @SCB_Ben and @ Jonkerlin Thanks for Watching =D</t>
        </is>
      </c>
      <c r="V3088" s="47">
        <f>IF(AND(P3088&gt;=Calendar!$K$2,P3088&lt;EDATE(Calendar!$K$2,1),OR(Calendar!$K$4="*",N3088=Calendar!$K$4)),P3088*100+COUNTIFS($P$6:$P$3267,P3088,$Q$6:$Q$3267,"&lt;="&amp;Q3088,$N$6:$N$3267,Calendar!$K$4),"")</f>
        <v/>
      </c>
      <c r="W3088" s="47">
        <f>IF(AND(B3088=Queue!$C$4,OR(Queue!$K$4="*",N3088=Queue!$K$4)),Q3088,"")</f>
        <v/>
      </c>
    </row>
    <row r="3089">
      <c r="A3089" s="38">
        <f>IF(M3089="","",HYPERLINK("https://www.youtube.com/watch?v="&amp;M3089,"▶"))</f>
        <v/>
      </c>
      <c r="B3089" s="39">
        <f>IF(C3089&lt;&gt;"",C3089,IF(P3089&lt;=IFERROR(INDEX(tblChannels[Watched Through],MATCH(N3089,tblChannels[Channel ID],0)),0),"Watched","Unwatched"))</f>
        <v/>
      </c>
      <c r="C3089" s="40" t="n"/>
      <c r="D3089" s="41" t="n"/>
      <c r="E3089" s="42" t="n">
        <v>41333.975</v>
      </c>
      <c r="F3089" s="50" t="inlineStr">
        <is>
          <t>Super Carlin Brothers</t>
        </is>
      </c>
      <c r="G3089" t="inlineStr">
        <is>
          <t>Getting Physical... Therapy</t>
        </is>
      </c>
      <c r="H3089" s="44" t="n">
        <v>0.002453703703703704</v>
      </c>
      <c r="I3089" s="45" t="n">
        <v>21380</v>
      </c>
      <c r="J3089" s="45" t="n">
        <v>692</v>
      </c>
      <c r="K3089" s="45" t="n">
        <v>114</v>
      </c>
      <c r="L3089" s="46" t="n"/>
      <c r="M3089" s="47" t="n"/>
      <c r="N3089" s="47" t="inlineStr">
        <is>
          <t>UCKZo4N0lVPccBkSiuyVh4yg</t>
        </is>
      </c>
      <c r="O3089" s="48" t="n">
        <v>41334.18333333333</v>
      </c>
      <c r="P3089" s="49" t="n">
        <v>41333</v>
      </c>
      <c r="Q3089" s="47" t="n">
        <v>179</v>
      </c>
      <c r="R3089" s="47" t="inlineStr">
        <is>
          <t>No Video ID yet</t>
        </is>
      </c>
      <c r="S3089" s="49" t="n"/>
      <c r="T3089" s="49" t="n"/>
      <c r="U3089" s="47" t="inlineStr">
        <is>
          <t>Well looks like I cant run my half marathon... here are some dance moves though.</t>
        </is>
      </c>
      <c r="V3089" s="47">
        <f>IF(AND(P3089&gt;=Calendar!$K$2,P3089&lt;EDATE(Calendar!$K$2,1),OR(Calendar!$K$4="*",N3089=Calendar!$K$4)),P3089*100+COUNTIFS($P$6:$P$3267,P3089,$Q$6:$Q$3267,"&lt;="&amp;Q3089,$N$6:$N$3267,Calendar!$K$4),"")</f>
        <v/>
      </c>
      <c r="W3089" s="47">
        <f>IF(AND(B3089=Queue!$C$4,OR(Queue!$K$4="*",N3089=Queue!$K$4)),Q3089,"")</f>
        <v/>
      </c>
    </row>
    <row r="3090">
      <c r="A3090" s="38">
        <f>IF(M3090="","",HYPERLINK("https://www.youtube.com/watch?v="&amp;M3090,"▶"))</f>
        <v/>
      </c>
      <c r="B3090" s="39">
        <f>IF(C3090&lt;&gt;"",C3090,IF(P3090&lt;=IFERROR(INDEX(tblChannels[Watched Through],MATCH(N3090,tblChannels[Channel ID],0)),0),"Watched","Unwatched"))</f>
        <v/>
      </c>
      <c r="C3090" s="40" t="n"/>
      <c r="D3090" s="41" t="n"/>
      <c r="E3090" s="42" t="n">
        <v>41332.93263888889</v>
      </c>
      <c r="F3090" s="50" t="inlineStr">
        <is>
          <t>Super Carlin Brothers</t>
        </is>
      </c>
      <c r="G3090" t="inlineStr">
        <is>
          <t>Comment Comments</t>
        </is>
      </c>
      <c r="H3090" s="44" t="n">
        <v>0.002476851851851852</v>
      </c>
      <c r="I3090" s="45" t="n">
        <v>11830</v>
      </c>
      <c r="J3090" s="45" t="n">
        <v>278</v>
      </c>
      <c r="K3090" s="45" t="n">
        <v>48</v>
      </c>
      <c r="L3090" s="46" t="n"/>
      <c r="M3090" s="47" t="n"/>
      <c r="N3090" s="47" t="inlineStr">
        <is>
          <t>UCKZo4N0lVPccBkSiuyVh4yg</t>
        </is>
      </c>
      <c r="O3090" s="48" t="n">
        <v>41333.14097222222</v>
      </c>
      <c r="P3090" s="49" t="n">
        <v>41332</v>
      </c>
      <c r="Q3090" s="47" t="n">
        <v>178</v>
      </c>
      <c r="R3090" s="47" t="inlineStr">
        <is>
          <t>No Video ID yet</t>
        </is>
      </c>
      <c r="S3090" s="49" t="n"/>
      <c r="T3090" s="49" t="n"/>
      <c r="U3090" s="47" t="inlineStr">
        <is>
          <t>What do you think is behind the door?!?! Also what is your opinion on Moustaches? ps. did you find the hidden link? pps. Twitter: @SCB_Ben and @Jonkerlin =D</t>
        </is>
      </c>
      <c r="V3090" s="47">
        <f>IF(AND(P3090&gt;=Calendar!$K$2,P3090&lt;EDATE(Calendar!$K$2,1),OR(Calendar!$K$4="*",N3090=Calendar!$K$4)),P3090*100+COUNTIFS($P$6:$P$3267,P3090,$Q$6:$Q$3267,"&lt;="&amp;Q3090,$N$6:$N$3267,Calendar!$K$4),"")</f>
        <v/>
      </c>
      <c r="W3090" s="47">
        <f>IF(AND(B3090=Queue!$C$4,OR(Queue!$K$4="*",N3090=Queue!$K$4)),Q3090,"")</f>
        <v/>
      </c>
    </row>
    <row r="3091">
      <c r="A3091" s="38">
        <f>IF(M3091="","",HYPERLINK("https://www.youtube.com/watch?v="&amp;M3091,"▶"))</f>
        <v/>
      </c>
      <c r="B3091" s="39">
        <f>IF(C3091&lt;&gt;"",C3091,IF(P3091&lt;=IFERROR(INDEX(tblChannels[Watched Through],MATCH(N3091,tblChannels[Channel ID],0)),0),"Watched","Unwatched"))</f>
        <v/>
      </c>
      <c r="C3091" s="40" t="n"/>
      <c r="D3091" s="41" t="n"/>
      <c r="E3091" s="42" t="n">
        <v>41331.95694444444</v>
      </c>
      <c r="F3091" s="50" t="inlineStr">
        <is>
          <t>Super Carlin Brothers</t>
        </is>
      </c>
      <c r="G3091" t="inlineStr">
        <is>
          <t>How to Eat an Everything Bagel</t>
        </is>
      </c>
      <c r="H3091" s="44" t="n">
        <v>0.002766203703703704</v>
      </c>
      <c r="I3091" s="45" t="n">
        <v>54840</v>
      </c>
      <c r="J3091" s="45" t="n">
        <v>1365</v>
      </c>
      <c r="K3091" s="45" t="n">
        <v>307</v>
      </c>
      <c r="L3091" s="46" t="n"/>
      <c r="M3091" s="47" t="n"/>
      <c r="N3091" s="47" t="inlineStr">
        <is>
          <t>UCKZo4N0lVPccBkSiuyVh4yg</t>
        </is>
      </c>
      <c r="O3091" s="48" t="n">
        <v>41332.16527777778</v>
      </c>
      <c r="P3091" s="49" t="n">
        <v>41331</v>
      </c>
      <c r="Q3091" s="47" t="n">
        <v>177</v>
      </c>
      <c r="R3091" s="47" t="inlineStr">
        <is>
          <t>No Video ID yet</t>
        </is>
      </c>
      <c r="S3091" s="49" t="n"/>
      <c r="T3091" s="49" t="n"/>
      <c r="U3091" s="47" t="inlineStr">
        <is>
          <t>Like you didnt see this coming... Favorite bagel? Vid Response? Send Outro's, Grizzly Eagle Sharks, and/or Giraffalents here: supercarlinbrothers@gmail.com Tumblr :: Twitter :: @jonkerlin and @SCB_ben Facebook :: =D</t>
        </is>
      </c>
      <c r="V3091" s="47">
        <f>IF(AND(P3091&gt;=Calendar!$K$2,P3091&lt;EDATE(Calendar!$K$2,1),OR(Calendar!$K$4="*",N3091=Calendar!$K$4)),P3091*100+COUNTIFS($P$6:$P$3267,P3091,$Q$6:$Q$3267,"&lt;="&amp;Q3091,$N$6:$N$3267,Calendar!$K$4),"")</f>
        <v/>
      </c>
      <c r="W3091" s="47">
        <f>IF(AND(B3091=Queue!$C$4,OR(Queue!$K$4="*",N3091=Queue!$K$4)),Q3091,"")</f>
        <v/>
      </c>
    </row>
    <row r="3092">
      <c r="A3092" s="38">
        <f>IF(M3092="","",HYPERLINK("https://www.youtube.com/watch?v="&amp;M3092,"▶"))</f>
        <v/>
      </c>
      <c r="B3092" s="39">
        <f>IF(C3092&lt;&gt;"",C3092,IF(P3092&lt;=IFERROR(INDEX(tblChannels[Watched Through],MATCH(N3092,tblChannels[Channel ID],0)),0),"Watched","Unwatched"))</f>
        <v/>
      </c>
      <c r="C3092" s="40" t="n"/>
      <c r="D3092" s="41" t="n"/>
      <c r="E3092" s="42" t="n">
        <v>41330.9875</v>
      </c>
      <c r="F3092" s="50" t="inlineStr">
        <is>
          <t>Super Carlin Brothers</t>
        </is>
      </c>
      <c r="G3092" t="inlineStr">
        <is>
          <t>How to Improve Anything</t>
        </is>
      </c>
      <c r="H3092" s="44" t="n">
        <v>0.001388888888888889</v>
      </c>
      <c r="I3092" s="45" t="n">
        <v>15183</v>
      </c>
      <c r="J3092" s="45" t="n">
        <v>349</v>
      </c>
      <c r="K3092" s="45" t="n">
        <v>28</v>
      </c>
      <c r="L3092" s="46" t="n"/>
      <c r="M3092" s="47" t="n"/>
      <c r="N3092" s="47" t="inlineStr">
        <is>
          <t>UCKZo4N0lVPccBkSiuyVh4yg</t>
        </is>
      </c>
      <c r="O3092" s="48" t="n">
        <v>41331.19583333333</v>
      </c>
      <c r="P3092" s="49" t="n">
        <v>41330</v>
      </c>
      <c r="Q3092" s="47" t="n">
        <v>176</v>
      </c>
      <c r="R3092" s="47" t="inlineStr">
        <is>
          <t>No Video ID yet</t>
        </is>
      </c>
      <c r="S3092" s="49" t="n"/>
      <c r="T3092" s="49" t="n"/>
      <c r="U3092" s="47" t="inlineStr">
        <is>
          <t>I took a shot at a stop motion/CGPGrey Style video. The topic is a concept I learned in college by one of my favorite professors. I hope you guys enjoy! Twitter: @SCB_Ben and @Jonkerlin =D</t>
        </is>
      </c>
      <c r="V3092" s="47">
        <f>IF(AND(P3092&gt;=Calendar!$K$2,P3092&lt;EDATE(Calendar!$K$2,1),OR(Calendar!$K$4="*",N3092=Calendar!$K$4)),P3092*100+COUNTIFS($P$6:$P$3267,P3092,$Q$6:$Q$3267,"&lt;="&amp;Q3092,$N$6:$N$3267,Calendar!$K$4),"")</f>
        <v/>
      </c>
      <c r="W3092" s="47">
        <f>IF(AND(B3092=Queue!$C$4,OR(Queue!$K$4="*",N3092=Queue!$K$4)),Q3092,"")</f>
        <v/>
      </c>
    </row>
    <row r="3093">
      <c r="A3093" s="38">
        <f>IF(M3093="","",HYPERLINK("https://www.youtube.com/watch?v="&amp;M3093,"▶"))</f>
        <v/>
      </c>
      <c r="B3093" s="39">
        <f>IF(C3093&lt;&gt;"",C3093,IF(P3093&lt;=IFERROR(INDEX(tblChannels[Watched Through],MATCH(N3093,tblChannels[Channel ID],0)),0),"Watched","Unwatched"))</f>
        <v/>
      </c>
      <c r="C3093" s="40" t="n"/>
      <c r="D3093" s="41" t="n"/>
      <c r="E3093" s="42" t="n">
        <v>41327.98888888889</v>
      </c>
      <c r="F3093" s="50" t="inlineStr">
        <is>
          <t>Super Carlin Brothers</t>
        </is>
      </c>
      <c r="G3093" t="inlineStr">
        <is>
          <t>My Day with a Globetrotter!</t>
        </is>
      </c>
      <c r="H3093" s="44" t="n">
        <v>0.002615740740740741</v>
      </c>
      <c r="I3093" s="45" t="n">
        <v>10523</v>
      </c>
      <c r="J3093" s="45" t="n">
        <v>269</v>
      </c>
      <c r="K3093" s="45" t="n">
        <v>88</v>
      </c>
      <c r="L3093" s="46" t="n"/>
      <c r="M3093" s="47" t="n"/>
      <c r="N3093" s="47" t="inlineStr">
        <is>
          <t>UCKZo4N0lVPccBkSiuyVh4yg</t>
        </is>
      </c>
      <c r="O3093" s="48" t="n">
        <v>41328.19722222222</v>
      </c>
      <c r="P3093" s="49" t="n">
        <v>41327</v>
      </c>
      <c r="Q3093" s="47" t="n">
        <v>175</v>
      </c>
      <c r="R3093" s="47" t="inlineStr">
        <is>
          <t>No Video ID yet</t>
        </is>
      </c>
      <c r="S3093" s="49" t="n"/>
      <c r="T3093" s="49" t="n"/>
      <c r="U3093" s="47" t="inlineStr">
        <is>
          <t>I spent the day driving around Buckets Blakes of the Harlem Globetrotters.. and spinning balls. If you could spend the day with any one person who would it be? Rio: =D</t>
        </is>
      </c>
      <c r="V3093" s="47">
        <f>IF(AND(P3093&gt;=Calendar!$K$2,P3093&lt;EDATE(Calendar!$K$2,1),OR(Calendar!$K$4="*",N3093=Calendar!$K$4)),P3093*100+COUNTIFS($P$6:$P$3267,P3093,$Q$6:$Q$3267,"&lt;="&amp;Q3093,$N$6:$N$3267,Calendar!$K$4),"")</f>
        <v/>
      </c>
      <c r="W3093" s="47">
        <f>IF(AND(B3093=Queue!$C$4,OR(Queue!$K$4="*",N3093=Queue!$K$4)),Q3093,"")</f>
        <v/>
      </c>
    </row>
    <row r="3094">
      <c r="A3094" s="38">
        <f>IF(M3094="","",HYPERLINK("https://www.youtube.com/watch?v="&amp;M3094,"▶"))</f>
        <v/>
      </c>
      <c r="B3094" s="39">
        <f>IF(C3094&lt;&gt;"",C3094,IF(P3094&lt;=IFERROR(INDEX(tblChannels[Watched Through],MATCH(N3094,tblChannels[Channel ID],0)),0),"Watched","Unwatched"))</f>
        <v/>
      </c>
      <c r="C3094" s="40" t="n"/>
      <c r="D3094" s="41" t="n"/>
      <c r="E3094" s="42" t="n">
        <v>41326.93888888889</v>
      </c>
      <c r="F3094" s="50" t="inlineStr">
        <is>
          <t>Super Carlin Brothers</t>
        </is>
      </c>
      <c r="G3094" t="inlineStr">
        <is>
          <t>Say What?</t>
        </is>
      </c>
      <c r="H3094" s="44" t="n">
        <v>0.00119212962962963</v>
      </c>
      <c r="I3094" s="45" t="n">
        <v>10004</v>
      </c>
      <c r="J3094" s="45" t="n">
        <v>335</v>
      </c>
      <c r="K3094" s="45" t="n">
        <v>45</v>
      </c>
      <c r="L3094" s="46" t="n"/>
      <c r="M3094" s="47" t="n"/>
      <c r="N3094" s="47" t="inlineStr">
        <is>
          <t>UCKZo4N0lVPccBkSiuyVh4yg</t>
        </is>
      </c>
      <c r="O3094" s="48" t="n">
        <v>41327.14722222222</v>
      </c>
      <c r="P3094" s="49" t="n">
        <v>41326</v>
      </c>
      <c r="Q3094" s="47" t="n">
        <v>174</v>
      </c>
      <c r="R3094" s="47" t="inlineStr">
        <is>
          <t>No Video ID yet</t>
        </is>
      </c>
      <c r="S3094" s="49" t="n"/>
      <c r="T3094" s="49" t="n"/>
      <c r="U3094" s="47" t="inlineStr">
        <is>
          <t>I had fun with this one! Let me know what ya thought! Twitter: @SCB_Ben and @Jonkerlin =D</t>
        </is>
      </c>
      <c r="V3094" s="47">
        <f>IF(AND(P3094&gt;=Calendar!$K$2,P3094&lt;EDATE(Calendar!$K$2,1),OR(Calendar!$K$4="*",N3094=Calendar!$K$4)),P3094*100+COUNTIFS($P$6:$P$3267,P3094,$Q$6:$Q$3267,"&lt;="&amp;Q3094,$N$6:$N$3267,Calendar!$K$4),"")</f>
        <v/>
      </c>
      <c r="W3094" s="47">
        <f>IF(AND(B3094=Queue!$C$4,OR(Queue!$K$4="*",N3094=Queue!$K$4)),Q3094,"")</f>
        <v/>
      </c>
    </row>
    <row r="3095">
      <c r="A3095" s="38">
        <f>IF(M3095="","",HYPERLINK("https://www.youtube.com/watch?v="&amp;M3095,"▶"))</f>
        <v/>
      </c>
      <c r="B3095" s="39">
        <f>IF(C3095&lt;&gt;"",C3095,IF(P3095&lt;=IFERROR(INDEX(tblChannels[Watched Through],MATCH(N3095,tblChannels[Channel ID],0)),0),"Watched","Unwatched"))</f>
        <v/>
      </c>
      <c r="C3095" s="40" t="n"/>
      <c r="D3095" s="41" t="n"/>
      <c r="E3095" s="42" t="n">
        <v>41325.96111111111</v>
      </c>
      <c r="F3095" s="50" t="inlineStr">
        <is>
          <t>Super Carlin Brothers</t>
        </is>
      </c>
      <c r="G3095" t="inlineStr">
        <is>
          <t>For all Intensive Porpoises</t>
        </is>
      </c>
      <c r="H3095" s="44" t="n">
        <v>0.003055555555555556</v>
      </c>
      <c r="I3095" s="45" t="n">
        <v>22863</v>
      </c>
      <c r="J3095" s="45" t="n">
        <v>651</v>
      </c>
      <c r="K3095" s="45" t="n">
        <v>174</v>
      </c>
      <c r="L3095" s="46" t="n"/>
      <c r="M3095" s="47" t="n"/>
      <c r="N3095" s="47" t="inlineStr">
        <is>
          <t>UCKZo4N0lVPccBkSiuyVh4yg</t>
        </is>
      </c>
      <c r="O3095" s="48" t="n">
        <v>41326.16944444444</v>
      </c>
      <c r="P3095" s="49" t="n">
        <v>41325</v>
      </c>
      <c r="Q3095" s="47" t="n">
        <v>173</v>
      </c>
      <c r="R3095" s="47" t="inlineStr">
        <is>
          <t>No Video ID yet</t>
        </is>
      </c>
      <c r="S3095" s="49" t="n"/>
      <c r="T3095" s="49" t="n"/>
      <c r="U3095" s="47" t="inlineStr">
        <is>
          <t>I stumble through a fairly common phrase.. What's something you miserably misquoted? and/or one of your pet peeves? Twitter: @jonkerlin and @SCB_Ben =D</t>
        </is>
      </c>
      <c r="V3095" s="47">
        <f>IF(AND(P3095&gt;=Calendar!$K$2,P3095&lt;EDATE(Calendar!$K$2,1),OR(Calendar!$K$4="*",N3095=Calendar!$K$4)),P3095*100+COUNTIFS($P$6:$P$3267,P3095,$Q$6:$Q$3267,"&lt;="&amp;Q3095,$N$6:$N$3267,Calendar!$K$4),"")</f>
        <v/>
      </c>
      <c r="W3095" s="47">
        <f>IF(AND(B3095=Queue!$C$4,OR(Queue!$K$4="*",N3095=Queue!$K$4)),Q3095,"")</f>
        <v/>
      </c>
    </row>
    <row r="3096">
      <c r="A3096" s="38">
        <f>IF(M3096="","",HYPERLINK("https://www.youtube.com/watch?v="&amp;M3096,"▶"))</f>
        <v/>
      </c>
      <c r="B3096" s="39">
        <f>IF(C3096&lt;&gt;"",C3096,IF(P3096&lt;=IFERROR(INDEX(tblChannels[Watched Through],MATCH(N3096,tblChannels[Channel ID],0)),0),"Watched","Unwatched"))</f>
        <v/>
      </c>
      <c r="C3096" s="40" t="n"/>
      <c r="D3096" s="41" t="n"/>
      <c r="E3096" s="42" t="n">
        <v>41324.96944444445</v>
      </c>
      <c r="F3096" s="50" t="inlineStr">
        <is>
          <t>Super Carlin Brothers</t>
        </is>
      </c>
      <c r="G3096" t="inlineStr">
        <is>
          <t>Sorry About That</t>
        </is>
      </c>
      <c r="H3096" s="44" t="n">
        <v>0.001793981481481481</v>
      </c>
      <c r="I3096" s="45" t="n">
        <v>10279</v>
      </c>
      <c r="J3096" s="45" t="n">
        <v>215</v>
      </c>
      <c r="K3096" s="45" t="n">
        <v>71</v>
      </c>
      <c r="L3096" s="46" t="n"/>
      <c r="M3096" s="47" t="n"/>
      <c r="N3096" s="47" t="inlineStr">
        <is>
          <t>UCKZo4N0lVPccBkSiuyVh4yg</t>
        </is>
      </c>
      <c r="O3096" s="48" t="n">
        <v>41325.17777777778</v>
      </c>
      <c r="P3096" s="49" t="n">
        <v>41324</v>
      </c>
      <c r="Q3096" s="47" t="n">
        <v>172</v>
      </c>
      <c r="R3096" s="47" t="inlineStr">
        <is>
          <t>No Video ID yet</t>
        </is>
      </c>
      <c r="S3096" s="49" t="n"/>
      <c r="T3096" s="49" t="n"/>
      <c r="U3096" s="47" t="inlineStr">
        <is>
          <t>Are you overly apologetic? How do you feel about people who are? I even apologize in this video... =D</t>
        </is>
      </c>
      <c r="V3096" s="47">
        <f>IF(AND(P3096&gt;=Calendar!$K$2,P3096&lt;EDATE(Calendar!$K$2,1),OR(Calendar!$K$4="*",N3096=Calendar!$K$4)),P3096*100+COUNTIFS($P$6:$P$3267,P3096,$Q$6:$Q$3267,"&lt;="&amp;Q3096,$N$6:$N$3267,Calendar!$K$4),"")</f>
        <v/>
      </c>
      <c r="W3096" s="47">
        <f>IF(AND(B3096=Queue!$C$4,OR(Queue!$K$4="*",N3096=Queue!$K$4)),Q3096,"")</f>
        <v/>
      </c>
    </row>
    <row r="3097">
      <c r="A3097" s="38">
        <f>IF(M3097="","",HYPERLINK("https://www.youtube.com/watch?v="&amp;M3097,"▶"))</f>
        <v/>
      </c>
      <c r="B3097" s="39">
        <f>IF(C3097&lt;&gt;"",C3097,IF(P3097&lt;=IFERROR(INDEX(tblChannels[Watched Through],MATCH(N3097,tblChannels[Channel ID],0)),0),"Watched","Unwatched"))</f>
        <v/>
      </c>
      <c r="C3097" s="40" t="n"/>
      <c r="D3097" s="41" t="n"/>
      <c r="E3097" s="42" t="n">
        <v>41323.88888888889</v>
      </c>
      <c r="F3097" s="50" t="inlineStr">
        <is>
          <t>Super Carlin Brothers</t>
        </is>
      </c>
      <c r="G3097" t="inlineStr">
        <is>
          <t>Name = Personality???</t>
        </is>
      </c>
      <c r="H3097" s="44" t="n">
        <v>0.00287037037037037</v>
      </c>
      <c r="I3097" s="45" t="n">
        <v>162246</v>
      </c>
      <c r="J3097" s="45" t="n">
        <v>2992</v>
      </c>
      <c r="K3097" s="45" t="n">
        <v>1215</v>
      </c>
      <c r="L3097" s="46" t="n"/>
      <c r="M3097" s="47" t="n"/>
      <c r="N3097" s="47" t="inlineStr">
        <is>
          <t>UCKZo4N0lVPccBkSiuyVh4yg</t>
        </is>
      </c>
      <c r="O3097" s="48" t="n">
        <v>41324.09722222222</v>
      </c>
      <c r="P3097" s="49" t="n">
        <v>41323</v>
      </c>
      <c r="Q3097" s="47" t="n">
        <v>171</v>
      </c>
      <c r="R3097" s="47" t="inlineStr">
        <is>
          <t>No Video ID yet</t>
        </is>
      </c>
      <c r="S3097" s="49" t="n"/>
      <c r="T3097" s="49" t="n"/>
      <c r="U3097" s="47" t="inlineStr">
        <is>
          <t>Jonathan discusses how your name might effect your overall personality. Congrats to Shayla Fitzpatrick for her Poster Victory! Twitter: @jonkerlin and @SCB_Ben =D</t>
        </is>
      </c>
      <c r="V3097" s="47">
        <f>IF(AND(P3097&gt;=Calendar!$K$2,P3097&lt;EDATE(Calendar!$K$2,1),OR(Calendar!$K$4="*",N3097=Calendar!$K$4)),P3097*100+COUNTIFS($P$6:$P$3267,P3097,$Q$6:$Q$3267,"&lt;="&amp;Q3097,$N$6:$N$3267,Calendar!$K$4),"")</f>
        <v/>
      </c>
      <c r="W3097" s="47">
        <f>IF(AND(B3097=Queue!$C$4,OR(Queue!$K$4="*",N3097=Queue!$K$4)),Q3097,"")</f>
        <v/>
      </c>
    </row>
    <row r="3098">
      <c r="A3098" s="38">
        <f>IF(M3098="","",HYPERLINK("https://www.youtube.com/watch?v="&amp;M3098,"▶"))</f>
        <v/>
      </c>
      <c r="B3098" s="39">
        <f>IF(C3098&lt;&gt;"",C3098,IF(P3098&lt;=IFERROR(INDEX(tblChannels[Watched Through],MATCH(N3098,tblChannels[Channel ID],0)),0),"Watched","Unwatched"))</f>
        <v/>
      </c>
      <c r="C3098" s="40" t="n"/>
      <c r="D3098" s="41" t="n"/>
      <c r="E3098" s="42" t="n">
        <v>41320.90138888889</v>
      </c>
      <c r="F3098" s="50" t="inlineStr">
        <is>
          <t>Super Carlin Brothers</t>
        </is>
      </c>
      <c r="G3098" t="inlineStr">
        <is>
          <t>Scary Not Dangerous</t>
        </is>
      </c>
      <c r="H3098" s="44" t="n">
        <v>0.002314814814814815</v>
      </c>
      <c r="I3098" s="45" t="n">
        <v>10772</v>
      </c>
      <c r="J3098" s="45" t="n">
        <v>290</v>
      </c>
      <c r="K3098" s="45" t="n">
        <v>52</v>
      </c>
      <c r="L3098" s="46" t="n"/>
      <c r="M3098" s="47" t="n"/>
      <c r="N3098" s="47" t="inlineStr">
        <is>
          <t>UCKZo4N0lVPccBkSiuyVh4yg</t>
        </is>
      </c>
      <c r="O3098" s="48" t="n">
        <v>41321.10972222222</v>
      </c>
      <c r="P3098" s="49" t="n">
        <v>41320</v>
      </c>
      <c r="Q3098" s="47" t="n">
        <v>170</v>
      </c>
      <c r="R3098" s="47" t="inlineStr">
        <is>
          <t>No Video ID yet</t>
        </is>
      </c>
      <c r="S3098" s="49" t="n"/>
      <c r="T3098" s="49" t="n"/>
      <c r="U3098" s="47" t="inlineStr">
        <is>
          <t>Tell me about a risk you've taken in your life and how it went! Also if you would like to vote in the post competition please do so on this video: Twitter: @SCB_Ben and @Jonkerlin =D</t>
        </is>
      </c>
      <c r="V3098" s="47">
        <f>IF(AND(P3098&gt;=Calendar!$K$2,P3098&lt;EDATE(Calendar!$K$2,1),OR(Calendar!$K$4="*",N3098=Calendar!$K$4)),P3098*100+COUNTIFS($P$6:$P$3267,P3098,$Q$6:$Q$3267,"&lt;="&amp;Q3098,$N$6:$N$3267,Calendar!$K$4),"")</f>
        <v/>
      </c>
      <c r="W3098" s="47">
        <f>IF(AND(B3098=Queue!$C$4,OR(Queue!$K$4="*",N3098=Queue!$K$4)),Q3098,"")</f>
        <v/>
      </c>
    </row>
    <row r="3099">
      <c r="A3099" s="38">
        <f>IF(M3099="","",HYPERLINK("https://www.youtube.com/watch?v="&amp;M3099,"▶"))</f>
        <v/>
      </c>
      <c r="B3099" s="39">
        <f>IF(C3099&lt;&gt;"",C3099,IF(P3099&lt;=IFERROR(INDEX(tblChannels[Watched Through],MATCH(N3099,tblChannels[Channel ID],0)),0),"Watched","Unwatched"))</f>
        <v/>
      </c>
      <c r="C3099" s="40" t="n"/>
      <c r="D3099" s="41" t="n"/>
      <c r="E3099" s="42" t="n">
        <v>41319.97569444445</v>
      </c>
      <c r="F3099" s="50" t="inlineStr">
        <is>
          <t>Super Carlin Brothers</t>
        </is>
      </c>
      <c r="G3099" t="inlineStr">
        <is>
          <t>Valentines and Posters</t>
        </is>
      </c>
      <c r="H3099" s="44" t="n">
        <v>0.003032407407407407</v>
      </c>
      <c r="I3099" s="45" t="n">
        <v>15285</v>
      </c>
      <c r="J3099" s="45" t="n">
        <v>355</v>
      </c>
      <c r="K3099" s="45" t="n">
        <v>142</v>
      </c>
      <c r="L3099" s="46" t="n"/>
      <c r="M3099" s="47" t="n"/>
      <c r="N3099" s="47" t="inlineStr">
        <is>
          <t>UCKZo4N0lVPccBkSiuyVh4yg</t>
        </is>
      </c>
      <c r="O3099" s="48" t="n">
        <v>41320.18402777778</v>
      </c>
      <c r="P3099" s="49" t="n">
        <v>41319</v>
      </c>
      <c r="Q3099" s="47" t="n">
        <v>169</v>
      </c>
      <c r="R3099" s="47" t="inlineStr">
        <is>
          <t>No Video ID yet</t>
        </is>
      </c>
      <c r="S3099" s="49" t="n"/>
      <c r="T3099" s="49" t="n"/>
      <c r="U3099" s="47" t="inlineStr">
        <is>
          <t>Vote by saying "I vote for #X" You only get 1 vote, and votes must be cast on Youtube. Voting ends on Monday at Noon Eastern Time Thank you so much for all of your submissions! It was as awesome as being asked out by a girl! SCB in other places: @jonkerlin and @SCB_Ben =D</t>
        </is>
      </c>
      <c r="V3099" s="47">
        <f>IF(AND(P3099&gt;=Calendar!$K$2,P3099&lt;EDATE(Calendar!$K$2,1),OR(Calendar!$K$4="*",N3099=Calendar!$K$4)),P3099*100+COUNTIFS($P$6:$P$3267,P3099,$Q$6:$Q$3267,"&lt;="&amp;Q3099,$N$6:$N$3267,Calendar!$K$4),"")</f>
        <v/>
      </c>
      <c r="W3099" s="47">
        <f>IF(AND(B3099=Queue!$C$4,OR(Queue!$K$4="*",N3099=Queue!$K$4)),Q3099,"")</f>
        <v/>
      </c>
    </row>
    <row r="3100">
      <c r="A3100" s="38">
        <f>IF(M3100="","",HYPERLINK("https://www.youtube.com/watch?v="&amp;M3100,"▶"))</f>
        <v/>
      </c>
      <c r="B3100" s="39">
        <f>IF(C3100&lt;&gt;"",C3100,IF(P3100&lt;=IFERROR(INDEX(tblChannels[Watched Through],MATCH(N3100,tblChannels[Channel ID],0)),0),"Watched","Unwatched"))</f>
        <v/>
      </c>
      <c r="C3100" s="40" t="n"/>
      <c r="D3100" s="41" t="n"/>
      <c r="E3100" s="42" t="n">
        <v>41318.94305555556</v>
      </c>
      <c r="F3100" s="50" t="inlineStr">
        <is>
          <t>Super Carlin Brothers</t>
        </is>
      </c>
      <c r="G3100" t="inlineStr">
        <is>
          <t>Going Viral</t>
        </is>
      </c>
      <c r="H3100" s="44" t="n">
        <v>0.002777777777777778</v>
      </c>
      <c r="I3100" s="45" t="n">
        <v>11141</v>
      </c>
      <c r="J3100" s="45" t="n">
        <v>343</v>
      </c>
      <c r="K3100" s="45" t="n">
        <v>48</v>
      </c>
      <c r="L3100" s="46" t="n"/>
      <c r="M3100" s="47" t="n"/>
      <c r="N3100" s="47" t="inlineStr">
        <is>
          <t>UCKZo4N0lVPccBkSiuyVh4yg</t>
        </is>
      </c>
      <c r="O3100" s="48" t="n">
        <v>41319.15138888889</v>
      </c>
      <c r="P3100" s="49" t="n">
        <v>41318</v>
      </c>
      <c r="Q3100" s="47" t="n">
        <v>168</v>
      </c>
      <c r="R3100" s="47" t="inlineStr">
        <is>
          <t>No Video ID yet</t>
        </is>
      </c>
      <c r="S3100" s="49" t="n"/>
      <c r="T3100" s="49" t="n"/>
      <c r="U3100" s="47" t="inlineStr">
        <is>
          <t>If an important aspect of your life went "viral" would you be open to being in a position potentially out of your league? Also: Poster submissions are due tomorrow to win J's Mario Poster Signed by both of us! Twitter: @SCB_Ben and @Jonkerlin =D</t>
        </is>
      </c>
      <c r="V3100" s="47">
        <f>IF(AND(P3100&gt;=Calendar!$K$2,P3100&lt;EDATE(Calendar!$K$2,1),OR(Calendar!$K$4="*",N3100=Calendar!$K$4)),P3100*100+COUNTIFS($P$6:$P$3267,P3100,$Q$6:$Q$3267,"&lt;="&amp;Q3100,$N$6:$N$3267,Calendar!$K$4),"")</f>
        <v/>
      </c>
      <c r="W3100" s="47">
        <f>IF(AND(B3100=Queue!$C$4,OR(Queue!$K$4="*",N3100=Queue!$K$4)),Q3100,"")</f>
        <v/>
      </c>
    </row>
    <row r="3101">
      <c r="A3101" s="38">
        <f>IF(M3101="","",HYPERLINK("https://www.youtube.com/watch?v="&amp;M3101,"▶"))</f>
        <v/>
      </c>
      <c r="B3101" s="39">
        <f>IF(C3101&lt;&gt;"",C3101,IF(P3101&lt;=IFERROR(INDEX(tblChannels[Watched Through],MATCH(N3101,tblChannels[Channel ID],0)),0),"Watched","Unwatched"))</f>
        <v/>
      </c>
      <c r="C3101" s="40" t="n"/>
      <c r="D3101" s="41" t="n"/>
      <c r="E3101" s="42" t="n">
        <v>41317.975</v>
      </c>
      <c r="F3101" s="50" t="inlineStr">
        <is>
          <t>Super Carlin Brothers</t>
        </is>
      </c>
      <c r="G3101" t="inlineStr">
        <is>
          <t>Payin it Forward</t>
        </is>
      </c>
      <c r="H3101" s="44" t="n">
        <v>0.002708333333333333</v>
      </c>
      <c r="I3101" s="45" t="n">
        <v>12840</v>
      </c>
      <c r="J3101" s="45" t="n">
        <v>309</v>
      </c>
      <c r="K3101" s="45" t="n">
        <v>112</v>
      </c>
      <c r="L3101" s="46" t="n"/>
      <c r="M3101" s="47" t="n"/>
      <c r="N3101" s="47" t="inlineStr">
        <is>
          <t>UCKZo4N0lVPccBkSiuyVh4yg</t>
        </is>
      </c>
      <c r="O3101" s="48" t="n">
        <v>41318.18333333333</v>
      </c>
      <c r="P3101" s="49" t="n">
        <v>41317</v>
      </c>
      <c r="Q3101" s="47" t="n">
        <v>167</v>
      </c>
      <c r="R3101" s="47" t="inlineStr">
        <is>
          <t>No Video ID yet</t>
        </is>
      </c>
      <c r="S3101" s="49" t="n"/>
      <c r="T3101" s="49" t="n"/>
      <c r="U3101" s="47" t="inlineStr">
        <is>
          <t>Panikann :: My New Tumblr! :: Send Poster Submissions here: supercarlinbrothers@gmail.com QotD -- What is your favorite TV show? And finally don't forget to send me a screen shot of your super text! =D</t>
        </is>
      </c>
      <c r="V3101" s="47">
        <f>IF(AND(P3101&gt;=Calendar!$K$2,P3101&lt;EDATE(Calendar!$K$2,1),OR(Calendar!$K$4="*",N3101=Calendar!$K$4)),P3101*100+COUNTIFS($P$6:$P$3267,P3101,$Q$6:$Q$3267,"&lt;="&amp;Q3101,$N$6:$N$3267,Calendar!$K$4),"")</f>
        <v/>
      </c>
      <c r="W3101" s="47">
        <f>IF(AND(B3101=Queue!$C$4,OR(Queue!$K$4="*",N3101=Queue!$K$4)),Q3101,"")</f>
        <v/>
      </c>
    </row>
    <row r="3102">
      <c r="A3102" s="38">
        <f>IF(M3102="","",HYPERLINK("https://www.youtube.com/watch?v="&amp;M3102,"▶"))</f>
        <v/>
      </c>
      <c r="B3102" s="39">
        <f>IF(C3102&lt;&gt;"",C3102,IF(P3102&lt;=IFERROR(INDEX(tblChannels[Watched Through],MATCH(N3102,tblChannels[Channel ID],0)),0),"Watched","Unwatched"))</f>
        <v/>
      </c>
      <c r="C3102" s="40" t="n"/>
      <c r="D3102" s="41" t="n"/>
      <c r="E3102" s="42" t="n">
        <v>41316.81805555556</v>
      </c>
      <c r="F3102" s="50" t="inlineStr">
        <is>
          <t>Super Carlin Brothers</t>
        </is>
      </c>
      <c r="G3102" t="inlineStr">
        <is>
          <t>Line Waiting</t>
        </is>
      </c>
      <c r="H3102" s="44" t="n">
        <v>0.001967592592592592</v>
      </c>
      <c r="I3102" s="45" t="n">
        <v>9726</v>
      </c>
      <c r="J3102" s="45" t="n">
        <v>210</v>
      </c>
      <c r="K3102" s="45" t="n">
        <v>48</v>
      </c>
      <c r="L3102" s="46" t="n"/>
      <c r="M3102" s="47" t="n"/>
      <c r="N3102" s="47" t="inlineStr">
        <is>
          <t>UCKZo4N0lVPccBkSiuyVh4yg</t>
        </is>
      </c>
      <c r="O3102" s="48" t="n">
        <v>41317.02638888889</v>
      </c>
      <c r="P3102" s="49" t="n">
        <v>41316</v>
      </c>
      <c r="Q3102" s="47" t="n">
        <v>166</v>
      </c>
      <c r="R3102" s="47" t="inlineStr">
        <is>
          <t>No Video ID yet</t>
        </is>
      </c>
      <c r="S3102" s="49" t="n"/>
      <c r="T3102" s="49" t="n"/>
      <c r="U3102" s="47" t="inlineStr">
        <is>
          <t>What is your favorite thing to do and does a drawback of that activity help enhance your enjoyment of it? Twitter: @SCB_Ben and @jonkerlin =D</t>
        </is>
      </c>
      <c r="V3102" s="47">
        <f>IF(AND(P3102&gt;=Calendar!$K$2,P3102&lt;EDATE(Calendar!$K$2,1),OR(Calendar!$K$4="*",N3102=Calendar!$K$4)),P3102*100+COUNTIFS($P$6:$P$3267,P3102,$Q$6:$Q$3267,"&lt;="&amp;Q3102,$N$6:$N$3267,Calendar!$K$4),"")</f>
        <v/>
      </c>
      <c r="W3102" s="47">
        <f>IF(AND(B3102=Queue!$C$4,OR(Queue!$K$4="*",N3102=Queue!$K$4)),Q3102,"")</f>
        <v/>
      </c>
    </row>
    <row r="3103">
      <c r="A3103" s="38">
        <f>IF(M3103="","",HYPERLINK("https://www.youtube.com/watch?v="&amp;M3103,"▶"))</f>
        <v/>
      </c>
      <c r="B3103" s="39">
        <f>IF(C3103&lt;&gt;"",C3103,IF(P3103&lt;=IFERROR(INDEX(tblChannels[Watched Through],MATCH(N3103,tblChannels[Channel ID],0)),0),"Watched","Unwatched"))</f>
        <v/>
      </c>
      <c r="C3103" s="40" t="n"/>
      <c r="D3103" s="41" t="n"/>
      <c r="E3103" s="42" t="n">
        <v>41313.525</v>
      </c>
      <c r="F3103" s="50" t="inlineStr">
        <is>
          <t>Super Carlin Brothers</t>
        </is>
      </c>
      <c r="G3103" t="inlineStr">
        <is>
          <t>So God Made a Vlogger</t>
        </is>
      </c>
      <c r="H3103" s="44" t="n">
        <v>0.001898148148148148</v>
      </c>
      <c r="I3103" s="45" t="n">
        <v>12742</v>
      </c>
      <c r="J3103" s="45" t="n">
        <v>627</v>
      </c>
      <c r="K3103" s="45" t="n">
        <v>71</v>
      </c>
      <c r="L3103" s="46" t="n"/>
      <c r="M3103" s="47" t="n"/>
      <c r="N3103" s="47" t="inlineStr">
        <is>
          <t>UCKZo4N0lVPccBkSiuyVh4yg</t>
        </is>
      </c>
      <c r="O3103" s="48" t="n">
        <v>41313.73333333333</v>
      </c>
      <c r="P3103" s="49" t="n">
        <v>41313</v>
      </c>
      <c r="Q3103" s="47" t="n">
        <v>165</v>
      </c>
      <c r="R3103" s="47" t="inlineStr">
        <is>
          <t>No Video ID yet</t>
        </is>
      </c>
      <c r="S3103" s="49" t="n"/>
      <c r="T3103" s="49" t="n"/>
      <c r="U3103" s="47" t="inlineStr">
        <is>
          <t>A tribute to all the vloggers out there big and small. Inspired by Paul Harvey's "So God Made a Farmer" speech. Please share with any vlogger you know or watch! Tweet us at: @jonkerlin and @SCB_Ben Check out Paul Harvey's original here: =D</t>
        </is>
      </c>
      <c r="V3103" s="47">
        <f>IF(AND(P3103&gt;=Calendar!$K$2,P3103&lt;EDATE(Calendar!$K$2,1),OR(Calendar!$K$4="*",N3103=Calendar!$K$4)),P3103*100+COUNTIFS($P$6:$P$3267,P3103,$Q$6:$Q$3267,"&lt;="&amp;Q3103,$N$6:$N$3267,Calendar!$K$4),"")</f>
        <v/>
      </c>
      <c r="W3103" s="47">
        <f>IF(AND(B3103=Queue!$C$4,OR(Queue!$K$4="*",N3103=Queue!$K$4)),Q3103,"")</f>
        <v/>
      </c>
    </row>
    <row r="3104">
      <c r="A3104" s="38">
        <f>IF(M3104="","",HYPERLINK("https://www.youtube.com/watch?v="&amp;M3104,"▶"))</f>
        <v/>
      </c>
      <c r="B3104" s="39">
        <f>IF(C3104&lt;&gt;"",C3104,IF(P3104&lt;=IFERROR(INDEX(tblChannels[Watched Through],MATCH(N3104,tblChannels[Channel ID],0)),0),"Watched","Unwatched"))</f>
        <v/>
      </c>
      <c r="C3104" s="40" t="n"/>
      <c r="D3104" s="41" t="n"/>
      <c r="E3104" s="42" t="n">
        <v>41312.59513888889</v>
      </c>
      <c r="F3104" s="50" t="inlineStr">
        <is>
          <t>Super Carlin Brothers</t>
        </is>
      </c>
      <c r="G3104" t="inlineStr">
        <is>
          <t>Human Sanitizer</t>
        </is>
      </c>
      <c r="H3104" s="44" t="n">
        <v>0.001574074074074074</v>
      </c>
      <c r="I3104" s="45" t="n">
        <v>11058</v>
      </c>
      <c r="J3104" s="45" t="n">
        <v>268</v>
      </c>
      <c r="K3104" s="45" t="n">
        <v>57</v>
      </c>
      <c r="L3104" s="46" t="n"/>
      <c r="M3104" s="47" t="n"/>
      <c r="N3104" s="47" t="inlineStr">
        <is>
          <t>UCKZo4N0lVPccBkSiuyVh4yg</t>
        </is>
      </c>
      <c r="O3104" s="48" t="n">
        <v>41312.80347222222</v>
      </c>
      <c r="P3104" s="49" t="n">
        <v>41312</v>
      </c>
      <c r="Q3104" s="47" t="n">
        <v>164</v>
      </c>
      <c r="R3104" s="47" t="inlineStr">
        <is>
          <t>No Video ID yet</t>
        </is>
      </c>
      <c r="S3104" s="49" t="n"/>
      <c r="T3104" s="49" t="n"/>
      <c r="U3104" s="47" t="inlineStr">
        <is>
          <t>If the entire human population gained a super power... what should it be? Twitter: @SCB_Ben and @Jonkerlin =D</t>
        </is>
      </c>
      <c r="V3104" s="47">
        <f>IF(AND(P3104&gt;=Calendar!$K$2,P3104&lt;EDATE(Calendar!$K$2,1),OR(Calendar!$K$4="*",N3104=Calendar!$K$4)),P3104*100+COUNTIFS($P$6:$P$3267,P3104,$Q$6:$Q$3267,"&lt;="&amp;Q3104,$N$6:$N$3267,Calendar!$K$4),"")</f>
        <v/>
      </c>
      <c r="W3104" s="47">
        <f>IF(AND(B3104=Queue!$C$4,OR(Queue!$K$4="*",N3104=Queue!$K$4)),Q3104,"")</f>
        <v/>
      </c>
    </row>
    <row r="3105">
      <c r="A3105" s="38">
        <f>IF(M3105="","",HYPERLINK("https://www.youtube.com/watch?v="&amp;M3105,"▶"))</f>
        <v/>
      </c>
      <c r="B3105" s="39">
        <f>IF(C3105&lt;&gt;"",C3105,IF(P3105&lt;=IFERROR(INDEX(tblChannels[Watched Through],MATCH(N3105,tblChannels[Channel ID],0)),0),"Watched","Unwatched"))</f>
        <v/>
      </c>
      <c r="C3105" s="40" t="n"/>
      <c r="D3105" s="41" t="n"/>
      <c r="E3105" s="42" t="n">
        <v>41311.94583333333</v>
      </c>
      <c r="F3105" s="50" t="inlineStr">
        <is>
          <t>Super Carlin Brothers</t>
        </is>
      </c>
      <c r="G3105" t="inlineStr">
        <is>
          <t>Death by Hand Sanitizer</t>
        </is>
      </c>
      <c r="H3105" s="44" t="n">
        <v>0.001747685185185185</v>
      </c>
      <c r="I3105" s="45" t="n">
        <v>36218</v>
      </c>
      <c r="J3105" s="45" t="n">
        <v>619</v>
      </c>
      <c r="K3105" s="45" t="n">
        <v>146</v>
      </c>
      <c r="L3105" s="46" t="n"/>
      <c r="M3105" s="47" t="n"/>
      <c r="N3105" s="47" t="inlineStr">
        <is>
          <t>UCKZo4N0lVPccBkSiuyVh4yg</t>
        </is>
      </c>
      <c r="O3105" s="48" t="n">
        <v>41312.15416666667</v>
      </c>
      <c r="P3105" s="49" t="n">
        <v>41311</v>
      </c>
      <c r="Q3105" s="47" t="n">
        <v>163</v>
      </c>
      <c r="R3105" s="47" t="inlineStr">
        <is>
          <t>No Video ID yet</t>
        </is>
      </c>
      <c r="S3105" s="49" t="n"/>
      <c r="T3105" s="49" t="n"/>
      <c r="U3105" s="47" t="inlineStr">
        <is>
          <t>Send Poster submissions here: supercarlinbrothers@gmail.com or here: www.facebook.com/supercarlinbrothers Poster Dimensions: 22x28 inches Should Beth have given me the hand sanitizer or is she out to kill me? Tweet us at: @jonkerlin and @SCB_Ben =D</t>
        </is>
      </c>
      <c r="V3105" s="47">
        <f>IF(AND(P3105&gt;=Calendar!$K$2,P3105&lt;EDATE(Calendar!$K$2,1),OR(Calendar!$K$4="*",N3105=Calendar!$K$4)),P3105*100+COUNTIFS($P$6:$P$3267,P3105,$Q$6:$Q$3267,"&lt;="&amp;Q3105,$N$6:$N$3267,Calendar!$K$4),"")</f>
        <v/>
      </c>
      <c r="W3105" s="47">
        <f>IF(AND(B3105=Queue!$C$4,OR(Queue!$K$4="*",N3105=Queue!$K$4)),Q3105,"")</f>
        <v/>
      </c>
    </row>
    <row r="3106">
      <c r="A3106" s="38">
        <f>IF(M3106="","",HYPERLINK("https://www.youtube.com/watch?v="&amp;M3106,"▶"))</f>
        <v/>
      </c>
      <c r="B3106" s="39">
        <f>IF(C3106&lt;&gt;"",C3106,IF(P3106&lt;=IFERROR(INDEX(tblChannels[Watched Through],MATCH(N3106,tblChannels[Channel ID],0)),0),"Watched","Unwatched"))</f>
        <v/>
      </c>
      <c r="C3106" s="40" t="n"/>
      <c r="D3106" s="41" t="n"/>
      <c r="E3106" s="42" t="n">
        <v>41310.92361111111</v>
      </c>
      <c r="F3106" s="50" t="inlineStr">
        <is>
          <t>Super Carlin Brothers</t>
        </is>
      </c>
      <c r="G3106" t="inlineStr">
        <is>
          <t>Oreos and Contextual Confidence</t>
        </is>
      </c>
      <c r="H3106" s="44" t="n">
        <v>0.003171296296296296</v>
      </c>
      <c r="I3106" s="45" t="n">
        <v>11880</v>
      </c>
      <c r="J3106" s="45" t="n">
        <v>264</v>
      </c>
      <c r="K3106" s="45" t="n">
        <v>23</v>
      </c>
      <c r="L3106" s="46" t="n"/>
      <c r="M3106" s="47" t="n"/>
      <c r="N3106" s="47" t="inlineStr">
        <is>
          <t>UCKZo4N0lVPccBkSiuyVh4yg</t>
        </is>
      </c>
      <c r="O3106" s="48" t="n">
        <v>41311.13194444445</v>
      </c>
      <c r="P3106" s="49" t="n">
        <v>41310</v>
      </c>
      <c r="Q3106" s="47" t="n">
        <v>162</v>
      </c>
      <c r="R3106" s="47" t="inlineStr">
        <is>
          <t>No Video ID yet</t>
        </is>
      </c>
      <c r="S3106" s="49" t="n"/>
      <c r="T3106" s="49" t="n"/>
      <c r="U3106" s="47" t="inlineStr">
        <is>
          <t>In the long run, is it better to graduate the top of your class from a local state school or graduate somewhere in the middle from Harvard. The point of this video is to draw attention to the moments or situations when you have a high degree of contextual confidence. When are you the most confident person in the room? I think it's important to seek these things out. After all.. the first one I ever noticed was that I knew more about fish than anyone else in my 11th grade chemistry class. Twitter: @SCB_Ben and @Jonkerlin =D</t>
        </is>
      </c>
      <c r="V3106" s="47">
        <f>IF(AND(P3106&gt;=Calendar!$K$2,P3106&lt;EDATE(Calendar!$K$2,1),OR(Calendar!$K$4="*",N3106=Calendar!$K$4)),P3106*100+COUNTIFS($P$6:$P$3267,P3106,$Q$6:$Q$3267,"&lt;="&amp;Q3106,$N$6:$N$3267,Calendar!$K$4),"")</f>
        <v/>
      </c>
      <c r="W3106" s="47">
        <f>IF(AND(B3106=Queue!$C$4,OR(Queue!$K$4="*",N3106=Queue!$K$4)),Q3106,"")</f>
        <v/>
      </c>
    </row>
    <row r="3107">
      <c r="A3107" s="38">
        <f>IF(M3107="","",HYPERLINK("https://www.youtube.com/watch?v="&amp;M3107,"▶"))</f>
        <v/>
      </c>
      <c r="B3107" s="39">
        <f>IF(C3107&lt;&gt;"",C3107,IF(P3107&lt;=IFERROR(INDEX(tblChannels[Watched Through],MATCH(N3107,tblChannels[Channel ID],0)),0),"Watched","Unwatched"))</f>
        <v/>
      </c>
      <c r="C3107" s="40" t="n"/>
      <c r="D3107" s="41" t="n"/>
      <c r="E3107" s="42" t="n">
        <v>41309.98333333333</v>
      </c>
      <c r="F3107" s="50" t="inlineStr">
        <is>
          <t>Super Carlin Brothers</t>
        </is>
      </c>
      <c r="G3107" t="inlineStr">
        <is>
          <t>Birthday, Super Bowl, Ze &amp; Poster Challenge</t>
        </is>
      </c>
      <c r="H3107" s="44" t="n">
        <v>0.0034375</v>
      </c>
      <c r="I3107" s="45" t="n">
        <v>12017</v>
      </c>
      <c r="J3107" s="45" t="n">
        <v>311</v>
      </c>
      <c r="K3107" s="45" t="n">
        <v>76</v>
      </c>
      <c r="L3107" s="46" t="n"/>
      <c r="M3107" s="47" t="n"/>
      <c r="N3107" s="47" t="inlineStr">
        <is>
          <t>UCKZo4N0lVPccBkSiuyVh4yg</t>
        </is>
      </c>
      <c r="O3107" s="48" t="n">
        <v>41310.19166666667</v>
      </c>
      <c r="P3107" s="49" t="n">
        <v>41309</v>
      </c>
      <c r="Q3107" s="47" t="n">
        <v>161</v>
      </c>
      <c r="R3107" s="47" t="inlineStr">
        <is>
          <t>No Video ID yet</t>
        </is>
      </c>
      <c r="S3107" s="49" t="n"/>
      <c r="T3107" s="49" t="n"/>
      <c r="U3107" s="47" t="inlineStr">
        <is>
          <t>Send poster submissions here: supercarlinbrothers@gmail.com or www.facebook.com/supercarlinbrothers Dimensions: 22 wide x 28 tall inches We'll have a vote to determine the best poster! What was your favorite part of the Super Bowl? Tweet us at: @jonkerlin and @SCB_Ben Thank you ZeFrank! =D</t>
        </is>
      </c>
      <c r="V3107" s="47">
        <f>IF(AND(P3107&gt;=Calendar!$K$2,P3107&lt;EDATE(Calendar!$K$2,1),OR(Calendar!$K$4="*",N3107=Calendar!$K$4)),P3107*100+COUNTIFS($P$6:$P$3267,P3107,$Q$6:$Q$3267,"&lt;="&amp;Q3107,$N$6:$N$3267,Calendar!$K$4),"")</f>
        <v/>
      </c>
      <c r="W3107" s="47">
        <f>IF(AND(B3107=Queue!$C$4,OR(Queue!$K$4="*",N3107=Queue!$K$4)),Q3107,"")</f>
        <v/>
      </c>
    </row>
    <row r="3108">
      <c r="A3108" s="38">
        <f>IF(M3108="","",HYPERLINK("https://www.youtube.com/watch?v="&amp;M3108,"▶"))</f>
        <v/>
      </c>
      <c r="B3108" s="39">
        <f>IF(C3108&lt;&gt;"",C3108,IF(P3108&lt;=IFERROR(INDEX(tblChannels[Watched Through],MATCH(N3108,tblChannels[Channel ID],0)),0),"Watched","Unwatched"))</f>
        <v/>
      </c>
      <c r="C3108" s="40" t="n"/>
      <c r="D3108" s="41" t="n"/>
      <c r="E3108" s="42" t="n">
        <v>41306.81875</v>
      </c>
      <c r="F3108" s="50" t="inlineStr">
        <is>
          <t>Super Carlin Brothers</t>
        </is>
      </c>
      <c r="G3108" t="inlineStr">
        <is>
          <t>Super Bowl!</t>
        </is>
      </c>
      <c r="H3108" s="44" t="n">
        <v>0.002685185185185185</v>
      </c>
      <c r="I3108" s="45" t="n">
        <v>10234</v>
      </c>
      <c r="J3108" s="45" t="n">
        <v>214</v>
      </c>
      <c r="K3108" s="45" t="n">
        <v>70</v>
      </c>
      <c r="L3108" s="46" t="n"/>
      <c r="M3108" s="47" t="n"/>
      <c r="N3108" s="47" t="inlineStr">
        <is>
          <t>UCKZo4N0lVPccBkSiuyVh4yg</t>
        </is>
      </c>
      <c r="O3108" s="48" t="n">
        <v>41307.02708333333</v>
      </c>
      <c r="P3108" s="49" t="n">
        <v>41306</v>
      </c>
      <c r="Q3108" s="47" t="n">
        <v>160</v>
      </c>
      <c r="R3108" s="47" t="inlineStr">
        <is>
          <t>No Video ID yet</t>
        </is>
      </c>
      <c r="S3108" s="49" t="n"/>
      <c r="T3108" s="49" t="n"/>
      <c r="U3108" s="47" t="inlineStr">
        <is>
          <t>TO WIN: (First I have to win...) but then... TO WIN: Leave a comment with a guess of the SUM of the score of Sunday's Super Bowl Game. i.e. final score of 24-13 your guess would be 37. Comment before 6:30pm eastern time on Sunday Feb. 3, 2013: Your first guess will be the only one that is considered! The closest number to the actual final will win a $100 Gift Certificate of their choice! That is if we win... =D</t>
        </is>
      </c>
      <c r="V3108" s="47">
        <f>IF(AND(P3108&gt;=Calendar!$K$2,P3108&lt;EDATE(Calendar!$K$2,1),OR(Calendar!$K$4="*",N3108=Calendar!$K$4)),P3108*100+COUNTIFS($P$6:$P$3267,P3108,$Q$6:$Q$3267,"&lt;="&amp;Q3108,$N$6:$N$3267,Calendar!$K$4),"")</f>
        <v/>
      </c>
      <c r="W3108" s="47">
        <f>IF(AND(B3108=Queue!$C$4,OR(Queue!$K$4="*",N3108=Queue!$K$4)),Q3108,"")</f>
        <v/>
      </c>
    </row>
    <row r="3109">
      <c r="A3109" s="38">
        <f>IF(M3109="","",HYPERLINK("https://www.youtube.com/watch?v="&amp;M3109,"▶"))</f>
        <v/>
      </c>
      <c r="B3109" s="39">
        <f>IF(C3109&lt;&gt;"",C3109,IF(P3109&lt;=IFERROR(INDEX(tblChannels[Watched Through],MATCH(N3109,tblChannels[Channel ID],0)),0),"Watched","Unwatched"))</f>
        <v/>
      </c>
      <c r="C3109" s="40" t="n"/>
      <c r="D3109" s="41" t="n"/>
      <c r="E3109" s="42" t="n">
        <v>41305.85486111111</v>
      </c>
      <c r="F3109" s="50" t="inlineStr">
        <is>
          <t>Super Carlin Brothers</t>
        </is>
      </c>
      <c r="G3109" t="inlineStr">
        <is>
          <t>Are Narwhals Real?!</t>
        </is>
      </c>
      <c r="H3109" s="44" t="n">
        <v>0.002152777777777778</v>
      </c>
      <c r="I3109" s="45" t="n">
        <v>162106</v>
      </c>
      <c r="J3109" s="45" t="n">
        <v>3622</v>
      </c>
      <c r="K3109" s="45" t="n">
        <v>1448</v>
      </c>
      <c r="L3109" s="46" t="n"/>
      <c r="M3109" s="47" t="n"/>
      <c r="N3109" s="47" t="inlineStr">
        <is>
          <t>UCKZo4N0lVPccBkSiuyVh4yg</t>
        </is>
      </c>
      <c r="O3109" s="48" t="n">
        <v>41306.06319444445</v>
      </c>
      <c r="P3109" s="49" t="n">
        <v>41305</v>
      </c>
      <c r="Q3109" s="47" t="n">
        <v>159</v>
      </c>
      <c r="R3109" s="47" t="inlineStr">
        <is>
          <t>No Video ID yet</t>
        </is>
      </c>
      <c r="S3109" s="49" t="n"/>
      <c r="T3109" s="49" t="n"/>
      <c r="U3109" s="47" t="inlineStr">
        <is>
          <t>NARWHAL TSHIRT :: What do you think... can you be sure... can you?! Tweet us at @jonkerlin and @SCB_Ben =D</t>
        </is>
      </c>
      <c r="V3109" s="47">
        <f>IF(AND(P3109&gt;=Calendar!$K$2,P3109&lt;EDATE(Calendar!$K$2,1),OR(Calendar!$K$4="*",N3109=Calendar!$K$4)),P3109*100+COUNTIFS($P$6:$P$3267,P3109,$Q$6:$Q$3267,"&lt;="&amp;Q3109,$N$6:$N$3267,Calendar!$K$4),"")</f>
        <v/>
      </c>
      <c r="W3109" s="47">
        <f>IF(AND(B3109=Queue!$C$4,OR(Queue!$K$4="*",N3109=Queue!$K$4)),Q3109,"")</f>
        <v/>
      </c>
    </row>
    <row r="3110">
      <c r="A3110" s="38">
        <f>IF(M3110="","",HYPERLINK("https://www.youtube.com/watch?v="&amp;M3110,"▶"))</f>
        <v/>
      </c>
      <c r="B3110" s="39">
        <f>IF(C3110&lt;&gt;"",C3110,IF(P3110&lt;=IFERROR(INDEX(tblChannels[Watched Through],MATCH(N3110,tblChannels[Channel ID],0)),0),"Watched","Unwatched"))</f>
        <v/>
      </c>
      <c r="C3110" s="40" t="n"/>
      <c r="D3110" s="41" t="n"/>
      <c r="E3110" s="42" t="n">
        <v>41304.84097222222</v>
      </c>
      <c r="F3110" s="50" t="inlineStr">
        <is>
          <t>Super Carlin Brothers</t>
        </is>
      </c>
      <c r="G3110" t="inlineStr">
        <is>
          <t>Paid Youtube Subcriptions</t>
        </is>
      </c>
      <c r="H3110" s="44" t="n">
        <v>0.002523148148148148</v>
      </c>
      <c r="I3110" s="45" t="n">
        <v>11052</v>
      </c>
      <c r="J3110" s="45" t="n">
        <v>253</v>
      </c>
      <c r="K3110" s="45" t="n">
        <v>77</v>
      </c>
      <c r="L3110" s="46" t="n"/>
      <c r="M3110" s="47" t="n"/>
      <c r="N3110" s="47" t="inlineStr">
        <is>
          <t>UCKZo4N0lVPccBkSiuyVh4yg</t>
        </is>
      </c>
      <c r="O3110" s="48" t="n">
        <v>41305.04930555556</v>
      </c>
      <c r="P3110" s="49" t="n">
        <v>41304</v>
      </c>
      <c r="Q3110" s="47" t="n">
        <v>158</v>
      </c>
      <c r="R3110" s="47" t="inlineStr">
        <is>
          <t>No Video ID yet</t>
        </is>
      </c>
      <c r="S3110" s="49" t="n"/>
      <c r="T3110" s="49" t="n"/>
      <c r="U3110" s="47" t="inlineStr">
        <is>
          <t>How do you feel about the idea of YouTube subscriptions that you have to pay for?? What would be a YouTube show that you would like to see created? There Will Be Brawl: www.ThereWillBeBrawl.com Twitter: @SCB_Ben and @Jonkerlin =D</t>
        </is>
      </c>
      <c r="V3110" s="47">
        <f>IF(AND(P3110&gt;=Calendar!$K$2,P3110&lt;EDATE(Calendar!$K$2,1),OR(Calendar!$K$4="*",N3110=Calendar!$K$4)),P3110*100+COUNTIFS($P$6:$P$3267,P3110,$Q$6:$Q$3267,"&lt;="&amp;Q3110,$N$6:$N$3267,Calendar!$K$4),"")</f>
        <v/>
      </c>
      <c r="W3110" s="47">
        <f>IF(AND(B3110=Queue!$C$4,OR(Queue!$K$4="*",N3110=Queue!$K$4)),Q3110,"")</f>
        <v/>
      </c>
    </row>
    <row r="3111">
      <c r="A3111" s="38">
        <f>IF(M3111="","",HYPERLINK("https://www.youtube.com/watch?v="&amp;M3111,"▶"))</f>
        <v/>
      </c>
      <c r="B3111" s="39">
        <f>IF(C3111&lt;&gt;"",C3111,IF(P3111&lt;=IFERROR(INDEX(tblChannels[Watched Through],MATCH(N3111,tblChannels[Channel ID],0)),0),"Watched","Unwatched"))</f>
        <v/>
      </c>
      <c r="C3111" s="40" t="n"/>
      <c r="D3111" s="41" t="n"/>
      <c r="E3111" s="42" t="n">
        <v>41303.97361111111</v>
      </c>
      <c r="F3111" s="50" t="inlineStr">
        <is>
          <t>Super Carlin Brothers</t>
        </is>
      </c>
      <c r="G3111" t="inlineStr">
        <is>
          <t>Jobs I've Had</t>
        </is>
      </c>
      <c r="H3111" s="44" t="n">
        <v>0.002673611111111111</v>
      </c>
      <c r="I3111" s="45" t="n">
        <v>43910</v>
      </c>
      <c r="J3111" s="45" t="n">
        <v>798</v>
      </c>
      <c r="K3111" s="45" t="n">
        <v>141</v>
      </c>
      <c r="L3111" s="46" t="n"/>
      <c r="M3111" s="47" t="n"/>
      <c r="N3111" s="47" t="inlineStr">
        <is>
          <t>UCKZo4N0lVPccBkSiuyVh4yg</t>
        </is>
      </c>
      <c r="O3111" s="48" t="n">
        <v>41304.18194444444</v>
      </c>
      <c r="P3111" s="49" t="n">
        <v>41303</v>
      </c>
      <c r="Q3111" s="47" t="n">
        <v>157</v>
      </c>
      <c r="R3111" s="47" t="inlineStr">
        <is>
          <t>No Video ID yet</t>
        </is>
      </c>
      <c r="S3111" s="49" t="n"/>
      <c r="T3111" s="49" t="n"/>
      <c r="U3111" s="47" t="inlineStr">
        <is>
          <t>What is the worst job you have ever had? Tweet us at @jonkerlin and @SCB_Ben =D</t>
        </is>
      </c>
      <c r="V3111" s="47">
        <f>IF(AND(P3111&gt;=Calendar!$K$2,P3111&lt;EDATE(Calendar!$K$2,1),OR(Calendar!$K$4="*",N3111=Calendar!$K$4)),P3111*100+COUNTIFS($P$6:$P$3267,P3111,$Q$6:$Q$3267,"&lt;="&amp;Q3111,$N$6:$N$3267,Calendar!$K$4),"")</f>
        <v/>
      </c>
      <c r="W3111" s="47">
        <f>IF(AND(B3111=Queue!$C$4,OR(Queue!$K$4="*",N3111=Queue!$K$4)),Q3111,"")</f>
        <v/>
      </c>
    </row>
    <row r="3112">
      <c r="A3112" s="38">
        <f>IF(M3112="","",HYPERLINK("https://www.youtube.com/watch?v="&amp;M3112,"▶"))</f>
        <v/>
      </c>
      <c r="B3112" s="39">
        <f>IF(C3112&lt;&gt;"",C3112,IF(P3112&lt;=IFERROR(INDEX(tblChannels[Watched Through],MATCH(N3112,tblChannels[Channel ID],0)),0),"Watched","Unwatched"))</f>
        <v/>
      </c>
      <c r="C3112" s="40" t="n"/>
      <c r="D3112" s="41" t="n"/>
      <c r="E3112" s="42" t="n">
        <v>41302.85208333333</v>
      </c>
      <c r="F3112" s="50" t="inlineStr">
        <is>
          <t>Super Carlin Brothers</t>
        </is>
      </c>
      <c r="G3112" t="inlineStr">
        <is>
          <t>Should a Hobby be a Job?</t>
        </is>
      </c>
      <c r="H3112" s="44" t="n">
        <v>0.002893518518518518</v>
      </c>
      <c r="I3112" s="45" t="n">
        <v>12908</v>
      </c>
      <c r="J3112" s="45" t="n">
        <v>325</v>
      </c>
      <c r="K3112" s="45" t="n">
        <v>113</v>
      </c>
      <c r="L3112" s="46" t="n"/>
      <c r="M3112" s="47" t="n"/>
      <c r="N3112" s="47" t="inlineStr">
        <is>
          <t>UCKZo4N0lVPccBkSiuyVh4yg</t>
        </is>
      </c>
      <c r="O3112" s="48" t="n">
        <v>41303.06041666667</v>
      </c>
      <c r="P3112" s="49" t="n">
        <v>41302</v>
      </c>
      <c r="Q3112" s="47" t="n">
        <v>156</v>
      </c>
      <c r="R3112" s="47" t="inlineStr">
        <is>
          <t>No Video ID yet</t>
        </is>
      </c>
      <c r="S3112" s="49" t="n"/>
      <c r="T3112" s="49" t="n"/>
      <c r="U3112" s="47" t="inlineStr">
        <is>
          <t>Can/should a hobby be a job? Twitter: @SCB_Ben and @Jonkerlin Tweet: True facts about @Zefrank =D</t>
        </is>
      </c>
      <c r="V3112" s="47">
        <f>IF(AND(P3112&gt;=Calendar!$K$2,P3112&lt;EDATE(Calendar!$K$2,1),OR(Calendar!$K$4="*",N3112=Calendar!$K$4)),P3112*100+COUNTIFS($P$6:$P$3267,P3112,$Q$6:$Q$3267,"&lt;="&amp;Q3112,$N$6:$N$3267,Calendar!$K$4),"")</f>
        <v/>
      </c>
      <c r="W3112" s="47">
        <f>IF(AND(B3112=Queue!$C$4,OR(Queue!$K$4="*",N3112=Queue!$K$4)),Q3112,"")</f>
        <v/>
      </c>
    </row>
    <row r="3113">
      <c r="A3113" s="38">
        <f>IF(M3113="","",HYPERLINK("https://www.youtube.com/watch?v="&amp;M3113,"▶"))</f>
        <v/>
      </c>
      <c r="B3113" s="39">
        <f>IF(C3113&lt;&gt;"",C3113,IF(P3113&lt;=IFERROR(INDEX(tblChannels[Watched Through],MATCH(N3113,tblChannels[Channel ID],0)),0),"Watched","Unwatched"))</f>
        <v/>
      </c>
      <c r="C3113" s="40" t="n"/>
      <c r="D3113" s="41" t="n"/>
      <c r="E3113" s="42" t="n">
        <v>41299.58402777778</v>
      </c>
      <c r="F3113" s="50" t="inlineStr">
        <is>
          <t>Super Carlin Brothers</t>
        </is>
      </c>
      <c r="G3113" t="inlineStr">
        <is>
          <t>True Facts about Ze Frank</t>
        </is>
      </c>
      <c r="H3113" s="44" t="n">
        <v>0.001782407407407407</v>
      </c>
      <c r="I3113" s="45" t="n">
        <v>635043</v>
      </c>
      <c r="J3113" s="45" t="n">
        <v>9901</v>
      </c>
      <c r="K3113" s="45" t="n">
        <v>715</v>
      </c>
      <c r="L3113" s="46" t="n"/>
      <c r="M3113" s="47" t="n"/>
      <c r="N3113" s="47" t="inlineStr">
        <is>
          <t>UCKZo4N0lVPccBkSiuyVh4yg</t>
        </is>
      </c>
      <c r="O3113" s="48" t="n">
        <v>41299.79236111111</v>
      </c>
      <c r="P3113" s="49" t="n">
        <v>41299</v>
      </c>
      <c r="Q3113" s="47" t="n">
        <v>155</v>
      </c>
      <c r="R3113" s="47" t="inlineStr">
        <is>
          <t>No Video ID yet</t>
        </is>
      </c>
      <c r="S3113" s="49" t="n"/>
      <c r="T3113" s="49" t="n"/>
      <c r="U3113" s="47" t="inlineStr">
        <is>
          <t>True Facts about Ze Frank If Ze wants you to hear it in both ears... you will. Music: Links to Videos of and by Ze: Ze Frank: What's so funny about the Web? 2601 People Wrote This Song: Planning to Make: TMMTO :: Comfort: Awkward: Special Effects: Best of The Show 2006 :: Outside: 08-30-06 :: fingers in food :: best of the show: Thank you Ze for being an inspiration everyday! =D</t>
        </is>
      </c>
      <c r="V3113" s="47">
        <f>IF(AND(P3113&gt;=Calendar!$K$2,P3113&lt;EDATE(Calendar!$K$2,1),OR(Calendar!$K$4="*",N3113=Calendar!$K$4)),P3113*100+COUNTIFS($P$6:$P$3267,P3113,$Q$6:$Q$3267,"&lt;="&amp;Q3113,$N$6:$N$3267,Calendar!$K$4),"")</f>
        <v/>
      </c>
      <c r="W3113" s="47">
        <f>IF(AND(B3113=Queue!$C$4,OR(Queue!$K$4="*",N3113=Queue!$K$4)),Q3113,"")</f>
        <v/>
      </c>
    </row>
    <row r="3114">
      <c r="A3114" s="38">
        <f>IF(M3114="","",HYPERLINK("https://www.youtube.com/watch?v="&amp;M3114,"▶"))</f>
        <v/>
      </c>
      <c r="B3114" s="39">
        <f>IF(C3114&lt;&gt;"",C3114,IF(P3114&lt;=IFERROR(INDEX(tblChannels[Watched Through],MATCH(N3114,tblChannels[Channel ID],0)),0),"Watched","Unwatched"))</f>
        <v/>
      </c>
      <c r="C3114" s="40" t="n"/>
      <c r="D3114" s="41" t="n"/>
      <c r="E3114" s="42" t="n">
        <v>41298.9125</v>
      </c>
      <c r="F3114" s="50" t="inlineStr">
        <is>
          <t>Super Carlin Brothers</t>
        </is>
      </c>
      <c r="G3114" t="inlineStr">
        <is>
          <t>Commenting First</t>
        </is>
      </c>
      <c r="H3114" s="44" t="n">
        <v>0.001863425925925926</v>
      </c>
      <c r="I3114" s="45" t="n">
        <v>10805</v>
      </c>
      <c r="J3114" s="45" t="n">
        <v>327</v>
      </c>
      <c r="K3114" s="45" t="n">
        <v>524</v>
      </c>
      <c r="L3114" s="46" t="n"/>
      <c r="M3114" s="47" t="n"/>
      <c r="N3114" s="47" t="inlineStr">
        <is>
          <t>UCKZo4N0lVPccBkSiuyVh4yg</t>
        </is>
      </c>
      <c r="O3114" s="48" t="n">
        <v>41299.12083333333</v>
      </c>
      <c r="P3114" s="49" t="n">
        <v>41298</v>
      </c>
      <c r="Q3114" s="47" t="n">
        <v>154</v>
      </c>
      <c r="R3114" s="47" t="inlineStr">
        <is>
          <t>No Video ID yet</t>
        </is>
      </c>
      <c r="S3114" s="49" t="n"/>
      <c r="T3114" s="49" t="n"/>
      <c r="U3114" s="47" t="inlineStr">
        <is>
          <t>Would you rather be the person to invent the FIRST light bulb or be the person to invent the BEST lightbulb? Can you comment last?!?! @SCB_Ben @Jonkerlin =D</t>
        </is>
      </c>
      <c r="V3114" s="47">
        <f>IF(AND(P3114&gt;=Calendar!$K$2,P3114&lt;EDATE(Calendar!$K$2,1),OR(Calendar!$K$4="*",N3114=Calendar!$K$4)),P3114*100+COUNTIFS($P$6:$P$3267,P3114,$Q$6:$Q$3267,"&lt;="&amp;Q3114,$N$6:$N$3267,Calendar!$K$4),"")</f>
        <v/>
      </c>
      <c r="W3114" s="47">
        <f>IF(AND(B3114=Queue!$C$4,OR(Queue!$K$4="*",N3114=Queue!$K$4)),Q3114,"")</f>
        <v/>
      </c>
    </row>
    <row r="3115">
      <c r="A3115" s="38">
        <f>IF(M3115="","",HYPERLINK("https://www.youtube.com/watch?v="&amp;M3115,"▶"))</f>
        <v/>
      </c>
      <c r="B3115" s="39">
        <f>IF(C3115&lt;&gt;"",C3115,IF(P3115&lt;=IFERROR(INDEX(tblChannels[Watched Through],MATCH(N3115,tblChannels[Channel ID],0)),0),"Watched","Unwatched"))</f>
        <v/>
      </c>
      <c r="C3115" s="40" t="n"/>
      <c r="D3115" s="41" t="n"/>
      <c r="E3115" s="42" t="n">
        <v>41297.98611111111</v>
      </c>
      <c r="F3115" s="50" t="inlineStr">
        <is>
          <t>Super Carlin Brothers</t>
        </is>
      </c>
      <c r="G3115" t="inlineStr">
        <is>
          <t>Should I Google Autofill</t>
        </is>
      </c>
      <c r="H3115" s="44" t="n">
        <v>0.003483796296296296</v>
      </c>
      <c r="I3115" s="45" t="n">
        <v>134925</v>
      </c>
      <c r="J3115" s="45" t="n">
        <v>2288</v>
      </c>
      <c r="K3115" s="45" t="n">
        <v>371</v>
      </c>
      <c r="L3115" s="46" t="n"/>
      <c r="M3115" s="47" t="n"/>
      <c r="N3115" s="47" t="inlineStr">
        <is>
          <t>UCKZo4N0lVPccBkSiuyVh4yg</t>
        </is>
      </c>
      <c r="O3115" s="48" t="n">
        <v>41298.19444444445</v>
      </c>
      <c r="P3115" s="49" t="n">
        <v>41297</v>
      </c>
      <c r="Q3115" s="47" t="n">
        <v>153</v>
      </c>
      <c r="R3115" s="47" t="inlineStr">
        <is>
          <t>No Video ID yet</t>
        </is>
      </c>
      <c r="S3115" s="49" t="n"/>
      <c r="T3115" s="49" t="n"/>
      <c r="U3115" s="47" t="inlineStr">
        <is>
          <t>Jonathan answers Google's "Should I's" What should we call the Super Carlin Brother community? Tweet us at @jonkerlin and @SCB_Ben =D</t>
        </is>
      </c>
      <c r="V3115" s="47">
        <f>IF(AND(P3115&gt;=Calendar!$K$2,P3115&lt;EDATE(Calendar!$K$2,1),OR(Calendar!$K$4="*",N3115=Calendar!$K$4)),P3115*100+COUNTIFS($P$6:$P$3267,P3115,$Q$6:$Q$3267,"&lt;="&amp;Q3115,$N$6:$N$3267,Calendar!$K$4),"")</f>
        <v/>
      </c>
      <c r="W3115" s="47">
        <f>IF(AND(B3115=Queue!$C$4,OR(Queue!$K$4="*",N3115=Queue!$K$4)),Q3115,"")</f>
        <v/>
      </c>
    </row>
    <row r="3116">
      <c r="A3116" s="38">
        <f>IF(M3116="","",HYPERLINK("https://www.youtube.com/watch?v="&amp;M3116,"▶"))</f>
        <v/>
      </c>
      <c r="B3116" s="39">
        <f>IF(C3116&lt;&gt;"",C3116,IF(P3116&lt;=IFERROR(INDEX(tblChannels[Watched Through],MATCH(N3116,tblChannels[Channel ID],0)),0),"Watched","Unwatched"))</f>
        <v/>
      </c>
      <c r="C3116" s="40" t="n"/>
      <c r="D3116" s="41" t="n"/>
      <c r="E3116" s="42" t="n">
        <v>41296.92430555556</v>
      </c>
      <c r="F3116" s="50" t="inlineStr">
        <is>
          <t>Super Carlin Brothers</t>
        </is>
      </c>
      <c r="G3116" t="inlineStr">
        <is>
          <t>Night Owl</t>
        </is>
      </c>
      <c r="H3116" s="44" t="n">
        <v>0.0009375</v>
      </c>
      <c r="I3116" s="45" t="n">
        <v>11533</v>
      </c>
      <c r="J3116" s="45" t="n">
        <v>300</v>
      </c>
      <c r="K3116" s="45" t="n">
        <v>84</v>
      </c>
      <c r="L3116" s="46" t="n"/>
      <c r="M3116" s="47" t="n"/>
      <c r="N3116" s="47" t="inlineStr">
        <is>
          <t>UCKZo4N0lVPccBkSiuyVh4yg</t>
        </is>
      </c>
      <c r="O3116" s="48" t="n">
        <v>41297.13263888889</v>
      </c>
      <c r="P3116" s="49" t="n">
        <v>41296</v>
      </c>
      <c r="Q3116" s="47" t="n">
        <v>152</v>
      </c>
      <c r="R3116" s="47" t="inlineStr">
        <is>
          <t>No Video ID yet</t>
        </is>
      </c>
      <c r="S3116" s="49" t="n"/>
      <c r="T3116" s="49" t="n"/>
      <c r="U3116" s="47" t="inlineStr">
        <is>
          <t>What is your super hero name?!! What would be a great name for a SCB justice league? @SCB_Ben and @Jonkerlin =D</t>
        </is>
      </c>
      <c r="V3116" s="47">
        <f>IF(AND(P3116&gt;=Calendar!$K$2,P3116&lt;EDATE(Calendar!$K$2,1),OR(Calendar!$K$4="*",N3116=Calendar!$K$4)),P3116*100+COUNTIFS($P$6:$P$3267,P3116,$Q$6:$Q$3267,"&lt;="&amp;Q3116,$N$6:$N$3267,Calendar!$K$4),"")</f>
        <v/>
      </c>
      <c r="W3116" s="47">
        <f>IF(AND(B3116=Queue!$C$4,OR(Queue!$K$4="*",N3116=Queue!$K$4)),Q3116,"")</f>
        <v/>
      </c>
    </row>
    <row r="3117">
      <c r="A3117" s="38">
        <f>IF(M3117="","",HYPERLINK("https://www.youtube.com/watch?v="&amp;M3117,"▶"))</f>
        <v/>
      </c>
      <c r="B3117" s="39">
        <f>IF(C3117&lt;&gt;"",C3117,IF(P3117&lt;=IFERROR(INDEX(tblChannels[Watched Through],MATCH(N3117,tblChannels[Channel ID],0)),0),"Watched","Unwatched"))</f>
        <v/>
      </c>
      <c r="C3117" s="40" t="n"/>
      <c r="D3117" s="41" t="n"/>
      <c r="E3117" s="42" t="n">
        <v>41295.475</v>
      </c>
      <c r="F3117" s="50" t="inlineStr">
        <is>
          <t>Super Carlin Brothers</t>
        </is>
      </c>
      <c r="G3117" t="inlineStr">
        <is>
          <t>Morning Person!</t>
        </is>
      </c>
      <c r="H3117" s="44" t="n">
        <v>0.002951388888888889</v>
      </c>
      <c r="I3117" s="45" t="n">
        <v>23575</v>
      </c>
      <c r="J3117" s="45" t="n">
        <v>717</v>
      </c>
      <c r="K3117" s="45" t="n">
        <v>178</v>
      </c>
      <c r="L3117" s="46" t="n"/>
      <c r="M3117" s="47" t="n"/>
      <c r="N3117" s="47" t="inlineStr">
        <is>
          <t>UCKZo4N0lVPccBkSiuyVh4yg</t>
        </is>
      </c>
      <c r="O3117" s="48" t="n">
        <v>41295.68333333333</v>
      </c>
      <c r="P3117" s="49" t="n">
        <v>41295</v>
      </c>
      <c r="Q3117" s="47" t="n">
        <v>151</v>
      </c>
      <c r="R3117" s="47" t="inlineStr">
        <is>
          <t>No Video ID yet</t>
        </is>
      </c>
      <c r="S3117" s="49" t="n"/>
      <c r="T3117" s="49" t="n"/>
      <c r="U3117" s="47" t="inlineStr">
        <is>
          <t>I had a lot of coffee this morning.. What is your perfect morning like? TWEET TYLER: @TyCarlin Are you a morning person? or Tweet Ben and I: @Jonkerlin and @SCB_Ben =D</t>
        </is>
      </c>
      <c r="V3117" s="47">
        <f>IF(AND(P3117&gt;=Calendar!$K$2,P3117&lt;EDATE(Calendar!$K$2,1),OR(Calendar!$K$4="*",N3117=Calendar!$K$4)),P3117*100+COUNTIFS($P$6:$P$3267,P3117,$Q$6:$Q$3267,"&lt;="&amp;Q3117,$N$6:$N$3267,Calendar!$K$4),"")</f>
        <v/>
      </c>
      <c r="W3117" s="47">
        <f>IF(AND(B3117=Queue!$C$4,OR(Queue!$K$4="*",N3117=Queue!$K$4)),Q3117,"")</f>
        <v/>
      </c>
    </row>
    <row r="3118">
      <c r="A3118" s="38">
        <f>IF(M3118="","",HYPERLINK("https://www.youtube.com/watch?v="&amp;M3118,"▶"))</f>
        <v/>
      </c>
      <c r="B3118" s="39">
        <f>IF(C3118&lt;&gt;"",C3118,IF(P3118&lt;=IFERROR(INDEX(tblChannels[Watched Through],MATCH(N3118,tblChannels[Channel ID],0)),0),"Watched","Unwatched"))</f>
        <v/>
      </c>
      <c r="C3118" s="40" t="n"/>
      <c r="D3118" s="41" t="n"/>
      <c r="E3118" s="42" t="n">
        <v>41292.89652777778</v>
      </c>
      <c r="F3118" s="50" t="inlineStr">
        <is>
          <t>Super Carlin Brothers</t>
        </is>
      </c>
      <c r="G3118" t="inlineStr">
        <is>
          <t>Ask Ben #2</t>
        </is>
      </c>
      <c r="H3118" s="44" t="n">
        <v>0.003414351851851852</v>
      </c>
      <c r="I3118" s="45" t="n">
        <v>13875</v>
      </c>
      <c r="J3118" s="45" t="n">
        <v>342</v>
      </c>
      <c r="K3118" s="45" t="n">
        <v>61</v>
      </c>
      <c r="L3118" s="46" t="n"/>
      <c r="M3118" s="47" t="n"/>
      <c r="N3118" s="47" t="inlineStr">
        <is>
          <t>UCKZo4N0lVPccBkSiuyVh4yg</t>
        </is>
      </c>
      <c r="O3118" s="48" t="n">
        <v>41293.10486111111</v>
      </c>
      <c r="P3118" s="49" t="n">
        <v>41292</v>
      </c>
      <c r="Q3118" s="47" t="n">
        <v>150</v>
      </c>
      <c r="R3118" s="47" t="inlineStr">
        <is>
          <t>No Video ID yet</t>
        </is>
      </c>
      <c r="S3118" s="49" t="n"/>
      <c r="T3118" s="49" t="n"/>
      <c r="U3118" s="47" t="inlineStr">
        <is>
          <t>Thank you guys for watching 150 videos!!!! or however many you've watched... We appreciate that too. =D</t>
        </is>
      </c>
      <c r="V3118" s="47">
        <f>IF(AND(P3118&gt;=Calendar!$K$2,P3118&lt;EDATE(Calendar!$K$2,1),OR(Calendar!$K$4="*",N3118=Calendar!$K$4)),P3118*100+COUNTIFS($P$6:$P$3267,P3118,$Q$6:$Q$3267,"&lt;="&amp;Q3118,$N$6:$N$3267,Calendar!$K$4),"")</f>
        <v/>
      </c>
      <c r="W3118" s="47">
        <f>IF(AND(B3118=Queue!$C$4,OR(Queue!$K$4="*",N3118=Queue!$K$4)),Q3118,"")</f>
        <v/>
      </c>
    </row>
    <row r="3119">
      <c r="A3119" s="38">
        <f>IF(M3119="","",HYPERLINK("https://www.youtube.com/watch?v="&amp;M3119,"▶"))</f>
        <v/>
      </c>
      <c r="B3119" s="39">
        <f>IF(C3119&lt;&gt;"",C3119,IF(P3119&lt;=IFERROR(INDEX(tblChannels[Watched Through],MATCH(N3119,tblChannels[Channel ID],0)),0),"Watched","Unwatched"))</f>
        <v/>
      </c>
      <c r="C3119" s="40" t="n"/>
      <c r="D3119" s="41" t="n"/>
      <c r="E3119" s="42" t="n">
        <v>41291.84236111111</v>
      </c>
      <c r="F3119" s="50" t="inlineStr">
        <is>
          <t>Super Carlin Brothers</t>
        </is>
      </c>
      <c r="G3119" t="inlineStr">
        <is>
          <t>Mass Confusion!</t>
        </is>
      </c>
      <c r="H3119" s="44" t="n">
        <v>0.002835648148148148</v>
      </c>
      <c r="I3119" s="45" t="n">
        <v>19174</v>
      </c>
      <c r="J3119" s="45" t="n">
        <v>493</v>
      </c>
      <c r="K3119" s="45" t="n">
        <v>145</v>
      </c>
      <c r="L3119" s="46" t="n"/>
      <c r="M3119" s="47" t="n"/>
      <c r="N3119" s="47" t="inlineStr">
        <is>
          <t>UCKZo4N0lVPccBkSiuyVh4yg</t>
        </is>
      </c>
      <c r="O3119" s="48" t="n">
        <v>41292.05069444444</v>
      </c>
      <c r="P3119" s="49" t="n">
        <v>41291</v>
      </c>
      <c r="Q3119" s="47" t="n">
        <v>149</v>
      </c>
      <c r="R3119" s="47" t="inlineStr">
        <is>
          <t>No Video ID yet</t>
        </is>
      </c>
      <c r="S3119" s="49" t="n"/>
      <c r="T3119" s="49" t="n"/>
      <c r="U3119" s="47" t="inlineStr">
        <is>
          <t>Jonathan tells how to cause mass confusion and anarchy with stickers! Leave Ben your questions below!! TWEET US AT :: @Jonkerlin and @SCB_Ben Facebook: www.facebook.com/supercarlinbrothers =D</t>
        </is>
      </c>
      <c r="V3119" s="47">
        <f>IF(AND(P3119&gt;=Calendar!$K$2,P3119&lt;EDATE(Calendar!$K$2,1),OR(Calendar!$K$4="*",N3119=Calendar!$K$4)),P3119*100+COUNTIFS($P$6:$P$3267,P3119,$Q$6:$Q$3267,"&lt;="&amp;Q3119,$N$6:$N$3267,Calendar!$K$4),"")</f>
        <v/>
      </c>
      <c r="W3119" s="47">
        <f>IF(AND(B3119=Queue!$C$4,OR(Queue!$K$4="*",N3119=Queue!$K$4)),Q3119,"")</f>
        <v/>
      </c>
    </row>
    <row r="3120">
      <c r="A3120" s="38">
        <f>IF(M3120="","",HYPERLINK("https://www.youtube.com/watch?v="&amp;M3120,"▶"))</f>
        <v/>
      </c>
      <c r="B3120" s="39">
        <f>IF(C3120&lt;&gt;"",C3120,IF(P3120&lt;=IFERROR(INDEX(tblChannels[Watched Through],MATCH(N3120,tblChannels[Channel ID],0)),0),"Watched","Unwatched"))</f>
        <v/>
      </c>
      <c r="C3120" s="40" t="n"/>
      <c r="D3120" s="41" t="n"/>
      <c r="E3120" s="42" t="n">
        <v>41290.84513888889</v>
      </c>
      <c r="F3120" s="50" t="inlineStr">
        <is>
          <t>Super Carlin Brothers</t>
        </is>
      </c>
      <c r="G3120" t="inlineStr">
        <is>
          <t>Chemistry Class</t>
        </is>
      </c>
      <c r="H3120" s="44" t="n">
        <v>0.0025</v>
      </c>
      <c r="I3120" s="45" t="n">
        <v>13218</v>
      </c>
      <c r="J3120" s="45" t="n">
        <v>365</v>
      </c>
      <c r="K3120" s="45" t="n">
        <v>72</v>
      </c>
      <c r="L3120" s="46" t="n"/>
      <c r="M3120" s="47" t="n"/>
      <c r="N3120" s="47" t="inlineStr">
        <is>
          <t>UCKZo4N0lVPccBkSiuyVh4yg</t>
        </is>
      </c>
      <c r="O3120" s="48" t="n">
        <v>41291.05347222222</v>
      </c>
      <c r="P3120" s="49" t="n">
        <v>41290</v>
      </c>
      <c r="Q3120" s="47" t="n">
        <v>148</v>
      </c>
      <c r="R3120" s="47" t="inlineStr">
        <is>
          <t>No Video ID yet</t>
        </is>
      </c>
      <c r="S3120" s="49" t="n"/>
      <c r="T3120" s="49" t="n"/>
      <c r="U3120" s="47" t="inlineStr">
        <is>
          <t>Have you ever gotten in trouble in class? or Pulled any totally hilarious classic pranks? @SCB_Ben and @Jonkerlin =D</t>
        </is>
      </c>
      <c r="V3120" s="47">
        <f>IF(AND(P3120&gt;=Calendar!$K$2,P3120&lt;EDATE(Calendar!$K$2,1),OR(Calendar!$K$4="*",N3120=Calendar!$K$4)),P3120*100+COUNTIFS($P$6:$P$3267,P3120,$Q$6:$Q$3267,"&lt;="&amp;Q3120,$N$6:$N$3267,Calendar!$K$4),"")</f>
        <v/>
      </c>
      <c r="W3120" s="47">
        <f>IF(AND(B3120=Queue!$C$4,OR(Queue!$K$4="*",N3120=Queue!$K$4)),Q3120,"")</f>
        <v/>
      </c>
    </row>
    <row r="3121">
      <c r="A3121" s="38">
        <f>IF(M3121="","",HYPERLINK("https://www.youtube.com/watch?v="&amp;M3121,"▶"))</f>
        <v/>
      </c>
      <c r="B3121" s="39">
        <f>IF(C3121&lt;&gt;"",C3121,IF(P3121&lt;=IFERROR(INDEX(tblChannels[Watched Through],MATCH(N3121,tblChannels[Channel ID],0)),0),"Watched","Unwatched"))</f>
        <v/>
      </c>
      <c r="C3121" s="40" t="n"/>
      <c r="D3121" s="41" t="n"/>
      <c r="E3121" s="42" t="n">
        <v>41289.95625</v>
      </c>
      <c r="F3121" s="50" t="inlineStr">
        <is>
          <t>Super Carlin Brothers</t>
        </is>
      </c>
      <c r="G3121" t="inlineStr">
        <is>
          <t>Doodle game!</t>
        </is>
      </c>
      <c r="H3121" s="44" t="n">
        <v>0.002604166666666667</v>
      </c>
      <c r="I3121" s="45" t="n">
        <v>22424</v>
      </c>
      <c r="J3121" s="45" t="n">
        <v>488</v>
      </c>
      <c r="K3121" s="45" t="n">
        <v>97</v>
      </c>
      <c r="L3121" s="46" t="n"/>
      <c r="M3121" s="47" t="n"/>
      <c r="N3121" s="47" t="inlineStr">
        <is>
          <t>UCKZo4N0lVPccBkSiuyVh4yg</t>
        </is>
      </c>
      <c r="O3121" s="48" t="n">
        <v>41290.16458333333</v>
      </c>
      <c r="P3121" s="49" t="n">
        <v>41289</v>
      </c>
      <c r="Q3121" s="47" t="n">
        <v>147</v>
      </c>
      <c r="R3121" s="47" t="inlineStr">
        <is>
          <t>No Video ID yet</t>
        </is>
      </c>
      <c r="S3121" s="49" t="n"/>
      <c r="T3121" s="49" t="n"/>
      <c r="U3121" s="47" t="inlineStr">
        <is>
          <t>What is the worst class you ever had and how did you pass the time? Tweet us at: @jonkerlin and @SCB_Ben =D</t>
        </is>
      </c>
      <c r="V3121" s="47">
        <f>IF(AND(P3121&gt;=Calendar!$K$2,P3121&lt;EDATE(Calendar!$K$2,1),OR(Calendar!$K$4="*",N3121=Calendar!$K$4)),P3121*100+COUNTIFS($P$6:$P$3267,P3121,$Q$6:$Q$3267,"&lt;="&amp;Q3121,$N$6:$N$3267,Calendar!$K$4),"")</f>
        <v/>
      </c>
      <c r="W3121" s="47">
        <f>IF(AND(B3121=Queue!$C$4,OR(Queue!$K$4="*",N3121=Queue!$K$4)),Q3121,"")</f>
        <v/>
      </c>
    </row>
    <row r="3122">
      <c r="A3122" s="38">
        <f>IF(M3122="","",HYPERLINK("https://www.youtube.com/watch?v="&amp;M3122,"▶"))</f>
        <v/>
      </c>
      <c r="B3122" s="39">
        <f>IF(C3122&lt;&gt;"",C3122,IF(P3122&lt;=IFERROR(INDEX(tblChannels[Watched Through],MATCH(N3122,tblChannels[Channel ID],0)),0),"Watched","Unwatched"))</f>
        <v/>
      </c>
      <c r="C3122" s="40" t="n"/>
      <c r="D3122" s="41" t="n"/>
      <c r="E3122" s="42" t="n">
        <v>41288.98958333334</v>
      </c>
      <c r="F3122" s="50" t="inlineStr">
        <is>
          <t>Super Carlin Brothers</t>
        </is>
      </c>
      <c r="G3122" t="inlineStr">
        <is>
          <t>Doodle</t>
        </is>
      </c>
      <c r="H3122" s="44" t="n">
        <v>0.001134259259259259</v>
      </c>
      <c r="I3122" s="45" t="n">
        <v>11122</v>
      </c>
      <c r="J3122" s="45" t="n">
        <v>217</v>
      </c>
      <c r="K3122" s="45" t="n">
        <v>50</v>
      </c>
      <c r="L3122" s="46" t="n"/>
      <c r="M3122" s="47" t="n"/>
      <c r="N3122" s="47" t="inlineStr">
        <is>
          <t>UCKZo4N0lVPccBkSiuyVh4yg</t>
        </is>
      </c>
      <c r="O3122" s="48" t="n">
        <v>41289.19791666666</v>
      </c>
      <c r="P3122" s="49" t="n">
        <v>41288</v>
      </c>
      <c r="Q3122" s="47" t="n">
        <v>146</v>
      </c>
      <c r="R3122" s="47" t="inlineStr">
        <is>
          <t>No Video ID yet</t>
        </is>
      </c>
      <c r="S3122" s="49" t="n"/>
      <c r="T3122" s="49" t="n"/>
      <c r="U3122" s="47" t="inlineStr">
        <is>
          <t>What is your go to doodle?? @SCB_Ben www.facebook.com/SuperCarlinBrothers =D</t>
        </is>
      </c>
      <c r="V3122" s="47">
        <f>IF(AND(P3122&gt;=Calendar!$K$2,P3122&lt;EDATE(Calendar!$K$2,1),OR(Calendar!$K$4="*",N3122=Calendar!$K$4)),P3122*100+COUNTIFS($P$6:$P$3267,P3122,$Q$6:$Q$3267,"&lt;="&amp;Q3122,$N$6:$N$3267,Calendar!$K$4),"")</f>
        <v/>
      </c>
      <c r="W3122" s="47">
        <f>IF(AND(B3122=Queue!$C$4,OR(Queue!$K$4="*",N3122=Queue!$K$4)),Q3122,"")</f>
        <v/>
      </c>
    </row>
    <row r="3123">
      <c r="A3123" s="38">
        <f>IF(M3123="","",HYPERLINK("https://www.youtube.com/watch?v="&amp;M3123,"▶"))</f>
        <v/>
      </c>
      <c r="B3123" s="39">
        <f>IF(C3123&lt;&gt;"",C3123,IF(P3123&lt;=IFERROR(INDEX(tblChannels[Watched Through],MATCH(N3123,tblChannels[Channel ID],0)),0),"Watched","Unwatched"))</f>
        <v/>
      </c>
      <c r="C3123" s="40" t="n"/>
      <c r="D3123" s="41" t="n"/>
      <c r="E3123" s="42" t="n">
        <v>41285.92847222222</v>
      </c>
      <c r="F3123" s="50" t="inlineStr">
        <is>
          <t>Super Carlin Brothers</t>
        </is>
      </c>
      <c r="G3123" t="inlineStr">
        <is>
          <t>Ask J! #5</t>
        </is>
      </c>
      <c r="H3123" s="44" t="n">
        <v>0.002349537037037037</v>
      </c>
      <c r="I3123" s="45" t="n">
        <v>22129</v>
      </c>
      <c r="J3123" s="45" t="n">
        <v>406</v>
      </c>
      <c r="K3123" s="45" t="n">
        <v>100</v>
      </c>
      <c r="L3123" s="46" t="n"/>
      <c r="M3123" s="47" t="n"/>
      <c r="N3123" s="47" t="inlineStr">
        <is>
          <t>UCKZo4N0lVPccBkSiuyVh4yg</t>
        </is>
      </c>
      <c r="O3123" s="48" t="n">
        <v>41286.13680555556</v>
      </c>
      <c r="P3123" s="49" t="n">
        <v>41285</v>
      </c>
      <c r="Q3123" s="47" t="n">
        <v>145</v>
      </c>
      <c r="R3123" s="47" t="inlineStr">
        <is>
          <t>No Video ID yet</t>
        </is>
      </c>
      <c r="S3123" s="49" t="n"/>
      <c r="T3123" s="49" t="n"/>
      <c r="U3123" s="47" t="inlineStr">
        <is>
          <t>Jonathan answers your questions! Check out FriendswoBenefits here: What other small channel's should we check out?? Tweet us at: @jonkerlin and @SCB_Ben =D</t>
        </is>
      </c>
      <c r="V3123" s="47">
        <f>IF(AND(P3123&gt;=Calendar!$K$2,P3123&lt;EDATE(Calendar!$K$2,1),OR(Calendar!$K$4="*",N3123=Calendar!$K$4)),P3123*100+COUNTIFS($P$6:$P$3267,P3123,$Q$6:$Q$3267,"&lt;="&amp;Q3123,$N$6:$N$3267,Calendar!$K$4),"")</f>
        <v/>
      </c>
      <c r="W3123" s="47">
        <f>IF(AND(B3123=Queue!$C$4,OR(Queue!$K$4="*",N3123=Queue!$K$4)),Q3123,"")</f>
        <v/>
      </c>
    </row>
    <row r="3124">
      <c r="A3124" s="38">
        <f>IF(M3124="","",HYPERLINK("https://www.youtube.com/watch?v="&amp;M3124,"▶"))</f>
        <v/>
      </c>
      <c r="B3124" s="39">
        <f>IF(C3124&lt;&gt;"",C3124,IF(P3124&lt;=IFERROR(INDEX(tblChannels[Watched Through],MATCH(N3124,tblChannels[Channel ID],0)),0),"Watched","Unwatched"))</f>
        <v/>
      </c>
      <c r="C3124" s="40" t="n"/>
      <c r="D3124" s="41" t="n"/>
      <c r="E3124" s="42" t="n">
        <v>41284.94305555556</v>
      </c>
      <c r="F3124" s="50" t="inlineStr">
        <is>
          <t>Super Carlin Brothers</t>
        </is>
      </c>
      <c r="G3124" t="inlineStr">
        <is>
          <t>Delirious Ben Plays with Sound Bytes</t>
        </is>
      </c>
      <c r="H3124" s="44" t="n">
        <v>0.00119212962962963</v>
      </c>
      <c r="I3124" s="45" t="n">
        <v>11636</v>
      </c>
      <c r="J3124" s="45" t="n">
        <v>269</v>
      </c>
      <c r="K3124" s="45" t="n">
        <v>33</v>
      </c>
      <c r="L3124" s="46" t="n"/>
      <c r="M3124" s="47" t="n"/>
      <c r="N3124" s="47" t="inlineStr">
        <is>
          <t>UCKZo4N0lVPccBkSiuyVh4yg</t>
        </is>
      </c>
      <c r="O3124" s="48" t="n">
        <v>41285.15138888889</v>
      </c>
      <c r="P3124" s="49" t="n">
        <v>41284</v>
      </c>
      <c r="Q3124" s="47" t="n">
        <v>144</v>
      </c>
      <c r="R3124" s="47" t="inlineStr">
        <is>
          <t>No Video ID yet</t>
        </is>
      </c>
      <c r="S3124" s="49" t="n"/>
      <c r="T3124" s="49" t="n"/>
      <c r="U3124" s="47" t="inlineStr">
        <is>
          <t>When I am less delirious I feel certain I will laugh at the stupidity of this video. Ask lots of questions for J to answer in tomorrow's video! Twitters: @SCB_Ben and @Jonkerlin =D</t>
        </is>
      </c>
      <c r="V3124" s="47">
        <f>IF(AND(P3124&gt;=Calendar!$K$2,P3124&lt;EDATE(Calendar!$K$2,1),OR(Calendar!$K$4="*",N3124=Calendar!$K$4)),P3124*100+COUNTIFS($P$6:$P$3267,P3124,$Q$6:$Q$3267,"&lt;="&amp;Q3124,$N$6:$N$3267,Calendar!$K$4),"")</f>
        <v/>
      </c>
      <c r="W3124" s="47">
        <f>IF(AND(B3124=Queue!$C$4,OR(Queue!$K$4="*",N3124=Queue!$K$4)),Q3124,"")</f>
        <v/>
      </c>
    </row>
    <row r="3125">
      <c r="A3125" s="38">
        <f>IF(M3125="","",HYPERLINK("https://www.youtube.com/watch?v="&amp;M3125,"▶"))</f>
        <v/>
      </c>
      <c r="B3125" s="39">
        <f>IF(C3125&lt;&gt;"",C3125,IF(P3125&lt;=IFERROR(INDEX(tblChannels[Watched Through],MATCH(N3125,tblChannels[Channel ID],0)),0),"Watched","Unwatched"))</f>
        <v/>
      </c>
      <c r="C3125" s="40" t="n"/>
      <c r="D3125" s="41" t="n"/>
      <c r="E3125" s="42" t="n">
        <v>41283.97152777778</v>
      </c>
      <c r="F3125" s="50" t="inlineStr">
        <is>
          <t>Super Carlin Brothers</t>
        </is>
      </c>
      <c r="G3125" t="inlineStr">
        <is>
          <t>The first time</t>
        </is>
      </c>
      <c r="H3125" s="44" t="n">
        <v>0.002592592592592593</v>
      </c>
      <c r="I3125" s="45" t="n">
        <v>37186</v>
      </c>
      <c r="J3125" s="45" t="n">
        <v>681</v>
      </c>
      <c r="K3125" s="45" t="n">
        <v>97</v>
      </c>
      <c r="L3125" s="46" t="n"/>
      <c r="M3125" s="47" t="n"/>
      <c r="N3125" s="47" t="inlineStr">
        <is>
          <t>UCKZo4N0lVPccBkSiuyVh4yg</t>
        </is>
      </c>
      <c r="O3125" s="48" t="n">
        <v>41284.17986111111</v>
      </c>
      <c r="P3125" s="49" t="n">
        <v>41283</v>
      </c>
      <c r="Q3125" s="47" t="n">
        <v>143</v>
      </c>
      <c r="R3125" s="47" t="inlineStr">
        <is>
          <t>No Video ID yet</t>
        </is>
      </c>
      <c r="S3125" s="49" t="n"/>
      <c r="T3125" s="49" t="n"/>
      <c r="U3125" s="47" t="inlineStr">
        <is>
          <t>Jonathan describe why somethings are only fun the first time. Have you ever enjoyed something initially and then not so much the 2nd time? TWITTER: @Jonkerlin or @SCB_Ben FACEBOOK: www.facebook.com/supercarlinbrothers =D</t>
        </is>
      </c>
      <c r="V3125" s="47">
        <f>IF(AND(P3125&gt;=Calendar!$K$2,P3125&lt;EDATE(Calendar!$K$2,1),OR(Calendar!$K$4="*",N3125=Calendar!$K$4)),P3125*100+COUNTIFS($P$6:$P$3267,P3125,$Q$6:$Q$3267,"&lt;="&amp;Q3125,$N$6:$N$3267,Calendar!$K$4),"")</f>
        <v/>
      </c>
      <c r="W3125" s="47">
        <f>IF(AND(B3125=Queue!$C$4,OR(Queue!$K$4="*",N3125=Queue!$K$4)),Q3125,"")</f>
        <v/>
      </c>
    </row>
    <row r="3126">
      <c r="A3126" s="38">
        <f>IF(M3126="","",HYPERLINK("https://www.youtube.com/watch?v="&amp;M3126,"▶"))</f>
        <v/>
      </c>
      <c r="B3126" s="39">
        <f>IF(C3126&lt;&gt;"",C3126,IF(P3126&lt;=IFERROR(INDEX(tblChannels[Watched Through],MATCH(N3126,tblChannels[Channel ID],0)),0),"Watched","Unwatched"))</f>
        <v/>
      </c>
      <c r="C3126" s="40" t="n"/>
      <c r="D3126" s="41" t="n"/>
      <c r="E3126" s="42" t="n">
        <v>41282.95694444444</v>
      </c>
      <c r="F3126" s="50" t="inlineStr">
        <is>
          <t>Super Carlin Brothers</t>
        </is>
      </c>
      <c r="G3126" t="inlineStr">
        <is>
          <t>Knick Knacks</t>
        </is>
      </c>
      <c r="H3126" s="44" t="n">
        <v>0.002418981481481482</v>
      </c>
      <c r="I3126" s="45" t="n">
        <v>12547</v>
      </c>
      <c r="J3126" s="45" t="n">
        <v>308</v>
      </c>
      <c r="K3126" s="45" t="n">
        <v>60</v>
      </c>
      <c r="L3126" s="46" t="n"/>
      <c r="M3126" s="47" t="n"/>
      <c r="N3126" s="47" t="inlineStr">
        <is>
          <t>UCKZo4N0lVPccBkSiuyVh4yg</t>
        </is>
      </c>
      <c r="O3126" s="48" t="n">
        <v>41283.16527777778</v>
      </c>
      <c r="P3126" s="49" t="n">
        <v>41282</v>
      </c>
      <c r="Q3126" s="47" t="n">
        <v>142</v>
      </c>
      <c r="R3126" s="47" t="inlineStr">
        <is>
          <t>No Video ID yet</t>
        </is>
      </c>
      <c r="S3126" s="49" t="n"/>
      <c r="T3126" s="49" t="n"/>
      <c r="U3126" s="47" t="inlineStr">
        <is>
          <t>What is your set like!?! (aka general vicinity around where you are... at this moment) Also I am thinking about redoing my set to include SCB viewer submissions! Is there anyone out there that would actually like to mail me something SCB related for me to display on my set?! @SCB_Ben and @jonkerlin =D</t>
        </is>
      </c>
      <c r="V3126" s="47">
        <f>IF(AND(P3126&gt;=Calendar!$K$2,P3126&lt;EDATE(Calendar!$K$2,1),OR(Calendar!$K$4="*",N3126=Calendar!$K$4)),P3126*100+COUNTIFS($P$6:$P$3267,P3126,$Q$6:$Q$3267,"&lt;="&amp;Q3126,$N$6:$N$3267,Calendar!$K$4),"")</f>
        <v/>
      </c>
      <c r="W3126" s="47">
        <f>IF(AND(B3126=Queue!$C$4,OR(Queue!$K$4="*",N3126=Queue!$K$4)),Q3126,"")</f>
        <v/>
      </c>
    </row>
    <row r="3127">
      <c r="A3127" s="38">
        <f>IF(M3127="","",HYPERLINK("https://www.youtube.com/watch?v="&amp;M3127,"▶"))</f>
        <v/>
      </c>
      <c r="B3127" s="39">
        <f>IF(C3127&lt;&gt;"",C3127,IF(P3127&lt;=IFERROR(INDEX(tblChannels[Watched Through],MATCH(N3127,tblChannels[Channel ID],0)),0),"Watched","Unwatched"))</f>
        <v/>
      </c>
      <c r="C3127" s="40" t="n"/>
      <c r="D3127" s="41" t="n"/>
      <c r="E3127" s="42" t="n">
        <v>41281.93611111111</v>
      </c>
      <c r="F3127" s="50" t="inlineStr">
        <is>
          <t>Super Carlin Brothers</t>
        </is>
      </c>
      <c r="G3127" t="inlineStr">
        <is>
          <t>Nostalgia Rangers!</t>
        </is>
      </c>
      <c r="H3127" s="44" t="n">
        <v>0.002835648148148148</v>
      </c>
      <c r="I3127" s="45" t="n">
        <v>12657</v>
      </c>
      <c r="J3127" s="45" t="n">
        <v>353</v>
      </c>
      <c r="K3127" s="45" t="n">
        <v>93</v>
      </c>
      <c r="L3127" s="46" t="n"/>
      <c r="M3127" s="47" t="n"/>
      <c r="N3127" s="47" t="inlineStr">
        <is>
          <t>UCKZo4N0lVPccBkSiuyVh4yg</t>
        </is>
      </c>
      <c r="O3127" s="48" t="n">
        <v>41282.14444444444</v>
      </c>
      <c r="P3127" s="49" t="n">
        <v>41281</v>
      </c>
      <c r="Q3127" s="47" t="n">
        <v>141</v>
      </c>
      <c r="R3127" s="47" t="inlineStr">
        <is>
          <t>No Video ID yet</t>
        </is>
      </c>
      <c r="S3127" s="49" t="n"/>
      <c r="T3127" s="49" t="n"/>
      <c r="U3127" s="47" t="inlineStr">
        <is>
          <t>Jonathan talks about the time his childhood was shattered and when nostalgia kicks in. What is something you have begun feeling nostalgic about despite a period of LAME SAUCE!? TWITTER: @Jonkerlin and @SCB_Ben FACEBOOK: www.facebook.com/supercarlinbrothers =D</t>
        </is>
      </c>
      <c r="V3127" s="47">
        <f>IF(AND(P3127&gt;=Calendar!$K$2,P3127&lt;EDATE(Calendar!$K$2,1),OR(Calendar!$K$4="*",N3127=Calendar!$K$4)),P3127*100+COUNTIFS($P$6:$P$3267,P3127,$Q$6:$Q$3267,"&lt;="&amp;Q3127,$N$6:$N$3267,Calendar!$K$4),"")</f>
        <v/>
      </c>
      <c r="W3127" s="47">
        <f>IF(AND(B3127=Queue!$C$4,OR(Queue!$K$4="*",N3127=Queue!$K$4)),Q3127,"")</f>
        <v/>
      </c>
    </row>
    <row r="3128">
      <c r="A3128" s="38">
        <f>IF(M3128="","",HYPERLINK("https://www.youtube.com/watch?v="&amp;M3128,"▶"))</f>
        <v/>
      </c>
      <c r="B3128" s="39">
        <f>IF(C3128&lt;&gt;"",C3128,IF(P3128&lt;=IFERROR(INDEX(tblChannels[Watched Through],MATCH(N3128,tblChannels[Channel ID],0)),0),"Watched","Unwatched"))</f>
        <v/>
      </c>
      <c r="C3128" s="40" t="n"/>
      <c r="D3128" s="41" t="n"/>
      <c r="E3128" s="42" t="n">
        <v>41278.77222222222</v>
      </c>
      <c r="F3128" s="50" t="inlineStr">
        <is>
          <t>Super Carlin Brothers</t>
        </is>
      </c>
      <c r="G3128" t="inlineStr">
        <is>
          <t>Duct Tape</t>
        </is>
      </c>
      <c r="H3128" s="44" t="n">
        <v>0.001759259259259259</v>
      </c>
      <c r="I3128" s="45" t="n">
        <v>13475</v>
      </c>
      <c r="J3128" s="45" t="n">
        <v>361</v>
      </c>
      <c r="K3128" s="45" t="n">
        <v>103</v>
      </c>
      <c r="L3128" s="46" t="n"/>
      <c r="M3128" s="47" t="n"/>
      <c r="N3128" s="47" t="inlineStr">
        <is>
          <t>UCKZo4N0lVPccBkSiuyVh4yg</t>
        </is>
      </c>
      <c r="O3128" s="48" t="n">
        <v>41278.98055555556</v>
      </c>
      <c r="P3128" s="49" t="n">
        <v>41278</v>
      </c>
      <c r="Q3128" s="47" t="n">
        <v>140</v>
      </c>
      <c r="R3128" s="47" t="inlineStr">
        <is>
          <t>No Video ID yet</t>
        </is>
      </c>
      <c r="S3128" s="49" t="n"/>
      <c r="T3128" s="49" t="n"/>
      <c r="U3128" s="47" t="inlineStr">
        <is>
          <t>Whats a creative way you have used duct tape?! Do you have a video topic idea for me?! I WILL use one suggestion from the comments on this video for next tuesday! =D</t>
        </is>
      </c>
      <c r="V3128" s="47">
        <f>IF(AND(P3128&gt;=Calendar!$K$2,P3128&lt;EDATE(Calendar!$K$2,1),OR(Calendar!$K$4="*",N3128=Calendar!$K$4)),P3128*100+COUNTIFS($P$6:$P$3267,P3128,$Q$6:$Q$3267,"&lt;="&amp;Q3128,$N$6:$N$3267,Calendar!$K$4),"")</f>
        <v/>
      </c>
      <c r="W3128" s="47">
        <f>IF(AND(B3128=Queue!$C$4,OR(Queue!$K$4="*",N3128=Queue!$K$4)),Q3128,"")</f>
        <v/>
      </c>
    </row>
    <row r="3129">
      <c r="A3129" s="38">
        <f>IF(M3129="","",HYPERLINK("https://www.youtube.com/watch?v="&amp;M3129,"▶"))</f>
        <v/>
      </c>
      <c r="B3129" s="39">
        <f>IF(C3129&lt;&gt;"",C3129,IF(P3129&lt;=IFERROR(INDEX(tblChannels[Watched Through],MATCH(N3129,tblChannels[Channel ID],0)),0),"Watched","Unwatched"))</f>
        <v/>
      </c>
      <c r="C3129" s="40" t="n"/>
      <c r="D3129" s="41" t="n"/>
      <c r="E3129" s="42" t="n">
        <v>41277.91527777778</v>
      </c>
      <c r="F3129" s="50" t="inlineStr">
        <is>
          <t>Super Carlin Brothers</t>
        </is>
      </c>
      <c r="G3129" t="inlineStr">
        <is>
          <t>Stupid Alarm Clocks!</t>
        </is>
      </c>
      <c r="H3129" s="44" t="n">
        <v>0.002766203703703704</v>
      </c>
      <c r="I3129" s="45" t="n">
        <v>42043</v>
      </c>
      <c r="J3129" s="45" t="n">
        <v>771</v>
      </c>
      <c r="K3129" s="45" t="n">
        <v>174</v>
      </c>
      <c r="L3129" s="46" t="n"/>
      <c r="M3129" s="47" t="n"/>
      <c r="N3129" s="47" t="inlineStr">
        <is>
          <t>UCKZo4N0lVPccBkSiuyVh4yg</t>
        </is>
      </c>
      <c r="O3129" s="48" t="n">
        <v>41278.12361111111</v>
      </c>
      <c r="P3129" s="49" t="n">
        <v>41277</v>
      </c>
      <c r="Q3129" s="47" t="n">
        <v>139</v>
      </c>
      <c r="R3129" s="47" t="inlineStr">
        <is>
          <t>No Video ID yet</t>
        </is>
      </c>
      <c r="S3129" s="49" t="n"/>
      <c r="T3129" s="49" t="n"/>
      <c r="U3129" s="47" t="inlineStr">
        <is>
          <t>Jonathan gets angry at his alarm clock for being so stupid, just really dumb and lame and stuuuupid, what a dumb invention, they just suck, like seriously. FOR REAL. Have you ever slept through something important? TWITTER: @Jonkerlin and @SCB_Ben (Follow to be a badass!) FACEBOOK: www.facebook.com/supercarlinbrothers =D</t>
        </is>
      </c>
      <c r="V3129" s="47">
        <f>IF(AND(P3129&gt;=Calendar!$K$2,P3129&lt;EDATE(Calendar!$K$2,1),OR(Calendar!$K$4="*",N3129=Calendar!$K$4)),P3129*100+COUNTIFS($P$6:$P$3267,P3129,$Q$6:$Q$3267,"&lt;="&amp;Q3129,$N$6:$N$3267,Calendar!$K$4),"")</f>
        <v/>
      </c>
      <c r="W3129" s="47">
        <f>IF(AND(B3129=Queue!$C$4,OR(Queue!$K$4="*",N3129=Queue!$K$4)),Q3129,"")</f>
        <v/>
      </c>
    </row>
    <row r="3130">
      <c r="A3130" s="38">
        <f>IF(M3130="","",HYPERLINK("https://www.youtube.com/watch?v="&amp;M3130,"▶"))</f>
        <v/>
      </c>
      <c r="B3130" s="39">
        <f>IF(C3130&lt;&gt;"",C3130,IF(P3130&lt;=IFERROR(INDEX(tblChannels[Watched Through],MATCH(N3130,tblChannels[Channel ID],0)),0),"Watched","Unwatched"))</f>
        <v/>
      </c>
      <c r="C3130" s="40" t="n"/>
      <c r="D3130" s="41" t="n"/>
      <c r="E3130" s="42" t="n">
        <v>41276.89097222222</v>
      </c>
      <c r="F3130" s="50" t="inlineStr">
        <is>
          <t>Super Carlin Brothers</t>
        </is>
      </c>
      <c r="G3130" t="inlineStr">
        <is>
          <t>If Cookies Were Money</t>
        </is>
      </c>
      <c r="H3130" s="44" t="n">
        <v>0.002372685185185185</v>
      </c>
      <c r="I3130" s="45" t="n">
        <v>14468</v>
      </c>
      <c r="J3130" s="45" t="n">
        <v>357</v>
      </c>
      <c r="K3130" s="45" t="n">
        <v>60</v>
      </c>
      <c r="L3130" s="46" t="n"/>
      <c r="M3130" s="47" t="n"/>
      <c r="N3130" s="47" t="inlineStr">
        <is>
          <t>UCKZo4N0lVPccBkSiuyVh4yg</t>
        </is>
      </c>
      <c r="O3130" s="48" t="n">
        <v>41277.09930555556</v>
      </c>
      <c r="P3130" s="49" t="n">
        <v>41276</v>
      </c>
      <c r="Q3130" s="47" t="n">
        <v>138</v>
      </c>
      <c r="R3130" s="47" t="inlineStr">
        <is>
          <t>No Video ID yet</t>
        </is>
      </c>
      <c r="S3130" s="49" t="n"/>
      <c r="T3130" s="49" t="n"/>
      <c r="U3130" s="47" t="inlineStr">
        <is>
          <t>If you were responsible for determining how much cookie each person had to contribute, how would you do it? Twitter: @SCB_Ben @Jonkerlin =D</t>
        </is>
      </c>
      <c r="V3130" s="47">
        <f>IF(AND(P3130&gt;=Calendar!$K$2,P3130&lt;EDATE(Calendar!$K$2,1),OR(Calendar!$K$4="*",N3130=Calendar!$K$4)),P3130*100+COUNTIFS($P$6:$P$3267,P3130,$Q$6:$Q$3267,"&lt;="&amp;Q3130,$N$6:$N$3267,Calendar!$K$4),"")</f>
        <v/>
      </c>
      <c r="W3130" s="47">
        <f>IF(AND(B3130=Queue!$C$4,OR(Queue!$K$4="*",N3130=Queue!$K$4)),Q3130,"")</f>
        <v/>
      </c>
    </row>
    <row r="3131">
      <c r="A3131" s="38">
        <f>IF(M3131="","",HYPERLINK("https://www.youtube.com/watch?v="&amp;M3131,"▶"))</f>
        <v/>
      </c>
      <c r="B3131" s="39">
        <f>IF(C3131&lt;&gt;"",C3131,IF(P3131&lt;=IFERROR(INDEX(tblChannels[Watched Through],MATCH(N3131,tblChannels[Channel ID],0)),0),"Watched","Unwatched"))</f>
        <v/>
      </c>
      <c r="C3131" s="40" t="n"/>
      <c r="D3131" s="41" t="n"/>
      <c r="E3131" s="42" t="n">
        <v>41275.90625</v>
      </c>
      <c r="F3131" s="50" t="inlineStr">
        <is>
          <t>Super Carlin Brothers</t>
        </is>
      </c>
      <c r="G3131" t="inlineStr">
        <is>
          <t>Running Resolution</t>
        </is>
      </c>
      <c r="H3131" s="44" t="n">
        <v>0.002314814814814815</v>
      </c>
      <c r="I3131" s="45" t="n">
        <v>11247</v>
      </c>
      <c r="J3131" s="45" t="n">
        <v>268</v>
      </c>
      <c r="K3131" s="45" t="n">
        <v>74</v>
      </c>
      <c r="L3131" s="46" t="n"/>
      <c r="M3131" s="47" t="n"/>
      <c r="N3131" s="47" t="inlineStr">
        <is>
          <t>UCKZo4N0lVPccBkSiuyVh4yg</t>
        </is>
      </c>
      <c r="O3131" s="48" t="n">
        <v>41276.11458333334</v>
      </c>
      <c r="P3131" s="49" t="n">
        <v>41275</v>
      </c>
      <c r="Q3131" s="47" t="n">
        <v>137</v>
      </c>
      <c r="R3131" s="47" t="inlineStr">
        <is>
          <t>No Video ID yet</t>
        </is>
      </c>
      <c r="S3131" s="49" t="n"/>
      <c r="T3131" s="49" t="n"/>
      <c r="U3131" s="47" t="inlineStr">
        <is>
          <t>Jonathan describes how he will prepare for the Anthem 1/2 Marathon in Va Beach on March 17. What is the longest you have ever run/walked? TWITTER: @SCB_Ben (seriously he needs the help) and @Jonkerlin =D</t>
        </is>
      </c>
      <c r="V3131" s="47">
        <f>IF(AND(P3131&gt;=Calendar!$K$2,P3131&lt;EDATE(Calendar!$K$2,1),OR(Calendar!$K$4="*",N3131=Calendar!$K$4)),P3131*100+COUNTIFS($P$6:$P$3267,P3131,$Q$6:$Q$3267,"&lt;="&amp;Q3131,$N$6:$N$3267,Calendar!$K$4),"")</f>
        <v/>
      </c>
      <c r="W3131" s="47">
        <f>IF(AND(B3131=Queue!$C$4,OR(Queue!$K$4="*",N3131=Queue!$K$4)),Q3131,"")</f>
        <v/>
      </c>
    </row>
    <row r="3132">
      <c r="A3132" s="38">
        <f>IF(M3132="","",HYPERLINK("https://www.youtube.com/watch?v="&amp;M3132,"▶"))</f>
        <v/>
      </c>
      <c r="B3132" s="39">
        <f>IF(C3132&lt;&gt;"",C3132,IF(P3132&lt;=IFERROR(INDEX(tblChannels[Watched Through],MATCH(N3132,tblChannels[Channel ID],0)),0),"Watched","Unwatched"))</f>
        <v/>
      </c>
      <c r="C3132" s="40" t="n"/>
      <c r="D3132" s="41" t="n"/>
      <c r="E3132" s="42" t="n">
        <v>41274.76041666666</v>
      </c>
      <c r="F3132" s="50" t="inlineStr">
        <is>
          <t>Super Carlin Brothers</t>
        </is>
      </c>
      <c r="G3132" t="inlineStr">
        <is>
          <t>Resolution for Resolutions</t>
        </is>
      </c>
      <c r="H3132" s="44" t="n">
        <v>0.001886574074074074</v>
      </c>
      <c r="I3132" s="45" t="n">
        <v>10249</v>
      </c>
      <c r="J3132" s="45" t="n">
        <v>255</v>
      </c>
      <c r="K3132" s="45" t="n">
        <v>40</v>
      </c>
      <c r="L3132" s="46" t="n"/>
      <c r="M3132" s="47" t="n"/>
      <c r="N3132" s="47" t="inlineStr">
        <is>
          <t>UCKZo4N0lVPccBkSiuyVh4yg</t>
        </is>
      </c>
      <c r="O3132" s="48" t="n">
        <v>41274.96875</v>
      </c>
      <c r="P3132" s="49" t="n">
        <v>41274</v>
      </c>
      <c r="Q3132" s="47" t="n">
        <v>136</v>
      </c>
      <c r="R3132" s="47" t="inlineStr">
        <is>
          <t>No Video ID yet</t>
        </is>
      </c>
      <c r="S3132" s="49" t="n"/>
      <c r="T3132" s="49" t="n"/>
      <c r="U3132" s="47" t="inlineStr">
        <is>
          <t>My plan to have a new resolution every two weeks! What is your resolution?!!? Twitter: @SCB_Ben =D</t>
        </is>
      </c>
      <c r="V3132" s="47">
        <f>IF(AND(P3132&gt;=Calendar!$K$2,P3132&lt;EDATE(Calendar!$K$2,1),OR(Calendar!$K$4="*",N3132=Calendar!$K$4)),P3132*100+COUNTIFS($P$6:$P$3267,P3132,$Q$6:$Q$3267,"&lt;="&amp;Q3132,$N$6:$N$3267,Calendar!$K$4),"")</f>
        <v/>
      </c>
      <c r="W3132" s="47">
        <f>IF(AND(B3132=Queue!$C$4,OR(Queue!$K$4="*",N3132=Queue!$K$4)),Q3132,"")</f>
        <v/>
      </c>
    </row>
    <row r="3133">
      <c r="A3133" s="38">
        <f>IF(M3133="","",HYPERLINK("https://www.youtube.com/watch?v="&amp;M3133,"▶"))</f>
        <v/>
      </c>
      <c r="B3133" s="39">
        <f>IF(C3133&lt;&gt;"",C3133,IF(P3133&lt;=IFERROR(INDEX(tblChannels[Watched Through],MATCH(N3133,tblChannels[Channel ID],0)),0),"Watched","Unwatched"))</f>
        <v/>
      </c>
      <c r="C3133" s="40" t="n"/>
      <c r="D3133" s="41" t="n"/>
      <c r="E3133" s="42" t="n">
        <v>41271.94722222222</v>
      </c>
      <c r="F3133" s="50" t="inlineStr">
        <is>
          <t>Super Carlin Brothers</t>
        </is>
      </c>
      <c r="G3133" t="inlineStr">
        <is>
          <t>Don't orphan the salt!</t>
        </is>
      </c>
      <c r="H3133" s="44" t="n">
        <v>0.002349537037037037</v>
      </c>
      <c r="I3133" s="45" t="n">
        <v>41146</v>
      </c>
      <c r="J3133" s="45" t="n">
        <v>878</v>
      </c>
      <c r="K3133" s="45" t="n">
        <v>274</v>
      </c>
      <c r="L3133" s="46" t="n"/>
      <c r="M3133" s="47" t="n"/>
      <c r="N3133" s="47" t="inlineStr">
        <is>
          <t>UCKZo4N0lVPccBkSiuyVh4yg</t>
        </is>
      </c>
      <c r="O3133" s="48" t="n">
        <v>41272.15555555555</v>
      </c>
      <c r="P3133" s="49" t="n">
        <v>41271</v>
      </c>
      <c r="Q3133" s="47" t="n">
        <v>135</v>
      </c>
      <c r="R3133" s="47" t="inlineStr">
        <is>
          <t>No Video ID yet</t>
        </is>
      </c>
      <c r="S3133" s="49" t="n"/>
      <c r="T3133" s="49" t="n"/>
      <c r="U3133" s="47" t="inlineStr">
        <is>
          <t>Jonathan talks about all the knowledge he has ever acquired regarding salt? What foods do you like salt on? TWITTER: @jonkerlin and @SCB_Ben =D</t>
        </is>
      </c>
      <c r="V3133" s="47">
        <f>IF(AND(P3133&gt;=Calendar!$K$2,P3133&lt;EDATE(Calendar!$K$2,1),OR(Calendar!$K$4="*",N3133=Calendar!$K$4)),P3133*100+COUNTIFS($P$6:$P$3267,P3133,$Q$6:$Q$3267,"&lt;="&amp;Q3133,$N$6:$N$3267,Calendar!$K$4),"")</f>
        <v/>
      </c>
      <c r="W3133" s="47">
        <f>IF(AND(B3133=Queue!$C$4,OR(Queue!$K$4="*",N3133=Queue!$K$4)),Q3133,"")</f>
        <v/>
      </c>
    </row>
    <row r="3134">
      <c r="A3134" s="38">
        <f>IF(M3134="","",HYPERLINK("https://www.youtube.com/watch?v="&amp;M3134,"▶"))</f>
        <v/>
      </c>
      <c r="B3134" s="39">
        <f>IF(C3134&lt;&gt;"",C3134,IF(P3134&lt;=IFERROR(INDEX(tblChannels[Watched Through],MATCH(N3134,tblChannels[Channel ID],0)),0),"Watched","Unwatched"))</f>
        <v/>
      </c>
      <c r="C3134" s="40" t="n"/>
      <c r="D3134" s="41" t="n"/>
      <c r="E3134" s="42" t="n">
        <v>41270.82291666666</v>
      </c>
      <c r="F3134" s="50" t="inlineStr">
        <is>
          <t>Super Carlin Brothers</t>
        </is>
      </c>
      <c r="G3134" t="inlineStr">
        <is>
          <t>The Year of '012</t>
        </is>
      </c>
      <c r="H3134" s="44" t="n">
        <v>0.001782407407407407</v>
      </c>
      <c r="I3134" s="45" t="n">
        <v>11060</v>
      </c>
      <c r="J3134" s="45" t="n">
        <v>268</v>
      </c>
      <c r="K3134" s="45" t="n">
        <v>55</v>
      </c>
      <c r="L3134" s="46" t="n"/>
      <c r="M3134" s="47" t="n"/>
      <c r="N3134" s="47" t="inlineStr">
        <is>
          <t>UCKZo4N0lVPccBkSiuyVh4yg</t>
        </is>
      </c>
      <c r="O3134" s="48" t="n">
        <v>41271.03125</v>
      </c>
      <c r="P3134" s="49" t="n">
        <v>41270</v>
      </c>
      <c r="Q3134" s="47" t="n">
        <v>134</v>
      </c>
      <c r="R3134" s="47" t="inlineStr">
        <is>
          <t>No Video ID yet</t>
        </is>
      </c>
      <c r="S3134" s="49" t="n"/>
      <c r="T3134" s="49" t="n"/>
      <c r="U3134" s="47" t="inlineStr">
        <is>
          <t>What memorable thing did you do this year?! @SCB_Ben and @Jonkerlin =D</t>
        </is>
      </c>
      <c r="V3134" s="47">
        <f>IF(AND(P3134&gt;=Calendar!$K$2,P3134&lt;EDATE(Calendar!$K$2,1),OR(Calendar!$K$4="*",N3134=Calendar!$K$4)),P3134*100+COUNTIFS($P$6:$P$3267,P3134,$Q$6:$Q$3267,"&lt;="&amp;Q3134,$N$6:$N$3267,Calendar!$K$4),"")</f>
        <v/>
      </c>
      <c r="W3134" s="47">
        <f>IF(AND(B3134=Queue!$C$4,OR(Queue!$K$4="*",N3134=Queue!$K$4)),Q3134,"")</f>
        <v/>
      </c>
    </row>
    <row r="3135">
      <c r="A3135" s="38">
        <f>IF(M3135="","",HYPERLINK("https://www.youtube.com/watch?v="&amp;M3135,"▶"))</f>
        <v/>
      </c>
      <c r="B3135" s="39">
        <f>IF(C3135&lt;&gt;"",C3135,IF(P3135&lt;=IFERROR(INDEX(tblChannels[Watched Through],MATCH(N3135,tblChannels[Channel ID],0)),0),"Watched","Unwatched"))</f>
        <v/>
      </c>
      <c r="C3135" s="40" t="n"/>
      <c r="D3135" s="41" t="n"/>
      <c r="E3135" s="42" t="n">
        <v>41269.92222222222</v>
      </c>
      <c r="F3135" s="50" t="inlineStr">
        <is>
          <t>Super Carlin Brothers</t>
        </is>
      </c>
      <c r="G3135" t="inlineStr">
        <is>
          <t>Beth missed me!</t>
        </is>
      </c>
      <c r="H3135" s="44" t="n">
        <v>0.0007175925925925926</v>
      </c>
      <c r="I3135" s="45" t="n">
        <v>31619</v>
      </c>
      <c r="J3135" s="45" t="n">
        <v>727</v>
      </c>
      <c r="K3135" s="45" t="n">
        <v>86</v>
      </c>
      <c r="L3135" s="46" t="n"/>
      <c r="M3135" s="47" t="n"/>
      <c r="N3135" s="47" t="inlineStr">
        <is>
          <t>UCKZo4N0lVPccBkSiuyVh4yg</t>
        </is>
      </c>
      <c r="O3135" s="48" t="n">
        <v>41270.13055555556</v>
      </c>
      <c r="P3135" s="49" t="n">
        <v>41269</v>
      </c>
      <c r="Q3135" s="47" t="n">
        <v>133</v>
      </c>
      <c r="R3135" s="47" t="inlineStr">
        <is>
          <t>No Video ID yet</t>
        </is>
      </c>
      <c r="S3135" s="49" t="n"/>
      <c r="T3135" s="49" t="n"/>
      <c r="U3135" s="47" t="inlineStr">
        <is>
          <t>Jonathan was about to tell an awesome story about SALT but Beth decides that the video is over cause she missed him so much cause he's so good looking. Merry Day after Christmas! =D</t>
        </is>
      </c>
      <c r="V3135" s="47">
        <f>IF(AND(P3135&gt;=Calendar!$K$2,P3135&lt;EDATE(Calendar!$K$2,1),OR(Calendar!$K$4="*",N3135=Calendar!$K$4)),P3135*100+COUNTIFS($P$6:$P$3267,P3135,$Q$6:$Q$3267,"&lt;="&amp;Q3135,$N$6:$N$3267,Calendar!$K$4),"")</f>
        <v/>
      </c>
      <c r="W3135" s="47">
        <f>IF(AND(B3135=Queue!$C$4,OR(Queue!$K$4="*",N3135=Queue!$K$4)),Q3135,"")</f>
        <v/>
      </c>
    </row>
    <row r="3136">
      <c r="A3136" s="38">
        <f>IF(M3136="","",HYPERLINK("https://www.youtube.com/watch?v="&amp;M3136,"▶"))</f>
        <v/>
      </c>
      <c r="B3136" s="39">
        <f>IF(C3136&lt;&gt;"",C3136,IF(P3136&lt;=IFERROR(INDEX(tblChannels[Watched Through],MATCH(N3136,tblChannels[Channel ID],0)),0),"Watched","Unwatched"))</f>
        <v/>
      </c>
      <c r="C3136" s="40" t="n"/>
      <c r="D3136" s="41" t="n"/>
      <c r="E3136" s="42" t="n">
        <v>41268.85625</v>
      </c>
      <c r="F3136" s="50" t="inlineStr">
        <is>
          <t>Super Carlin Brothers</t>
        </is>
      </c>
      <c r="G3136" t="inlineStr">
        <is>
          <t>Barn Quilt and Merry Christmas!</t>
        </is>
      </c>
      <c r="H3136" s="44" t="n">
        <v>0.00130787037037037</v>
      </c>
      <c r="I3136" s="45" t="n">
        <v>10251</v>
      </c>
      <c r="J3136" s="45" t="n">
        <v>270</v>
      </c>
      <c r="K3136" s="45" t="n">
        <v>22</v>
      </c>
      <c r="L3136" s="46" t="n"/>
      <c r="M3136" s="47" t="n"/>
      <c r="N3136" s="47" t="inlineStr">
        <is>
          <t>UCKZo4N0lVPccBkSiuyVh4yg</t>
        </is>
      </c>
      <c r="O3136" s="48" t="n">
        <v>41269.06458333333</v>
      </c>
      <c r="P3136" s="49" t="n">
        <v>41268</v>
      </c>
      <c r="Q3136" s="47" t="n">
        <v>132</v>
      </c>
      <c r="R3136" s="47" t="inlineStr">
        <is>
          <t>No Video ID yet</t>
        </is>
      </c>
      <c r="S3136" s="49" t="n"/>
      <c r="T3136" s="49" t="n"/>
      <c r="U3136" s="47" t="inlineStr">
        <is>
          <t>Merry Christmas!! What did ya get!?! Twitter: @SCB_Ben and @Jonkerlin =D</t>
        </is>
      </c>
      <c r="V3136" s="47">
        <f>IF(AND(P3136&gt;=Calendar!$K$2,P3136&lt;EDATE(Calendar!$K$2,1),OR(Calendar!$K$4="*",N3136=Calendar!$K$4)),P3136*100+COUNTIFS($P$6:$P$3267,P3136,$Q$6:$Q$3267,"&lt;="&amp;Q3136,$N$6:$N$3267,Calendar!$K$4),"")</f>
        <v/>
      </c>
      <c r="W3136" s="47">
        <f>IF(AND(B3136=Queue!$C$4,OR(Queue!$K$4="*",N3136=Queue!$K$4)),Q3136,"")</f>
        <v/>
      </c>
    </row>
    <row r="3137">
      <c r="A3137" s="38">
        <f>IF(M3137="","",HYPERLINK("https://www.youtube.com/watch?v="&amp;M3137,"▶"))</f>
        <v/>
      </c>
      <c r="B3137" s="39">
        <f>IF(C3137&lt;&gt;"",C3137,IF(P3137&lt;=IFERROR(INDEX(tblChannels[Watched Through],MATCH(N3137,tblChannels[Channel ID],0)),0),"Watched","Unwatched"))</f>
        <v/>
      </c>
      <c r="C3137" s="40" t="n"/>
      <c r="D3137" s="41" t="n"/>
      <c r="E3137" s="42" t="n">
        <v>41267.57152777778</v>
      </c>
      <c r="F3137" s="50" t="inlineStr">
        <is>
          <t>Super Carlin Brothers</t>
        </is>
      </c>
      <c r="G3137" t="inlineStr">
        <is>
          <t>Pokemon Car Trip Battle - Juxtabros!</t>
        </is>
      </c>
      <c r="H3137" s="44" t="n">
        <v>0.00306712962962963</v>
      </c>
      <c r="I3137" s="45" t="n">
        <v>11981</v>
      </c>
      <c r="J3137" s="45" t="n">
        <v>281</v>
      </c>
      <c r="K3137" s="45" t="n">
        <v>37</v>
      </c>
      <c r="L3137" s="46" t="n"/>
      <c r="M3137" s="47" t="n"/>
      <c r="N3137" s="47" t="inlineStr">
        <is>
          <t>UCKZo4N0lVPccBkSiuyVh4yg</t>
        </is>
      </c>
      <c r="O3137" s="48" t="n">
        <v>41267.77986111111</v>
      </c>
      <c r="P3137" s="49" t="n">
        <v>41267</v>
      </c>
      <c r="Q3137" s="47" t="n">
        <v>131</v>
      </c>
      <c r="R3137" s="47" t="inlineStr">
        <is>
          <t>No Video ID yet</t>
        </is>
      </c>
      <c r="S3137" s="49" t="n"/>
      <c r="T3137" s="49" t="n"/>
      <c r="U3137" s="47" t="inlineStr">
        <is>
          <t>Jonathan and Tyler duke it out in Diamond and Pearl! What is your family doing for Christmas and what is your favorite Christmas Carol? Facebook: www.facebook.com/supercarlinbrothers Twitter: @jonkerlin and @scb_ben =D</t>
        </is>
      </c>
      <c r="V3137" s="47">
        <f>IF(AND(P3137&gt;=Calendar!$K$2,P3137&lt;EDATE(Calendar!$K$2,1),OR(Calendar!$K$4="*",N3137=Calendar!$K$4)),P3137*100+COUNTIFS($P$6:$P$3267,P3137,$Q$6:$Q$3267,"&lt;="&amp;Q3137,$N$6:$N$3267,Calendar!$K$4),"")</f>
        <v/>
      </c>
      <c r="W3137" s="47">
        <f>IF(AND(B3137=Queue!$C$4,OR(Queue!$K$4="*",N3137=Queue!$K$4)),Q3137,"")</f>
        <v/>
      </c>
    </row>
    <row r="3138">
      <c r="A3138" s="38">
        <f>IF(M3138="","",HYPERLINK("https://www.youtube.com/watch?v="&amp;M3138,"▶"))</f>
        <v/>
      </c>
      <c r="B3138" s="39">
        <f>IF(C3138&lt;&gt;"",C3138,IF(P3138&lt;=IFERROR(INDEX(tblChannels[Watched Through],MATCH(N3138,tblChannels[Channel ID],0)),0),"Watched","Unwatched"))</f>
        <v/>
      </c>
      <c r="C3138" s="40" t="n"/>
      <c r="D3138" s="41" t="n"/>
      <c r="E3138" s="42" t="n">
        <v>41264.92916666667</v>
      </c>
      <c r="F3138" s="50" t="inlineStr">
        <is>
          <t>Super Carlin Brothers</t>
        </is>
      </c>
      <c r="G3138" t="inlineStr">
        <is>
          <t>Like Button Peer Pressure</t>
        </is>
      </c>
      <c r="H3138" s="44" t="n">
        <v>0.001643518518518519</v>
      </c>
      <c r="I3138" s="45" t="n">
        <v>11472</v>
      </c>
      <c r="J3138" s="45" t="n">
        <v>1059</v>
      </c>
      <c r="K3138" s="45" t="n">
        <v>30</v>
      </c>
      <c r="L3138" s="46" t="n"/>
      <c r="M3138" s="47" t="n"/>
      <c r="N3138" s="47" t="inlineStr">
        <is>
          <t>UCKZo4N0lVPccBkSiuyVh4yg</t>
        </is>
      </c>
      <c r="O3138" s="48" t="n">
        <v>41265.1375</v>
      </c>
      <c r="P3138" s="49" t="n">
        <v>41264</v>
      </c>
      <c r="Q3138" s="47" t="n">
        <v>130</v>
      </c>
      <c r="R3138" s="47" t="inlineStr">
        <is>
          <t>No Video ID yet</t>
        </is>
      </c>
      <c r="S3138" s="49" t="n"/>
      <c r="T3138" s="49" t="n"/>
      <c r="U3138" s="47" t="inlineStr">
        <is>
          <t>Tweet me if you liked this vid! Cmon, cmon, cmon... it'll be so easy :) @SCB_Ben =D</t>
        </is>
      </c>
      <c r="V3138" s="47">
        <f>IF(AND(P3138&gt;=Calendar!$K$2,P3138&lt;EDATE(Calendar!$K$2,1),OR(Calendar!$K$4="*",N3138=Calendar!$K$4)),P3138*100+COUNTIFS($P$6:$P$3267,P3138,$Q$6:$Q$3267,"&lt;="&amp;Q3138,$N$6:$N$3267,Calendar!$K$4),"")</f>
        <v/>
      </c>
      <c r="W3138" s="47">
        <f>IF(AND(B3138=Queue!$C$4,OR(Queue!$K$4="*",N3138=Queue!$K$4)),Q3138,"")</f>
        <v/>
      </c>
    </row>
    <row r="3139">
      <c r="A3139" s="38">
        <f>IF(M3139="","",HYPERLINK("https://www.youtube.com/watch?v="&amp;M3139,"▶"))</f>
        <v/>
      </c>
      <c r="B3139" s="39">
        <f>IF(C3139&lt;&gt;"",C3139,IF(P3139&lt;=IFERROR(INDEX(tblChannels[Watched Through],MATCH(N3139,tblChannels[Channel ID],0)),0),"Watched","Unwatched"))</f>
        <v/>
      </c>
      <c r="C3139" s="40" t="n"/>
      <c r="D3139" s="41" t="n"/>
      <c r="E3139" s="42" t="n">
        <v>41263.98125</v>
      </c>
      <c r="F3139" s="50" t="inlineStr">
        <is>
          <t>Super Carlin Brothers</t>
        </is>
      </c>
      <c r="G3139" t="inlineStr">
        <is>
          <t>Online vs. In Person Shopping</t>
        </is>
      </c>
      <c r="H3139" s="44" t="n">
        <v>0.00224537037037037</v>
      </c>
      <c r="I3139" s="45" t="n">
        <v>35544</v>
      </c>
      <c r="J3139" s="45" t="n">
        <v>667</v>
      </c>
      <c r="K3139" s="45" t="n">
        <v>48</v>
      </c>
      <c r="L3139" s="46" t="n"/>
      <c r="M3139" s="47" t="n"/>
      <c r="N3139" s="47" t="inlineStr">
        <is>
          <t>UCKZo4N0lVPccBkSiuyVh4yg</t>
        </is>
      </c>
      <c r="O3139" s="48" t="n">
        <v>41264.18958333333</v>
      </c>
      <c r="P3139" s="49" t="n">
        <v>41263</v>
      </c>
      <c r="Q3139" s="47" t="n">
        <v>129</v>
      </c>
      <c r="R3139" s="47" t="inlineStr">
        <is>
          <t>No Video ID yet</t>
        </is>
      </c>
      <c r="S3139" s="49" t="n"/>
      <c r="T3139" s="49" t="n"/>
      <c r="U3139" s="47" t="inlineStr">
        <is>
          <t>Jonathan discusses the pros and cons of buying gifts online vs buying them in person. Which do you think is more personal? Facebook: www.facebook.com/supercarlinbrothers Twitter: @jonkerlin and @SCB_Ben =D</t>
        </is>
      </c>
      <c r="V3139" s="47">
        <f>IF(AND(P3139&gt;=Calendar!$K$2,P3139&lt;EDATE(Calendar!$K$2,1),OR(Calendar!$K$4="*",N3139=Calendar!$K$4)),P3139*100+COUNTIFS($P$6:$P$3267,P3139,$Q$6:$Q$3267,"&lt;="&amp;Q3139,$N$6:$N$3267,Calendar!$K$4),"")</f>
        <v/>
      </c>
      <c r="W3139" s="47">
        <f>IF(AND(B3139=Queue!$C$4,OR(Queue!$K$4="*",N3139=Queue!$K$4)),Q3139,"")</f>
        <v/>
      </c>
    </row>
    <row r="3140">
      <c r="A3140" s="38">
        <f>IF(M3140="","",HYPERLINK("https://www.youtube.com/watch?v="&amp;M3140,"▶"))</f>
        <v/>
      </c>
      <c r="B3140" s="39">
        <f>IF(C3140&lt;&gt;"",C3140,IF(P3140&lt;=IFERROR(INDEX(tblChannels[Watched Through],MATCH(N3140,tblChannels[Channel ID],0)),0),"Watched","Unwatched"))</f>
        <v/>
      </c>
      <c r="C3140" s="40" t="n"/>
      <c r="D3140" s="41" t="n"/>
      <c r="E3140" s="42" t="n">
        <v>41262.97013888889</v>
      </c>
      <c r="F3140" s="50" t="inlineStr">
        <is>
          <t>Super Carlin Brothers</t>
        </is>
      </c>
      <c r="G3140" t="inlineStr">
        <is>
          <t>The Bug</t>
        </is>
      </c>
      <c r="H3140" s="44" t="n">
        <v>0.0009375</v>
      </c>
      <c r="I3140" s="45" t="n">
        <v>10496</v>
      </c>
      <c r="J3140" s="45" t="n">
        <v>199</v>
      </c>
      <c r="K3140" s="45" t="n">
        <v>33</v>
      </c>
      <c r="L3140" s="46" t="n"/>
      <c r="M3140" s="47" t="n"/>
      <c r="N3140" s="47" t="inlineStr">
        <is>
          <t>UCKZo4N0lVPccBkSiuyVh4yg</t>
        </is>
      </c>
      <c r="O3140" s="48" t="n">
        <v>41263.17847222222</v>
      </c>
      <c r="P3140" s="49" t="n">
        <v>41262</v>
      </c>
      <c r="Q3140" s="47" t="n">
        <v>128</v>
      </c>
      <c r="R3140" s="47" t="inlineStr">
        <is>
          <t>No Video ID yet</t>
        </is>
      </c>
      <c r="S3140" s="49" t="n"/>
      <c r="T3140" s="49" t="n"/>
      <c r="U3140" s="47" t="inlineStr">
        <is>
          <t>What do you do when you are feeling sick to make yourself feel better? A certain food? Movie or show you watch? Game you play? For me... it's a hot shower. =D</t>
        </is>
      </c>
      <c r="V3140" s="47">
        <f>IF(AND(P3140&gt;=Calendar!$K$2,P3140&lt;EDATE(Calendar!$K$2,1),OR(Calendar!$K$4="*",N3140=Calendar!$K$4)),P3140*100+COUNTIFS($P$6:$P$3267,P3140,$Q$6:$Q$3267,"&lt;="&amp;Q3140,$N$6:$N$3267,Calendar!$K$4),"")</f>
        <v/>
      </c>
      <c r="W3140" s="47">
        <f>IF(AND(B3140=Queue!$C$4,OR(Queue!$K$4="*",N3140=Queue!$K$4)),Q3140,"")</f>
        <v/>
      </c>
    </row>
    <row r="3141">
      <c r="A3141" s="38">
        <f>IF(M3141="","",HYPERLINK("https://www.youtube.com/watch?v="&amp;M3141,"▶"))</f>
        <v/>
      </c>
      <c r="B3141" s="39">
        <f>IF(C3141&lt;&gt;"",C3141,IF(P3141&lt;=IFERROR(INDEX(tblChannels[Watched Through],MATCH(N3141,tblChannels[Channel ID],0)),0),"Watched","Unwatched"))</f>
        <v/>
      </c>
      <c r="C3141" s="40" t="n"/>
      <c r="D3141" s="41" t="n"/>
      <c r="E3141" s="42" t="n">
        <v>41261.97430555556</v>
      </c>
      <c r="F3141" s="50" t="inlineStr">
        <is>
          <t>Super Carlin Brothers</t>
        </is>
      </c>
      <c r="G3141" t="inlineStr">
        <is>
          <t>What your favorite cookie says about you</t>
        </is>
      </c>
      <c r="H3141" s="44" t="n">
        <v>0.002997685185185185</v>
      </c>
      <c r="I3141" s="45" t="n">
        <v>103759</v>
      </c>
      <c r="J3141" s="45" t="n">
        <v>2034</v>
      </c>
      <c r="K3141" s="45" t="n">
        <v>1664</v>
      </c>
      <c r="L3141" s="46" t="n"/>
      <c r="M3141" s="47" t="n"/>
      <c r="N3141" s="47" t="inlineStr">
        <is>
          <t>UCKZo4N0lVPccBkSiuyVh4yg</t>
        </is>
      </c>
      <c r="O3141" s="48" t="n">
        <v>41262.18263888889</v>
      </c>
      <c r="P3141" s="49" t="n">
        <v>41261</v>
      </c>
      <c r="Q3141" s="47" t="n">
        <v>127</v>
      </c>
      <c r="R3141" s="47" t="inlineStr">
        <is>
          <t>No Video ID yet</t>
        </is>
      </c>
      <c r="S3141" s="49" t="n"/>
      <c r="T3141" s="49" t="n"/>
      <c r="U3141" s="47" t="inlineStr">
        <is>
          <t>Jonathan tells what your favorite cookies mean about you and is racist towards white people. What is your favorite cookie? Facebook: www.facebook.com/supercarlinbrothers Twitter: @jonkerlin and @SCB_Ben =D</t>
        </is>
      </c>
      <c r="V3141" s="47">
        <f>IF(AND(P3141&gt;=Calendar!$K$2,P3141&lt;EDATE(Calendar!$K$2,1),OR(Calendar!$K$4="*",N3141=Calendar!$K$4)),P3141*100+COUNTIFS($P$6:$P$3267,P3141,$Q$6:$Q$3267,"&lt;="&amp;Q3141,$N$6:$N$3267,Calendar!$K$4),"")</f>
        <v/>
      </c>
      <c r="W3141" s="47">
        <f>IF(AND(B3141=Queue!$C$4,OR(Queue!$K$4="*",N3141=Queue!$K$4)),Q3141,"")</f>
        <v/>
      </c>
    </row>
    <row r="3142">
      <c r="A3142" s="38">
        <f>IF(M3142="","",HYPERLINK("https://www.youtube.com/watch?v="&amp;M3142,"▶"))</f>
        <v/>
      </c>
      <c r="B3142" s="39">
        <f>IF(C3142&lt;&gt;"",C3142,IF(P3142&lt;=IFERROR(INDEX(tblChannels[Watched Through],MATCH(N3142,tblChannels[Channel ID],0)),0),"Watched","Unwatched"))</f>
        <v/>
      </c>
      <c r="C3142" s="40" t="n"/>
      <c r="D3142" s="41" t="n"/>
      <c r="E3142" s="42" t="n">
        <v>41260.78125</v>
      </c>
      <c r="F3142" s="50" t="inlineStr">
        <is>
          <t>Super Carlin Brothers</t>
        </is>
      </c>
      <c r="G3142" t="inlineStr">
        <is>
          <t>Project for Awesome: Coral Restoration Foundation #P4A</t>
        </is>
      </c>
      <c r="H3142" s="44" t="n">
        <v>0.002615740740740741</v>
      </c>
      <c r="I3142" s="45" t="n">
        <v>12782</v>
      </c>
      <c r="J3142" s="45" t="n">
        <v>321</v>
      </c>
      <c r="K3142" s="45" t="n">
        <v>45</v>
      </c>
      <c r="L3142" s="46" t="n"/>
      <c r="M3142" s="47" t="n"/>
      <c r="N3142" s="47" t="inlineStr">
        <is>
          <t>UCKZo4N0lVPccBkSiuyVh4yg</t>
        </is>
      </c>
      <c r="O3142" s="48" t="n">
        <v>41260.98958333334</v>
      </c>
      <c r="P3142" s="49" t="n">
        <v>41260</v>
      </c>
      <c r="Q3142" s="47" t="n">
        <v>126</v>
      </c>
      <c r="R3142" s="47" t="inlineStr">
        <is>
          <t>No Video ID yet</t>
        </is>
      </c>
      <c r="S3142" s="49" t="n"/>
      <c r="T3142" s="49" t="n"/>
      <c r="U3142" s="47" t="inlineStr">
        <is>
          <t>The Coral Restoration Foundation Official Page: Jonathan's previous P4A Video: Twitter: @SCB_Ben and @Jonkerlin =D</t>
        </is>
      </c>
      <c r="V3142" s="47">
        <f>IF(AND(P3142&gt;=Calendar!$K$2,P3142&lt;EDATE(Calendar!$K$2,1),OR(Calendar!$K$4="*",N3142=Calendar!$K$4)),P3142*100+COUNTIFS($P$6:$P$3267,P3142,$Q$6:$Q$3267,"&lt;="&amp;Q3142,$N$6:$N$3267,Calendar!$K$4),"")</f>
        <v/>
      </c>
      <c r="W3142" s="47">
        <f>IF(AND(B3142=Queue!$C$4,OR(Queue!$K$4="*",N3142=Queue!$K$4)),Q3142,"")</f>
        <v/>
      </c>
    </row>
    <row r="3143">
      <c r="A3143" s="38">
        <f>IF(M3143="","",HYPERLINK("https://www.youtube.com/watch?v="&amp;M3143,"▶"))</f>
        <v/>
      </c>
      <c r="B3143" s="39">
        <f>IF(C3143&lt;&gt;"",C3143,IF(P3143&lt;=IFERROR(INDEX(tblChannels[Watched Through],MATCH(N3143,tblChannels[Channel ID],0)),0),"Watched","Unwatched"))</f>
        <v/>
      </c>
      <c r="C3143" s="40" t="n"/>
      <c r="D3143" s="41" t="n"/>
      <c r="E3143" s="42" t="n">
        <v>41257.72986111111</v>
      </c>
      <c r="F3143" s="50" t="inlineStr">
        <is>
          <t>Super Carlin Brothers</t>
        </is>
      </c>
      <c r="G3143" t="inlineStr">
        <is>
          <t>Connecticut Elementary School Shooting</t>
        </is>
      </c>
      <c r="H3143" s="44" t="n">
        <v>0.002766203703703704</v>
      </c>
      <c r="I3143" s="45" t="n">
        <v>13396</v>
      </c>
      <c r="J3143" s="45" t="n">
        <v>391</v>
      </c>
      <c r="K3143" s="45" t="n">
        <v>58</v>
      </c>
      <c r="L3143" s="46" t="n"/>
      <c r="M3143" s="47" t="n"/>
      <c r="N3143" s="47" t="inlineStr">
        <is>
          <t>UCKZo4N0lVPccBkSiuyVh4yg</t>
        </is>
      </c>
      <c r="O3143" s="48" t="n">
        <v>41257.93819444445</v>
      </c>
      <c r="P3143" s="49" t="n">
        <v>41257</v>
      </c>
      <c r="Q3143" s="47" t="n">
        <v>125</v>
      </c>
      <c r="R3143" s="47" t="inlineStr">
        <is>
          <t>No Video ID yet</t>
        </is>
      </c>
      <c r="S3143" s="49" t="n"/>
      <c r="T3143" s="49" t="n"/>
      <c r="U3143" s="47" t="inlineStr">
        <is>
          <t>Jonathan talks about the horrific Connecticut school shooting of earlier today. Please keep the families hurt by this tragedy in your thoughts and prayers. =D</t>
        </is>
      </c>
      <c r="V3143" s="47">
        <f>IF(AND(P3143&gt;=Calendar!$K$2,P3143&lt;EDATE(Calendar!$K$2,1),OR(Calendar!$K$4="*",N3143=Calendar!$K$4)),P3143*100+COUNTIFS($P$6:$P$3267,P3143,$Q$6:$Q$3267,"&lt;="&amp;Q3143,$N$6:$N$3267,Calendar!$K$4),"")</f>
        <v/>
      </c>
      <c r="W3143" s="47">
        <f>IF(AND(B3143=Queue!$C$4,OR(Queue!$K$4="*",N3143=Queue!$K$4)),Q3143,"")</f>
        <v/>
      </c>
    </row>
    <row r="3144">
      <c r="A3144" s="38">
        <f>IF(M3144="","",HYPERLINK("https://www.youtube.com/watch?v="&amp;M3144,"▶"))</f>
        <v/>
      </c>
      <c r="B3144" s="39">
        <f>IF(C3144&lt;&gt;"",C3144,IF(P3144&lt;=IFERROR(INDEX(tblChannels[Watched Through],MATCH(N3144,tblChannels[Channel ID],0)),0),"Watched","Unwatched"))</f>
        <v/>
      </c>
      <c r="C3144" s="40" t="n"/>
      <c r="D3144" s="41" t="n"/>
      <c r="E3144" s="42" t="n">
        <v>41256.90555555555</v>
      </c>
      <c r="F3144" s="50" t="inlineStr">
        <is>
          <t>Super Carlin Brothers</t>
        </is>
      </c>
      <c r="G3144" t="inlineStr">
        <is>
          <t>Realm Down</t>
        </is>
      </c>
      <c r="H3144" s="44" t="n">
        <v>0.001840277777777778</v>
      </c>
      <c r="I3144" s="45" t="n">
        <v>10759</v>
      </c>
      <c r="J3144" s="45" t="n">
        <v>222</v>
      </c>
      <c r="K3144" s="45" t="n">
        <v>30</v>
      </c>
      <c r="L3144" s="46" t="n"/>
      <c r="M3144" s="47" t="n"/>
      <c r="N3144" s="47" t="inlineStr">
        <is>
          <t>UCKZo4N0lVPccBkSiuyVh4yg</t>
        </is>
      </c>
      <c r="O3144" s="48" t="n">
        <v>41257.11388888889</v>
      </c>
      <c r="P3144" s="49" t="n">
        <v>41256</v>
      </c>
      <c r="Q3144" s="47" t="n">
        <v>124</v>
      </c>
      <c r="R3144" s="47" t="inlineStr">
        <is>
          <t>No Video ID yet</t>
        </is>
      </c>
      <c r="S3144" s="49" t="n"/>
      <c r="T3144" s="49" t="n"/>
      <c r="U3144" s="47" t="inlineStr">
        <is>
          <t>What game are you anxiously awaiting playing?! =D</t>
        </is>
      </c>
      <c r="V3144" s="47">
        <f>IF(AND(P3144&gt;=Calendar!$K$2,P3144&lt;EDATE(Calendar!$K$2,1),OR(Calendar!$K$4="*",N3144=Calendar!$K$4)),P3144*100+COUNTIFS($P$6:$P$3267,P3144,$Q$6:$Q$3267,"&lt;="&amp;Q3144,$N$6:$N$3267,Calendar!$K$4),"")</f>
        <v/>
      </c>
      <c r="W3144" s="47">
        <f>IF(AND(B3144=Queue!$C$4,OR(Queue!$K$4="*",N3144=Queue!$K$4)),Q3144,"")</f>
        <v/>
      </c>
    </row>
    <row r="3145">
      <c r="A3145" s="38">
        <f>IF(M3145="","",HYPERLINK("https://www.youtube.com/watch?v="&amp;M3145,"▶"))</f>
        <v/>
      </c>
      <c r="B3145" s="39">
        <f>IF(C3145&lt;&gt;"",C3145,IF(P3145&lt;=IFERROR(INDEX(tblChannels[Watched Through],MATCH(N3145,tblChannels[Channel ID],0)),0),"Watched","Unwatched"))</f>
        <v/>
      </c>
      <c r="C3145" s="40" t="n"/>
      <c r="D3145" s="41" t="n"/>
      <c r="E3145" s="42" t="n">
        <v>41255.95347222222</v>
      </c>
      <c r="F3145" s="50" t="inlineStr">
        <is>
          <t>Super Carlin Brothers</t>
        </is>
      </c>
      <c r="G3145" t="inlineStr">
        <is>
          <t>Top 5 Favorite Video Games</t>
        </is>
      </c>
      <c r="H3145" s="44" t="n">
        <v>0.003391203703703704</v>
      </c>
      <c r="I3145" s="45" t="n">
        <v>18746</v>
      </c>
      <c r="J3145" s="45" t="n">
        <v>452</v>
      </c>
      <c r="K3145" s="45" t="n">
        <v>183</v>
      </c>
      <c r="L3145" s="46" t="n"/>
      <c r="M3145" s="47" t="n"/>
      <c r="N3145" s="47" t="inlineStr">
        <is>
          <t>UCKZo4N0lVPccBkSiuyVh4yg</t>
        </is>
      </c>
      <c r="O3145" s="48" t="n">
        <v>41256.16180555556</v>
      </c>
      <c r="P3145" s="49" t="n">
        <v>41255</v>
      </c>
      <c r="Q3145" s="47" t="n">
        <v>123</v>
      </c>
      <c r="R3145" s="47" t="inlineStr">
        <is>
          <t>No Video ID yet</t>
        </is>
      </c>
      <c r="S3145" s="49" t="n"/>
      <c r="T3145" s="49" t="n"/>
      <c r="U3145" s="47" t="inlineStr">
        <is>
          <t>Jonathan discusses his 5 favorite video games. What is your favorite??? TWITTER: @jonkerlin and @SCB_ben =D</t>
        </is>
      </c>
      <c r="V3145" s="47">
        <f>IF(AND(P3145&gt;=Calendar!$K$2,P3145&lt;EDATE(Calendar!$K$2,1),OR(Calendar!$K$4="*",N3145=Calendar!$K$4)),P3145*100+COUNTIFS($P$6:$P$3267,P3145,$Q$6:$Q$3267,"&lt;="&amp;Q3145,$N$6:$N$3267,Calendar!$K$4),"")</f>
        <v/>
      </c>
      <c r="W3145" s="47">
        <f>IF(AND(B3145=Queue!$C$4,OR(Queue!$K$4="*",N3145=Queue!$K$4)),Q3145,"")</f>
        <v/>
      </c>
    </row>
    <row r="3146">
      <c r="A3146" s="38">
        <f>IF(M3146="","",HYPERLINK("https://www.youtube.com/watch?v="&amp;M3146,"▶"))</f>
        <v/>
      </c>
      <c r="B3146" s="39">
        <f>IF(C3146&lt;&gt;"",C3146,IF(P3146&lt;=IFERROR(INDEX(tblChannels[Watched Through],MATCH(N3146,tblChannels[Channel ID],0)),0),"Watched","Unwatched"))</f>
        <v/>
      </c>
      <c r="C3146" s="40" t="n"/>
      <c r="D3146" s="41" t="n"/>
      <c r="E3146" s="42" t="n">
        <v>41254.87569444445</v>
      </c>
      <c r="F3146" s="50" t="inlineStr">
        <is>
          <t>Super Carlin Brothers</t>
        </is>
      </c>
      <c r="G3146" t="inlineStr">
        <is>
          <t>Nervous Ticks</t>
        </is>
      </c>
      <c r="H3146" s="44" t="n">
        <v>0.001666666666666667</v>
      </c>
      <c r="I3146" s="45" t="n">
        <v>20387</v>
      </c>
      <c r="J3146" s="45" t="n">
        <v>364</v>
      </c>
      <c r="K3146" s="45" t="n">
        <v>83</v>
      </c>
      <c r="L3146" s="46" t="n"/>
      <c r="M3146" s="47" t="n"/>
      <c r="N3146" s="47" t="inlineStr">
        <is>
          <t>UCKZo4N0lVPccBkSiuyVh4yg</t>
        </is>
      </c>
      <c r="O3146" s="48" t="n">
        <v>41255.08402777778</v>
      </c>
      <c r="P3146" s="49" t="n">
        <v>41254</v>
      </c>
      <c r="Q3146" s="47" t="n">
        <v>122</v>
      </c>
      <c r="R3146" s="47" t="inlineStr">
        <is>
          <t>No Video ID yet</t>
        </is>
      </c>
      <c r="S3146" s="49" t="n"/>
      <c r="T3146" s="49" t="n"/>
      <c r="U3146" s="47" t="inlineStr">
        <is>
          <t>Do you have a nervous tick!? You can also let me know via tweet! @SCB_Ben =D</t>
        </is>
      </c>
      <c r="V3146" s="47">
        <f>IF(AND(P3146&gt;=Calendar!$K$2,P3146&lt;EDATE(Calendar!$K$2,1),OR(Calendar!$K$4="*",N3146=Calendar!$K$4)),P3146*100+COUNTIFS($P$6:$P$3267,P3146,$Q$6:$Q$3267,"&lt;="&amp;Q3146,$N$6:$N$3267,Calendar!$K$4),"")</f>
        <v/>
      </c>
      <c r="W3146" s="47">
        <f>IF(AND(B3146=Queue!$C$4,OR(Queue!$K$4="*",N3146=Queue!$K$4)),Q3146,"")</f>
        <v/>
      </c>
    </row>
    <row r="3147">
      <c r="A3147" s="38">
        <f>IF(M3147="","",HYPERLINK("https://www.youtube.com/watch?v="&amp;M3147,"▶"))</f>
        <v/>
      </c>
      <c r="B3147" s="39">
        <f>IF(C3147&lt;&gt;"",C3147,IF(P3147&lt;=IFERROR(INDEX(tblChannels[Watched Through],MATCH(N3147,tblChannels[Channel ID],0)),0),"Watched","Unwatched"))</f>
        <v/>
      </c>
      <c r="C3147" s="40" t="n"/>
      <c r="D3147" s="41" t="n"/>
      <c r="E3147" s="42" t="n">
        <v>41253.59652777778</v>
      </c>
      <c r="F3147" s="50" t="inlineStr">
        <is>
          <t>Super Carlin Brothers</t>
        </is>
      </c>
      <c r="G3147" t="inlineStr">
        <is>
          <t>Platypus VS Koala</t>
        </is>
      </c>
      <c r="H3147" s="44" t="n">
        <v>0.002314814814814815</v>
      </c>
      <c r="I3147" s="45" t="n">
        <v>39825</v>
      </c>
      <c r="J3147" s="45" t="n">
        <v>654</v>
      </c>
      <c r="K3147" s="45" t="n">
        <v>334</v>
      </c>
      <c r="L3147" s="46" t="n"/>
      <c r="M3147" s="47" t="n"/>
      <c r="N3147" s="47" t="inlineStr">
        <is>
          <t>UCKZo4N0lVPccBkSiuyVh4yg</t>
        </is>
      </c>
      <c r="O3147" s="48" t="n">
        <v>41253.80486111111</v>
      </c>
      <c r="P3147" s="49" t="n">
        <v>41253</v>
      </c>
      <c r="Q3147" s="47" t="n">
        <v>121</v>
      </c>
      <c r="R3147" s="47" t="inlineStr">
        <is>
          <t>No Video ID yet</t>
        </is>
      </c>
      <c r="S3147" s="49" t="n"/>
      <c r="T3147" s="49" t="n"/>
      <c r="U3147" s="47" t="inlineStr">
        <is>
          <t>Jonathan describes the differences between 2 of the most interesting (and boring) animals he's ever come across. What is your favorite animal? TWITTER: @jonkerlin and @SCB_Ben =D</t>
        </is>
      </c>
      <c r="V3147" s="47">
        <f>IF(AND(P3147&gt;=Calendar!$K$2,P3147&lt;EDATE(Calendar!$K$2,1),OR(Calendar!$K$4="*",N3147=Calendar!$K$4)),P3147*100+COUNTIFS($P$6:$P$3267,P3147,$Q$6:$Q$3267,"&lt;="&amp;Q3147,$N$6:$N$3267,Calendar!$K$4),"")</f>
        <v/>
      </c>
      <c r="W3147" s="47">
        <f>IF(AND(B3147=Queue!$C$4,OR(Queue!$K$4="*",N3147=Queue!$K$4)),Q3147,"")</f>
        <v/>
      </c>
    </row>
    <row r="3148">
      <c r="A3148" s="38">
        <f>IF(M3148="","",HYPERLINK("https://www.youtube.com/watch?v="&amp;M3148,"▶"))</f>
        <v/>
      </c>
      <c r="B3148" s="39">
        <f>IF(C3148&lt;&gt;"",C3148,IF(P3148&lt;=IFERROR(INDEX(tblChannels[Watched Through],MATCH(N3148,tblChannels[Channel ID],0)),0),"Watched","Unwatched"))</f>
        <v/>
      </c>
      <c r="C3148" s="40" t="n"/>
      <c r="D3148" s="41" t="n"/>
      <c r="E3148" s="42" t="n">
        <v>41250.94375</v>
      </c>
      <c r="F3148" s="50" t="inlineStr">
        <is>
          <t>Super Carlin Brothers</t>
        </is>
      </c>
      <c r="G3148" t="inlineStr">
        <is>
          <t>Relationship Advice: Breakups</t>
        </is>
      </c>
      <c r="H3148" s="44" t="n">
        <v>0.003425925925925926</v>
      </c>
      <c r="I3148" s="45" t="n">
        <v>17822</v>
      </c>
      <c r="J3148" s="45" t="n">
        <v>443</v>
      </c>
      <c r="K3148" s="45" t="n">
        <v>75</v>
      </c>
      <c r="L3148" s="46" t="n"/>
      <c r="M3148" s="47" t="n"/>
      <c r="N3148" s="47" t="inlineStr">
        <is>
          <t>UCKZo4N0lVPccBkSiuyVh4yg</t>
        </is>
      </c>
      <c r="O3148" s="48" t="n">
        <v>41251.15208333333</v>
      </c>
      <c r="P3148" s="49" t="n">
        <v>41250</v>
      </c>
      <c r="Q3148" s="47" t="n">
        <v>120</v>
      </c>
      <c r="R3148" s="47" t="inlineStr">
        <is>
          <t>No Video ID yet</t>
        </is>
      </c>
      <c r="S3148" s="49" t="n"/>
      <c r="T3148" s="49" t="n"/>
      <c r="U3148" s="47" t="inlineStr">
        <is>
          <t>What are your break up stories?! OR Platypus vs. Koala Bear... Where do you stand?!!? =D</t>
        </is>
      </c>
      <c r="V3148" s="47">
        <f>IF(AND(P3148&gt;=Calendar!$K$2,P3148&lt;EDATE(Calendar!$K$2,1),OR(Calendar!$K$4="*",N3148=Calendar!$K$4)),P3148*100+COUNTIFS($P$6:$P$3267,P3148,$Q$6:$Q$3267,"&lt;="&amp;Q3148,$N$6:$N$3267,Calendar!$K$4),"")</f>
        <v/>
      </c>
      <c r="W3148" s="47">
        <f>IF(AND(B3148=Queue!$C$4,OR(Queue!$K$4="*",N3148=Queue!$K$4)),Q3148,"")</f>
        <v/>
      </c>
    </row>
    <row r="3149">
      <c r="A3149" s="38">
        <f>IF(M3149="","",HYPERLINK("https://www.youtube.com/watch?v="&amp;M3149,"▶"))</f>
        <v/>
      </c>
      <c r="B3149" s="39">
        <f>IF(C3149&lt;&gt;"",C3149,IF(P3149&lt;=IFERROR(INDEX(tblChannels[Watched Through],MATCH(N3149,tblChannels[Channel ID],0)),0),"Watched","Unwatched"))</f>
        <v/>
      </c>
      <c r="C3149" s="40" t="n"/>
      <c r="D3149" s="41" t="n"/>
      <c r="E3149" s="42" t="n">
        <v>41249.97916666666</v>
      </c>
      <c r="F3149" s="50" t="inlineStr">
        <is>
          <t>Super Carlin Brothers</t>
        </is>
      </c>
      <c r="G3149" t="inlineStr">
        <is>
          <t>How to Ask a Girl Out</t>
        </is>
      </c>
      <c r="H3149" s="44" t="n">
        <v>0.002893518518518518</v>
      </c>
      <c r="I3149" s="45" t="n">
        <v>78856</v>
      </c>
      <c r="J3149" s="45" t="n">
        <v>1869</v>
      </c>
      <c r="K3149" s="45" t="n">
        <v>352</v>
      </c>
      <c r="L3149" s="46" t="n"/>
      <c r="M3149" s="47" t="n"/>
      <c r="N3149" s="47" t="inlineStr">
        <is>
          <t>UCKZo4N0lVPccBkSiuyVh4yg</t>
        </is>
      </c>
      <c r="O3149" s="48" t="n">
        <v>41250.1875</v>
      </c>
      <c r="P3149" s="49" t="n">
        <v>41249</v>
      </c>
      <c r="Q3149" s="47" t="n">
        <v>119</v>
      </c>
      <c r="R3149" s="47" t="inlineStr">
        <is>
          <t>No Video ID yet</t>
        </is>
      </c>
      <c r="S3149" s="49" t="n"/>
      <c r="T3149" s="49" t="n"/>
      <c r="U3149" s="47" t="inlineStr">
        <is>
          <t>Jonathan tells how to ask someone out and tells how he asked out Beth. Have you ever had a bad experience asking someone out? Facebook: www.facebook.com/supercarlinbrothers Twitter: @jonkerlin and @SCB_Ben =D</t>
        </is>
      </c>
      <c r="V3149" s="47">
        <f>IF(AND(P3149&gt;=Calendar!$K$2,P3149&lt;EDATE(Calendar!$K$2,1),OR(Calendar!$K$4="*",N3149=Calendar!$K$4)),P3149*100+COUNTIFS($P$6:$P$3267,P3149,$Q$6:$Q$3267,"&lt;="&amp;Q3149,$N$6:$N$3267,Calendar!$K$4),"")</f>
        <v/>
      </c>
      <c r="W3149" s="47">
        <f>IF(AND(B3149=Queue!$C$4,OR(Queue!$K$4="*",N3149=Queue!$K$4)),Q3149,"")</f>
        <v/>
      </c>
    </row>
    <row r="3150">
      <c r="A3150" s="38">
        <f>IF(M3150="","",HYPERLINK("https://www.youtube.com/watch?v="&amp;M3150,"▶"))</f>
        <v/>
      </c>
      <c r="B3150" s="39">
        <f>IF(C3150&lt;&gt;"",C3150,IF(P3150&lt;=IFERROR(INDEX(tblChannels[Watched Through],MATCH(N3150,tblChannels[Channel ID],0)),0),"Watched","Unwatched"))</f>
        <v/>
      </c>
      <c r="C3150" s="40" t="n"/>
      <c r="D3150" s="41" t="n"/>
      <c r="E3150" s="42" t="n">
        <v>41248.98611111111</v>
      </c>
      <c r="F3150" s="50" t="inlineStr">
        <is>
          <t>Super Carlin Brothers</t>
        </is>
      </c>
      <c r="G3150" t="inlineStr">
        <is>
          <t>12-05 Day</t>
        </is>
      </c>
      <c r="H3150" s="44" t="n">
        <v>0.002118055555555556</v>
      </c>
      <c r="I3150" s="45" t="n">
        <v>12886</v>
      </c>
      <c r="J3150" s="45" t="n">
        <v>311</v>
      </c>
      <c r="K3150" s="45" t="n">
        <v>44</v>
      </c>
      <c r="L3150" s="46" t="n"/>
      <c r="M3150" s="47" t="n"/>
      <c r="N3150" s="47" t="inlineStr">
        <is>
          <t>UCKZo4N0lVPccBkSiuyVh4yg</t>
        </is>
      </c>
      <c r="O3150" s="48" t="n">
        <v>41249.19444444445</v>
      </c>
      <c r="P3150" s="49" t="n">
        <v>41248</v>
      </c>
      <c r="Q3150" s="47" t="n">
        <v>118</v>
      </c>
      <c r="R3150" s="47" t="inlineStr">
        <is>
          <t>No Video ID yet</t>
        </is>
      </c>
      <c r="S3150" s="49" t="n"/>
      <c r="T3150" s="49" t="n"/>
      <c r="U3150" s="47" t="inlineStr">
        <is>
          <t>What holiday calamities or funny stories do you have!? =D</t>
        </is>
      </c>
      <c r="V3150" s="47">
        <f>IF(AND(P3150&gt;=Calendar!$K$2,P3150&lt;EDATE(Calendar!$K$2,1),OR(Calendar!$K$4="*",N3150=Calendar!$K$4)),P3150*100+COUNTIFS($P$6:$P$3267,P3150,$Q$6:$Q$3267,"&lt;="&amp;Q3150,$N$6:$N$3267,Calendar!$K$4),"")</f>
        <v/>
      </c>
      <c r="W3150" s="47">
        <f>IF(AND(B3150=Queue!$C$4,OR(Queue!$K$4="*",N3150=Queue!$K$4)),Q3150,"")</f>
        <v/>
      </c>
    </row>
    <row r="3151">
      <c r="A3151" s="38">
        <f>IF(M3151="","",HYPERLINK("https://www.youtube.com/watch?v="&amp;M3151,"▶"))</f>
        <v/>
      </c>
      <c r="B3151" s="39">
        <f>IF(C3151&lt;&gt;"",C3151,IF(P3151&lt;=IFERROR(INDEX(tblChannels[Watched Through],MATCH(N3151,tblChannels[Channel ID],0)),0),"Watched","Unwatched"))</f>
        <v/>
      </c>
      <c r="C3151" s="40" t="n"/>
      <c r="D3151" s="41" t="n"/>
      <c r="E3151" s="42" t="n">
        <v>41247.97638888889</v>
      </c>
      <c r="F3151" s="50" t="inlineStr">
        <is>
          <t>Super Carlin Brothers</t>
        </is>
      </c>
      <c r="G3151" t="inlineStr">
        <is>
          <t>Top 10 Worst ways to wrap a gift</t>
        </is>
      </c>
      <c r="H3151" s="44" t="n">
        <v>0.00375</v>
      </c>
      <c r="I3151" s="45" t="n">
        <v>117335</v>
      </c>
      <c r="J3151" s="45" t="n">
        <v>2837</v>
      </c>
      <c r="K3151" s="45" t="n">
        <v>274</v>
      </c>
      <c r="L3151" s="46" t="n"/>
      <c r="M3151" s="47" t="n"/>
      <c r="N3151" s="47" t="inlineStr">
        <is>
          <t>UCKZo4N0lVPccBkSiuyVh4yg</t>
        </is>
      </c>
      <c r="O3151" s="48" t="n">
        <v>41248.18472222222</v>
      </c>
      <c r="P3151" s="49" t="n">
        <v>41247</v>
      </c>
      <c r="Q3151" s="47" t="n">
        <v>117</v>
      </c>
      <c r="R3151" s="47" t="inlineStr">
        <is>
          <t>No Video ID yet</t>
        </is>
      </c>
      <c r="S3151" s="49" t="n"/>
      <c r="T3151" s="49" t="n"/>
      <c r="U3151" s="47" t="inlineStr">
        <is>
          <t>Jonathan recollects a favorite Christmas tradition: The GMA Gift Exchange. What is a tradition you have with your friends? FACEBOOK: www.facebook.com/SuperCarlinBrothers TWITTER: @jonkerlin and @SCB_Ben =D</t>
        </is>
      </c>
      <c r="V3151" s="47">
        <f>IF(AND(P3151&gt;=Calendar!$K$2,P3151&lt;EDATE(Calendar!$K$2,1),OR(Calendar!$K$4="*",N3151=Calendar!$K$4)),P3151*100+COUNTIFS($P$6:$P$3267,P3151,$Q$6:$Q$3267,"&lt;="&amp;Q3151,$N$6:$N$3267,Calendar!$K$4),"")</f>
        <v/>
      </c>
      <c r="W3151" s="47">
        <f>IF(AND(B3151=Queue!$C$4,OR(Queue!$K$4="*",N3151=Queue!$K$4)),Q3151,"")</f>
        <v/>
      </c>
    </row>
    <row r="3152">
      <c r="A3152" s="38">
        <f>IF(M3152="","",HYPERLINK("https://www.youtube.com/watch?v="&amp;M3152,"▶"))</f>
        <v/>
      </c>
      <c r="B3152" s="39">
        <f>IF(C3152&lt;&gt;"",C3152,IF(P3152&lt;=IFERROR(INDEX(tblChannels[Watched Through],MATCH(N3152,tblChannels[Channel ID],0)),0),"Watched","Unwatched"))</f>
        <v/>
      </c>
      <c r="C3152" s="40" t="n"/>
      <c r="D3152" s="41" t="n"/>
      <c r="E3152" s="42" t="n">
        <v>41246.92638888889</v>
      </c>
      <c r="F3152" s="50" t="inlineStr">
        <is>
          <t>Super Carlin Brothers</t>
        </is>
      </c>
      <c r="G3152" t="inlineStr">
        <is>
          <t>Gifts for People Who Google Autofill</t>
        </is>
      </c>
      <c r="H3152" s="44" t="n">
        <v>0.002395833333333333</v>
      </c>
      <c r="I3152" s="45" t="n">
        <v>45607</v>
      </c>
      <c r="J3152" s="45" t="n">
        <v>671</v>
      </c>
      <c r="K3152" s="45" t="n">
        <v>88</v>
      </c>
      <c r="L3152" s="46" t="n"/>
      <c r="M3152" s="47" t="n"/>
      <c r="N3152" s="47" t="inlineStr">
        <is>
          <t>UCKZo4N0lVPccBkSiuyVh4yg</t>
        </is>
      </c>
      <c r="O3152" s="48" t="n">
        <v>41247.13472222222</v>
      </c>
      <c r="P3152" s="49" t="n">
        <v>41246</v>
      </c>
      <c r="Q3152" s="47" t="n">
        <v>116</v>
      </c>
      <c r="R3152" s="47" t="inlineStr">
        <is>
          <t>No Video ID yet</t>
        </is>
      </c>
      <c r="S3152" s="49" t="n"/>
      <c r="T3152" s="49" t="n"/>
      <c r="U3152" s="47" t="inlineStr">
        <is>
          <t>What unique gift are you getting for someone this year?!?! =D</t>
        </is>
      </c>
      <c r="V3152" s="47">
        <f>IF(AND(P3152&gt;=Calendar!$K$2,P3152&lt;EDATE(Calendar!$K$2,1),OR(Calendar!$K$4="*",N3152=Calendar!$K$4)),P3152*100+COUNTIFS($P$6:$P$3267,P3152,$Q$6:$Q$3267,"&lt;="&amp;Q3152,$N$6:$N$3267,Calendar!$K$4),"")</f>
        <v/>
      </c>
      <c r="W3152" s="47">
        <f>IF(AND(B3152=Queue!$C$4,OR(Queue!$K$4="*",N3152=Queue!$K$4)),Q3152,"")</f>
        <v/>
      </c>
    </row>
    <row r="3153">
      <c r="A3153" s="38">
        <f>IF(M3153="","",HYPERLINK("https://www.youtube.com/watch?v="&amp;M3153,"▶"))</f>
        <v/>
      </c>
      <c r="B3153" s="39">
        <f>IF(C3153&lt;&gt;"",C3153,IF(P3153&lt;=IFERROR(INDEX(tblChannels[Watched Through],MATCH(N3153,tblChannels[Channel ID],0)),0),"Watched","Unwatched"))</f>
        <v/>
      </c>
      <c r="C3153" s="40" t="n"/>
      <c r="D3153" s="41" t="n"/>
      <c r="E3153" s="42" t="n">
        <v>41243.82430555556</v>
      </c>
      <c r="F3153" s="50" t="inlineStr">
        <is>
          <t>Super Carlin Brothers</t>
        </is>
      </c>
      <c r="G3153" t="inlineStr">
        <is>
          <t>Profile Picture Cliches</t>
        </is>
      </c>
      <c r="H3153" s="44" t="n">
        <v>0.003159722222222222</v>
      </c>
      <c r="I3153" s="45" t="n">
        <v>82846</v>
      </c>
      <c r="J3153" s="45" t="n">
        <v>1560</v>
      </c>
      <c r="K3153" s="45" t="n">
        <v>402</v>
      </c>
      <c r="L3153" s="46" t="n"/>
      <c r="M3153" s="47" t="n"/>
      <c r="N3153" s="47" t="inlineStr">
        <is>
          <t>UCKZo4N0lVPccBkSiuyVh4yg</t>
        </is>
      </c>
      <c r="O3153" s="48" t="n">
        <v>41244.03263888889</v>
      </c>
      <c r="P3153" s="49" t="n">
        <v>41243</v>
      </c>
      <c r="Q3153" s="47" t="n">
        <v>115</v>
      </c>
      <c r="R3153" s="47" t="inlineStr">
        <is>
          <t>No Video ID yet</t>
        </is>
      </c>
      <c r="S3153" s="49" t="n"/>
      <c r="T3153" s="49" t="n"/>
      <c r="U3153" s="47" t="inlineStr">
        <is>
          <t>Jonathan discusses the most common profile pictures and what they say about you. Have you ever done any cliché Facebook Profile Pics? Show us here: www.facebook.com/supercarlinbrothers TWITTER: @Jonkerlin and @SCB_Ben =D</t>
        </is>
      </c>
      <c r="V3153" s="47">
        <f>IF(AND(P3153&gt;=Calendar!$K$2,P3153&lt;EDATE(Calendar!$K$2,1),OR(Calendar!$K$4="*",N3153=Calendar!$K$4)),P3153*100+COUNTIFS($P$6:$P$3267,P3153,$Q$6:$Q$3267,"&lt;="&amp;Q3153,$N$6:$N$3267,Calendar!$K$4),"")</f>
        <v/>
      </c>
      <c r="W3153" s="47">
        <f>IF(AND(B3153=Queue!$C$4,OR(Queue!$K$4="*",N3153=Queue!$K$4)),Q3153,"")</f>
        <v/>
      </c>
    </row>
    <row r="3154">
      <c r="A3154" s="38">
        <f>IF(M3154="","",HYPERLINK("https://www.youtube.com/watch?v="&amp;M3154,"▶"))</f>
        <v/>
      </c>
      <c r="B3154" s="39">
        <f>IF(C3154&lt;&gt;"",C3154,IF(P3154&lt;=IFERROR(INDEX(tblChannels[Watched Through],MATCH(N3154,tblChannels[Channel ID],0)),0),"Watched","Unwatched"))</f>
        <v/>
      </c>
      <c r="C3154" s="40" t="n"/>
      <c r="D3154" s="41" t="n"/>
      <c r="E3154" s="42" t="n">
        <v>41242.95138888889</v>
      </c>
      <c r="F3154" s="50" t="inlineStr">
        <is>
          <t>Super Carlin Brothers</t>
        </is>
      </c>
      <c r="G3154" t="inlineStr">
        <is>
          <t>The Mirror Pic</t>
        </is>
      </c>
      <c r="H3154" s="44" t="n">
        <v>0.001400462962962963</v>
      </c>
      <c r="I3154" s="45" t="n">
        <v>12091</v>
      </c>
      <c r="J3154" s="45" t="n">
        <v>247</v>
      </c>
      <c r="K3154" s="45" t="n">
        <v>42</v>
      </c>
      <c r="L3154" s="46" t="n"/>
      <c r="M3154" s="47" t="n"/>
      <c r="N3154" s="47" t="inlineStr">
        <is>
          <t>UCKZo4N0lVPccBkSiuyVh4yg</t>
        </is>
      </c>
      <c r="O3154" s="48" t="n">
        <v>41243.15972222222</v>
      </c>
      <c r="P3154" s="49" t="n">
        <v>41242</v>
      </c>
      <c r="Q3154" s="47" t="n">
        <v>114</v>
      </c>
      <c r="R3154" s="47" t="inlineStr">
        <is>
          <t>No Video ID yet</t>
        </is>
      </c>
      <c r="S3154" s="49" t="n"/>
      <c r="T3154" s="49" t="n"/>
      <c r="U3154" s="47" t="inlineStr">
        <is>
          <t>Would you censor yourself or edit what you say if you could? I need more outro's! Send them to me here: supercarlinbrothers@gmail.com OR post them as a video response! TWITTER: @jonkerlin and @SCB_Ben =D</t>
        </is>
      </c>
      <c r="V3154" s="47">
        <f>IF(AND(P3154&gt;=Calendar!$K$2,P3154&lt;EDATE(Calendar!$K$2,1),OR(Calendar!$K$4="*",N3154=Calendar!$K$4)),P3154*100+COUNTIFS($P$6:$P$3267,P3154,$Q$6:$Q$3267,"&lt;="&amp;Q3154,$N$6:$N$3267,Calendar!$K$4),"")</f>
        <v/>
      </c>
      <c r="W3154" s="47">
        <f>IF(AND(B3154=Queue!$C$4,OR(Queue!$K$4="*",N3154=Queue!$K$4)),Q3154,"")</f>
        <v/>
      </c>
    </row>
    <row r="3155">
      <c r="A3155" s="38">
        <f>IF(M3155="","",HYPERLINK("https://www.youtube.com/watch?v="&amp;M3155,"▶"))</f>
        <v/>
      </c>
      <c r="B3155" s="39">
        <f>IF(C3155&lt;&gt;"",C3155,IF(P3155&lt;=IFERROR(INDEX(tblChannels[Watched Through],MATCH(N3155,tblChannels[Channel ID],0)),0),"Watched","Unwatched"))</f>
        <v/>
      </c>
      <c r="C3155" s="40" t="n"/>
      <c r="D3155" s="41" t="n"/>
      <c r="E3155" s="42" t="n">
        <v>41241.83888888889</v>
      </c>
      <c r="F3155" s="50" t="inlineStr">
        <is>
          <t>Super Carlin Brothers</t>
        </is>
      </c>
      <c r="G3155" t="inlineStr">
        <is>
          <t>Santa and Coal</t>
        </is>
      </c>
      <c r="H3155" s="44" t="n">
        <v>0.002453703703703704</v>
      </c>
      <c r="I3155" s="45" t="n">
        <v>44311</v>
      </c>
      <c r="J3155" s="45" t="n">
        <v>812</v>
      </c>
      <c r="K3155" s="45" t="n">
        <v>247</v>
      </c>
      <c r="L3155" s="46" t="n"/>
      <c r="M3155" s="47" t="n"/>
      <c r="N3155" s="47" t="inlineStr">
        <is>
          <t>UCKZo4N0lVPccBkSiuyVh4yg</t>
        </is>
      </c>
      <c r="O3155" s="48" t="n">
        <v>41242.04722222222</v>
      </c>
      <c r="P3155" s="49" t="n">
        <v>41241</v>
      </c>
      <c r="Q3155" s="47" t="n">
        <v>113</v>
      </c>
      <c r="R3155" s="47" t="inlineStr">
        <is>
          <t>No Video ID yet</t>
        </is>
      </c>
      <c r="S3155" s="49" t="n"/>
      <c r="T3155" s="49" t="n"/>
      <c r="U3155" s="47" t="inlineStr">
        <is>
          <t>Jonathan discusses the unglamorous side of Santa Clause What are you asking for for Christmas? TWITTER: @jonkerlin and @SCB_ben =D</t>
        </is>
      </c>
      <c r="V3155" s="47">
        <f>IF(AND(P3155&gt;=Calendar!$K$2,P3155&lt;EDATE(Calendar!$K$2,1),OR(Calendar!$K$4="*",N3155=Calendar!$K$4)),P3155*100+COUNTIFS($P$6:$P$3267,P3155,$Q$6:$Q$3267,"&lt;="&amp;Q3155,$N$6:$N$3267,Calendar!$K$4),"")</f>
        <v/>
      </c>
      <c r="W3155" s="47">
        <f>IF(AND(B3155=Queue!$C$4,OR(Queue!$K$4="*",N3155=Queue!$K$4)),Q3155,"")</f>
        <v/>
      </c>
    </row>
    <row r="3156">
      <c r="A3156" s="38">
        <f>IF(M3156="","",HYPERLINK("https://www.youtube.com/watch?v="&amp;M3156,"▶"))</f>
        <v/>
      </c>
      <c r="B3156" s="39">
        <f>IF(C3156&lt;&gt;"",C3156,IF(P3156&lt;=IFERROR(INDEX(tblChannels[Watched Through],MATCH(N3156,tblChannels[Channel ID],0)),0),"Watched","Unwatched"))</f>
        <v/>
      </c>
      <c r="C3156" s="40" t="n"/>
      <c r="D3156" s="41" t="n"/>
      <c r="E3156" s="42" t="n">
        <v>41240.94305555556</v>
      </c>
      <c r="F3156" s="50" t="inlineStr">
        <is>
          <t>Super Carlin Brothers</t>
        </is>
      </c>
      <c r="G3156" t="inlineStr">
        <is>
          <t>Winning The Lottery</t>
        </is>
      </c>
      <c r="H3156" s="44" t="n">
        <v>0.001168981481481482</v>
      </c>
      <c r="I3156" s="45" t="n">
        <v>11663</v>
      </c>
      <c r="J3156" s="45" t="n">
        <v>235</v>
      </c>
      <c r="K3156" s="45" t="n">
        <v>171</v>
      </c>
      <c r="L3156" s="46" t="n"/>
      <c r="M3156" s="47" t="n"/>
      <c r="N3156" s="47" t="inlineStr">
        <is>
          <t>UCKZo4N0lVPccBkSiuyVh4yg</t>
        </is>
      </c>
      <c r="O3156" s="48" t="n">
        <v>41241.15138888889</v>
      </c>
      <c r="P3156" s="49" t="n">
        <v>41240</v>
      </c>
      <c r="Q3156" s="47" t="n">
        <v>112</v>
      </c>
      <c r="R3156" s="47" t="inlineStr">
        <is>
          <t>No Video ID yet</t>
        </is>
      </c>
      <c r="S3156" s="49" t="n"/>
      <c r="T3156" s="49" t="n"/>
      <c r="U3156" s="47" t="inlineStr">
        <is>
          <t>1. If you could have one item from Harry Potter what would it be? 2. If you could have one super power what would that be? 3. If you could have any imaginable creature as a miniature pet what would you choose? =D</t>
        </is>
      </c>
      <c r="V3156" s="47">
        <f>IF(AND(P3156&gt;=Calendar!$K$2,P3156&lt;EDATE(Calendar!$K$2,1),OR(Calendar!$K$4="*",N3156=Calendar!$K$4)),P3156*100+COUNTIFS($P$6:$P$3267,P3156,$Q$6:$Q$3267,"&lt;="&amp;Q3156,$N$6:$N$3267,Calendar!$K$4),"")</f>
        <v/>
      </c>
      <c r="W3156" s="47">
        <f>IF(AND(B3156=Queue!$C$4,OR(Queue!$K$4="*",N3156=Queue!$K$4)),Q3156,"")</f>
        <v/>
      </c>
    </row>
    <row r="3157">
      <c r="A3157" s="38">
        <f>IF(M3157="","",HYPERLINK("https://www.youtube.com/watch?v="&amp;M3157,"▶"))</f>
        <v/>
      </c>
      <c r="B3157" s="39">
        <f>IF(C3157&lt;&gt;"",C3157,IF(P3157&lt;=IFERROR(INDEX(tblChannels[Watched Through],MATCH(N3157,tblChannels[Channel ID],0)),0),"Watched","Unwatched"))</f>
        <v/>
      </c>
      <c r="C3157" s="40" t="n"/>
      <c r="D3157" s="41" t="n"/>
      <c r="E3157" s="42" t="n">
        <v>41239.85763888889</v>
      </c>
      <c r="F3157" s="50" t="inlineStr">
        <is>
          <t>Super Carlin Brothers</t>
        </is>
      </c>
      <c r="G3157" t="inlineStr">
        <is>
          <t>Holiday Decorations!</t>
        </is>
      </c>
      <c r="H3157" s="44" t="n">
        <v>0.002905092592592593</v>
      </c>
      <c r="I3157" s="45" t="n">
        <v>26212</v>
      </c>
      <c r="J3157" s="45" t="n">
        <v>510</v>
      </c>
      <c r="K3157" s="45" t="n">
        <v>139</v>
      </c>
      <c r="L3157" s="46" t="n"/>
      <c r="M3157" s="47" t="n"/>
      <c r="N3157" s="47" t="inlineStr">
        <is>
          <t>UCKZo4N0lVPccBkSiuyVh4yg</t>
        </is>
      </c>
      <c r="O3157" s="48" t="n">
        <v>41240.06597222222</v>
      </c>
      <c r="P3157" s="49" t="n">
        <v>41239</v>
      </c>
      <c r="Q3157" s="47" t="n">
        <v>111</v>
      </c>
      <c r="R3157" s="47" t="inlineStr">
        <is>
          <t>No Video ID yet</t>
        </is>
      </c>
      <c r="S3157" s="49" t="n"/>
      <c r="T3157" s="49" t="n"/>
      <c r="U3157" s="47" t="inlineStr">
        <is>
          <t>Jonathan talks about the holiday season and all the decorating that goes with it. Would you put a giant inflatable snowglobe in your yard?? TWITTER: @jonkerlin and @SCB_Beb =D</t>
        </is>
      </c>
      <c r="V3157" s="47">
        <f>IF(AND(P3157&gt;=Calendar!$K$2,P3157&lt;EDATE(Calendar!$K$2,1),OR(Calendar!$K$4="*",N3157=Calendar!$K$4)),P3157*100+COUNTIFS($P$6:$P$3267,P3157,$Q$6:$Q$3267,"&lt;="&amp;Q3157,$N$6:$N$3267,Calendar!$K$4),"")</f>
        <v/>
      </c>
      <c r="W3157" s="47">
        <f>IF(AND(B3157=Queue!$C$4,OR(Queue!$K$4="*",N3157=Queue!$K$4)),Q3157,"")</f>
        <v/>
      </c>
    </row>
    <row r="3158">
      <c r="A3158" s="38">
        <f>IF(M3158="","",HYPERLINK("https://www.youtube.com/watch?v="&amp;M3158,"▶"))</f>
        <v/>
      </c>
      <c r="B3158" s="39">
        <f>IF(C3158&lt;&gt;"",C3158,IF(P3158&lt;=IFERROR(INDEX(tblChannels[Watched Through],MATCH(N3158,tblChannels[Channel ID],0)),0),"Watched","Unwatched"))</f>
        <v/>
      </c>
      <c r="C3158" s="40" t="n"/>
      <c r="D3158" s="41" t="n"/>
      <c r="E3158" s="42" t="n">
        <v>41236.90625</v>
      </c>
      <c r="F3158" s="50" t="inlineStr">
        <is>
          <t>Super Carlin Brothers</t>
        </is>
      </c>
      <c r="G3158" t="inlineStr">
        <is>
          <t>Tomorrow Potential</t>
        </is>
      </c>
      <c r="H3158" s="44" t="n">
        <v>0.001180555555555556</v>
      </c>
      <c r="I3158" s="45" t="n">
        <v>11065</v>
      </c>
      <c r="J3158" s="45" t="n">
        <v>286</v>
      </c>
      <c r="K3158" s="45" t="n">
        <v>45</v>
      </c>
      <c r="L3158" s="46" t="n"/>
      <c r="M3158" s="47" t="n"/>
      <c r="N3158" s="47" t="inlineStr">
        <is>
          <t>UCKZo4N0lVPccBkSiuyVh4yg</t>
        </is>
      </c>
      <c r="O3158" s="48" t="n">
        <v>41237.11458333334</v>
      </c>
      <c r="P3158" s="49" t="n">
        <v>41236</v>
      </c>
      <c r="Q3158" s="47" t="n">
        <v>110</v>
      </c>
      <c r="R3158" s="47" t="inlineStr">
        <is>
          <t>No Video ID yet</t>
        </is>
      </c>
      <c r="S3158" s="49" t="n"/>
      <c r="T3158" s="49" t="n"/>
      <c r="U3158" s="47" t="inlineStr">
        <is>
          <t>What is your tomorrow potential!? Twitter: @SCB_Ben and @Jonkerlin =D</t>
        </is>
      </c>
      <c r="V3158" s="47">
        <f>IF(AND(P3158&gt;=Calendar!$K$2,P3158&lt;EDATE(Calendar!$K$2,1),OR(Calendar!$K$4="*",N3158=Calendar!$K$4)),P3158*100+COUNTIFS($P$6:$P$3267,P3158,$Q$6:$Q$3267,"&lt;="&amp;Q3158,$N$6:$N$3267,Calendar!$K$4),"")</f>
        <v/>
      </c>
      <c r="W3158" s="47">
        <f>IF(AND(B3158=Queue!$C$4,OR(Queue!$K$4="*",N3158=Queue!$K$4)),Q3158,"")</f>
        <v/>
      </c>
    </row>
    <row r="3159">
      <c r="A3159" s="38">
        <f>IF(M3159="","",HYPERLINK("https://www.youtube.com/watch?v="&amp;M3159,"▶"))</f>
        <v/>
      </c>
      <c r="B3159" s="39">
        <f>IF(C3159&lt;&gt;"",C3159,IF(P3159&lt;=IFERROR(INDEX(tblChannels[Watched Through],MATCH(N3159,tblChannels[Channel ID],0)),0),"Watched","Unwatched"))</f>
        <v/>
      </c>
      <c r="C3159" s="40" t="n"/>
      <c r="D3159" s="41" t="n"/>
      <c r="E3159" s="42" t="n">
        <v>41235.91805555556</v>
      </c>
      <c r="F3159" s="50" t="inlineStr">
        <is>
          <t>Super Carlin Brothers</t>
        </is>
      </c>
      <c r="G3159" t="inlineStr">
        <is>
          <t>JUXTABROS THANKSGIVING!</t>
        </is>
      </c>
      <c r="H3159" s="44" t="n">
        <v>0.003472222222222222</v>
      </c>
      <c r="I3159" s="45" t="n">
        <v>23936</v>
      </c>
      <c r="J3159" s="45" t="n">
        <v>650</v>
      </c>
      <c r="K3159" s="45" t="n">
        <v>87</v>
      </c>
      <c r="L3159" s="46" t="n"/>
      <c r="M3159" s="47" t="n"/>
      <c r="N3159" s="47" t="inlineStr">
        <is>
          <t>UCKZo4N0lVPccBkSiuyVh4yg</t>
        </is>
      </c>
      <c r="O3159" s="48" t="n">
        <v>41236.12638888889</v>
      </c>
      <c r="P3159" s="49" t="n">
        <v>41235</v>
      </c>
      <c r="Q3159" s="47" t="n">
        <v>109</v>
      </c>
      <c r="R3159" s="47" t="inlineStr">
        <is>
          <t>No Video ID yet</t>
        </is>
      </c>
      <c r="S3159" s="49" t="n"/>
      <c r="T3159" s="49" t="n"/>
      <c r="U3159" s="47" t="inlineStr">
        <is>
          <t>Jonathan, Ben AND Tyler talk about all of their thank yous and you're welcomes. HAPPY THANKSGIVING!!! Facebook: www.facebook.com/supercarlinbrothers Thanks to our cousin's Rachel and Justin who was the outro! =D</t>
        </is>
      </c>
      <c r="V3159" s="47">
        <f>IF(AND(P3159&gt;=Calendar!$K$2,P3159&lt;EDATE(Calendar!$K$2,1),OR(Calendar!$K$4="*",N3159=Calendar!$K$4)),P3159*100+COUNTIFS($P$6:$P$3267,P3159,$Q$6:$Q$3267,"&lt;="&amp;Q3159,$N$6:$N$3267,Calendar!$K$4),"")</f>
        <v/>
      </c>
      <c r="W3159" s="47">
        <f>IF(AND(B3159=Queue!$C$4,OR(Queue!$K$4="*",N3159=Queue!$K$4)),Q3159,"")</f>
        <v/>
      </c>
    </row>
    <row r="3160">
      <c r="A3160" s="38">
        <f>IF(M3160="","",HYPERLINK("https://www.youtube.com/watch?v="&amp;M3160,"▶"))</f>
        <v/>
      </c>
      <c r="B3160" s="39">
        <f>IF(C3160&lt;&gt;"",C3160,IF(P3160&lt;=IFERROR(INDEX(tblChannels[Watched Through],MATCH(N3160,tblChannels[Channel ID],0)),0),"Watched","Unwatched"))</f>
        <v/>
      </c>
      <c r="C3160" s="40" t="n"/>
      <c r="D3160" s="41" t="n"/>
      <c r="E3160" s="42" t="n">
        <v>41234.94861111111</v>
      </c>
      <c r="F3160" s="50" t="inlineStr">
        <is>
          <t>Super Carlin Brothers</t>
        </is>
      </c>
      <c r="G3160" t="inlineStr">
        <is>
          <t>Burden of a Burden</t>
        </is>
      </c>
      <c r="H3160" s="44" t="n">
        <v>0.001087962962962963</v>
      </c>
      <c r="I3160" s="45" t="n">
        <v>11125</v>
      </c>
      <c r="J3160" s="45" t="n">
        <v>248</v>
      </c>
      <c r="K3160" s="45" t="n">
        <v>29</v>
      </c>
      <c r="L3160" s="46" t="n"/>
      <c r="M3160" s="47" t="n"/>
      <c r="N3160" s="47" t="inlineStr">
        <is>
          <t>UCKZo4N0lVPccBkSiuyVh4yg</t>
        </is>
      </c>
      <c r="O3160" s="48" t="n">
        <v>41235.15694444445</v>
      </c>
      <c r="P3160" s="49" t="n">
        <v>41234</v>
      </c>
      <c r="Q3160" s="47" t="n">
        <v>108</v>
      </c>
      <c r="R3160" s="47" t="inlineStr">
        <is>
          <t>No Video ID yet</t>
        </is>
      </c>
      <c r="S3160" s="49" t="n"/>
      <c r="T3160" s="49" t="n"/>
      <c r="U3160" s="47" t="inlineStr">
        <is>
          <t>Are you unable to enjoy something if you know there is something you should have done? Twitter! @scb_Ben and @Jonkerlin =D</t>
        </is>
      </c>
      <c r="V3160" s="47">
        <f>IF(AND(P3160&gt;=Calendar!$K$2,P3160&lt;EDATE(Calendar!$K$2,1),OR(Calendar!$K$4="*",N3160=Calendar!$K$4)),P3160*100+COUNTIFS($P$6:$P$3267,P3160,$Q$6:$Q$3267,"&lt;="&amp;Q3160,$N$6:$N$3267,Calendar!$K$4),"")</f>
        <v/>
      </c>
      <c r="W3160" s="47">
        <f>IF(AND(B3160=Queue!$C$4,OR(Queue!$K$4="*",N3160=Queue!$K$4)),Q3160,"")</f>
        <v/>
      </c>
    </row>
    <row r="3161">
      <c r="A3161" s="38">
        <f>IF(M3161="","",HYPERLINK("https://www.youtube.com/watch?v="&amp;M3161,"▶"))</f>
        <v/>
      </c>
      <c r="B3161" s="39">
        <f>IF(C3161&lt;&gt;"",C3161,IF(P3161&lt;=IFERROR(INDEX(tblChannels[Watched Through],MATCH(N3161,tblChannels[Channel ID],0)),0),"Watched","Unwatched"))</f>
        <v/>
      </c>
      <c r="C3161" s="40" t="n"/>
      <c r="D3161" s="41" t="n"/>
      <c r="E3161" s="42" t="n">
        <v>41233.88055555556</v>
      </c>
      <c r="F3161" s="50" t="inlineStr">
        <is>
          <t>Super Carlin Brothers</t>
        </is>
      </c>
      <c r="G3161" t="inlineStr">
        <is>
          <t>Telling Time</t>
        </is>
      </c>
      <c r="H3161" s="44" t="n">
        <v>0.002731481481481481</v>
      </c>
      <c r="I3161" s="45" t="n">
        <v>26747</v>
      </c>
      <c r="J3161" s="45" t="n">
        <v>512</v>
      </c>
      <c r="K3161" s="45" t="n">
        <v>99</v>
      </c>
      <c r="L3161" s="46" t="n"/>
      <c r="M3161" s="47" t="n"/>
      <c r="N3161" s="47" t="inlineStr">
        <is>
          <t>UCKZo4N0lVPccBkSiuyVh4yg</t>
        </is>
      </c>
      <c r="O3161" s="48" t="n">
        <v>41234.08888888889</v>
      </c>
      <c r="P3161" s="49" t="n">
        <v>41233</v>
      </c>
      <c r="Q3161" s="47" t="n">
        <v>107</v>
      </c>
      <c r="R3161" s="47" t="inlineStr">
        <is>
          <t>No Video ID yet</t>
        </is>
      </c>
      <c r="S3161" s="49" t="n"/>
      <c r="T3161" s="49" t="n"/>
      <c r="U3161" s="47" t="inlineStr">
        <is>
          <t>Jonathan tells about the time he went cave camping and bad people are at judging the passage of time How many hours should we have in a day? Leave us a video response saying what you are thankful for!! TWITTER: @jonkerlin and @SCB_Ben =D</t>
        </is>
      </c>
      <c r="V3161" s="47">
        <f>IF(AND(P3161&gt;=Calendar!$K$2,P3161&lt;EDATE(Calendar!$K$2,1),OR(Calendar!$K$4="*",N3161=Calendar!$K$4)),P3161*100+COUNTIFS($P$6:$P$3267,P3161,$Q$6:$Q$3267,"&lt;="&amp;Q3161,$N$6:$N$3267,Calendar!$K$4),"")</f>
        <v/>
      </c>
      <c r="W3161" s="47">
        <f>IF(AND(B3161=Queue!$C$4,OR(Queue!$K$4="*",N3161=Queue!$K$4)),Q3161,"")</f>
        <v/>
      </c>
    </row>
    <row r="3162">
      <c r="A3162" s="38">
        <f>IF(M3162="","",HYPERLINK("https://www.youtube.com/watch?v="&amp;M3162,"▶"))</f>
        <v/>
      </c>
      <c r="B3162" s="39">
        <f>IF(C3162&lt;&gt;"",C3162,IF(P3162&lt;=IFERROR(INDEX(tblChannels[Watched Through],MATCH(N3162,tblChannels[Channel ID],0)),0),"Watched","Unwatched"))</f>
        <v/>
      </c>
      <c r="C3162" s="40" t="n"/>
      <c r="D3162" s="41" t="n"/>
      <c r="E3162" s="42" t="n">
        <v>41232.84027777778</v>
      </c>
      <c r="F3162" s="50" t="inlineStr">
        <is>
          <t>Super Carlin Brothers</t>
        </is>
      </c>
      <c r="G3162" t="inlineStr">
        <is>
          <t>Things That Blow Up</t>
        </is>
      </c>
      <c r="H3162" s="44" t="n">
        <v>0.001574074074074074</v>
      </c>
      <c r="I3162" s="45" t="n">
        <v>13302</v>
      </c>
      <c r="J3162" s="45" t="n">
        <v>314</v>
      </c>
      <c r="K3162" s="45" t="n">
        <v>37</v>
      </c>
      <c r="L3162" s="46" t="n"/>
      <c r="M3162" s="47" t="n"/>
      <c r="N3162" s="47" t="inlineStr">
        <is>
          <t>UCKZo4N0lVPccBkSiuyVh4yg</t>
        </is>
      </c>
      <c r="O3162" s="48" t="n">
        <v>41233.04861111111</v>
      </c>
      <c r="P3162" s="49" t="n">
        <v>41232</v>
      </c>
      <c r="Q3162" s="47" t="n">
        <v>106</v>
      </c>
      <c r="R3162" s="47" t="inlineStr">
        <is>
          <t>No Video ID yet</t>
        </is>
      </c>
      <c r="S3162" s="49" t="n"/>
      <c r="T3162" s="49" t="n"/>
      <c r="U3162" s="47" t="inlineStr">
        <is>
          <t>What was the most notable thing that happened to you today?!? What are you thankful for? Follow us on Twitter: @SCB_Ben and @jonkerlin =D</t>
        </is>
      </c>
      <c r="V3162" s="47">
        <f>IF(AND(P3162&gt;=Calendar!$K$2,P3162&lt;EDATE(Calendar!$K$2,1),OR(Calendar!$K$4="*",N3162=Calendar!$K$4)),P3162*100+COUNTIFS($P$6:$P$3267,P3162,$Q$6:$Q$3267,"&lt;="&amp;Q3162,$N$6:$N$3267,Calendar!$K$4),"")</f>
        <v/>
      </c>
      <c r="W3162" s="47">
        <f>IF(AND(B3162=Queue!$C$4,OR(Queue!$K$4="*",N3162=Queue!$K$4)),Q3162,"")</f>
        <v/>
      </c>
    </row>
    <row r="3163">
      <c r="A3163" s="38">
        <f>IF(M3163="","",HYPERLINK("https://www.youtube.com/watch?v="&amp;M3163,"▶"))</f>
        <v/>
      </c>
      <c r="B3163" s="39">
        <f>IF(C3163&lt;&gt;"",C3163,IF(P3163&lt;=IFERROR(INDEX(tblChannels[Watched Through],MATCH(N3163,tblChannels[Channel ID],0)),0),"Watched","Unwatched"))</f>
        <v/>
      </c>
      <c r="C3163" s="40" t="n"/>
      <c r="D3163" s="41" t="n"/>
      <c r="E3163" s="42" t="n">
        <v>41229.85</v>
      </c>
      <c r="F3163" s="50" t="inlineStr">
        <is>
          <t>Super Carlin Brothers</t>
        </is>
      </c>
      <c r="G3163" t="inlineStr">
        <is>
          <t>The ZeFrank Formula</t>
        </is>
      </c>
      <c r="H3163" s="44" t="n">
        <v>0.002777777777777778</v>
      </c>
      <c r="I3163" s="45" t="n">
        <v>27600</v>
      </c>
      <c r="J3163" s="45" t="n">
        <v>1054</v>
      </c>
      <c r="K3163" s="45" t="n">
        <v>175</v>
      </c>
      <c r="L3163" s="46" t="n"/>
      <c r="M3163" s="47" t="n"/>
      <c r="N3163" s="47" t="inlineStr">
        <is>
          <t>UCKZo4N0lVPccBkSiuyVh4yg</t>
        </is>
      </c>
      <c r="O3163" s="48" t="n">
        <v>41230.05833333333</v>
      </c>
      <c r="P3163" s="49" t="n">
        <v>41229</v>
      </c>
      <c r="Q3163" s="47" t="n">
        <v>105</v>
      </c>
      <c r="R3163" s="47" t="inlineStr">
        <is>
          <t>No Video ID yet</t>
        </is>
      </c>
      <c r="S3163" s="49" t="n"/>
      <c r="T3163" s="49" t="n"/>
      <c r="U3163" s="47" t="inlineStr">
        <is>
          <t>Jonathan breaks down the ZeFrank formula? What are the little things in your life? TWITTER: @jonkerlin and @SCB_Ben =D</t>
        </is>
      </c>
      <c r="V3163" s="47">
        <f>IF(AND(P3163&gt;=Calendar!$K$2,P3163&lt;EDATE(Calendar!$K$2,1),OR(Calendar!$K$4="*",N3163=Calendar!$K$4)),P3163*100+COUNTIFS($P$6:$P$3267,P3163,$Q$6:$Q$3267,"&lt;="&amp;Q3163,$N$6:$N$3267,Calendar!$K$4),"")</f>
        <v/>
      </c>
      <c r="W3163" s="47">
        <f>IF(AND(B3163=Queue!$C$4,OR(Queue!$K$4="*",N3163=Queue!$K$4)),Q3163,"")</f>
        <v/>
      </c>
    </row>
    <row r="3164">
      <c r="A3164" s="38">
        <f>IF(M3164="","",HYPERLINK("https://www.youtube.com/watch?v="&amp;M3164,"▶"))</f>
        <v/>
      </c>
      <c r="B3164" s="39">
        <f>IF(C3164&lt;&gt;"",C3164,IF(P3164&lt;=IFERROR(INDEX(tblChannels[Watched Through],MATCH(N3164,tblChannels[Channel ID],0)),0),"Watched","Unwatched"))</f>
        <v/>
      </c>
      <c r="C3164" s="40" t="n"/>
      <c r="D3164" s="41" t="n"/>
      <c r="E3164" s="42" t="n">
        <v>41228.94166666667</v>
      </c>
      <c r="F3164" s="50" t="inlineStr">
        <is>
          <t>Super Carlin Brothers</t>
        </is>
      </c>
      <c r="G3164" t="inlineStr">
        <is>
          <t>Story Telling Challenge! Joe is a.....</t>
        </is>
      </c>
      <c r="H3164" s="44" t="n">
        <v>0.002083333333333333</v>
      </c>
      <c r="I3164" s="45" t="n">
        <v>13009</v>
      </c>
      <c r="J3164" s="45" t="n">
        <v>279</v>
      </c>
      <c r="K3164" s="45" t="n">
        <v>152</v>
      </c>
      <c r="L3164" s="46" t="n"/>
      <c r="M3164" s="47" t="n"/>
      <c r="N3164" s="47" t="inlineStr">
        <is>
          <t>UCKZo4N0lVPccBkSiuyVh4yg</t>
        </is>
      </c>
      <c r="O3164" s="48" t="n">
        <v>41229.15</v>
      </c>
      <c r="P3164" s="49" t="n">
        <v>41228</v>
      </c>
      <c r="Q3164" s="47" t="n">
        <v>104</v>
      </c>
      <c r="R3164" s="47" t="inlineStr">
        <is>
          <t>No Video ID yet</t>
        </is>
      </c>
      <c r="S3164" s="49" t="n"/>
      <c r="T3164" s="49" t="n"/>
      <c r="U3164" s="47" t="inlineStr">
        <is>
          <t>Add your three words to the story! The story begins with "Joe is a..." BE SURE TO HIT REFRESH BEFORE YOU SUBMIT YOUR THREE WORDS TO MAKE SURE YOU A CONTRIBUTING TO THE MOST UP TO DATE PART OF THE STORY!! :) Also, Keep it clean. Twitter! @SCB_Ben and @jonkerlin =D</t>
        </is>
      </c>
      <c r="V3164" s="47">
        <f>IF(AND(P3164&gt;=Calendar!$K$2,P3164&lt;EDATE(Calendar!$K$2,1),OR(Calendar!$K$4="*",N3164=Calendar!$K$4)),P3164*100+COUNTIFS($P$6:$P$3267,P3164,$Q$6:$Q$3267,"&lt;="&amp;Q3164,$N$6:$N$3267,Calendar!$K$4),"")</f>
        <v/>
      </c>
      <c r="W3164" s="47">
        <f>IF(AND(B3164=Queue!$C$4,OR(Queue!$K$4="*",N3164=Queue!$K$4)),Q3164,"")</f>
        <v/>
      </c>
    </row>
    <row r="3165">
      <c r="A3165" s="38">
        <f>IF(M3165="","",HYPERLINK("https://www.youtube.com/watch?v="&amp;M3165,"▶"))</f>
        <v/>
      </c>
      <c r="B3165" s="39">
        <f>IF(C3165&lt;&gt;"",C3165,IF(P3165&lt;=IFERROR(INDEX(tblChannels[Watched Through],MATCH(N3165,tblChannels[Channel ID],0)),0),"Watched","Unwatched"))</f>
        <v/>
      </c>
      <c r="C3165" s="40" t="n"/>
      <c r="D3165" s="41" t="n"/>
      <c r="E3165" s="42" t="n">
        <v>41227.92847222222</v>
      </c>
      <c r="F3165" s="50" t="inlineStr">
        <is>
          <t>Super Carlin Brothers</t>
        </is>
      </c>
      <c r="G3165" t="inlineStr">
        <is>
          <t>What Would I Google Autofill</t>
        </is>
      </c>
      <c r="H3165" s="44" t="n">
        <v>0.002627314814814815</v>
      </c>
      <c r="I3165" s="45" t="n">
        <v>138977</v>
      </c>
      <c r="J3165" s="45" t="n">
        <v>2052</v>
      </c>
      <c r="K3165" s="45" t="n">
        <v>240</v>
      </c>
      <c r="L3165" s="46" t="n"/>
      <c r="M3165" s="47" t="n"/>
      <c r="N3165" s="47" t="inlineStr">
        <is>
          <t>UCKZo4N0lVPccBkSiuyVh4yg</t>
        </is>
      </c>
      <c r="O3165" s="48" t="n">
        <v>41228.13680555556</v>
      </c>
      <c r="P3165" s="49" t="n">
        <v>41227</v>
      </c>
      <c r="Q3165" s="47" t="n">
        <v>103</v>
      </c>
      <c r="R3165" s="47" t="inlineStr">
        <is>
          <t>No Video ID yet</t>
        </is>
      </c>
      <c r="S3165" s="49" t="n"/>
      <c r="T3165" s="49" t="n"/>
      <c r="U3165" s="47" t="inlineStr">
        <is>
          <t>Jonathan answers the top questions people have asked Google about what to do! What would you put in a Time Capsule? TWITTER: @jonkerlin and @SCB_Ben =D</t>
        </is>
      </c>
      <c r="V3165" s="47">
        <f>IF(AND(P3165&gt;=Calendar!$K$2,P3165&lt;EDATE(Calendar!$K$2,1),OR(Calendar!$K$4="*",N3165=Calendar!$K$4)),P3165*100+COUNTIFS($P$6:$P$3267,P3165,$Q$6:$Q$3267,"&lt;="&amp;Q3165,$N$6:$N$3267,Calendar!$K$4),"")</f>
        <v/>
      </c>
      <c r="W3165" s="47">
        <f>IF(AND(B3165=Queue!$C$4,OR(Queue!$K$4="*",N3165=Queue!$K$4)),Q3165,"")</f>
        <v/>
      </c>
    </row>
    <row r="3166">
      <c r="A3166" s="38">
        <f>IF(M3166="","",HYPERLINK("https://www.youtube.com/watch?v="&amp;M3166,"▶"))</f>
        <v/>
      </c>
      <c r="B3166" s="39">
        <f>IF(C3166&lt;&gt;"",C3166,IF(P3166&lt;=IFERROR(INDEX(tblChannels[Watched Through],MATCH(N3166,tblChannels[Channel ID],0)),0),"Watched","Unwatched"))</f>
        <v/>
      </c>
      <c r="C3166" s="40" t="n"/>
      <c r="D3166" s="41" t="n"/>
      <c r="E3166" s="42" t="n">
        <v>41226.90763888889</v>
      </c>
      <c r="F3166" s="50" t="inlineStr">
        <is>
          <t>Super Carlin Brothers</t>
        </is>
      </c>
      <c r="G3166" t="inlineStr">
        <is>
          <t>What is your Scarecrow?</t>
        </is>
      </c>
      <c r="H3166" s="44" t="n">
        <v>0.001875</v>
      </c>
      <c r="I3166" s="45" t="n">
        <v>12827</v>
      </c>
      <c r="J3166" s="45" t="n">
        <v>305</v>
      </c>
      <c r="K3166" s="45" t="n">
        <v>41</v>
      </c>
      <c r="L3166" s="46" t="n"/>
      <c r="M3166" s="47" t="n"/>
      <c r="N3166" s="47" t="inlineStr">
        <is>
          <t>UCKZo4N0lVPccBkSiuyVh4yg</t>
        </is>
      </c>
      <c r="O3166" s="48" t="n">
        <v>41227.11597222222</v>
      </c>
      <c r="P3166" s="49" t="n">
        <v>41226</v>
      </c>
      <c r="Q3166" s="47" t="n">
        <v>102</v>
      </c>
      <c r="R3166" s="47" t="inlineStr">
        <is>
          <t>No Video ID yet</t>
        </is>
      </c>
      <c r="S3166" s="49" t="n"/>
      <c r="T3166" s="49" t="n"/>
      <c r="U3166" s="47" t="inlineStr">
        <is>
          <t>What is something in your life, that without it would drastically change how you live? Follow us on Twitter! @SCB_Ben @Jonkerlin =D</t>
        </is>
      </c>
      <c r="V3166" s="47">
        <f>IF(AND(P3166&gt;=Calendar!$K$2,P3166&lt;EDATE(Calendar!$K$2,1),OR(Calendar!$K$4="*",N3166=Calendar!$K$4)),P3166*100+COUNTIFS($P$6:$P$3267,P3166,$Q$6:$Q$3267,"&lt;="&amp;Q3166,$N$6:$N$3267,Calendar!$K$4),"")</f>
        <v/>
      </c>
      <c r="W3166" s="47">
        <f>IF(AND(B3166=Queue!$C$4,OR(Queue!$K$4="*",N3166=Queue!$K$4)),Q3166,"")</f>
        <v/>
      </c>
    </row>
    <row r="3167">
      <c r="A3167" s="38">
        <f>IF(M3167="","",HYPERLINK("https://www.youtube.com/watch?v="&amp;M3167,"▶"))</f>
        <v/>
      </c>
      <c r="B3167" s="39">
        <f>IF(C3167&lt;&gt;"",C3167,IF(P3167&lt;=IFERROR(INDEX(tblChannels[Watched Through],MATCH(N3167,tblChannels[Channel ID],0)),0),"Watched","Unwatched"))</f>
        <v/>
      </c>
      <c r="C3167" s="40" t="n"/>
      <c r="D3167" s="41" t="n"/>
      <c r="E3167" s="42" t="n">
        <v>41225.88958333333</v>
      </c>
      <c r="F3167" s="50" t="inlineStr">
        <is>
          <t>Super Carlin Brothers</t>
        </is>
      </c>
      <c r="G3167" t="inlineStr">
        <is>
          <t>There's no manly way to eat yogurt</t>
        </is>
      </c>
      <c r="H3167" s="44" t="n">
        <v>0.001921296296296296</v>
      </c>
      <c r="I3167" s="45" t="n">
        <v>88437</v>
      </c>
      <c r="J3167" s="45" t="n">
        <v>1756</v>
      </c>
      <c r="K3167" s="45" t="n">
        <v>448</v>
      </c>
      <c r="L3167" s="46" t="n"/>
      <c r="M3167" s="47" t="n"/>
      <c r="N3167" s="47" t="inlineStr">
        <is>
          <t>UCKZo4N0lVPccBkSiuyVh4yg</t>
        </is>
      </c>
      <c r="O3167" s="48" t="n">
        <v>41226.09791666667</v>
      </c>
      <c r="P3167" s="49" t="n">
        <v>41225</v>
      </c>
      <c r="Q3167" s="47" t="n">
        <v>101</v>
      </c>
      <c r="R3167" s="47" t="inlineStr">
        <is>
          <t>No Video ID yet</t>
        </is>
      </c>
      <c r="S3167" s="49" t="n"/>
      <c r="T3167" s="49" t="n"/>
      <c r="U3167" s="47" t="inlineStr">
        <is>
          <t>Jonathan struggles with his masculinity when it comes to eating yogurt and stuff... What other foods do you think are targeted at one gender? Google Autofill suggestions? TWITTER: @jonkerlin and @SCB_ben =D</t>
        </is>
      </c>
      <c r="V3167" s="47">
        <f>IF(AND(P3167&gt;=Calendar!$K$2,P3167&lt;EDATE(Calendar!$K$2,1),OR(Calendar!$K$4="*",N3167=Calendar!$K$4)),P3167*100+COUNTIFS($P$6:$P$3267,P3167,$Q$6:$Q$3267,"&lt;="&amp;Q3167,$N$6:$N$3267,Calendar!$K$4),"")</f>
        <v/>
      </c>
      <c r="W3167" s="47">
        <f>IF(AND(B3167=Queue!$C$4,OR(Queue!$K$4="*",N3167=Queue!$K$4)),Q3167,"")</f>
        <v/>
      </c>
    </row>
    <row r="3168">
      <c r="A3168" s="38">
        <f>IF(M3168="","",HYPERLINK("https://www.youtube.com/watch?v="&amp;M3168,"▶"))</f>
        <v/>
      </c>
      <c r="B3168" s="39">
        <f>IF(C3168&lt;&gt;"",C3168,IF(P3168&lt;=IFERROR(INDEX(tblChannels[Watched Through],MATCH(N3168,tblChannels[Channel ID],0)),0),"Watched","Unwatched"))</f>
        <v/>
      </c>
      <c r="C3168" s="40" t="n"/>
      <c r="D3168" s="41" t="n"/>
      <c r="E3168" s="42" t="n">
        <v>41222.84027777778</v>
      </c>
      <c r="F3168" s="50" t="inlineStr">
        <is>
          <t>Super Carlin Brothers</t>
        </is>
      </c>
      <c r="G3168" t="inlineStr">
        <is>
          <t>JUXTABROS! VIDEO 100!!!</t>
        </is>
      </c>
      <c r="H3168" s="44" t="n">
        <v>0.004965277777777778</v>
      </c>
      <c r="I3168" s="45" t="n">
        <v>22538</v>
      </c>
      <c r="J3168" s="45" t="n">
        <v>682</v>
      </c>
      <c r="K3168" s="45" t="n">
        <v>129</v>
      </c>
      <c r="L3168" s="46" t="n"/>
      <c r="M3168" s="47" t="n"/>
      <c r="N3168" s="47" t="inlineStr">
        <is>
          <t>UCKZo4N0lVPccBkSiuyVh4yg</t>
        </is>
      </c>
      <c r="O3168" s="48" t="n">
        <v>41223.04861111111</v>
      </c>
      <c r="P3168" s="49" t="n">
        <v>41222</v>
      </c>
      <c r="Q3168" s="47" t="n">
        <v>100</v>
      </c>
      <c r="R3168" s="47" t="inlineStr">
        <is>
          <t>No Video ID yet</t>
        </is>
      </c>
      <c r="S3168" s="49" t="n"/>
      <c r="T3168" s="49" t="n"/>
      <c r="U3168" s="47" t="inlineStr">
        <is>
          <t>J and B are together in a video for the first time answering your questions! Thank you everyone for watching, subscribing and commenting on our first 100 video's you are what makes it all worth while! What is your favorite Super Carlin Brothers moment/video so far?? Post about us on Nerdfighteria.com here: Repost your favorite video so far on Facebook or Twitter! TWITTER: @jonkerlin and @SCB_Ben Thanks to Katie and Abby for the outro! =D</t>
        </is>
      </c>
      <c r="V3168" s="47">
        <f>IF(AND(P3168&gt;=Calendar!$K$2,P3168&lt;EDATE(Calendar!$K$2,1),OR(Calendar!$K$4="*",N3168=Calendar!$K$4)),P3168*100+COUNTIFS($P$6:$P$3267,P3168,$Q$6:$Q$3267,"&lt;="&amp;Q3168,$N$6:$N$3267,Calendar!$K$4),"")</f>
        <v/>
      </c>
      <c r="W3168" s="47">
        <f>IF(AND(B3168=Queue!$C$4,OR(Queue!$K$4="*",N3168=Queue!$K$4)),Q3168,"")</f>
        <v/>
      </c>
    </row>
    <row r="3169">
      <c r="A3169" s="38">
        <f>IF(M3169="","",HYPERLINK("https://www.youtube.com/watch?v="&amp;M3169,"▶"))</f>
        <v/>
      </c>
      <c r="B3169" s="39">
        <f>IF(C3169&lt;&gt;"",C3169,IF(P3169&lt;=IFERROR(INDEX(tblChannels[Watched Through],MATCH(N3169,tblChannels[Channel ID],0)),0),"Watched","Unwatched"))</f>
        <v/>
      </c>
      <c r="C3169" s="40" t="n"/>
      <c r="D3169" s="41" t="n"/>
      <c r="E3169" s="42" t="n">
        <v>41221.79444444444</v>
      </c>
      <c r="F3169" s="50" t="inlineStr">
        <is>
          <t>Super Carlin Brothers</t>
        </is>
      </c>
      <c r="G3169" t="inlineStr">
        <is>
          <t>The Truth About Popcorn</t>
        </is>
      </c>
      <c r="H3169" s="44" t="n">
        <v>0.002037037037037037</v>
      </c>
      <c r="I3169" s="45" t="n">
        <v>82762</v>
      </c>
      <c r="J3169" s="45" t="n">
        <v>1773</v>
      </c>
      <c r="K3169" s="45" t="n">
        <v>152</v>
      </c>
      <c r="L3169" s="46" t="n"/>
      <c r="M3169" s="47" t="n"/>
      <c r="N3169" s="47" t="inlineStr">
        <is>
          <t>UCKZo4N0lVPccBkSiuyVh4yg</t>
        </is>
      </c>
      <c r="O3169" s="48" t="n">
        <v>41222.00277777778</v>
      </c>
      <c r="P3169" s="49" t="n">
        <v>41221</v>
      </c>
      <c r="Q3169" s="47" t="n">
        <v>99</v>
      </c>
      <c r="R3169" s="47" t="inlineStr">
        <is>
          <t>No Video ID yet</t>
        </is>
      </c>
      <c r="S3169" s="49" t="n"/>
      <c r="T3169" s="49" t="n"/>
      <c r="U3169" s="47" t="inlineStr">
        <is>
          <t>Jonathan reveals the dark secret of popcorn at the movies. 100th Video tomorrow - Leave your questions in the towel section! TWITTER: @jonkerlin and @SCB_Ben =D</t>
        </is>
      </c>
      <c r="V3169" s="47">
        <f>IF(AND(P3169&gt;=Calendar!$K$2,P3169&lt;EDATE(Calendar!$K$2,1),OR(Calendar!$K$4="*",N3169=Calendar!$K$4)),P3169*100+COUNTIFS($P$6:$P$3267,P3169,$Q$6:$Q$3267,"&lt;="&amp;Q3169,$N$6:$N$3267,Calendar!$K$4),"")</f>
        <v/>
      </c>
      <c r="W3169" s="47">
        <f>IF(AND(B3169=Queue!$C$4,OR(Queue!$K$4="*",N3169=Queue!$K$4)),Q3169,"")</f>
        <v/>
      </c>
    </row>
    <row r="3170">
      <c r="A3170" s="38">
        <f>IF(M3170="","",HYPERLINK("https://www.youtube.com/watch?v="&amp;M3170,"▶"))</f>
        <v/>
      </c>
      <c r="B3170" s="39">
        <f>IF(C3170&lt;&gt;"",C3170,IF(P3170&lt;=IFERROR(INDEX(tblChannels[Watched Through],MATCH(N3170,tblChannels[Channel ID],0)),0),"Watched","Unwatched"))</f>
        <v/>
      </c>
      <c r="C3170" s="40" t="n"/>
      <c r="D3170" s="41" t="n"/>
      <c r="E3170" s="42" t="n">
        <v>41220.92222222222</v>
      </c>
      <c r="F3170" s="50" t="inlineStr">
        <is>
          <t>Super Carlin Brothers</t>
        </is>
      </c>
      <c r="G3170" t="inlineStr">
        <is>
          <t>Election Results!</t>
        </is>
      </c>
      <c r="H3170" s="44" t="n">
        <v>0.001851851851851852</v>
      </c>
      <c r="I3170" s="45" t="n">
        <v>15464</v>
      </c>
      <c r="J3170" s="45" t="n">
        <v>319</v>
      </c>
      <c r="K3170" s="45" t="n">
        <v>45</v>
      </c>
      <c r="L3170" s="46" t="n"/>
      <c r="M3170" s="47" t="n"/>
      <c r="N3170" s="47" t="inlineStr">
        <is>
          <t>UCKZo4N0lVPccBkSiuyVh4yg</t>
        </is>
      </c>
      <c r="O3170" s="48" t="n">
        <v>41221.13055555556</v>
      </c>
      <c r="P3170" s="49" t="n">
        <v>41220</v>
      </c>
      <c r="Q3170" s="47" t="n">
        <v>98</v>
      </c>
      <c r="R3170" s="47" t="inlineStr">
        <is>
          <t>No Video ID yet</t>
        </is>
      </c>
      <c r="S3170" s="49" t="n"/>
      <c r="T3170" s="49" t="n"/>
      <c r="U3170" s="47" t="inlineStr">
        <is>
          <t>Election results and how Ben Voted... on J's questions from yesterday!! WHAT QUESTIONS DO YOU HAVE FOR JUXTABROS ON FRIDAY?!?! =D</t>
        </is>
      </c>
      <c r="V3170" s="47">
        <f>IF(AND(P3170&gt;=Calendar!$K$2,P3170&lt;EDATE(Calendar!$K$2,1),OR(Calendar!$K$4="*",N3170=Calendar!$K$4)),P3170*100+COUNTIFS($P$6:$P$3267,P3170,$Q$6:$Q$3267,"&lt;="&amp;Q3170,$N$6:$N$3267,Calendar!$K$4),"")</f>
        <v/>
      </c>
      <c r="W3170" s="47">
        <f>IF(AND(B3170=Queue!$C$4,OR(Queue!$K$4="*",N3170=Queue!$K$4)),Q3170,"")</f>
        <v/>
      </c>
    </row>
    <row r="3171">
      <c r="A3171" s="38">
        <f>IF(M3171="","",HYPERLINK("https://www.youtube.com/watch?v="&amp;M3171,"▶"))</f>
        <v/>
      </c>
      <c r="B3171" s="39">
        <f>IF(C3171&lt;&gt;"",C3171,IF(P3171&lt;=IFERROR(INDEX(tblChannels[Watched Through],MATCH(N3171,tblChannels[Channel ID],0)),0),"Watched","Unwatched"))</f>
        <v/>
      </c>
      <c r="C3171" s="40" t="n"/>
      <c r="D3171" s="41" t="n"/>
      <c r="E3171" s="42" t="n">
        <v>41219.88680555556</v>
      </c>
      <c r="F3171" s="50" t="inlineStr">
        <is>
          <t>Super Carlin Brothers</t>
        </is>
      </c>
      <c r="G3171" t="inlineStr">
        <is>
          <t>Stuff to vote on!</t>
        </is>
      </c>
      <c r="H3171" s="44" t="n">
        <v>0.002835648148148148</v>
      </c>
      <c r="I3171" s="45" t="n">
        <v>15507</v>
      </c>
      <c r="J3171" s="45" t="n">
        <v>382</v>
      </c>
      <c r="K3171" s="45" t="n">
        <v>284</v>
      </c>
      <c r="L3171" s="46" t="n"/>
      <c r="M3171" s="47" t="n"/>
      <c r="N3171" s="47" t="inlineStr">
        <is>
          <t>UCKZo4N0lVPccBkSiuyVh4yg</t>
        </is>
      </c>
      <c r="O3171" s="48" t="n">
        <v>41220.09513888889</v>
      </c>
      <c r="P3171" s="49" t="n">
        <v>41219</v>
      </c>
      <c r="Q3171" s="47" t="n">
        <v>97</v>
      </c>
      <c r="R3171" s="47" t="inlineStr">
        <is>
          <t>No Video ID yet</t>
        </is>
      </c>
      <c r="S3171" s="49" t="n"/>
      <c r="T3171" s="49" t="n"/>
      <c r="U3171" s="47" t="inlineStr">
        <is>
          <t>Leave your votes below or make a video response! 1. Favorite Legendary bird: Articuno, Zapdos, or Moltres 2. Coffee vs Energy Drinks 3. Who wins in a fight Iron Man vs Batman? 4. Who would you rather defend you? Katniss Everdeen vs Hermione Granger 5. Who wins in a fight Darth Vader vs Yoda 6. If you were on an island with only one season of one show what would it be? 7. Team Grizzly Eagle Shark of Team Giraffelant 8. What do you want us to talk about or give our thoughts on? TWITTER: @jonkerlin or @SCB_Ben =D</t>
        </is>
      </c>
      <c r="V3171" s="47">
        <f>IF(AND(P3171&gt;=Calendar!$K$2,P3171&lt;EDATE(Calendar!$K$2,1),OR(Calendar!$K$4="*",N3171=Calendar!$K$4)),P3171*100+COUNTIFS($P$6:$P$3267,P3171,$Q$6:$Q$3267,"&lt;="&amp;Q3171,$N$6:$N$3267,Calendar!$K$4),"")</f>
        <v/>
      </c>
      <c r="W3171" s="47">
        <f>IF(AND(B3171=Queue!$C$4,OR(Queue!$K$4="*",N3171=Queue!$K$4)),Q3171,"")</f>
        <v/>
      </c>
    </row>
    <row r="3172">
      <c r="A3172" s="38">
        <f>IF(M3172="","",HYPERLINK("https://www.youtube.com/watch?v="&amp;M3172,"▶"))</f>
        <v/>
      </c>
      <c r="B3172" s="39">
        <f>IF(C3172&lt;&gt;"",C3172,IF(P3172&lt;=IFERROR(INDEX(tblChannels[Watched Through],MATCH(N3172,tblChannels[Channel ID],0)),0),"Watched","Unwatched"))</f>
        <v/>
      </c>
      <c r="C3172" s="40" t="n"/>
      <c r="D3172" s="41" t="n"/>
      <c r="E3172" s="42" t="n">
        <v>41218.81388888889</v>
      </c>
      <c r="F3172" s="50" t="inlineStr">
        <is>
          <t>Super Carlin Brothers</t>
        </is>
      </c>
      <c r="G3172" t="inlineStr">
        <is>
          <t>Hello</t>
        </is>
      </c>
      <c r="H3172" s="44" t="n">
        <v>0.001377314814814815</v>
      </c>
      <c r="I3172" s="45" t="n">
        <v>12466</v>
      </c>
      <c r="J3172" s="45" t="n">
        <v>296</v>
      </c>
      <c r="K3172" s="45" t="n">
        <v>64</v>
      </c>
      <c r="L3172" s="46" t="n"/>
      <c r="M3172" s="47" t="n"/>
      <c r="N3172" s="47" t="inlineStr">
        <is>
          <t>UCKZo4N0lVPccBkSiuyVh4yg</t>
        </is>
      </c>
      <c r="O3172" s="48" t="n">
        <v>41219.02222222222</v>
      </c>
      <c r="P3172" s="49" t="n">
        <v>41218</v>
      </c>
      <c r="Q3172" s="47" t="n">
        <v>96</v>
      </c>
      <c r="R3172" s="47" t="inlineStr">
        <is>
          <t>No Video ID yet</t>
        </is>
      </c>
      <c r="S3172" s="49" t="n"/>
      <c r="T3172" s="49" t="n"/>
      <c r="U3172" s="47" t="inlineStr">
        <is>
          <t>Tell someone Ben says hello. Tell me if they respond. Twitter: @SCB_Ben and @Jonkerlin =D</t>
        </is>
      </c>
      <c r="V3172" s="47">
        <f>IF(AND(P3172&gt;=Calendar!$K$2,P3172&lt;EDATE(Calendar!$K$2,1),OR(Calendar!$K$4="*",N3172=Calendar!$K$4)),P3172*100+COUNTIFS($P$6:$P$3267,P3172,$Q$6:$Q$3267,"&lt;="&amp;Q3172,$N$6:$N$3267,Calendar!$K$4),"")</f>
        <v/>
      </c>
      <c r="W3172" s="47">
        <f>IF(AND(B3172=Queue!$C$4,OR(Queue!$K$4="*",N3172=Queue!$K$4)),Q3172,"")</f>
        <v/>
      </c>
    </row>
    <row r="3173">
      <c r="A3173" s="38">
        <f>IF(M3173="","",HYPERLINK("https://www.youtube.com/watch?v="&amp;M3173,"▶"))</f>
        <v/>
      </c>
      <c r="B3173" s="39">
        <f>IF(C3173&lt;&gt;"",C3173,IF(P3173&lt;=IFERROR(INDEX(tblChannels[Watched Through],MATCH(N3173,tblChannels[Channel ID],0)),0),"Watched","Unwatched"))</f>
        <v/>
      </c>
      <c r="C3173" s="40" t="n"/>
      <c r="D3173" s="41" t="n"/>
      <c r="E3173" s="42" t="n">
        <v>41215.82083333333</v>
      </c>
      <c r="F3173" s="50" t="inlineStr">
        <is>
          <t>Super Carlin Brothers</t>
        </is>
      </c>
      <c r="G3173" t="inlineStr">
        <is>
          <t>How to Open Doors</t>
        </is>
      </c>
      <c r="H3173" s="44" t="n">
        <v>0.002048611111111111</v>
      </c>
      <c r="I3173" s="45" t="n">
        <v>68739</v>
      </c>
      <c r="J3173" s="45" t="n">
        <v>1457</v>
      </c>
      <c r="K3173" s="45" t="n">
        <v>450</v>
      </c>
      <c r="L3173" s="46" t="n"/>
      <c r="M3173" s="47" t="n"/>
      <c r="N3173" s="47" t="inlineStr">
        <is>
          <t>UCKZo4N0lVPccBkSiuyVh4yg</t>
        </is>
      </c>
      <c r="O3173" s="48" t="n">
        <v>41215.9875</v>
      </c>
      <c r="P3173" s="49" t="n">
        <v>41215</v>
      </c>
      <c r="Q3173" s="47" t="n">
        <v>95</v>
      </c>
      <c r="R3173" s="47" t="inlineStr">
        <is>
          <t>No Video ID yet</t>
        </is>
      </c>
      <c r="S3173" s="49" t="n"/>
      <c r="T3173" s="49" t="n"/>
      <c r="U3173" s="47" t="inlineStr">
        <is>
          <t>Jonathan talks about when to open doors for men and women. Should guys always open doors for girls? Twitter: @jonkerlin and @SCB_Ben =D</t>
        </is>
      </c>
      <c r="V3173" s="47">
        <f>IF(AND(P3173&gt;=Calendar!$K$2,P3173&lt;EDATE(Calendar!$K$2,1),OR(Calendar!$K$4="*",N3173=Calendar!$K$4)),P3173*100+COUNTIFS($P$6:$P$3267,P3173,$Q$6:$Q$3267,"&lt;="&amp;Q3173,$N$6:$N$3267,Calendar!$K$4),"")</f>
        <v/>
      </c>
      <c r="W3173" s="47">
        <f>IF(AND(B3173=Queue!$C$4,OR(Queue!$K$4="*",N3173=Queue!$K$4)),Q3173,"")</f>
        <v/>
      </c>
    </row>
    <row r="3174">
      <c r="A3174" s="38">
        <f>IF(M3174="","",HYPERLINK("https://www.youtube.com/watch?v="&amp;M3174,"▶"))</f>
        <v/>
      </c>
      <c r="B3174" s="39">
        <f>IF(C3174&lt;&gt;"",C3174,IF(P3174&lt;=IFERROR(INDEX(tblChannels[Watched Through],MATCH(N3174,tblChannels[Channel ID],0)),0),"Watched","Unwatched"))</f>
        <v/>
      </c>
      <c r="C3174" s="40" t="n"/>
      <c r="D3174" s="41" t="n"/>
      <c r="E3174" s="42" t="n">
        <v>41214.71527777778</v>
      </c>
      <c r="F3174" s="50" t="inlineStr">
        <is>
          <t>Super Carlin Brothers</t>
        </is>
      </c>
      <c r="G3174" t="inlineStr">
        <is>
          <t>The Door Holding Paradox</t>
        </is>
      </c>
      <c r="H3174" s="44" t="n">
        <v>0.002280092592592593</v>
      </c>
      <c r="I3174" s="45" t="n">
        <v>22709</v>
      </c>
      <c r="J3174" s="45" t="n">
        <v>499</v>
      </c>
      <c r="K3174" s="45" t="n">
        <v>89</v>
      </c>
      <c r="L3174" s="46" t="n"/>
      <c r="M3174" s="47" t="n"/>
      <c r="N3174" s="47" t="inlineStr">
        <is>
          <t>UCKZo4N0lVPccBkSiuyVh4yg</t>
        </is>
      </c>
      <c r="O3174" s="48" t="n">
        <v>41214.88194444445</v>
      </c>
      <c r="P3174" s="49" t="n">
        <v>41214</v>
      </c>
      <c r="Q3174" s="47" t="n">
        <v>94</v>
      </c>
      <c r="R3174" s="47" t="inlineStr">
        <is>
          <t>No Video ID yet</t>
        </is>
      </c>
      <c r="S3174" s="49" t="n"/>
      <c r="T3174" s="49" t="n"/>
      <c r="U3174" s="47" t="inlineStr">
        <is>
          <t>What is your favorite knock-knock joke! Twitter: @SCB_Ben and @Jonkerlin! =D</t>
        </is>
      </c>
      <c r="V3174" s="47">
        <f>IF(AND(P3174&gt;=Calendar!$K$2,P3174&lt;EDATE(Calendar!$K$2,1),OR(Calendar!$K$4="*",N3174=Calendar!$K$4)),P3174*100+COUNTIFS($P$6:$P$3267,P3174,$Q$6:$Q$3267,"&lt;="&amp;Q3174,$N$6:$N$3267,Calendar!$K$4),"")</f>
        <v/>
      </c>
      <c r="W3174" s="47">
        <f>IF(AND(B3174=Queue!$C$4,OR(Queue!$K$4="*",N3174=Queue!$K$4)),Q3174,"")</f>
        <v/>
      </c>
    </row>
    <row r="3175">
      <c r="A3175" s="38">
        <f>IF(M3175="","",HYPERLINK("https://www.youtube.com/watch?v="&amp;M3175,"▶"))</f>
        <v/>
      </c>
      <c r="B3175" s="39">
        <f>IF(C3175&lt;&gt;"",C3175,IF(P3175&lt;=IFERROR(INDEX(tblChannels[Watched Through],MATCH(N3175,tblChannels[Channel ID],0)),0),"Watched","Unwatched"))</f>
        <v/>
      </c>
      <c r="C3175" s="40" t="n"/>
      <c r="D3175" s="41" t="n"/>
      <c r="E3175" s="42" t="n">
        <v>41213.95069444444</v>
      </c>
      <c r="F3175" s="50" t="inlineStr">
        <is>
          <t>Super Carlin Brothers</t>
        </is>
      </c>
      <c r="G3175" t="inlineStr">
        <is>
          <t>State of the Shave</t>
        </is>
      </c>
      <c r="H3175" s="44" t="n">
        <v>0.001608796296296296</v>
      </c>
      <c r="I3175" s="45" t="n">
        <v>16931</v>
      </c>
      <c r="J3175" s="45" t="n">
        <v>470</v>
      </c>
      <c r="K3175" s="45" t="n">
        <v>86</v>
      </c>
      <c r="L3175" s="46" t="n"/>
      <c r="M3175" s="47" t="n"/>
      <c r="N3175" s="47" t="inlineStr">
        <is>
          <t>UCKZo4N0lVPccBkSiuyVh4yg</t>
        </is>
      </c>
      <c r="O3175" s="48" t="n">
        <v>41214.11736111111</v>
      </c>
      <c r="P3175" s="49" t="n">
        <v>41213</v>
      </c>
      <c r="Q3175" s="47" t="n">
        <v>93</v>
      </c>
      <c r="R3175" s="47" t="inlineStr">
        <is>
          <t>No Video ID yet</t>
        </is>
      </c>
      <c r="S3175" s="49" t="n"/>
      <c r="T3175" s="49" t="n"/>
      <c r="U3175" s="47" t="inlineStr">
        <is>
          <t>Jonathan defends all of the clean shaven folk of the world with clean cut and dry facts.. mostly.. What do you think of facial hair?? TWITTER: @jonkerlin and @SCB_Ben =D</t>
        </is>
      </c>
      <c r="V3175" s="47">
        <f>IF(AND(P3175&gt;=Calendar!$K$2,P3175&lt;EDATE(Calendar!$K$2,1),OR(Calendar!$K$4="*",N3175=Calendar!$K$4)),P3175*100+COUNTIFS($P$6:$P$3267,P3175,$Q$6:$Q$3267,"&lt;="&amp;Q3175,$N$6:$N$3267,Calendar!$K$4),"")</f>
        <v/>
      </c>
      <c r="W3175" s="47">
        <f>IF(AND(B3175=Queue!$C$4,OR(Queue!$K$4="*",N3175=Queue!$K$4)),Q3175,"")</f>
        <v/>
      </c>
    </row>
    <row r="3176">
      <c r="A3176" s="38">
        <f>IF(M3176="","",HYPERLINK("https://www.youtube.com/watch?v="&amp;M3176,"▶"))</f>
        <v/>
      </c>
      <c r="B3176" s="39">
        <f>IF(C3176&lt;&gt;"",C3176,IF(P3176&lt;=IFERROR(INDEX(tblChannels[Watched Through],MATCH(N3176,tblChannels[Channel ID],0)),0),"Watched","Unwatched"))</f>
        <v/>
      </c>
      <c r="C3176" s="40" t="n"/>
      <c r="D3176" s="41" t="n"/>
      <c r="E3176" s="42" t="n">
        <v>41212.91944444444</v>
      </c>
      <c r="F3176" s="50" t="inlineStr">
        <is>
          <t>Super Carlin Brothers</t>
        </is>
      </c>
      <c r="G3176" t="inlineStr">
        <is>
          <t>The Recipe for the Perfect Day</t>
        </is>
      </c>
      <c r="H3176" s="44" t="n">
        <v>0.002546296296296297</v>
      </c>
      <c r="I3176" s="45" t="n">
        <v>13578</v>
      </c>
      <c r="J3176" s="45" t="n">
        <v>323</v>
      </c>
      <c r="K3176" s="45" t="n">
        <v>25</v>
      </c>
      <c r="L3176" s="46" t="n"/>
      <c r="M3176" s="47" t="n"/>
      <c r="N3176" s="47" t="inlineStr">
        <is>
          <t>UCKZo4N0lVPccBkSiuyVh4yg</t>
        </is>
      </c>
      <c r="O3176" s="48" t="n">
        <v>41213.08611111111</v>
      </c>
      <c r="P3176" s="49" t="n">
        <v>41212</v>
      </c>
      <c r="Q3176" s="47" t="n">
        <v>92</v>
      </c>
      <c r="R3176" s="47" t="inlineStr">
        <is>
          <t>No Video ID yet</t>
        </is>
      </c>
      <c r="S3176" s="49" t="n"/>
      <c r="T3176" s="49" t="n"/>
      <c r="U3176" s="47" t="inlineStr">
        <is>
          <t>Can you rally and make the best of a bad day? Would you suffer through a bad day or two in order to achieve a perfect day? (i.e. work overtime for some extra cash to afford your lift ticket!) Twitter: @SCB_Ben and @Jonkerlin =D</t>
        </is>
      </c>
      <c r="V3176" s="47">
        <f>IF(AND(P3176&gt;=Calendar!$K$2,P3176&lt;EDATE(Calendar!$K$2,1),OR(Calendar!$K$4="*",N3176=Calendar!$K$4)),P3176*100+COUNTIFS($P$6:$P$3267,P3176,$Q$6:$Q$3267,"&lt;="&amp;Q3176,$N$6:$N$3267,Calendar!$K$4),"")</f>
        <v/>
      </c>
      <c r="W3176" s="47">
        <f>IF(AND(B3176=Queue!$C$4,OR(Queue!$K$4="*",N3176=Queue!$K$4)),Q3176,"")</f>
        <v/>
      </c>
    </row>
    <row r="3177">
      <c r="A3177" s="38">
        <f>IF(M3177="","",HYPERLINK("https://www.youtube.com/watch?v="&amp;M3177,"▶"))</f>
        <v/>
      </c>
      <c r="B3177" s="39">
        <f>IF(C3177&lt;&gt;"",C3177,IF(P3177&lt;=IFERROR(INDEX(tblChannels[Watched Through],MATCH(N3177,tblChannels[Channel ID],0)),0),"Watched","Unwatched"))</f>
        <v/>
      </c>
      <c r="C3177" s="40" t="n"/>
      <c r="D3177" s="41" t="n"/>
      <c r="E3177" s="42" t="n">
        <v>41211.86458333334</v>
      </c>
      <c r="F3177" s="50" t="inlineStr">
        <is>
          <t>Super Carlin Brothers</t>
        </is>
      </c>
      <c r="G3177" t="inlineStr">
        <is>
          <t>A Rad Day</t>
        </is>
      </c>
      <c r="H3177" s="44" t="n">
        <v>0.002835648148148148</v>
      </c>
      <c r="I3177" s="45" t="n">
        <v>14647</v>
      </c>
      <c r="J3177" s="45" t="n">
        <v>366</v>
      </c>
      <c r="K3177" s="45" t="n">
        <v>99</v>
      </c>
      <c r="L3177" s="46" t="n"/>
      <c r="M3177" s="47" t="n"/>
      <c r="N3177" s="47" t="inlineStr">
        <is>
          <t>UCKZo4N0lVPccBkSiuyVh4yg</t>
        </is>
      </c>
      <c r="O3177" s="48" t="n">
        <v>41212.03125</v>
      </c>
      <c r="P3177" s="49" t="n">
        <v>41211</v>
      </c>
      <c r="Q3177" s="47" t="n">
        <v>91</v>
      </c>
      <c r="R3177" s="47" t="inlineStr">
        <is>
          <t>No Video ID yet</t>
        </is>
      </c>
      <c r="S3177" s="49" t="n"/>
      <c r="T3177" s="49" t="n"/>
      <c r="U3177" s="47" t="inlineStr">
        <is>
          <t>Jonathan may have experienced his best day ever! What would your perfect day be like? What theme would you want to see? =D</t>
        </is>
      </c>
      <c r="V3177" s="47">
        <f>IF(AND(P3177&gt;=Calendar!$K$2,P3177&lt;EDATE(Calendar!$K$2,1),OR(Calendar!$K$4="*",N3177=Calendar!$K$4)),P3177*100+COUNTIFS($P$6:$P$3267,P3177,$Q$6:$Q$3267,"&lt;="&amp;Q3177,$N$6:$N$3267,Calendar!$K$4),"")</f>
        <v/>
      </c>
      <c r="W3177" s="47">
        <f>IF(AND(B3177=Queue!$C$4,OR(Queue!$K$4="*",N3177=Queue!$K$4)),Q3177,"")</f>
        <v/>
      </c>
    </row>
    <row r="3178">
      <c r="A3178" s="38">
        <f>IF(M3178="","",HYPERLINK("https://www.youtube.com/watch?v="&amp;M3178,"▶"))</f>
        <v/>
      </c>
      <c r="B3178" s="39">
        <f>IF(C3178&lt;&gt;"",C3178,IF(P3178&lt;=IFERROR(INDEX(tblChannels[Watched Through],MATCH(N3178,tblChannels[Channel ID],0)),0),"Watched","Unwatched"))</f>
        <v/>
      </c>
      <c r="C3178" s="40" t="n"/>
      <c r="D3178" s="41" t="n"/>
      <c r="E3178" s="42" t="n">
        <v>41208.81319444445</v>
      </c>
      <c r="F3178" s="50" t="inlineStr">
        <is>
          <t>Super Carlin Brothers</t>
        </is>
      </c>
      <c r="G3178" t="inlineStr">
        <is>
          <t>From Books to Films</t>
        </is>
      </c>
      <c r="H3178" s="44" t="n">
        <v>0.001678240740740741</v>
      </c>
      <c r="I3178" s="45" t="n">
        <v>18268</v>
      </c>
      <c r="J3178" s="45" t="n">
        <v>443</v>
      </c>
      <c r="K3178" s="45" t="n">
        <v>102</v>
      </c>
      <c r="L3178" s="46" t="n"/>
      <c r="M3178" s="47" t="n"/>
      <c r="N3178" s="47" t="inlineStr">
        <is>
          <t>UCKZo4N0lVPccBkSiuyVh4yg</t>
        </is>
      </c>
      <c r="O3178" s="48" t="n">
        <v>41208.97986111111</v>
      </c>
      <c r="P3178" s="49" t="n">
        <v>41208</v>
      </c>
      <c r="Q3178" s="47" t="n">
        <v>90</v>
      </c>
      <c r="R3178" s="47" t="inlineStr">
        <is>
          <t>No Video ID yet</t>
        </is>
      </c>
      <c r="S3178" s="49" t="n"/>
      <c r="T3178" s="49" t="n"/>
      <c r="U3178" s="47" t="inlineStr">
        <is>
          <t>Ben discusses the successes and failures of the conversion of the Harry Potter books to film. TWITTER: @SCB_Ben and @Jonkerlin =D</t>
        </is>
      </c>
      <c r="V3178" s="47">
        <f>IF(AND(P3178&gt;=Calendar!$K$2,P3178&lt;EDATE(Calendar!$K$2,1),OR(Calendar!$K$4="*",N3178=Calendar!$K$4)),P3178*100+COUNTIFS($P$6:$P$3267,P3178,$Q$6:$Q$3267,"&lt;="&amp;Q3178,$N$6:$N$3267,Calendar!$K$4),"")</f>
        <v/>
      </c>
      <c r="W3178" s="47">
        <f>IF(AND(B3178=Queue!$C$4,OR(Queue!$K$4="*",N3178=Queue!$K$4)),Q3178,"")</f>
        <v/>
      </c>
    </row>
    <row r="3179">
      <c r="A3179" s="38">
        <f>IF(M3179="","",HYPERLINK("https://www.youtube.com/watch?v="&amp;M3179,"▶"))</f>
        <v/>
      </c>
      <c r="B3179" s="39">
        <f>IF(C3179&lt;&gt;"",C3179,IF(P3179&lt;=IFERROR(INDEX(tblChannels[Watched Through],MATCH(N3179,tblChannels[Channel ID],0)),0),"Watched","Unwatched"))</f>
        <v/>
      </c>
      <c r="C3179" s="40" t="n"/>
      <c r="D3179" s="41" t="n"/>
      <c r="E3179" s="42" t="n">
        <v>41207.5</v>
      </c>
      <c r="F3179" s="50" t="inlineStr">
        <is>
          <t>Super Carlin Brothers</t>
        </is>
      </c>
      <c r="G3179" t="inlineStr">
        <is>
          <t>SIRIUSLY</t>
        </is>
      </c>
      <c r="H3179" s="44" t="n">
        <v>0.001701388888888889</v>
      </c>
      <c r="I3179" s="45" t="n">
        <v>499511</v>
      </c>
      <c r="J3179" s="45" t="n">
        <v>9673</v>
      </c>
      <c r="K3179" s="45" t="n">
        <v>2784</v>
      </c>
      <c r="L3179" s="46" t="n"/>
      <c r="M3179" s="47" t="n"/>
      <c r="N3179" s="47" t="inlineStr">
        <is>
          <t>UCKZo4N0lVPccBkSiuyVh4yg</t>
        </is>
      </c>
      <c r="O3179" s="48" t="n">
        <v>41207.66666666666</v>
      </c>
      <c r="P3179" s="49" t="n">
        <v>41207</v>
      </c>
      <c r="Q3179" s="47" t="n">
        <v>89</v>
      </c>
      <c r="R3179" s="47" t="inlineStr">
        <is>
          <t>No Video ID yet</t>
        </is>
      </c>
      <c r="S3179" s="49" t="n"/>
      <c r="T3179" s="49" t="n"/>
      <c r="U3179" s="47" t="inlineStr">
        <is>
          <t>Jonathan gets SIRIUS about Ben's lack of HP7 knowledge and totally spoils the whole book for him.. maybe.. I dunno WISH BEN A HAPPY BIRTHDAY! (also which is better flying or invisibility?) Facebook: www.facebook.com/supercarlinbrothers Twitter: @jonkerlin and @SCB_Ben =D</t>
        </is>
      </c>
      <c r="V3179" s="47">
        <f>IF(AND(P3179&gt;=Calendar!$K$2,P3179&lt;EDATE(Calendar!$K$2,1),OR(Calendar!$K$4="*",N3179=Calendar!$K$4)),P3179*100+COUNTIFS($P$6:$P$3267,P3179,$Q$6:$Q$3267,"&lt;="&amp;Q3179,$N$6:$N$3267,Calendar!$K$4),"")</f>
        <v/>
      </c>
      <c r="W3179" s="47">
        <f>IF(AND(B3179=Queue!$C$4,OR(Queue!$K$4="*",N3179=Queue!$K$4)),Q3179,"")</f>
        <v/>
      </c>
    </row>
    <row r="3180">
      <c r="A3180" s="38">
        <f>IF(M3180="","",HYPERLINK("https://www.youtube.com/watch?v="&amp;M3180,"▶"))</f>
        <v/>
      </c>
      <c r="B3180" s="39">
        <f>IF(C3180&lt;&gt;"",C3180,IF(P3180&lt;=IFERROR(INDEX(tblChannels[Watched Through],MATCH(N3180,tblChannels[Channel ID],0)),0),"Watched","Unwatched"))</f>
        <v/>
      </c>
      <c r="C3180" s="40" t="n"/>
      <c r="D3180" s="41" t="n"/>
      <c r="E3180" s="42" t="n">
        <v>41206.81458333333</v>
      </c>
      <c r="F3180" s="50" t="inlineStr">
        <is>
          <t>Super Carlin Brothers</t>
        </is>
      </c>
      <c r="G3180" t="inlineStr">
        <is>
          <t>Harry Potter Confessional</t>
        </is>
      </c>
      <c r="H3180" s="44" t="n">
        <v>0.001921296296296296</v>
      </c>
      <c r="I3180" s="45" t="n">
        <v>80857</v>
      </c>
      <c r="J3180" s="45" t="n">
        <v>1215</v>
      </c>
      <c r="K3180" s="45" t="n">
        <v>375</v>
      </c>
      <c r="L3180" s="46" t="n"/>
      <c r="M3180" s="47" t="n"/>
      <c r="N3180" s="47" t="inlineStr">
        <is>
          <t>UCKZo4N0lVPccBkSiuyVh4yg</t>
        </is>
      </c>
      <c r="O3180" s="48" t="n">
        <v>41206.98125</v>
      </c>
      <c r="P3180" s="49" t="n">
        <v>41206</v>
      </c>
      <c r="Q3180" s="47" t="n">
        <v>88</v>
      </c>
      <c r="R3180" s="47" t="inlineStr">
        <is>
          <t>No Video ID yet</t>
        </is>
      </c>
      <c r="S3180" s="49" t="n"/>
      <c r="T3180" s="49" t="n"/>
      <c r="U3180" s="47" t="inlineStr">
        <is>
          <t>Ben confesses his deep dark horcrux of a secret... Twitter: @SCB_Ben and @Jonkerlin =D</t>
        </is>
      </c>
      <c r="V3180" s="47">
        <f>IF(AND(P3180&gt;=Calendar!$K$2,P3180&lt;EDATE(Calendar!$K$2,1),OR(Calendar!$K$4="*",N3180=Calendar!$K$4)),P3180*100+COUNTIFS($P$6:$P$3267,P3180,$Q$6:$Q$3267,"&lt;="&amp;Q3180,$N$6:$N$3267,Calendar!$K$4),"")</f>
        <v/>
      </c>
      <c r="W3180" s="47">
        <f>IF(AND(B3180=Queue!$C$4,OR(Queue!$K$4="*",N3180=Queue!$K$4)),Q3180,"")</f>
        <v/>
      </c>
    </row>
    <row r="3181">
      <c r="A3181" s="38">
        <f>IF(M3181="","",HYPERLINK("https://www.youtube.com/watch?v="&amp;M3181,"▶"))</f>
        <v/>
      </c>
      <c r="B3181" s="39">
        <f>IF(C3181&lt;&gt;"",C3181,IF(P3181&lt;=IFERROR(INDEX(tblChannels[Watched Through],MATCH(N3181,tblChannels[Channel ID],0)),0),"Watched","Unwatched"))</f>
        <v/>
      </c>
      <c r="C3181" s="40" t="n"/>
      <c r="D3181" s="41" t="n"/>
      <c r="E3181" s="42" t="n">
        <v>41205.90069444444</v>
      </c>
      <c r="F3181" s="50" t="inlineStr">
        <is>
          <t>Super Carlin Brothers</t>
        </is>
      </c>
      <c r="G3181" t="inlineStr">
        <is>
          <t>QUIDDITCH MAKES NO SENSE!</t>
        </is>
      </c>
      <c r="H3181" s="44" t="n">
        <v>0.002962962962962963</v>
      </c>
      <c r="I3181" s="45" t="n">
        <v>658070</v>
      </c>
      <c r="J3181" s="45" t="n">
        <v>9971</v>
      </c>
      <c r="K3181" s="45" t="n">
        <v>3195</v>
      </c>
      <c r="L3181" s="46" t="n"/>
      <c r="M3181" s="47" t="n"/>
      <c r="N3181" s="47" t="inlineStr">
        <is>
          <t>UCKZo4N0lVPccBkSiuyVh4yg</t>
        </is>
      </c>
      <c r="O3181" s="48" t="n">
        <v>41206.06736111111</v>
      </c>
      <c r="P3181" s="49" t="n">
        <v>41205</v>
      </c>
      <c r="Q3181" s="47" t="n">
        <v>87</v>
      </c>
      <c r="R3181" s="47" t="inlineStr">
        <is>
          <t>No Video ID yet</t>
        </is>
      </c>
      <c r="S3181" s="49" t="n"/>
      <c r="T3181" s="49" t="n"/>
      <c r="U3181" s="47" t="inlineStr">
        <is>
          <t>Jonathan discusses the many flaws of the game of quidditch.. which he still loves.. a lot. What position would you play on the quidditch pitch? TWITTER: @jonkerlin and @SCB_Ben =D</t>
        </is>
      </c>
      <c r="V3181" s="47">
        <f>IF(AND(P3181&gt;=Calendar!$K$2,P3181&lt;EDATE(Calendar!$K$2,1),OR(Calendar!$K$4="*",N3181=Calendar!$K$4)),P3181*100+COUNTIFS($P$6:$P$3267,P3181,$Q$6:$Q$3267,"&lt;="&amp;Q3181,$N$6:$N$3267,Calendar!$K$4),"")</f>
        <v/>
      </c>
      <c r="W3181" s="47">
        <f>IF(AND(B3181=Queue!$C$4,OR(Queue!$K$4="*",N3181=Queue!$K$4)),Q3181,"")</f>
        <v/>
      </c>
    </row>
    <row r="3182">
      <c r="A3182" s="38">
        <f>IF(M3182="","",HYPERLINK("https://www.youtube.com/watch?v="&amp;M3182,"▶"))</f>
        <v/>
      </c>
      <c r="B3182" s="39">
        <f>IF(C3182&lt;&gt;"",C3182,IF(P3182&lt;=IFERROR(INDEX(tblChannels[Watched Through],MATCH(N3182,tblChannels[Channel ID],0)),0),"Watched","Unwatched"))</f>
        <v/>
      </c>
      <c r="C3182" s="40" t="n"/>
      <c r="D3182" s="41" t="n"/>
      <c r="E3182" s="42" t="n">
        <v>41204.94305555556</v>
      </c>
      <c r="F3182" s="50" t="inlineStr">
        <is>
          <t>Super Carlin Brothers</t>
        </is>
      </c>
      <c r="G3182" t="inlineStr">
        <is>
          <t>Hogwarts and Charts</t>
        </is>
      </c>
      <c r="H3182" s="44" t="n">
        <v>0.002476851851851852</v>
      </c>
      <c r="I3182" s="45" t="n">
        <v>87422</v>
      </c>
      <c r="J3182" s="45" t="n">
        <v>1466</v>
      </c>
      <c r="K3182" s="45" t="n">
        <v>810</v>
      </c>
      <c r="L3182" s="46" t="n"/>
      <c r="M3182" s="47" t="n"/>
      <c r="N3182" s="47" t="inlineStr">
        <is>
          <t>UCKZo4N0lVPccBkSiuyVh4yg</t>
        </is>
      </c>
      <c r="O3182" s="48" t="n">
        <v>41205.10972222222</v>
      </c>
      <c r="P3182" s="49" t="n">
        <v>41204</v>
      </c>
      <c r="Q3182" s="47" t="n">
        <v>86</v>
      </c>
      <c r="R3182" s="47" t="inlineStr">
        <is>
          <t>No Video ID yet</t>
        </is>
      </c>
      <c r="S3182" s="49" t="n"/>
      <c r="T3182" s="49" t="n"/>
      <c r="U3182" s="47" t="inlineStr">
        <is>
          <t>Ben goes chart crazy. And wonders about Hufflepuff. Twitter: @SCB_Ben and @Jonkerlin =D</t>
        </is>
      </c>
      <c r="V3182" s="47">
        <f>IF(AND(P3182&gt;=Calendar!$K$2,P3182&lt;EDATE(Calendar!$K$2,1),OR(Calendar!$K$4="*",N3182=Calendar!$K$4)),P3182*100+COUNTIFS($P$6:$P$3267,P3182,$Q$6:$Q$3267,"&lt;="&amp;Q3182,$N$6:$N$3267,Calendar!$K$4),"")</f>
        <v/>
      </c>
      <c r="W3182" s="47">
        <f>IF(AND(B3182=Queue!$C$4,OR(Queue!$K$4="*",N3182=Queue!$K$4)),Q3182,"")</f>
        <v/>
      </c>
    </row>
    <row r="3183">
      <c r="A3183" s="38">
        <f>IF(M3183="","",HYPERLINK("https://www.youtube.com/watch?v="&amp;M3183,"▶"))</f>
        <v/>
      </c>
      <c r="B3183" s="39">
        <f>IF(C3183&lt;&gt;"",C3183,IF(P3183&lt;=IFERROR(INDEX(tblChannels[Watched Through],MATCH(N3183,tblChannels[Channel ID],0)),0),"Watched","Unwatched"))</f>
        <v/>
      </c>
      <c r="C3183" s="40" t="n"/>
      <c r="D3183" s="41" t="n"/>
      <c r="E3183" s="42" t="n">
        <v>41201.83194444444</v>
      </c>
      <c r="F3183" s="50" t="inlineStr">
        <is>
          <t>Super Carlin Brothers</t>
        </is>
      </c>
      <c r="G3183" t="inlineStr">
        <is>
          <t>Ask J! #4</t>
        </is>
      </c>
      <c r="H3183" s="44" t="n">
        <v>0.002002314814814815</v>
      </c>
      <c r="I3183" s="45" t="n">
        <v>24431</v>
      </c>
      <c r="J3183" s="45" t="n">
        <v>477</v>
      </c>
      <c r="K3183" s="45" t="n">
        <v>333</v>
      </c>
      <c r="L3183" s="46" t="n"/>
      <c r="M3183" s="47" t="n"/>
      <c r="N3183" s="47" t="inlineStr">
        <is>
          <t>UCKZo4N0lVPccBkSiuyVh4yg</t>
        </is>
      </c>
      <c r="O3183" s="48" t="n">
        <v>41201.99861111111</v>
      </c>
      <c r="P3183" s="49" t="n">
        <v>41201</v>
      </c>
      <c r="Q3183" s="47" t="n">
        <v>85</v>
      </c>
      <c r="R3183" s="47" t="inlineStr">
        <is>
          <t>No Video ID yet</t>
        </is>
      </c>
      <c r="S3183" s="49" t="n"/>
      <c r="T3183" s="49" t="n"/>
      <c r="U3183" s="47" t="inlineStr">
        <is>
          <t>Jonathan answers your questions! What Hogwarts house are you in!? TWITTER: @jonkerlin and @SCB_Ben =D</t>
        </is>
      </c>
      <c r="V3183" s="47">
        <f>IF(AND(P3183&gt;=Calendar!$K$2,P3183&lt;EDATE(Calendar!$K$2,1),OR(Calendar!$K$4="*",N3183=Calendar!$K$4)),P3183*100+COUNTIFS($P$6:$P$3267,P3183,$Q$6:$Q$3267,"&lt;="&amp;Q3183,$N$6:$N$3267,Calendar!$K$4),"")</f>
        <v/>
      </c>
      <c r="W3183" s="47">
        <f>IF(AND(B3183=Queue!$C$4,OR(Queue!$K$4="*",N3183=Queue!$K$4)),Q3183,"")</f>
        <v/>
      </c>
    </row>
    <row r="3184">
      <c r="A3184" s="38">
        <f>IF(M3184="","",HYPERLINK("https://www.youtube.com/watch?v="&amp;M3184,"▶"))</f>
        <v/>
      </c>
      <c r="B3184" s="39">
        <f>IF(C3184&lt;&gt;"",C3184,IF(P3184&lt;=IFERROR(INDEX(tblChannels[Watched Through],MATCH(N3184,tblChannels[Channel ID],0)),0),"Watched","Unwatched"))</f>
        <v/>
      </c>
      <c r="C3184" s="40" t="n"/>
      <c r="D3184" s="41" t="n"/>
      <c r="E3184" s="42" t="n">
        <v>41200.92986111111</v>
      </c>
      <c r="F3184" s="50" t="inlineStr">
        <is>
          <t>Super Carlin Brothers</t>
        </is>
      </c>
      <c r="G3184" t="inlineStr">
        <is>
          <t>Has Apple Still Got it?</t>
        </is>
      </c>
      <c r="H3184" s="44" t="n">
        <v>0.002361111111111111</v>
      </c>
      <c r="I3184" s="45" t="n">
        <v>13414</v>
      </c>
      <c r="J3184" s="45" t="n">
        <v>289</v>
      </c>
      <c r="K3184" s="45" t="n">
        <v>49</v>
      </c>
      <c r="L3184" s="46" t="n"/>
      <c r="M3184" s="47" t="n"/>
      <c r="N3184" s="47" t="inlineStr">
        <is>
          <t>UCKZo4N0lVPccBkSiuyVh4yg</t>
        </is>
      </c>
      <c r="O3184" s="48" t="n">
        <v>41201.09652777778</v>
      </c>
      <c r="P3184" s="49" t="n">
        <v>41200</v>
      </c>
      <c r="Q3184" s="47" t="n">
        <v>84</v>
      </c>
      <c r="R3184" s="47" t="inlineStr">
        <is>
          <t>No Video ID yet</t>
        </is>
      </c>
      <c r="S3184" s="49" t="n"/>
      <c r="T3184" s="49" t="n"/>
      <c r="U3184" s="47" t="inlineStr">
        <is>
          <t>Ben questions Apple's ability to maintain it's position at the top of the tech world Also don't forget to ask a question for tomorrows Ask J! And we tweet, and stuff. @SCB_Ben and @Jonkerlin =D</t>
        </is>
      </c>
      <c r="V3184" s="47">
        <f>IF(AND(P3184&gt;=Calendar!$K$2,P3184&lt;EDATE(Calendar!$K$2,1),OR(Calendar!$K$4="*",N3184=Calendar!$K$4)),P3184*100+COUNTIFS($P$6:$P$3267,P3184,$Q$6:$Q$3267,"&lt;="&amp;Q3184,$N$6:$N$3267,Calendar!$K$4),"")</f>
        <v/>
      </c>
      <c r="W3184" s="47">
        <f>IF(AND(B3184=Queue!$C$4,OR(Queue!$K$4="*",N3184=Queue!$K$4)),Q3184,"")</f>
        <v/>
      </c>
    </row>
    <row r="3185">
      <c r="A3185" s="38">
        <f>IF(M3185="","",HYPERLINK("https://www.youtube.com/watch?v="&amp;M3185,"▶"))</f>
        <v/>
      </c>
      <c r="B3185" s="39">
        <f>IF(C3185&lt;&gt;"",C3185,IF(P3185&lt;=IFERROR(INDEX(tblChannels[Watched Through],MATCH(N3185,tblChannels[Channel ID],0)),0),"Watched","Unwatched"))</f>
        <v/>
      </c>
      <c r="C3185" s="40" t="n"/>
      <c r="D3185" s="41" t="n"/>
      <c r="E3185" s="42" t="n">
        <v>41200.00208333333</v>
      </c>
      <c r="F3185" s="50" t="inlineStr">
        <is>
          <t>Super Carlin Brothers</t>
        </is>
      </c>
      <c r="G3185" t="inlineStr">
        <is>
          <t>How To Carve Your Face on a Pumpkin!</t>
        </is>
      </c>
      <c r="H3185" s="44" t="n">
        <v>0.002858796296296296</v>
      </c>
      <c r="I3185" s="45" t="n">
        <v>52563</v>
      </c>
      <c r="J3185" s="45" t="n">
        <v>852</v>
      </c>
      <c r="K3185" s="45" t="n">
        <v>54</v>
      </c>
      <c r="L3185" s="46" t="n"/>
      <c r="M3185" s="47" t="n"/>
      <c r="N3185" s="47" t="inlineStr">
        <is>
          <t>UCKZo4N0lVPccBkSiuyVh4yg</t>
        </is>
      </c>
      <c r="O3185" s="48" t="n">
        <v>41200.16875</v>
      </c>
      <c r="P3185" s="49" t="n">
        <v>41200</v>
      </c>
      <c r="Q3185" s="47" t="n">
        <v>83</v>
      </c>
      <c r="R3185" s="47" t="inlineStr">
        <is>
          <t>No Video ID yet</t>
        </is>
      </c>
      <c r="S3185" s="49" t="n"/>
      <c r="T3185" s="49" t="n"/>
      <c r="U3185" s="47" t="inlineStr">
        <is>
          <t>Jonathan shows you how to carve your face on a pumpkin! Upload a pic of your pumpkin to our Facebook page! TWITTER: @Jonkerlin and @SCB_Ben =D</t>
        </is>
      </c>
      <c r="V3185" s="47">
        <f>IF(AND(P3185&gt;=Calendar!$K$2,P3185&lt;EDATE(Calendar!$K$2,1),OR(Calendar!$K$4="*",N3185=Calendar!$K$4)),P3185*100+COUNTIFS($P$6:$P$3267,P3185,$Q$6:$Q$3267,"&lt;="&amp;Q3185,$N$6:$N$3267,Calendar!$K$4),"")</f>
        <v/>
      </c>
      <c r="W3185" s="47">
        <f>IF(AND(B3185=Queue!$C$4,OR(Queue!$K$4="*",N3185=Queue!$K$4)),Q3185,"")</f>
        <v/>
      </c>
    </row>
    <row r="3186">
      <c r="A3186" s="38">
        <f>IF(M3186="","",HYPERLINK("https://www.youtube.com/watch?v="&amp;M3186,"▶"))</f>
        <v/>
      </c>
      <c r="B3186" s="39">
        <f>IF(C3186&lt;&gt;"",C3186,IF(P3186&lt;=IFERROR(INDEX(tblChannels[Watched Through],MATCH(N3186,tblChannels[Channel ID],0)),0),"Watched","Unwatched"))</f>
        <v/>
      </c>
      <c r="C3186" s="40" t="n"/>
      <c r="D3186" s="41" t="n"/>
      <c r="E3186" s="42" t="n">
        <v>41198.95555555556</v>
      </c>
      <c r="F3186" s="50" t="inlineStr">
        <is>
          <t>Super Carlin Brothers</t>
        </is>
      </c>
      <c r="G3186" t="inlineStr">
        <is>
          <t>How to Google Autofill</t>
        </is>
      </c>
      <c r="H3186" s="44" t="n">
        <v>0.003935185185185185</v>
      </c>
      <c r="I3186" s="45" t="n">
        <v>58135</v>
      </c>
      <c r="J3186" s="45" t="n">
        <v>979</v>
      </c>
      <c r="K3186" s="45" t="n">
        <v>154</v>
      </c>
      <c r="L3186" s="46" t="n"/>
      <c r="M3186" s="47" t="n"/>
      <c r="N3186" s="47" t="inlineStr">
        <is>
          <t>UCKZo4N0lVPccBkSiuyVh4yg</t>
        </is>
      </c>
      <c r="O3186" s="48" t="n">
        <v>41199.12222222222</v>
      </c>
      <c r="P3186" s="49" t="n">
        <v>41198</v>
      </c>
      <c r="Q3186" s="47" t="n">
        <v>82</v>
      </c>
      <c r="R3186" s="47" t="inlineStr">
        <is>
          <t>No Video ID yet</t>
        </is>
      </c>
      <c r="S3186" s="49" t="n"/>
      <c r="T3186" s="49" t="n"/>
      <c r="U3186" s="47" t="inlineStr">
        <is>
          <t>Ben's youtube passion stems from "How To" and instructional videos. In this video he talks about 26 frequently asked how to questions! Twitter: @SCB_Ben and @Jonkerlin =D</t>
        </is>
      </c>
      <c r="V3186" s="47">
        <f>IF(AND(P3186&gt;=Calendar!$K$2,P3186&lt;EDATE(Calendar!$K$2,1),OR(Calendar!$K$4="*",N3186=Calendar!$K$4)),P3186*100+COUNTIFS($P$6:$P$3267,P3186,$Q$6:$Q$3267,"&lt;="&amp;Q3186,$N$6:$N$3267,Calendar!$K$4),"")</f>
        <v/>
      </c>
      <c r="W3186" s="47">
        <f>IF(AND(B3186=Queue!$C$4,OR(Queue!$K$4="*",N3186=Queue!$K$4)),Q3186,"")</f>
        <v/>
      </c>
    </row>
    <row r="3187">
      <c r="A3187" s="38">
        <f>IF(M3187="","",HYPERLINK("https://www.youtube.com/watch?v="&amp;M3187,"▶"))</f>
        <v/>
      </c>
      <c r="B3187" s="39">
        <f>IF(C3187&lt;&gt;"",C3187,IF(P3187&lt;=IFERROR(INDEX(tblChannels[Watched Through],MATCH(N3187,tblChannels[Channel ID],0)),0),"Watched","Unwatched"))</f>
        <v/>
      </c>
      <c r="C3187" s="40" t="n"/>
      <c r="D3187" s="41" t="n"/>
      <c r="E3187" s="42" t="n">
        <v>41197.91944444444</v>
      </c>
      <c r="F3187" s="50" t="inlineStr">
        <is>
          <t>Super Carlin Brothers</t>
        </is>
      </c>
      <c r="G3187" t="inlineStr">
        <is>
          <t>I LOVE PUMPKINS!!!</t>
        </is>
      </c>
      <c r="H3187" s="44" t="n">
        <v>0.002430555555555556</v>
      </c>
      <c r="I3187" s="45" t="n">
        <v>23994</v>
      </c>
      <c r="J3187" s="45" t="n">
        <v>511</v>
      </c>
      <c r="K3187" s="45" t="n">
        <v>150</v>
      </c>
      <c r="L3187" s="46" t="n"/>
      <c r="M3187" s="47" t="n"/>
      <c r="N3187" s="47" t="inlineStr">
        <is>
          <t>UCKZo4N0lVPccBkSiuyVh4yg</t>
        </is>
      </c>
      <c r="O3187" s="48" t="n">
        <v>41198.08611111111</v>
      </c>
      <c r="P3187" s="49" t="n">
        <v>41197</v>
      </c>
      <c r="Q3187" s="47" t="n">
        <v>81</v>
      </c>
      <c r="R3187" s="47" t="inlineStr">
        <is>
          <t>No Video ID yet</t>
        </is>
      </c>
      <c r="S3187" s="49" t="n"/>
      <c r="T3187" s="49" t="n"/>
      <c r="U3187" s="47" t="inlineStr">
        <is>
          <t>Jonathan discusses his love of pumkins! What is your favorite pumpkin food??? FACEBOOK: www.Facebook.com/supercarlinbrothers TWITTER: @jonkerlin and @SCB_Ben =D</t>
        </is>
      </c>
      <c r="V3187" s="47">
        <f>IF(AND(P3187&gt;=Calendar!$K$2,P3187&lt;EDATE(Calendar!$K$2,1),OR(Calendar!$K$4="*",N3187=Calendar!$K$4)),P3187*100+COUNTIFS($P$6:$P$3267,P3187,$Q$6:$Q$3267,"&lt;="&amp;Q3187,$N$6:$N$3267,Calendar!$K$4),"")</f>
        <v/>
      </c>
      <c r="W3187" s="47">
        <f>IF(AND(B3187=Queue!$C$4,OR(Queue!$K$4="*",N3187=Queue!$K$4)),Q3187,"")</f>
        <v/>
      </c>
    </row>
    <row r="3188">
      <c r="A3188" s="38">
        <f>IF(M3188="","",HYPERLINK("https://www.youtube.com/watch?v="&amp;M3188,"▶"))</f>
        <v/>
      </c>
      <c r="B3188" s="39">
        <f>IF(C3188&lt;&gt;"",C3188,IF(P3188&lt;=IFERROR(INDEX(tblChannels[Watched Through],MATCH(N3188,tblChannels[Channel ID],0)),0),"Watched","Unwatched"))</f>
        <v/>
      </c>
      <c r="C3188" s="40" t="n"/>
      <c r="D3188" s="41" t="n"/>
      <c r="E3188" s="42" t="n">
        <v>41194.92152777778</v>
      </c>
      <c r="F3188" s="50" t="inlineStr">
        <is>
          <t>Super Carlin Brothers</t>
        </is>
      </c>
      <c r="G3188" t="inlineStr">
        <is>
          <t>Push the Envelope</t>
        </is>
      </c>
      <c r="H3188" s="44" t="n">
        <v>0.00212962962962963</v>
      </c>
      <c r="I3188" s="45" t="n">
        <v>13783</v>
      </c>
      <c r="J3188" s="45" t="n">
        <v>319</v>
      </c>
      <c r="K3188" s="45" t="n">
        <v>32</v>
      </c>
      <c r="L3188" s="46" t="n"/>
      <c r="M3188" s="47" t="n"/>
      <c r="N3188" s="47" t="inlineStr">
        <is>
          <t>UCKZo4N0lVPccBkSiuyVh4yg</t>
        </is>
      </c>
      <c r="O3188" s="48" t="n">
        <v>41195.08819444444</v>
      </c>
      <c r="P3188" s="49" t="n">
        <v>41194</v>
      </c>
      <c r="Q3188" s="47" t="n">
        <v>80</v>
      </c>
      <c r="R3188" s="47" t="inlineStr">
        <is>
          <t>No Video ID yet</t>
        </is>
      </c>
      <c r="S3188" s="49" t="n"/>
      <c r="T3188" s="49" t="n"/>
      <c r="U3188" s="47" t="inlineStr">
        <is>
          <t>Watch it live on Sunday! We tweet things: @SCB_Ben and @Jonkerlin =D</t>
        </is>
      </c>
      <c r="V3188" s="47">
        <f>IF(AND(P3188&gt;=Calendar!$K$2,P3188&lt;EDATE(Calendar!$K$2,1),OR(Calendar!$K$4="*",N3188=Calendar!$K$4)),P3188*100+COUNTIFS($P$6:$P$3267,P3188,$Q$6:$Q$3267,"&lt;="&amp;Q3188,$N$6:$N$3267,Calendar!$K$4),"")</f>
        <v/>
      </c>
      <c r="W3188" s="47">
        <f>IF(AND(B3188=Queue!$C$4,OR(Queue!$K$4="*",N3188=Queue!$K$4)),Q3188,"")</f>
        <v/>
      </c>
    </row>
    <row r="3189">
      <c r="A3189" s="38">
        <f>IF(M3189="","",HYPERLINK("https://www.youtube.com/watch?v="&amp;M3189,"▶"))</f>
        <v/>
      </c>
      <c r="B3189" s="39">
        <f>IF(C3189&lt;&gt;"",C3189,IF(P3189&lt;=IFERROR(INDEX(tblChannels[Watched Through],MATCH(N3189,tblChannels[Channel ID],0)),0),"Watched","Unwatched"))</f>
        <v/>
      </c>
      <c r="C3189" s="40" t="n"/>
      <c r="D3189" s="41" t="n"/>
      <c r="E3189" s="42" t="n">
        <v>41193.93680555555</v>
      </c>
      <c r="F3189" s="50" t="inlineStr">
        <is>
          <t>Super Carlin Brothers</t>
        </is>
      </c>
      <c r="G3189" t="inlineStr">
        <is>
          <t>The Boy Who Cried Wolf</t>
        </is>
      </c>
      <c r="H3189" s="44" t="n">
        <v>0.002268518518518519</v>
      </c>
      <c r="I3189" s="45" t="n">
        <v>52891</v>
      </c>
      <c r="J3189" s="45" t="n">
        <v>1051</v>
      </c>
      <c r="K3189" s="45" t="n">
        <v>183</v>
      </c>
      <c r="L3189" s="46" t="n"/>
      <c r="M3189" s="47" t="n"/>
      <c r="N3189" s="47" t="inlineStr">
        <is>
          <t>UCKZo4N0lVPccBkSiuyVh4yg</t>
        </is>
      </c>
      <c r="O3189" s="48" t="n">
        <v>41194.10347222222</v>
      </c>
      <c r="P3189" s="49" t="n">
        <v>41193</v>
      </c>
      <c r="Q3189" s="47" t="n">
        <v>79</v>
      </c>
      <c r="R3189" s="47" t="inlineStr">
        <is>
          <t>No Video ID yet</t>
        </is>
      </c>
      <c r="S3189" s="49" t="n"/>
      <c r="T3189" s="49" t="n"/>
      <c r="U3189" s="47" t="inlineStr">
        <is>
          <t>Who was in the wrong the boy or the town? Send Ben an outro here: supercarlinbrothers@gmail.com TWITTER: @jonkerlin and @SCB_Ben =D</t>
        </is>
      </c>
      <c r="V3189" s="47">
        <f>IF(AND(P3189&gt;=Calendar!$K$2,P3189&lt;EDATE(Calendar!$K$2,1),OR(Calendar!$K$4="*",N3189=Calendar!$K$4)),P3189*100+COUNTIFS($P$6:$P$3267,P3189,$Q$6:$Q$3267,"&lt;="&amp;Q3189,$N$6:$N$3267,Calendar!$K$4),"")</f>
        <v/>
      </c>
      <c r="W3189" s="47">
        <f>IF(AND(B3189=Queue!$C$4,OR(Queue!$K$4="*",N3189=Queue!$K$4)),Q3189,"")</f>
        <v/>
      </c>
    </row>
    <row r="3190">
      <c r="A3190" s="38">
        <f>IF(M3190="","",HYPERLINK("https://www.youtube.com/watch?v="&amp;M3190,"▶"))</f>
        <v/>
      </c>
      <c r="B3190" s="39">
        <f>IF(C3190&lt;&gt;"",C3190,IF(P3190&lt;=IFERROR(INDEX(tblChannels[Watched Through],MATCH(N3190,tblChannels[Channel ID],0)),0),"Watched","Unwatched"))</f>
        <v/>
      </c>
      <c r="C3190" s="40" t="n"/>
      <c r="D3190" s="41" t="n"/>
      <c r="E3190" s="42" t="n">
        <v>41192.77152777778</v>
      </c>
      <c r="F3190" s="50" t="inlineStr">
        <is>
          <t>Super Carlin Brothers</t>
        </is>
      </c>
      <c r="G3190" t="inlineStr">
        <is>
          <t>Emergency Room Stories</t>
        </is>
      </c>
      <c r="H3190" s="44" t="n">
        <v>0.001793981481481481</v>
      </c>
      <c r="I3190" s="45" t="n">
        <v>19572</v>
      </c>
      <c r="J3190" s="45" t="n">
        <v>411</v>
      </c>
      <c r="K3190" s="45" t="n">
        <v>193</v>
      </c>
      <c r="L3190" s="46" t="n"/>
      <c r="M3190" s="47" t="n"/>
      <c r="N3190" s="47" t="inlineStr">
        <is>
          <t>UCKZo4N0lVPccBkSiuyVh4yg</t>
        </is>
      </c>
      <c r="O3190" s="48" t="n">
        <v>41192.93819444445</v>
      </c>
      <c r="P3190" s="49" t="n">
        <v>41192</v>
      </c>
      <c r="Q3190" s="47" t="n">
        <v>78</v>
      </c>
      <c r="R3190" s="47" t="inlineStr">
        <is>
          <t>No Video ID yet</t>
        </is>
      </c>
      <c r="S3190" s="49" t="n"/>
      <c r="T3190" s="49" t="n"/>
      <c r="U3190" s="47" t="inlineStr">
        <is>
          <t>I NEED OUTROS! I enjoy video making so much I just can't bring myself to close one out on my own. If you'd like to be my next outro just submit yourself saying something like "You've just watched supercarlinbrothers!" and I will put it at the end of one of my videos! We Tweet and stuff... @SCB_Ben and @Jonkerlin =D</t>
        </is>
      </c>
      <c r="V3190" s="47">
        <f>IF(AND(P3190&gt;=Calendar!$K$2,P3190&lt;EDATE(Calendar!$K$2,1),OR(Calendar!$K$4="*",N3190=Calendar!$K$4)),P3190*100+COUNTIFS($P$6:$P$3267,P3190,$Q$6:$Q$3267,"&lt;="&amp;Q3190,$N$6:$N$3267,Calendar!$K$4),"")</f>
        <v/>
      </c>
      <c r="W3190" s="47">
        <f>IF(AND(B3190=Queue!$C$4,OR(Queue!$K$4="*",N3190=Queue!$K$4)),Q3190,"")</f>
        <v/>
      </c>
    </row>
    <row r="3191">
      <c r="A3191" s="38">
        <f>IF(M3191="","",HYPERLINK("https://www.youtube.com/watch?v="&amp;M3191,"▶"))</f>
        <v/>
      </c>
      <c r="B3191" s="39">
        <f>IF(C3191&lt;&gt;"",C3191,IF(P3191&lt;=IFERROR(INDEX(tblChannels[Watched Through],MATCH(N3191,tblChannels[Channel ID],0)),0),"Watched","Unwatched"))</f>
        <v/>
      </c>
      <c r="C3191" s="40" t="n"/>
      <c r="D3191" s="41" t="n"/>
      <c r="E3191" s="42" t="n">
        <v>41191.86805555555</v>
      </c>
      <c r="F3191" s="50" t="inlineStr">
        <is>
          <t>Super Carlin Brothers</t>
        </is>
      </c>
      <c r="G3191" t="inlineStr">
        <is>
          <t>Phone ADD</t>
        </is>
      </c>
      <c r="H3191" s="44" t="n">
        <v>0.0015625</v>
      </c>
      <c r="I3191" s="45" t="n">
        <v>21325</v>
      </c>
      <c r="J3191" s="45" t="n">
        <v>505</v>
      </c>
      <c r="K3191" s="45" t="n">
        <v>155</v>
      </c>
      <c r="L3191" s="46" t="n"/>
      <c r="M3191" s="47" t="n"/>
      <c r="N3191" s="47" t="inlineStr">
        <is>
          <t>UCKZo4N0lVPccBkSiuyVh4yg</t>
        </is>
      </c>
      <c r="O3191" s="48" t="n">
        <v>41192.03472222222</v>
      </c>
      <c r="P3191" s="49" t="n">
        <v>41191</v>
      </c>
      <c r="Q3191" s="47" t="n">
        <v>77</v>
      </c>
      <c r="R3191" s="47" t="inlineStr">
        <is>
          <t>No Video ID yet</t>
        </is>
      </c>
      <c r="S3191" s="49" t="n"/>
      <c r="T3191" s="49" t="n"/>
      <c r="U3191" s="47" t="inlineStr">
        <is>
          <t>Jonathan tries to tell you about how he gets distracted when using his phone but keeps gett.. What is your favorite app? CANT SAY Facebook, Twitter, or Instagram! TWITTER: @jonkerlin and @SCB_Ben =D</t>
        </is>
      </c>
      <c r="V3191" s="47">
        <f>IF(AND(P3191&gt;=Calendar!$K$2,P3191&lt;EDATE(Calendar!$K$2,1),OR(Calendar!$K$4="*",N3191=Calendar!$K$4)),P3191*100+COUNTIFS($P$6:$P$3267,P3191,$Q$6:$Q$3267,"&lt;="&amp;Q3191,$N$6:$N$3267,Calendar!$K$4),"")</f>
        <v/>
      </c>
      <c r="W3191" s="47">
        <f>IF(AND(B3191=Queue!$C$4,OR(Queue!$K$4="*",N3191=Queue!$K$4)),Q3191,"")</f>
        <v/>
      </c>
    </row>
    <row r="3192">
      <c r="A3192" s="38">
        <f>IF(M3192="","",HYPERLINK("https://www.youtube.com/watch?v="&amp;M3192,"▶"))</f>
        <v/>
      </c>
      <c r="B3192" s="39">
        <f>IF(C3192&lt;&gt;"",C3192,IF(P3192&lt;=IFERROR(INDEX(tblChannels[Watched Through],MATCH(N3192,tblChannels[Channel ID],0)),0),"Watched","Unwatched"))</f>
        <v/>
      </c>
      <c r="C3192" s="40" t="n"/>
      <c r="D3192" s="41" t="n"/>
      <c r="E3192" s="42" t="n">
        <v>41190.82638888889</v>
      </c>
      <c r="F3192" s="50" t="inlineStr">
        <is>
          <t>Super Carlin Brothers</t>
        </is>
      </c>
      <c r="G3192" t="inlineStr">
        <is>
          <t>Controversial Columbus Day</t>
        </is>
      </c>
      <c r="H3192" s="44" t="n">
        <v>0.001875</v>
      </c>
      <c r="I3192" s="45" t="n">
        <v>13766</v>
      </c>
      <c r="J3192" s="45" t="n">
        <v>277</v>
      </c>
      <c r="K3192" s="45" t="n">
        <v>72</v>
      </c>
      <c r="L3192" s="46" t="n"/>
      <c r="M3192" s="47" t="n"/>
      <c r="N3192" s="47" t="inlineStr">
        <is>
          <t>UCKZo4N0lVPccBkSiuyVh4yg</t>
        </is>
      </c>
      <c r="O3192" s="48" t="n">
        <v>41190.99305555555</v>
      </c>
      <c r="P3192" s="49" t="n">
        <v>41190</v>
      </c>
      <c r="Q3192" s="47" t="n">
        <v>76</v>
      </c>
      <c r="R3192" s="47" t="inlineStr">
        <is>
          <t>No Video ID yet</t>
        </is>
      </c>
      <c r="S3192" s="49" t="n"/>
      <c r="T3192" s="49" t="n"/>
      <c r="U3192" s="47" t="inlineStr">
        <is>
          <t>Ben talks about the controversy surrounding Columbus Day IF YOU WOULD LIKE TO BE MY NEXT OUTRO KINDLY EMAIL IT TO: SuperCarlinBrothers@gmail.com Follow us on Twitter: @SCB_Ben and @Jonkerlin =D</t>
        </is>
      </c>
      <c r="V3192" s="47">
        <f>IF(AND(P3192&gt;=Calendar!$K$2,P3192&lt;EDATE(Calendar!$K$2,1),OR(Calendar!$K$4="*",N3192=Calendar!$K$4)),P3192*100+COUNTIFS($P$6:$P$3267,P3192,$Q$6:$Q$3267,"&lt;="&amp;Q3192,$N$6:$N$3267,Calendar!$K$4),"")</f>
        <v/>
      </c>
      <c r="W3192" s="47">
        <f>IF(AND(B3192=Queue!$C$4,OR(Queue!$K$4="*",N3192=Queue!$K$4)),Q3192,"")</f>
        <v/>
      </c>
    </row>
    <row r="3193">
      <c r="A3193" s="38">
        <f>IF(M3193="","",HYPERLINK("https://www.youtube.com/watch?v="&amp;M3193,"▶"))</f>
        <v/>
      </c>
      <c r="B3193" s="39">
        <f>IF(C3193&lt;&gt;"",C3193,IF(P3193&lt;=IFERROR(INDEX(tblChannels[Watched Through],MATCH(N3193,tblChannels[Channel ID],0)),0),"Watched","Unwatched"))</f>
        <v/>
      </c>
      <c r="C3193" s="40" t="n"/>
      <c r="D3193" s="41" t="n"/>
      <c r="E3193" s="42" t="n">
        <v>41187.93125</v>
      </c>
      <c r="F3193" s="50" t="inlineStr">
        <is>
          <t>Super Carlin Brothers</t>
        </is>
      </c>
      <c r="G3193" t="inlineStr">
        <is>
          <t>Nerimon's YouTube Survey 2012!</t>
        </is>
      </c>
      <c r="H3193" s="44" t="n">
        <v>0.002685185185185185</v>
      </c>
      <c r="I3193" s="45" t="n">
        <v>15732</v>
      </c>
      <c r="J3193" s="45" t="n">
        <v>383</v>
      </c>
      <c r="K3193" s="45" t="n">
        <v>67</v>
      </c>
      <c r="L3193" s="46" t="n"/>
      <c r="M3193" s="47" t="n"/>
      <c r="N3193" s="47" t="inlineStr">
        <is>
          <t>UCKZo4N0lVPccBkSiuyVh4yg</t>
        </is>
      </c>
      <c r="O3193" s="48" t="n">
        <v>41188.09791666667</v>
      </c>
      <c r="P3193" s="49" t="n">
        <v>41187</v>
      </c>
      <c r="Q3193" s="47" t="n">
        <v>75</v>
      </c>
      <c r="R3193" s="47" t="inlineStr">
        <is>
          <t>No Video ID yet</t>
        </is>
      </c>
      <c r="S3193" s="49" t="n"/>
      <c r="T3193" s="49" t="n"/>
      <c r="U3193" s="47" t="inlineStr">
        <is>
          <t>J answers the Nerimon Survey questions! 1. Why are you called that? 2. Who is your favorite school teacher? 3. What is the strangest food you have ever eaten? 4. What was your first gig? 5. Where is your favorite place in the world 6. Who do you want to do the survey next? Facebook: www.facebook.com/supercarlinbrothers Twitter: @jonkerlin and @SCB_Ben =D</t>
        </is>
      </c>
      <c r="V3193" s="47">
        <f>IF(AND(P3193&gt;=Calendar!$K$2,P3193&lt;EDATE(Calendar!$K$2,1),OR(Calendar!$K$4="*",N3193=Calendar!$K$4)),P3193*100+COUNTIFS($P$6:$P$3267,P3193,$Q$6:$Q$3267,"&lt;="&amp;Q3193,$N$6:$N$3267,Calendar!$K$4),"")</f>
        <v/>
      </c>
      <c r="W3193" s="47">
        <f>IF(AND(B3193=Queue!$C$4,OR(Queue!$K$4="*",N3193=Queue!$K$4)),Q3193,"")</f>
        <v/>
      </c>
    </row>
    <row r="3194">
      <c r="A3194" s="38">
        <f>IF(M3194="","",HYPERLINK("https://www.youtube.com/watch?v="&amp;M3194,"▶"))</f>
        <v/>
      </c>
      <c r="B3194" s="39">
        <f>IF(C3194&lt;&gt;"",C3194,IF(P3194&lt;=IFERROR(INDEX(tblChannels[Watched Through],MATCH(N3194,tblChannels[Channel ID],0)),0),"Watched","Unwatched"))</f>
        <v/>
      </c>
      <c r="C3194" s="40" t="n"/>
      <c r="D3194" s="41" t="n"/>
      <c r="E3194" s="42" t="n">
        <v>41186.9375</v>
      </c>
      <c r="F3194" s="50" t="inlineStr">
        <is>
          <t>Super Carlin Brothers</t>
        </is>
      </c>
      <c r="G3194" t="inlineStr">
        <is>
          <t>Be a Hobbyist</t>
        </is>
      </c>
      <c r="H3194" s="44" t="n">
        <v>0.002638888888888889</v>
      </c>
      <c r="I3194" s="45" t="n">
        <v>14672</v>
      </c>
      <c r="J3194" s="45" t="n">
        <v>339</v>
      </c>
      <c r="K3194" s="45" t="n">
        <v>54</v>
      </c>
      <c r="L3194" s="46" t="n"/>
      <c r="M3194" s="47" t="n"/>
      <c r="N3194" s="47" t="inlineStr">
        <is>
          <t>UCKZo4N0lVPccBkSiuyVh4yg</t>
        </is>
      </c>
      <c r="O3194" s="48" t="n">
        <v>41187.10416666666</v>
      </c>
      <c r="P3194" s="49" t="n">
        <v>41186</v>
      </c>
      <c r="Q3194" s="47" t="n">
        <v>74</v>
      </c>
      <c r="R3194" s="47" t="inlineStr">
        <is>
          <t>No Video ID yet</t>
        </is>
      </c>
      <c r="S3194" s="49" t="n"/>
      <c r="T3194" s="49" t="n"/>
      <c r="U3194" s="47" t="inlineStr">
        <is>
          <t>Ben responds to J's rant about tipping and talks about the importance of having a hobby. Twitter: @SCB_Ben and @Jonkerlin =D</t>
        </is>
      </c>
      <c r="V3194" s="47">
        <f>IF(AND(P3194&gt;=Calendar!$K$2,P3194&lt;EDATE(Calendar!$K$2,1),OR(Calendar!$K$4="*",N3194=Calendar!$K$4)),P3194*100+COUNTIFS($P$6:$P$3267,P3194,$Q$6:$Q$3267,"&lt;="&amp;Q3194,$N$6:$N$3267,Calendar!$K$4),"")</f>
        <v/>
      </c>
      <c r="W3194" s="47">
        <f>IF(AND(B3194=Queue!$C$4,OR(Queue!$K$4="*",N3194=Queue!$K$4)),Q3194,"")</f>
        <v/>
      </c>
    </row>
    <row r="3195">
      <c r="A3195" s="38">
        <f>IF(M3195="","",HYPERLINK("https://www.youtube.com/watch?v="&amp;M3195,"▶"))</f>
        <v/>
      </c>
      <c r="B3195" s="39">
        <f>IF(C3195&lt;&gt;"",C3195,IF(P3195&lt;=IFERROR(INDEX(tblChannels[Watched Through],MATCH(N3195,tblChannels[Channel ID],0)),0),"Watched","Unwatched"))</f>
        <v/>
      </c>
      <c r="C3195" s="40" t="n"/>
      <c r="D3195" s="41" t="n"/>
      <c r="E3195" s="42" t="n">
        <v>41185.91041666667</v>
      </c>
      <c r="F3195" s="50" t="inlineStr">
        <is>
          <t>Super Carlin Brothers</t>
        </is>
      </c>
      <c r="G3195" t="inlineStr">
        <is>
          <t>Tipping Tips</t>
        </is>
      </c>
      <c r="H3195" s="44" t="n">
        <v>0.002743055555555555</v>
      </c>
      <c r="I3195" s="45" t="n">
        <v>28060</v>
      </c>
      <c r="J3195" s="45" t="n">
        <v>639</v>
      </c>
      <c r="K3195" s="45" t="n">
        <v>170</v>
      </c>
      <c r="L3195" s="46" t="n"/>
      <c r="M3195" s="47" t="n"/>
      <c r="N3195" s="47" t="inlineStr">
        <is>
          <t>UCKZo4N0lVPccBkSiuyVh4yg</t>
        </is>
      </c>
      <c r="O3195" s="48" t="n">
        <v>41186.07708333333</v>
      </c>
      <c r="P3195" s="49" t="n">
        <v>41185</v>
      </c>
      <c r="Q3195" s="47" t="n">
        <v>73</v>
      </c>
      <c r="R3195" s="47" t="inlineStr">
        <is>
          <t>No Video ID yet</t>
        </is>
      </c>
      <c r="S3195" s="49" t="n"/>
      <c r="T3195" s="49" t="n"/>
      <c r="U3195" s="47" t="inlineStr">
        <is>
          <t>Jonathan talks about his distaste for how tipping works and makes up 2 new days of the week! Happy Wednesdeuce! How do you determine tips and how do you think they should be determined? TWITTER:: @jonkerlin and @SCB_Ben =D</t>
        </is>
      </c>
      <c r="V3195" s="47">
        <f>IF(AND(P3195&gt;=Calendar!$K$2,P3195&lt;EDATE(Calendar!$K$2,1),OR(Calendar!$K$4="*",N3195=Calendar!$K$4)),P3195*100+COUNTIFS($P$6:$P$3267,P3195,$Q$6:$Q$3267,"&lt;="&amp;Q3195,$N$6:$N$3267,Calendar!$K$4),"")</f>
        <v/>
      </c>
      <c r="W3195" s="47">
        <f>IF(AND(B3195=Queue!$C$4,OR(Queue!$K$4="*",N3195=Queue!$K$4)),Q3195,"")</f>
        <v/>
      </c>
    </row>
    <row r="3196">
      <c r="A3196" s="38">
        <f>IF(M3196="","",HYPERLINK("https://www.youtube.com/watch?v="&amp;M3196,"▶"))</f>
        <v/>
      </c>
      <c r="B3196" s="39">
        <f>IF(C3196&lt;&gt;"",C3196,IF(P3196&lt;=IFERROR(INDEX(tblChannels[Watched Through],MATCH(N3196,tblChannels[Channel ID],0)),0),"Watched","Unwatched"))</f>
        <v/>
      </c>
      <c r="C3196" s="40" t="n"/>
      <c r="D3196" s="41" t="n"/>
      <c r="E3196" s="42" t="n">
        <v>41184.94097222222</v>
      </c>
      <c r="F3196" s="50" t="inlineStr">
        <is>
          <t>Super Carlin Brothers</t>
        </is>
      </c>
      <c r="G3196" t="inlineStr">
        <is>
          <t>Tuesdays Suck</t>
        </is>
      </c>
      <c r="H3196" s="44" t="n">
        <v>0.001759259259259259</v>
      </c>
      <c r="I3196" s="45" t="n">
        <v>15563</v>
      </c>
      <c r="J3196" s="45" t="n">
        <v>389</v>
      </c>
      <c r="K3196" s="45" t="n">
        <v>92</v>
      </c>
      <c r="L3196" s="46" t="n"/>
      <c r="M3196" s="47" t="n"/>
      <c r="N3196" s="47" t="inlineStr">
        <is>
          <t>UCKZo4N0lVPccBkSiuyVh4yg</t>
        </is>
      </c>
      <c r="O3196" s="48" t="n">
        <v>41185.10763888889</v>
      </c>
      <c r="P3196" s="49" t="n">
        <v>41184</v>
      </c>
      <c r="Q3196" s="47" t="n">
        <v>72</v>
      </c>
      <c r="R3196" s="47" t="inlineStr">
        <is>
          <t>No Video ID yet</t>
        </is>
      </c>
      <c r="S3196" s="49" t="n"/>
      <c r="T3196" s="49" t="n"/>
      <c r="U3196" s="47" t="inlineStr">
        <is>
          <t>I AM ALL OUT OF OUTROS!! If you want to submit yourself saying "You've just watched SuperCarlinBrothers!" or whatever you'd like to close out one of my videos please email them to SuperCarlinBrothers@gmail.com Facebook: www.facebook.com/SuperCarlinBrothers =D</t>
        </is>
      </c>
      <c r="V3196" s="47">
        <f>IF(AND(P3196&gt;=Calendar!$K$2,P3196&lt;EDATE(Calendar!$K$2,1),OR(Calendar!$K$4="*",N3196=Calendar!$K$4)),P3196*100+COUNTIFS($P$6:$P$3267,P3196,$Q$6:$Q$3267,"&lt;="&amp;Q3196,$N$6:$N$3267,Calendar!$K$4),"")</f>
        <v/>
      </c>
      <c r="W3196" s="47">
        <f>IF(AND(B3196=Queue!$C$4,OR(Queue!$K$4="*",N3196=Queue!$K$4)),Q3196,"")</f>
        <v/>
      </c>
    </row>
    <row r="3197">
      <c r="A3197" s="38">
        <f>IF(M3197="","",HYPERLINK("https://www.youtube.com/watch?v="&amp;M3197,"▶"))</f>
        <v/>
      </c>
      <c r="B3197" s="39">
        <f>IF(C3197&lt;&gt;"",C3197,IF(P3197&lt;=IFERROR(INDEX(tblChannels[Watched Through],MATCH(N3197,tblChannels[Channel ID],0)),0),"Watched","Unwatched"))</f>
        <v/>
      </c>
      <c r="C3197" s="40" t="n"/>
      <c r="D3197" s="41" t="n"/>
      <c r="E3197" s="42" t="n">
        <v>41183.93402777778</v>
      </c>
      <c r="F3197" s="50" t="inlineStr">
        <is>
          <t>Super Carlin Brothers</t>
        </is>
      </c>
      <c r="G3197" t="inlineStr">
        <is>
          <t>Why do we yawn?</t>
        </is>
      </c>
      <c r="H3197" s="44" t="n">
        <v>0.001793981481481481</v>
      </c>
      <c r="I3197" s="45" t="n">
        <v>45256</v>
      </c>
      <c r="J3197" s="45" t="n">
        <v>829</v>
      </c>
      <c r="K3197" s="45" t="n">
        <v>703</v>
      </c>
      <c r="L3197" s="46" t="n"/>
      <c r="M3197" s="47" t="n"/>
      <c r="N3197" s="47" t="inlineStr">
        <is>
          <t>UCKZo4N0lVPccBkSiuyVh4yg</t>
        </is>
      </c>
      <c r="O3197" s="48" t="n">
        <v>41184.10069444445</v>
      </c>
      <c r="P3197" s="49" t="n">
        <v>41183</v>
      </c>
      <c r="Q3197" s="47" t="n">
        <v>71</v>
      </c>
      <c r="R3197" s="47" t="inlineStr">
        <is>
          <t>No Video ID yet</t>
        </is>
      </c>
      <c r="S3197" s="49" t="n"/>
      <c r="T3197" s="49" t="n"/>
      <c r="U3197" s="47" t="inlineStr">
        <is>
          <t>Jonathan discusses why we yawn, which we as humans have yet to figure out. Is it rude to yawn in front of others and how many times did you YAWN during the vid YYYYYYAAAAAAWWWWWNNNNNNN TWITTER: @jonkerlin AND @SCB_Ben =D</t>
        </is>
      </c>
      <c r="V3197" s="47">
        <f>IF(AND(P3197&gt;=Calendar!$K$2,P3197&lt;EDATE(Calendar!$K$2,1),OR(Calendar!$K$4="*",N3197=Calendar!$K$4)),P3197*100+COUNTIFS($P$6:$P$3267,P3197,$Q$6:$Q$3267,"&lt;="&amp;Q3197,$N$6:$N$3267,Calendar!$K$4),"")</f>
        <v/>
      </c>
      <c r="W3197" s="47">
        <f>IF(AND(B3197=Queue!$C$4,OR(Queue!$K$4="*",N3197=Queue!$K$4)),Q3197,"")</f>
        <v/>
      </c>
    </row>
    <row r="3198">
      <c r="A3198" s="38">
        <f>IF(M3198="","",HYPERLINK("https://www.youtube.com/watch?v="&amp;M3198,"▶"))</f>
        <v/>
      </c>
      <c r="B3198" s="39">
        <f>IF(C3198&lt;&gt;"",C3198,IF(P3198&lt;=IFERROR(INDEX(tblChannels[Watched Through],MATCH(N3198,tblChannels[Channel ID],0)),0),"Watched","Unwatched"))</f>
        <v/>
      </c>
      <c r="C3198" s="40" t="n"/>
      <c r="D3198" s="41" t="n"/>
      <c r="E3198" s="42" t="n">
        <v>41180.84791666667</v>
      </c>
      <c r="F3198" s="50" t="inlineStr">
        <is>
          <t>Super Carlin Brothers</t>
        </is>
      </c>
      <c r="G3198" t="inlineStr">
        <is>
          <t>Sector Celebrities</t>
        </is>
      </c>
      <c r="H3198" s="44" t="n">
        <v>0.001388888888888889</v>
      </c>
      <c r="I3198" s="45" t="n">
        <v>12674</v>
      </c>
      <c r="J3198" s="45" t="n">
        <v>293</v>
      </c>
      <c r="K3198" s="45" t="n">
        <v>87</v>
      </c>
      <c r="L3198" s="46" t="n"/>
      <c r="M3198" s="47" t="n"/>
      <c r="N3198" s="47" t="inlineStr">
        <is>
          <t>UCKZo4N0lVPccBkSiuyVh4yg</t>
        </is>
      </c>
      <c r="O3198" s="48" t="n">
        <v>41181.01458333333</v>
      </c>
      <c r="P3198" s="49" t="n">
        <v>41180</v>
      </c>
      <c r="Q3198" s="47" t="n">
        <v>70</v>
      </c>
      <c r="R3198" s="47" t="inlineStr">
        <is>
          <t>No Video ID yet</t>
        </is>
      </c>
      <c r="S3198" s="49" t="n"/>
      <c r="T3198" s="49" t="n"/>
      <c r="U3198" s="47" t="inlineStr">
        <is>
          <t>A sector celebrity is a someone who is famous within a certain group or niche. Tell us about your favorite! =D</t>
        </is>
      </c>
      <c r="V3198" s="47">
        <f>IF(AND(P3198&gt;=Calendar!$K$2,P3198&lt;EDATE(Calendar!$K$2,1),OR(Calendar!$K$4="*",N3198=Calendar!$K$4)),P3198*100+COUNTIFS($P$6:$P$3267,P3198,$Q$6:$Q$3267,"&lt;="&amp;Q3198,$N$6:$N$3267,Calendar!$K$4),"")</f>
        <v/>
      </c>
      <c r="W3198" s="47">
        <f>IF(AND(B3198=Queue!$C$4,OR(Queue!$K$4="*",N3198=Queue!$K$4)),Q3198,"")</f>
        <v/>
      </c>
    </row>
    <row r="3199">
      <c r="A3199" s="38">
        <f>IF(M3199="","",HYPERLINK("https://www.youtube.com/watch?v="&amp;M3199,"▶"))</f>
        <v/>
      </c>
      <c r="B3199" s="39">
        <f>IF(C3199&lt;&gt;"",C3199,IF(P3199&lt;=IFERROR(INDEX(tblChannels[Watched Through],MATCH(N3199,tblChannels[Channel ID],0)),0),"Watched","Unwatched"))</f>
        <v/>
      </c>
      <c r="C3199" s="40" t="n"/>
      <c r="D3199" s="41" t="n"/>
      <c r="E3199" s="42" t="n">
        <v>41179.93819444445</v>
      </c>
      <c r="F3199" s="50" t="inlineStr">
        <is>
          <t>Super Carlin Brothers</t>
        </is>
      </c>
      <c r="G3199" t="inlineStr">
        <is>
          <t>Fear of Google Autofill</t>
        </is>
      </c>
      <c r="H3199" s="44" t="n">
        <v>0.002986111111111111</v>
      </c>
      <c r="I3199" s="45" t="n">
        <v>221585</v>
      </c>
      <c r="J3199" s="45" t="n">
        <v>3617</v>
      </c>
      <c r="K3199" s="45" t="n">
        <v>1304</v>
      </c>
      <c r="L3199" s="46" t="n"/>
      <c r="M3199" s="47" t="n"/>
      <c r="N3199" s="47" t="inlineStr">
        <is>
          <t>UCKZo4N0lVPccBkSiuyVh4yg</t>
        </is>
      </c>
      <c r="O3199" s="48" t="n">
        <v>41180.10486111111</v>
      </c>
      <c r="P3199" s="49" t="n">
        <v>41179</v>
      </c>
      <c r="Q3199" s="47" t="n">
        <v>69</v>
      </c>
      <c r="R3199" s="47" t="inlineStr">
        <is>
          <t>No Video ID yet</t>
        </is>
      </c>
      <c r="S3199" s="49" t="n"/>
      <c r="T3199" s="49" t="n"/>
      <c r="U3199" s="47" t="inlineStr">
        <is>
          <t>Jonathan discusses the top fear of results from A-Z on Google's Autofill function What are you afraid of? TWITTER: @jonkerlin AND @SCB_Ben =D</t>
        </is>
      </c>
      <c r="V3199" s="47">
        <f>IF(AND(P3199&gt;=Calendar!$K$2,P3199&lt;EDATE(Calendar!$K$2,1),OR(Calendar!$K$4="*",N3199=Calendar!$K$4)),P3199*100+COUNTIFS($P$6:$P$3267,P3199,$Q$6:$Q$3267,"&lt;="&amp;Q3199,$N$6:$N$3267,Calendar!$K$4),"")</f>
        <v/>
      </c>
      <c r="W3199" s="47">
        <f>IF(AND(B3199=Queue!$C$4,OR(Queue!$K$4="*",N3199=Queue!$K$4)),Q3199,"")</f>
        <v/>
      </c>
    </row>
    <row r="3200">
      <c r="A3200" s="38">
        <f>IF(M3200="","",HYPERLINK("https://www.youtube.com/watch?v="&amp;M3200,"▶"))</f>
        <v/>
      </c>
      <c r="B3200" s="39">
        <f>IF(C3200&lt;&gt;"",C3200,IF(P3200&lt;=IFERROR(INDEX(tblChannels[Watched Through],MATCH(N3200,tblChannels[Channel ID],0)),0),"Watched","Unwatched"))</f>
        <v/>
      </c>
      <c r="C3200" s="40" t="n"/>
      <c r="D3200" s="41" t="n"/>
      <c r="E3200" s="42" t="n">
        <v>41178.97777777778</v>
      </c>
      <c r="F3200" s="50" t="inlineStr">
        <is>
          <t>Super Carlin Brothers</t>
        </is>
      </c>
      <c r="G3200" t="inlineStr">
        <is>
          <t>Uncertainty Avoidance</t>
        </is>
      </c>
      <c r="H3200" s="44" t="n">
        <v>0.001909722222222222</v>
      </c>
      <c r="I3200" s="45" t="n">
        <v>14902</v>
      </c>
      <c r="J3200" s="45" t="n">
        <v>335</v>
      </c>
      <c r="K3200" s="45" t="n">
        <v>32</v>
      </c>
      <c r="L3200" s="46" t="n"/>
      <c r="M3200" s="47" t="n"/>
      <c r="N3200" s="47" t="inlineStr">
        <is>
          <t>UCKZo4N0lVPccBkSiuyVh4yg</t>
        </is>
      </c>
      <c r="O3200" s="48" t="n">
        <v>41179.14444444444</v>
      </c>
      <c r="P3200" s="49" t="n">
        <v>41178</v>
      </c>
      <c r="Q3200" s="47" t="n">
        <v>68</v>
      </c>
      <c r="R3200" s="47" t="inlineStr">
        <is>
          <t>No Video ID yet</t>
        </is>
      </c>
      <c r="S3200" s="49" t="n"/>
      <c r="T3200" s="49" t="n"/>
      <c r="U3200" s="47" t="inlineStr">
        <is>
          <t>Ben talks about day 1 at MACNA in one glorious take, and all of the uncertain-ness he feels especially when tasked with finding some wood. How do you handle ambiguous situations? TWITTER: @Jonkerlin AND @SCB_Ben =D</t>
        </is>
      </c>
      <c r="V3200" s="47">
        <f>IF(AND(P3200&gt;=Calendar!$K$2,P3200&lt;EDATE(Calendar!$K$2,1),OR(Calendar!$K$4="*",N3200=Calendar!$K$4)),P3200*100+COUNTIFS($P$6:$P$3267,P3200,$Q$6:$Q$3267,"&lt;="&amp;Q3200,$N$6:$N$3267,Calendar!$K$4),"")</f>
        <v/>
      </c>
      <c r="W3200" s="47">
        <f>IF(AND(B3200=Queue!$C$4,OR(Queue!$K$4="*",N3200=Queue!$K$4)),Q3200,"")</f>
        <v/>
      </c>
    </row>
    <row r="3201">
      <c r="A3201" s="38">
        <f>IF(M3201="","",HYPERLINK("https://www.youtube.com/watch?v="&amp;M3201,"▶"))</f>
        <v/>
      </c>
      <c r="B3201" s="39">
        <f>IF(C3201&lt;&gt;"",C3201,IF(P3201&lt;=IFERROR(INDEX(tblChannels[Watched Through],MATCH(N3201,tblChannels[Channel ID],0)),0),"Watched","Unwatched"))</f>
        <v/>
      </c>
      <c r="C3201" s="40" t="n"/>
      <c r="D3201" s="41" t="n"/>
      <c r="E3201" s="42" t="n">
        <v>41177.97222222222</v>
      </c>
      <c r="F3201" s="50" t="inlineStr">
        <is>
          <t>Super Carlin Brothers</t>
        </is>
      </c>
      <c r="G3201" t="inlineStr">
        <is>
          <t>42 Uses for a Towel</t>
        </is>
      </c>
      <c r="H3201" s="44" t="n">
        <v>0.001782407407407407</v>
      </c>
      <c r="I3201" s="45" t="n">
        <v>124496</v>
      </c>
      <c r="J3201" s="45" t="n">
        <v>3193</v>
      </c>
      <c r="K3201" s="45" t="n">
        <v>687</v>
      </c>
      <c r="L3201" s="46" t="n"/>
      <c r="M3201" s="47" t="n"/>
      <c r="N3201" s="47" t="inlineStr">
        <is>
          <t>UCKZo4N0lVPccBkSiuyVh4yg</t>
        </is>
      </c>
      <c r="O3201" s="48" t="n">
        <v>41178.13888888889</v>
      </c>
      <c r="P3201" s="49" t="n">
        <v>41177</v>
      </c>
      <c r="Q3201" s="47" t="n">
        <v>67</v>
      </c>
      <c r="R3201" s="47" t="inlineStr">
        <is>
          <t>No Video ID yet</t>
        </is>
      </c>
      <c r="S3201" s="49" t="n"/>
      <c r="T3201" s="49" t="n"/>
      <c r="U3201" s="47" t="inlineStr">
        <is>
          <t>Jonathan brings up 42 ways to use the most massively useful thing on Earth. What else can you do with a towel? TWITTER: @jonkerlin and @scb_ben =D</t>
        </is>
      </c>
      <c r="V3201" s="47">
        <f>IF(AND(P3201&gt;=Calendar!$K$2,P3201&lt;EDATE(Calendar!$K$2,1),OR(Calendar!$K$4="*",N3201=Calendar!$K$4)),P3201*100+COUNTIFS($P$6:$P$3267,P3201,$Q$6:$Q$3267,"&lt;="&amp;Q3201,$N$6:$N$3267,Calendar!$K$4),"")</f>
        <v/>
      </c>
      <c r="W3201" s="47">
        <f>IF(AND(B3201=Queue!$C$4,OR(Queue!$K$4="*",N3201=Queue!$K$4)),Q3201,"")</f>
        <v/>
      </c>
    </row>
    <row r="3202">
      <c r="A3202" s="38">
        <f>IF(M3202="","",HYPERLINK("https://www.youtube.com/watch?v="&amp;M3202,"▶"))</f>
        <v/>
      </c>
      <c r="B3202" s="39">
        <f>IF(C3202&lt;&gt;"",C3202,IF(P3202&lt;=IFERROR(INDEX(tblChannels[Watched Through],MATCH(N3202,tblChannels[Channel ID],0)),0),"Watched","Unwatched"))</f>
        <v/>
      </c>
      <c r="C3202" s="40" t="n"/>
      <c r="D3202" s="41" t="n"/>
      <c r="E3202" s="42" t="n">
        <v>41176.93263888889</v>
      </c>
      <c r="F3202" s="50" t="inlineStr">
        <is>
          <t>Super Carlin Brothers</t>
        </is>
      </c>
      <c r="G3202" t="inlineStr">
        <is>
          <t>Murphy's Law</t>
        </is>
      </c>
      <c r="H3202" s="44" t="n">
        <v>0.002430555555555556</v>
      </c>
      <c r="I3202" s="45" t="n">
        <v>17455</v>
      </c>
      <c r="J3202" s="45" t="n">
        <v>405</v>
      </c>
      <c r="K3202" s="45" t="n">
        <v>45</v>
      </c>
      <c r="L3202" s="46" t="n"/>
      <c r="M3202" s="47" t="n"/>
      <c r="N3202" s="47" t="inlineStr">
        <is>
          <t>UCKZo4N0lVPccBkSiuyVh4yg</t>
        </is>
      </c>
      <c r="O3202" s="48" t="n">
        <v>41177.09930555556</v>
      </c>
      <c r="P3202" s="49" t="n">
        <v>41176</v>
      </c>
      <c r="Q3202" s="47" t="n">
        <v>66</v>
      </c>
      <c r="R3202" s="47" t="inlineStr">
        <is>
          <t>No Video ID yet</t>
        </is>
      </c>
      <c r="S3202" s="49" t="n"/>
      <c r="T3202" s="49" t="n"/>
      <c r="U3202" s="47" t="inlineStr">
        <is>
          <t>Ben talks about the days when Murphy's Law shows no mercy. Also! if you would like to be the next outro I am fresh out and need MORE!! email them to me at SuperCarlinBrothers@gmail.com Twitter: @Jonkerlin @SCB_Ben =D</t>
        </is>
      </c>
      <c r="V3202" s="47">
        <f>IF(AND(P3202&gt;=Calendar!$K$2,P3202&lt;EDATE(Calendar!$K$2,1),OR(Calendar!$K$4="*",N3202=Calendar!$K$4)),P3202*100+COUNTIFS($P$6:$P$3267,P3202,$Q$6:$Q$3267,"&lt;="&amp;Q3202,$N$6:$N$3267,Calendar!$K$4),"")</f>
        <v/>
      </c>
      <c r="W3202" s="47">
        <f>IF(AND(B3202=Queue!$C$4,OR(Queue!$K$4="*",N3202=Queue!$K$4)),Q3202,"")</f>
        <v/>
      </c>
    </row>
    <row r="3203">
      <c r="A3203" s="38">
        <f>IF(M3203="","",HYPERLINK("https://www.youtube.com/watch?v="&amp;M3203,"▶"))</f>
        <v/>
      </c>
      <c r="B3203" s="39">
        <f>IF(C3203&lt;&gt;"",C3203,IF(P3203&lt;=IFERROR(INDEX(tblChannels[Watched Through],MATCH(N3203,tblChannels[Channel ID],0)),0),"Watched","Unwatched"))</f>
        <v/>
      </c>
      <c r="C3203" s="40" t="n"/>
      <c r="D3203" s="41" t="n"/>
      <c r="E3203" s="42" t="n">
        <v>41173.93263888889</v>
      </c>
      <c r="F3203" s="50" t="inlineStr">
        <is>
          <t>Super Carlin Brothers</t>
        </is>
      </c>
      <c r="G3203" t="inlineStr">
        <is>
          <t>How to do Light Graffiti!</t>
        </is>
      </c>
      <c r="H3203" s="44" t="n">
        <v>0.002141203703703704</v>
      </c>
      <c r="I3203" s="45" t="n">
        <v>35037</v>
      </c>
      <c r="J3203" s="45" t="n">
        <v>878</v>
      </c>
      <c r="K3203" s="45" t="n">
        <v>87</v>
      </c>
      <c r="L3203" s="46" t="n"/>
      <c r="M3203" s="47" t="n"/>
      <c r="N3203" s="47" t="inlineStr">
        <is>
          <t>UCKZo4N0lVPccBkSiuyVh4yg</t>
        </is>
      </c>
      <c r="O3203" s="48" t="n">
        <v>41174.09930555556</v>
      </c>
      <c r="P3203" s="49" t="n">
        <v>41173</v>
      </c>
      <c r="Q3203" s="47" t="n">
        <v>65</v>
      </c>
      <c r="R3203" s="47" t="inlineStr">
        <is>
          <t>No Video ID yet</t>
        </is>
      </c>
      <c r="S3203" s="49" t="n"/>
      <c r="T3203" s="49" t="n"/>
      <c r="U3203" s="47" t="inlineStr">
        <is>
          <t>Here are the settings on my camera: Shutter Speed: 25 Sec Aperture: F22 ISO: 1600 (You will probably need a digital SLR for best results) Have you ever picked up a hobby that you learned a lot from? Show us your light graffiti: www.facebook.com/supercarlinbrothers Special thanks to the lovely Beth McGee! =D TWITTER: @jonkerlin AND @scb_ben =D</t>
        </is>
      </c>
      <c r="V3203" s="47">
        <f>IF(AND(P3203&gt;=Calendar!$K$2,P3203&lt;EDATE(Calendar!$K$2,1),OR(Calendar!$K$4="*",N3203=Calendar!$K$4)),P3203*100+COUNTIFS($P$6:$P$3267,P3203,$Q$6:$Q$3267,"&lt;="&amp;Q3203,$N$6:$N$3267,Calendar!$K$4),"")</f>
        <v/>
      </c>
      <c r="W3203" s="47">
        <f>IF(AND(B3203=Queue!$C$4,OR(Queue!$K$4="*",N3203=Queue!$K$4)),Q3203,"")</f>
        <v/>
      </c>
    </row>
    <row r="3204">
      <c r="A3204" s="38">
        <f>IF(M3204="","",HYPERLINK("https://www.youtube.com/watch?v="&amp;M3204,"▶"))</f>
        <v/>
      </c>
      <c r="B3204" s="39">
        <f>IF(C3204&lt;&gt;"",C3204,IF(P3204&lt;=IFERROR(INDEX(tblChannels[Watched Through],MATCH(N3204,tblChannels[Channel ID],0)),0),"Watched","Unwatched"))</f>
        <v/>
      </c>
      <c r="C3204" s="40" t="n"/>
      <c r="D3204" s="41" t="n"/>
      <c r="E3204" s="42" t="n">
        <v>41172.78472222222</v>
      </c>
      <c r="F3204" s="50" t="inlineStr">
        <is>
          <t>Super Carlin Brothers</t>
        </is>
      </c>
      <c r="G3204" t="inlineStr">
        <is>
          <t>Ask Ben!</t>
        </is>
      </c>
      <c r="H3204" s="44" t="n">
        <v>0.002708333333333333</v>
      </c>
      <c r="I3204" s="45" t="n">
        <v>17062</v>
      </c>
      <c r="J3204" s="45" t="n">
        <v>404</v>
      </c>
      <c r="K3204" s="45" t="n">
        <v>43</v>
      </c>
      <c r="L3204" s="46" t="n"/>
      <c r="M3204" s="47" t="n"/>
      <c r="N3204" s="47" t="inlineStr">
        <is>
          <t>UCKZo4N0lVPccBkSiuyVh4yg</t>
        </is>
      </c>
      <c r="O3204" s="48" t="n">
        <v>41172.95138888889</v>
      </c>
      <c r="P3204" s="49" t="n">
        <v>41172</v>
      </c>
      <c r="Q3204" s="47" t="n">
        <v>64</v>
      </c>
      <c r="R3204" s="47" t="inlineStr">
        <is>
          <t>No Video ID yet</t>
        </is>
      </c>
      <c r="S3204" s="49" t="n"/>
      <c r="T3204" s="49" t="n"/>
      <c r="U3204" s="47" t="inlineStr">
        <is>
          <t>GROUP TWEET on Thursday, September 20 at 7:00pm Eastern: @realjohngreen @hankgreen Have you seen the Super Carlin Brothers? www.youtube.com/supercarlinbrothers #DFTBA Twitter: @Jonkerlin and @SCB_Ben =D</t>
        </is>
      </c>
      <c r="V3204" s="47">
        <f>IF(AND(P3204&gt;=Calendar!$K$2,P3204&lt;EDATE(Calendar!$K$2,1),OR(Calendar!$K$4="*",N3204=Calendar!$K$4)),P3204*100+COUNTIFS($P$6:$P$3267,P3204,$Q$6:$Q$3267,"&lt;="&amp;Q3204,$N$6:$N$3267,Calendar!$K$4),"")</f>
        <v/>
      </c>
      <c r="W3204" s="47">
        <f>IF(AND(B3204=Queue!$C$4,OR(Queue!$K$4="*",N3204=Queue!$K$4)),Q3204,"")</f>
        <v/>
      </c>
    </row>
    <row r="3205">
      <c r="A3205" s="38">
        <f>IF(M3205="","",HYPERLINK("https://www.youtube.com/watch?v="&amp;M3205,"▶"))</f>
        <v/>
      </c>
      <c r="B3205" s="39">
        <f>IF(C3205&lt;&gt;"",C3205,IF(P3205&lt;=IFERROR(INDEX(tblChannels[Watched Through],MATCH(N3205,tblChannels[Channel ID],0)),0),"Watched","Unwatched"))</f>
        <v/>
      </c>
      <c r="C3205" s="40" t="n"/>
      <c r="D3205" s="41" t="n"/>
      <c r="E3205" s="42" t="n">
        <v>41171.95069444444</v>
      </c>
      <c r="F3205" s="50" t="inlineStr">
        <is>
          <t>Super Carlin Brothers</t>
        </is>
      </c>
      <c r="G3205" t="inlineStr">
        <is>
          <t>Play with your toys!</t>
        </is>
      </c>
      <c r="H3205" s="44" t="n">
        <v>0.002650462962962963</v>
      </c>
      <c r="I3205" s="45" t="n">
        <v>51794</v>
      </c>
      <c r="J3205" s="45" t="n">
        <v>1043</v>
      </c>
      <c r="K3205" s="45" t="n">
        <v>148</v>
      </c>
      <c r="L3205" s="46" t="n"/>
      <c r="M3205" s="47" t="n"/>
      <c r="N3205" s="47" t="inlineStr">
        <is>
          <t>UCKZo4N0lVPccBkSiuyVh4yg</t>
        </is>
      </c>
      <c r="O3205" s="48" t="n">
        <v>41172.11736111111</v>
      </c>
      <c r="P3205" s="49" t="n">
        <v>41171</v>
      </c>
      <c r="Q3205" s="47" t="n">
        <v>63</v>
      </c>
      <c r="R3205" s="47" t="inlineStr">
        <is>
          <t>No Video ID yet</t>
        </is>
      </c>
      <c r="S3205" s="49" t="n"/>
      <c r="T3205" s="49" t="n"/>
      <c r="U3205" s="47" t="inlineStr">
        <is>
          <t>GROUP TWEET on Thursday, September 20 at 7:00pm Eastern: @realjohngreen @hankgreen Have you seen the Super Carlin Brothers? www.youtube.com/supercarlinbrothers #DFTBA Schedule your tweet at: www.hootsuite.com Have you ever bought something and then been to afraid of ruining it to use it? AND Leave Ben your Questions below! Twitter: @jonkerlin and @scb_ben Facebook: www.facebook.com/supercarlinbrothers =D</t>
        </is>
      </c>
      <c r="V3205" s="47">
        <f>IF(AND(P3205&gt;=Calendar!$K$2,P3205&lt;EDATE(Calendar!$K$2,1),OR(Calendar!$K$4="*",N3205=Calendar!$K$4)),P3205*100+COUNTIFS($P$6:$P$3267,P3205,$Q$6:$Q$3267,"&lt;="&amp;Q3205,$N$6:$N$3267,Calendar!$K$4),"")</f>
        <v/>
      </c>
      <c r="W3205" s="47">
        <f>IF(AND(B3205=Queue!$C$4,OR(Queue!$K$4="*",N3205=Queue!$K$4)),Q3205,"")</f>
        <v/>
      </c>
    </row>
    <row r="3206">
      <c r="A3206" s="38">
        <f>IF(M3206="","",HYPERLINK("https://www.youtube.com/watch?v="&amp;M3206,"▶"))</f>
        <v/>
      </c>
      <c r="B3206" s="39">
        <f>IF(C3206&lt;&gt;"",C3206,IF(P3206&lt;=IFERROR(INDEX(tblChannels[Watched Through],MATCH(N3206,tblChannels[Channel ID],0)),0),"Watched","Unwatched"))</f>
        <v/>
      </c>
      <c r="C3206" s="40" t="n"/>
      <c r="D3206" s="41" t="n"/>
      <c r="E3206" s="42" t="n">
        <v>41170.77986111111</v>
      </c>
      <c r="F3206" s="50" t="inlineStr">
        <is>
          <t>Super Carlin Brothers</t>
        </is>
      </c>
      <c r="G3206" t="inlineStr">
        <is>
          <t>A Continuation of a Condiment Conversation</t>
        </is>
      </c>
      <c r="H3206" s="44" t="n">
        <v>0.002974537037037037</v>
      </c>
      <c r="I3206" s="45" t="n">
        <v>14934</v>
      </c>
      <c r="J3206" s="45" t="n">
        <v>378</v>
      </c>
      <c r="K3206" s="45" t="n">
        <v>35</v>
      </c>
      <c r="L3206" s="46" t="n"/>
      <c r="M3206" s="47" t="n"/>
      <c r="N3206" s="47" t="inlineStr">
        <is>
          <t>UCKZo4N0lVPccBkSiuyVh4yg</t>
        </is>
      </c>
      <c r="O3206" s="48" t="n">
        <v>41170.94652777778</v>
      </c>
      <c r="P3206" s="49" t="n">
        <v>41170</v>
      </c>
      <c r="Q3206" s="47" t="n">
        <v>62</v>
      </c>
      <c r="R3206" s="47" t="inlineStr">
        <is>
          <t>No Video ID yet</t>
        </is>
      </c>
      <c r="S3206" s="49" t="n"/>
      <c r="T3206" s="49" t="n"/>
      <c r="U3206" s="47" t="inlineStr">
        <is>
          <t>GROUP TWEET: Thursday, Sept. 20 @ 7:00 PM Eastern Time: @realjohngreen @hankgreen Have you seen the Super Carlin Brothers? www.youtube.com/supercarlinbrothers #DFTBA Schedule your tweet here: www.hootsuite.com Twitter: @SCB_Ben and @Jonkerlin =D</t>
        </is>
      </c>
      <c r="V3206" s="47">
        <f>IF(AND(P3206&gt;=Calendar!$K$2,P3206&lt;EDATE(Calendar!$K$2,1),OR(Calendar!$K$4="*",N3206=Calendar!$K$4)),P3206*100+COUNTIFS($P$6:$P$3267,P3206,$Q$6:$Q$3267,"&lt;="&amp;Q3206,$N$6:$N$3267,Calendar!$K$4),"")</f>
        <v/>
      </c>
      <c r="W3206" s="47">
        <f>IF(AND(B3206=Queue!$C$4,OR(Queue!$K$4="*",N3206=Queue!$K$4)),Q3206,"")</f>
        <v/>
      </c>
    </row>
    <row r="3207">
      <c r="A3207" s="38">
        <f>IF(M3207="","",HYPERLINK("https://www.youtube.com/watch?v="&amp;M3207,"▶"))</f>
        <v/>
      </c>
      <c r="B3207" s="39">
        <f>IF(C3207&lt;&gt;"",C3207,IF(P3207&lt;=IFERROR(INDEX(tblChannels[Watched Through],MATCH(N3207,tblChannels[Channel ID],0)),0),"Watched","Unwatched"))</f>
        <v/>
      </c>
      <c r="C3207" s="40" t="n"/>
      <c r="D3207" s="41" t="n"/>
      <c r="E3207" s="42" t="n">
        <v>41169.94027777778</v>
      </c>
      <c r="F3207" s="50" t="inlineStr">
        <is>
          <t>Super Carlin Brothers</t>
        </is>
      </c>
      <c r="G3207" t="inlineStr">
        <is>
          <t>The Ketchup Catch Up</t>
        </is>
      </c>
      <c r="H3207" s="44" t="n">
        <v>0.003275462962962963</v>
      </c>
      <c r="I3207" s="45" t="n">
        <v>55696</v>
      </c>
      <c r="J3207" s="45" t="n">
        <v>1251</v>
      </c>
      <c r="K3207" s="45" t="n">
        <v>425</v>
      </c>
      <c r="L3207" s="46" t="n"/>
      <c r="M3207" s="47" t="n"/>
      <c r="N3207" s="47" t="inlineStr">
        <is>
          <t>UCKZo4N0lVPccBkSiuyVh4yg</t>
        </is>
      </c>
      <c r="O3207" s="48" t="n">
        <v>41170.10694444444</v>
      </c>
      <c r="P3207" s="49" t="n">
        <v>41169</v>
      </c>
      <c r="Q3207" s="47" t="n">
        <v>61</v>
      </c>
      <c r="R3207" s="47" t="inlineStr">
        <is>
          <t>No Video ID yet</t>
        </is>
      </c>
      <c r="S3207" s="49" t="n"/>
      <c r="T3207" s="49" t="n"/>
      <c r="U3207" s="47" t="inlineStr">
        <is>
          <t>GROUP TWEET: Thursday, Sept. 20 @ 7:00 PM Eastern Time: @realjohngreen @hankgreen Have you seen the Super Carlin Brothers? www.youtube.com/supercarlinbrothers #DFTBA Schedule your tweet here: www.hootsuite.com What is your favorite condiment AND dont forget to reply to someone else! Grizzly Eagle Sharks go here: www.facebook.com/supercarlinbrothers Twitter: @jonkerlin and @scb_ben =D</t>
        </is>
      </c>
      <c r="V3207" s="47">
        <f>IF(AND(P3207&gt;=Calendar!$K$2,P3207&lt;EDATE(Calendar!$K$2,1),OR(Calendar!$K$4="*",N3207=Calendar!$K$4)),P3207*100+COUNTIFS($P$6:$P$3267,P3207,$Q$6:$Q$3267,"&lt;="&amp;Q3207,$N$6:$N$3267,Calendar!$K$4),"")</f>
        <v/>
      </c>
      <c r="W3207" s="47">
        <f>IF(AND(B3207=Queue!$C$4,OR(Queue!$K$4="*",N3207=Queue!$K$4)),Q3207,"")</f>
        <v/>
      </c>
    </row>
    <row r="3208">
      <c r="A3208" s="38">
        <f>IF(M3208="","",HYPERLINK("https://www.youtube.com/watch?v="&amp;M3208,"▶"))</f>
        <v/>
      </c>
      <c r="B3208" s="39">
        <f>IF(C3208&lt;&gt;"",C3208,IF(P3208&lt;=IFERROR(INDEX(tblChannels[Watched Through],MATCH(N3208,tblChannels[Channel ID],0)),0),"Watched","Unwatched"))</f>
        <v/>
      </c>
      <c r="C3208" s="40" t="n"/>
      <c r="D3208" s="41" t="n"/>
      <c r="E3208" s="42" t="n">
        <v>41166.81597222222</v>
      </c>
      <c r="F3208" s="50" t="inlineStr">
        <is>
          <t>Super Carlin Brothers</t>
        </is>
      </c>
      <c r="G3208" t="inlineStr">
        <is>
          <t>Vloggers Block</t>
        </is>
      </c>
      <c r="H3208" s="44" t="n">
        <v>0.002418981481481482</v>
      </c>
      <c r="I3208" s="45" t="n">
        <v>14338</v>
      </c>
      <c r="J3208" s="45" t="n">
        <v>377</v>
      </c>
      <c r="K3208" s="45" t="n">
        <v>36</v>
      </c>
      <c r="L3208" s="46" t="n"/>
      <c r="M3208" s="47" t="n"/>
      <c r="N3208" s="47" t="inlineStr">
        <is>
          <t>UCKZo4N0lVPccBkSiuyVh4yg</t>
        </is>
      </c>
      <c r="O3208" s="48" t="n">
        <v>41166.98263888889</v>
      </c>
      <c r="P3208" s="49" t="n">
        <v>41166</v>
      </c>
      <c r="Q3208" s="47" t="n">
        <v>60</v>
      </c>
      <c r="R3208" s="47" t="inlineStr">
        <is>
          <t>No Video ID yet</t>
        </is>
      </c>
      <c r="S3208" s="49" t="n"/>
      <c r="T3208" s="49" t="n"/>
      <c r="U3208" s="47" t="inlineStr">
        <is>
          <t>When you make videos nearly everyday, the time will eventually come where you don't have anything to talk about. For Ben, that day is today. I love when people send in outros! If you would like to be the next outro please submit it as a video response or email it to SuperCarlinBrothers@gmail.com Follow me on Twitter! @SCB_Ben Find us on Facebook! www.facebook.com/SuperCarlinBrothers Thanks for watching! =D</t>
        </is>
      </c>
      <c r="V3208" s="47">
        <f>IF(AND(P3208&gt;=Calendar!$K$2,P3208&lt;EDATE(Calendar!$K$2,1),OR(Calendar!$K$4="*",N3208=Calendar!$K$4)),P3208*100+COUNTIFS($P$6:$P$3267,P3208,$Q$6:$Q$3267,"&lt;="&amp;Q3208,$N$6:$N$3267,Calendar!$K$4),"")</f>
        <v/>
      </c>
      <c r="W3208" s="47">
        <f>IF(AND(B3208=Queue!$C$4,OR(Queue!$K$4="*",N3208=Queue!$K$4)),Q3208,"")</f>
        <v/>
      </c>
    </row>
    <row r="3209">
      <c r="A3209" s="38">
        <f>IF(M3209="","",HYPERLINK("https://www.youtube.com/watch?v="&amp;M3209,"▶"))</f>
        <v/>
      </c>
      <c r="B3209" s="39">
        <f>IF(C3209&lt;&gt;"",C3209,IF(P3209&lt;=IFERROR(INDEX(tblChannels[Watched Through],MATCH(N3209,tblChannels[Channel ID],0)),0),"Watched","Unwatched"))</f>
        <v/>
      </c>
      <c r="C3209" s="40" t="n"/>
      <c r="D3209" s="41" t="n"/>
      <c r="E3209" s="42" t="n">
        <v>41166.00625</v>
      </c>
      <c r="F3209" s="50" t="inlineStr">
        <is>
          <t>Super Carlin Brothers</t>
        </is>
      </c>
      <c r="G3209" t="inlineStr">
        <is>
          <t>Should guys wear pink?</t>
        </is>
      </c>
      <c r="H3209" s="44" t="n">
        <v>0.00193287037037037</v>
      </c>
      <c r="I3209" s="45" t="n">
        <v>42982</v>
      </c>
      <c r="J3209" s="45" t="n">
        <v>942</v>
      </c>
      <c r="K3209" s="45" t="n">
        <v>320</v>
      </c>
      <c r="L3209" s="46" t="n"/>
      <c r="M3209" s="47" t="n"/>
      <c r="N3209" s="47" t="inlineStr">
        <is>
          <t>UCKZo4N0lVPccBkSiuyVh4yg</t>
        </is>
      </c>
      <c r="O3209" s="48" t="n">
        <v>41166.17291666667</v>
      </c>
      <c r="P3209" s="49" t="n">
        <v>41166</v>
      </c>
      <c r="Q3209" s="47" t="n">
        <v>59</v>
      </c>
      <c r="R3209" s="47" t="inlineStr">
        <is>
          <t>No Video ID yet</t>
        </is>
      </c>
      <c r="S3209" s="49" t="n"/>
      <c r="T3209" s="49" t="n"/>
      <c r="U3209" s="47" t="inlineStr">
        <is>
          <t>Jonathan talks about whether or not guys should wear pink shirts. Guys: What is the reaction you get? Girls: Are guys more or less attractive if they wear pink? TWITTER: @Jonkerlin OR @SCB_Ben =D</t>
        </is>
      </c>
      <c r="V3209" s="47">
        <f>IF(AND(P3209&gt;=Calendar!$K$2,P3209&lt;EDATE(Calendar!$K$2,1),OR(Calendar!$K$4="*",N3209=Calendar!$K$4)),P3209*100+COUNTIFS($P$6:$P$3267,P3209,$Q$6:$Q$3267,"&lt;="&amp;Q3209,$N$6:$N$3267,Calendar!$K$4),"")</f>
        <v/>
      </c>
      <c r="W3209" s="47">
        <f>IF(AND(B3209=Queue!$C$4,OR(Queue!$K$4="*",N3209=Queue!$K$4)),Q3209,"")</f>
        <v/>
      </c>
    </row>
    <row r="3210">
      <c r="A3210" s="38">
        <f>IF(M3210="","",HYPERLINK("https://www.youtube.com/watch?v="&amp;M3210,"▶"))</f>
        <v/>
      </c>
      <c r="B3210" s="39">
        <f>IF(C3210&lt;&gt;"",C3210,IF(P3210&lt;=IFERROR(INDEX(tblChannels[Watched Through],MATCH(N3210,tblChannels[Channel ID],0)),0),"Watched","Unwatched"))</f>
        <v/>
      </c>
      <c r="C3210" s="40" t="n"/>
      <c r="D3210" s="41" t="n"/>
      <c r="E3210" s="42" t="n">
        <v>41164.91736111111</v>
      </c>
      <c r="F3210" s="50" t="inlineStr">
        <is>
          <t>Super Carlin Brothers</t>
        </is>
      </c>
      <c r="G3210" t="inlineStr">
        <is>
          <t>How to Handle Criticism</t>
        </is>
      </c>
      <c r="H3210" s="44" t="n">
        <v>0.00337962962962963</v>
      </c>
      <c r="I3210" s="45" t="n">
        <v>17144</v>
      </c>
      <c r="J3210" s="45" t="n">
        <v>585</v>
      </c>
      <c r="K3210" s="45" t="n">
        <v>57</v>
      </c>
      <c r="L3210" s="46" t="n"/>
      <c r="M3210" s="47" t="n"/>
      <c r="N3210" s="47" t="inlineStr">
        <is>
          <t>UCKZo4N0lVPccBkSiuyVh4yg</t>
        </is>
      </c>
      <c r="O3210" s="48" t="n">
        <v>41165.08402777778</v>
      </c>
      <c r="P3210" s="49" t="n">
        <v>41164</v>
      </c>
      <c r="Q3210" s="47" t="n">
        <v>58</v>
      </c>
      <c r="R3210" s="47" t="inlineStr">
        <is>
          <t>No Video ID yet</t>
        </is>
      </c>
      <c r="S3210" s="49" t="n"/>
      <c r="T3210" s="49" t="n"/>
      <c r="U3210" s="47" t="inlineStr">
        <is>
          <t>Ben talks about how he handles criticism. Follow Ben on Twitter! @SCB_Ben Find us on Facebook www.facebook.com/supercarlinbrothers And if you would like to be Ben's next outro you can email it to SuperCarlinBrothers@gmail.com =D</t>
        </is>
      </c>
      <c r="V3210" s="47">
        <f>IF(AND(P3210&gt;=Calendar!$K$2,P3210&lt;EDATE(Calendar!$K$2,1),OR(Calendar!$K$4="*",N3210=Calendar!$K$4)),P3210*100+COUNTIFS($P$6:$P$3267,P3210,$Q$6:$Q$3267,"&lt;="&amp;Q3210,$N$6:$N$3267,Calendar!$K$4),"")</f>
        <v/>
      </c>
      <c r="W3210" s="47">
        <f>IF(AND(B3210=Queue!$C$4,OR(Queue!$K$4="*",N3210=Queue!$K$4)),Q3210,"")</f>
        <v/>
      </c>
    </row>
    <row r="3211">
      <c r="A3211" s="38">
        <f>IF(M3211="","",HYPERLINK("https://www.youtube.com/watch?v="&amp;M3211,"▶"))</f>
        <v/>
      </c>
      <c r="B3211" s="39">
        <f>IF(C3211&lt;&gt;"",C3211,IF(P3211&lt;=IFERROR(INDEX(tblChannels[Watched Through],MATCH(N3211,tblChannels[Channel ID],0)),0),"Watched","Unwatched"))</f>
        <v/>
      </c>
      <c r="C3211" s="40" t="n"/>
      <c r="D3211" s="41" t="n"/>
      <c r="E3211" s="42" t="n">
        <v>41163.95416666667</v>
      </c>
      <c r="F3211" s="50" t="inlineStr">
        <is>
          <t>Super Carlin Brothers</t>
        </is>
      </c>
      <c r="G3211" t="inlineStr">
        <is>
          <t>Why do bad things happen?</t>
        </is>
      </c>
      <c r="H3211" s="44" t="n">
        <v>0.002662037037037037</v>
      </c>
      <c r="I3211" s="45" t="n">
        <v>40976</v>
      </c>
      <c r="J3211" s="45" t="n">
        <v>791</v>
      </c>
      <c r="K3211" s="45" t="n">
        <v>137</v>
      </c>
      <c r="L3211" s="46" t="n"/>
      <c r="M3211" s="47" t="n"/>
      <c r="N3211" s="47" t="inlineStr">
        <is>
          <t>UCKZo4N0lVPccBkSiuyVh4yg</t>
        </is>
      </c>
      <c r="O3211" s="48" t="n">
        <v>41164.12083333333</v>
      </c>
      <c r="P3211" s="49" t="n">
        <v>41163</v>
      </c>
      <c r="Q3211" s="47" t="n">
        <v>57</v>
      </c>
      <c r="R3211" s="47" t="inlineStr">
        <is>
          <t>No Video ID yet</t>
        </is>
      </c>
      <c r="S3211" s="49" t="n"/>
      <c r="T3211" s="49" t="n"/>
      <c r="U3211" s="47" t="inlineStr">
        <is>
          <t>Jonathan talks about stuff that is almost certainly way over head his while possibly not wearing pants.. What is something bad that has ended up good for you? TWITTER: @jonkerlin and @SCB_Ben =D</t>
        </is>
      </c>
      <c r="V3211" s="47">
        <f>IF(AND(P3211&gt;=Calendar!$K$2,P3211&lt;EDATE(Calendar!$K$2,1),OR(Calendar!$K$4="*",N3211=Calendar!$K$4)),P3211*100+COUNTIFS($P$6:$P$3267,P3211,$Q$6:$Q$3267,"&lt;="&amp;Q3211,$N$6:$N$3267,Calendar!$K$4),"")</f>
        <v/>
      </c>
      <c r="W3211" s="47">
        <f>IF(AND(B3211=Queue!$C$4,OR(Queue!$K$4="*",N3211=Queue!$K$4)),Q3211,"")</f>
        <v/>
      </c>
    </row>
    <row r="3212">
      <c r="A3212" s="38">
        <f>IF(M3212="","",HYPERLINK("https://www.youtube.com/watch?v="&amp;M3212,"▶"))</f>
        <v/>
      </c>
      <c r="B3212" s="39">
        <f>IF(C3212&lt;&gt;"",C3212,IF(P3212&lt;=IFERROR(INDEX(tblChannels[Watched Through],MATCH(N3212,tblChannels[Channel ID],0)),0),"Watched","Unwatched"))</f>
        <v/>
      </c>
      <c r="C3212" s="40" t="n"/>
      <c r="D3212" s="41" t="n"/>
      <c r="E3212" s="42" t="n">
        <v>41162.91388888889</v>
      </c>
      <c r="F3212" s="50" t="inlineStr">
        <is>
          <t>Super Carlin Brothers</t>
        </is>
      </c>
      <c r="G3212" t="inlineStr">
        <is>
          <t>How to Spend Money</t>
        </is>
      </c>
      <c r="H3212" s="44" t="n">
        <v>0.002627314814814815</v>
      </c>
      <c r="I3212" s="45" t="n">
        <v>16524</v>
      </c>
      <c r="J3212" s="45" t="n">
        <v>364</v>
      </c>
      <c r="K3212" s="45" t="n">
        <v>39</v>
      </c>
      <c r="L3212" s="46" t="n"/>
      <c r="M3212" s="47" t="n"/>
      <c r="N3212" s="47" t="inlineStr">
        <is>
          <t>UCKZo4N0lVPccBkSiuyVh4yg</t>
        </is>
      </c>
      <c r="O3212" s="48" t="n">
        <v>41163.08055555556</v>
      </c>
      <c r="P3212" s="49" t="n">
        <v>41162</v>
      </c>
      <c r="Q3212" s="47" t="n">
        <v>56</v>
      </c>
      <c r="R3212" s="47" t="inlineStr">
        <is>
          <t>No Video ID yet</t>
        </is>
      </c>
      <c r="S3212" s="49" t="n"/>
      <c r="T3212" s="49" t="n"/>
      <c r="U3212" s="47" t="inlineStr">
        <is>
          <t>Ben gives his advice on how money should be spent. Finally got a twitter! Follow Ben @SCB_Ben If you want to submit an outro either leave it as a video response or email it to: SuperCarlinBrothers@gmail.com Find us on Facebook! www.facebook.com/SuperCarlinBrothers =D</t>
        </is>
      </c>
      <c r="V3212" s="47">
        <f>IF(AND(P3212&gt;=Calendar!$K$2,P3212&lt;EDATE(Calendar!$K$2,1),OR(Calendar!$K$4="*",N3212=Calendar!$K$4)),P3212*100+COUNTIFS($P$6:$P$3267,P3212,$Q$6:$Q$3267,"&lt;="&amp;Q3212,$N$6:$N$3267,Calendar!$K$4),"")</f>
        <v/>
      </c>
      <c r="W3212" s="47">
        <f>IF(AND(B3212=Queue!$C$4,OR(Queue!$K$4="*",N3212=Queue!$K$4)),Q3212,"")</f>
        <v/>
      </c>
    </row>
    <row r="3213">
      <c r="A3213" s="38">
        <f>IF(M3213="","",HYPERLINK("https://www.youtube.com/watch?v="&amp;M3213,"▶"))</f>
        <v/>
      </c>
      <c r="B3213" s="39">
        <f>IF(C3213&lt;&gt;"",C3213,IF(P3213&lt;=IFERROR(INDEX(tblChannels[Watched Through],MATCH(N3213,tblChannels[Channel ID],0)),0),"Watched","Unwatched"))</f>
        <v/>
      </c>
      <c r="C3213" s="40" t="n"/>
      <c r="D3213" s="41" t="n"/>
      <c r="E3213" s="42" t="n">
        <v>41159.80972222222</v>
      </c>
      <c r="F3213" s="50" t="inlineStr">
        <is>
          <t>Super Carlin Brothers</t>
        </is>
      </c>
      <c r="G3213" t="inlineStr">
        <is>
          <t>Ask J! #3</t>
        </is>
      </c>
      <c r="H3213" s="44" t="n">
        <v>0.003043981481481481</v>
      </c>
      <c r="I3213" s="45" t="n">
        <v>28576</v>
      </c>
      <c r="J3213" s="45" t="n">
        <v>594</v>
      </c>
      <c r="K3213" s="45" t="n">
        <v>131</v>
      </c>
      <c r="L3213" s="46" t="n"/>
      <c r="M3213" s="47" t="n"/>
      <c r="N3213" s="47" t="inlineStr">
        <is>
          <t>UCKZo4N0lVPccBkSiuyVh4yg</t>
        </is>
      </c>
      <c r="O3213" s="48" t="n">
        <v>41159.97638888889</v>
      </c>
      <c r="P3213" s="49" t="n">
        <v>41159</v>
      </c>
      <c r="Q3213" s="47" t="n">
        <v>55</v>
      </c>
      <c r="R3213" s="47" t="inlineStr">
        <is>
          <t>No Video ID yet</t>
        </is>
      </c>
      <c r="S3213" s="49" t="n"/>
      <c r="T3213" s="49" t="n"/>
      <c r="U3213" s="47" t="inlineStr">
        <is>
          <t>Jonathan answers your questions! What would you want to be on a billboard for? TWITTER: @jonkerlin =D</t>
        </is>
      </c>
      <c r="V3213" s="47">
        <f>IF(AND(P3213&gt;=Calendar!$K$2,P3213&lt;EDATE(Calendar!$K$2,1),OR(Calendar!$K$4="*",N3213=Calendar!$K$4)),P3213*100+COUNTIFS($P$6:$P$3267,P3213,$Q$6:$Q$3267,"&lt;="&amp;Q3213,$N$6:$N$3267,Calendar!$K$4),"")</f>
        <v/>
      </c>
      <c r="W3213" s="47">
        <f>IF(AND(B3213=Queue!$C$4,OR(Queue!$K$4="*",N3213=Queue!$K$4)),Q3213,"")</f>
        <v/>
      </c>
    </row>
    <row r="3214">
      <c r="A3214" s="38">
        <f>IF(M3214="","",HYPERLINK("https://www.youtube.com/watch?v="&amp;M3214,"▶"))</f>
        <v/>
      </c>
      <c r="B3214" s="39">
        <f>IF(C3214&lt;&gt;"",C3214,IF(P3214&lt;=IFERROR(INDEX(tblChannels[Watched Through],MATCH(N3214,tblChannels[Channel ID],0)),0),"Watched","Unwatched"))</f>
        <v/>
      </c>
      <c r="C3214" s="40" t="n"/>
      <c r="D3214" s="41" t="n"/>
      <c r="E3214" s="42" t="n">
        <v>41158.90763888889</v>
      </c>
      <c r="F3214" s="50" t="inlineStr">
        <is>
          <t>Super Carlin Brothers</t>
        </is>
      </c>
      <c r="G3214" t="inlineStr">
        <is>
          <t>Do What You Love, Love What You Do</t>
        </is>
      </c>
      <c r="H3214" s="44" t="n">
        <v>0.001678240740740741</v>
      </c>
      <c r="I3214" s="45" t="n">
        <v>15202</v>
      </c>
      <c r="J3214" s="45" t="n">
        <v>348</v>
      </c>
      <c r="K3214" s="45" t="n">
        <v>48</v>
      </c>
      <c r="L3214" s="46" t="n"/>
      <c r="M3214" s="47" t="n"/>
      <c r="N3214" s="47" t="inlineStr">
        <is>
          <t>UCKZo4N0lVPccBkSiuyVh4yg</t>
        </is>
      </c>
      <c r="O3214" s="48" t="n">
        <v>41159.07430555556</v>
      </c>
      <c r="P3214" s="49" t="n">
        <v>41158</v>
      </c>
      <c r="Q3214" s="47" t="n">
        <v>54</v>
      </c>
      <c r="R3214" s="47" t="inlineStr">
        <is>
          <t>No Video ID yet</t>
        </is>
      </c>
      <c r="S3214" s="49" t="n"/>
      <c r="T3214" s="49" t="n"/>
      <c r="U3214" s="47" t="inlineStr">
        <is>
          <t>My first upload of this cut me off for some reason so I have re- uploaded! Today Ben's career took a big step forward which is great, unlike todays video. Worn out from a big day it's a little thrown together... but don't forget to ask J and see your question answered in tomorrow video!! If you want to be my next outro please email it to SuperCarlinBrothers@gmail.com Or leave it as a video response!! =D</t>
        </is>
      </c>
      <c r="V3214" s="47">
        <f>IF(AND(P3214&gt;=Calendar!$K$2,P3214&lt;EDATE(Calendar!$K$2,1),OR(Calendar!$K$4="*",N3214=Calendar!$K$4)),P3214*100+COUNTIFS($P$6:$P$3267,P3214,$Q$6:$Q$3267,"&lt;="&amp;Q3214,$N$6:$N$3267,Calendar!$K$4),"")</f>
        <v/>
      </c>
      <c r="W3214" s="47">
        <f>IF(AND(B3214=Queue!$C$4,OR(Queue!$K$4="*",N3214=Queue!$K$4)),Q3214,"")</f>
        <v/>
      </c>
    </row>
    <row r="3215">
      <c r="A3215" s="38">
        <f>IF(M3215="","",HYPERLINK("https://www.youtube.com/watch?v="&amp;M3215,"▶"))</f>
        <v/>
      </c>
      <c r="B3215" s="39">
        <f>IF(C3215&lt;&gt;"",C3215,IF(P3215&lt;=IFERROR(INDEX(tblChannels[Watched Through],MATCH(N3215,tblChannels[Channel ID],0)),0),"Watched","Unwatched"))</f>
        <v/>
      </c>
      <c r="C3215" s="40" t="n"/>
      <c r="D3215" s="41" t="n"/>
      <c r="E3215" s="42" t="n">
        <v>41157.91944444444</v>
      </c>
      <c r="F3215" s="50" t="inlineStr">
        <is>
          <t>Super Carlin Brothers</t>
        </is>
      </c>
      <c r="G3215" t="inlineStr">
        <is>
          <t>Sleeping with Jonathan</t>
        </is>
      </c>
      <c r="H3215" s="44" t="n">
        <v>0.002696759259259259</v>
      </c>
      <c r="I3215" s="45" t="n">
        <v>53667</v>
      </c>
      <c r="J3215" s="45" t="n">
        <v>1320</v>
      </c>
      <c r="K3215" s="45" t="n">
        <v>318</v>
      </c>
      <c r="L3215" s="46" t="n"/>
      <c r="M3215" s="47" t="n"/>
      <c r="N3215" s="47" t="inlineStr">
        <is>
          <t>UCKZo4N0lVPccBkSiuyVh4yg</t>
        </is>
      </c>
      <c r="O3215" s="48" t="n">
        <v>41158.08611111111</v>
      </c>
      <c r="P3215" s="49" t="n">
        <v>41157</v>
      </c>
      <c r="Q3215" s="47" t="n">
        <v>53</v>
      </c>
      <c r="R3215" s="47" t="inlineStr">
        <is>
          <t>No Video ID yet</t>
        </is>
      </c>
      <c r="S3215" s="49" t="n"/>
      <c r="T3215" s="49" t="n"/>
      <c r="U3215" s="47" t="inlineStr">
        <is>
          <t>Sleeping, with Jonathan: not as easy as you might think.. What do you do to help go to sleep? TWITTER: @jonkerlin =D</t>
        </is>
      </c>
      <c r="V3215" s="47">
        <f>IF(AND(P3215&gt;=Calendar!$K$2,P3215&lt;EDATE(Calendar!$K$2,1),OR(Calendar!$K$4="*",N3215=Calendar!$K$4)),P3215*100+COUNTIFS($P$6:$P$3267,P3215,$Q$6:$Q$3267,"&lt;="&amp;Q3215,$N$6:$N$3267,Calendar!$K$4),"")</f>
        <v/>
      </c>
      <c r="W3215" s="47">
        <f>IF(AND(B3215=Queue!$C$4,OR(Queue!$K$4="*",N3215=Queue!$K$4)),Q3215,"")</f>
        <v/>
      </c>
    </row>
    <row r="3216">
      <c r="A3216" s="38">
        <f>IF(M3216="","",HYPERLINK("https://www.youtube.com/watch?v="&amp;M3216,"▶"))</f>
        <v/>
      </c>
      <c r="B3216" s="39">
        <f>IF(C3216&lt;&gt;"",C3216,IF(P3216&lt;=IFERROR(INDEX(tblChannels[Watched Through],MATCH(N3216,tblChannels[Channel ID],0)),0),"Watched","Unwatched"))</f>
        <v/>
      </c>
      <c r="C3216" s="40" t="n"/>
      <c r="D3216" s="41" t="n"/>
      <c r="E3216" s="42" t="n">
        <v>41156.8</v>
      </c>
      <c r="F3216" s="50" t="inlineStr">
        <is>
          <t>Super Carlin Brothers</t>
        </is>
      </c>
      <c r="G3216" t="inlineStr">
        <is>
          <t>The Day Your Parents Join Facebook</t>
        </is>
      </c>
      <c r="H3216" s="44" t="n">
        <v>0.002685185185185185</v>
      </c>
      <c r="I3216" s="45" t="n">
        <v>21495</v>
      </c>
      <c r="J3216" s="45" t="n">
        <v>512</v>
      </c>
      <c r="K3216" s="45" t="n">
        <v>99</v>
      </c>
      <c r="L3216" s="46" t="n"/>
      <c r="M3216" s="47" t="n"/>
      <c r="N3216" s="47" t="inlineStr">
        <is>
          <t>UCKZo4N0lVPccBkSiuyVh4yg</t>
        </is>
      </c>
      <c r="O3216" s="48" t="n">
        <v>41156.96666666667</v>
      </c>
      <c r="P3216" s="49" t="n">
        <v>41156</v>
      </c>
      <c r="Q3216" s="47" t="n">
        <v>52</v>
      </c>
      <c r="R3216" s="47" t="inlineStr">
        <is>
          <t>No Video ID yet</t>
        </is>
      </c>
      <c r="S3216" s="49" t="n"/>
      <c r="T3216" s="49" t="n"/>
      <c r="U3216" s="47" t="inlineStr">
        <is>
          <t>Ben talks about every kid's fear, the day their parents join facebook. If you'd like to submit an outro you can do so as a video response to any of our videos or email it to supercarlinbrothers@gmail.com Find us on facebook! www.facebook.com/SuperCarlinBrothers =D</t>
        </is>
      </c>
      <c r="V3216" s="47">
        <f>IF(AND(P3216&gt;=Calendar!$K$2,P3216&lt;EDATE(Calendar!$K$2,1),OR(Calendar!$K$4="*",N3216=Calendar!$K$4)),P3216*100+COUNTIFS($P$6:$P$3267,P3216,$Q$6:$Q$3267,"&lt;="&amp;Q3216,$N$6:$N$3267,Calendar!$K$4),"")</f>
        <v/>
      </c>
      <c r="W3216" s="47">
        <f>IF(AND(B3216=Queue!$C$4,OR(Queue!$K$4="*",N3216=Queue!$K$4)),Q3216,"")</f>
        <v/>
      </c>
    </row>
    <row r="3217">
      <c r="A3217" s="38">
        <f>IF(M3217="","",HYPERLINK("https://www.youtube.com/watch?v="&amp;M3217,"▶"))</f>
        <v/>
      </c>
      <c r="B3217" s="39">
        <f>IF(C3217&lt;&gt;"",C3217,IF(P3217&lt;=IFERROR(INDEX(tblChannels[Watched Through],MATCH(N3217,tblChannels[Channel ID],0)),0),"Watched","Unwatched"))</f>
        <v/>
      </c>
      <c r="C3217" s="40" t="n"/>
      <c r="D3217" s="41" t="n"/>
      <c r="E3217" s="42" t="n">
        <v>41155.70069444444</v>
      </c>
      <c r="F3217" s="50" t="inlineStr">
        <is>
          <t>Super Carlin Brothers</t>
        </is>
      </c>
      <c r="G3217" t="inlineStr">
        <is>
          <t>Football Season!</t>
        </is>
      </c>
      <c r="H3217" s="44" t="n">
        <v>0.002951388888888889</v>
      </c>
      <c r="I3217" s="45" t="n">
        <v>18157</v>
      </c>
      <c r="J3217" s="45" t="n">
        <v>430</v>
      </c>
      <c r="K3217" s="45" t="n">
        <v>143</v>
      </c>
      <c r="L3217" s="46" t="n"/>
      <c r="M3217" s="47" t="n"/>
      <c r="N3217" s="47" t="inlineStr">
        <is>
          <t>UCKZo4N0lVPccBkSiuyVh4yg</t>
        </is>
      </c>
      <c r="O3217" s="48" t="n">
        <v>41155.86736111111</v>
      </c>
      <c r="P3217" s="49" t="n">
        <v>41155</v>
      </c>
      <c r="Q3217" s="47" t="n">
        <v>51</v>
      </c>
      <c r="R3217" s="47" t="inlineStr">
        <is>
          <t>No Video ID yet</t>
        </is>
      </c>
      <c r="S3217" s="49" t="n"/>
      <c r="T3217" s="49" t="n"/>
      <c r="U3217" s="47" t="inlineStr">
        <is>
          <t>Jonathan talks about the joy of football season and the crazy things it makes us do. What is your favorite team? TWITTER: @jonkerlin Send Ben your outtro's here: supercarlinbrothers@gmail.com OR upload them as a video response GO HOKIES!! =D</t>
        </is>
      </c>
      <c r="V3217" s="47">
        <f>IF(AND(P3217&gt;=Calendar!$K$2,P3217&lt;EDATE(Calendar!$K$2,1),OR(Calendar!$K$4="*",N3217=Calendar!$K$4)),P3217*100+COUNTIFS($P$6:$P$3267,P3217,$Q$6:$Q$3267,"&lt;="&amp;Q3217,$N$6:$N$3267,Calendar!$K$4),"")</f>
        <v/>
      </c>
      <c r="W3217" s="47">
        <f>IF(AND(B3217=Queue!$C$4,OR(Queue!$K$4="*",N3217=Queue!$K$4)),Q3217,"")</f>
        <v/>
      </c>
    </row>
    <row r="3218">
      <c r="A3218" s="38">
        <f>IF(M3218="","",HYPERLINK("https://www.youtube.com/watch?v="&amp;M3218,"▶"))</f>
        <v/>
      </c>
      <c r="B3218" s="39">
        <f>IF(C3218&lt;&gt;"",C3218,IF(P3218&lt;=IFERROR(INDEX(tblChannels[Watched Through],MATCH(N3218,tblChannels[Channel ID],0)),0),"Watched","Unwatched"))</f>
        <v/>
      </c>
      <c r="C3218" s="40" t="n"/>
      <c r="D3218" s="41" t="n"/>
      <c r="E3218" s="42" t="n">
        <v>41152.79930555556</v>
      </c>
      <c r="F3218" s="50" t="inlineStr">
        <is>
          <t>Super Carlin Brothers</t>
        </is>
      </c>
      <c r="G3218" t="inlineStr">
        <is>
          <t>How Finding Nemo Ruined My Life</t>
        </is>
      </c>
      <c r="H3218" s="44" t="n">
        <v>0.001956018518518518</v>
      </c>
      <c r="I3218" s="45" t="n">
        <v>152626</v>
      </c>
      <c r="J3218" s="45" t="n">
        <v>3105</v>
      </c>
      <c r="K3218" s="45" t="n">
        <v>759</v>
      </c>
      <c r="L3218" s="46" t="n"/>
      <c r="M3218" s="47" t="n"/>
      <c r="N3218" s="47" t="inlineStr">
        <is>
          <t>UCKZo4N0lVPccBkSiuyVh4yg</t>
        </is>
      </c>
      <c r="O3218" s="48" t="n">
        <v>41152.96597222222</v>
      </c>
      <c r="P3218" s="49" t="n">
        <v>41152</v>
      </c>
      <c r="Q3218" s="47" t="n">
        <v>50</v>
      </c>
      <c r="R3218" s="47" t="inlineStr">
        <is>
          <t>No Video ID yet</t>
        </is>
      </c>
      <c r="S3218" s="49" t="n"/>
      <c r="T3218" s="49" t="n"/>
      <c r="U3218" s="47" t="inlineStr">
        <is>
          <t>Ben talks about how Finding Nemo caused problems in his day to day life... Also I NEED OUTROS! If you want to be my next outro please leave it as a video response or email us at: SuperCarlinBrothers@gmail.com Find us on Facebook! www.facebook.com/SuperCarlinBrothers =D</t>
        </is>
      </c>
      <c r="V3218" s="47">
        <f>IF(AND(P3218&gt;=Calendar!$K$2,P3218&lt;EDATE(Calendar!$K$2,1),OR(Calendar!$K$4="*",N3218=Calendar!$K$4)),P3218*100+COUNTIFS($P$6:$P$3267,P3218,$Q$6:$Q$3267,"&lt;="&amp;Q3218,$N$6:$N$3267,Calendar!$K$4),"")</f>
        <v/>
      </c>
      <c r="W3218" s="47">
        <f>IF(AND(B3218=Queue!$C$4,OR(Queue!$K$4="*",N3218=Queue!$K$4)),Q3218,"")</f>
        <v/>
      </c>
    </row>
    <row r="3219">
      <c r="A3219" s="38">
        <f>IF(M3219="","",HYPERLINK("https://www.youtube.com/watch?v="&amp;M3219,"▶"))</f>
        <v/>
      </c>
      <c r="B3219" s="39">
        <f>IF(C3219&lt;&gt;"",C3219,IF(P3219&lt;=IFERROR(INDEX(tblChannels[Watched Through],MATCH(N3219,tblChannels[Channel ID],0)),0),"Watched","Unwatched"))</f>
        <v/>
      </c>
      <c r="C3219" s="40" t="n"/>
      <c r="D3219" s="41" t="n"/>
      <c r="E3219" s="42" t="n">
        <v>41151.85555555556</v>
      </c>
      <c r="F3219" s="50" t="inlineStr">
        <is>
          <t>Super Carlin Brothers</t>
        </is>
      </c>
      <c r="G3219" t="inlineStr">
        <is>
          <t>First World Problems</t>
        </is>
      </c>
      <c r="H3219" s="44" t="n">
        <v>0.003043981481481481</v>
      </c>
      <c r="I3219" s="45" t="n">
        <v>96717</v>
      </c>
      <c r="J3219" s="45" t="n">
        <v>2093</v>
      </c>
      <c r="K3219" s="45" t="n">
        <v>360</v>
      </c>
      <c r="L3219" s="46" t="n"/>
      <c r="M3219" s="47" t="n"/>
      <c r="N3219" s="47" t="inlineStr">
        <is>
          <t>UCKZo4N0lVPccBkSiuyVh4yg</t>
        </is>
      </c>
      <c r="O3219" s="48" t="n">
        <v>41152.02222222222</v>
      </c>
      <c r="P3219" s="49" t="n">
        <v>41151</v>
      </c>
      <c r="Q3219" s="47" t="n">
        <v>49</v>
      </c>
      <c r="R3219" s="47" t="inlineStr">
        <is>
          <t>No Video ID yet</t>
        </is>
      </c>
      <c r="S3219" s="49" t="n"/>
      <c r="T3219" s="49" t="n"/>
      <c r="U3219" s="47" t="inlineStr">
        <is>
          <t>Jonathan talks about some first world issues he's been having and the history of the phrase "first world" What is a first world problem you have to deal with? TWITTER: www.twitter.com/jonkerlin Send Ben an outtro here: supercarlinbrothers@gmail.com OR upload a video response =D</t>
        </is>
      </c>
      <c r="V3219" s="47">
        <f>IF(AND(P3219&gt;=Calendar!$K$2,P3219&lt;EDATE(Calendar!$K$2,1),OR(Calendar!$K$4="*",N3219=Calendar!$K$4)),P3219*100+COUNTIFS($P$6:$P$3267,P3219,$Q$6:$Q$3267,"&lt;="&amp;Q3219,$N$6:$N$3267,Calendar!$K$4),"")</f>
        <v/>
      </c>
      <c r="W3219" s="47">
        <f>IF(AND(B3219=Queue!$C$4,OR(Queue!$K$4="*",N3219=Queue!$K$4)),Q3219,"")</f>
        <v/>
      </c>
    </row>
    <row r="3220">
      <c r="A3220" s="38">
        <f>IF(M3220="","",HYPERLINK("https://www.youtube.com/watch?v="&amp;M3220,"▶"))</f>
        <v/>
      </c>
      <c r="B3220" s="39">
        <f>IF(C3220&lt;&gt;"",C3220,IF(P3220&lt;=IFERROR(INDEX(tblChannels[Watched Through],MATCH(N3220,tblChannels[Channel ID],0)),0),"Watched","Unwatched"))</f>
        <v/>
      </c>
      <c r="C3220" s="40" t="n"/>
      <c r="D3220" s="41" t="n"/>
      <c r="E3220" s="42" t="n">
        <v>41150.75208333333</v>
      </c>
      <c r="F3220" s="50" t="inlineStr">
        <is>
          <t>Super Carlin Brothers</t>
        </is>
      </c>
      <c r="G3220" t="inlineStr">
        <is>
          <t>Operation Failure</t>
        </is>
      </c>
      <c r="H3220" s="44" t="n">
        <v>0.002199074074074074</v>
      </c>
      <c r="I3220" s="45" t="n">
        <v>17078</v>
      </c>
      <c r="J3220" s="45" t="n">
        <v>395</v>
      </c>
      <c r="K3220" s="45" t="n">
        <v>40</v>
      </c>
      <c r="L3220" s="46" t="n"/>
      <c r="M3220" s="47" t="n"/>
      <c r="N3220" s="47" t="inlineStr">
        <is>
          <t>UCKZo4N0lVPccBkSiuyVh4yg</t>
        </is>
      </c>
      <c r="O3220" s="48" t="n">
        <v>41150.91875</v>
      </c>
      <c r="P3220" s="49" t="n">
        <v>41150</v>
      </c>
      <c r="Q3220" s="47" t="n">
        <v>48</v>
      </c>
      <c r="R3220" s="47" t="inlineStr">
        <is>
          <t>No Video ID yet</t>
        </is>
      </c>
      <c r="S3220" s="49" t="n"/>
      <c r="T3220" s="49" t="n"/>
      <c r="U3220" s="47" t="inlineStr">
        <is>
          <t>Ben divulges into yet ANOTHER story of a failure in his life... what a wreck... If you would like to be Ben's outro for the Friday video he would really appreciate it if you posted one as a video response to any of his videos OR email it to: SuperCarlinBrothers@gmail.com Also! Find us on Facebook! www.facebook.com/SuperCarlinBrothers =D</t>
        </is>
      </c>
      <c r="V3220" s="47">
        <f>IF(AND(P3220&gt;=Calendar!$K$2,P3220&lt;EDATE(Calendar!$K$2,1),OR(Calendar!$K$4="*",N3220=Calendar!$K$4)),P3220*100+COUNTIFS($P$6:$P$3267,P3220,$Q$6:$Q$3267,"&lt;="&amp;Q3220,$N$6:$N$3267,Calendar!$K$4),"")</f>
        <v/>
      </c>
      <c r="W3220" s="47">
        <f>IF(AND(B3220=Queue!$C$4,OR(Queue!$K$4="*",N3220=Queue!$K$4)),Q3220,"")</f>
        <v/>
      </c>
    </row>
    <row r="3221">
      <c r="A3221" s="38">
        <f>IF(M3221="","",HYPERLINK("https://www.youtube.com/watch?v="&amp;M3221,"▶"))</f>
        <v/>
      </c>
      <c r="B3221" s="39">
        <f>IF(C3221&lt;&gt;"",C3221,IF(P3221&lt;=IFERROR(INDEX(tblChannels[Watched Through],MATCH(N3221,tblChannels[Channel ID],0)),0),"Watched","Unwatched"))</f>
        <v/>
      </c>
      <c r="C3221" s="40" t="n"/>
      <c r="D3221" s="41" t="n"/>
      <c r="E3221" s="42" t="n">
        <v>41149.86805555555</v>
      </c>
      <c r="F3221" s="50" t="inlineStr">
        <is>
          <t>Super Carlin Brothers</t>
        </is>
      </c>
      <c r="G3221" t="inlineStr">
        <is>
          <t>Fixty miles of fun!</t>
        </is>
      </c>
      <c r="H3221" s="44" t="n">
        <v>0.003159722222222222</v>
      </c>
      <c r="I3221" s="45" t="n">
        <v>27264</v>
      </c>
      <c r="J3221" s="45" t="n">
        <v>639</v>
      </c>
      <c r="K3221" s="45" t="n">
        <v>54</v>
      </c>
      <c r="L3221" s="46" t="n"/>
      <c r="M3221" s="47" t="n"/>
      <c r="N3221" s="47" t="inlineStr">
        <is>
          <t>UCKZo4N0lVPccBkSiuyVh4yg</t>
        </is>
      </c>
      <c r="O3221" s="48" t="n">
        <v>41150.03472222222</v>
      </c>
      <c r="P3221" s="49" t="n">
        <v>41149</v>
      </c>
      <c r="Q3221" s="47" t="n">
        <v>47</v>
      </c>
      <c r="R3221" s="47" t="inlineStr">
        <is>
          <t>No Video ID yet</t>
        </is>
      </c>
      <c r="S3221" s="49" t="n"/>
      <c r="T3221" s="49" t="n"/>
      <c r="U3221" s="47" t="inlineStr">
        <is>
          <t>Jonathan tells the story of the last time he went cycling, a nice easy fixty miles.... What is your biggest fail turned good? GRIZZLY EAGLE SHARKS: www.facebook.com/supercarlinbrothers TWITTER: @Jonkerlin Send Ben an outro here: supercarlinbrothers@gmail.com OR upload a video response. =D</t>
        </is>
      </c>
      <c r="V3221" s="47">
        <f>IF(AND(P3221&gt;=Calendar!$K$2,P3221&lt;EDATE(Calendar!$K$2,1),OR(Calendar!$K$4="*",N3221=Calendar!$K$4)),P3221*100+COUNTIFS($P$6:$P$3267,P3221,$Q$6:$Q$3267,"&lt;="&amp;Q3221,$N$6:$N$3267,Calendar!$K$4),"")</f>
        <v/>
      </c>
      <c r="W3221" s="47">
        <f>IF(AND(B3221=Queue!$C$4,OR(Queue!$K$4="*",N3221=Queue!$K$4)),Q3221,"")</f>
        <v/>
      </c>
    </row>
    <row r="3222">
      <c r="A3222" s="38">
        <f>IF(M3222="","",HYPERLINK("https://www.youtube.com/watch?v="&amp;M3222,"▶"))</f>
        <v/>
      </c>
      <c r="B3222" s="39">
        <f>IF(C3222&lt;&gt;"",C3222,IF(P3222&lt;=IFERROR(INDEX(tblChannels[Watched Through],MATCH(N3222,tblChannels[Channel ID],0)),0),"Watched","Unwatched"))</f>
        <v/>
      </c>
      <c r="C3222" s="40" t="n"/>
      <c r="D3222" s="41" t="n"/>
      <c r="E3222" s="42" t="n">
        <v>41148.93194444444</v>
      </c>
      <c r="F3222" s="50" t="inlineStr">
        <is>
          <t>Super Carlin Brothers</t>
        </is>
      </c>
      <c r="G3222" t="inlineStr">
        <is>
          <t>The Armstrongs</t>
        </is>
      </c>
      <c r="H3222" s="44" t="n">
        <v>0.002534722222222222</v>
      </c>
      <c r="I3222" s="45" t="n">
        <v>15980</v>
      </c>
      <c r="J3222" s="45" t="n">
        <v>358</v>
      </c>
      <c r="K3222" s="45" t="n">
        <v>49</v>
      </c>
      <c r="L3222" s="46" t="n"/>
      <c r="M3222" s="47" t="n"/>
      <c r="N3222" s="47" t="inlineStr">
        <is>
          <t>UCKZo4N0lVPccBkSiuyVh4yg</t>
        </is>
      </c>
      <c r="O3222" s="48" t="n">
        <v>41149.09861111111</v>
      </c>
      <c r="P3222" s="49" t="n">
        <v>41148</v>
      </c>
      <c r="Q3222" s="47" t="n">
        <v>46</v>
      </c>
      <c r="R3222" s="47" t="inlineStr">
        <is>
          <t>No Video ID yet</t>
        </is>
      </c>
      <c r="S3222" s="49" t="n"/>
      <c r="T3222" s="49" t="n"/>
      <c r="U3222" s="47" t="inlineStr">
        <is>
          <t>Ben talks about an American hero and his personal hero. Hanks Video about Neil Armstrong: If you would like to be our next outro please email it or submit it as a video response! supercarlinbrothers@gmail.com Find us on Facebook! www.facebook.com/SuperCarlinBrothers =D</t>
        </is>
      </c>
      <c r="V3222" s="47">
        <f>IF(AND(P3222&gt;=Calendar!$K$2,P3222&lt;EDATE(Calendar!$K$2,1),OR(Calendar!$K$4="*",N3222=Calendar!$K$4)),P3222*100+COUNTIFS($P$6:$P$3267,P3222,$Q$6:$Q$3267,"&lt;="&amp;Q3222,$N$6:$N$3267,Calendar!$K$4),"")</f>
        <v/>
      </c>
      <c r="W3222" s="47">
        <f>IF(AND(B3222=Queue!$C$4,OR(Queue!$K$4="*",N3222=Queue!$K$4)),Q3222,"")</f>
        <v/>
      </c>
    </row>
    <row r="3223">
      <c r="A3223" s="38">
        <f>IF(M3223="","",HYPERLINK("https://www.youtube.com/watch?v="&amp;M3223,"▶"))</f>
        <v/>
      </c>
      <c r="B3223" s="39">
        <f>IF(C3223&lt;&gt;"",C3223,IF(P3223&lt;=IFERROR(INDEX(tblChannels[Watched Through],MATCH(N3223,tblChannels[Channel ID],0)),0),"Watched","Unwatched"))</f>
        <v/>
      </c>
      <c r="C3223" s="40" t="n"/>
      <c r="D3223" s="41" t="n"/>
      <c r="E3223" s="42" t="n">
        <v>41145.94097222222</v>
      </c>
      <c r="F3223" s="50" t="inlineStr">
        <is>
          <t>Super Carlin Brothers</t>
        </is>
      </c>
      <c r="G3223" t="inlineStr">
        <is>
          <t>Waiting Rooms</t>
        </is>
      </c>
      <c r="H3223" s="44" t="n">
        <v>0.002662037037037037</v>
      </c>
      <c r="I3223" s="45" t="n">
        <v>78879</v>
      </c>
      <c r="J3223" s="45" t="n">
        <v>1597</v>
      </c>
      <c r="K3223" s="45" t="n">
        <v>337</v>
      </c>
      <c r="L3223" s="46" t="n"/>
      <c r="M3223" s="47" t="n"/>
      <c r="N3223" s="47" t="inlineStr">
        <is>
          <t>UCKZo4N0lVPccBkSiuyVh4yg</t>
        </is>
      </c>
      <c r="O3223" s="48" t="n">
        <v>41146.10763888889</v>
      </c>
      <c r="P3223" s="49" t="n">
        <v>41145</v>
      </c>
      <c r="Q3223" s="47" t="n">
        <v>45</v>
      </c>
      <c r="R3223" s="47" t="inlineStr">
        <is>
          <t>No Video ID yet</t>
        </is>
      </c>
      <c r="S3223" s="49" t="n"/>
      <c r="T3223" s="49" t="n"/>
      <c r="U3223" s="47" t="inlineStr">
        <is>
          <t>Jonathan talks about his hatred for waiting rooms and doctor visits - What is your worst waiting room experience? Grizzly Eagle Sharks go here: www.facebook.com/supercarlinbrothers Ben's Outtro's go here: supercarlinbrothers@gmail.com OR upload as a video response =D</t>
        </is>
      </c>
      <c r="V3223" s="47">
        <f>IF(AND(P3223&gt;=Calendar!$K$2,P3223&lt;EDATE(Calendar!$K$2,1),OR(Calendar!$K$4="*",N3223=Calendar!$K$4)),P3223*100+COUNTIFS($P$6:$P$3267,P3223,$Q$6:$Q$3267,"&lt;="&amp;Q3223,$N$6:$N$3267,Calendar!$K$4),"")</f>
        <v/>
      </c>
      <c r="W3223" s="47">
        <f>IF(AND(B3223=Queue!$C$4,OR(Queue!$K$4="*",N3223=Queue!$K$4)),Q3223,"")</f>
        <v/>
      </c>
    </row>
    <row r="3224">
      <c r="A3224" s="38">
        <f>IF(M3224="","",HYPERLINK("https://www.youtube.com/watch?v="&amp;M3224,"▶"))</f>
        <v/>
      </c>
      <c r="B3224" s="39">
        <f>IF(C3224&lt;&gt;"",C3224,IF(P3224&lt;=IFERROR(INDEX(tblChannels[Watched Through],MATCH(N3224,tblChannels[Channel ID],0)),0),"Watched","Unwatched"))</f>
        <v/>
      </c>
      <c r="C3224" s="40" t="n"/>
      <c r="D3224" s="41" t="n"/>
      <c r="E3224" s="42" t="n">
        <v>41144.80069444444</v>
      </c>
      <c r="F3224" s="50" t="inlineStr">
        <is>
          <t>Super Carlin Brothers</t>
        </is>
      </c>
      <c r="G3224" t="inlineStr">
        <is>
          <t>Awkward Stander</t>
        </is>
      </c>
      <c r="H3224" s="44" t="n">
        <v>0.002256944444444444</v>
      </c>
      <c r="I3224" s="45" t="n">
        <v>17088</v>
      </c>
      <c r="J3224" s="45" t="n">
        <v>448</v>
      </c>
      <c r="K3224" s="45" t="n">
        <v>60</v>
      </c>
      <c r="L3224" s="46" t="n"/>
      <c r="M3224" s="47" t="n"/>
      <c r="N3224" s="47" t="inlineStr">
        <is>
          <t>UCKZo4N0lVPccBkSiuyVh4yg</t>
        </is>
      </c>
      <c r="O3224" s="48" t="n">
        <v>41144.96736111111</v>
      </c>
      <c r="P3224" s="49" t="n">
        <v>41144</v>
      </c>
      <c r="Q3224" s="47" t="n">
        <v>44</v>
      </c>
      <c r="R3224" s="47" t="inlineStr">
        <is>
          <t>No Video ID yet</t>
        </is>
      </c>
      <c r="S3224" s="49" t="n"/>
      <c r="T3224" s="49" t="n"/>
      <c r="U3224" s="47" t="inlineStr">
        <is>
          <t>Ben talks about his secret curse... Awkward standing. If you'd like to do an outro either leave it as a video response or email it to SuperCarlinBrothers@gmail.com Find us on Facebook! www.facebook.com/supercarlinbrothers =D</t>
        </is>
      </c>
      <c r="V3224" s="47">
        <f>IF(AND(P3224&gt;=Calendar!$K$2,P3224&lt;EDATE(Calendar!$K$2,1),OR(Calendar!$K$4="*",N3224=Calendar!$K$4)),P3224*100+COUNTIFS($P$6:$P$3267,P3224,$Q$6:$Q$3267,"&lt;="&amp;Q3224,$N$6:$N$3267,Calendar!$K$4),"")</f>
        <v/>
      </c>
      <c r="W3224" s="47">
        <f>IF(AND(B3224=Queue!$C$4,OR(Queue!$K$4="*",N3224=Queue!$K$4)),Q3224,"")</f>
        <v/>
      </c>
    </row>
    <row r="3225">
      <c r="A3225" s="38">
        <f>IF(M3225="","",HYPERLINK("https://www.youtube.com/watch?v="&amp;M3225,"▶"))</f>
        <v/>
      </c>
      <c r="B3225" s="39">
        <f>IF(C3225&lt;&gt;"",C3225,IF(P3225&lt;=IFERROR(INDEX(tblChannels[Watched Through],MATCH(N3225,tblChannels[Channel ID],0)),0),"Watched","Unwatched"))</f>
        <v/>
      </c>
      <c r="C3225" s="40" t="n"/>
      <c r="D3225" s="41" t="n"/>
      <c r="E3225" s="42" t="n">
        <v>41143.87847222222</v>
      </c>
      <c r="F3225" s="50" t="inlineStr">
        <is>
          <t>Super Carlin Brothers</t>
        </is>
      </c>
      <c r="G3225" t="inlineStr">
        <is>
          <t>Food Thoughts</t>
        </is>
      </c>
      <c r="H3225" s="44" t="n">
        <v>0.002881944444444444</v>
      </c>
      <c r="I3225" s="45" t="n">
        <v>55636</v>
      </c>
      <c r="J3225" s="45" t="n">
        <v>991</v>
      </c>
      <c r="K3225" s="45" t="n">
        <v>208</v>
      </c>
      <c r="L3225" s="46" t="n"/>
      <c r="M3225" s="47" t="n"/>
      <c r="N3225" s="47" t="inlineStr">
        <is>
          <t>UCKZo4N0lVPccBkSiuyVh4yg</t>
        </is>
      </c>
      <c r="O3225" s="48" t="n">
        <v>41144.04513888889</v>
      </c>
      <c r="P3225" s="49" t="n">
        <v>41143</v>
      </c>
      <c r="Q3225" s="47" t="n">
        <v>43</v>
      </c>
      <c r="R3225" s="47" t="inlineStr">
        <is>
          <t>No Video ID yet</t>
        </is>
      </c>
      <c r="S3225" s="49" t="n"/>
      <c r="T3225" s="49" t="n"/>
      <c r="U3225" s="47" t="inlineStr">
        <is>
          <t>Jonathan talks about ordering at restaurants, hamburgers, and hilarious food. FACEBOOK: www.facebook.com/supercarlinbrothers Upload Grizzly Eagle Sharks! Send Ben an outro here: supercarlinbrothers@gmail.com OR upload them as a video response! =D</t>
        </is>
      </c>
      <c r="V3225" s="47">
        <f>IF(AND(P3225&gt;=Calendar!$K$2,P3225&lt;EDATE(Calendar!$K$2,1),OR(Calendar!$K$4="*",N3225=Calendar!$K$4)),P3225*100+COUNTIFS($P$6:$P$3267,P3225,$Q$6:$Q$3267,"&lt;="&amp;Q3225,$N$6:$N$3267,Calendar!$K$4),"")</f>
        <v/>
      </c>
      <c r="W3225" s="47">
        <f>IF(AND(B3225=Queue!$C$4,OR(Queue!$K$4="*",N3225=Queue!$K$4)),Q3225,"")</f>
        <v/>
      </c>
    </row>
    <row r="3226">
      <c r="A3226" s="38">
        <f>IF(M3226="","",HYPERLINK("https://www.youtube.com/watch?v="&amp;M3226,"▶"))</f>
        <v/>
      </c>
      <c r="B3226" s="39">
        <f>IF(C3226&lt;&gt;"",C3226,IF(P3226&lt;=IFERROR(INDEX(tblChannels[Watched Through],MATCH(N3226,tblChannels[Channel ID],0)),0),"Watched","Unwatched"))</f>
        <v/>
      </c>
      <c r="C3226" s="40" t="n"/>
      <c r="D3226" s="41" t="n"/>
      <c r="E3226" s="42" t="n">
        <v>41142.95902777778</v>
      </c>
      <c r="F3226" s="50" t="inlineStr">
        <is>
          <t>Super Carlin Brothers</t>
        </is>
      </c>
      <c r="G3226" t="inlineStr">
        <is>
          <t>Negative Political Ads</t>
        </is>
      </c>
      <c r="H3226" s="44" t="n">
        <v>0.002361111111111111</v>
      </c>
      <c r="I3226" s="45" t="n">
        <v>17981</v>
      </c>
      <c r="J3226" s="45" t="n">
        <v>434</v>
      </c>
      <c r="K3226" s="45" t="n">
        <v>41</v>
      </c>
      <c r="L3226" s="46" t="n"/>
      <c r="M3226" s="47" t="n"/>
      <c r="N3226" s="47" t="inlineStr">
        <is>
          <t>UCKZo4N0lVPccBkSiuyVh4yg</t>
        </is>
      </c>
      <c r="O3226" s="48" t="n">
        <v>41143.12569444445</v>
      </c>
      <c r="P3226" s="49" t="n">
        <v>41142</v>
      </c>
      <c r="Q3226" s="47" t="n">
        <v>42</v>
      </c>
      <c r="R3226" s="47" t="inlineStr">
        <is>
          <t>No Video ID yet</t>
        </is>
      </c>
      <c r="S3226" s="49" t="n"/>
      <c r="T3226" s="49" t="n"/>
      <c r="U3226" s="47" t="inlineStr">
        <is>
          <t>Ben talks about ever annoying political ads. If you would like to be my next outro please leave it as a video response or email it to: SuperCarlinBrothers@gmail.com Find us on Facebook! www.facebook.com/SuperCarlinBrothers =D</t>
        </is>
      </c>
      <c r="V3226" s="47">
        <f>IF(AND(P3226&gt;=Calendar!$K$2,P3226&lt;EDATE(Calendar!$K$2,1),OR(Calendar!$K$4="*",N3226=Calendar!$K$4)),P3226*100+COUNTIFS($P$6:$P$3267,P3226,$Q$6:$Q$3267,"&lt;="&amp;Q3226,$N$6:$N$3267,Calendar!$K$4),"")</f>
        <v/>
      </c>
      <c r="W3226" s="47">
        <f>IF(AND(B3226=Queue!$C$4,OR(Queue!$K$4="*",N3226=Queue!$K$4)),Q3226,"")</f>
        <v/>
      </c>
    </row>
    <row r="3227">
      <c r="A3227" s="38">
        <f>IF(M3227="","",HYPERLINK("https://www.youtube.com/watch?v="&amp;M3227,"▶"))</f>
        <v/>
      </c>
      <c r="B3227" s="39">
        <f>IF(C3227&lt;&gt;"",C3227,IF(P3227&lt;=IFERROR(INDEX(tblChannels[Watched Through],MATCH(N3227,tblChannels[Channel ID],0)),0),"Watched","Unwatched"))</f>
        <v/>
      </c>
      <c r="C3227" s="40" t="n"/>
      <c r="D3227" s="41" t="n"/>
      <c r="E3227" s="42" t="n">
        <v>41141.94791666666</v>
      </c>
      <c r="F3227" s="50" t="inlineStr">
        <is>
          <t>Super Carlin Brothers</t>
        </is>
      </c>
      <c r="G3227" t="inlineStr">
        <is>
          <t>The To-Do's</t>
        </is>
      </c>
      <c r="H3227" s="44" t="n">
        <v>0.002326388888888889</v>
      </c>
      <c r="I3227" s="45" t="n">
        <v>27533</v>
      </c>
      <c r="J3227" s="45" t="n">
        <v>678</v>
      </c>
      <c r="K3227" s="45" t="n">
        <v>151</v>
      </c>
      <c r="L3227" s="46" t="n"/>
      <c r="M3227" s="47" t="n"/>
      <c r="N3227" s="47" t="inlineStr">
        <is>
          <t>UCKZo4N0lVPccBkSiuyVh4yg</t>
        </is>
      </c>
      <c r="O3227" s="48" t="n">
        <v>41142.11458333334</v>
      </c>
      <c r="P3227" s="49" t="n">
        <v>41141</v>
      </c>
      <c r="Q3227" s="47" t="n">
        <v>41</v>
      </c>
      <c r="R3227" s="47" t="inlineStr">
        <is>
          <t>No Video ID yet</t>
        </is>
      </c>
      <c r="S3227" s="49" t="n"/>
      <c r="T3227" s="49" t="n"/>
      <c r="U3227" s="47" t="inlineStr">
        <is>
          <t>How do you procrastinate? Grizzly Eagle Sharks go here: www.facebook.com/SuperCarlinBrothers Twitter: www.twitter.com/jonkerlin =D</t>
        </is>
      </c>
      <c r="V3227" s="47">
        <f>IF(AND(P3227&gt;=Calendar!$K$2,P3227&lt;EDATE(Calendar!$K$2,1),OR(Calendar!$K$4="*",N3227=Calendar!$K$4)),P3227*100+COUNTIFS($P$6:$P$3267,P3227,$Q$6:$Q$3267,"&lt;="&amp;Q3227,$N$6:$N$3267,Calendar!$K$4),"")</f>
        <v/>
      </c>
      <c r="W3227" s="47">
        <f>IF(AND(B3227=Queue!$C$4,OR(Queue!$K$4="*",N3227=Queue!$K$4)),Q3227,"")</f>
        <v/>
      </c>
    </row>
    <row r="3228">
      <c r="A3228" s="38">
        <f>IF(M3228="","",HYPERLINK("https://www.youtube.com/watch?v="&amp;M3228,"▶"))</f>
        <v/>
      </c>
      <c r="B3228" s="39">
        <f>IF(C3228&lt;&gt;"",C3228,IF(P3228&lt;=IFERROR(INDEX(tblChannels[Watched Through],MATCH(N3228,tblChannels[Channel ID],0)),0),"Watched","Unwatched"))</f>
        <v/>
      </c>
      <c r="C3228" s="40" t="n"/>
      <c r="D3228" s="41" t="n"/>
      <c r="E3228" s="42" t="n">
        <v>41138.79861111111</v>
      </c>
      <c r="F3228" s="50" t="inlineStr">
        <is>
          <t>Super Carlin Brothers</t>
        </is>
      </c>
      <c r="G3228" t="inlineStr">
        <is>
          <t>Why I'm Not a Reporter</t>
        </is>
      </c>
      <c r="H3228" s="44" t="n">
        <v>0.002476851851851852</v>
      </c>
      <c r="I3228" s="45" t="n">
        <v>19230</v>
      </c>
      <c r="J3228" s="45" t="n">
        <v>532</v>
      </c>
      <c r="K3228" s="45" t="n">
        <v>67</v>
      </c>
      <c r="L3228" s="46" t="n"/>
      <c r="M3228" s="47" t="n"/>
      <c r="N3228" s="47" t="inlineStr">
        <is>
          <t>UCKZo4N0lVPccBkSiuyVh4yg</t>
        </is>
      </c>
      <c r="O3228" s="48" t="n">
        <v>41138.96527777778</v>
      </c>
      <c r="P3228" s="49" t="n">
        <v>41138</v>
      </c>
      <c r="Q3228" s="47" t="n">
        <v>40</v>
      </c>
      <c r="R3228" s="47" t="inlineStr">
        <is>
          <t>No Video ID yet</t>
        </is>
      </c>
      <c r="S3228" s="49" t="n"/>
      <c r="T3228" s="49" t="n"/>
      <c r="U3228" s="47" t="inlineStr">
        <is>
          <t>Ben tells the tale of a life changing childhood experience that altered the trajectory of his life and stuff. If you would like to send us an outro please email it to: SuperCarlinBrothers@gmail.com Also if you'd like to submit a Giraffalent or Grizzly Eagle Shark sketch! www.facebook.com/SuperCarlinBrothers Thanks For Watching!! =D</t>
        </is>
      </c>
      <c r="V3228" s="47">
        <f>IF(AND(P3228&gt;=Calendar!$K$2,P3228&lt;EDATE(Calendar!$K$2,1),OR(Calendar!$K$4="*",N3228=Calendar!$K$4)),P3228*100+COUNTIFS($P$6:$P$3267,P3228,$Q$6:$Q$3267,"&lt;="&amp;Q3228,$N$6:$N$3267,Calendar!$K$4),"")</f>
        <v/>
      </c>
      <c r="W3228" s="47">
        <f>IF(AND(B3228=Queue!$C$4,OR(Queue!$K$4="*",N3228=Queue!$K$4)),Q3228,"")</f>
        <v/>
      </c>
    </row>
    <row r="3229">
      <c r="A3229" s="38">
        <f>IF(M3229="","",HYPERLINK("https://www.youtube.com/watch?v="&amp;M3229,"▶"))</f>
        <v/>
      </c>
      <c r="B3229" s="39">
        <f>IF(C3229&lt;&gt;"",C3229,IF(P3229&lt;=IFERROR(INDEX(tblChannels[Watched Through],MATCH(N3229,tblChannels[Channel ID],0)),0),"Watched","Unwatched"))</f>
        <v/>
      </c>
      <c r="C3229" s="40" t="n"/>
      <c r="D3229" s="41" t="n"/>
      <c r="E3229" s="42" t="n">
        <v>41137.92152777778</v>
      </c>
      <c r="F3229" s="50" t="inlineStr">
        <is>
          <t>Super Carlin Brothers</t>
        </is>
      </c>
      <c r="G3229" t="inlineStr">
        <is>
          <t>My Worst Breakup</t>
        </is>
      </c>
      <c r="H3229" s="44" t="n">
        <v>0.003194444444444445</v>
      </c>
      <c r="I3229" s="45" t="n">
        <v>80004</v>
      </c>
      <c r="J3229" s="45" t="n">
        <v>1688</v>
      </c>
      <c r="K3229" s="45" t="n">
        <v>221</v>
      </c>
      <c r="L3229" s="46" t="n"/>
      <c r="M3229" s="47" t="n"/>
      <c r="N3229" s="47" t="inlineStr">
        <is>
          <t>UCKZo4N0lVPccBkSiuyVh4yg</t>
        </is>
      </c>
      <c r="O3229" s="48" t="n">
        <v>41138.08819444444</v>
      </c>
      <c r="P3229" s="49" t="n">
        <v>41137</v>
      </c>
      <c r="Q3229" s="47" t="n">
        <v>39</v>
      </c>
      <c r="R3229" s="47" t="inlineStr">
        <is>
          <t>No Video ID yet</t>
        </is>
      </c>
      <c r="S3229" s="49" t="n"/>
      <c r="T3229" s="49" t="n"/>
      <c r="U3229" s="47" t="inlineStr">
        <is>
          <t>Jonathan discusses about the worst way he was ever dumped. What is the worst breakup you have endured? Ben Outro's go here: SuperCarlinBrothers@gmail.com (or upload a video response) Grizzly Eagle Sharks go here: www.facebook.com/supercarlinbrothers =D</t>
        </is>
      </c>
      <c r="V3229" s="47">
        <f>IF(AND(P3229&gt;=Calendar!$K$2,P3229&lt;EDATE(Calendar!$K$2,1),OR(Calendar!$K$4="*",N3229=Calendar!$K$4)),P3229*100+COUNTIFS($P$6:$P$3267,P3229,$Q$6:$Q$3267,"&lt;="&amp;Q3229,$N$6:$N$3267,Calendar!$K$4),"")</f>
        <v/>
      </c>
      <c r="W3229" s="47">
        <f>IF(AND(B3229=Queue!$C$4,OR(Queue!$K$4="*",N3229=Queue!$K$4)),Q3229,"")</f>
        <v/>
      </c>
    </row>
    <row r="3230">
      <c r="A3230" s="38">
        <f>IF(M3230="","",HYPERLINK("https://www.youtube.com/watch?v="&amp;M3230,"▶"))</f>
        <v/>
      </c>
      <c r="B3230" s="39">
        <f>IF(C3230&lt;&gt;"",C3230,IF(P3230&lt;=IFERROR(INDEX(tblChannels[Watched Through],MATCH(N3230,tblChannels[Channel ID],0)),0),"Watched","Unwatched"))</f>
        <v/>
      </c>
      <c r="C3230" s="40" t="n"/>
      <c r="D3230" s="41" t="n"/>
      <c r="E3230" s="42" t="n">
        <v>41136.67083333333</v>
      </c>
      <c r="F3230" s="50" t="inlineStr">
        <is>
          <t>Super Carlin Brothers</t>
        </is>
      </c>
      <c r="G3230" t="inlineStr">
        <is>
          <t>Blobs and Breakups</t>
        </is>
      </c>
      <c r="H3230" s="44" t="n">
        <v>0.00212962962962963</v>
      </c>
      <c r="I3230" s="45" t="n">
        <v>20033</v>
      </c>
      <c r="J3230" s="45" t="n">
        <v>419</v>
      </c>
      <c r="K3230" s="45" t="n">
        <v>31</v>
      </c>
      <c r="L3230" s="46" t="n"/>
      <c r="M3230" s="47" t="n"/>
      <c r="N3230" s="47" t="inlineStr">
        <is>
          <t>UCKZo4N0lVPccBkSiuyVh4yg</t>
        </is>
      </c>
      <c r="O3230" s="48" t="n">
        <v>41136.8375</v>
      </c>
      <c r="P3230" s="49" t="n">
        <v>41136</v>
      </c>
      <c r="Q3230" s="47" t="n">
        <v>38</v>
      </c>
      <c r="R3230" s="47" t="inlineStr">
        <is>
          <t>No Video ID yet</t>
        </is>
      </c>
      <c r="S3230" s="49" t="n"/>
      <c r="T3230" s="49" t="n"/>
      <c r="U3230" s="47" t="inlineStr">
        <is>
          <t>Ben gives his advice on breakups and poses a question about an unusual breakup concept! Give your thoughts in the comments! If you wanna be as cool as Katie and send us an Outro: supercarlinbrothers@gmail.com Also Like us on Facebook! www.facebook.com/SuperCarlinBrothers Thanks for watching! =D</t>
        </is>
      </c>
      <c r="V3230" s="47">
        <f>IF(AND(P3230&gt;=Calendar!$K$2,P3230&lt;EDATE(Calendar!$K$2,1),OR(Calendar!$K$4="*",N3230=Calendar!$K$4)),P3230*100+COUNTIFS($P$6:$P$3267,P3230,$Q$6:$Q$3267,"&lt;="&amp;Q3230,$N$6:$N$3267,Calendar!$K$4),"")</f>
        <v/>
      </c>
      <c r="W3230" s="47">
        <f>IF(AND(B3230=Queue!$C$4,OR(Queue!$K$4="*",N3230=Queue!$K$4)),Q3230,"")</f>
        <v/>
      </c>
    </row>
    <row r="3231">
      <c r="A3231" s="38">
        <f>IF(M3231="","",HYPERLINK("https://www.youtube.com/watch?v="&amp;M3231,"▶"))</f>
        <v/>
      </c>
      <c r="B3231" s="39">
        <f>IF(C3231&lt;&gt;"",C3231,IF(P3231&lt;=IFERROR(INDEX(tblChannels[Watched Through],MATCH(N3231,tblChannels[Channel ID],0)),0),"Watched","Unwatched"))</f>
        <v/>
      </c>
      <c r="C3231" s="40" t="n"/>
      <c r="D3231" s="41" t="n"/>
      <c r="E3231" s="42" t="n">
        <v>41135.8625</v>
      </c>
      <c r="F3231" s="50" t="inlineStr">
        <is>
          <t>Super Carlin Brothers</t>
        </is>
      </c>
      <c r="G3231" t="inlineStr">
        <is>
          <t>Shark Gets Angry!</t>
        </is>
      </c>
      <c r="H3231" s="44" t="n">
        <v>0.002685185185185185</v>
      </c>
      <c r="I3231" s="45" t="n">
        <v>34906</v>
      </c>
      <c r="J3231" s="45" t="n">
        <v>764</v>
      </c>
      <c r="K3231" s="45" t="n">
        <v>157</v>
      </c>
      <c r="L3231" s="46" t="n"/>
      <c r="M3231" s="47" t="n"/>
      <c r="N3231" s="47" t="inlineStr">
        <is>
          <t>UCKZo4N0lVPccBkSiuyVh4yg</t>
        </is>
      </c>
      <c r="O3231" s="48" t="n">
        <v>41136.02916666667</v>
      </c>
      <c r="P3231" s="49" t="n">
        <v>41135</v>
      </c>
      <c r="Q3231" s="47" t="n">
        <v>37</v>
      </c>
      <c r="R3231" s="47" t="inlineStr">
        <is>
          <t>No Video ID yet</t>
        </is>
      </c>
      <c r="S3231" s="49" t="n"/>
      <c r="T3231" s="49" t="n"/>
      <c r="U3231" s="47" t="inlineStr">
        <is>
          <t>Jonathan empathizes with a shark and discusses some of the unusual advancements in shark observation technology. What animal would you like see a week about? Ben's Sign off's go here: SuperCarlinBrothers@gmail.com (or upload a video response) Grizzly Eagle Sharks go here: www.facebook.com/supercarlinbrothers =D</t>
        </is>
      </c>
      <c r="V3231" s="47">
        <f>IF(AND(P3231&gt;=Calendar!$K$2,P3231&lt;EDATE(Calendar!$K$2,1),OR(Calendar!$K$4="*",N3231=Calendar!$K$4)),P3231*100+COUNTIFS($P$6:$P$3267,P3231,$Q$6:$Q$3267,"&lt;="&amp;Q3231,$N$6:$N$3267,Calendar!$K$4),"")</f>
        <v/>
      </c>
      <c r="W3231" s="47">
        <f>IF(AND(B3231=Queue!$C$4,OR(Queue!$K$4="*",N3231=Queue!$K$4)),Q3231,"")</f>
        <v/>
      </c>
    </row>
    <row r="3232">
      <c r="A3232" s="38">
        <f>IF(M3232="","",HYPERLINK("https://www.youtube.com/watch?v="&amp;M3232,"▶"))</f>
        <v/>
      </c>
      <c r="B3232" s="39">
        <f>IF(C3232&lt;&gt;"",C3232,IF(P3232&lt;=IFERROR(INDEX(tblChannels[Watched Through],MATCH(N3232,tblChannels[Channel ID],0)),0),"Watched","Unwatched"))</f>
        <v/>
      </c>
      <c r="C3232" s="40" t="n"/>
      <c r="D3232" s="41" t="n"/>
      <c r="E3232" s="42" t="n">
        <v>41134.7</v>
      </c>
      <c r="F3232" s="50" t="inlineStr">
        <is>
          <t>Super Carlin Brothers</t>
        </is>
      </c>
      <c r="G3232" t="inlineStr">
        <is>
          <t>Single Topic Friends</t>
        </is>
      </c>
      <c r="H3232" s="44" t="n">
        <v>0.002106481481481481</v>
      </c>
      <c r="I3232" s="45" t="n">
        <v>18918</v>
      </c>
      <c r="J3232" s="45" t="n">
        <v>474</v>
      </c>
      <c r="K3232" s="45" t="n">
        <v>65</v>
      </c>
      <c r="L3232" s="46" t="n"/>
      <c r="M3232" s="47" t="n"/>
      <c r="N3232" s="47" t="inlineStr">
        <is>
          <t>UCKZo4N0lVPccBkSiuyVh4yg</t>
        </is>
      </c>
      <c r="O3232" s="48" t="n">
        <v>41134.86666666667</v>
      </c>
      <c r="P3232" s="49" t="n">
        <v>41134</v>
      </c>
      <c r="Q3232" s="47" t="n">
        <v>36</v>
      </c>
      <c r="R3232" s="47" t="inlineStr">
        <is>
          <t>No Video ID yet</t>
        </is>
      </c>
      <c r="S3232" s="49" t="n"/>
      <c r="T3232" s="49" t="n"/>
      <c r="U3232" s="47" t="inlineStr">
        <is>
          <t>Ben talks about a friend that you only ever have one thing to talk about, does this ever happen to you? If you want to email us a video of your sign off : supercarlinbrothers@gmail.com Find us on Facebook! www.facebook.com/supercarlinbrothers =D</t>
        </is>
      </c>
      <c r="V3232" s="47">
        <f>IF(AND(P3232&gt;=Calendar!$K$2,P3232&lt;EDATE(Calendar!$K$2,1),OR(Calendar!$K$4="*",N3232=Calendar!$K$4)),P3232*100+COUNTIFS($P$6:$P$3267,P3232,$Q$6:$Q$3267,"&lt;="&amp;Q3232,$N$6:$N$3267,Calendar!$K$4),"")</f>
        <v/>
      </c>
      <c r="W3232" s="47">
        <f>IF(AND(B3232=Queue!$C$4,OR(Queue!$K$4="*",N3232=Queue!$K$4)),Q3232,"")</f>
        <v/>
      </c>
    </row>
    <row r="3233">
      <c r="A3233" s="38">
        <f>IF(M3233="","",HYPERLINK("https://www.youtube.com/watch?v="&amp;M3233,"▶"))</f>
        <v/>
      </c>
      <c r="B3233" s="39">
        <f>IF(C3233&lt;&gt;"",C3233,IF(P3233&lt;=IFERROR(INDEX(tblChannels[Watched Through],MATCH(N3233,tblChannels[Channel ID],0)),0),"Watched","Unwatched"))</f>
        <v/>
      </c>
      <c r="C3233" s="40" t="n"/>
      <c r="D3233" s="41" t="n"/>
      <c r="E3233" s="42" t="n">
        <v>41131.81805555556</v>
      </c>
      <c r="F3233" s="50" t="inlineStr">
        <is>
          <t>Super Carlin Brothers</t>
        </is>
      </c>
      <c r="G3233" t="inlineStr">
        <is>
          <t>Ask J! #2</t>
        </is>
      </c>
      <c r="H3233" s="44" t="n">
        <v>0.002939814814814815</v>
      </c>
      <c r="I3233" s="45" t="n">
        <v>32417</v>
      </c>
      <c r="J3233" s="45" t="n">
        <v>704</v>
      </c>
      <c r="K3233" s="45" t="n">
        <v>102</v>
      </c>
      <c r="L3233" s="46" t="n"/>
      <c r="M3233" s="47" t="n"/>
      <c r="N3233" s="47" t="inlineStr">
        <is>
          <t>UCKZo4N0lVPccBkSiuyVh4yg</t>
        </is>
      </c>
      <c r="O3233" s="48" t="n">
        <v>41131.98472222222</v>
      </c>
      <c r="P3233" s="49" t="n">
        <v>41131</v>
      </c>
      <c r="Q3233" s="47" t="n">
        <v>35</v>
      </c>
      <c r="R3233" s="47" t="inlineStr">
        <is>
          <t>No Video ID yet</t>
        </is>
      </c>
      <c r="S3233" s="49" t="n"/>
      <c r="T3233" s="49" t="n"/>
      <c r="U3233" s="47" t="inlineStr">
        <is>
          <t>Jonathan answers you questions, from shoe preference to pokemon, to woodchucks. Marcel the Shell with Shoes On: Stuff White People Like: Upload your Grizzly Eagle Shark here: www.facebook.com/supercarlinbrothers =D</t>
        </is>
      </c>
      <c r="V3233" s="47">
        <f>IF(AND(P3233&gt;=Calendar!$K$2,P3233&lt;EDATE(Calendar!$K$2,1),OR(Calendar!$K$4="*",N3233=Calendar!$K$4)),P3233*100+COUNTIFS($P$6:$P$3267,P3233,$Q$6:$Q$3267,"&lt;="&amp;Q3233,$N$6:$N$3267,Calendar!$K$4),"")</f>
        <v/>
      </c>
      <c r="W3233" s="47">
        <f>IF(AND(B3233=Queue!$C$4,OR(Queue!$K$4="*",N3233=Queue!$K$4)),Q3233,"")</f>
        <v/>
      </c>
    </row>
    <row r="3234">
      <c r="A3234" s="38">
        <f>IF(M3234="","",HYPERLINK("https://www.youtube.com/watch?v="&amp;M3234,"▶"))</f>
        <v/>
      </c>
      <c r="B3234" s="39">
        <f>IF(C3234&lt;&gt;"",C3234,IF(P3234&lt;=IFERROR(INDEX(tblChannels[Watched Through],MATCH(N3234,tblChannels[Channel ID],0)),0),"Watched","Unwatched"))</f>
        <v/>
      </c>
      <c r="C3234" s="40" t="n"/>
      <c r="D3234" s="41" t="n"/>
      <c r="E3234" s="42" t="n">
        <v>41130.675</v>
      </c>
      <c r="F3234" s="50" t="inlineStr">
        <is>
          <t>Super Carlin Brothers</t>
        </is>
      </c>
      <c r="G3234" t="inlineStr">
        <is>
          <t>Do as I Say, Not as I Do.</t>
        </is>
      </c>
      <c r="H3234" s="44" t="n">
        <v>0.002256944444444444</v>
      </c>
      <c r="I3234" s="45" t="n">
        <v>22563</v>
      </c>
      <c r="J3234" s="45" t="n">
        <v>543</v>
      </c>
      <c r="K3234" s="45" t="n">
        <v>59</v>
      </c>
      <c r="L3234" s="46" t="n"/>
      <c r="M3234" s="47" t="n"/>
      <c r="N3234" s="47" t="inlineStr">
        <is>
          <t>UCKZo4N0lVPccBkSiuyVh4yg</t>
        </is>
      </c>
      <c r="O3234" s="48" t="n">
        <v>41130.84166666667</v>
      </c>
      <c r="P3234" s="49" t="n">
        <v>41130</v>
      </c>
      <c r="Q3234" s="47" t="n">
        <v>34</v>
      </c>
      <c r="R3234" s="47" t="inlineStr">
        <is>
          <t>No Video ID yet</t>
        </is>
      </c>
      <c r="S3234" s="49" t="n"/>
      <c r="T3234" s="49" t="n"/>
      <c r="U3234" s="47" t="inlineStr">
        <is>
          <t>Ben talks about the phenomenon associated with knowing the world won't come to an end if you step out of a given set of boundaries yet how great the end result can be if you operate within them. =D</t>
        </is>
      </c>
      <c r="V3234" s="47">
        <f>IF(AND(P3234&gt;=Calendar!$K$2,P3234&lt;EDATE(Calendar!$K$2,1),OR(Calendar!$K$4="*",N3234=Calendar!$K$4)),P3234*100+COUNTIFS($P$6:$P$3267,P3234,$Q$6:$Q$3267,"&lt;="&amp;Q3234,$N$6:$N$3267,Calendar!$K$4),"")</f>
        <v/>
      </c>
      <c r="W3234" s="47">
        <f>IF(AND(B3234=Queue!$C$4,OR(Queue!$K$4="*",N3234=Queue!$K$4)),Q3234,"")</f>
        <v/>
      </c>
    </row>
    <row r="3235">
      <c r="A3235" s="38">
        <f>IF(M3235="","",HYPERLINK("https://www.youtube.com/watch?v="&amp;M3235,"▶"))</f>
        <v/>
      </c>
      <c r="B3235" s="39">
        <f>IF(C3235&lt;&gt;"",C3235,IF(P3235&lt;=IFERROR(INDEX(tblChannels[Watched Through],MATCH(N3235,tblChannels[Channel ID],0)),0),"Watched","Unwatched"))</f>
        <v/>
      </c>
      <c r="C3235" s="40" t="n"/>
      <c r="D3235" s="41" t="n"/>
      <c r="E3235" s="42" t="n">
        <v>41129.89375</v>
      </c>
      <c r="F3235" s="50" t="inlineStr">
        <is>
          <t>Super Carlin Brothers</t>
        </is>
      </c>
      <c r="G3235" t="inlineStr">
        <is>
          <t>You can't count to a Billion</t>
        </is>
      </c>
      <c r="H3235" s="44" t="n">
        <v>0.002708333333333333</v>
      </c>
      <c r="I3235" s="45" t="n">
        <v>605399</v>
      </c>
      <c r="J3235" s="45" t="n">
        <v>11625</v>
      </c>
      <c r="K3235" s="45" t="n">
        <v>2060</v>
      </c>
      <c r="L3235" s="46" t="n"/>
      <c r="M3235" s="47" t="n"/>
      <c r="N3235" s="47" t="inlineStr">
        <is>
          <t>UCKZo4N0lVPccBkSiuyVh4yg</t>
        </is>
      </c>
      <c r="O3235" s="48" t="n">
        <v>41130.06041666667</v>
      </c>
      <c r="P3235" s="49" t="n">
        <v>41129</v>
      </c>
      <c r="Q3235" s="47" t="n">
        <v>33</v>
      </c>
      <c r="R3235" s="47" t="inlineStr">
        <is>
          <t>No Video ID yet</t>
        </is>
      </c>
      <c r="S3235" s="49" t="n"/>
      <c r="T3235" s="49" t="n"/>
      <c r="U3235" s="47" t="inlineStr">
        <is>
          <t>Jonathan talks about the impossible nature of counting out loud to 1,000,000,000 and fails to catch an Abra... again. What's one thing on your bucket list? Grizzly Eagle Shark army grows here: www.facebook.com/supercarlinbrothers =D</t>
        </is>
      </c>
      <c r="V3235" s="47">
        <f>IF(AND(P3235&gt;=Calendar!$K$2,P3235&lt;EDATE(Calendar!$K$2,1),OR(Calendar!$K$4="*",N3235=Calendar!$K$4)),P3235*100+COUNTIFS($P$6:$P$3267,P3235,$Q$6:$Q$3267,"&lt;="&amp;Q3235,$N$6:$N$3267,Calendar!$K$4),"")</f>
        <v/>
      </c>
      <c r="W3235" s="47">
        <f>IF(AND(B3235=Queue!$C$4,OR(Queue!$K$4="*",N3235=Queue!$K$4)),Q3235,"")</f>
        <v/>
      </c>
    </row>
    <row r="3236">
      <c r="A3236" s="38">
        <f>IF(M3236="","",HYPERLINK("https://www.youtube.com/watch?v="&amp;M3236,"▶"))</f>
        <v/>
      </c>
      <c r="B3236" s="39">
        <f>IF(C3236&lt;&gt;"",C3236,IF(P3236&lt;=IFERROR(INDEX(tblChannels[Watched Through],MATCH(N3236,tblChannels[Channel ID],0)),0),"Watched","Unwatched"))</f>
        <v/>
      </c>
      <c r="C3236" s="40" t="n"/>
      <c r="D3236" s="41" t="n"/>
      <c r="E3236" s="42" t="n">
        <v>41128.61597222222</v>
      </c>
      <c r="F3236" s="50" t="inlineStr">
        <is>
          <t>Super Carlin Brothers</t>
        </is>
      </c>
      <c r="G3236" t="inlineStr">
        <is>
          <t>Teleportation Anxiety</t>
        </is>
      </c>
      <c r="H3236" s="44" t="n">
        <v>0.002395833333333333</v>
      </c>
      <c r="I3236" s="45" t="n">
        <v>19916</v>
      </c>
      <c r="J3236" s="45" t="n">
        <v>510</v>
      </c>
      <c r="K3236" s="45" t="n">
        <v>77</v>
      </c>
      <c r="L3236" s="46" t="n"/>
      <c r="M3236" s="47" t="n"/>
      <c r="N3236" s="47" t="inlineStr">
        <is>
          <t>UCKZo4N0lVPccBkSiuyVh4yg</t>
        </is>
      </c>
      <c r="O3236" s="48" t="n">
        <v>41128.78263888889</v>
      </c>
      <c r="P3236" s="49" t="n">
        <v>41128</v>
      </c>
      <c r="Q3236" s="47" t="n">
        <v>32</v>
      </c>
      <c r="R3236" s="47" t="inlineStr">
        <is>
          <t>No Video ID yet</t>
        </is>
      </c>
      <c r="S3236" s="49" t="n"/>
      <c r="T3236" s="49" t="n"/>
      <c r="U3236" s="47" t="inlineStr">
        <is>
          <t>Ben's response to Jonathan's road-trip video has him terrified of the effects of teleportation... =D</t>
        </is>
      </c>
      <c r="V3236" s="47">
        <f>IF(AND(P3236&gt;=Calendar!$K$2,P3236&lt;EDATE(Calendar!$K$2,1),OR(Calendar!$K$4="*",N3236=Calendar!$K$4)),P3236*100+COUNTIFS($P$6:$P$3267,P3236,$Q$6:$Q$3267,"&lt;="&amp;Q3236,$N$6:$N$3267,Calendar!$K$4),"")</f>
        <v/>
      </c>
      <c r="W3236" s="47">
        <f>IF(AND(B3236=Queue!$C$4,OR(Queue!$K$4="*",N3236=Queue!$K$4)),Q3236,"")</f>
        <v/>
      </c>
    </row>
    <row r="3237">
      <c r="A3237" s="38">
        <f>IF(M3237="","",HYPERLINK("https://www.youtube.com/watch?v="&amp;M3237,"▶"))</f>
        <v/>
      </c>
      <c r="B3237" s="39">
        <f>IF(C3237&lt;&gt;"",C3237,IF(P3237&lt;=IFERROR(INDEX(tblChannels[Watched Through],MATCH(N3237,tblChannels[Channel ID],0)),0),"Watched","Unwatched"))</f>
        <v/>
      </c>
      <c r="C3237" s="40" t="n"/>
      <c r="D3237" s="41" t="n"/>
      <c r="E3237" s="42" t="n">
        <v>41127.83958333333</v>
      </c>
      <c r="F3237" s="50" t="inlineStr">
        <is>
          <t>Super Carlin Brothers</t>
        </is>
      </c>
      <c r="G3237" t="inlineStr">
        <is>
          <t>Road Trips and Backflips</t>
        </is>
      </c>
      <c r="H3237" s="44" t="n">
        <v>0.002430555555555556</v>
      </c>
      <c r="I3237" s="45" t="n">
        <v>21783</v>
      </c>
      <c r="J3237" s="45" t="n">
        <v>545</v>
      </c>
      <c r="K3237" s="45" t="n">
        <v>86</v>
      </c>
      <c r="L3237" s="46" t="n"/>
      <c r="M3237" s="47" t="n"/>
      <c r="N3237" s="47" t="inlineStr">
        <is>
          <t>UCKZo4N0lVPccBkSiuyVh4yg</t>
        </is>
      </c>
      <c r="O3237" s="48" t="n">
        <v>41128.00625</v>
      </c>
      <c r="P3237" s="49" t="n">
        <v>41127</v>
      </c>
      <c r="Q3237" s="47" t="n">
        <v>31</v>
      </c>
      <c r="R3237" s="47" t="inlineStr">
        <is>
          <t>No Video ID yet</t>
        </is>
      </c>
      <c r="S3237" s="49" t="n"/>
      <c r="T3237" s="49" t="n"/>
      <c r="U3237" s="47" t="inlineStr">
        <is>
          <t>Jonathan talks about the recent trip he and Ben took to Boone North Carolina and Ben's epic failure to land on his feet from 50ft up If you could road trip anywhere where would you go?? Got a Grizzly Eagle Shark creation? Show us here: www.facebook.com/supercarlinbrothers =D</t>
        </is>
      </c>
      <c r="V3237" s="47">
        <f>IF(AND(P3237&gt;=Calendar!$K$2,P3237&lt;EDATE(Calendar!$K$2,1),OR(Calendar!$K$4="*",N3237=Calendar!$K$4)),P3237*100+COUNTIFS($P$6:$P$3267,P3237,$Q$6:$Q$3267,"&lt;="&amp;Q3237,$N$6:$N$3267,Calendar!$K$4),"")</f>
        <v/>
      </c>
      <c r="W3237" s="47">
        <f>IF(AND(B3237=Queue!$C$4,OR(Queue!$K$4="*",N3237=Queue!$K$4)),Q3237,"")</f>
        <v/>
      </c>
    </row>
    <row r="3238">
      <c r="A3238" s="38">
        <f>IF(M3238="","",HYPERLINK("https://www.youtube.com/watch?v="&amp;M3238,"▶"))</f>
        <v/>
      </c>
      <c r="B3238" s="39">
        <f>IF(C3238&lt;&gt;"",C3238,IF(P3238&lt;=IFERROR(INDEX(tblChannels[Watched Through],MATCH(N3238,tblChannels[Channel ID],0)),0),"Watched","Unwatched"))</f>
        <v/>
      </c>
      <c r="C3238" s="40" t="n"/>
      <c r="D3238" s="41" t="n"/>
      <c r="E3238" s="42" t="n">
        <v>41124.69166666667</v>
      </c>
      <c r="F3238" s="50" t="inlineStr">
        <is>
          <t>Super Carlin Brothers</t>
        </is>
      </c>
      <c r="G3238" t="inlineStr">
        <is>
          <t>Comment Arguments</t>
        </is>
      </c>
      <c r="H3238" s="44" t="n">
        <v>0.001909722222222222</v>
      </c>
      <c r="I3238" s="45" t="n">
        <v>20368</v>
      </c>
      <c r="J3238" s="45" t="n">
        <v>485</v>
      </c>
      <c r="K3238" s="45" t="n">
        <v>68</v>
      </c>
      <c r="L3238" s="46" t="n"/>
      <c r="M3238" s="47" t="n"/>
      <c r="N3238" s="47" t="inlineStr">
        <is>
          <t>UCKZo4N0lVPccBkSiuyVh4yg</t>
        </is>
      </c>
      <c r="O3238" s="48" t="n">
        <v>41124.85833333333</v>
      </c>
      <c r="P3238" s="49" t="n">
        <v>41124</v>
      </c>
      <c r="Q3238" s="47" t="n">
        <v>30</v>
      </c>
      <c r="R3238" s="47" t="inlineStr">
        <is>
          <t>No Video ID yet</t>
        </is>
      </c>
      <c r="S3238" s="49" t="n"/>
      <c r="T3238" s="49" t="n"/>
      <c r="U3238" s="47" t="inlineStr">
        <is>
          <t>Ben talks about one of his favorite parts of social media, Comment Arguments. Comment, Like, and Subscribe! Submit your drawing of a Grizzly Eagle Shark or Giraffalent to our Facebook page! www.facebook.com/supercarlinbrothers =D</t>
        </is>
      </c>
      <c r="V3238" s="47">
        <f>IF(AND(P3238&gt;=Calendar!$K$2,P3238&lt;EDATE(Calendar!$K$2,1),OR(Calendar!$K$4="*",N3238=Calendar!$K$4)),P3238*100+COUNTIFS($P$6:$P$3267,P3238,$Q$6:$Q$3267,"&lt;="&amp;Q3238,$N$6:$N$3267,Calendar!$K$4),"")</f>
        <v/>
      </c>
      <c r="W3238" s="47">
        <f>IF(AND(B3238=Queue!$C$4,OR(Queue!$K$4="*",N3238=Queue!$K$4)),Q3238,"")</f>
        <v/>
      </c>
    </row>
    <row r="3239">
      <c r="A3239" s="38">
        <f>IF(M3239="","",HYPERLINK("https://www.youtube.com/watch?v="&amp;M3239,"▶"))</f>
        <v/>
      </c>
      <c r="B3239" s="39">
        <f>IF(C3239&lt;&gt;"",C3239,IF(P3239&lt;=IFERROR(INDEX(tblChannels[Watched Through],MATCH(N3239,tblChannels[Channel ID],0)),0),"Watched","Unwatched"))</f>
        <v/>
      </c>
      <c r="C3239" s="40" t="n"/>
      <c r="D3239" s="41" t="n"/>
      <c r="E3239" s="42" t="n">
        <v>41123.91458333333</v>
      </c>
      <c r="F3239" s="50" t="inlineStr">
        <is>
          <t>Super Carlin Brothers</t>
        </is>
      </c>
      <c r="G3239" t="inlineStr">
        <is>
          <t>Olympic Spoilers = LAME</t>
        </is>
      </c>
      <c r="H3239" s="44" t="n">
        <v>0.0025</v>
      </c>
      <c r="I3239" s="45" t="n">
        <v>21710</v>
      </c>
      <c r="J3239" s="45" t="n">
        <v>486</v>
      </c>
      <c r="K3239" s="45" t="n">
        <v>55</v>
      </c>
      <c r="L3239" s="46" t="n"/>
      <c r="M3239" s="47" t="n"/>
      <c r="N3239" s="47" t="inlineStr">
        <is>
          <t>UCKZo4N0lVPccBkSiuyVh4yg</t>
        </is>
      </c>
      <c r="O3239" s="48" t="n">
        <v>41124.08125</v>
      </c>
      <c r="P3239" s="49" t="n">
        <v>41123</v>
      </c>
      <c r="Q3239" s="47" t="n">
        <v>29</v>
      </c>
      <c r="R3239" s="47" t="inlineStr">
        <is>
          <t>No Video ID yet</t>
        </is>
      </c>
      <c r="S3239" s="49" t="n"/>
      <c r="T3239" s="49" t="n"/>
      <c r="U3239" s="47" t="inlineStr">
        <is>
          <t>Jonathan talks about the impossibility of being surprised by the results when they are finally on TV, and more Giraffalents appear!! Do you still watch things after they are spoiled for you? How come? Grizzly Eagle Shark uploads go here: www.facebook.com/supercarlinbrothers =D</t>
        </is>
      </c>
      <c r="V3239" s="47">
        <f>IF(AND(P3239&gt;=Calendar!$K$2,P3239&lt;EDATE(Calendar!$K$2,1),OR(Calendar!$K$4="*",N3239=Calendar!$K$4)),P3239*100+COUNTIFS($P$6:$P$3267,P3239,$Q$6:$Q$3267,"&lt;="&amp;Q3239,$N$6:$N$3267,Calendar!$K$4),"")</f>
        <v/>
      </c>
      <c r="W3239" s="47">
        <f>IF(AND(B3239=Queue!$C$4,OR(Queue!$K$4="*",N3239=Queue!$K$4)),Q3239,"")</f>
        <v/>
      </c>
    </row>
    <row r="3240">
      <c r="A3240" s="38">
        <f>IF(M3240="","",HYPERLINK("https://www.youtube.com/watch?v="&amp;M3240,"▶"))</f>
        <v/>
      </c>
      <c r="B3240" s="39">
        <f>IF(C3240&lt;&gt;"",C3240,IF(P3240&lt;=IFERROR(INDEX(tblChannels[Watched Through],MATCH(N3240,tblChannels[Channel ID],0)),0),"Watched","Unwatched"))</f>
        <v/>
      </c>
      <c r="C3240" s="40" t="n"/>
      <c r="D3240" s="41" t="n"/>
      <c r="E3240" s="42" t="n">
        <v>41122.59583333333</v>
      </c>
      <c r="F3240" s="50" t="inlineStr">
        <is>
          <t>Super Carlin Brothers</t>
        </is>
      </c>
      <c r="G3240" t="inlineStr">
        <is>
          <t>The Attack of the Giraffalents and What Would You Do Wednesday!</t>
        </is>
      </c>
      <c r="H3240" s="44" t="n">
        <v>0.001863425925925926</v>
      </c>
      <c r="I3240" s="45" t="n">
        <v>21514</v>
      </c>
      <c r="J3240" s="45" t="n">
        <v>525</v>
      </c>
      <c r="K3240" s="45" t="n">
        <v>67</v>
      </c>
      <c r="L3240" s="46" t="n"/>
      <c r="M3240" s="47" t="n"/>
      <c r="N3240" s="47" t="inlineStr">
        <is>
          <t>UCKZo4N0lVPccBkSiuyVh4yg</t>
        </is>
      </c>
      <c r="O3240" s="48" t="n">
        <v>41122.7625</v>
      </c>
      <c r="P3240" s="49" t="n">
        <v>41122</v>
      </c>
      <c r="Q3240" s="47" t="n">
        <v>28</v>
      </c>
      <c r="R3240" s="47" t="inlineStr">
        <is>
          <t>No Video ID yet</t>
        </is>
      </c>
      <c r="S3240" s="49" t="n"/>
      <c r="T3240" s="49" t="n"/>
      <c r="U3240" s="47" t="inlineStr">
        <is>
          <t>Ben is frightened by an unauthorized being from Jonathan's set! Also a new Segment! What Would You Do Wednesday?! Like us on Facebook! www.facebook.com/supercarlinbrothers Comment, Like, Subscribe! =D</t>
        </is>
      </c>
      <c r="V3240" s="47">
        <f>IF(AND(P3240&gt;=Calendar!$K$2,P3240&lt;EDATE(Calendar!$K$2,1),OR(Calendar!$K$4="*",N3240=Calendar!$K$4)),P3240*100+COUNTIFS($P$6:$P$3267,P3240,$Q$6:$Q$3267,"&lt;="&amp;Q3240,$N$6:$N$3267,Calendar!$K$4),"")</f>
        <v/>
      </c>
      <c r="W3240" s="47">
        <f>IF(AND(B3240=Queue!$C$4,OR(Queue!$K$4="*",N3240=Queue!$K$4)),Q3240,"")</f>
        <v/>
      </c>
    </row>
    <row r="3241">
      <c r="A3241" s="38">
        <f>IF(M3241="","",HYPERLINK("https://www.youtube.com/watch?v="&amp;M3241,"▶"))</f>
        <v/>
      </c>
      <c r="B3241" s="39">
        <f>IF(C3241&lt;&gt;"",C3241,IF(P3241&lt;=IFERROR(INDEX(tblChannels[Watched Through],MATCH(N3241,tblChannels[Channel ID],0)),0),"Watched","Unwatched"))</f>
        <v/>
      </c>
      <c r="C3241" s="40" t="n"/>
      <c r="D3241" s="41" t="n"/>
      <c r="E3241" s="42" t="n">
        <v>41121.92291666667</v>
      </c>
      <c r="F3241" s="50" t="inlineStr">
        <is>
          <t>Super Carlin Brothers</t>
        </is>
      </c>
      <c r="G3241" t="inlineStr">
        <is>
          <t>Offensive Movies</t>
        </is>
      </c>
      <c r="H3241" s="44" t="n">
        <v>0.002650462962962963</v>
      </c>
      <c r="I3241" s="45" t="n">
        <v>100937</v>
      </c>
      <c r="J3241" s="45" t="n">
        <v>2013</v>
      </c>
      <c r="K3241" s="45" t="n">
        <v>1015</v>
      </c>
      <c r="L3241" s="46" t="n"/>
      <c r="M3241" s="47" t="n"/>
      <c r="N3241" s="47" t="inlineStr">
        <is>
          <t>UCKZo4N0lVPccBkSiuyVh4yg</t>
        </is>
      </c>
      <c r="O3241" s="48" t="n">
        <v>41122.08958333333</v>
      </c>
      <c r="P3241" s="49" t="n">
        <v>41121</v>
      </c>
      <c r="Q3241" s="47" t="n">
        <v>27</v>
      </c>
      <c r="R3241" s="47" t="inlineStr">
        <is>
          <t>No Video ID yet</t>
        </is>
      </c>
      <c r="S3241" s="49" t="n"/>
      <c r="T3241" s="49" t="n"/>
      <c r="U3241" s="47" t="inlineStr">
        <is>
          <t>Jonathan discusses the unacceptableness of not seeing certain movies. Also the Grizzly Eagle Shark army grows! (upload yours at www.facebook.com/supercarlinbrothers) Name the movies: 1. 2. 3. 4. 5. 6. 7. =D</t>
        </is>
      </c>
      <c r="V3241" s="47">
        <f>IF(AND(P3241&gt;=Calendar!$K$2,P3241&lt;EDATE(Calendar!$K$2,1),OR(Calendar!$K$4="*",N3241=Calendar!$K$4)),P3241*100+COUNTIFS($P$6:$P$3267,P3241,$Q$6:$Q$3267,"&lt;="&amp;Q3241,$N$6:$N$3267,Calendar!$K$4),"")</f>
        <v/>
      </c>
      <c r="W3241" s="47">
        <f>IF(AND(B3241=Queue!$C$4,OR(Queue!$K$4="*",N3241=Queue!$K$4)),Q3241,"")</f>
        <v/>
      </c>
    </row>
    <row r="3242">
      <c r="A3242" s="38">
        <f>IF(M3242="","",HYPERLINK("https://www.youtube.com/watch?v="&amp;M3242,"▶"))</f>
        <v/>
      </c>
      <c r="B3242" s="39">
        <f>IF(C3242&lt;&gt;"",C3242,IF(P3242&lt;=IFERROR(INDEX(tblChannels[Watched Through],MATCH(N3242,tblChannels[Channel ID],0)),0),"Watched","Unwatched"))</f>
        <v/>
      </c>
      <c r="C3242" s="40" t="n"/>
      <c r="D3242" s="41" t="n"/>
      <c r="E3242" s="42" t="n">
        <v>41120.74722222222</v>
      </c>
      <c r="F3242" s="50" t="inlineStr">
        <is>
          <t>Super Carlin Brothers</t>
        </is>
      </c>
      <c r="G3242" t="inlineStr">
        <is>
          <t>3D, Not For Me</t>
        </is>
      </c>
      <c r="H3242" s="44" t="n">
        <v>0.002534722222222222</v>
      </c>
      <c r="I3242" s="45" t="n">
        <v>23971</v>
      </c>
      <c r="J3242" s="45" t="n">
        <v>518</v>
      </c>
      <c r="K3242" s="45" t="n">
        <v>89</v>
      </c>
      <c r="L3242" s="46" t="n"/>
      <c r="M3242" s="47" t="n"/>
      <c r="N3242" s="47" t="inlineStr">
        <is>
          <t>UCKZo4N0lVPccBkSiuyVh4yg</t>
        </is>
      </c>
      <c r="O3242" s="48" t="n">
        <v>41120.91388888889</v>
      </c>
      <c r="P3242" s="49" t="n">
        <v>41120</v>
      </c>
      <c r="Q3242" s="47" t="n">
        <v>26</v>
      </c>
      <c r="R3242" s="47" t="inlineStr">
        <is>
          <t>No Video ID yet</t>
        </is>
      </c>
      <c r="S3242" s="49" t="n"/>
      <c r="T3242" s="49" t="n"/>
      <c r="U3242" s="47" t="inlineStr">
        <is>
          <t>Ben talks about why he is not yet a fan of the 3D craze... What are your thoughts!? Link to Tyler's Video Like us on Facebook! www.facebook.com/SuperCarlinBrothers Comment, Like, and Subscribe!! =D</t>
        </is>
      </c>
      <c r="V3242" s="47">
        <f>IF(AND(P3242&gt;=Calendar!$K$2,P3242&lt;EDATE(Calendar!$K$2,1),OR(Calendar!$K$4="*",N3242=Calendar!$K$4)),P3242*100+COUNTIFS($P$6:$P$3267,P3242,$Q$6:$Q$3267,"&lt;="&amp;Q3242,$N$6:$N$3267,Calendar!$K$4),"")</f>
        <v/>
      </c>
      <c r="W3242" s="47">
        <f>IF(AND(B3242=Queue!$C$4,OR(Queue!$K$4="*",N3242=Queue!$K$4)),Q3242,"")</f>
        <v/>
      </c>
    </row>
    <row r="3243">
      <c r="A3243" s="38">
        <f>IF(M3243="","",HYPERLINK("https://www.youtube.com/watch?v="&amp;M3243,"▶"))</f>
        <v/>
      </c>
      <c r="B3243" s="39">
        <f>IF(C3243&lt;&gt;"",C3243,IF(P3243&lt;=IFERROR(INDEX(tblChannels[Watched Through],MATCH(N3243,tblChannels[Channel ID],0)),0),"Watched","Unwatched"))</f>
        <v/>
      </c>
      <c r="C3243" s="40" t="n"/>
      <c r="D3243" s="41" t="n"/>
      <c r="E3243" s="42" t="n">
        <v>41117.36527777778</v>
      </c>
      <c r="F3243" s="50" t="inlineStr">
        <is>
          <t>Super Carlin Brothers</t>
        </is>
      </c>
      <c r="G3243" t="inlineStr">
        <is>
          <t>Ask J!</t>
        </is>
      </c>
      <c r="H3243" s="44" t="n">
        <v>0.002476851851851852</v>
      </c>
      <c r="I3243" s="45" t="n">
        <v>36526</v>
      </c>
      <c r="J3243" s="45" t="n">
        <v>752</v>
      </c>
      <c r="K3243" s="45" t="n">
        <v>75</v>
      </c>
      <c r="L3243" s="46" t="n"/>
      <c r="M3243" s="47" t="n"/>
      <c r="N3243" s="47" t="inlineStr">
        <is>
          <t>UCKZo4N0lVPccBkSiuyVh4yg</t>
        </is>
      </c>
      <c r="O3243" s="48" t="n">
        <v>41117.53194444445</v>
      </c>
      <c r="P3243" s="49" t="n">
        <v>41117</v>
      </c>
      <c r="Q3243" s="47" t="n">
        <v>25</v>
      </c>
      <c r="R3243" s="47" t="inlineStr">
        <is>
          <t>No Video ID yet</t>
        </is>
      </c>
      <c r="S3243" s="49" t="n"/>
      <c r="T3243" s="49" t="n"/>
      <c r="U3243" s="47" t="inlineStr">
        <is>
          <t>Jonathan answers your questions and tells why he isnt fond of cats. Upload your drawing of a Grizzly Eagle Shark here: www.facebook.com/supercarlinbrothers Thanks everyone for subscribing and sending in your questions! =D</t>
        </is>
      </c>
      <c r="V3243" s="47">
        <f>IF(AND(P3243&gt;=Calendar!$K$2,P3243&lt;EDATE(Calendar!$K$2,1),OR(Calendar!$K$4="*",N3243=Calendar!$K$4)),P3243*100+COUNTIFS($P$6:$P$3267,P3243,$Q$6:$Q$3267,"&lt;="&amp;Q3243,$N$6:$N$3267,Calendar!$K$4),"")</f>
        <v/>
      </c>
      <c r="W3243" s="47">
        <f>IF(AND(B3243=Queue!$C$4,OR(Queue!$K$4="*",N3243=Queue!$K$4)),Q3243,"")</f>
        <v/>
      </c>
    </row>
    <row r="3244">
      <c r="A3244" s="38">
        <f>IF(M3244="","",HYPERLINK("https://www.youtube.com/watch?v="&amp;M3244,"▶"))</f>
        <v/>
      </c>
      <c r="B3244" s="39">
        <f>IF(C3244&lt;&gt;"",C3244,IF(P3244&lt;=IFERROR(INDEX(tblChannels[Watched Through],MATCH(N3244,tblChannels[Channel ID],0)),0),"Watched","Unwatched"))</f>
        <v/>
      </c>
      <c r="C3244" s="40" t="n"/>
      <c r="D3244" s="41" t="n"/>
      <c r="E3244" s="42" t="n">
        <v>41116.53402777778</v>
      </c>
      <c r="F3244" s="50" t="inlineStr">
        <is>
          <t>Super Carlin Brothers</t>
        </is>
      </c>
      <c r="G3244" t="inlineStr">
        <is>
          <t>What to Wear and Ask J!</t>
        </is>
      </c>
      <c r="H3244" s="44" t="n">
        <v>0.001828703703703704</v>
      </c>
      <c r="I3244" s="45" t="n">
        <v>23901</v>
      </c>
      <c r="J3244" s="45" t="n">
        <v>595</v>
      </c>
      <c r="K3244" s="45" t="n">
        <v>48</v>
      </c>
      <c r="L3244" s="46" t="n"/>
      <c r="M3244" s="47" t="n"/>
      <c r="N3244" s="47" t="inlineStr">
        <is>
          <t>UCKZo4N0lVPccBkSiuyVh4yg</t>
        </is>
      </c>
      <c r="O3244" s="48" t="n">
        <v>41116.70069444444</v>
      </c>
      <c r="P3244" s="49" t="n">
        <v>41116</v>
      </c>
      <c r="Q3244" s="47" t="n">
        <v>24</v>
      </c>
      <c r="R3244" s="47" t="inlineStr">
        <is>
          <t>No Video ID yet</t>
        </is>
      </c>
      <c r="S3244" s="49" t="n"/>
      <c r="T3244" s="49" t="n"/>
      <c r="U3244" s="47" t="inlineStr">
        <is>
          <t>Ben follows up on Jonathan's video from yesterday about things you've worn and regret! Also a huge thanks to those who have subscribed! We are so happy to have over 100 eavesdropping on our conversation! Check us out on Facebook! =D</t>
        </is>
      </c>
      <c r="V3244" s="47">
        <f>IF(AND(P3244&gt;=Calendar!$K$2,P3244&lt;EDATE(Calendar!$K$2,1),OR(Calendar!$K$4="*",N3244=Calendar!$K$4)),P3244*100+COUNTIFS($P$6:$P$3267,P3244,$Q$6:$Q$3267,"&lt;="&amp;Q3244,$N$6:$N$3267,Calendar!$K$4),"")</f>
        <v/>
      </c>
      <c r="W3244" s="47">
        <f>IF(AND(B3244=Queue!$C$4,OR(Queue!$K$4="*",N3244=Queue!$K$4)),Q3244,"")</f>
        <v/>
      </c>
    </row>
    <row r="3245">
      <c r="A3245" s="38">
        <f>IF(M3245="","",HYPERLINK("https://www.youtube.com/watch?v="&amp;M3245,"▶"))</f>
        <v/>
      </c>
      <c r="B3245" s="39">
        <f>IF(C3245&lt;&gt;"",C3245,IF(P3245&lt;=IFERROR(INDEX(tblChannels[Watched Through],MATCH(N3245,tblChannels[Channel ID],0)),0),"Watched","Unwatched"))</f>
        <v/>
      </c>
      <c r="C3245" s="40" t="n"/>
      <c r="D3245" s="41" t="n"/>
      <c r="E3245" s="42" t="n">
        <v>41115.85763888889</v>
      </c>
      <c r="F3245" s="50" t="inlineStr">
        <is>
          <t>Super Carlin Brothers</t>
        </is>
      </c>
      <c r="G3245" t="inlineStr">
        <is>
          <t>I look horrible in hats</t>
        </is>
      </c>
      <c r="H3245" s="44" t="n">
        <v>0.002754629629629629</v>
      </c>
      <c r="I3245" s="45" t="n">
        <v>64531</v>
      </c>
      <c r="J3245" s="45" t="n">
        <v>1289</v>
      </c>
      <c r="K3245" s="45" t="n">
        <v>172</v>
      </c>
      <c r="L3245" s="46" t="n"/>
      <c r="M3245" s="47" t="n"/>
      <c r="N3245" s="47" t="inlineStr">
        <is>
          <t>UCKZo4N0lVPccBkSiuyVh4yg</t>
        </is>
      </c>
      <c r="O3245" s="48" t="n">
        <v>41116.02430555555</v>
      </c>
      <c r="P3245" s="49" t="n">
        <v>41115</v>
      </c>
      <c r="Q3245" s="47" t="n">
        <v>23</v>
      </c>
      <c r="R3245" s="47" t="inlineStr">
        <is>
          <t>No Video ID yet</t>
        </is>
      </c>
      <c r="S3245" s="49" t="n"/>
      <c r="T3245" s="49" t="n"/>
      <c r="U3245" s="47" t="inlineStr">
        <is>
          <t>Jonathan talks about his horrible experiences wearing hats, and the importance of how you dress. Have you ever worn something really embarrassing? Check us out on Facebook: www.facebook.com/supercarlinbrothers =D</t>
        </is>
      </c>
      <c r="V3245" s="47">
        <f>IF(AND(P3245&gt;=Calendar!$K$2,P3245&lt;EDATE(Calendar!$K$2,1),OR(Calendar!$K$4="*",N3245=Calendar!$K$4)),P3245*100+COUNTIFS($P$6:$P$3267,P3245,$Q$6:$Q$3267,"&lt;="&amp;Q3245,$N$6:$N$3267,Calendar!$K$4),"")</f>
        <v/>
      </c>
      <c r="W3245" s="47">
        <f>IF(AND(B3245=Queue!$C$4,OR(Queue!$K$4="*",N3245=Queue!$K$4)),Q3245,"")</f>
        <v/>
      </c>
    </row>
    <row r="3246">
      <c r="A3246" s="38">
        <f>IF(M3246="","",HYPERLINK("https://www.youtube.com/watch?v="&amp;M3246,"▶"))</f>
        <v/>
      </c>
      <c r="B3246" s="39">
        <f>IF(C3246&lt;&gt;"",C3246,IF(P3246&lt;=IFERROR(INDEX(tblChannels[Watched Through],MATCH(N3246,tblChannels[Channel ID],0)),0),"Watched","Unwatched"))</f>
        <v/>
      </c>
      <c r="C3246" s="40" t="n"/>
      <c r="D3246" s="41" t="n"/>
      <c r="E3246" s="42" t="n">
        <v>41113.91527777778</v>
      </c>
      <c r="F3246" s="50" t="inlineStr">
        <is>
          <t>Super Carlin Brothers</t>
        </is>
      </c>
      <c r="G3246" t="inlineStr">
        <is>
          <t>Steve Prefontaine</t>
        </is>
      </c>
      <c r="H3246" s="44" t="n">
        <v>0.002430555555555556</v>
      </c>
      <c r="I3246" s="45" t="n">
        <v>26918</v>
      </c>
      <c r="J3246" s="45" t="n">
        <v>626</v>
      </c>
      <c r="K3246" s="45" t="n">
        <v>91</v>
      </c>
      <c r="L3246" s="46" t="n"/>
      <c r="M3246" s="47" t="n"/>
      <c r="N3246" s="47" t="inlineStr">
        <is>
          <t>UCKZo4N0lVPccBkSiuyVh4yg</t>
        </is>
      </c>
      <c r="O3246" s="48" t="n">
        <v>41114.08194444444</v>
      </c>
      <c r="P3246" s="49" t="n">
        <v>41113</v>
      </c>
      <c r="Q3246" s="47" t="n">
        <v>22</v>
      </c>
      <c r="R3246" s="47" t="inlineStr">
        <is>
          <t>No Video ID yet</t>
        </is>
      </c>
      <c r="S3246" s="49" t="n"/>
      <c r="T3246" s="49" t="n"/>
      <c r="U3246" s="47" t="inlineStr">
        <is>
          <t>Jonathan discusses his favorite Olympian of all time: Steve Prefontaine! What is your favorite Olympic Event?? "To give anything less than your best is to sacrifice the gift" Check us out on Facebook: www.facebook.com/supercarlinbrothers =D</t>
        </is>
      </c>
      <c r="V3246" s="47">
        <f>IF(AND(P3246&gt;=Calendar!$K$2,P3246&lt;EDATE(Calendar!$K$2,1),OR(Calendar!$K$4="*",N3246=Calendar!$K$4)),P3246*100+COUNTIFS($P$6:$P$3267,P3246,$Q$6:$Q$3267,"&lt;="&amp;Q3246,$N$6:$N$3267,Calendar!$K$4),"")</f>
        <v/>
      </c>
      <c r="W3246" s="47">
        <f>IF(AND(B3246=Queue!$C$4,OR(Queue!$K$4="*",N3246=Queue!$K$4)),Q3246,"")</f>
        <v/>
      </c>
    </row>
    <row r="3247">
      <c r="A3247" s="38">
        <f>IF(M3247="","",HYPERLINK("https://www.youtube.com/watch?v="&amp;M3247,"▶"))</f>
        <v/>
      </c>
      <c r="B3247" s="39">
        <f>IF(C3247&lt;&gt;"",C3247,IF(P3247&lt;=IFERROR(INDEX(tblChannels[Watched Through],MATCH(N3247,tblChannels[Channel ID],0)),0),"Watched","Unwatched"))</f>
        <v/>
      </c>
      <c r="C3247" s="40" t="n"/>
      <c r="D3247" s="41" t="n"/>
      <c r="E3247" s="42" t="n">
        <v>41110.83819444444</v>
      </c>
      <c r="F3247" s="50" t="inlineStr">
        <is>
          <t>Super Carlin Brothers</t>
        </is>
      </c>
      <c r="G3247" t="inlineStr">
        <is>
          <t>The Dark Knight on a Dark Night</t>
        </is>
      </c>
      <c r="H3247" s="44" t="n">
        <v>0.001898148148148148</v>
      </c>
      <c r="I3247" s="45" t="n">
        <v>22930</v>
      </c>
      <c r="J3247" s="45" t="n">
        <v>516</v>
      </c>
      <c r="K3247" s="45" t="n">
        <v>44</v>
      </c>
      <c r="L3247" s="46" t="n"/>
      <c r="M3247" s="47" t="n"/>
      <c r="N3247" s="47" t="inlineStr">
        <is>
          <t>UCKZo4N0lVPccBkSiuyVh4yg</t>
        </is>
      </c>
      <c r="O3247" s="48" t="n">
        <v>41111.00486111111</v>
      </c>
      <c r="P3247" s="49" t="n">
        <v>41110</v>
      </c>
      <c r="Q3247" s="47" t="n">
        <v>21</v>
      </c>
      <c r="R3247" s="47" t="inlineStr">
        <is>
          <t>No Video ID yet</t>
        </is>
      </c>
      <c r="S3247" s="49" t="n"/>
      <c r="T3247" s="49" t="n"/>
      <c r="U3247" s="47" t="inlineStr">
        <is>
          <t>Ben gives his thoughts on the new Batman flick The Dark Knight Rises and also touches on the horrifying events that transpired in Colorado very early this morning. =D</t>
        </is>
      </c>
      <c r="V3247" s="47">
        <f>IF(AND(P3247&gt;=Calendar!$K$2,P3247&lt;EDATE(Calendar!$K$2,1),OR(Calendar!$K$4="*",N3247=Calendar!$K$4)),P3247*100+COUNTIFS($P$6:$P$3267,P3247,$Q$6:$Q$3267,"&lt;="&amp;Q3247,$N$6:$N$3267,Calendar!$K$4),"")</f>
        <v/>
      </c>
      <c r="W3247" s="47">
        <f>IF(AND(B3247=Queue!$C$4,OR(Queue!$K$4="*",N3247=Queue!$K$4)),Q3247,"")</f>
        <v/>
      </c>
    </row>
    <row r="3248">
      <c r="A3248" s="38">
        <f>IF(M3248="","",HYPERLINK("https://www.youtube.com/watch?v="&amp;M3248,"▶"))</f>
        <v/>
      </c>
      <c r="B3248" s="39">
        <f>IF(C3248&lt;&gt;"",C3248,IF(P3248&lt;=IFERROR(INDEX(tblChannels[Watched Through],MATCH(N3248,tblChannels[Channel ID],0)),0),"Watched","Unwatched"))</f>
        <v/>
      </c>
      <c r="C3248" s="40" t="n"/>
      <c r="D3248" s="41" t="n"/>
      <c r="E3248" s="42" t="n">
        <v>41109.86944444444</v>
      </c>
      <c r="F3248" s="50" t="inlineStr">
        <is>
          <t>Super Carlin Brothers</t>
        </is>
      </c>
      <c r="G3248" t="inlineStr">
        <is>
          <t>Death by Google Autofill</t>
        </is>
      </c>
      <c r="H3248" s="44" t="n">
        <v>0.002974537037037037</v>
      </c>
      <c r="I3248" s="45" t="n">
        <v>295651</v>
      </c>
      <c r="J3248" s="45" t="n">
        <v>4748</v>
      </c>
      <c r="K3248" s="45" t="n">
        <v>1380</v>
      </c>
      <c r="L3248" s="46" t="n"/>
      <c r="M3248" s="47" t="n"/>
      <c r="N3248" s="47" t="inlineStr">
        <is>
          <t>UCKZo4N0lVPccBkSiuyVh4yg</t>
        </is>
      </c>
      <c r="O3248" s="48" t="n">
        <v>41110.03611111111</v>
      </c>
      <c r="P3248" s="49" t="n">
        <v>41109</v>
      </c>
      <c r="Q3248" s="47" t="n">
        <v>20</v>
      </c>
      <c r="R3248" s="47" t="inlineStr">
        <is>
          <t>No Video ID yet</t>
        </is>
      </c>
      <c r="S3248" s="49" t="n"/>
      <c r="T3248" s="49" t="n"/>
      <c r="U3248" s="47" t="inlineStr">
        <is>
          <t>Jonathan uncovers the deadliest things on the internet! Have you ever had a near death experience? Thanks for subscribing! Like us on Facebook at www.facebook.com/supercarlinbrothers =D</t>
        </is>
      </c>
      <c r="V3248" s="47">
        <f>IF(AND(P3248&gt;=Calendar!$K$2,P3248&lt;EDATE(Calendar!$K$2,1),OR(Calendar!$K$4="*",N3248=Calendar!$K$4)),P3248*100+COUNTIFS($P$6:$P$3267,P3248,$Q$6:$Q$3267,"&lt;="&amp;Q3248,$N$6:$N$3267,Calendar!$K$4),"")</f>
        <v/>
      </c>
      <c r="W3248" s="47">
        <f>IF(AND(B3248=Queue!$C$4,OR(Queue!$K$4="*",N3248=Queue!$K$4)),Q3248,"")</f>
        <v/>
      </c>
    </row>
    <row r="3249">
      <c r="A3249" s="38">
        <f>IF(M3249="","",HYPERLINK("https://www.youtube.com/watch?v="&amp;M3249,"▶"))</f>
        <v/>
      </c>
      <c r="B3249" s="39">
        <f>IF(C3249&lt;&gt;"",C3249,IF(P3249&lt;=IFERROR(INDEX(tblChannels[Watched Through],MATCH(N3249,tblChannels[Channel ID],0)),0),"Watched","Unwatched"))</f>
        <v/>
      </c>
      <c r="C3249" s="40" t="n"/>
      <c r="D3249" s="41" t="n"/>
      <c r="E3249" s="42" t="n">
        <v>41108.73611111111</v>
      </c>
      <c r="F3249" s="50" t="inlineStr">
        <is>
          <t>Super Carlin Brothers</t>
        </is>
      </c>
      <c r="G3249" t="inlineStr">
        <is>
          <t>Toasters are More Deadly Than Roller Coasters</t>
        </is>
      </c>
      <c r="H3249" s="44" t="n">
        <v>0.001875</v>
      </c>
      <c r="I3249" s="45" t="n">
        <v>27821</v>
      </c>
      <c r="J3249" s="45" t="n">
        <v>745</v>
      </c>
      <c r="K3249" s="45" t="n">
        <v>98</v>
      </c>
      <c r="L3249" s="46" t="n"/>
      <c r="M3249" s="47" t="n"/>
      <c r="N3249" s="47" t="inlineStr">
        <is>
          <t>UCKZo4N0lVPccBkSiuyVh4yg</t>
        </is>
      </c>
      <c r="O3249" s="48" t="n">
        <v>41108.90277777778</v>
      </c>
      <c r="P3249" s="49" t="n">
        <v>41108</v>
      </c>
      <c r="Q3249" s="47" t="n">
        <v>19</v>
      </c>
      <c r="R3249" s="47" t="inlineStr">
        <is>
          <t>No Video ID yet</t>
        </is>
      </c>
      <c r="S3249" s="49" t="n"/>
      <c r="T3249" s="49" t="n"/>
      <c r="U3249" s="47" t="inlineStr">
        <is>
          <t>Ben rants about those who find a sense of accomplishment after surviving a roller coaster. Comment, Like, Subscribe!! Thanks for Watching =D</t>
        </is>
      </c>
      <c r="V3249" s="47">
        <f>IF(AND(P3249&gt;=Calendar!$K$2,P3249&lt;EDATE(Calendar!$K$2,1),OR(Calendar!$K$4="*",N3249=Calendar!$K$4)),P3249*100+COUNTIFS($P$6:$P$3267,P3249,$Q$6:$Q$3267,"&lt;="&amp;Q3249,$N$6:$N$3267,Calendar!$K$4),"")</f>
        <v/>
      </c>
      <c r="W3249" s="47">
        <f>IF(AND(B3249=Queue!$C$4,OR(Queue!$K$4="*",N3249=Queue!$K$4)),Q3249,"")</f>
        <v/>
      </c>
    </row>
    <row r="3250">
      <c r="A3250" s="38">
        <f>IF(M3250="","",HYPERLINK("https://www.youtube.com/watch?v="&amp;M3250,"▶"))</f>
        <v/>
      </c>
      <c r="B3250" s="39">
        <f>IF(C3250&lt;&gt;"",C3250,IF(P3250&lt;=IFERROR(INDEX(tblChannels[Watched Through],MATCH(N3250,tblChannels[Channel ID],0)),0),"Watched","Unwatched"))</f>
        <v/>
      </c>
      <c r="C3250" s="40" t="n"/>
      <c r="D3250" s="41" t="n"/>
      <c r="E3250" s="42" t="n">
        <v>41107.53194444445</v>
      </c>
      <c r="F3250" s="50" t="inlineStr">
        <is>
          <t>Super Carlin Brothers</t>
        </is>
      </c>
      <c r="G3250" t="inlineStr">
        <is>
          <t>The Secret Agenda</t>
        </is>
      </c>
      <c r="H3250" s="44" t="n">
        <v>0.001435185185185185</v>
      </c>
      <c r="I3250" s="45" t="n">
        <v>23815</v>
      </c>
      <c r="J3250" s="45" t="n">
        <v>532</v>
      </c>
      <c r="K3250" s="45" t="n">
        <v>29</v>
      </c>
      <c r="L3250" s="46" t="n"/>
      <c r="M3250" s="47" t="n"/>
      <c r="N3250" s="47" t="inlineStr">
        <is>
          <t>UCKZo4N0lVPccBkSiuyVh4yg</t>
        </is>
      </c>
      <c r="O3250" s="48" t="n">
        <v>41107.69861111111</v>
      </c>
      <c r="P3250" s="49" t="n">
        <v>41107</v>
      </c>
      <c r="Q3250" s="47" t="n">
        <v>18</v>
      </c>
      <c r="R3250" s="47" t="inlineStr">
        <is>
          <t>No Video ID yet</t>
        </is>
      </c>
      <c r="S3250" s="49" t="n"/>
      <c r="T3250" s="49" t="n"/>
      <c r="U3250" s="47" t="inlineStr">
        <is>
          <t>Jonathan discusses the Fun and nerve racking nature of not knowing whats coming next at the 2012 global marketing conference in Philly! =D</t>
        </is>
      </c>
      <c r="V3250" s="47">
        <f>IF(AND(P3250&gt;=Calendar!$K$2,P3250&lt;EDATE(Calendar!$K$2,1),OR(Calendar!$K$4="*",N3250=Calendar!$K$4)),P3250*100+COUNTIFS($P$6:$P$3267,P3250,$Q$6:$Q$3267,"&lt;="&amp;Q3250,$N$6:$N$3267,Calendar!$K$4),"")</f>
        <v/>
      </c>
      <c r="W3250" s="47">
        <f>IF(AND(B3250=Queue!$C$4,OR(Queue!$K$4="*",N3250=Queue!$K$4)),Q3250,"")</f>
        <v/>
      </c>
    </row>
    <row r="3251">
      <c r="A3251" s="38">
        <f>IF(M3251="","",HYPERLINK("https://www.youtube.com/watch?v="&amp;M3251,"▶"))</f>
        <v/>
      </c>
      <c r="B3251" s="39">
        <f>IF(C3251&lt;&gt;"",C3251,IF(P3251&lt;=IFERROR(INDEX(tblChannels[Watched Through],MATCH(N3251,tblChannels[Channel ID],0)),0),"Watched","Unwatched"))</f>
        <v/>
      </c>
      <c r="C3251" s="40" t="n"/>
      <c r="D3251" s="41" t="n"/>
      <c r="E3251" s="42" t="n">
        <v>41106.71805555555</v>
      </c>
      <c r="F3251" s="50" t="inlineStr">
        <is>
          <t>Super Carlin Brothers</t>
        </is>
      </c>
      <c r="G3251" t="inlineStr">
        <is>
          <t>Will the New Batman Movie Stack Up?</t>
        </is>
      </c>
      <c r="H3251" s="44" t="n">
        <v>0.002094907407407407</v>
      </c>
      <c r="I3251" s="45" t="n">
        <v>25311</v>
      </c>
      <c r="J3251" s="45" t="n">
        <v>558</v>
      </c>
      <c r="K3251" s="45" t="n">
        <v>58</v>
      </c>
      <c r="L3251" s="46" t="n"/>
      <c r="M3251" s="47" t="n"/>
      <c r="N3251" s="47" t="inlineStr">
        <is>
          <t>UCKZo4N0lVPccBkSiuyVh4yg</t>
        </is>
      </c>
      <c r="O3251" s="48" t="n">
        <v>41106.88472222222</v>
      </c>
      <c r="P3251" s="49" t="n">
        <v>41106</v>
      </c>
      <c r="Q3251" s="47" t="n">
        <v>17</v>
      </c>
      <c r="R3251" s="47" t="inlineStr">
        <is>
          <t>No Video ID yet</t>
        </is>
      </c>
      <c r="S3251" s="49" t="n"/>
      <c r="T3251" s="49" t="n"/>
      <c r="U3251" s="47" t="inlineStr">
        <is>
          <t>The batman series is on its own level epicawesomeamazingness. Ben expresses his concerns about whether or not its possible to go 3 for 3! Also discusses rival comic book brand, Marvel, and their licensing tactics and how possible it will be for them to sustain their brand going forward. Comment, Like, Subscribe!! =D</t>
        </is>
      </c>
      <c r="V3251" s="47">
        <f>IF(AND(P3251&gt;=Calendar!$K$2,P3251&lt;EDATE(Calendar!$K$2,1),OR(Calendar!$K$4="*",N3251=Calendar!$K$4)),P3251*100+COUNTIFS($P$6:$P$3267,P3251,$Q$6:$Q$3267,"&lt;="&amp;Q3251,$N$6:$N$3267,Calendar!$K$4),"")</f>
        <v/>
      </c>
      <c r="W3251" s="47">
        <f>IF(AND(B3251=Queue!$C$4,OR(Queue!$K$4="*",N3251=Queue!$K$4)),Q3251,"")</f>
        <v/>
      </c>
    </row>
    <row r="3252">
      <c r="A3252" s="38">
        <f>IF(M3252="","",HYPERLINK("https://www.youtube.com/watch?v="&amp;M3252,"▶"))</f>
        <v/>
      </c>
      <c r="B3252" s="39">
        <f>IF(C3252&lt;&gt;"",C3252,IF(P3252&lt;=IFERROR(INDEX(tblChannels[Watched Through],MATCH(N3252,tblChannels[Channel ID],0)),0),"Watched","Unwatched"))</f>
        <v/>
      </c>
      <c r="C3252" s="40" t="n"/>
      <c r="D3252" s="41" t="n"/>
      <c r="E3252" s="42" t="n">
        <v>41103.77916666667</v>
      </c>
      <c r="F3252" s="50" t="inlineStr">
        <is>
          <t>Super Carlin Brothers</t>
        </is>
      </c>
      <c r="G3252" t="inlineStr">
        <is>
          <t>Times I've been pulled over</t>
        </is>
      </c>
      <c r="H3252" s="44" t="n">
        <v>0.003171296296296296</v>
      </c>
      <c r="I3252" s="45" t="n">
        <v>51369</v>
      </c>
      <c r="J3252" s="45" t="n">
        <v>1093</v>
      </c>
      <c r="K3252" s="45" t="n">
        <v>119</v>
      </c>
      <c r="L3252" s="46" t="n"/>
      <c r="M3252" s="47" t="n"/>
      <c r="N3252" s="47" t="inlineStr">
        <is>
          <t>UCKZo4N0lVPccBkSiuyVh4yg</t>
        </is>
      </c>
      <c r="O3252" s="48" t="n">
        <v>41103.94583333333</v>
      </c>
      <c r="P3252" s="49" t="n">
        <v>41103</v>
      </c>
      <c r="Q3252" s="47" t="n">
        <v>16</v>
      </c>
      <c r="R3252" s="47" t="inlineStr">
        <is>
          <t>No Video ID yet</t>
        </is>
      </c>
      <c r="S3252" s="49" t="n"/>
      <c r="T3252" s="49" t="n"/>
      <c r="U3252" s="47" t="inlineStr">
        <is>
          <t>Jonathan talks about the ridiculous number of times he's been pulled over.. why is he still allowed to drive? How do cops make you feel when you see them? Like us on Facebook at: www.facebook.com/supercarlinbrothers =D</t>
        </is>
      </c>
      <c r="V3252" s="47">
        <f>IF(AND(P3252&gt;=Calendar!$K$2,P3252&lt;EDATE(Calendar!$K$2,1),OR(Calendar!$K$4="*",N3252=Calendar!$K$4)),P3252*100+COUNTIFS($P$6:$P$3267,P3252,$Q$6:$Q$3267,"&lt;="&amp;Q3252,$N$6:$N$3267,Calendar!$K$4),"")</f>
        <v/>
      </c>
      <c r="W3252" s="47">
        <f>IF(AND(B3252=Queue!$C$4,OR(Queue!$K$4="*",N3252=Queue!$K$4)),Q3252,"")</f>
        <v/>
      </c>
    </row>
    <row r="3253">
      <c r="A3253" s="38">
        <f>IF(M3253="","",HYPERLINK("https://www.youtube.com/watch?v="&amp;M3253,"▶"))</f>
        <v/>
      </c>
      <c r="B3253" s="39">
        <f>IF(C3253&lt;&gt;"",C3253,IF(P3253&lt;=IFERROR(INDEX(tblChannels[Watched Through],MATCH(N3253,tblChannels[Channel ID],0)),0),"Watched","Unwatched"))</f>
        <v/>
      </c>
      <c r="C3253" s="40" t="n"/>
      <c r="D3253" s="41" t="n"/>
      <c r="E3253" s="42" t="n">
        <v>41102.84861111111</v>
      </c>
      <c r="F3253" s="50" t="inlineStr">
        <is>
          <t>Super Carlin Brothers</t>
        </is>
      </c>
      <c r="G3253" t="inlineStr">
        <is>
          <t>Cops Make Me Angry</t>
        </is>
      </c>
      <c r="H3253" s="44" t="n">
        <v>0.001724537037037037</v>
      </c>
      <c r="I3253" s="45" t="n">
        <v>31433</v>
      </c>
      <c r="J3253" s="45" t="n">
        <v>691</v>
      </c>
      <c r="K3253" s="45" t="n">
        <v>96</v>
      </c>
      <c r="L3253" s="46" t="n"/>
      <c r="M3253" s="47" t="n"/>
      <c r="N3253" s="47" t="inlineStr">
        <is>
          <t>UCKZo4N0lVPccBkSiuyVh4yg</t>
        </is>
      </c>
      <c r="O3253" s="48" t="n">
        <v>41103.01527777778</v>
      </c>
      <c r="P3253" s="49" t="n">
        <v>41102</v>
      </c>
      <c r="Q3253" s="47" t="n">
        <v>15</v>
      </c>
      <c r="R3253" s="47" t="inlineStr">
        <is>
          <t>No Video ID yet</t>
        </is>
      </c>
      <c r="S3253" s="49" t="n"/>
      <c r="T3253" s="49" t="n"/>
      <c r="U3253" s="47" t="inlineStr">
        <is>
          <t>Ben vents about cops after a speeding ticket. =D</t>
        </is>
      </c>
      <c r="V3253" s="47">
        <f>IF(AND(P3253&gt;=Calendar!$K$2,P3253&lt;EDATE(Calendar!$K$2,1),OR(Calendar!$K$4="*",N3253=Calendar!$K$4)),P3253*100+COUNTIFS($P$6:$P$3267,P3253,$Q$6:$Q$3267,"&lt;="&amp;Q3253,$N$6:$N$3267,Calendar!$K$4),"")</f>
        <v/>
      </c>
      <c r="W3253" s="47">
        <f>IF(AND(B3253=Queue!$C$4,OR(Queue!$K$4="*",N3253=Queue!$K$4)),Q3253,"")</f>
        <v/>
      </c>
    </row>
    <row r="3254">
      <c r="A3254" s="38">
        <f>IF(M3254="","",HYPERLINK("https://www.youtube.com/watch?v="&amp;M3254,"▶"))</f>
        <v/>
      </c>
      <c r="B3254" s="39">
        <f>IF(C3254&lt;&gt;"",C3254,IF(P3254&lt;=IFERROR(INDEX(tblChannels[Watched Through],MATCH(N3254,tblChannels[Channel ID],0)),0),"Watched","Unwatched"))</f>
        <v/>
      </c>
      <c r="C3254" s="40" t="n"/>
      <c r="D3254" s="41" t="n"/>
      <c r="E3254" s="42" t="n">
        <v>41101.93680555555</v>
      </c>
      <c r="F3254" s="50" t="inlineStr">
        <is>
          <t>Super Carlin Brothers</t>
        </is>
      </c>
      <c r="G3254" t="inlineStr">
        <is>
          <t>Turtle gets laid</t>
        </is>
      </c>
      <c r="H3254" s="44" t="n">
        <v>0.003252314814814815</v>
      </c>
      <c r="I3254" s="45" t="n">
        <v>41375</v>
      </c>
      <c r="J3254" s="45" t="n">
        <v>962</v>
      </c>
      <c r="K3254" s="45" t="n">
        <v>97</v>
      </c>
      <c r="L3254" s="46" t="n"/>
      <c r="M3254" s="47" t="n"/>
      <c r="N3254" s="47" t="inlineStr">
        <is>
          <t>UCKZo4N0lVPccBkSiuyVh4yg</t>
        </is>
      </c>
      <c r="O3254" s="48" t="n">
        <v>41102.10347222222</v>
      </c>
      <c r="P3254" s="49" t="n">
        <v>41101</v>
      </c>
      <c r="Q3254" s="47" t="n">
        <v>14</v>
      </c>
      <c r="R3254" s="47" t="inlineStr">
        <is>
          <t>No Video ID yet</t>
        </is>
      </c>
      <c r="S3254" s="49" t="n"/>
      <c r="T3254" s="49" t="n"/>
      <c r="U3254" s="47" t="inlineStr">
        <is>
          <t>Jonathan witnesses turtle birth and discusses the nature of luck. Are you lucky if you win the lottery or do you win the lottery because you are lucky? Discuss below! Show us your face on www.facebook.com/supercarlinbrothers =D</t>
        </is>
      </c>
      <c r="V3254" s="47">
        <f>IF(AND(P3254&gt;=Calendar!$K$2,P3254&lt;EDATE(Calendar!$K$2,1),OR(Calendar!$K$4="*",N3254=Calendar!$K$4)),P3254*100+COUNTIFS($P$6:$P$3267,P3254,$Q$6:$Q$3267,"&lt;="&amp;Q3254,$N$6:$N$3267,Calendar!$K$4),"")</f>
        <v/>
      </c>
      <c r="W3254" s="47">
        <f>IF(AND(B3254=Queue!$C$4,OR(Queue!$K$4="*",N3254=Queue!$K$4)),Q3254,"")</f>
        <v/>
      </c>
    </row>
    <row r="3255">
      <c r="A3255" s="38">
        <f>IF(M3255="","",HYPERLINK("https://www.youtube.com/watch?v="&amp;M3255,"▶"))</f>
        <v/>
      </c>
      <c r="B3255" s="39">
        <f>IF(C3255&lt;&gt;"",C3255,IF(P3255&lt;=IFERROR(INDEX(tblChannels[Watched Through],MATCH(N3255,tblChannels[Channel ID],0)),0),"Watched","Unwatched"))</f>
        <v/>
      </c>
      <c r="C3255" s="40" t="n"/>
      <c r="D3255" s="41" t="n"/>
      <c r="E3255" s="42" t="n">
        <v>41100.63541666666</v>
      </c>
      <c r="F3255" s="50" t="inlineStr">
        <is>
          <t>Super Carlin Brothers</t>
        </is>
      </c>
      <c r="G3255" t="inlineStr">
        <is>
          <t>How to Treat Vacation Guests</t>
        </is>
      </c>
      <c r="H3255" s="44" t="n">
        <v>0.001168981481481482</v>
      </c>
      <c r="I3255" s="45" t="n">
        <v>27816</v>
      </c>
      <c r="J3255" s="45" t="n">
        <v>603</v>
      </c>
      <c r="K3255" s="45" t="n">
        <v>39</v>
      </c>
      <c r="L3255" s="46" t="n"/>
      <c r="M3255" s="47" t="n"/>
      <c r="N3255" s="47" t="inlineStr">
        <is>
          <t>UCKZo4N0lVPccBkSiuyVh4yg</t>
        </is>
      </c>
      <c r="O3255" s="48" t="n">
        <v>41100.80208333334</v>
      </c>
      <c r="P3255" s="49" t="n">
        <v>41100</v>
      </c>
      <c r="Q3255" s="47" t="n">
        <v>13</v>
      </c>
      <c r="R3255" s="47" t="inlineStr">
        <is>
          <t>No Video ID yet</t>
        </is>
      </c>
      <c r="S3255" s="49" t="n"/>
      <c r="T3255" s="49" t="n"/>
      <c r="U3255" s="47" t="inlineStr">
        <is>
          <t>Ben wonders whether to honor guests ways or stick to long time traditions Thanks for subscribing! (We hit 60 today!!) Show us your face on www.facebook.com/supercarlinbrothers =D</t>
        </is>
      </c>
      <c r="V3255" s="47">
        <f>IF(AND(P3255&gt;=Calendar!$K$2,P3255&lt;EDATE(Calendar!$K$2,1),OR(Calendar!$K$4="*",N3255=Calendar!$K$4)),P3255*100+COUNTIFS($P$6:$P$3267,P3255,$Q$6:$Q$3267,"&lt;="&amp;Q3255,$N$6:$N$3267,Calendar!$K$4),"")</f>
        <v/>
      </c>
      <c r="W3255" s="47">
        <f>IF(AND(B3255=Queue!$C$4,OR(Queue!$K$4="*",N3255=Queue!$K$4)),Q3255,"")</f>
        <v/>
      </c>
    </row>
    <row r="3256">
      <c r="A3256" s="38">
        <f>IF(M3256="","",HYPERLINK("https://www.youtube.com/watch?v="&amp;M3256,"▶"))</f>
        <v/>
      </c>
      <c r="B3256" s="39">
        <f>IF(C3256&lt;&gt;"",C3256,IF(P3256&lt;=IFERROR(INDEX(tblChannels[Watched Through],MATCH(N3256,tblChannels[Channel ID],0)),0),"Watched","Unwatched"))</f>
        <v/>
      </c>
      <c r="C3256" s="40" t="n"/>
      <c r="D3256" s="41" t="n"/>
      <c r="E3256" s="42" t="n">
        <v>41099.575</v>
      </c>
      <c r="F3256" s="50" t="inlineStr">
        <is>
          <t>Super Carlin Brothers</t>
        </is>
      </c>
      <c r="G3256" t="inlineStr">
        <is>
          <t>The different things are different</t>
        </is>
      </c>
      <c r="H3256" s="44" t="n">
        <v>0.002384259259259259</v>
      </c>
      <c r="I3256" s="45" t="n">
        <v>31435</v>
      </c>
      <c r="J3256" s="45" t="n">
        <v>834</v>
      </c>
      <c r="K3256" s="45" t="n">
        <v>105</v>
      </c>
      <c r="L3256" s="46" t="n"/>
      <c r="M3256" s="47" t="n"/>
      <c r="N3256" s="47" t="inlineStr">
        <is>
          <t>UCKZo4N0lVPccBkSiuyVh4yg</t>
        </is>
      </c>
      <c r="O3256" s="48" t="n">
        <v>41099.74166666667</v>
      </c>
      <c r="P3256" s="49" t="n">
        <v>41099</v>
      </c>
      <c r="Q3256" s="47" t="n">
        <v>12</v>
      </c>
      <c r="R3256" s="47" t="inlineStr">
        <is>
          <t>No Video ID yet</t>
        </is>
      </c>
      <c r="S3256" s="49" t="n"/>
      <c r="T3256" s="49" t="n"/>
      <c r="U3256" s="47" t="inlineStr">
        <is>
          <t>Jonathan discusses the nature of vacations, and reveals the existence of a third Super Carlin Brother... What do you like to do on vacation? Upload a drawing of the Grizzly Eagle Shark on our Facebook page: www.facebook.com/SuperCarlinBrothers =D</t>
        </is>
      </c>
      <c r="V3256" s="47">
        <f>IF(AND(P3256&gt;=Calendar!$K$2,P3256&lt;EDATE(Calendar!$K$2,1),OR(Calendar!$K$4="*",N3256=Calendar!$K$4)),P3256*100+COUNTIFS($P$6:$P$3267,P3256,$Q$6:$Q$3267,"&lt;="&amp;Q3256,$N$6:$N$3267,Calendar!$K$4),"")</f>
        <v/>
      </c>
      <c r="W3256" s="47">
        <f>IF(AND(B3256=Queue!$C$4,OR(Queue!$K$4="*",N3256=Queue!$K$4)),Q3256,"")</f>
        <v/>
      </c>
    </row>
    <row r="3257">
      <c r="A3257" s="38">
        <f>IF(M3257="","",HYPERLINK("https://www.youtube.com/watch?v="&amp;M3257,"▶"))</f>
        <v/>
      </c>
      <c r="B3257" s="39">
        <f>IF(C3257&lt;&gt;"",C3257,IF(P3257&lt;=IFERROR(INDEX(tblChannels[Watched Through],MATCH(N3257,tblChannels[Channel ID],0)),0),"Watched","Unwatched"))</f>
        <v/>
      </c>
      <c r="C3257" s="40" t="n"/>
      <c r="D3257" s="41" t="n"/>
      <c r="E3257" s="42" t="n">
        <v>41096.63402777778</v>
      </c>
      <c r="F3257" s="50" t="inlineStr">
        <is>
          <t>Super Carlin Brothers</t>
        </is>
      </c>
      <c r="G3257" t="inlineStr">
        <is>
          <t>Girlfriend Help</t>
        </is>
      </c>
      <c r="H3257" s="44" t="n">
        <v>0.001412037037037037</v>
      </c>
      <c r="I3257" s="45" t="n">
        <v>35850</v>
      </c>
      <c r="J3257" s="45" t="n">
        <v>757</v>
      </c>
      <c r="K3257" s="45" t="n">
        <v>113</v>
      </c>
      <c r="L3257" s="46" t="n"/>
      <c r="M3257" s="47" t="n"/>
      <c r="N3257" s="47" t="inlineStr">
        <is>
          <t>UCKZo4N0lVPccBkSiuyVh4yg</t>
        </is>
      </c>
      <c r="O3257" s="48" t="n">
        <v>41096.80069444444</v>
      </c>
      <c r="P3257" s="49" t="n">
        <v>41096</v>
      </c>
      <c r="Q3257" s="47" t="n">
        <v>11</v>
      </c>
      <c r="R3257" s="47" t="inlineStr">
        <is>
          <t>No Video ID yet</t>
        </is>
      </c>
      <c r="S3257" s="49" t="n"/>
      <c r="T3257" s="49" t="n"/>
      <c r="U3257" s="47" t="inlineStr">
        <is>
          <t>Ben asks J's advice on how to get his girlfriend to jump off a cliff What do you think he should do? Upload your Grizzly Eagle Shark on our facebook page! www.facebook.com/supercarlinbrothers into water. =D</t>
        </is>
      </c>
      <c r="V3257" s="47">
        <f>IF(AND(P3257&gt;=Calendar!$K$2,P3257&lt;EDATE(Calendar!$K$2,1),OR(Calendar!$K$4="*",N3257=Calendar!$K$4)),P3257*100+COUNTIFS($P$6:$P$3267,P3257,$Q$6:$Q$3267,"&lt;="&amp;Q3257,$N$6:$N$3267,Calendar!$K$4),"")</f>
        <v/>
      </c>
      <c r="W3257" s="47">
        <f>IF(AND(B3257=Queue!$C$4,OR(Queue!$K$4="*",N3257=Queue!$K$4)),Q3257,"")</f>
        <v/>
      </c>
    </row>
    <row r="3258">
      <c r="A3258" s="38">
        <f>IF(M3258="","",HYPERLINK("https://www.youtube.com/watch?v="&amp;M3258,"▶"))</f>
        <v/>
      </c>
      <c r="B3258" s="39">
        <f>IF(C3258&lt;&gt;"",C3258,IF(P3258&lt;=IFERROR(INDEX(tblChannels[Watched Through],MATCH(N3258,tblChannels[Channel ID],0)),0),"Watched","Unwatched"))</f>
        <v/>
      </c>
      <c r="C3258" s="40" t="n"/>
      <c r="D3258" s="41" t="n"/>
      <c r="E3258" s="42" t="n">
        <v>41095.83611111111</v>
      </c>
      <c r="F3258" s="50" t="inlineStr">
        <is>
          <t>Super Carlin Brothers</t>
        </is>
      </c>
      <c r="G3258" t="inlineStr">
        <is>
          <t>Advice I've received</t>
        </is>
      </c>
      <c r="H3258" s="44" t="n">
        <v>0.002777777777777778</v>
      </c>
      <c r="I3258" s="45" t="n">
        <v>62013</v>
      </c>
      <c r="J3258" s="45" t="n">
        <v>1393</v>
      </c>
      <c r="K3258" s="45" t="n">
        <v>164</v>
      </c>
      <c r="L3258" s="46" t="n"/>
      <c r="M3258" s="47" t="n"/>
      <c r="N3258" s="47" t="inlineStr">
        <is>
          <t>UCKZo4N0lVPccBkSiuyVh4yg</t>
        </is>
      </c>
      <c r="O3258" s="48" t="n">
        <v>41096.00277777778</v>
      </c>
      <c r="P3258" s="49" t="n">
        <v>41095</v>
      </c>
      <c r="Q3258" s="47" t="n">
        <v>10</v>
      </c>
      <c r="R3258" s="47" t="inlineStr">
        <is>
          <t>No Video ID yet</t>
        </is>
      </c>
      <c r="S3258" s="49" t="n"/>
      <c r="T3258" s="49" t="n"/>
      <c r="U3258" s="47" t="inlineStr">
        <is>
          <t>Jonathan discusses some of the best advice he's ever received. What is the best advice anyone has ever given you? Upload your picture of the Grizzly Eagle Shark at: www.facebook.com/SuperCarlinBrothers =D</t>
        </is>
      </c>
      <c r="V3258" s="47">
        <f>IF(AND(P3258&gt;=Calendar!$K$2,P3258&lt;EDATE(Calendar!$K$2,1),OR(Calendar!$K$4="*",N3258=Calendar!$K$4)),P3258*100+COUNTIFS($P$6:$P$3267,P3258,$Q$6:$Q$3267,"&lt;="&amp;Q3258,$N$6:$N$3267,Calendar!$K$4),"")</f>
        <v/>
      </c>
      <c r="W3258" s="47">
        <f>IF(AND(B3258=Queue!$C$4,OR(Queue!$K$4="*",N3258=Queue!$K$4)),Q3258,"")</f>
        <v/>
      </c>
    </row>
    <row r="3259">
      <c r="A3259" s="38">
        <f>IF(M3259="","",HYPERLINK("https://www.youtube.com/watch?v="&amp;M3259,"▶"))</f>
        <v/>
      </c>
      <c r="B3259" s="39">
        <f>IF(C3259&lt;&gt;"",C3259,IF(P3259&lt;=IFERROR(INDEX(tblChannels[Watched Through],MATCH(N3259,tblChannels[Channel ID],0)),0),"Watched","Unwatched"))</f>
        <v/>
      </c>
      <c r="C3259" s="40" t="n"/>
      <c r="D3259" s="41" t="n"/>
      <c r="E3259" s="42" t="n">
        <v>41094.69583333333</v>
      </c>
      <c r="F3259" s="50" t="inlineStr">
        <is>
          <t>Super Carlin Brothers</t>
        </is>
      </c>
      <c r="G3259" t="inlineStr">
        <is>
          <t>Grizzly Eagle Shark!!</t>
        </is>
      </c>
      <c r="H3259" s="44" t="n">
        <v>0.00162037037037037</v>
      </c>
      <c r="I3259" s="45" t="n">
        <v>42602</v>
      </c>
      <c r="J3259" s="45" t="n">
        <v>1265</v>
      </c>
      <c r="K3259" s="45" t="n">
        <v>169</v>
      </c>
      <c r="L3259" s="46" t="n"/>
      <c r="M3259" s="47" t="n"/>
      <c r="N3259" s="47" t="inlineStr">
        <is>
          <t>UCKZo4N0lVPccBkSiuyVh4yg</t>
        </is>
      </c>
      <c r="O3259" s="48" t="n">
        <v>41094.8625</v>
      </c>
      <c r="P3259" s="49" t="n">
        <v>41094</v>
      </c>
      <c r="Q3259" s="47" t="n">
        <v>9</v>
      </c>
      <c r="R3259" s="47" t="inlineStr">
        <is>
          <t>No Video ID yet</t>
        </is>
      </c>
      <c r="S3259" s="49" t="n"/>
      <c r="T3259" s="49" t="n"/>
      <c r="U3259" s="47" t="inlineStr">
        <is>
          <t>Ben discusses his thoughts on The Amazing Spiderman, does a backflip, and talks about Grizzly Eagle Sharks!! 24 Hour Live Eagle Nest Link =D</t>
        </is>
      </c>
      <c r="V3259" s="47">
        <f>IF(AND(P3259&gt;=Calendar!$K$2,P3259&lt;EDATE(Calendar!$K$2,1),OR(Calendar!$K$4="*",N3259=Calendar!$K$4)),P3259*100+COUNTIFS($P$6:$P$3267,P3259,$Q$6:$Q$3267,"&lt;="&amp;Q3259,$N$6:$N$3267,Calendar!$K$4),"")</f>
        <v/>
      </c>
      <c r="W3259" s="47">
        <f>IF(AND(B3259=Queue!$C$4,OR(Queue!$K$4="*",N3259=Queue!$K$4)),Q3259,"")</f>
        <v/>
      </c>
    </row>
    <row r="3260">
      <c r="A3260" s="38">
        <f>IF(M3260="","",HYPERLINK("https://www.youtube.com/watch?v="&amp;M3260,"▶"))</f>
        <v/>
      </c>
      <c r="B3260" s="39">
        <f>IF(C3260&lt;&gt;"",C3260,IF(P3260&lt;=IFERROR(INDEX(tblChannels[Watched Through],MATCH(N3260,tblChannels[Channel ID],0)),0),"Watched","Unwatched"))</f>
        <v/>
      </c>
      <c r="C3260" s="40" t="n"/>
      <c r="D3260" s="41" t="n"/>
      <c r="E3260" s="42" t="n">
        <v>41093.83194444444</v>
      </c>
      <c r="F3260" s="50" t="inlineStr">
        <is>
          <t>Super Carlin Brothers</t>
        </is>
      </c>
      <c r="G3260" t="inlineStr">
        <is>
          <t>The Amazing Spider Man!</t>
        </is>
      </c>
      <c r="H3260" s="44" t="n">
        <v>0.002627314814814815</v>
      </c>
      <c r="I3260" s="45" t="n">
        <v>53495</v>
      </c>
      <c r="J3260" s="45" t="n">
        <v>1225</v>
      </c>
      <c r="K3260" s="45" t="n">
        <v>177</v>
      </c>
      <c r="L3260" s="46" t="n"/>
      <c r="M3260" s="47" t="n"/>
      <c r="N3260" s="47" t="inlineStr">
        <is>
          <t>UCKZo4N0lVPccBkSiuyVh4yg</t>
        </is>
      </c>
      <c r="O3260" s="48" t="n">
        <v>41093.99861111111</v>
      </c>
      <c r="P3260" s="49" t="n">
        <v>41093</v>
      </c>
      <c r="Q3260" s="47" t="n">
        <v>8</v>
      </c>
      <c r="R3260" s="47" t="inlineStr">
        <is>
          <t>No Video ID yet</t>
        </is>
      </c>
      <c r="S3260" s="49" t="n"/>
      <c r="T3260" s="49" t="n"/>
      <c r="U3260" s="47" t="inlineStr">
        <is>
          <t>Jonathan gives his thoughts on the new Spider Man movie... also Emma Stone is hot. What did you think of the movie? Show us your face on www.facebook.com/supercarlinbrothers =D</t>
        </is>
      </c>
      <c r="V3260" s="47">
        <f>IF(AND(P3260&gt;=Calendar!$K$2,P3260&lt;EDATE(Calendar!$K$2,1),OR(Calendar!$K$4="*",N3260=Calendar!$K$4)),P3260*100+COUNTIFS($P$6:$P$3267,P3260,$Q$6:$Q$3267,"&lt;="&amp;Q3260,$N$6:$N$3267,Calendar!$K$4),"")</f>
        <v/>
      </c>
      <c r="W3260" s="47">
        <f>IF(AND(B3260=Queue!$C$4,OR(Queue!$K$4="*",N3260=Queue!$K$4)),Q3260,"")</f>
        <v/>
      </c>
    </row>
    <row r="3261">
      <c r="A3261" s="38">
        <f>IF(M3261="","",HYPERLINK("https://www.youtube.com/watch?v="&amp;M3261,"▶"))</f>
        <v/>
      </c>
      <c r="B3261" s="39">
        <f>IF(C3261&lt;&gt;"",C3261,IF(P3261&lt;=IFERROR(INDEX(tblChannels[Watched Through],MATCH(N3261,tblChannels[Channel ID],0)),0),"Watched","Unwatched"))</f>
        <v/>
      </c>
      <c r="C3261" s="40" t="n"/>
      <c r="D3261" s="41" t="n"/>
      <c r="E3261" s="42" t="n">
        <v>41092.68819444445</v>
      </c>
      <c r="F3261" s="50" t="inlineStr">
        <is>
          <t>Super Carlin Brothers</t>
        </is>
      </c>
      <c r="G3261" t="inlineStr">
        <is>
          <t>Did You Read an Audiobook?</t>
        </is>
      </c>
      <c r="H3261" s="44" t="n">
        <v>0.001053240740740741</v>
      </c>
      <c r="I3261" s="45" t="n">
        <v>35721</v>
      </c>
      <c r="J3261" s="45" t="n">
        <v>836</v>
      </c>
      <c r="K3261" s="45" t="n">
        <v>126</v>
      </c>
      <c r="L3261" s="46" t="n"/>
      <c r="M3261" s="47" t="n"/>
      <c r="N3261" s="47" t="inlineStr">
        <is>
          <t>UCKZo4N0lVPccBkSiuyVh4yg</t>
        </is>
      </c>
      <c r="O3261" s="48" t="n">
        <v>41092.85486111111</v>
      </c>
      <c r="P3261" s="49" t="n">
        <v>41092</v>
      </c>
      <c r="Q3261" s="47" t="n">
        <v>7</v>
      </c>
      <c r="R3261" s="47" t="inlineStr">
        <is>
          <t>No Video ID yet</t>
        </is>
      </c>
      <c r="S3261" s="49" t="n"/>
      <c r="T3261" s="49" t="n"/>
      <c r="U3261" s="47" t="inlineStr">
        <is>
          <t>Week 2 begins! Ben discusses whether listening to a book is the same as reading it with your eye balls. What do you think?? Thanks for subscribing! Show us your face on www.facebook.com/supercarlinbrothers =D</t>
        </is>
      </c>
      <c r="V3261" s="47">
        <f>IF(AND(P3261&gt;=Calendar!$K$2,P3261&lt;EDATE(Calendar!$K$2,1),OR(Calendar!$K$4="*",N3261=Calendar!$K$4)),P3261*100+COUNTIFS($P$6:$P$3267,P3261,$Q$6:$Q$3267,"&lt;="&amp;Q3261,$N$6:$N$3267,Calendar!$K$4),"")</f>
        <v/>
      </c>
      <c r="W3261" s="47">
        <f>IF(AND(B3261=Queue!$C$4,OR(Queue!$K$4="*",N3261=Queue!$K$4)),Q3261,"")</f>
        <v/>
      </c>
    </row>
    <row r="3262">
      <c r="A3262" s="38">
        <f>IF(M3262="","",HYPERLINK("https://www.youtube.com/watch?v="&amp;M3262,"▶"))</f>
        <v/>
      </c>
      <c r="B3262" s="39">
        <f>IF(C3262&lt;&gt;"",C3262,IF(P3262&lt;=IFERROR(INDEX(tblChannels[Watched Through],MATCH(N3262,tblChannels[Channel ID],0)),0),"Watched","Unwatched"))</f>
        <v/>
      </c>
      <c r="C3262" s="40" t="n"/>
      <c r="D3262" s="41" t="n"/>
      <c r="E3262" s="42" t="n">
        <v>41089.91388888889</v>
      </c>
      <c r="F3262" s="50" t="inlineStr">
        <is>
          <t>Super Carlin Brothers</t>
        </is>
      </c>
      <c r="G3262" t="inlineStr">
        <is>
          <t>Golf karts are awesome!</t>
        </is>
      </c>
      <c r="H3262" s="44" t="n">
        <v>0.002627314814814815</v>
      </c>
      <c r="I3262" s="45" t="n">
        <v>41536</v>
      </c>
      <c r="J3262" s="45" t="n">
        <v>1119</v>
      </c>
      <c r="K3262" s="45" t="n">
        <v>133</v>
      </c>
      <c r="L3262" s="46" t="n"/>
      <c r="M3262" s="47" t="n"/>
      <c r="N3262" s="47" t="inlineStr">
        <is>
          <t>UCKZo4N0lVPccBkSiuyVh4yg</t>
        </is>
      </c>
      <c r="O3262" s="48" t="n">
        <v>41090.08055555556</v>
      </c>
      <c r="P3262" s="49" t="n">
        <v>41089</v>
      </c>
      <c r="Q3262" s="47" t="n">
        <v>6</v>
      </c>
      <c r="R3262" s="47" t="inlineStr">
        <is>
          <t>No Video ID yet</t>
        </is>
      </c>
      <c r="S3262" s="49" t="n"/>
      <c r="T3262" s="49" t="n"/>
      <c r="U3262" s="47" t="inlineStr">
        <is>
          <t>All the things I've ever noticed about golf karts and a thrilling tale where I almost cost a movie $80,000. Whats is your best mini/full-scale golf and or golf kart experience? Thanks for Subscribing! Show us your face on: www.facebook.com/supercarlinbrothers =D</t>
        </is>
      </c>
      <c r="V3262" s="47">
        <f>IF(AND(P3262&gt;=Calendar!$K$2,P3262&lt;EDATE(Calendar!$K$2,1),OR(Calendar!$K$4="*",N3262=Calendar!$K$4)),P3262*100+COUNTIFS($P$6:$P$3267,P3262,$Q$6:$Q$3267,"&lt;="&amp;Q3262,$N$6:$N$3267,Calendar!$K$4),"")</f>
        <v/>
      </c>
      <c r="W3262" s="47">
        <f>IF(AND(B3262=Queue!$C$4,OR(Queue!$K$4="*",N3262=Queue!$K$4)),Q3262,"")</f>
        <v/>
      </c>
    </row>
    <row r="3263">
      <c r="A3263" s="38">
        <f>IF(M3263="","",HYPERLINK("https://www.youtube.com/watch?v="&amp;M3263,"▶"))</f>
        <v/>
      </c>
      <c r="B3263" s="39">
        <f>IF(C3263&lt;&gt;"",C3263,IF(P3263&lt;=IFERROR(INDEX(tblChannels[Watched Through],MATCH(N3263,tblChannels[Channel ID],0)),0),"Watched","Unwatched"))</f>
        <v/>
      </c>
      <c r="C3263" s="40" t="n"/>
      <c r="D3263" s="41" t="n"/>
      <c r="E3263" s="42" t="n">
        <v>41088.65486111111</v>
      </c>
      <c r="F3263" s="50" t="inlineStr">
        <is>
          <t>Super Carlin Brothers</t>
        </is>
      </c>
      <c r="G3263" t="inlineStr">
        <is>
          <t>Get Rewarded for Watching TV!</t>
        </is>
      </c>
      <c r="H3263" s="44" t="n">
        <v>0.001712962962962963</v>
      </c>
      <c r="I3263" s="45" t="n">
        <v>43829</v>
      </c>
      <c r="J3263" s="45" t="n">
        <v>1128</v>
      </c>
      <c r="K3263" s="45" t="n">
        <v>140</v>
      </c>
      <c r="L3263" s="46" t="n"/>
      <c r="M3263" s="47" t="n"/>
      <c r="N3263" s="47" t="inlineStr">
        <is>
          <t>UCKZo4N0lVPccBkSiuyVh4yg</t>
        </is>
      </c>
      <c r="O3263" s="48" t="n">
        <v>41088.82152777778</v>
      </c>
      <c r="P3263" s="49" t="n">
        <v>41088</v>
      </c>
      <c r="Q3263" s="47" t="n">
        <v>5</v>
      </c>
      <c r="R3263" s="47" t="inlineStr">
        <is>
          <t>No Video ID yet</t>
        </is>
      </c>
      <c r="S3263" s="49" t="n"/>
      <c r="T3263" s="49" t="n"/>
      <c r="U3263" s="47" t="inlineStr">
        <is>
          <t>The Thursday show talks about a recent app that allows you to earn points for simply watching TV. =D</t>
        </is>
      </c>
      <c r="V3263" s="47">
        <f>IF(AND(P3263&gt;=Calendar!$K$2,P3263&lt;EDATE(Calendar!$K$2,1),OR(Calendar!$K$4="*",N3263=Calendar!$K$4)),P3263*100+COUNTIFS($P$6:$P$3267,P3263,$Q$6:$Q$3267,"&lt;="&amp;Q3263,$N$6:$N$3267,Calendar!$K$4),"")</f>
        <v/>
      </c>
      <c r="W3263" s="47">
        <f>IF(AND(B3263=Queue!$C$4,OR(Queue!$K$4="*",N3263=Queue!$K$4)),Q3263,"")</f>
        <v/>
      </c>
    </row>
    <row r="3264">
      <c r="A3264" s="38">
        <f>IF(M3264="","",HYPERLINK("https://www.youtube.com/watch?v="&amp;M3264,"▶"))</f>
        <v/>
      </c>
      <c r="B3264" s="39">
        <f>IF(C3264&lt;&gt;"",C3264,IF(P3264&lt;=IFERROR(INDEX(tblChannels[Watched Through],MATCH(N3264,tblChannels[Channel ID],0)),0),"Watched","Unwatched"))</f>
        <v/>
      </c>
      <c r="C3264" s="40" t="n"/>
      <c r="D3264" s="41" t="n"/>
      <c r="E3264" s="42" t="n">
        <v>41087.88541666666</v>
      </c>
      <c r="F3264" s="50" t="inlineStr">
        <is>
          <t>Super Carlin Brothers</t>
        </is>
      </c>
      <c r="G3264" t="inlineStr">
        <is>
          <t>I met an Elephant.. and other people</t>
        </is>
      </c>
      <c r="H3264" s="44" t="n">
        <v>0.001944444444444444</v>
      </c>
      <c r="I3264" s="45" t="n">
        <v>57728</v>
      </c>
      <c r="J3264" s="45" t="n">
        <v>1444</v>
      </c>
      <c r="K3264" s="45" t="n">
        <v>231</v>
      </c>
      <c r="L3264" s="46" t="n"/>
      <c r="M3264" s="47" t="n"/>
      <c r="N3264" s="47" t="inlineStr">
        <is>
          <t>UCKZo4N0lVPccBkSiuyVh4yg</t>
        </is>
      </c>
      <c r="O3264" s="48" t="n">
        <v>41088.05208333334</v>
      </c>
      <c r="P3264" s="49" t="n">
        <v>41087</v>
      </c>
      <c r="Q3264" s="47" t="n">
        <v>4</v>
      </c>
      <c r="R3264" s="47" t="inlineStr">
        <is>
          <t>No Video ID yet</t>
        </is>
      </c>
      <c r="S3264" s="49" t="n"/>
      <c r="T3264" s="49" t="n"/>
      <c r="U3264" s="47" t="inlineStr">
        <is>
          <t>Day #3: Jonathan talks about being an event marketer and the people he has met! What celebrities have you met? AND Do you think charging for multimedia applications will last? show us your face at www.facebook.com/supercarlinbrothers =D</t>
        </is>
      </c>
      <c r="V3264" s="47">
        <f>IF(AND(P3264&gt;=Calendar!$K$2,P3264&lt;EDATE(Calendar!$K$2,1),OR(Calendar!$K$4="*",N3264=Calendar!$K$4)),P3264*100+COUNTIFS($P$6:$P$3267,P3264,$Q$6:$Q$3267,"&lt;="&amp;Q3264,$N$6:$N$3267,Calendar!$K$4),"")</f>
        <v/>
      </c>
      <c r="W3264" s="47">
        <f>IF(AND(B3264=Queue!$C$4,OR(Queue!$K$4="*",N3264=Queue!$K$4)),Q3264,"")</f>
        <v/>
      </c>
    </row>
    <row r="3265">
      <c r="A3265" s="38">
        <f>IF(M3265="","",HYPERLINK("https://www.youtube.com/watch?v="&amp;M3265,"▶"))</f>
        <v/>
      </c>
      <c r="B3265" s="39">
        <f>IF(C3265&lt;&gt;"",C3265,IF(P3265&lt;=IFERROR(INDEX(tblChannels[Watched Through],MATCH(N3265,tblChannels[Channel ID],0)),0),"Watched","Unwatched"))</f>
        <v/>
      </c>
      <c r="C3265" s="40" t="n"/>
      <c r="D3265" s="41" t="n"/>
      <c r="E3265" s="42" t="n">
        <v>41086.72430555556</v>
      </c>
      <c r="F3265" s="50" t="inlineStr">
        <is>
          <t>Super Carlin Brothers</t>
        </is>
      </c>
      <c r="G3265" t="inlineStr">
        <is>
          <t>Hulu Plus is evil... kinda.</t>
        </is>
      </c>
      <c r="H3265" s="44" t="n">
        <v>0.001643518518518519</v>
      </c>
      <c r="I3265" s="45" t="n">
        <v>91091</v>
      </c>
      <c r="J3265" s="45" t="n">
        <v>2087</v>
      </c>
      <c r="K3265" s="45" t="n">
        <v>619</v>
      </c>
      <c r="L3265" s="46" t="n"/>
      <c r="M3265" s="47" t="n"/>
      <c r="N3265" s="47" t="inlineStr">
        <is>
          <t>UCKZo4N0lVPccBkSiuyVh4yg</t>
        </is>
      </c>
      <c r="O3265" s="48" t="n">
        <v>41086.89097222222</v>
      </c>
      <c r="P3265" s="49" t="n">
        <v>41086</v>
      </c>
      <c r="Q3265" s="47" t="n">
        <v>3</v>
      </c>
      <c r="R3265" s="47" t="inlineStr">
        <is>
          <t>No Video ID yet</t>
        </is>
      </c>
      <c r="S3265" s="49" t="n"/>
      <c r="T3265" s="49" t="n"/>
      <c r="U3265" s="47" t="inlineStr">
        <is>
          <t>In the very first video he's ever produced Ben is up on day two talking about the evils of Hulu Plus. What side are you on? Netflix of Hulu+ or something else?? Show us your face at: www.facebook.com/supercarlinbrothers =D</t>
        </is>
      </c>
      <c r="V3265" s="47">
        <f>IF(AND(P3265&gt;=Calendar!$K$2,P3265&lt;EDATE(Calendar!$K$2,1),OR(Calendar!$K$4="*",N3265=Calendar!$K$4)),P3265*100+COUNTIFS($P$6:$P$3267,P3265,$Q$6:$Q$3267,"&lt;="&amp;Q3265,$N$6:$N$3267,Calendar!$K$4),"")</f>
        <v/>
      </c>
      <c r="W3265" s="47">
        <f>IF(AND(B3265=Queue!$C$4,OR(Queue!$K$4="*",N3265=Queue!$K$4)),Q3265,"")</f>
        <v/>
      </c>
    </row>
    <row r="3266">
      <c r="A3266" s="38">
        <f>IF(M3266="","",HYPERLINK("https://www.youtube.com/watch?v="&amp;M3266,"▶"))</f>
        <v/>
      </c>
      <c r="B3266" s="39">
        <f>IF(C3266&lt;&gt;"",C3266,IF(P3266&lt;=IFERROR(INDEX(tblChannels[Watched Through],MATCH(N3266,tblChannels[Channel ID],0)),0),"Watched","Unwatched"))</f>
        <v/>
      </c>
      <c r="C3266" s="40" t="n"/>
      <c r="D3266" s="41" t="n"/>
      <c r="E3266" s="42" t="n">
        <v>41085.81944444445</v>
      </c>
      <c r="F3266" s="50" t="inlineStr">
        <is>
          <t>Super Carlin Brothers</t>
        </is>
      </c>
      <c r="G3266" t="inlineStr">
        <is>
          <t>So it Begins</t>
        </is>
      </c>
      <c r="H3266" s="44" t="n">
        <v>0.001631944444444445</v>
      </c>
      <c r="I3266" s="45" t="n">
        <v>146963</v>
      </c>
      <c r="J3266" s="45" t="n">
        <v>4564</v>
      </c>
      <c r="K3266" s="45" t="n">
        <v>1172</v>
      </c>
      <c r="L3266" s="46" t="n"/>
      <c r="M3266" s="47" t="n"/>
      <c r="N3266" s="47" t="inlineStr">
        <is>
          <t>UCKZo4N0lVPccBkSiuyVh4yg</t>
        </is>
      </c>
      <c r="O3266" s="48" t="n">
        <v>41085.98611111111</v>
      </c>
      <c r="P3266" s="49" t="n">
        <v>41085</v>
      </c>
      <c r="Q3266" s="47" t="n">
        <v>2</v>
      </c>
      <c r="R3266" s="47" t="inlineStr">
        <is>
          <t>No Video ID yet</t>
        </is>
      </c>
      <c r="S3266" s="49" t="n"/>
      <c r="T3266" s="49" t="n"/>
      <c r="U3266" s="47" t="inlineStr">
        <is>
          <t>Day 1 of the year long conversation begins! Introduce yourself in the comments below! or show us your face at www.facebook.com/supercarlinbrothers =D</t>
        </is>
      </c>
      <c r="V3266" s="47">
        <f>IF(AND(P3266&gt;=Calendar!$K$2,P3266&lt;EDATE(Calendar!$K$2,1),OR(Calendar!$K$4="*",N3266=Calendar!$K$4)),P3266*100+COUNTIFS($P$6:$P$3267,P3266,$Q$6:$Q$3267,"&lt;="&amp;Q3266,$N$6:$N$3267,Calendar!$K$4),"")</f>
        <v/>
      </c>
      <c r="W3266" s="47">
        <f>IF(AND(B3266=Queue!$C$4,OR(Queue!$K$4="*",N3266=Queue!$K$4)),Q3266,"")</f>
        <v/>
      </c>
    </row>
    <row r="3267">
      <c r="A3267" s="38">
        <f>IF(M3267="","",HYPERLINK("https://www.youtube.com/watch?v="&amp;M3267,"▶"))</f>
        <v/>
      </c>
      <c r="B3267" s="39">
        <f>IF(C3267&lt;&gt;"",C3267,IF(P3267&lt;=IFERROR(INDEX(tblChannels[Watched Through],MATCH(N3267,tblChannels[Channel ID],0)),0),"Watched","Unwatched"))</f>
        <v/>
      </c>
      <c r="C3267" s="40" t="n"/>
      <c r="D3267" s="41" t="n"/>
      <c r="E3267" s="42" t="n">
        <v>41058.98472222222</v>
      </c>
      <c r="F3267" s="50" t="inlineStr">
        <is>
          <t>Super Carlin Brothers</t>
        </is>
      </c>
      <c r="G3267" t="inlineStr">
        <is>
          <t>Super Carlin Brothers Teaser</t>
        </is>
      </c>
      <c r="H3267" s="44" t="n">
        <v>0.0002546296296296296</v>
      </c>
      <c r="I3267" s="45" t="n">
        <v>146050</v>
      </c>
      <c r="J3267" s="45" t="n">
        <v>2475</v>
      </c>
      <c r="K3267" s="45" t="n">
        <v>271</v>
      </c>
      <c r="L3267" s="46" t="n"/>
      <c r="M3267" s="47" t="n"/>
      <c r="N3267" s="47" t="inlineStr">
        <is>
          <t>UCKZo4N0lVPccBkSiuyVh4yg</t>
        </is>
      </c>
      <c r="O3267" s="48" t="n">
        <v>41059.15138888889</v>
      </c>
      <c r="P3267" s="49" t="n">
        <v>41058</v>
      </c>
      <c r="Q3267" s="47" t="n">
        <v>1</v>
      </c>
      <c r="R3267" s="47" t="inlineStr">
        <is>
          <t>No Video ID yet</t>
        </is>
      </c>
      <c r="S3267" s="49" t="n"/>
      <c r="T3267" s="49" t="n"/>
      <c r="U3267" s="47" t="inlineStr">
        <is>
          <t>Two brothers. One year long conversation. On the internet. Subscribe! www.facebook.com/SuperCarlinBrothers =D</t>
        </is>
      </c>
      <c r="V3267" s="47">
        <f>IF(AND(P3267&gt;=Calendar!$K$2,P3267&lt;EDATE(Calendar!$K$2,1),OR(Calendar!$K$4="*",N3267=Calendar!$K$4)),P3267*100+COUNTIFS($P$6:$P$3267,P3267,$Q$6:$Q$3267,"&lt;="&amp;Q3267,$N$6:$N$3267,Calendar!$K$4),"")</f>
        <v/>
      </c>
      <c r="W3267" s="47">
        <f>IF(AND(B3267=Queue!$C$4,OR(Queue!$K$4="*",N3267=Queue!$K$4)),Q3267,"")</f>
        <v/>
      </c>
    </row>
  </sheetData>
  <conditionalFormatting sqref="B6:B3267">
    <cfRule type="cellIs" priority="1" operator="equal" dxfId="2">
      <formula>"Watched"</formula>
    </cfRule>
    <cfRule type="cellIs" priority="2" operator="equal" dxfId="3">
      <formula>"Watch Later"</formula>
    </cfRule>
    <cfRule type="cellIs" priority="3" operator="equal" dxfId="4">
      <formula>"Skipped"</formula>
    </cfRule>
  </conditionalFormatting>
  <conditionalFormatting sqref="G6:G3267">
    <cfRule type="expression" priority="4" dxfId="5">
      <formula>$B6="Watched"</formula>
    </cfRule>
  </conditionalFormatting>
  <conditionalFormatting sqref="R6:R3267">
    <cfRule type="cellIs" priority="5" operator="equal" dxfId="6">
      <formula>"Not in last refresh"</formula>
    </cfRule>
  </conditionalFormatting>
  <dataValidations count="2">
    <dataValidation sqref="C6:C3267" showDropDown="0" showInputMessage="0" showErrorMessage="1" allowBlank="1" errorTitle="Pick from the list" error="Use: Watched, Unwatched, Watch Later, Skipped (or clear the cell)." type="list">
      <formula1>"Watched,Unwatched,Watch Later,Skipped"</formula1>
    </dataValidation>
    <dataValidation sqref="D6:D3267" showDropDown="0" showInputMessage="0" showErrorMessage="0" allowBlank="1" errorTitle="Date needed" error="Enter a date, e.g. 2026-10-02 (Ctrl+; inserts today)." type="date" operator="greaterThan">
      <formula1>36526</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0F7B8A"/>
    <outlinePr summaryBelow="1" summaryRight="1"/>
    <pageSetUpPr fitToPage="1"/>
  </sheetPr>
  <dimension ref="B2:K37"/>
  <sheetViews>
    <sheetView showGridLines="0" workbookViewId="0">
      <pane ySplit="7" topLeftCell="A8" activePane="bottomLeft" state="frozen"/>
      <selection pane="bottomLeft" activeCell="A1" sqref="A1"/>
    </sheetView>
  </sheetViews>
  <sheetFormatPr baseColWidth="8" defaultRowHeight="15"/>
  <cols>
    <col width="2" customWidth="1" min="1" max="1"/>
    <col width="5" customWidth="1" min="2" max="2"/>
    <col width="20" customWidth="1" min="3" max="3"/>
    <col width="26" customWidth="1" min="4" max="4"/>
    <col width="80" customWidth="1" min="5" max="5"/>
    <col width="11" customWidth="1" min="6" max="6"/>
    <col width="13" customWidth="1" min="7" max="7"/>
    <col width="3" customWidth="1" min="8" max="8"/>
    <col hidden="1" outlineLevel="1" width="3" customWidth="1" min="9" max="11"/>
  </cols>
  <sheetData>
    <row r="2" ht="30" customHeight="1">
      <c r="B2" s="55" t="inlineStr">
        <is>
          <t>Watch Queue</t>
        </is>
      </c>
    </row>
    <row r="3">
      <c r="C3" s="56" t="inlineStr">
        <is>
          <t>Show</t>
        </is>
      </c>
      <c r="D3" s="56" t="inlineStr">
        <is>
          <t>Channel</t>
        </is>
      </c>
      <c r="E3" s="56" t="inlineStr">
        <is>
          <t>Order</t>
        </is>
      </c>
    </row>
    <row r="4">
      <c r="B4" s="35">
        <f>HYPERLINK("#'Dashboard'!A1","◄ Dashboard")</f>
        <v/>
      </c>
      <c r="C4" s="57" t="inlineStr">
        <is>
          <t>Unwatched</t>
        </is>
      </c>
      <c r="D4" s="57" t="inlineStr">
        <is>
          <t>All channels</t>
        </is>
      </c>
      <c r="E4" s="57" t="inlineStr">
        <is>
          <t>Oldest first</t>
        </is>
      </c>
      <c r="K4">
        <f>IF($D$4="All channels","*",IFERROR(INDEX(tblChannels[Channel ID],MATCH($D$4,tblChannels[Display Name],0)),"none"))</f>
        <v/>
      </c>
    </row>
    <row r="5">
      <c r="B5" s="56">
        <f>COUNT(tblVideos[Queue Key])&amp;" videos match   ·   "&amp;IF(ROUND((SUMIFS(tblVideos[Length],tblVideos[Queue Key],"&gt;0"))*1440,0)&lt;60,ROUND((SUMIFS(tblVideos[Length],tblVideos[Queue Key],"&gt;0"))*1440,0)&amp;" m",IF(MOD(ROUND((SUMIFS(tblVideos[Length],tblVideos[Queue Key],"&gt;0"))*1440,0),60)=0,INT(ROUND((SUMIFS(tblVideos[Length],tblVideos[Queue Key],"&gt;0"))*1440,0)/60)&amp;" h",INT(ROUND((SUMIFS(tblVideos[Length],tblVideos[Queue Key],"&gt;0"))*1440,0)/60)&amp;" h "&amp;MOD(ROUND((SUMIFS(tblVideos[Length],tblVideos[Queue Key],"&gt;0"))*1440,0),60)&amp;" m"))&amp;" of runtime"</f>
        <v/>
      </c>
    </row>
    <row r="6">
      <c r="B6" s="2" t="inlineStr">
        <is>
          <t>Your next videos. Click a title to open it on YouTube; mark it watched in the Library.</t>
        </is>
      </c>
    </row>
    <row r="7" ht="22" customHeight="1">
      <c r="B7" s="12" t="inlineStr">
        <is>
          <t>#</t>
        </is>
      </c>
      <c r="C7" s="12" t="inlineStr">
        <is>
          <t>Published</t>
        </is>
      </c>
      <c r="D7" s="12" t="inlineStr">
        <is>
          <t>Channel</t>
        </is>
      </c>
      <c r="E7" s="12" t="inlineStr">
        <is>
          <t>Title</t>
        </is>
      </c>
      <c r="F7" s="12" t="inlineStr">
        <is>
          <t>Length</t>
        </is>
      </c>
      <c r="G7" s="12" t="inlineStr">
        <is>
          <t>Status</t>
        </is>
      </c>
    </row>
    <row r="8">
      <c r="B8" s="58">
        <f>IF($I8="","",1)</f>
        <v/>
      </c>
      <c r="C8" s="19">
        <f>IF($I8="","",INDEX(tblVideos[Day],$I8))</f>
        <v/>
      </c>
      <c r="D8" s="32">
        <f>IF($I8="","",INDEX(tblVideos[Channel],$I8))</f>
        <v/>
      </c>
      <c r="E8" s="29">
        <f>IF($I8="","",IF(INDEX(tblVideos[Video ID],$I8)="",INDEX(tblVideos[Title],$I8),HYPERLINK("https://www.youtube.com/watch?v="&amp;INDEX(tblVideos[Video ID],$I8),INDEX(tblVideos[Title],$I8))))</f>
        <v/>
      </c>
      <c r="F8" s="30">
        <f>IF($I8="","",INDEX(tblVideos[Length],$I8))</f>
        <v/>
      </c>
      <c r="G8" s="33">
        <f>IF($I8="","",INDEX(tblVideos[Status],$I8))</f>
        <v/>
      </c>
      <c r="I8">
        <f>IFERROR(MATCH(IF($E$4="Newest first",LARGE(tblVideos[Queue Key],1),SMALL(tblVideos[Queue Key],1)),tblVideos[Seq],0),"")</f>
        <v/>
      </c>
    </row>
    <row r="9">
      <c r="B9" s="58">
        <f>IF($I9="","",2)</f>
        <v/>
      </c>
      <c r="C9" s="19">
        <f>IF($I9="","",INDEX(tblVideos[Day],$I9))</f>
        <v/>
      </c>
      <c r="D9" s="32">
        <f>IF($I9="","",INDEX(tblVideos[Channel],$I9))</f>
        <v/>
      </c>
      <c r="E9" s="29">
        <f>IF($I9="","",IF(INDEX(tblVideos[Video ID],$I9)="",INDEX(tblVideos[Title],$I9),HYPERLINK("https://www.youtube.com/watch?v="&amp;INDEX(tblVideos[Video ID],$I9),INDEX(tblVideos[Title],$I9))))</f>
        <v/>
      </c>
      <c r="F9" s="30">
        <f>IF($I9="","",INDEX(tblVideos[Length],$I9))</f>
        <v/>
      </c>
      <c r="G9" s="33">
        <f>IF($I9="","",INDEX(tblVideos[Status],$I9))</f>
        <v/>
      </c>
      <c r="I9">
        <f>IFERROR(MATCH(IF($E$4="Newest first",LARGE(tblVideos[Queue Key],2),SMALL(tblVideos[Queue Key],2)),tblVideos[Seq],0),"")</f>
        <v/>
      </c>
    </row>
    <row r="10">
      <c r="B10" s="58">
        <f>IF($I10="","",3)</f>
        <v/>
      </c>
      <c r="C10" s="19">
        <f>IF($I10="","",INDEX(tblVideos[Day],$I10))</f>
        <v/>
      </c>
      <c r="D10" s="32">
        <f>IF($I10="","",INDEX(tblVideos[Channel],$I10))</f>
        <v/>
      </c>
      <c r="E10" s="29">
        <f>IF($I10="","",IF(INDEX(tblVideos[Video ID],$I10)="",INDEX(tblVideos[Title],$I10),HYPERLINK("https://www.youtube.com/watch?v="&amp;INDEX(tblVideos[Video ID],$I10),INDEX(tblVideos[Title],$I10))))</f>
        <v/>
      </c>
      <c r="F10" s="30">
        <f>IF($I10="","",INDEX(tblVideos[Length],$I10))</f>
        <v/>
      </c>
      <c r="G10" s="33">
        <f>IF($I10="","",INDEX(tblVideos[Status],$I10))</f>
        <v/>
      </c>
      <c r="I10">
        <f>IFERROR(MATCH(IF($E$4="Newest first",LARGE(tblVideos[Queue Key],3),SMALL(tblVideos[Queue Key],3)),tblVideos[Seq],0),"")</f>
        <v/>
      </c>
    </row>
    <row r="11">
      <c r="B11" s="58">
        <f>IF($I11="","",4)</f>
        <v/>
      </c>
      <c r="C11" s="19">
        <f>IF($I11="","",INDEX(tblVideos[Day],$I11))</f>
        <v/>
      </c>
      <c r="D11" s="32">
        <f>IF($I11="","",INDEX(tblVideos[Channel],$I11))</f>
        <v/>
      </c>
      <c r="E11" s="29">
        <f>IF($I11="","",IF(INDEX(tblVideos[Video ID],$I11)="",INDEX(tblVideos[Title],$I11),HYPERLINK("https://www.youtube.com/watch?v="&amp;INDEX(tblVideos[Video ID],$I11),INDEX(tblVideos[Title],$I11))))</f>
        <v/>
      </c>
      <c r="F11" s="30">
        <f>IF($I11="","",INDEX(tblVideos[Length],$I11))</f>
        <v/>
      </c>
      <c r="G11" s="33">
        <f>IF($I11="","",INDEX(tblVideos[Status],$I11))</f>
        <v/>
      </c>
      <c r="I11">
        <f>IFERROR(MATCH(IF($E$4="Newest first",LARGE(tblVideos[Queue Key],4),SMALL(tblVideos[Queue Key],4)),tblVideos[Seq],0),"")</f>
        <v/>
      </c>
    </row>
    <row r="12">
      <c r="B12" s="58">
        <f>IF($I12="","",5)</f>
        <v/>
      </c>
      <c r="C12" s="19">
        <f>IF($I12="","",INDEX(tblVideos[Day],$I12))</f>
        <v/>
      </c>
      <c r="D12" s="32">
        <f>IF($I12="","",INDEX(tblVideos[Channel],$I12))</f>
        <v/>
      </c>
      <c r="E12" s="29">
        <f>IF($I12="","",IF(INDEX(tblVideos[Video ID],$I12)="",INDEX(tblVideos[Title],$I12),HYPERLINK("https://www.youtube.com/watch?v="&amp;INDEX(tblVideos[Video ID],$I12),INDEX(tblVideos[Title],$I12))))</f>
        <v/>
      </c>
      <c r="F12" s="30">
        <f>IF($I12="","",INDEX(tblVideos[Length],$I12))</f>
        <v/>
      </c>
      <c r="G12" s="33">
        <f>IF($I12="","",INDEX(tblVideos[Status],$I12))</f>
        <v/>
      </c>
      <c r="I12">
        <f>IFERROR(MATCH(IF($E$4="Newest first",LARGE(tblVideos[Queue Key],5),SMALL(tblVideos[Queue Key],5)),tblVideos[Seq],0),"")</f>
        <v/>
      </c>
    </row>
    <row r="13">
      <c r="B13" s="58">
        <f>IF($I13="","",6)</f>
        <v/>
      </c>
      <c r="C13" s="19">
        <f>IF($I13="","",INDEX(tblVideos[Day],$I13))</f>
        <v/>
      </c>
      <c r="D13" s="32">
        <f>IF($I13="","",INDEX(tblVideos[Channel],$I13))</f>
        <v/>
      </c>
      <c r="E13" s="29">
        <f>IF($I13="","",IF(INDEX(tblVideos[Video ID],$I13)="",INDEX(tblVideos[Title],$I13),HYPERLINK("https://www.youtube.com/watch?v="&amp;INDEX(tblVideos[Video ID],$I13),INDEX(tblVideos[Title],$I13))))</f>
        <v/>
      </c>
      <c r="F13" s="30">
        <f>IF($I13="","",INDEX(tblVideos[Length],$I13))</f>
        <v/>
      </c>
      <c r="G13" s="33">
        <f>IF($I13="","",INDEX(tblVideos[Status],$I13))</f>
        <v/>
      </c>
      <c r="I13">
        <f>IFERROR(MATCH(IF($E$4="Newest first",LARGE(tblVideos[Queue Key],6),SMALL(tblVideos[Queue Key],6)),tblVideos[Seq],0),"")</f>
        <v/>
      </c>
    </row>
    <row r="14">
      <c r="B14" s="58">
        <f>IF($I14="","",7)</f>
        <v/>
      </c>
      <c r="C14" s="19">
        <f>IF($I14="","",INDEX(tblVideos[Day],$I14))</f>
        <v/>
      </c>
      <c r="D14" s="32">
        <f>IF($I14="","",INDEX(tblVideos[Channel],$I14))</f>
        <v/>
      </c>
      <c r="E14" s="29">
        <f>IF($I14="","",IF(INDEX(tblVideos[Video ID],$I14)="",INDEX(tblVideos[Title],$I14),HYPERLINK("https://www.youtube.com/watch?v="&amp;INDEX(tblVideos[Video ID],$I14),INDEX(tblVideos[Title],$I14))))</f>
        <v/>
      </c>
      <c r="F14" s="30">
        <f>IF($I14="","",INDEX(tblVideos[Length],$I14))</f>
        <v/>
      </c>
      <c r="G14" s="33">
        <f>IF($I14="","",INDEX(tblVideos[Status],$I14))</f>
        <v/>
      </c>
      <c r="I14">
        <f>IFERROR(MATCH(IF($E$4="Newest first",LARGE(tblVideos[Queue Key],7),SMALL(tblVideos[Queue Key],7)),tblVideos[Seq],0),"")</f>
        <v/>
      </c>
    </row>
    <row r="15">
      <c r="B15" s="58">
        <f>IF($I15="","",8)</f>
        <v/>
      </c>
      <c r="C15" s="19">
        <f>IF($I15="","",INDEX(tblVideos[Day],$I15))</f>
        <v/>
      </c>
      <c r="D15" s="32">
        <f>IF($I15="","",INDEX(tblVideos[Channel],$I15))</f>
        <v/>
      </c>
      <c r="E15" s="29">
        <f>IF($I15="","",IF(INDEX(tblVideos[Video ID],$I15)="",INDEX(tblVideos[Title],$I15),HYPERLINK("https://www.youtube.com/watch?v="&amp;INDEX(tblVideos[Video ID],$I15),INDEX(tblVideos[Title],$I15))))</f>
        <v/>
      </c>
      <c r="F15" s="30">
        <f>IF($I15="","",INDEX(tblVideos[Length],$I15))</f>
        <v/>
      </c>
      <c r="G15" s="33">
        <f>IF($I15="","",INDEX(tblVideos[Status],$I15))</f>
        <v/>
      </c>
      <c r="I15">
        <f>IFERROR(MATCH(IF($E$4="Newest first",LARGE(tblVideos[Queue Key],8),SMALL(tblVideos[Queue Key],8)),tblVideos[Seq],0),"")</f>
        <v/>
      </c>
    </row>
    <row r="16">
      <c r="B16" s="58">
        <f>IF($I16="","",9)</f>
        <v/>
      </c>
      <c r="C16" s="19">
        <f>IF($I16="","",INDEX(tblVideos[Day],$I16))</f>
        <v/>
      </c>
      <c r="D16" s="32">
        <f>IF($I16="","",INDEX(tblVideos[Channel],$I16))</f>
        <v/>
      </c>
      <c r="E16" s="29">
        <f>IF($I16="","",IF(INDEX(tblVideos[Video ID],$I16)="",INDEX(tblVideos[Title],$I16),HYPERLINK("https://www.youtube.com/watch?v="&amp;INDEX(tblVideos[Video ID],$I16),INDEX(tblVideos[Title],$I16))))</f>
        <v/>
      </c>
      <c r="F16" s="30">
        <f>IF($I16="","",INDEX(tblVideos[Length],$I16))</f>
        <v/>
      </c>
      <c r="G16" s="33">
        <f>IF($I16="","",INDEX(tblVideos[Status],$I16))</f>
        <v/>
      </c>
      <c r="I16">
        <f>IFERROR(MATCH(IF($E$4="Newest first",LARGE(tblVideos[Queue Key],9),SMALL(tblVideos[Queue Key],9)),tblVideos[Seq],0),"")</f>
        <v/>
      </c>
    </row>
    <row r="17">
      <c r="B17" s="58">
        <f>IF($I17="","",10)</f>
        <v/>
      </c>
      <c r="C17" s="19">
        <f>IF($I17="","",INDEX(tblVideos[Day],$I17))</f>
        <v/>
      </c>
      <c r="D17" s="32">
        <f>IF($I17="","",INDEX(tblVideos[Channel],$I17))</f>
        <v/>
      </c>
      <c r="E17" s="29">
        <f>IF($I17="","",IF(INDEX(tblVideos[Video ID],$I17)="",INDEX(tblVideos[Title],$I17),HYPERLINK("https://www.youtube.com/watch?v="&amp;INDEX(tblVideos[Video ID],$I17),INDEX(tblVideos[Title],$I17))))</f>
        <v/>
      </c>
      <c r="F17" s="30">
        <f>IF($I17="","",INDEX(tblVideos[Length],$I17))</f>
        <v/>
      </c>
      <c r="G17" s="33">
        <f>IF($I17="","",INDEX(tblVideos[Status],$I17))</f>
        <v/>
      </c>
      <c r="I17">
        <f>IFERROR(MATCH(IF($E$4="Newest first",LARGE(tblVideos[Queue Key],10),SMALL(tblVideos[Queue Key],10)),tblVideos[Seq],0),"")</f>
        <v/>
      </c>
    </row>
    <row r="18">
      <c r="B18" s="58">
        <f>IF($I18="","",11)</f>
        <v/>
      </c>
      <c r="C18" s="19">
        <f>IF($I18="","",INDEX(tblVideos[Day],$I18))</f>
        <v/>
      </c>
      <c r="D18" s="32">
        <f>IF($I18="","",INDEX(tblVideos[Channel],$I18))</f>
        <v/>
      </c>
      <c r="E18" s="29">
        <f>IF($I18="","",IF(INDEX(tblVideos[Video ID],$I18)="",INDEX(tblVideos[Title],$I18),HYPERLINK("https://www.youtube.com/watch?v="&amp;INDEX(tblVideos[Video ID],$I18),INDEX(tblVideos[Title],$I18))))</f>
        <v/>
      </c>
      <c r="F18" s="30">
        <f>IF($I18="","",INDEX(tblVideos[Length],$I18))</f>
        <v/>
      </c>
      <c r="G18" s="33">
        <f>IF($I18="","",INDEX(tblVideos[Status],$I18))</f>
        <v/>
      </c>
      <c r="I18">
        <f>IFERROR(MATCH(IF($E$4="Newest first",LARGE(tblVideos[Queue Key],11),SMALL(tblVideos[Queue Key],11)),tblVideos[Seq],0),"")</f>
        <v/>
      </c>
    </row>
    <row r="19">
      <c r="B19" s="58">
        <f>IF($I19="","",12)</f>
        <v/>
      </c>
      <c r="C19" s="19">
        <f>IF($I19="","",INDEX(tblVideos[Day],$I19))</f>
        <v/>
      </c>
      <c r="D19" s="32">
        <f>IF($I19="","",INDEX(tblVideos[Channel],$I19))</f>
        <v/>
      </c>
      <c r="E19" s="29">
        <f>IF($I19="","",IF(INDEX(tblVideos[Video ID],$I19)="",INDEX(tblVideos[Title],$I19),HYPERLINK("https://www.youtube.com/watch?v="&amp;INDEX(tblVideos[Video ID],$I19),INDEX(tblVideos[Title],$I19))))</f>
        <v/>
      </c>
      <c r="F19" s="30">
        <f>IF($I19="","",INDEX(tblVideos[Length],$I19))</f>
        <v/>
      </c>
      <c r="G19" s="33">
        <f>IF($I19="","",INDEX(tblVideos[Status],$I19))</f>
        <v/>
      </c>
      <c r="I19">
        <f>IFERROR(MATCH(IF($E$4="Newest first",LARGE(tblVideos[Queue Key],12),SMALL(tblVideos[Queue Key],12)),tblVideos[Seq],0),"")</f>
        <v/>
      </c>
    </row>
    <row r="20">
      <c r="B20" s="58">
        <f>IF($I20="","",13)</f>
        <v/>
      </c>
      <c r="C20" s="19">
        <f>IF($I20="","",INDEX(tblVideos[Day],$I20))</f>
        <v/>
      </c>
      <c r="D20" s="32">
        <f>IF($I20="","",INDEX(tblVideos[Channel],$I20))</f>
        <v/>
      </c>
      <c r="E20" s="29">
        <f>IF($I20="","",IF(INDEX(tblVideos[Video ID],$I20)="",INDEX(tblVideos[Title],$I20),HYPERLINK("https://www.youtube.com/watch?v="&amp;INDEX(tblVideos[Video ID],$I20),INDEX(tblVideos[Title],$I20))))</f>
        <v/>
      </c>
      <c r="F20" s="30">
        <f>IF($I20="","",INDEX(tblVideos[Length],$I20))</f>
        <v/>
      </c>
      <c r="G20" s="33">
        <f>IF($I20="","",INDEX(tblVideos[Status],$I20))</f>
        <v/>
      </c>
      <c r="I20">
        <f>IFERROR(MATCH(IF($E$4="Newest first",LARGE(tblVideos[Queue Key],13),SMALL(tblVideos[Queue Key],13)),tblVideos[Seq],0),"")</f>
        <v/>
      </c>
    </row>
    <row r="21">
      <c r="B21" s="58">
        <f>IF($I21="","",14)</f>
        <v/>
      </c>
      <c r="C21" s="19">
        <f>IF($I21="","",INDEX(tblVideos[Day],$I21))</f>
        <v/>
      </c>
      <c r="D21" s="32">
        <f>IF($I21="","",INDEX(tblVideos[Channel],$I21))</f>
        <v/>
      </c>
      <c r="E21" s="29">
        <f>IF($I21="","",IF(INDEX(tblVideos[Video ID],$I21)="",INDEX(tblVideos[Title],$I21),HYPERLINK("https://www.youtube.com/watch?v="&amp;INDEX(tblVideos[Video ID],$I21),INDEX(tblVideos[Title],$I21))))</f>
        <v/>
      </c>
      <c r="F21" s="30">
        <f>IF($I21="","",INDEX(tblVideos[Length],$I21))</f>
        <v/>
      </c>
      <c r="G21" s="33">
        <f>IF($I21="","",INDEX(tblVideos[Status],$I21))</f>
        <v/>
      </c>
      <c r="I21">
        <f>IFERROR(MATCH(IF($E$4="Newest first",LARGE(tblVideos[Queue Key],14),SMALL(tblVideos[Queue Key],14)),tblVideos[Seq],0),"")</f>
        <v/>
      </c>
    </row>
    <row r="22">
      <c r="B22" s="58">
        <f>IF($I22="","",15)</f>
        <v/>
      </c>
      <c r="C22" s="19">
        <f>IF($I22="","",INDEX(tblVideos[Day],$I22))</f>
        <v/>
      </c>
      <c r="D22" s="32">
        <f>IF($I22="","",INDEX(tblVideos[Channel],$I22))</f>
        <v/>
      </c>
      <c r="E22" s="29">
        <f>IF($I22="","",IF(INDEX(tblVideos[Video ID],$I22)="",INDEX(tblVideos[Title],$I22),HYPERLINK("https://www.youtube.com/watch?v="&amp;INDEX(tblVideos[Video ID],$I22),INDEX(tblVideos[Title],$I22))))</f>
        <v/>
      </c>
      <c r="F22" s="30">
        <f>IF($I22="","",INDEX(tblVideos[Length],$I22))</f>
        <v/>
      </c>
      <c r="G22" s="33">
        <f>IF($I22="","",INDEX(tblVideos[Status],$I22))</f>
        <v/>
      </c>
      <c r="I22">
        <f>IFERROR(MATCH(IF($E$4="Newest first",LARGE(tblVideos[Queue Key],15),SMALL(tblVideos[Queue Key],15)),tblVideos[Seq],0),"")</f>
        <v/>
      </c>
    </row>
    <row r="23">
      <c r="B23" s="58">
        <f>IF($I23="","",16)</f>
        <v/>
      </c>
      <c r="C23" s="19">
        <f>IF($I23="","",INDEX(tblVideos[Day],$I23))</f>
        <v/>
      </c>
      <c r="D23" s="32">
        <f>IF($I23="","",INDEX(tblVideos[Channel],$I23))</f>
        <v/>
      </c>
      <c r="E23" s="29">
        <f>IF($I23="","",IF(INDEX(tblVideos[Video ID],$I23)="",INDEX(tblVideos[Title],$I23),HYPERLINK("https://www.youtube.com/watch?v="&amp;INDEX(tblVideos[Video ID],$I23),INDEX(tblVideos[Title],$I23))))</f>
        <v/>
      </c>
      <c r="F23" s="30">
        <f>IF($I23="","",INDEX(tblVideos[Length],$I23))</f>
        <v/>
      </c>
      <c r="G23" s="33">
        <f>IF($I23="","",INDEX(tblVideos[Status],$I23))</f>
        <v/>
      </c>
      <c r="I23">
        <f>IFERROR(MATCH(IF($E$4="Newest first",LARGE(tblVideos[Queue Key],16),SMALL(tblVideos[Queue Key],16)),tblVideos[Seq],0),"")</f>
        <v/>
      </c>
    </row>
    <row r="24">
      <c r="B24" s="58">
        <f>IF($I24="","",17)</f>
        <v/>
      </c>
      <c r="C24" s="19">
        <f>IF($I24="","",INDEX(tblVideos[Day],$I24))</f>
        <v/>
      </c>
      <c r="D24" s="32">
        <f>IF($I24="","",INDEX(tblVideos[Channel],$I24))</f>
        <v/>
      </c>
      <c r="E24" s="29">
        <f>IF($I24="","",IF(INDEX(tblVideos[Video ID],$I24)="",INDEX(tblVideos[Title],$I24),HYPERLINK("https://www.youtube.com/watch?v="&amp;INDEX(tblVideos[Video ID],$I24),INDEX(tblVideos[Title],$I24))))</f>
        <v/>
      </c>
      <c r="F24" s="30">
        <f>IF($I24="","",INDEX(tblVideos[Length],$I24))</f>
        <v/>
      </c>
      <c r="G24" s="33">
        <f>IF($I24="","",INDEX(tblVideos[Status],$I24))</f>
        <v/>
      </c>
      <c r="I24">
        <f>IFERROR(MATCH(IF($E$4="Newest first",LARGE(tblVideos[Queue Key],17),SMALL(tblVideos[Queue Key],17)),tblVideos[Seq],0),"")</f>
        <v/>
      </c>
    </row>
    <row r="25">
      <c r="B25" s="58">
        <f>IF($I25="","",18)</f>
        <v/>
      </c>
      <c r="C25" s="19">
        <f>IF($I25="","",INDEX(tblVideos[Day],$I25))</f>
        <v/>
      </c>
      <c r="D25" s="32">
        <f>IF($I25="","",INDEX(tblVideos[Channel],$I25))</f>
        <v/>
      </c>
      <c r="E25" s="29">
        <f>IF($I25="","",IF(INDEX(tblVideos[Video ID],$I25)="",INDEX(tblVideos[Title],$I25),HYPERLINK("https://www.youtube.com/watch?v="&amp;INDEX(tblVideos[Video ID],$I25),INDEX(tblVideos[Title],$I25))))</f>
        <v/>
      </c>
      <c r="F25" s="30">
        <f>IF($I25="","",INDEX(tblVideos[Length],$I25))</f>
        <v/>
      </c>
      <c r="G25" s="33">
        <f>IF($I25="","",INDEX(tblVideos[Status],$I25))</f>
        <v/>
      </c>
      <c r="I25">
        <f>IFERROR(MATCH(IF($E$4="Newest first",LARGE(tblVideos[Queue Key],18),SMALL(tblVideos[Queue Key],18)),tblVideos[Seq],0),"")</f>
        <v/>
      </c>
    </row>
    <row r="26">
      <c r="B26" s="58">
        <f>IF($I26="","",19)</f>
        <v/>
      </c>
      <c r="C26" s="19">
        <f>IF($I26="","",INDEX(tblVideos[Day],$I26))</f>
        <v/>
      </c>
      <c r="D26" s="32">
        <f>IF($I26="","",INDEX(tblVideos[Channel],$I26))</f>
        <v/>
      </c>
      <c r="E26" s="29">
        <f>IF($I26="","",IF(INDEX(tblVideos[Video ID],$I26)="",INDEX(tblVideos[Title],$I26),HYPERLINK("https://www.youtube.com/watch?v="&amp;INDEX(tblVideos[Video ID],$I26),INDEX(tblVideos[Title],$I26))))</f>
        <v/>
      </c>
      <c r="F26" s="30">
        <f>IF($I26="","",INDEX(tblVideos[Length],$I26))</f>
        <v/>
      </c>
      <c r="G26" s="33">
        <f>IF($I26="","",INDEX(tblVideos[Status],$I26))</f>
        <v/>
      </c>
      <c r="I26">
        <f>IFERROR(MATCH(IF($E$4="Newest first",LARGE(tblVideos[Queue Key],19),SMALL(tblVideos[Queue Key],19)),tblVideos[Seq],0),"")</f>
        <v/>
      </c>
    </row>
    <row r="27">
      <c r="B27" s="58">
        <f>IF($I27="","",20)</f>
        <v/>
      </c>
      <c r="C27" s="19">
        <f>IF($I27="","",INDEX(tblVideos[Day],$I27))</f>
        <v/>
      </c>
      <c r="D27" s="32">
        <f>IF($I27="","",INDEX(tblVideos[Channel],$I27))</f>
        <v/>
      </c>
      <c r="E27" s="29">
        <f>IF($I27="","",IF(INDEX(tblVideos[Video ID],$I27)="",INDEX(tblVideos[Title],$I27),HYPERLINK("https://www.youtube.com/watch?v="&amp;INDEX(tblVideos[Video ID],$I27),INDEX(tblVideos[Title],$I27))))</f>
        <v/>
      </c>
      <c r="F27" s="30">
        <f>IF($I27="","",INDEX(tblVideos[Length],$I27))</f>
        <v/>
      </c>
      <c r="G27" s="33">
        <f>IF($I27="","",INDEX(tblVideos[Status],$I27))</f>
        <v/>
      </c>
      <c r="I27">
        <f>IFERROR(MATCH(IF($E$4="Newest first",LARGE(tblVideos[Queue Key],20),SMALL(tblVideos[Queue Key],20)),tblVideos[Seq],0),"")</f>
        <v/>
      </c>
    </row>
    <row r="28">
      <c r="B28" s="58">
        <f>IF($I28="","",21)</f>
        <v/>
      </c>
      <c r="C28" s="19">
        <f>IF($I28="","",INDEX(tblVideos[Day],$I28))</f>
        <v/>
      </c>
      <c r="D28" s="32">
        <f>IF($I28="","",INDEX(tblVideos[Channel],$I28))</f>
        <v/>
      </c>
      <c r="E28" s="29">
        <f>IF($I28="","",IF(INDEX(tblVideos[Video ID],$I28)="",INDEX(tblVideos[Title],$I28),HYPERLINK("https://www.youtube.com/watch?v="&amp;INDEX(tblVideos[Video ID],$I28),INDEX(tblVideos[Title],$I28))))</f>
        <v/>
      </c>
      <c r="F28" s="30">
        <f>IF($I28="","",INDEX(tblVideos[Length],$I28))</f>
        <v/>
      </c>
      <c r="G28" s="33">
        <f>IF($I28="","",INDEX(tblVideos[Status],$I28))</f>
        <v/>
      </c>
      <c r="I28">
        <f>IFERROR(MATCH(IF($E$4="Newest first",LARGE(tblVideos[Queue Key],21),SMALL(tblVideos[Queue Key],21)),tblVideos[Seq],0),"")</f>
        <v/>
      </c>
    </row>
    <row r="29">
      <c r="B29" s="58">
        <f>IF($I29="","",22)</f>
        <v/>
      </c>
      <c r="C29" s="19">
        <f>IF($I29="","",INDEX(tblVideos[Day],$I29))</f>
        <v/>
      </c>
      <c r="D29" s="32">
        <f>IF($I29="","",INDEX(tblVideos[Channel],$I29))</f>
        <v/>
      </c>
      <c r="E29" s="29">
        <f>IF($I29="","",IF(INDEX(tblVideos[Video ID],$I29)="",INDEX(tblVideos[Title],$I29),HYPERLINK("https://www.youtube.com/watch?v="&amp;INDEX(tblVideos[Video ID],$I29),INDEX(tblVideos[Title],$I29))))</f>
        <v/>
      </c>
      <c r="F29" s="30">
        <f>IF($I29="","",INDEX(tblVideos[Length],$I29))</f>
        <v/>
      </c>
      <c r="G29" s="33">
        <f>IF($I29="","",INDEX(tblVideos[Status],$I29))</f>
        <v/>
      </c>
      <c r="I29">
        <f>IFERROR(MATCH(IF($E$4="Newest first",LARGE(tblVideos[Queue Key],22),SMALL(tblVideos[Queue Key],22)),tblVideos[Seq],0),"")</f>
        <v/>
      </c>
    </row>
    <row r="30">
      <c r="B30" s="58">
        <f>IF($I30="","",23)</f>
        <v/>
      </c>
      <c r="C30" s="19">
        <f>IF($I30="","",INDEX(tblVideos[Day],$I30))</f>
        <v/>
      </c>
      <c r="D30" s="32">
        <f>IF($I30="","",INDEX(tblVideos[Channel],$I30))</f>
        <v/>
      </c>
      <c r="E30" s="29">
        <f>IF($I30="","",IF(INDEX(tblVideos[Video ID],$I30)="",INDEX(tblVideos[Title],$I30),HYPERLINK("https://www.youtube.com/watch?v="&amp;INDEX(tblVideos[Video ID],$I30),INDEX(tblVideos[Title],$I30))))</f>
        <v/>
      </c>
      <c r="F30" s="30">
        <f>IF($I30="","",INDEX(tblVideos[Length],$I30))</f>
        <v/>
      </c>
      <c r="G30" s="33">
        <f>IF($I30="","",INDEX(tblVideos[Status],$I30))</f>
        <v/>
      </c>
      <c r="I30">
        <f>IFERROR(MATCH(IF($E$4="Newest first",LARGE(tblVideos[Queue Key],23),SMALL(tblVideos[Queue Key],23)),tblVideos[Seq],0),"")</f>
        <v/>
      </c>
    </row>
    <row r="31">
      <c r="B31" s="58">
        <f>IF($I31="","",24)</f>
        <v/>
      </c>
      <c r="C31" s="19">
        <f>IF($I31="","",INDEX(tblVideos[Day],$I31))</f>
        <v/>
      </c>
      <c r="D31" s="32">
        <f>IF($I31="","",INDEX(tblVideos[Channel],$I31))</f>
        <v/>
      </c>
      <c r="E31" s="29">
        <f>IF($I31="","",IF(INDEX(tblVideos[Video ID],$I31)="",INDEX(tblVideos[Title],$I31),HYPERLINK("https://www.youtube.com/watch?v="&amp;INDEX(tblVideos[Video ID],$I31),INDEX(tblVideos[Title],$I31))))</f>
        <v/>
      </c>
      <c r="F31" s="30">
        <f>IF($I31="","",INDEX(tblVideos[Length],$I31))</f>
        <v/>
      </c>
      <c r="G31" s="33">
        <f>IF($I31="","",INDEX(tblVideos[Status],$I31))</f>
        <v/>
      </c>
      <c r="I31">
        <f>IFERROR(MATCH(IF($E$4="Newest first",LARGE(tblVideos[Queue Key],24),SMALL(tblVideos[Queue Key],24)),tblVideos[Seq],0),"")</f>
        <v/>
      </c>
    </row>
    <row r="32">
      <c r="B32" s="58">
        <f>IF($I32="","",25)</f>
        <v/>
      </c>
      <c r="C32" s="19">
        <f>IF($I32="","",INDEX(tblVideos[Day],$I32))</f>
        <v/>
      </c>
      <c r="D32" s="32">
        <f>IF($I32="","",INDEX(tblVideos[Channel],$I32))</f>
        <v/>
      </c>
      <c r="E32" s="29">
        <f>IF($I32="","",IF(INDEX(tblVideos[Video ID],$I32)="",INDEX(tblVideos[Title],$I32),HYPERLINK("https://www.youtube.com/watch?v="&amp;INDEX(tblVideos[Video ID],$I32),INDEX(tblVideos[Title],$I32))))</f>
        <v/>
      </c>
      <c r="F32" s="30">
        <f>IF($I32="","",INDEX(tblVideos[Length],$I32))</f>
        <v/>
      </c>
      <c r="G32" s="33">
        <f>IF($I32="","",INDEX(tblVideos[Status],$I32))</f>
        <v/>
      </c>
      <c r="I32">
        <f>IFERROR(MATCH(IF($E$4="Newest first",LARGE(tblVideos[Queue Key],25),SMALL(tblVideos[Queue Key],25)),tblVideos[Seq],0),"")</f>
        <v/>
      </c>
    </row>
    <row r="33">
      <c r="B33" s="58">
        <f>IF($I33="","",26)</f>
        <v/>
      </c>
      <c r="C33" s="19">
        <f>IF($I33="","",INDEX(tblVideos[Day],$I33))</f>
        <v/>
      </c>
      <c r="D33" s="32">
        <f>IF($I33="","",INDEX(tblVideos[Channel],$I33))</f>
        <v/>
      </c>
      <c r="E33" s="29">
        <f>IF($I33="","",IF(INDEX(tblVideos[Video ID],$I33)="",INDEX(tblVideos[Title],$I33),HYPERLINK("https://www.youtube.com/watch?v="&amp;INDEX(tblVideos[Video ID],$I33),INDEX(tblVideos[Title],$I33))))</f>
        <v/>
      </c>
      <c r="F33" s="30">
        <f>IF($I33="","",INDEX(tblVideos[Length],$I33))</f>
        <v/>
      </c>
      <c r="G33" s="33">
        <f>IF($I33="","",INDEX(tblVideos[Status],$I33))</f>
        <v/>
      </c>
      <c r="I33">
        <f>IFERROR(MATCH(IF($E$4="Newest first",LARGE(tblVideos[Queue Key],26),SMALL(tblVideos[Queue Key],26)),tblVideos[Seq],0),"")</f>
        <v/>
      </c>
    </row>
    <row r="34">
      <c r="B34" s="58">
        <f>IF($I34="","",27)</f>
        <v/>
      </c>
      <c r="C34" s="19">
        <f>IF($I34="","",INDEX(tblVideos[Day],$I34))</f>
        <v/>
      </c>
      <c r="D34" s="32">
        <f>IF($I34="","",INDEX(tblVideos[Channel],$I34))</f>
        <v/>
      </c>
      <c r="E34" s="29">
        <f>IF($I34="","",IF(INDEX(tblVideos[Video ID],$I34)="",INDEX(tblVideos[Title],$I34),HYPERLINK("https://www.youtube.com/watch?v="&amp;INDEX(tblVideos[Video ID],$I34),INDEX(tblVideos[Title],$I34))))</f>
        <v/>
      </c>
      <c r="F34" s="30">
        <f>IF($I34="","",INDEX(tblVideos[Length],$I34))</f>
        <v/>
      </c>
      <c r="G34" s="33">
        <f>IF($I34="","",INDEX(tblVideos[Status],$I34))</f>
        <v/>
      </c>
      <c r="I34">
        <f>IFERROR(MATCH(IF($E$4="Newest first",LARGE(tblVideos[Queue Key],27),SMALL(tblVideos[Queue Key],27)),tblVideos[Seq],0),"")</f>
        <v/>
      </c>
    </row>
    <row r="35">
      <c r="B35" s="58">
        <f>IF($I35="","",28)</f>
        <v/>
      </c>
      <c r="C35" s="19">
        <f>IF($I35="","",INDEX(tblVideos[Day],$I35))</f>
        <v/>
      </c>
      <c r="D35" s="32">
        <f>IF($I35="","",INDEX(tblVideos[Channel],$I35))</f>
        <v/>
      </c>
      <c r="E35" s="29">
        <f>IF($I35="","",IF(INDEX(tblVideos[Video ID],$I35)="",INDEX(tblVideos[Title],$I35),HYPERLINK("https://www.youtube.com/watch?v="&amp;INDEX(tblVideos[Video ID],$I35),INDEX(tblVideos[Title],$I35))))</f>
        <v/>
      </c>
      <c r="F35" s="30">
        <f>IF($I35="","",INDEX(tblVideos[Length],$I35))</f>
        <v/>
      </c>
      <c r="G35" s="33">
        <f>IF($I35="","",INDEX(tblVideos[Status],$I35))</f>
        <v/>
      </c>
      <c r="I35">
        <f>IFERROR(MATCH(IF($E$4="Newest first",LARGE(tblVideos[Queue Key],28),SMALL(tblVideos[Queue Key],28)),tblVideos[Seq],0),"")</f>
        <v/>
      </c>
    </row>
    <row r="36">
      <c r="B36" s="58">
        <f>IF($I36="","",29)</f>
        <v/>
      </c>
      <c r="C36" s="19">
        <f>IF($I36="","",INDEX(tblVideos[Day],$I36))</f>
        <v/>
      </c>
      <c r="D36" s="32">
        <f>IF($I36="","",INDEX(tblVideos[Channel],$I36))</f>
        <v/>
      </c>
      <c r="E36" s="29">
        <f>IF($I36="","",IF(INDEX(tblVideos[Video ID],$I36)="",INDEX(tblVideos[Title],$I36),HYPERLINK("https://www.youtube.com/watch?v="&amp;INDEX(tblVideos[Video ID],$I36),INDEX(tblVideos[Title],$I36))))</f>
        <v/>
      </c>
      <c r="F36" s="30">
        <f>IF($I36="","",INDEX(tblVideos[Length],$I36))</f>
        <v/>
      </c>
      <c r="G36" s="33">
        <f>IF($I36="","",INDEX(tblVideos[Status],$I36))</f>
        <v/>
      </c>
      <c r="I36">
        <f>IFERROR(MATCH(IF($E$4="Newest first",LARGE(tblVideos[Queue Key],29),SMALL(tblVideos[Queue Key],29)),tblVideos[Seq],0),"")</f>
        <v/>
      </c>
    </row>
    <row r="37">
      <c r="B37" s="58">
        <f>IF($I37="","",30)</f>
        <v/>
      </c>
      <c r="C37" s="19">
        <f>IF($I37="","",INDEX(tblVideos[Day],$I37))</f>
        <v/>
      </c>
      <c r="D37" s="32">
        <f>IF($I37="","",INDEX(tblVideos[Channel],$I37))</f>
        <v/>
      </c>
      <c r="E37" s="29">
        <f>IF($I37="","",IF(INDEX(tblVideos[Video ID],$I37)="",INDEX(tblVideos[Title],$I37),HYPERLINK("https://www.youtube.com/watch?v="&amp;INDEX(tblVideos[Video ID],$I37),INDEX(tblVideos[Title],$I37))))</f>
        <v/>
      </c>
      <c r="F37" s="30">
        <f>IF($I37="","",INDEX(tblVideos[Length],$I37))</f>
        <v/>
      </c>
      <c r="G37" s="33">
        <f>IF($I37="","",INDEX(tblVideos[Status],$I37))</f>
        <v/>
      </c>
      <c r="I37">
        <f>IFERROR(MATCH(IF($E$4="Newest first",LARGE(tblVideos[Queue Key],30),SMALL(tblVideos[Queue Key],30)),tblVideos[Seq],0),"")</f>
        <v/>
      </c>
    </row>
  </sheetData>
  <sheetProtection selectLockedCells="0" selectUnlockedCells="0" sheet="1" objects="0" insertRows="1" insertHyperlinks="1" autoFilter="1" scenarios="0" formatColumns="1" deleteColumns="1" insertColumns="1" pivotTables="1" deleteRows="1" formatCells="1" formatRows="1" sort="1"/>
  <conditionalFormatting sqref="D8:D37">
    <cfRule type="expression" priority="1" dxfId="7">
      <formula>$D8=Channels!$C$6</formula>
    </cfRule>
    <cfRule type="expression" priority="2" dxfId="8">
      <formula>$D8=Channels!$C$7</formula>
    </cfRule>
    <cfRule type="expression" priority="3" dxfId="9">
      <formula>$D8=Channels!$C$8</formula>
    </cfRule>
    <cfRule type="expression" priority="4" dxfId="10">
      <formula>$D8=Channels!$C$9</formula>
    </cfRule>
    <cfRule type="expression" priority="5" dxfId="11">
      <formula>$D8=Channels!$C$10</formula>
    </cfRule>
    <cfRule type="expression" priority="6" dxfId="12">
      <formula>$D8=Channels!$C$11</formula>
    </cfRule>
  </conditionalFormatting>
  <dataValidations count="3">
    <dataValidation sqref="C4" showDropDown="0" showInputMessage="0" showErrorMessage="1" allowBlank="0" type="list">
      <formula1>"Unwatched,Watch Later"</formula1>
    </dataValidation>
    <dataValidation sqref="D4" showDropDown="0" showInputMessage="0" showErrorMessage="1" allowBlank="0" type="list">
      <formula1>=ChannelList</formula1>
    </dataValidation>
    <dataValidation sqref="E4" showDropDown="0" showInputMessage="0" showErrorMessage="1" allowBlank="0" type="list">
      <formula1>"Oldest first,Newest first"</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E9E6B"/>
    <outlinePr summaryBelow="1" summaryRight="1"/>
    <pageSetUpPr fitToPage="1"/>
  </sheetPr>
  <dimension ref="B1:AG74"/>
  <sheetViews>
    <sheetView showGridLines="0" zoomScale="90" workbookViewId="0">
      <selection activeCell="A1" sqref="A1"/>
    </sheetView>
  </sheetViews>
  <sheetFormatPr baseColWidth="8" defaultRowHeight="15"/>
  <cols>
    <col width="2" customWidth="1" min="1" max="1"/>
    <col width="27" customWidth="1" min="2" max="2"/>
    <col width="27" customWidth="1" min="3" max="3"/>
    <col width="27" customWidth="1" min="4" max="4"/>
    <col width="27" customWidth="1" min="5" max="5"/>
    <col width="27" customWidth="1" min="6" max="6"/>
    <col width="27" customWidth="1" min="7" max="7"/>
    <col width="27" customWidth="1" min="8" max="8"/>
    <col width="3" customWidth="1" min="9" max="9"/>
    <col hidden="1" outlineLevel="1" width="13" customWidth="1" min="10" max="33"/>
  </cols>
  <sheetData>
    <row r="1"/>
    <row r="2" ht="30" customHeight="1">
      <c r="B2" s="55" t="inlineStr">
        <is>
          <t>Upload Calendar</t>
        </is>
      </c>
      <c r="J2" t="inlineStr">
        <is>
          <t>month start</t>
        </is>
      </c>
      <c r="K2" s="59">
        <f>DATE($C$4,MATCH($E$4,MonthList,0),1)</f>
        <v/>
      </c>
    </row>
    <row r="3">
      <c r="C3" s="56" t="inlineStr">
        <is>
          <t>Year</t>
        </is>
      </c>
      <c r="E3" s="56" t="inlineStr">
        <is>
          <t>Month</t>
        </is>
      </c>
      <c r="G3" s="56" t="inlineStr">
        <is>
          <t>Channel</t>
        </is>
      </c>
      <c r="H3" s="56" t="inlineStr">
        <is>
          <t>Events</t>
        </is>
      </c>
      <c r="J3" t="inlineStr">
        <is>
          <t>grid start</t>
        </is>
      </c>
      <c r="K3" s="59">
        <f>K2-(WEEKDAY(K2,1)-1)</f>
        <v/>
      </c>
    </row>
    <row r="4">
      <c r="B4" s="60">
        <f>HYPERLINK("#'Dashboard'!A1","◄ Dashboard")</f>
        <v/>
      </c>
      <c r="C4" s="57" t="n">
        <v>2026</v>
      </c>
      <c r="E4" s="57" t="inlineStr">
        <is>
          <t>October</t>
        </is>
      </c>
      <c r="G4" s="57" t="inlineStr">
        <is>
          <t>All channels</t>
        </is>
      </c>
      <c r="H4" s="57" t="inlineStr">
        <is>
          <t>All events</t>
        </is>
      </c>
      <c r="J4" t="inlineStr">
        <is>
          <t>channel crit</t>
        </is>
      </c>
      <c r="K4">
        <f>IF($G$4="All channels","*",IFERROR(INDEX(tblChannels[Channel ID],MATCH($G$4,tblChannels[Display Name],0)),"none"))</f>
        <v/>
      </c>
    </row>
    <row r="5">
      <c r="B5" s="2" t="inlineStr">
        <is>
          <t>Pick a year, month and (optionally) a channel with the dropdowns. Click a title to open it on YouTube.  ✓ = watched, dimmed.  Events (holidays, releases, milestones, your own) show in italics at the top of each day.</t>
        </is>
      </c>
    </row>
    <row r="6">
      <c r="B6" s="61">
        <f>"Videos: "&amp;COUNTIFS(tblVideos[Day],"&gt;="&amp;$K$2,tblVideos[Day],"&lt;"&amp;EDATE($K$2,1),tblVideos[Channel ID],$K$4)&amp;"      Runtime: "&amp;IF(ROUND((SUMIFS(tblVideos[Length],tblVideos[Day],"&gt;="&amp;$K$2,tblVideos[Day],"&lt;"&amp;EDATE($K$2,1),tblVideos[Channel ID],$K$4))*1440,0)&lt;60,ROUND((SUMIFS(tblVideos[Length],tblVideos[Day],"&gt;="&amp;$K$2,tblVideos[Day],"&lt;"&amp;EDATE($K$2,1),tblVideos[Channel ID],$K$4))*1440,0)&amp;" m",IF(MOD(ROUND((SUMIFS(tblVideos[Length],tblVideos[Day],"&gt;="&amp;$K$2,tblVideos[Day],"&lt;"&amp;EDATE($K$2,1),tblVideos[Channel ID],$K$4))*1440,0),60)=0,INT(ROUND((SUMIFS(tblVideos[Length],tblVideos[Day],"&gt;="&amp;$K$2,tblVideos[Day],"&lt;"&amp;EDATE($K$2,1),tblVideos[Channel ID],$K$4))*1440,0)/60)&amp;" h",INT(ROUND((SUMIFS(tblVideos[Length],tblVideos[Day],"&gt;="&amp;$K$2,tblVideos[Day],"&lt;"&amp;EDATE($K$2,1),tblVideos[Channel ID],$K$4))*1440,0)/60)&amp;" h "&amp;MOD(ROUND((SUMIFS(tblVideos[Length],tblVideos[Day],"&gt;="&amp;$K$2,tblVideos[Day],"&lt;"&amp;EDATE($K$2,1),tblVideos[Channel ID],$K$4))*1440,0),60)&amp;" m"))&amp;"      Watched: "&amp;COUNTIFS(tblVideos[Day],"&gt;="&amp;$K$2,tblVideos[Day],"&lt;"&amp;EDATE($K$2,1),tblVideos[Channel ID],$K$4,tblVideos[Status],"Watched")&amp;" of "&amp;COUNTIFS(tblVideos[Day],"&gt;="&amp;$K$2,tblVideos[Day],"&lt;"&amp;EDATE($K$2,1),tblVideos[Channel ID],$K$4)</f>
        <v/>
      </c>
    </row>
    <row r="7">
      <c r="B7" s="62">
        <f>Channels!$C$6&amp;"  ("&amp;COUNTIFS(tblVideos[Day],"&gt;="&amp;$K$2,tblVideos[Day],"&lt;"&amp;EDATE($K$2,1),tblVideos[Channel ID],Channels!$E$6)&amp;")"</f>
        <v/>
      </c>
      <c r="C7" s="63">
        <f>Channels!$C$7&amp;"  ("&amp;COUNTIFS(tblVideos[Day],"&gt;="&amp;$K$2,tblVideos[Day],"&lt;"&amp;EDATE($K$2,1),tblVideos[Channel ID],Channels!$E$7)&amp;")"</f>
        <v/>
      </c>
      <c r="D7" s="64">
        <f>Channels!$C$8&amp;"  ("&amp;COUNTIFS(tblVideos[Day],"&gt;="&amp;$K$2,tblVideos[Day],"&lt;"&amp;EDATE($K$2,1),tblVideos[Channel ID],Channels!$E$8)&amp;")"</f>
        <v/>
      </c>
      <c r="E7" s="65">
        <f>Channels!$C$9&amp;"  ("&amp;COUNTIFS(tblVideos[Day],"&gt;="&amp;$K$2,tblVideos[Day],"&lt;"&amp;EDATE($K$2,1),tblVideos[Channel ID],Channels!$E$9)&amp;")"</f>
        <v/>
      </c>
      <c r="F7" s="66">
        <f>Channels!$C$10&amp;"  ("&amp;COUNTIFS(tblVideos[Day],"&gt;="&amp;$K$2,tblVideos[Day],"&lt;"&amp;EDATE($K$2,1),tblVideos[Channel ID],Channels!$E$10)&amp;")"</f>
        <v/>
      </c>
      <c r="G7" s="67">
        <f>Channels!$C$11&amp;"  ("&amp;COUNTIFS(tblVideos[Day],"&gt;="&amp;$K$2,tblVideos[Day],"&lt;"&amp;EDATE($K$2,1),tblVideos[Channel ID],Channels!$E$11)&amp;")"</f>
        <v/>
      </c>
    </row>
    <row r="9">
      <c r="B9" s="68" t="inlineStr">
        <is>
          <t>Sunday</t>
        </is>
      </c>
      <c r="C9" s="68" t="inlineStr">
        <is>
          <t>Monday</t>
        </is>
      </c>
      <c r="D9" s="68" t="inlineStr">
        <is>
          <t>Tuesday</t>
        </is>
      </c>
      <c r="E9" s="68" t="inlineStr">
        <is>
          <t>Wednesday</t>
        </is>
      </c>
      <c r="F9" s="68" t="inlineStr">
        <is>
          <t>Thursday</t>
        </is>
      </c>
      <c r="G9" s="68" t="inlineStr">
        <is>
          <t>Friday</t>
        </is>
      </c>
      <c r="H9" s="68" t="inlineStr">
        <is>
          <t>Saturday</t>
        </is>
      </c>
    </row>
    <row r="10" ht="18" customHeight="1">
      <c r="B10" s="69">
        <f>IF(MONTH(K10)=MONTH($K$2),DAY(K10)&amp;IF(S10&gt;0,"   ·   "&amp;S10&amp;IF(S10=1," video"," videos")&amp;"   ·   "&amp;IF(ROUND((AA10)*1440,0)&lt;60,ROUND((AA10)*1440,0)&amp;" m",IF(MOD(ROUND((AA10)*1440,0),60)=0,INT(ROUND((AA10)*1440,0)/60)&amp;" h",INT(ROUND((AA10)*1440,0)/60)&amp;" h "&amp;MOD(ROUND((AA10)*1440,0),60)&amp;" m"))&amp;IF(S10&gt;5,"   (+"&amp;(S10-5)&amp;" more)",""),""),"")</f>
        <v/>
      </c>
      <c r="C10" s="69">
        <f>IF(MONTH(L10)=MONTH($K$2),DAY(L10)&amp;IF(T10&gt;0,"   ·   "&amp;T10&amp;IF(T10=1," video"," videos")&amp;"   ·   "&amp;IF(ROUND((AB10)*1440,0)&lt;60,ROUND((AB10)*1440,0)&amp;" m",IF(MOD(ROUND((AB10)*1440,0),60)=0,INT(ROUND((AB10)*1440,0)/60)&amp;" h",INT(ROUND((AB10)*1440,0)/60)&amp;" h "&amp;MOD(ROUND((AB10)*1440,0),60)&amp;" m"))&amp;IF(T10&gt;5,"   (+"&amp;(T10-5)&amp;" more)",""),""),"")</f>
        <v/>
      </c>
      <c r="D10" s="69">
        <f>IF(MONTH(M10)=MONTH($K$2),DAY(M10)&amp;IF(U10&gt;0,"   ·   "&amp;U10&amp;IF(U10=1," video"," videos")&amp;"   ·   "&amp;IF(ROUND((AC10)*1440,0)&lt;60,ROUND((AC10)*1440,0)&amp;" m",IF(MOD(ROUND((AC10)*1440,0),60)=0,INT(ROUND((AC10)*1440,0)/60)&amp;" h",INT(ROUND((AC10)*1440,0)/60)&amp;" h "&amp;MOD(ROUND((AC10)*1440,0),60)&amp;" m"))&amp;IF(U10&gt;5,"   (+"&amp;(U10-5)&amp;" more)",""),""),"")</f>
        <v/>
      </c>
      <c r="E10" s="69">
        <f>IF(MONTH(N10)=MONTH($K$2),DAY(N10)&amp;IF(V10&gt;0,"   ·   "&amp;V10&amp;IF(V10=1," video"," videos")&amp;"   ·   "&amp;IF(ROUND((AD10)*1440,0)&lt;60,ROUND((AD10)*1440,0)&amp;" m",IF(MOD(ROUND((AD10)*1440,0),60)=0,INT(ROUND((AD10)*1440,0)/60)&amp;" h",INT(ROUND((AD10)*1440,0)/60)&amp;" h "&amp;MOD(ROUND((AD10)*1440,0),60)&amp;" m"))&amp;IF(V10&gt;5,"   (+"&amp;(V10-5)&amp;" more)",""),""),"")</f>
        <v/>
      </c>
      <c r="F10" s="69">
        <f>IF(MONTH(O10)=MONTH($K$2),DAY(O10)&amp;IF(W10&gt;0,"   ·   "&amp;W10&amp;IF(W10=1," video"," videos")&amp;"   ·   "&amp;IF(ROUND((AE10)*1440,0)&lt;60,ROUND((AE10)*1440,0)&amp;" m",IF(MOD(ROUND((AE10)*1440,0),60)=0,INT(ROUND((AE10)*1440,0)/60)&amp;" h",INT(ROUND((AE10)*1440,0)/60)&amp;" h "&amp;MOD(ROUND((AE10)*1440,0),60)&amp;" m"))&amp;IF(W10&gt;5,"   (+"&amp;(W10-5)&amp;" more)",""),""),"")</f>
        <v/>
      </c>
      <c r="G10" s="69">
        <f>IF(MONTH(P10)=MONTH($K$2),DAY(P10)&amp;IF(X10&gt;0,"   ·   "&amp;X10&amp;IF(X10=1," video"," videos")&amp;"   ·   "&amp;IF(ROUND((AF10)*1440,0)&lt;60,ROUND((AF10)*1440,0)&amp;" m",IF(MOD(ROUND((AF10)*1440,0),60)=0,INT(ROUND((AF10)*1440,0)/60)&amp;" h",INT(ROUND((AF10)*1440,0)/60)&amp;" h "&amp;MOD(ROUND((AF10)*1440,0),60)&amp;" m"))&amp;IF(X10&gt;5,"   (+"&amp;(X10-5)&amp;" more)",""),""),"")</f>
        <v/>
      </c>
      <c r="H10" s="69">
        <f>IF(MONTH(Q10)=MONTH($K$2),DAY(Q10)&amp;IF(Y10&gt;0,"   ·   "&amp;Y10&amp;IF(Y10=1," video"," videos")&amp;"   ·   "&amp;IF(ROUND((AG10)*1440,0)&lt;60,ROUND((AG10)*1440,0)&amp;" m",IF(MOD(ROUND((AG10)*1440,0),60)=0,INT(ROUND((AG10)*1440,0)/60)&amp;" h",INT(ROUND((AG10)*1440,0)/60)&amp;" h "&amp;MOD(ROUND((AG10)*1440,0),60)&amp;" m"))&amp;IF(Y10&gt;5,"   (+"&amp;(Y10-5)&amp;" more)",""),""),"")</f>
        <v/>
      </c>
      <c r="K10" s="59">
        <f>$K$3+0</f>
        <v/>
      </c>
      <c r="L10" s="59">
        <f>$K$3+1</f>
        <v/>
      </c>
      <c r="M10" s="59">
        <f>$K$3+2</f>
        <v/>
      </c>
      <c r="N10" s="59">
        <f>$K$3+3</f>
        <v/>
      </c>
      <c r="O10" s="59">
        <f>$K$3+4</f>
        <v/>
      </c>
      <c r="P10" s="59">
        <f>$K$3+5</f>
        <v/>
      </c>
      <c r="Q10" s="59">
        <f>$K$3+6</f>
        <v/>
      </c>
      <c r="S10">
        <f>IF(MONTH(K10)=MONTH($K$2),COUNTIFS(tblVideos[Day],K10,tblVideos[Channel ID],$K$4),0)</f>
        <v/>
      </c>
      <c r="T10">
        <f>IF(MONTH(L10)=MONTH($K$2),COUNTIFS(tblVideos[Day],L10,tblVideos[Channel ID],$K$4),0)</f>
        <v/>
      </c>
      <c r="U10">
        <f>IF(MONTH(M10)=MONTH($K$2),COUNTIFS(tblVideos[Day],M10,tblVideos[Channel ID],$K$4),0)</f>
        <v/>
      </c>
      <c r="V10">
        <f>IF(MONTH(N10)=MONTH($K$2),COUNTIFS(tblVideos[Day],N10,tblVideos[Channel ID],$K$4),0)</f>
        <v/>
      </c>
      <c r="W10">
        <f>IF(MONTH(O10)=MONTH($K$2),COUNTIFS(tblVideos[Day],O10,tblVideos[Channel ID],$K$4),0)</f>
        <v/>
      </c>
      <c r="X10">
        <f>IF(MONTH(P10)=MONTH($K$2),COUNTIFS(tblVideos[Day],P10,tblVideos[Channel ID],$K$4),0)</f>
        <v/>
      </c>
      <c r="Y10">
        <f>IF(MONTH(Q10)=MONTH($K$2),COUNTIFS(tblVideos[Day],Q10,tblVideos[Channel ID],$K$4),0)</f>
        <v/>
      </c>
      <c r="AA10">
        <f>IF(S10&gt;0,SUMIFS(tblVideos[Length],tblVideos[Day],K10,tblVideos[Channel ID],$K$4),0)</f>
        <v/>
      </c>
      <c r="AB10">
        <f>IF(T10&gt;0,SUMIFS(tblVideos[Length],tblVideos[Day],L10,tblVideos[Channel ID],$K$4),0)</f>
        <v/>
      </c>
      <c r="AC10">
        <f>IF(U10&gt;0,SUMIFS(tblVideos[Length],tblVideos[Day],M10,tblVideos[Channel ID],$K$4),0)</f>
        <v/>
      </c>
      <c r="AD10">
        <f>IF(V10&gt;0,SUMIFS(tblVideos[Length],tblVideos[Day],N10,tblVideos[Channel ID],$K$4),0)</f>
        <v/>
      </c>
      <c r="AE10">
        <f>IF(W10&gt;0,SUMIFS(tblVideos[Length],tblVideos[Day],O10,tblVideos[Channel ID],$K$4),0)</f>
        <v/>
      </c>
      <c r="AF10">
        <f>IF(X10&gt;0,SUMIFS(tblVideos[Length],tblVideos[Day],P10,tblVideos[Channel ID],$K$4),0)</f>
        <v/>
      </c>
      <c r="AG10">
        <f>IF(Y10&gt;0,SUMIFS(tblVideos[Length],tblVideos[Day],Q10,tblVideos[Channel ID],$K$4),0)</f>
        <v/>
      </c>
    </row>
    <row r="11" ht="14" customHeight="1">
      <c r="B11" s="70">
        <f>IF(K11="","",IF(LEFT(INDEX(Events!$F$6:$F$598,K11),4)="http",HYPERLINK(INDEX(Events!$F$6:$F$598,K11),IFERROR(INDEX(Lists!$H$1:$H$7,S11),"")&amp;" "&amp;SUBSTITUTE(INDEX(Events!$C$6:$C$598,K11),"{n}",YEAR(INDEX(EventGrid!$E$4:$E$596,K11))-YEAR(INDEX(Events!$A$6:$A$598,K11)))),IFERROR(INDEX(Lists!$H$1:$H$7,S11),"")&amp;" "&amp;SUBSTITUTE(INDEX(Events!$C$6:$C$598,K11),"{n}",YEAR(INDEX(EventGrid!$E$4:$E$596,K11))-YEAR(INDEX(Events!$A$6:$A$598,K11)))))</f>
        <v/>
      </c>
      <c r="C11" s="70">
        <f>IF(L11="","",IF(LEFT(INDEX(Events!$F$6:$F$598,L11),4)="http",HYPERLINK(INDEX(Events!$F$6:$F$598,L11),IFERROR(INDEX(Lists!$H$1:$H$7,T11),"")&amp;" "&amp;SUBSTITUTE(INDEX(Events!$C$6:$C$598,L11),"{n}",YEAR(INDEX(EventGrid!$E$4:$E$596,L11))-YEAR(INDEX(Events!$A$6:$A$598,L11)))),IFERROR(INDEX(Lists!$H$1:$H$7,T11),"")&amp;" "&amp;SUBSTITUTE(INDEX(Events!$C$6:$C$598,L11),"{n}",YEAR(INDEX(EventGrid!$E$4:$E$596,L11))-YEAR(INDEX(Events!$A$6:$A$598,L11)))))</f>
        <v/>
      </c>
      <c r="D11" s="70">
        <f>IF(M11="","",IF(LEFT(INDEX(Events!$F$6:$F$598,M11),4)="http",HYPERLINK(INDEX(Events!$F$6:$F$598,M11),IFERROR(INDEX(Lists!$H$1:$H$7,U11),"")&amp;" "&amp;SUBSTITUTE(INDEX(Events!$C$6:$C$598,M11),"{n}",YEAR(INDEX(EventGrid!$E$4:$E$596,M11))-YEAR(INDEX(Events!$A$6:$A$598,M11)))),IFERROR(INDEX(Lists!$H$1:$H$7,U11),"")&amp;" "&amp;SUBSTITUTE(INDEX(Events!$C$6:$C$598,M11),"{n}",YEAR(INDEX(EventGrid!$E$4:$E$596,M11))-YEAR(INDEX(Events!$A$6:$A$598,M11)))))</f>
        <v/>
      </c>
      <c r="E11" s="70">
        <f>IF(N11="","",IF(LEFT(INDEX(Events!$F$6:$F$598,N11),4)="http",HYPERLINK(INDEX(Events!$F$6:$F$598,N11),IFERROR(INDEX(Lists!$H$1:$H$7,V11),"")&amp;" "&amp;SUBSTITUTE(INDEX(Events!$C$6:$C$598,N11),"{n}",YEAR(INDEX(EventGrid!$E$4:$E$596,N11))-YEAR(INDEX(Events!$A$6:$A$598,N11)))),IFERROR(INDEX(Lists!$H$1:$H$7,V11),"")&amp;" "&amp;SUBSTITUTE(INDEX(Events!$C$6:$C$598,N11),"{n}",YEAR(INDEX(EventGrid!$E$4:$E$596,N11))-YEAR(INDEX(Events!$A$6:$A$598,N11)))))</f>
        <v/>
      </c>
      <c r="F11" s="70">
        <f>IF(O11="","",IF(LEFT(INDEX(Events!$F$6:$F$598,O11),4)="http",HYPERLINK(INDEX(Events!$F$6:$F$598,O11),IFERROR(INDEX(Lists!$H$1:$H$7,W11),"")&amp;" "&amp;SUBSTITUTE(INDEX(Events!$C$6:$C$598,O11),"{n}",YEAR(INDEX(EventGrid!$E$4:$E$596,O11))-YEAR(INDEX(Events!$A$6:$A$598,O11)))),IFERROR(INDEX(Lists!$H$1:$H$7,W11),"")&amp;" "&amp;SUBSTITUTE(INDEX(Events!$C$6:$C$598,O11),"{n}",YEAR(INDEX(EventGrid!$E$4:$E$596,O11))-YEAR(INDEX(Events!$A$6:$A$598,O11)))))</f>
        <v/>
      </c>
      <c r="G11" s="70">
        <f>IF(P11="","",IF(LEFT(INDEX(Events!$F$6:$F$598,P11),4)="http",HYPERLINK(INDEX(Events!$F$6:$F$598,P11),IFERROR(INDEX(Lists!$H$1:$H$7,X11),"")&amp;" "&amp;SUBSTITUTE(INDEX(Events!$C$6:$C$598,P11),"{n}",YEAR(INDEX(EventGrid!$E$4:$E$596,P11))-YEAR(INDEX(Events!$A$6:$A$598,P11)))),IFERROR(INDEX(Lists!$H$1:$H$7,X11),"")&amp;" "&amp;SUBSTITUTE(INDEX(Events!$C$6:$C$598,P11),"{n}",YEAR(INDEX(EventGrid!$E$4:$E$596,P11))-YEAR(INDEX(Events!$A$6:$A$598,P11)))))</f>
        <v/>
      </c>
      <c r="H11" s="70">
        <f>IF(Q11="","",IF(LEFT(INDEX(Events!$F$6:$F$598,Q11),4)="http",HYPERLINK(INDEX(Events!$F$6:$F$598,Q11),IFERROR(INDEX(Lists!$H$1:$H$7,Y11),"")&amp;" "&amp;SUBSTITUTE(INDEX(Events!$C$6:$C$598,Q11),"{n}",YEAR(INDEX(EventGrid!$E$4:$E$596,Q11))-YEAR(INDEX(Events!$A$6:$A$598,Q11)))),IFERROR(INDEX(Lists!$H$1:$H$7,Y11),"")&amp;" "&amp;SUBSTITUTE(INDEX(Events!$C$6:$C$598,Q11),"{n}",YEAR(INDEX(EventGrid!$E$4:$E$596,Q11))-YEAR(INDEX(Events!$A$6:$A$598,Q11)))))</f>
        <v/>
      </c>
      <c r="K11">
        <f>IF(MONTH(K10)=MONTH($K$2),IFERROR(MATCH(1,EventGrid!H$3:H$596,0)-1,""),"")</f>
        <v/>
      </c>
      <c r="L11">
        <f>IF(MONTH(L10)=MONTH($K$2),IFERROR(MATCH(1,EventGrid!I$3:I$596,0)-1,""),"")</f>
        <v/>
      </c>
      <c r="M11">
        <f>IF(MONTH(M10)=MONTH($K$2),IFERROR(MATCH(1,EventGrid!J$3:J$596,0)-1,""),"")</f>
        <v/>
      </c>
      <c r="N11">
        <f>IF(MONTH(N10)=MONTH($K$2),IFERROR(MATCH(1,EventGrid!K$3:K$596,0)-1,""),"")</f>
        <v/>
      </c>
      <c r="O11">
        <f>IF(MONTH(O10)=MONTH($K$2),IFERROR(MATCH(1,EventGrid!L$3:L$596,0)-1,""),"")</f>
        <v/>
      </c>
      <c r="P11">
        <f>IF(MONTH(P10)=MONTH($K$2),IFERROR(MATCH(1,EventGrid!M$3:M$596,0)-1,""),"")</f>
        <v/>
      </c>
      <c r="Q11">
        <f>IF(MONTH(Q10)=MONTH($K$2),IFERROR(MATCH(1,EventGrid!N$3:N$596,0)-1,""),"")</f>
        <v/>
      </c>
      <c r="S11">
        <f>IF(K11="","",IFERROR(MATCH(INDEX(Events!$D$6:$D$598,K11),Lists!$G$1:$G$7,0),""))</f>
        <v/>
      </c>
      <c r="T11">
        <f>IF(L11="","",IFERROR(MATCH(INDEX(Events!$D$6:$D$598,L11),Lists!$G$1:$G$7,0),""))</f>
        <v/>
      </c>
      <c r="U11">
        <f>IF(M11="","",IFERROR(MATCH(INDEX(Events!$D$6:$D$598,M11),Lists!$G$1:$G$7,0),""))</f>
        <v/>
      </c>
      <c r="V11">
        <f>IF(N11="","",IFERROR(MATCH(INDEX(Events!$D$6:$D$598,N11),Lists!$G$1:$G$7,0),""))</f>
        <v/>
      </c>
      <c r="W11">
        <f>IF(O11="","",IFERROR(MATCH(INDEX(Events!$D$6:$D$598,O11),Lists!$G$1:$G$7,0),""))</f>
        <v/>
      </c>
      <c r="X11">
        <f>IF(P11="","",IFERROR(MATCH(INDEX(Events!$D$6:$D$598,P11),Lists!$G$1:$G$7,0),""))</f>
        <v/>
      </c>
      <c r="Y11">
        <f>IF(Q11="","",IFERROR(MATCH(INDEX(Events!$D$6:$D$598,Q11),Lists!$G$1:$G$7,0),""))</f>
        <v/>
      </c>
    </row>
    <row r="12" ht="14" customHeight="1">
      <c r="B12" s="70">
        <f>IF(K12="","",IF(LEFT(INDEX(Events!$F$6:$F$598,K12),4)="http",HYPERLINK(INDEX(Events!$F$6:$F$598,K12),IFERROR(INDEX(Lists!$H$1:$H$7,S12),"")&amp;" "&amp;SUBSTITUTE(INDEX(Events!$C$6:$C$598,K12),"{n}",YEAR(INDEX(EventGrid!$E$4:$E$596,K12))-YEAR(INDEX(Events!$A$6:$A$598,K12)))&amp;IF(EventGrid!H$596&gt;2," (+"&amp;(EventGrid!H$596-2)&amp;" more)","")),IFERROR(INDEX(Lists!$H$1:$H$7,S12),"")&amp;" "&amp;SUBSTITUTE(INDEX(Events!$C$6:$C$598,K12),"{n}",YEAR(INDEX(EventGrid!$E$4:$E$596,K12))-YEAR(INDEX(Events!$A$6:$A$598,K12)))&amp;IF(EventGrid!H$596&gt;2," (+"&amp;(EventGrid!H$596-2)&amp;" more)","")))</f>
        <v/>
      </c>
      <c r="C12" s="70">
        <f>IF(L12="","",IF(LEFT(INDEX(Events!$F$6:$F$598,L12),4)="http",HYPERLINK(INDEX(Events!$F$6:$F$598,L12),IFERROR(INDEX(Lists!$H$1:$H$7,T12),"")&amp;" "&amp;SUBSTITUTE(INDEX(Events!$C$6:$C$598,L12),"{n}",YEAR(INDEX(EventGrid!$E$4:$E$596,L12))-YEAR(INDEX(Events!$A$6:$A$598,L12)))&amp;IF(EventGrid!I$596&gt;2," (+"&amp;(EventGrid!I$596-2)&amp;" more)","")),IFERROR(INDEX(Lists!$H$1:$H$7,T12),"")&amp;" "&amp;SUBSTITUTE(INDEX(Events!$C$6:$C$598,L12),"{n}",YEAR(INDEX(EventGrid!$E$4:$E$596,L12))-YEAR(INDEX(Events!$A$6:$A$598,L12)))&amp;IF(EventGrid!I$596&gt;2," (+"&amp;(EventGrid!I$596-2)&amp;" more)","")))</f>
        <v/>
      </c>
      <c r="D12" s="70">
        <f>IF(M12="","",IF(LEFT(INDEX(Events!$F$6:$F$598,M12),4)="http",HYPERLINK(INDEX(Events!$F$6:$F$598,M12),IFERROR(INDEX(Lists!$H$1:$H$7,U12),"")&amp;" "&amp;SUBSTITUTE(INDEX(Events!$C$6:$C$598,M12),"{n}",YEAR(INDEX(EventGrid!$E$4:$E$596,M12))-YEAR(INDEX(Events!$A$6:$A$598,M12)))&amp;IF(EventGrid!J$596&gt;2," (+"&amp;(EventGrid!J$596-2)&amp;" more)","")),IFERROR(INDEX(Lists!$H$1:$H$7,U12),"")&amp;" "&amp;SUBSTITUTE(INDEX(Events!$C$6:$C$598,M12),"{n}",YEAR(INDEX(EventGrid!$E$4:$E$596,M12))-YEAR(INDEX(Events!$A$6:$A$598,M12)))&amp;IF(EventGrid!J$596&gt;2," (+"&amp;(EventGrid!J$596-2)&amp;" more)","")))</f>
        <v/>
      </c>
      <c r="E12" s="70">
        <f>IF(N12="","",IF(LEFT(INDEX(Events!$F$6:$F$598,N12),4)="http",HYPERLINK(INDEX(Events!$F$6:$F$598,N12),IFERROR(INDEX(Lists!$H$1:$H$7,V12),"")&amp;" "&amp;SUBSTITUTE(INDEX(Events!$C$6:$C$598,N12),"{n}",YEAR(INDEX(EventGrid!$E$4:$E$596,N12))-YEAR(INDEX(Events!$A$6:$A$598,N12)))&amp;IF(EventGrid!K$596&gt;2," (+"&amp;(EventGrid!K$596-2)&amp;" more)","")),IFERROR(INDEX(Lists!$H$1:$H$7,V12),"")&amp;" "&amp;SUBSTITUTE(INDEX(Events!$C$6:$C$598,N12),"{n}",YEAR(INDEX(EventGrid!$E$4:$E$596,N12))-YEAR(INDEX(Events!$A$6:$A$598,N12)))&amp;IF(EventGrid!K$596&gt;2," (+"&amp;(EventGrid!K$596-2)&amp;" more)","")))</f>
        <v/>
      </c>
      <c r="F12" s="70">
        <f>IF(O12="","",IF(LEFT(INDEX(Events!$F$6:$F$598,O12),4)="http",HYPERLINK(INDEX(Events!$F$6:$F$598,O12),IFERROR(INDEX(Lists!$H$1:$H$7,W12),"")&amp;" "&amp;SUBSTITUTE(INDEX(Events!$C$6:$C$598,O12),"{n}",YEAR(INDEX(EventGrid!$E$4:$E$596,O12))-YEAR(INDEX(Events!$A$6:$A$598,O12)))&amp;IF(EventGrid!L$596&gt;2," (+"&amp;(EventGrid!L$596-2)&amp;" more)","")),IFERROR(INDEX(Lists!$H$1:$H$7,W12),"")&amp;" "&amp;SUBSTITUTE(INDEX(Events!$C$6:$C$598,O12),"{n}",YEAR(INDEX(EventGrid!$E$4:$E$596,O12))-YEAR(INDEX(Events!$A$6:$A$598,O12)))&amp;IF(EventGrid!L$596&gt;2," (+"&amp;(EventGrid!L$596-2)&amp;" more)","")))</f>
        <v/>
      </c>
      <c r="G12" s="70">
        <f>IF(P12="","",IF(LEFT(INDEX(Events!$F$6:$F$598,P12),4)="http",HYPERLINK(INDEX(Events!$F$6:$F$598,P12),IFERROR(INDEX(Lists!$H$1:$H$7,X12),"")&amp;" "&amp;SUBSTITUTE(INDEX(Events!$C$6:$C$598,P12),"{n}",YEAR(INDEX(EventGrid!$E$4:$E$596,P12))-YEAR(INDEX(Events!$A$6:$A$598,P12)))&amp;IF(EventGrid!M$596&gt;2," (+"&amp;(EventGrid!M$596-2)&amp;" more)","")),IFERROR(INDEX(Lists!$H$1:$H$7,X12),"")&amp;" "&amp;SUBSTITUTE(INDEX(Events!$C$6:$C$598,P12),"{n}",YEAR(INDEX(EventGrid!$E$4:$E$596,P12))-YEAR(INDEX(Events!$A$6:$A$598,P12)))&amp;IF(EventGrid!M$596&gt;2," (+"&amp;(EventGrid!M$596-2)&amp;" more)","")))</f>
        <v/>
      </c>
      <c r="H12" s="70">
        <f>IF(Q12="","",IF(LEFT(INDEX(Events!$F$6:$F$598,Q12),4)="http",HYPERLINK(INDEX(Events!$F$6:$F$598,Q12),IFERROR(INDEX(Lists!$H$1:$H$7,Y12),"")&amp;" "&amp;SUBSTITUTE(INDEX(Events!$C$6:$C$598,Q12),"{n}",YEAR(INDEX(EventGrid!$E$4:$E$596,Q12))-YEAR(INDEX(Events!$A$6:$A$598,Q12)))&amp;IF(EventGrid!N$596&gt;2," (+"&amp;(EventGrid!N$596-2)&amp;" more)","")),IFERROR(INDEX(Lists!$H$1:$H$7,Y12),"")&amp;" "&amp;SUBSTITUTE(INDEX(Events!$C$6:$C$598,Q12),"{n}",YEAR(INDEX(EventGrid!$E$4:$E$596,Q12))-YEAR(INDEX(Events!$A$6:$A$598,Q12)))&amp;IF(EventGrid!N$596&gt;2," (+"&amp;(EventGrid!N$596-2)&amp;" more)","")))</f>
        <v/>
      </c>
      <c r="K12">
        <f>IF(MONTH(K10)=MONTH($K$2),IFERROR(MATCH(2,EventGrid!H$3:H$596,0)-1,""),"")</f>
        <v/>
      </c>
      <c r="L12">
        <f>IF(MONTH(L10)=MONTH($K$2),IFERROR(MATCH(2,EventGrid!I$3:I$596,0)-1,""),"")</f>
        <v/>
      </c>
      <c r="M12">
        <f>IF(MONTH(M10)=MONTH($K$2),IFERROR(MATCH(2,EventGrid!J$3:J$596,0)-1,""),"")</f>
        <v/>
      </c>
      <c r="N12">
        <f>IF(MONTH(N10)=MONTH($K$2),IFERROR(MATCH(2,EventGrid!K$3:K$596,0)-1,""),"")</f>
        <v/>
      </c>
      <c r="O12">
        <f>IF(MONTH(O10)=MONTH($K$2),IFERROR(MATCH(2,EventGrid!L$3:L$596,0)-1,""),"")</f>
        <v/>
      </c>
      <c r="P12">
        <f>IF(MONTH(P10)=MONTH($K$2),IFERROR(MATCH(2,EventGrid!M$3:M$596,0)-1,""),"")</f>
        <v/>
      </c>
      <c r="Q12">
        <f>IF(MONTH(Q10)=MONTH($K$2),IFERROR(MATCH(2,EventGrid!N$3:N$596,0)-1,""),"")</f>
        <v/>
      </c>
      <c r="S12">
        <f>IF(K12="","",IFERROR(MATCH(INDEX(Events!$D$6:$D$598,K12),Lists!$G$1:$G$7,0),""))</f>
        <v/>
      </c>
      <c r="T12">
        <f>IF(L12="","",IFERROR(MATCH(INDEX(Events!$D$6:$D$598,L12),Lists!$G$1:$G$7,0),""))</f>
        <v/>
      </c>
      <c r="U12">
        <f>IF(M12="","",IFERROR(MATCH(INDEX(Events!$D$6:$D$598,M12),Lists!$G$1:$G$7,0),""))</f>
        <v/>
      </c>
      <c r="V12">
        <f>IF(N12="","",IFERROR(MATCH(INDEX(Events!$D$6:$D$598,N12),Lists!$G$1:$G$7,0),""))</f>
        <v/>
      </c>
      <c r="W12">
        <f>IF(O12="","",IFERROR(MATCH(INDEX(Events!$D$6:$D$598,O12),Lists!$G$1:$G$7,0),""))</f>
        <v/>
      </c>
      <c r="X12">
        <f>IF(P12="","",IFERROR(MATCH(INDEX(Events!$D$6:$D$598,P12),Lists!$G$1:$G$7,0),""))</f>
        <v/>
      </c>
      <c r="Y12">
        <f>IF(Q12="","",IFERROR(MATCH(INDEX(Events!$D$6:$D$598,Q12),Lists!$G$1:$G$7,0),""))</f>
        <v/>
      </c>
    </row>
    <row r="13">
      <c r="B13" s="71">
        <f>IF(K13="","",IF(INDEX(tblVideos[Video ID],K13)="",IF(INDEX(tblVideos[Status],K13)="Watched","✓ ","▸ ")&amp;INDEX(tblVideos[Title],K13),HYPERLINK("https://www.youtube.com/watch?v="&amp;INDEX(tblVideos[Video ID],K13),IF(INDEX(tblVideos[Status],K13)="Watched","✓ ","▸ ")&amp;INDEX(tblVideos[Title],K13))))</f>
        <v/>
      </c>
      <c r="C13" s="71">
        <f>IF(L13="","",IF(INDEX(tblVideos[Video ID],L13)="",IF(INDEX(tblVideos[Status],L13)="Watched","✓ ","▸ ")&amp;INDEX(tblVideos[Title],L13),HYPERLINK("https://www.youtube.com/watch?v="&amp;INDEX(tblVideos[Video ID],L13),IF(INDEX(tblVideos[Status],L13)="Watched","✓ ","▸ ")&amp;INDEX(tblVideos[Title],L13))))</f>
        <v/>
      </c>
      <c r="D13" s="71">
        <f>IF(M13="","",IF(INDEX(tblVideos[Video ID],M13)="",IF(INDEX(tblVideos[Status],M13)="Watched","✓ ","▸ ")&amp;INDEX(tblVideos[Title],M13),HYPERLINK("https://www.youtube.com/watch?v="&amp;INDEX(tblVideos[Video ID],M13),IF(INDEX(tblVideos[Status],M13)="Watched","✓ ","▸ ")&amp;INDEX(tblVideos[Title],M13))))</f>
        <v/>
      </c>
      <c r="E13" s="71">
        <f>IF(N13="","",IF(INDEX(tblVideos[Video ID],N13)="",IF(INDEX(tblVideos[Status],N13)="Watched","✓ ","▸ ")&amp;INDEX(tblVideos[Title],N13),HYPERLINK("https://www.youtube.com/watch?v="&amp;INDEX(tblVideos[Video ID],N13),IF(INDEX(tblVideos[Status],N13)="Watched","✓ ","▸ ")&amp;INDEX(tblVideos[Title],N13))))</f>
        <v/>
      </c>
      <c r="F13" s="71">
        <f>IF(O13="","",IF(INDEX(tblVideos[Video ID],O13)="",IF(INDEX(tblVideos[Status],O13)="Watched","✓ ","▸ ")&amp;INDEX(tblVideos[Title],O13),HYPERLINK("https://www.youtube.com/watch?v="&amp;INDEX(tblVideos[Video ID],O13),IF(INDEX(tblVideos[Status],O13)="Watched","✓ ","▸ ")&amp;INDEX(tblVideos[Title],O13))))</f>
        <v/>
      </c>
      <c r="G13" s="71">
        <f>IF(P13="","",IF(INDEX(tblVideos[Video ID],P13)="",IF(INDEX(tblVideos[Status],P13)="Watched","✓ ","▸ ")&amp;INDEX(tblVideos[Title],P13),HYPERLINK("https://www.youtube.com/watch?v="&amp;INDEX(tblVideos[Video ID],P13),IF(INDEX(tblVideos[Status],P13)="Watched","✓ ","▸ ")&amp;INDEX(tblVideos[Title],P13))))</f>
        <v/>
      </c>
      <c r="H13" s="71">
        <f>IF(Q13="","",IF(INDEX(tblVideos[Video ID],Q13)="",IF(INDEX(tblVideos[Status],Q13)="Watched","✓ ","▸ ")&amp;INDEX(tblVideos[Title],Q13),HYPERLINK("https://www.youtube.com/watch?v="&amp;INDEX(tblVideos[Video ID],Q13),IF(INDEX(tblVideos[Status],Q13)="Watched","✓ ","▸ ")&amp;INDEX(tblVideos[Title],Q13))))</f>
        <v/>
      </c>
      <c r="K13">
        <f>IF(S10&gt;=1,MATCH(K10*100+1,tblVideos[Cal Key],0),"")</f>
        <v/>
      </c>
      <c r="L13">
        <f>IF(T10&gt;=1,MATCH(L10*100+1,tblVideos[Cal Key],0),"")</f>
        <v/>
      </c>
      <c r="M13">
        <f>IF(U10&gt;=1,MATCH(M10*100+1,tblVideos[Cal Key],0),"")</f>
        <v/>
      </c>
      <c r="N13">
        <f>IF(V10&gt;=1,MATCH(N10*100+1,tblVideos[Cal Key],0),"")</f>
        <v/>
      </c>
      <c r="O13">
        <f>IF(W10&gt;=1,MATCH(O10*100+1,tblVideos[Cal Key],0),"")</f>
        <v/>
      </c>
      <c r="P13">
        <f>IF(X10&gt;=1,MATCH(P10*100+1,tblVideos[Cal Key],0),"")</f>
        <v/>
      </c>
      <c r="Q13">
        <f>IF(Y10&gt;=1,MATCH(Q10*100+1,tblVideos[Cal Key],0),"")</f>
        <v/>
      </c>
      <c r="S13">
        <f>IF(K13="","",IFERROR(MATCH(INDEX(tblVideos[Channel ID],K13),tblChannels[Channel ID],0),""))</f>
        <v/>
      </c>
      <c r="T13">
        <f>IF(L13="","",IFERROR(MATCH(INDEX(tblVideos[Channel ID],L13),tblChannels[Channel ID],0),""))</f>
        <v/>
      </c>
      <c r="U13">
        <f>IF(M13="","",IFERROR(MATCH(INDEX(tblVideos[Channel ID],M13),tblChannels[Channel ID],0),""))</f>
        <v/>
      </c>
      <c r="V13">
        <f>IF(N13="","",IFERROR(MATCH(INDEX(tblVideos[Channel ID],N13),tblChannels[Channel ID],0),""))</f>
        <v/>
      </c>
      <c r="W13">
        <f>IF(O13="","",IFERROR(MATCH(INDEX(tblVideos[Channel ID],O13),tblChannels[Channel ID],0),""))</f>
        <v/>
      </c>
      <c r="X13">
        <f>IF(P13="","",IFERROR(MATCH(INDEX(tblVideos[Channel ID],P13),tblChannels[Channel ID],0),""))</f>
        <v/>
      </c>
      <c r="Y13">
        <f>IF(Q13="","",IFERROR(MATCH(INDEX(tblVideos[Channel ID],Q13),tblChannels[Channel ID],0),""))</f>
        <v/>
      </c>
    </row>
    <row r="14">
      <c r="B14" s="71">
        <f>IF(K14="","",IF(INDEX(tblVideos[Video ID],K14)="",IF(INDEX(tblVideos[Status],K14)="Watched","✓ ","▸ ")&amp;INDEX(tblVideos[Title],K14),HYPERLINK("https://www.youtube.com/watch?v="&amp;INDEX(tblVideos[Video ID],K14),IF(INDEX(tblVideos[Status],K14)="Watched","✓ ","▸ ")&amp;INDEX(tblVideos[Title],K14))))</f>
        <v/>
      </c>
      <c r="C14" s="71">
        <f>IF(L14="","",IF(INDEX(tblVideos[Video ID],L14)="",IF(INDEX(tblVideos[Status],L14)="Watched","✓ ","▸ ")&amp;INDEX(tblVideos[Title],L14),HYPERLINK("https://www.youtube.com/watch?v="&amp;INDEX(tblVideos[Video ID],L14),IF(INDEX(tblVideos[Status],L14)="Watched","✓ ","▸ ")&amp;INDEX(tblVideos[Title],L14))))</f>
        <v/>
      </c>
      <c r="D14" s="71">
        <f>IF(M14="","",IF(INDEX(tblVideos[Video ID],M14)="",IF(INDEX(tblVideos[Status],M14)="Watched","✓ ","▸ ")&amp;INDEX(tblVideos[Title],M14),HYPERLINK("https://www.youtube.com/watch?v="&amp;INDEX(tblVideos[Video ID],M14),IF(INDEX(tblVideos[Status],M14)="Watched","✓ ","▸ ")&amp;INDEX(tblVideos[Title],M14))))</f>
        <v/>
      </c>
      <c r="E14" s="71">
        <f>IF(N14="","",IF(INDEX(tblVideos[Video ID],N14)="",IF(INDEX(tblVideos[Status],N14)="Watched","✓ ","▸ ")&amp;INDEX(tblVideos[Title],N14),HYPERLINK("https://www.youtube.com/watch?v="&amp;INDEX(tblVideos[Video ID],N14),IF(INDEX(tblVideos[Status],N14)="Watched","✓ ","▸ ")&amp;INDEX(tblVideos[Title],N14))))</f>
        <v/>
      </c>
      <c r="F14" s="71">
        <f>IF(O14="","",IF(INDEX(tblVideos[Video ID],O14)="",IF(INDEX(tblVideos[Status],O14)="Watched","✓ ","▸ ")&amp;INDEX(tblVideos[Title],O14),HYPERLINK("https://www.youtube.com/watch?v="&amp;INDEX(tblVideos[Video ID],O14),IF(INDEX(tblVideos[Status],O14)="Watched","✓ ","▸ ")&amp;INDEX(tblVideos[Title],O14))))</f>
        <v/>
      </c>
      <c r="G14" s="71">
        <f>IF(P14="","",IF(INDEX(tblVideos[Video ID],P14)="",IF(INDEX(tblVideos[Status],P14)="Watched","✓ ","▸ ")&amp;INDEX(tblVideos[Title],P14),HYPERLINK("https://www.youtube.com/watch?v="&amp;INDEX(tblVideos[Video ID],P14),IF(INDEX(tblVideos[Status],P14)="Watched","✓ ","▸ ")&amp;INDEX(tblVideos[Title],P14))))</f>
        <v/>
      </c>
      <c r="H14" s="71">
        <f>IF(Q14="","",IF(INDEX(tblVideos[Video ID],Q14)="",IF(INDEX(tblVideos[Status],Q14)="Watched","✓ ","▸ ")&amp;INDEX(tblVideos[Title],Q14),HYPERLINK("https://www.youtube.com/watch?v="&amp;INDEX(tblVideos[Video ID],Q14),IF(INDEX(tblVideos[Status],Q14)="Watched","✓ ","▸ ")&amp;INDEX(tblVideos[Title],Q14))))</f>
        <v/>
      </c>
      <c r="K14">
        <f>IF(S10&gt;=2,MATCH(K10*100+2,tblVideos[Cal Key],0),"")</f>
        <v/>
      </c>
      <c r="L14">
        <f>IF(T10&gt;=2,MATCH(L10*100+2,tblVideos[Cal Key],0),"")</f>
        <v/>
      </c>
      <c r="M14">
        <f>IF(U10&gt;=2,MATCH(M10*100+2,tblVideos[Cal Key],0),"")</f>
        <v/>
      </c>
      <c r="N14">
        <f>IF(V10&gt;=2,MATCH(N10*100+2,tblVideos[Cal Key],0),"")</f>
        <v/>
      </c>
      <c r="O14">
        <f>IF(W10&gt;=2,MATCH(O10*100+2,tblVideos[Cal Key],0),"")</f>
        <v/>
      </c>
      <c r="P14">
        <f>IF(X10&gt;=2,MATCH(P10*100+2,tblVideos[Cal Key],0),"")</f>
        <v/>
      </c>
      <c r="Q14">
        <f>IF(Y10&gt;=2,MATCH(Q10*100+2,tblVideos[Cal Key],0),"")</f>
        <v/>
      </c>
      <c r="S14">
        <f>IF(K14="","",IFERROR(MATCH(INDEX(tblVideos[Channel ID],K14),tblChannels[Channel ID],0),""))</f>
        <v/>
      </c>
      <c r="T14">
        <f>IF(L14="","",IFERROR(MATCH(INDEX(tblVideos[Channel ID],L14),tblChannels[Channel ID],0),""))</f>
        <v/>
      </c>
      <c r="U14">
        <f>IF(M14="","",IFERROR(MATCH(INDEX(tblVideos[Channel ID],M14),tblChannels[Channel ID],0),""))</f>
        <v/>
      </c>
      <c r="V14">
        <f>IF(N14="","",IFERROR(MATCH(INDEX(tblVideos[Channel ID],N14),tblChannels[Channel ID],0),""))</f>
        <v/>
      </c>
      <c r="W14">
        <f>IF(O14="","",IFERROR(MATCH(INDEX(tblVideos[Channel ID],O14),tblChannels[Channel ID],0),""))</f>
        <v/>
      </c>
      <c r="X14">
        <f>IF(P14="","",IFERROR(MATCH(INDEX(tblVideos[Channel ID],P14),tblChannels[Channel ID],0),""))</f>
        <v/>
      </c>
      <c r="Y14">
        <f>IF(Q14="","",IFERROR(MATCH(INDEX(tblVideos[Channel ID],Q14),tblChannels[Channel ID],0),""))</f>
        <v/>
      </c>
    </row>
    <row r="15">
      <c r="B15" s="71">
        <f>IF(K15="","",IF(INDEX(tblVideos[Video ID],K15)="",IF(INDEX(tblVideos[Status],K15)="Watched","✓ ","▸ ")&amp;INDEX(tblVideos[Title],K15),HYPERLINK("https://www.youtube.com/watch?v="&amp;INDEX(tblVideos[Video ID],K15),IF(INDEX(tblVideos[Status],K15)="Watched","✓ ","▸ ")&amp;INDEX(tblVideos[Title],K15))))</f>
        <v/>
      </c>
      <c r="C15" s="71">
        <f>IF(L15="","",IF(INDEX(tblVideos[Video ID],L15)="",IF(INDEX(tblVideos[Status],L15)="Watched","✓ ","▸ ")&amp;INDEX(tblVideos[Title],L15),HYPERLINK("https://www.youtube.com/watch?v="&amp;INDEX(tblVideos[Video ID],L15),IF(INDEX(tblVideos[Status],L15)="Watched","✓ ","▸ ")&amp;INDEX(tblVideos[Title],L15))))</f>
        <v/>
      </c>
      <c r="D15" s="71">
        <f>IF(M15="","",IF(INDEX(tblVideos[Video ID],M15)="",IF(INDEX(tblVideos[Status],M15)="Watched","✓ ","▸ ")&amp;INDEX(tblVideos[Title],M15),HYPERLINK("https://www.youtube.com/watch?v="&amp;INDEX(tblVideos[Video ID],M15),IF(INDEX(tblVideos[Status],M15)="Watched","✓ ","▸ ")&amp;INDEX(tblVideos[Title],M15))))</f>
        <v/>
      </c>
      <c r="E15" s="71">
        <f>IF(N15="","",IF(INDEX(tblVideos[Video ID],N15)="",IF(INDEX(tblVideos[Status],N15)="Watched","✓ ","▸ ")&amp;INDEX(tblVideos[Title],N15),HYPERLINK("https://www.youtube.com/watch?v="&amp;INDEX(tblVideos[Video ID],N15),IF(INDEX(tblVideos[Status],N15)="Watched","✓ ","▸ ")&amp;INDEX(tblVideos[Title],N15))))</f>
        <v/>
      </c>
      <c r="F15" s="71">
        <f>IF(O15="","",IF(INDEX(tblVideos[Video ID],O15)="",IF(INDEX(tblVideos[Status],O15)="Watched","✓ ","▸ ")&amp;INDEX(tblVideos[Title],O15),HYPERLINK("https://www.youtube.com/watch?v="&amp;INDEX(tblVideos[Video ID],O15),IF(INDEX(tblVideos[Status],O15)="Watched","✓ ","▸ ")&amp;INDEX(tblVideos[Title],O15))))</f>
        <v/>
      </c>
      <c r="G15" s="71">
        <f>IF(P15="","",IF(INDEX(tblVideos[Video ID],P15)="",IF(INDEX(tblVideos[Status],P15)="Watched","✓ ","▸ ")&amp;INDEX(tblVideos[Title],P15),HYPERLINK("https://www.youtube.com/watch?v="&amp;INDEX(tblVideos[Video ID],P15),IF(INDEX(tblVideos[Status],P15)="Watched","✓ ","▸ ")&amp;INDEX(tblVideos[Title],P15))))</f>
        <v/>
      </c>
      <c r="H15" s="71">
        <f>IF(Q15="","",IF(INDEX(tblVideos[Video ID],Q15)="",IF(INDEX(tblVideos[Status],Q15)="Watched","✓ ","▸ ")&amp;INDEX(tblVideos[Title],Q15),HYPERLINK("https://www.youtube.com/watch?v="&amp;INDEX(tblVideos[Video ID],Q15),IF(INDEX(tblVideos[Status],Q15)="Watched","✓ ","▸ ")&amp;INDEX(tblVideos[Title],Q15))))</f>
        <v/>
      </c>
      <c r="K15">
        <f>IF(S10&gt;=3,MATCH(K10*100+3,tblVideos[Cal Key],0),"")</f>
        <v/>
      </c>
      <c r="L15">
        <f>IF(T10&gt;=3,MATCH(L10*100+3,tblVideos[Cal Key],0),"")</f>
        <v/>
      </c>
      <c r="M15">
        <f>IF(U10&gt;=3,MATCH(M10*100+3,tblVideos[Cal Key],0),"")</f>
        <v/>
      </c>
      <c r="N15">
        <f>IF(V10&gt;=3,MATCH(N10*100+3,tblVideos[Cal Key],0),"")</f>
        <v/>
      </c>
      <c r="O15">
        <f>IF(W10&gt;=3,MATCH(O10*100+3,tblVideos[Cal Key],0),"")</f>
        <v/>
      </c>
      <c r="P15">
        <f>IF(X10&gt;=3,MATCH(P10*100+3,tblVideos[Cal Key],0),"")</f>
        <v/>
      </c>
      <c r="Q15">
        <f>IF(Y10&gt;=3,MATCH(Q10*100+3,tblVideos[Cal Key],0),"")</f>
        <v/>
      </c>
      <c r="S15">
        <f>IF(K15="","",IFERROR(MATCH(INDEX(tblVideos[Channel ID],K15),tblChannels[Channel ID],0),""))</f>
        <v/>
      </c>
      <c r="T15">
        <f>IF(L15="","",IFERROR(MATCH(INDEX(tblVideos[Channel ID],L15),tblChannels[Channel ID],0),""))</f>
        <v/>
      </c>
      <c r="U15">
        <f>IF(M15="","",IFERROR(MATCH(INDEX(tblVideos[Channel ID],M15),tblChannels[Channel ID],0),""))</f>
        <v/>
      </c>
      <c r="V15">
        <f>IF(N15="","",IFERROR(MATCH(INDEX(tblVideos[Channel ID],N15),tblChannels[Channel ID],0),""))</f>
        <v/>
      </c>
      <c r="W15">
        <f>IF(O15="","",IFERROR(MATCH(INDEX(tblVideos[Channel ID],O15),tblChannels[Channel ID],0),""))</f>
        <v/>
      </c>
      <c r="X15">
        <f>IF(P15="","",IFERROR(MATCH(INDEX(tblVideos[Channel ID],P15),tblChannels[Channel ID],0),""))</f>
        <v/>
      </c>
      <c r="Y15">
        <f>IF(Q15="","",IFERROR(MATCH(INDEX(tblVideos[Channel ID],Q15),tblChannels[Channel ID],0),""))</f>
        <v/>
      </c>
    </row>
    <row r="16">
      <c r="B16" s="71">
        <f>IF(K16="","",IF(INDEX(tblVideos[Video ID],K16)="",IF(INDEX(tblVideos[Status],K16)="Watched","✓ ","▸ ")&amp;INDEX(tblVideos[Title],K16),HYPERLINK("https://www.youtube.com/watch?v="&amp;INDEX(tblVideos[Video ID],K16),IF(INDEX(tblVideos[Status],K16)="Watched","✓ ","▸ ")&amp;INDEX(tblVideos[Title],K16))))</f>
        <v/>
      </c>
      <c r="C16" s="71">
        <f>IF(L16="","",IF(INDEX(tblVideos[Video ID],L16)="",IF(INDEX(tblVideos[Status],L16)="Watched","✓ ","▸ ")&amp;INDEX(tblVideos[Title],L16),HYPERLINK("https://www.youtube.com/watch?v="&amp;INDEX(tblVideos[Video ID],L16),IF(INDEX(tblVideos[Status],L16)="Watched","✓ ","▸ ")&amp;INDEX(tblVideos[Title],L16))))</f>
        <v/>
      </c>
      <c r="D16" s="71">
        <f>IF(M16="","",IF(INDEX(tblVideos[Video ID],M16)="",IF(INDEX(tblVideos[Status],M16)="Watched","✓ ","▸ ")&amp;INDEX(tblVideos[Title],M16),HYPERLINK("https://www.youtube.com/watch?v="&amp;INDEX(tblVideos[Video ID],M16),IF(INDEX(tblVideos[Status],M16)="Watched","✓ ","▸ ")&amp;INDEX(tblVideos[Title],M16))))</f>
        <v/>
      </c>
      <c r="E16" s="71">
        <f>IF(N16="","",IF(INDEX(tblVideos[Video ID],N16)="",IF(INDEX(tblVideos[Status],N16)="Watched","✓ ","▸ ")&amp;INDEX(tblVideos[Title],N16),HYPERLINK("https://www.youtube.com/watch?v="&amp;INDEX(tblVideos[Video ID],N16),IF(INDEX(tblVideos[Status],N16)="Watched","✓ ","▸ ")&amp;INDEX(tblVideos[Title],N16))))</f>
        <v/>
      </c>
      <c r="F16" s="71">
        <f>IF(O16="","",IF(INDEX(tblVideos[Video ID],O16)="",IF(INDEX(tblVideos[Status],O16)="Watched","✓ ","▸ ")&amp;INDEX(tblVideos[Title],O16),HYPERLINK("https://www.youtube.com/watch?v="&amp;INDEX(tblVideos[Video ID],O16),IF(INDEX(tblVideos[Status],O16)="Watched","✓ ","▸ ")&amp;INDEX(tblVideos[Title],O16))))</f>
        <v/>
      </c>
      <c r="G16" s="71">
        <f>IF(P16="","",IF(INDEX(tblVideos[Video ID],P16)="",IF(INDEX(tblVideos[Status],P16)="Watched","✓ ","▸ ")&amp;INDEX(tblVideos[Title],P16),HYPERLINK("https://www.youtube.com/watch?v="&amp;INDEX(tblVideos[Video ID],P16),IF(INDEX(tblVideos[Status],P16)="Watched","✓ ","▸ ")&amp;INDEX(tblVideos[Title],P16))))</f>
        <v/>
      </c>
      <c r="H16" s="71">
        <f>IF(Q16="","",IF(INDEX(tblVideos[Video ID],Q16)="",IF(INDEX(tblVideos[Status],Q16)="Watched","✓ ","▸ ")&amp;INDEX(tblVideos[Title],Q16),HYPERLINK("https://www.youtube.com/watch?v="&amp;INDEX(tblVideos[Video ID],Q16),IF(INDEX(tblVideos[Status],Q16)="Watched","✓ ","▸ ")&amp;INDEX(tblVideos[Title],Q16))))</f>
        <v/>
      </c>
      <c r="K16">
        <f>IF(S10&gt;=4,MATCH(K10*100+4,tblVideos[Cal Key],0),"")</f>
        <v/>
      </c>
      <c r="L16">
        <f>IF(T10&gt;=4,MATCH(L10*100+4,tblVideos[Cal Key],0),"")</f>
        <v/>
      </c>
      <c r="M16">
        <f>IF(U10&gt;=4,MATCH(M10*100+4,tblVideos[Cal Key],0),"")</f>
        <v/>
      </c>
      <c r="N16">
        <f>IF(V10&gt;=4,MATCH(N10*100+4,tblVideos[Cal Key],0),"")</f>
        <v/>
      </c>
      <c r="O16">
        <f>IF(W10&gt;=4,MATCH(O10*100+4,tblVideos[Cal Key],0),"")</f>
        <v/>
      </c>
      <c r="P16">
        <f>IF(X10&gt;=4,MATCH(P10*100+4,tblVideos[Cal Key],0),"")</f>
        <v/>
      </c>
      <c r="Q16">
        <f>IF(Y10&gt;=4,MATCH(Q10*100+4,tblVideos[Cal Key],0),"")</f>
        <v/>
      </c>
      <c r="S16">
        <f>IF(K16="","",IFERROR(MATCH(INDEX(tblVideos[Channel ID],K16),tblChannels[Channel ID],0),""))</f>
        <v/>
      </c>
      <c r="T16">
        <f>IF(L16="","",IFERROR(MATCH(INDEX(tblVideos[Channel ID],L16),tblChannels[Channel ID],0),""))</f>
        <v/>
      </c>
      <c r="U16">
        <f>IF(M16="","",IFERROR(MATCH(INDEX(tblVideos[Channel ID],M16),tblChannels[Channel ID],0),""))</f>
        <v/>
      </c>
      <c r="V16">
        <f>IF(N16="","",IFERROR(MATCH(INDEX(tblVideos[Channel ID],N16),tblChannels[Channel ID],0),""))</f>
        <v/>
      </c>
      <c r="W16">
        <f>IF(O16="","",IFERROR(MATCH(INDEX(tblVideos[Channel ID],O16),tblChannels[Channel ID],0),""))</f>
        <v/>
      </c>
      <c r="X16">
        <f>IF(P16="","",IFERROR(MATCH(INDEX(tblVideos[Channel ID],P16),tblChannels[Channel ID],0),""))</f>
        <v/>
      </c>
      <c r="Y16">
        <f>IF(Q16="","",IFERROR(MATCH(INDEX(tblVideos[Channel ID],Q16),tblChannels[Channel ID],0),""))</f>
        <v/>
      </c>
    </row>
    <row r="17">
      <c r="B17" s="71">
        <f>IF(K17="","",IF(INDEX(tblVideos[Video ID],K17)="",IF(INDEX(tblVideos[Status],K17)="Watched","✓ ","▸ ")&amp;INDEX(tblVideos[Title],K17),HYPERLINK("https://www.youtube.com/watch?v="&amp;INDEX(tblVideos[Video ID],K17),IF(INDEX(tblVideos[Status],K17)="Watched","✓ ","▸ ")&amp;INDEX(tblVideos[Title],K17))))</f>
        <v/>
      </c>
      <c r="C17" s="71">
        <f>IF(L17="","",IF(INDEX(tblVideos[Video ID],L17)="",IF(INDEX(tblVideos[Status],L17)="Watched","✓ ","▸ ")&amp;INDEX(tblVideos[Title],L17),HYPERLINK("https://www.youtube.com/watch?v="&amp;INDEX(tblVideos[Video ID],L17),IF(INDEX(tblVideos[Status],L17)="Watched","✓ ","▸ ")&amp;INDEX(tblVideos[Title],L17))))</f>
        <v/>
      </c>
      <c r="D17" s="71">
        <f>IF(M17="","",IF(INDEX(tblVideos[Video ID],M17)="",IF(INDEX(tblVideos[Status],M17)="Watched","✓ ","▸ ")&amp;INDEX(tblVideos[Title],M17),HYPERLINK("https://www.youtube.com/watch?v="&amp;INDEX(tblVideos[Video ID],M17),IF(INDEX(tblVideos[Status],M17)="Watched","✓ ","▸ ")&amp;INDEX(tblVideos[Title],M17))))</f>
        <v/>
      </c>
      <c r="E17" s="71">
        <f>IF(N17="","",IF(INDEX(tblVideos[Video ID],N17)="",IF(INDEX(tblVideos[Status],N17)="Watched","✓ ","▸ ")&amp;INDEX(tblVideos[Title],N17),HYPERLINK("https://www.youtube.com/watch?v="&amp;INDEX(tblVideos[Video ID],N17),IF(INDEX(tblVideos[Status],N17)="Watched","✓ ","▸ ")&amp;INDEX(tblVideos[Title],N17))))</f>
        <v/>
      </c>
      <c r="F17" s="71">
        <f>IF(O17="","",IF(INDEX(tblVideos[Video ID],O17)="",IF(INDEX(tblVideos[Status],O17)="Watched","✓ ","▸ ")&amp;INDEX(tblVideos[Title],O17),HYPERLINK("https://www.youtube.com/watch?v="&amp;INDEX(tblVideos[Video ID],O17),IF(INDEX(tblVideos[Status],O17)="Watched","✓ ","▸ ")&amp;INDEX(tblVideos[Title],O17))))</f>
        <v/>
      </c>
      <c r="G17" s="71">
        <f>IF(P17="","",IF(INDEX(tblVideos[Video ID],P17)="",IF(INDEX(tblVideos[Status],P17)="Watched","✓ ","▸ ")&amp;INDEX(tblVideos[Title],P17),HYPERLINK("https://www.youtube.com/watch?v="&amp;INDEX(tblVideos[Video ID],P17),IF(INDEX(tblVideos[Status],P17)="Watched","✓ ","▸ ")&amp;INDEX(tblVideos[Title],P17))))</f>
        <v/>
      </c>
      <c r="H17" s="71">
        <f>IF(Q17="","",IF(INDEX(tblVideos[Video ID],Q17)="",IF(INDEX(tblVideos[Status],Q17)="Watched","✓ ","▸ ")&amp;INDEX(tblVideos[Title],Q17),HYPERLINK("https://www.youtube.com/watch?v="&amp;INDEX(tblVideos[Video ID],Q17),IF(INDEX(tblVideos[Status],Q17)="Watched","✓ ","▸ ")&amp;INDEX(tblVideos[Title],Q17))))</f>
        <v/>
      </c>
      <c r="K17">
        <f>IF(S10&gt;=5,MATCH(K10*100+5,tblVideos[Cal Key],0),"")</f>
        <v/>
      </c>
      <c r="L17">
        <f>IF(T10&gt;=5,MATCH(L10*100+5,tblVideos[Cal Key],0),"")</f>
        <v/>
      </c>
      <c r="M17">
        <f>IF(U10&gt;=5,MATCH(M10*100+5,tblVideos[Cal Key],0),"")</f>
        <v/>
      </c>
      <c r="N17">
        <f>IF(V10&gt;=5,MATCH(N10*100+5,tblVideos[Cal Key],0),"")</f>
        <v/>
      </c>
      <c r="O17">
        <f>IF(W10&gt;=5,MATCH(O10*100+5,tblVideos[Cal Key],0),"")</f>
        <v/>
      </c>
      <c r="P17">
        <f>IF(X10&gt;=5,MATCH(P10*100+5,tblVideos[Cal Key],0),"")</f>
        <v/>
      </c>
      <c r="Q17">
        <f>IF(Y10&gt;=5,MATCH(Q10*100+5,tblVideos[Cal Key],0),"")</f>
        <v/>
      </c>
      <c r="S17">
        <f>IF(K17="","",IFERROR(MATCH(INDEX(tblVideos[Channel ID],K17),tblChannels[Channel ID],0),""))</f>
        <v/>
      </c>
      <c r="T17">
        <f>IF(L17="","",IFERROR(MATCH(INDEX(tblVideos[Channel ID],L17),tblChannels[Channel ID],0),""))</f>
        <v/>
      </c>
      <c r="U17">
        <f>IF(M17="","",IFERROR(MATCH(INDEX(tblVideos[Channel ID],M17),tblChannels[Channel ID],0),""))</f>
        <v/>
      </c>
      <c r="V17">
        <f>IF(N17="","",IFERROR(MATCH(INDEX(tblVideos[Channel ID],N17),tblChannels[Channel ID],0),""))</f>
        <v/>
      </c>
      <c r="W17">
        <f>IF(O17="","",IFERROR(MATCH(INDEX(tblVideos[Channel ID],O17),tblChannels[Channel ID],0),""))</f>
        <v/>
      </c>
      <c r="X17">
        <f>IF(P17="","",IFERROR(MATCH(INDEX(tblVideos[Channel ID],P17),tblChannels[Channel ID],0),""))</f>
        <v/>
      </c>
      <c r="Y17">
        <f>IF(Q17="","",IFERROR(MATCH(INDEX(tblVideos[Channel ID],Q17),tblChannels[Channel ID],0),""))</f>
        <v/>
      </c>
    </row>
    <row r="18" ht="18" customHeight="1">
      <c r="B18" s="69">
        <f>IF(MONTH(K18)=MONTH($K$2),DAY(K18)&amp;IF(S18&gt;0,"   ·   "&amp;S18&amp;IF(S18=1," video"," videos")&amp;"   ·   "&amp;IF(ROUND((AA18)*1440,0)&lt;60,ROUND((AA18)*1440,0)&amp;" m",IF(MOD(ROUND((AA18)*1440,0),60)=0,INT(ROUND((AA18)*1440,0)/60)&amp;" h",INT(ROUND((AA18)*1440,0)/60)&amp;" h "&amp;MOD(ROUND((AA18)*1440,0),60)&amp;" m"))&amp;IF(S18&gt;5,"   (+"&amp;(S18-5)&amp;" more)",""),""),"")</f>
        <v/>
      </c>
      <c r="C18" s="69">
        <f>IF(MONTH(L18)=MONTH($K$2),DAY(L18)&amp;IF(T18&gt;0,"   ·   "&amp;T18&amp;IF(T18=1," video"," videos")&amp;"   ·   "&amp;IF(ROUND((AB18)*1440,0)&lt;60,ROUND((AB18)*1440,0)&amp;" m",IF(MOD(ROUND((AB18)*1440,0),60)=0,INT(ROUND((AB18)*1440,0)/60)&amp;" h",INT(ROUND((AB18)*1440,0)/60)&amp;" h "&amp;MOD(ROUND((AB18)*1440,0),60)&amp;" m"))&amp;IF(T18&gt;5,"   (+"&amp;(T18-5)&amp;" more)",""),""),"")</f>
        <v/>
      </c>
      <c r="D18" s="69">
        <f>IF(MONTH(M18)=MONTH($K$2),DAY(M18)&amp;IF(U18&gt;0,"   ·   "&amp;U18&amp;IF(U18=1," video"," videos")&amp;"   ·   "&amp;IF(ROUND((AC18)*1440,0)&lt;60,ROUND((AC18)*1440,0)&amp;" m",IF(MOD(ROUND((AC18)*1440,0),60)=0,INT(ROUND((AC18)*1440,0)/60)&amp;" h",INT(ROUND((AC18)*1440,0)/60)&amp;" h "&amp;MOD(ROUND((AC18)*1440,0),60)&amp;" m"))&amp;IF(U18&gt;5,"   (+"&amp;(U18-5)&amp;" more)",""),""),"")</f>
        <v/>
      </c>
      <c r="E18" s="69">
        <f>IF(MONTH(N18)=MONTH($K$2),DAY(N18)&amp;IF(V18&gt;0,"   ·   "&amp;V18&amp;IF(V18=1," video"," videos")&amp;"   ·   "&amp;IF(ROUND((AD18)*1440,0)&lt;60,ROUND((AD18)*1440,0)&amp;" m",IF(MOD(ROUND((AD18)*1440,0),60)=0,INT(ROUND((AD18)*1440,0)/60)&amp;" h",INT(ROUND((AD18)*1440,0)/60)&amp;" h "&amp;MOD(ROUND((AD18)*1440,0),60)&amp;" m"))&amp;IF(V18&gt;5,"   (+"&amp;(V18-5)&amp;" more)",""),""),"")</f>
        <v/>
      </c>
      <c r="F18" s="69">
        <f>IF(MONTH(O18)=MONTH($K$2),DAY(O18)&amp;IF(W18&gt;0,"   ·   "&amp;W18&amp;IF(W18=1," video"," videos")&amp;"   ·   "&amp;IF(ROUND((AE18)*1440,0)&lt;60,ROUND((AE18)*1440,0)&amp;" m",IF(MOD(ROUND((AE18)*1440,0),60)=0,INT(ROUND((AE18)*1440,0)/60)&amp;" h",INT(ROUND((AE18)*1440,0)/60)&amp;" h "&amp;MOD(ROUND((AE18)*1440,0),60)&amp;" m"))&amp;IF(W18&gt;5,"   (+"&amp;(W18-5)&amp;" more)",""),""),"")</f>
        <v/>
      </c>
      <c r="G18" s="69">
        <f>IF(MONTH(P18)=MONTH($K$2),DAY(P18)&amp;IF(X18&gt;0,"   ·   "&amp;X18&amp;IF(X18=1," video"," videos")&amp;"   ·   "&amp;IF(ROUND((AF18)*1440,0)&lt;60,ROUND((AF18)*1440,0)&amp;" m",IF(MOD(ROUND((AF18)*1440,0),60)=0,INT(ROUND((AF18)*1440,0)/60)&amp;" h",INT(ROUND((AF18)*1440,0)/60)&amp;" h "&amp;MOD(ROUND((AF18)*1440,0),60)&amp;" m"))&amp;IF(X18&gt;5,"   (+"&amp;(X18-5)&amp;" more)",""),""),"")</f>
        <v/>
      </c>
      <c r="H18" s="69">
        <f>IF(MONTH(Q18)=MONTH($K$2),DAY(Q18)&amp;IF(Y18&gt;0,"   ·   "&amp;Y18&amp;IF(Y18=1," video"," videos")&amp;"   ·   "&amp;IF(ROUND((AG18)*1440,0)&lt;60,ROUND((AG18)*1440,0)&amp;" m",IF(MOD(ROUND((AG18)*1440,0),60)=0,INT(ROUND((AG18)*1440,0)/60)&amp;" h",INT(ROUND((AG18)*1440,0)/60)&amp;" h "&amp;MOD(ROUND((AG18)*1440,0),60)&amp;" m"))&amp;IF(Y18&gt;5,"   (+"&amp;(Y18-5)&amp;" more)",""),""),"")</f>
        <v/>
      </c>
      <c r="K18" s="59">
        <f>$K$3+7</f>
        <v/>
      </c>
      <c r="L18" s="59">
        <f>$K$3+8</f>
        <v/>
      </c>
      <c r="M18" s="59">
        <f>$K$3+9</f>
        <v/>
      </c>
      <c r="N18" s="59">
        <f>$K$3+10</f>
        <v/>
      </c>
      <c r="O18" s="59">
        <f>$K$3+11</f>
        <v/>
      </c>
      <c r="P18" s="59">
        <f>$K$3+12</f>
        <v/>
      </c>
      <c r="Q18" s="59">
        <f>$K$3+13</f>
        <v/>
      </c>
      <c r="S18">
        <f>IF(MONTH(K18)=MONTH($K$2),COUNTIFS(tblVideos[Day],K18,tblVideos[Channel ID],$K$4),0)</f>
        <v/>
      </c>
      <c r="T18">
        <f>IF(MONTH(L18)=MONTH($K$2),COUNTIFS(tblVideos[Day],L18,tblVideos[Channel ID],$K$4),0)</f>
        <v/>
      </c>
      <c r="U18">
        <f>IF(MONTH(M18)=MONTH($K$2),COUNTIFS(tblVideos[Day],M18,tblVideos[Channel ID],$K$4),0)</f>
        <v/>
      </c>
      <c r="V18">
        <f>IF(MONTH(N18)=MONTH($K$2),COUNTIFS(tblVideos[Day],N18,tblVideos[Channel ID],$K$4),0)</f>
        <v/>
      </c>
      <c r="W18">
        <f>IF(MONTH(O18)=MONTH($K$2),COUNTIFS(tblVideos[Day],O18,tblVideos[Channel ID],$K$4),0)</f>
        <v/>
      </c>
      <c r="X18">
        <f>IF(MONTH(P18)=MONTH($K$2),COUNTIFS(tblVideos[Day],P18,tblVideos[Channel ID],$K$4),0)</f>
        <v/>
      </c>
      <c r="Y18">
        <f>IF(MONTH(Q18)=MONTH($K$2),COUNTIFS(tblVideos[Day],Q18,tblVideos[Channel ID],$K$4),0)</f>
        <v/>
      </c>
      <c r="AA18">
        <f>IF(S18&gt;0,SUMIFS(tblVideos[Length],tblVideos[Day],K18,tblVideos[Channel ID],$K$4),0)</f>
        <v/>
      </c>
      <c r="AB18">
        <f>IF(T18&gt;0,SUMIFS(tblVideos[Length],tblVideos[Day],L18,tblVideos[Channel ID],$K$4),0)</f>
        <v/>
      </c>
      <c r="AC18">
        <f>IF(U18&gt;0,SUMIFS(tblVideos[Length],tblVideos[Day],M18,tblVideos[Channel ID],$K$4),0)</f>
        <v/>
      </c>
      <c r="AD18">
        <f>IF(V18&gt;0,SUMIFS(tblVideos[Length],tblVideos[Day],N18,tblVideos[Channel ID],$K$4),0)</f>
        <v/>
      </c>
      <c r="AE18">
        <f>IF(W18&gt;0,SUMIFS(tblVideos[Length],tblVideos[Day],O18,tblVideos[Channel ID],$K$4),0)</f>
        <v/>
      </c>
      <c r="AF18">
        <f>IF(X18&gt;0,SUMIFS(tblVideos[Length],tblVideos[Day],P18,tblVideos[Channel ID],$K$4),0)</f>
        <v/>
      </c>
      <c r="AG18">
        <f>IF(Y18&gt;0,SUMIFS(tblVideos[Length],tblVideos[Day],Q18,tblVideos[Channel ID],$K$4),0)</f>
        <v/>
      </c>
    </row>
    <row r="19" ht="14" customHeight="1">
      <c r="B19" s="70">
        <f>IF(K19="","",IF(LEFT(INDEX(Events!$F$6:$F$598,K19),4)="http",HYPERLINK(INDEX(Events!$F$6:$F$598,K19),IFERROR(INDEX(Lists!$H$1:$H$7,S19),"")&amp;" "&amp;SUBSTITUTE(INDEX(Events!$C$6:$C$598,K19),"{n}",YEAR(INDEX(EventGrid!$E$4:$E$596,K19))-YEAR(INDEX(Events!$A$6:$A$598,K19)))),IFERROR(INDEX(Lists!$H$1:$H$7,S19),"")&amp;" "&amp;SUBSTITUTE(INDEX(Events!$C$6:$C$598,K19),"{n}",YEAR(INDEX(EventGrid!$E$4:$E$596,K19))-YEAR(INDEX(Events!$A$6:$A$598,K19)))))</f>
        <v/>
      </c>
      <c r="C19" s="70">
        <f>IF(L19="","",IF(LEFT(INDEX(Events!$F$6:$F$598,L19),4)="http",HYPERLINK(INDEX(Events!$F$6:$F$598,L19),IFERROR(INDEX(Lists!$H$1:$H$7,T19),"")&amp;" "&amp;SUBSTITUTE(INDEX(Events!$C$6:$C$598,L19),"{n}",YEAR(INDEX(EventGrid!$E$4:$E$596,L19))-YEAR(INDEX(Events!$A$6:$A$598,L19)))),IFERROR(INDEX(Lists!$H$1:$H$7,T19),"")&amp;" "&amp;SUBSTITUTE(INDEX(Events!$C$6:$C$598,L19),"{n}",YEAR(INDEX(EventGrid!$E$4:$E$596,L19))-YEAR(INDEX(Events!$A$6:$A$598,L19)))))</f>
        <v/>
      </c>
      <c r="D19" s="70">
        <f>IF(M19="","",IF(LEFT(INDEX(Events!$F$6:$F$598,M19),4)="http",HYPERLINK(INDEX(Events!$F$6:$F$598,M19),IFERROR(INDEX(Lists!$H$1:$H$7,U19),"")&amp;" "&amp;SUBSTITUTE(INDEX(Events!$C$6:$C$598,M19),"{n}",YEAR(INDEX(EventGrid!$E$4:$E$596,M19))-YEAR(INDEX(Events!$A$6:$A$598,M19)))),IFERROR(INDEX(Lists!$H$1:$H$7,U19),"")&amp;" "&amp;SUBSTITUTE(INDEX(Events!$C$6:$C$598,M19),"{n}",YEAR(INDEX(EventGrid!$E$4:$E$596,M19))-YEAR(INDEX(Events!$A$6:$A$598,M19)))))</f>
        <v/>
      </c>
      <c r="E19" s="70">
        <f>IF(N19="","",IF(LEFT(INDEX(Events!$F$6:$F$598,N19),4)="http",HYPERLINK(INDEX(Events!$F$6:$F$598,N19),IFERROR(INDEX(Lists!$H$1:$H$7,V19),"")&amp;" "&amp;SUBSTITUTE(INDEX(Events!$C$6:$C$598,N19),"{n}",YEAR(INDEX(EventGrid!$E$4:$E$596,N19))-YEAR(INDEX(Events!$A$6:$A$598,N19)))),IFERROR(INDEX(Lists!$H$1:$H$7,V19),"")&amp;" "&amp;SUBSTITUTE(INDEX(Events!$C$6:$C$598,N19),"{n}",YEAR(INDEX(EventGrid!$E$4:$E$596,N19))-YEAR(INDEX(Events!$A$6:$A$598,N19)))))</f>
        <v/>
      </c>
      <c r="F19" s="70">
        <f>IF(O19="","",IF(LEFT(INDEX(Events!$F$6:$F$598,O19),4)="http",HYPERLINK(INDEX(Events!$F$6:$F$598,O19),IFERROR(INDEX(Lists!$H$1:$H$7,W19),"")&amp;" "&amp;SUBSTITUTE(INDEX(Events!$C$6:$C$598,O19),"{n}",YEAR(INDEX(EventGrid!$E$4:$E$596,O19))-YEAR(INDEX(Events!$A$6:$A$598,O19)))),IFERROR(INDEX(Lists!$H$1:$H$7,W19),"")&amp;" "&amp;SUBSTITUTE(INDEX(Events!$C$6:$C$598,O19),"{n}",YEAR(INDEX(EventGrid!$E$4:$E$596,O19))-YEAR(INDEX(Events!$A$6:$A$598,O19)))))</f>
        <v/>
      </c>
      <c r="G19" s="70">
        <f>IF(P19="","",IF(LEFT(INDEX(Events!$F$6:$F$598,P19),4)="http",HYPERLINK(INDEX(Events!$F$6:$F$598,P19),IFERROR(INDEX(Lists!$H$1:$H$7,X19),"")&amp;" "&amp;SUBSTITUTE(INDEX(Events!$C$6:$C$598,P19),"{n}",YEAR(INDEX(EventGrid!$E$4:$E$596,P19))-YEAR(INDEX(Events!$A$6:$A$598,P19)))),IFERROR(INDEX(Lists!$H$1:$H$7,X19),"")&amp;" "&amp;SUBSTITUTE(INDEX(Events!$C$6:$C$598,P19),"{n}",YEAR(INDEX(EventGrid!$E$4:$E$596,P19))-YEAR(INDEX(Events!$A$6:$A$598,P19)))))</f>
        <v/>
      </c>
      <c r="H19" s="70">
        <f>IF(Q19="","",IF(LEFT(INDEX(Events!$F$6:$F$598,Q19),4)="http",HYPERLINK(INDEX(Events!$F$6:$F$598,Q19),IFERROR(INDEX(Lists!$H$1:$H$7,Y19),"")&amp;" "&amp;SUBSTITUTE(INDEX(Events!$C$6:$C$598,Q19),"{n}",YEAR(INDEX(EventGrid!$E$4:$E$596,Q19))-YEAR(INDEX(Events!$A$6:$A$598,Q19)))),IFERROR(INDEX(Lists!$H$1:$H$7,Y19),"")&amp;" "&amp;SUBSTITUTE(INDEX(Events!$C$6:$C$598,Q19),"{n}",YEAR(INDEX(EventGrid!$E$4:$E$596,Q19))-YEAR(INDEX(Events!$A$6:$A$598,Q19)))))</f>
        <v/>
      </c>
      <c r="K19">
        <f>IF(MONTH(K18)=MONTH($K$2),IFERROR(MATCH(1,EventGrid!O$3:O$596,0)-1,""),"")</f>
        <v/>
      </c>
      <c r="L19">
        <f>IF(MONTH(L18)=MONTH($K$2),IFERROR(MATCH(1,EventGrid!P$3:P$596,0)-1,""),"")</f>
        <v/>
      </c>
      <c r="M19">
        <f>IF(MONTH(M18)=MONTH($K$2),IFERROR(MATCH(1,EventGrid!Q$3:Q$596,0)-1,""),"")</f>
        <v/>
      </c>
      <c r="N19">
        <f>IF(MONTH(N18)=MONTH($K$2),IFERROR(MATCH(1,EventGrid!R$3:R$596,0)-1,""),"")</f>
        <v/>
      </c>
      <c r="O19">
        <f>IF(MONTH(O18)=MONTH($K$2),IFERROR(MATCH(1,EventGrid!S$3:S$596,0)-1,""),"")</f>
        <v/>
      </c>
      <c r="P19">
        <f>IF(MONTH(P18)=MONTH($K$2),IFERROR(MATCH(1,EventGrid!T$3:T$596,0)-1,""),"")</f>
        <v/>
      </c>
      <c r="Q19">
        <f>IF(MONTH(Q18)=MONTH($K$2),IFERROR(MATCH(1,EventGrid!U$3:U$596,0)-1,""),"")</f>
        <v/>
      </c>
      <c r="S19">
        <f>IF(K19="","",IFERROR(MATCH(INDEX(Events!$D$6:$D$598,K19),Lists!$G$1:$G$7,0),""))</f>
        <v/>
      </c>
      <c r="T19">
        <f>IF(L19="","",IFERROR(MATCH(INDEX(Events!$D$6:$D$598,L19),Lists!$G$1:$G$7,0),""))</f>
        <v/>
      </c>
      <c r="U19">
        <f>IF(M19="","",IFERROR(MATCH(INDEX(Events!$D$6:$D$598,M19),Lists!$G$1:$G$7,0),""))</f>
        <v/>
      </c>
      <c r="V19">
        <f>IF(N19="","",IFERROR(MATCH(INDEX(Events!$D$6:$D$598,N19),Lists!$G$1:$G$7,0),""))</f>
        <v/>
      </c>
      <c r="W19">
        <f>IF(O19="","",IFERROR(MATCH(INDEX(Events!$D$6:$D$598,O19),Lists!$G$1:$G$7,0),""))</f>
        <v/>
      </c>
      <c r="X19">
        <f>IF(P19="","",IFERROR(MATCH(INDEX(Events!$D$6:$D$598,P19),Lists!$G$1:$G$7,0),""))</f>
        <v/>
      </c>
      <c r="Y19">
        <f>IF(Q19="","",IFERROR(MATCH(INDEX(Events!$D$6:$D$598,Q19),Lists!$G$1:$G$7,0),""))</f>
        <v/>
      </c>
    </row>
    <row r="20" ht="14" customHeight="1">
      <c r="B20" s="70">
        <f>IF(K20="","",IF(LEFT(INDEX(Events!$F$6:$F$598,K20),4)="http",HYPERLINK(INDEX(Events!$F$6:$F$598,K20),IFERROR(INDEX(Lists!$H$1:$H$7,S20),"")&amp;" "&amp;SUBSTITUTE(INDEX(Events!$C$6:$C$598,K20),"{n}",YEAR(INDEX(EventGrid!$E$4:$E$596,K20))-YEAR(INDEX(Events!$A$6:$A$598,K20)))&amp;IF(EventGrid!O$596&gt;2," (+"&amp;(EventGrid!O$596-2)&amp;" more)","")),IFERROR(INDEX(Lists!$H$1:$H$7,S20),"")&amp;" "&amp;SUBSTITUTE(INDEX(Events!$C$6:$C$598,K20),"{n}",YEAR(INDEX(EventGrid!$E$4:$E$596,K20))-YEAR(INDEX(Events!$A$6:$A$598,K20)))&amp;IF(EventGrid!O$596&gt;2," (+"&amp;(EventGrid!O$596-2)&amp;" more)","")))</f>
        <v/>
      </c>
      <c r="C20" s="70">
        <f>IF(L20="","",IF(LEFT(INDEX(Events!$F$6:$F$598,L20),4)="http",HYPERLINK(INDEX(Events!$F$6:$F$598,L20),IFERROR(INDEX(Lists!$H$1:$H$7,T20),"")&amp;" "&amp;SUBSTITUTE(INDEX(Events!$C$6:$C$598,L20),"{n}",YEAR(INDEX(EventGrid!$E$4:$E$596,L20))-YEAR(INDEX(Events!$A$6:$A$598,L20)))&amp;IF(EventGrid!P$596&gt;2," (+"&amp;(EventGrid!P$596-2)&amp;" more)","")),IFERROR(INDEX(Lists!$H$1:$H$7,T20),"")&amp;" "&amp;SUBSTITUTE(INDEX(Events!$C$6:$C$598,L20),"{n}",YEAR(INDEX(EventGrid!$E$4:$E$596,L20))-YEAR(INDEX(Events!$A$6:$A$598,L20)))&amp;IF(EventGrid!P$596&gt;2," (+"&amp;(EventGrid!P$596-2)&amp;" more)","")))</f>
        <v/>
      </c>
      <c r="D20" s="70">
        <f>IF(M20="","",IF(LEFT(INDEX(Events!$F$6:$F$598,M20),4)="http",HYPERLINK(INDEX(Events!$F$6:$F$598,M20),IFERROR(INDEX(Lists!$H$1:$H$7,U20),"")&amp;" "&amp;SUBSTITUTE(INDEX(Events!$C$6:$C$598,M20),"{n}",YEAR(INDEX(EventGrid!$E$4:$E$596,M20))-YEAR(INDEX(Events!$A$6:$A$598,M20)))&amp;IF(EventGrid!Q$596&gt;2," (+"&amp;(EventGrid!Q$596-2)&amp;" more)","")),IFERROR(INDEX(Lists!$H$1:$H$7,U20),"")&amp;" "&amp;SUBSTITUTE(INDEX(Events!$C$6:$C$598,M20),"{n}",YEAR(INDEX(EventGrid!$E$4:$E$596,M20))-YEAR(INDEX(Events!$A$6:$A$598,M20)))&amp;IF(EventGrid!Q$596&gt;2," (+"&amp;(EventGrid!Q$596-2)&amp;" more)","")))</f>
        <v/>
      </c>
      <c r="E20" s="70">
        <f>IF(N20="","",IF(LEFT(INDEX(Events!$F$6:$F$598,N20),4)="http",HYPERLINK(INDEX(Events!$F$6:$F$598,N20),IFERROR(INDEX(Lists!$H$1:$H$7,V20),"")&amp;" "&amp;SUBSTITUTE(INDEX(Events!$C$6:$C$598,N20),"{n}",YEAR(INDEX(EventGrid!$E$4:$E$596,N20))-YEAR(INDEX(Events!$A$6:$A$598,N20)))&amp;IF(EventGrid!R$596&gt;2," (+"&amp;(EventGrid!R$596-2)&amp;" more)","")),IFERROR(INDEX(Lists!$H$1:$H$7,V20),"")&amp;" "&amp;SUBSTITUTE(INDEX(Events!$C$6:$C$598,N20),"{n}",YEAR(INDEX(EventGrid!$E$4:$E$596,N20))-YEAR(INDEX(Events!$A$6:$A$598,N20)))&amp;IF(EventGrid!R$596&gt;2," (+"&amp;(EventGrid!R$596-2)&amp;" more)","")))</f>
        <v/>
      </c>
      <c r="F20" s="70">
        <f>IF(O20="","",IF(LEFT(INDEX(Events!$F$6:$F$598,O20),4)="http",HYPERLINK(INDEX(Events!$F$6:$F$598,O20),IFERROR(INDEX(Lists!$H$1:$H$7,W20),"")&amp;" "&amp;SUBSTITUTE(INDEX(Events!$C$6:$C$598,O20),"{n}",YEAR(INDEX(EventGrid!$E$4:$E$596,O20))-YEAR(INDEX(Events!$A$6:$A$598,O20)))&amp;IF(EventGrid!S$596&gt;2," (+"&amp;(EventGrid!S$596-2)&amp;" more)","")),IFERROR(INDEX(Lists!$H$1:$H$7,W20),"")&amp;" "&amp;SUBSTITUTE(INDEX(Events!$C$6:$C$598,O20),"{n}",YEAR(INDEX(EventGrid!$E$4:$E$596,O20))-YEAR(INDEX(Events!$A$6:$A$598,O20)))&amp;IF(EventGrid!S$596&gt;2," (+"&amp;(EventGrid!S$596-2)&amp;" more)","")))</f>
        <v/>
      </c>
      <c r="G20" s="70">
        <f>IF(P20="","",IF(LEFT(INDEX(Events!$F$6:$F$598,P20),4)="http",HYPERLINK(INDEX(Events!$F$6:$F$598,P20),IFERROR(INDEX(Lists!$H$1:$H$7,X20),"")&amp;" "&amp;SUBSTITUTE(INDEX(Events!$C$6:$C$598,P20),"{n}",YEAR(INDEX(EventGrid!$E$4:$E$596,P20))-YEAR(INDEX(Events!$A$6:$A$598,P20)))&amp;IF(EventGrid!T$596&gt;2," (+"&amp;(EventGrid!T$596-2)&amp;" more)","")),IFERROR(INDEX(Lists!$H$1:$H$7,X20),"")&amp;" "&amp;SUBSTITUTE(INDEX(Events!$C$6:$C$598,P20),"{n}",YEAR(INDEX(EventGrid!$E$4:$E$596,P20))-YEAR(INDEX(Events!$A$6:$A$598,P20)))&amp;IF(EventGrid!T$596&gt;2," (+"&amp;(EventGrid!T$596-2)&amp;" more)","")))</f>
        <v/>
      </c>
      <c r="H20" s="70">
        <f>IF(Q20="","",IF(LEFT(INDEX(Events!$F$6:$F$598,Q20),4)="http",HYPERLINK(INDEX(Events!$F$6:$F$598,Q20),IFERROR(INDEX(Lists!$H$1:$H$7,Y20),"")&amp;" "&amp;SUBSTITUTE(INDEX(Events!$C$6:$C$598,Q20),"{n}",YEAR(INDEX(EventGrid!$E$4:$E$596,Q20))-YEAR(INDEX(Events!$A$6:$A$598,Q20)))&amp;IF(EventGrid!U$596&gt;2," (+"&amp;(EventGrid!U$596-2)&amp;" more)","")),IFERROR(INDEX(Lists!$H$1:$H$7,Y20),"")&amp;" "&amp;SUBSTITUTE(INDEX(Events!$C$6:$C$598,Q20),"{n}",YEAR(INDEX(EventGrid!$E$4:$E$596,Q20))-YEAR(INDEX(Events!$A$6:$A$598,Q20)))&amp;IF(EventGrid!U$596&gt;2," (+"&amp;(EventGrid!U$596-2)&amp;" more)","")))</f>
        <v/>
      </c>
      <c r="K20">
        <f>IF(MONTH(K18)=MONTH($K$2),IFERROR(MATCH(2,EventGrid!O$3:O$596,0)-1,""),"")</f>
        <v/>
      </c>
      <c r="L20">
        <f>IF(MONTH(L18)=MONTH($K$2),IFERROR(MATCH(2,EventGrid!P$3:P$596,0)-1,""),"")</f>
        <v/>
      </c>
      <c r="M20">
        <f>IF(MONTH(M18)=MONTH($K$2),IFERROR(MATCH(2,EventGrid!Q$3:Q$596,0)-1,""),"")</f>
        <v/>
      </c>
      <c r="N20">
        <f>IF(MONTH(N18)=MONTH($K$2),IFERROR(MATCH(2,EventGrid!R$3:R$596,0)-1,""),"")</f>
        <v/>
      </c>
      <c r="O20">
        <f>IF(MONTH(O18)=MONTH($K$2),IFERROR(MATCH(2,EventGrid!S$3:S$596,0)-1,""),"")</f>
        <v/>
      </c>
      <c r="P20">
        <f>IF(MONTH(P18)=MONTH($K$2),IFERROR(MATCH(2,EventGrid!T$3:T$596,0)-1,""),"")</f>
        <v/>
      </c>
      <c r="Q20">
        <f>IF(MONTH(Q18)=MONTH($K$2),IFERROR(MATCH(2,EventGrid!U$3:U$596,0)-1,""),"")</f>
        <v/>
      </c>
      <c r="S20">
        <f>IF(K20="","",IFERROR(MATCH(INDEX(Events!$D$6:$D$598,K20),Lists!$G$1:$G$7,0),""))</f>
        <v/>
      </c>
      <c r="T20">
        <f>IF(L20="","",IFERROR(MATCH(INDEX(Events!$D$6:$D$598,L20),Lists!$G$1:$G$7,0),""))</f>
        <v/>
      </c>
      <c r="U20">
        <f>IF(M20="","",IFERROR(MATCH(INDEX(Events!$D$6:$D$598,M20),Lists!$G$1:$G$7,0),""))</f>
        <v/>
      </c>
      <c r="V20">
        <f>IF(N20="","",IFERROR(MATCH(INDEX(Events!$D$6:$D$598,N20),Lists!$G$1:$G$7,0),""))</f>
        <v/>
      </c>
      <c r="W20">
        <f>IF(O20="","",IFERROR(MATCH(INDEX(Events!$D$6:$D$598,O20),Lists!$G$1:$G$7,0),""))</f>
        <v/>
      </c>
      <c r="X20">
        <f>IF(P20="","",IFERROR(MATCH(INDEX(Events!$D$6:$D$598,P20),Lists!$G$1:$G$7,0),""))</f>
        <v/>
      </c>
      <c r="Y20">
        <f>IF(Q20="","",IFERROR(MATCH(INDEX(Events!$D$6:$D$598,Q20),Lists!$G$1:$G$7,0),""))</f>
        <v/>
      </c>
    </row>
    <row r="21">
      <c r="B21" s="71">
        <f>IF(K21="","",IF(INDEX(tblVideos[Video ID],K21)="",IF(INDEX(tblVideos[Status],K21)="Watched","✓ ","▸ ")&amp;INDEX(tblVideos[Title],K21),HYPERLINK("https://www.youtube.com/watch?v="&amp;INDEX(tblVideos[Video ID],K21),IF(INDEX(tblVideos[Status],K21)="Watched","✓ ","▸ ")&amp;INDEX(tblVideos[Title],K21))))</f>
        <v/>
      </c>
      <c r="C21" s="71">
        <f>IF(L21="","",IF(INDEX(tblVideos[Video ID],L21)="",IF(INDEX(tblVideos[Status],L21)="Watched","✓ ","▸ ")&amp;INDEX(tblVideos[Title],L21),HYPERLINK("https://www.youtube.com/watch?v="&amp;INDEX(tblVideos[Video ID],L21),IF(INDEX(tblVideos[Status],L21)="Watched","✓ ","▸ ")&amp;INDEX(tblVideos[Title],L21))))</f>
        <v/>
      </c>
      <c r="D21" s="71">
        <f>IF(M21="","",IF(INDEX(tblVideos[Video ID],M21)="",IF(INDEX(tblVideos[Status],M21)="Watched","✓ ","▸ ")&amp;INDEX(tblVideos[Title],M21),HYPERLINK("https://www.youtube.com/watch?v="&amp;INDEX(tblVideos[Video ID],M21),IF(INDEX(tblVideos[Status],M21)="Watched","✓ ","▸ ")&amp;INDEX(tblVideos[Title],M21))))</f>
        <v/>
      </c>
      <c r="E21" s="71">
        <f>IF(N21="","",IF(INDEX(tblVideos[Video ID],N21)="",IF(INDEX(tblVideos[Status],N21)="Watched","✓ ","▸ ")&amp;INDEX(tblVideos[Title],N21),HYPERLINK("https://www.youtube.com/watch?v="&amp;INDEX(tblVideos[Video ID],N21),IF(INDEX(tblVideos[Status],N21)="Watched","✓ ","▸ ")&amp;INDEX(tblVideos[Title],N21))))</f>
        <v/>
      </c>
      <c r="F21" s="71">
        <f>IF(O21="","",IF(INDEX(tblVideos[Video ID],O21)="",IF(INDEX(tblVideos[Status],O21)="Watched","✓ ","▸ ")&amp;INDEX(tblVideos[Title],O21),HYPERLINK("https://www.youtube.com/watch?v="&amp;INDEX(tblVideos[Video ID],O21),IF(INDEX(tblVideos[Status],O21)="Watched","✓ ","▸ ")&amp;INDEX(tblVideos[Title],O21))))</f>
        <v/>
      </c>
      <c r="G21" s="71">
        <f>IF(P21="","",IF(INDEX(tblVideos[Video ID],P21)="",IF(INDEX(tblVideos[Status],P21)="Watched","✓ ","▸ ")&amp;INDEX(tblVideos[Title],P21),HYPERLINK("https://www.youtube.com/watch?v="&amp;INDEX(tblVideos[Video ID],P21),IF(INDEX(tblVideos[Status],P21)="Watched","✓ ","▸ ")&amp;INDEX(tblVideos[Title],P21))))</f>
        <v/>
      </c>
      <c r="H21" s="71">
        <f>IF(Q21="","",IF(INDEX(tblVideos[Video ID],Q21)="",IF(INDEX(tblVideos[Status],Q21)="Watched","✓ ","▸ ")&amp;INDEX(tblVideos[Title],Q21),HYPERLINK("https://www.youtube.com/watch?v="&amp;INDEX(tblVideos[Video ID],Q21),IF(INDEX(tblVideos[Status],Q21)="Watched","✓ ","▸ ")&amp;INDEX(tblVideos[Title],Q21))))</f>
        <v/>
      </c>
      <c r="K21">
        <f>IF(S18&gt;=1,MATCH(K18*100+1,tblVideos[Cal Key],0),"")</f>
        <v/>
      </c>
      <c r="L21">
        <f>IF(T18&gt;=1,MATCH(L18*100+1,tblVideos[Cal Key],0),"")</f>
        <v/>
      </c>
      <c r="M21">
        <f>IF(U18&gt;=1,MATCH(M18*100+1,tblVideos[Cal Key],0),"")</f>
        <v/>
      </c>
      <c r="N21">
        <f>IF(V18&gt;=1,MATCH(N18*100+1,tblVideos[Cal Key],0),"")</f>
        <v/>
      </c>
      <c r="O21">
        <f>IF(W18&gt;=1,MATCH(O18*100+1,tblVideos[Cal Key],0),"")</f>
        <v/>
      </c>
      <c r="P21">
        <f>IF(X18&gt;=1,MATCH(P18*100+1,tblVideos[Cal Key],0),"")</f>
        <v/>
      </c>
      <c r="Q21">
        <f>IF(Y18&gt;=1,MATCH(Q18*100+1,tblVideos[Cal Key],0),"")</f>
        <v/>
      </c>
      <c r="S21">
        <f>IF(K21="","",IFERROR(MATCH(INDEX(tblVideos[Channel ID],K21),tblChannels[Channel ID],0),""))</f>
        <v/>
      </c>
      <c r="T21">
        <f>IF(L21="","",IFERROR(MATCH(INDEX(tblVideos[Channel ID],L21),tblChannels[Channel ID],0),""))</f>
        <v/>
      </c>
      <c r="U21">
        <f>IF(M21="","",IFERROR(MATCH(INDEX(tblVideos[Channel ID],M21),tblChannels[Channel ID],0),""))</f>
        <v/>
      </c>
      <c r="V21">
        <f>IF(N21="","",IFERROR(MATCH(INDEX(tblVideos[Channel ID],N21),tblChannels[Channel ID],0),""))</f>
        <v/>
      </c>
      <c r="W21">
        <f>IF(O21="","",IFERROR(MATCH(INDEX(tblVideos[Channel ID],O21),tblChannels[Channel ID],0),""))</f>
        <v/>
      </c>
      <c r="X21">
        <f>IF(P21="","",IFERROR(MATCH(INDEX(tblVideos[Channel ID],P21),tblChannels[Channel ID],0),""))</f>
        <v/>
      </c>
      <c r="Y21">
        <f>IF(Q21="","",IFERROR(MATCH(INDEX(tblVideos[Channel ID],Q21),tblChannels[Channel ID],0),""))</f>
        <v/>
      </c>
    </row>
    <row r="22">
      <c r="B22" s="71">
        <f>IF(K22="","",IF(INDEX(tblVideos[Video ID],K22)="",IF(INDEX(tblVideos[Status],K22)="Watched","✓ ","▸ ")&amp;INDEX(tblVideos[Title],K22),HYPERLINK("https://www.youtube.com/watch?v="&amp;INDEX(tblVideos[Video ID],K22),IF(INDEX(tblVideos[Status],K22)="Watched","✓ ","▸ ")&amp;INDEX(tblVideos[Title],K22))))</f>
        <v/>
      </c>
      <c r="C22" s="71">
        <f>IF(L22="","",IF(INDEX(tblVideos[Video ID],L22)="",IF(INDEX(tblVideos[Status],L22)="Watched","✓ ","▸ ")&amp;INDEX(tblVideos[Title],L22),HYPERLINK("https://www.youtube.com/watch?v="&amp;INDEX(tblVideos[Video ID],L22),IF(INDEX(tblVideos[Status],L22)="Watched","✓ ","▸ ")&amp;INDEX(tblVideos[Title],L22))))</f>
        <v/>
      </c>
      <c r="D22" s="71">
        <f>IF(M22="","",IF(INDEX(tblVideos[Video ID],M22)="",IF(INDEX(tblVideos[Status],M22)="Watched","✓ ","▸ ")&amp;INDEX(tblVideos[Title],M22),HYPERLINK("https://www.youtube.com/watch?v="&amp;INDEX(tblVideos[Video ID],M22),IF(INDEX(tblVideos[Status],M22)="Watched","✓ ","▸ ")&amp;INDEX(tblVideos[Title],M22))))</f>
        <v/>
      </c>
      <c r="E22" s="71">
        <f>IF(N22="","",IF(INDEX(tblVideos[Video ID],N22)="",IF(INDEX(tblVideos[Status],N22)="Watched","✓ ","▸ ")&amp;INDEX(tblVideos[Title],N22),HYPERLINK("https://www.youtube.com/watch?v="&amp;INDEX(tblVideos[Video ID],N22),IF(INDEX(tblVideos[Status],N22)="Watched","✓ ","▸ ")&amp;INDEX(tblVideos[Title],N22))))</f>
        <v/>
      </c>
      <c r="F22" s="71">
        <f>IF(O22="","",IF(INDEX(tblVideos[Video ID],O22)="",IF(INDEX(tblVideos[Status],O22)="Watched","✓ ","▸ ")&amp;INDEX(tblVideos[Title],O22),HYPERLINK("https://www.youtube.com/watch?v="&amp;INDEX(tblVideos[Video ID],O22),IF(INDEX(tblVideos[Status],O22)="Watched","✓ ","▸ ")&amp;INDEX(tblVideos[Title],O22))))</f>
        <v/>
      </c>
      <c r="G22" s="71">
        <f>IF(P22="","",IF(INDEX(tblVideos[Video ID],P22)="",IF(INDEX(tblVideos[Status],P22)="Watched","✓ ","▸ ")&amp;INDEX(tblVideos[Title],P22),HYPERLINK("https://www.youtube.com/watch?v="&amp;INDEX(tblVideos[Video ID],P22),IF(INDEX(tblVideos[Status],P22)="Watched","✓ ","▸ ")&amp;INDEX(tblVideos[Title],P22))))</f>
        <v/>
      </c>
      <c r="H22" s="71">
        <f>IF(Q22="","",IF(INDEX(tblVideos[Video ID],Q22)="",IF(INDEX(tblVideos[Status],Q22)="Watched","✓ ","▸ ")&amp;INDEX(tblVideos[Title],Q22),HYPERLINK("https://www.youtube.com/watch?v="&amp;INDEX(tblVideos[Video ID],Q22),IF(INDEX(tblVideos[Status],Q22)="Watched","✓ ","▸ ")&amp;INDEX(tblVideos[Title],Q22))))</f>
        <v/>
      </c>
      <c r="K22">
        <f>IF(S18&gt;=2,MATCH(K18*100+2,tblVideos[Cal Key],0),"")</f>
        <v/>
      </c>
      <c r="L22">
        <f>IF(T18&gt;=2,MATCH(L18*100+2,tblVideos[Cal Key],0),"")</f>
        <v/>
      </c>
      <c r="M22">
        <f>IF(U18&gt;=2,MATCH(M18*100+2,tblVideos[Cal Key],0),"")</f>
        <v/>
      </c>
      <c r="N22">
        <f>IF(V18&gt;=2,MATCH(N18*100+2,tblVideos[Cal Key],0),"")</f>
        <v/>
      </c>
      <c r="O22">
        <f>IF(W18&gt;=2,MATCH(O18*100+2,tblVideos[Cal Key],0),"")</f>
        <v/>
      </c>
      <c r="P22">
        <f>IF(X18&gt;=2,MATCH(P18*100+2,tblVideos[Cal Key],0),"")</f>
        <v/>
      </c>
      <c r="Q22">
        <f>IF(Y18&gt;=2,MATCH(Q18*100+2,tblVideos[Cal Key],0),"")</f>
        <v/>
      </c>
      <c r="S22">
        <f>IF(K22="","",IFERROR(MATCH(INDEX(tblVideos[Channel ID],K22),tblChannels[Channel ID],0),""))</f>
        <v/>
      </c>
      <c r="T22">
        <f>IF(L22="","",IFERROR(MATCH(INDEX(tblVideos[Channel ID],L22),tblChannels[Channel ID],0),""))</f>
        <v/>
      </c>
      <c r="U22">
        <f>IF(M22="","",IFERROR(MATCH(INDEX(tblVideos[Channel ID],M22),tblChannels[Channel ID],0),""))</f>
        <v/>
      </c>
      <c r="V22">
        <f>IF(N22="","",IFERROR(MATCH(INDEX(tblVideos[Channel ID],N22),tblChannels[Channel ID],0),""))</f>
        <v/>
      </c>
      <c r="W22">
        <f>IF(O22="","",IFERROR(MATCH(INDEX(tblVideos[Channel ID],O22),tblChannels[Channel ID],0),""))</f>
        <v/>
      </c>
      <c r="X22">
        <f>IF(P22="","",IFERROR(MATCH(INDEX(tblVideos[Channel ID],P22),tblChannels[Channel ID],0),""))</f>
        <v/>
      </c>
      <c r="Y22">
        <f>IF(Q22="","",IFERROR(MATCH(INDEX(tblVideos[Channel ID],Q22),tblChannels[Channel ID],0),""))</f>
        <v/>
      </c>
    </row>
    <row r="23">
      <c r="B23" s="71">
        <f>IF(K23="","",IF(INDEX(tblVideos[Video ID],K23)="",IF(INDEX(tblVideos[Status],K23)="Watched","✓ ","▸ ")&amp;INDEX(tblVideos[Title],K23),HYPERLINK("https://www.youtube.com/watch?v="&amp;INDEX(tblVideos[Video ID],K23),IF(INDEX(tblVideos[Status],K23)="Watched","✓ ","▸ ")&amp;INDEX(tblVideos[Title],K23))))</f>
        <v/>
      </c>
      <c r="C23" s="71">
        <f>IF(L23="","",IF(INDEX(tblVideos[Video ID],L23)="",IF(INDEX(tblVideos[Status],L23)="Watched","✓ ","▸ ")&amp;INDEX(tblVideos[Title],L23),HYPERLINK("https://www.youtube.com/watch?v="&amp;INDEX(tblVideos[Video ID],L23),IF(INDEX(tblVideos[Status],L23)="Watched","✓ ","▸ ")&amp;INDEX(tblVideos[Title],L23))))</f>
        <v/>
      </c>
      <c r="D23" s="71">
        <f>IF(M23="","",IF(INDEX(tblVideos[Video ID],M23)="",IF(INDEX(tblVideos[Status],M23)="Watched","✓ ","▸ ")&amp;INDEX(tblVideos[Title],M23),HYPERLINK("https://www.youtube.com/watch?v="&amp;INDEX(tblVideos[Video ID],M23),IF(INDEX(tblVideos[Status],M23)="Watched","✓ ","▸ ")&amp;INDEX(tblVideos[Title],M23))))</f>
        <v/>
      </c>
      <c r="E23" s="71">
        <f>IF(N23="","",IF(INDEX(tblVideos[Video ID],N23)="",IF(INDEX(tblVideos[Status],N23)="Watched","✓ ","▸ ")&amp;INDEX(tblVideos[Title],N23),HYPERLINK("https://www.youtube.com/watch?v="&amp;INDEX(tblVideos[Video ID],N23),IF(INDEX(tblVideos[Status],N23)="Watched","✓ ","▸ ")&amp;INDEX(tblVideos[Title],N23))))</f>
        <v/>
      </c>
      <c r="F23" s="71">
        <f>IF(O23="","",IF(INDEX(tblVideos[Video ID],O23)="",IF(INDEX(tblVideos[Status],O23)="Watched","✓ ","▸ ")&amp;INDEX(tblVideos[Title],O23),HYPERLINK("https://www.youtube.com/watch?v="&amp;INDEX(tblVideos[Video ID],O23),IF(INDEX(tblVideos[Status],O23)="Watched","✓ ","▸ ")&amp;INDEX(tblVideos[Title],O23))))</f>
        <v/>
      </c>
      <c r="G23" s="71">
        <f>IF(P23="","",IF(INDEX(tblVideos[Video ID],P23)="",IF(INDEX(tblVideos[Status],P23)="Watched","✓ ","▸ ")&amp;INDEX(tblVideos[Title],P23),HYPERLINK("https://www.youtube.com/watch?v="&amp;INDEX(tblVideos[Video ID],P23),IF(INDEX(tblVideos[Status],P23)="Watched","✓ ","▸ ")&amp;INDEX(tblVideos[Title],P23))))</f>
        <v/>
      </c>
      <c r="H23" s="71">
        <f>IF(Q23="","",IF(INDEX(tblVideos[Video ID],Q23)="",IF(INDEX(tblVideos[Status],Q23)="Watched","✓ ","▸ ")&amp;INDEX(tblVideos[Title],Q23),HYPERLINK("https://www.youtube.com/watch?v="&amp;INDEX(tblVideos[Video ID],Q23),IF(INDEX(tblVideos[Status],Q23)="Watched","✓ ","▸ ")&amp;INDEX(tblVideos[Title],Q23))))</f>
        <v/>
      </c>
      <c r="K23">
        <f>IF(S18&gt;=3,MATCH(K18*100+3,tblVideos[Cal Key],0),"")</f>
        <v/>
      </c>
      <c r="L23">
        <f>IF(T18&gt;=3,MATCH(L18*100+3,tblVideos[Cal Key],0),"")</f>
        <v/>
      </c>
      <c r="M23">
        <f>IF(U18&gt;=3,MATCH(M18*100+3,tblVideos[Cal Key],0),"")</f>
        <v/>
      </c>
      <c r="N23">
        <f>IF(V18&gt;=3,MATCH(N18*100+3,tblVideos[Cal Key],0),"")</f>
        <v/>
      </c>
      <c r="O23">
        <f>IF(W18&gt;=3,MATCH(O18*100+3,tblVideos[Cal Key],0),"")</f>
        <v/>
      </c>
      <c r="P23">
        <f>IF(X18&gt;=3,MATCH(P18*100+3,tblVideos[Cal Key],0),"")</f>
        <v/>
      </c>
      <c r="Q23">
        <f>IF(Y18&gt;=3,MATCH(Q18*100+3,tblVideos[Cal Key],0),"")</f>
        <v/>
      </c>
      <c r="S23">
        <f>IF(K23="","",IFERROR(MATCH(INDEX(tblVideos[Channel ID],K23),tblChannels[Channel ID],0),""))</f>
        <v/>
      </c>
      <c r="T23">
        <f>IF(L23="","",IFERROR(MATCH(INDEX(tblVideos[Channel ID],L23),tblChannels[Channel ID],0),""))</f>
        <v/>
      </c>
      <c r="U23">
        <f>IF(M23="","",IFERROR(MATCH(INDEX(tblVideos[Channel ID],M23),tblChannels[Channel ID],0),""))</f>
        <v/>
      </c>
      <c r="V23">
        <f>IF(N23="","",IFERROR(MATCH(INDEX(tblVideos[Channel ID],N23),tblChannels[Channel ID],0),""))</f>
        <v/>
      </c>
      <c r="W23">
        <f>IF(O23="","",IFERROR(MATCH(INDEX(tblVideos[Channel ID],O23),tblChannels[Channel ID],0),""))</f>
        <v/>
      </c>
      <c r="X23">
        <f>IF(P23="","",IFERROR(MATCH(INDEX(tblVideos[Channel ID],P23),tblChannels[Channel ID],0),""))</f>
        <v/>
      </c>
      <c r="Y23">
        <f>IF(Q23="","",IFERROR(MATCH(INDEX(tblVideos[Channel ID],Q23),tblChannels[Channel ID],0),""))</f>
        <v/>
      </c>
    </row>
    <row r="24">
      <c r="B24" s="71">
        <f>IF(K24="","",IF(INDEX(tblVideos[Video ID],K24)="",IF(INDEX(tblVideos[Status],K24)="Watched","✓ ","▸ ")&amp;INDEX(tblVideos[Title],K24),HYPERLINK("https://www.youtube.com/watch?v="&amp;INDEX(tblVideos[Video ID],K24),IF(INDEX(tblVideos[Status],K24)="Watched","✓ ","▸ ")&amp;INDEX(tblVideos[Title],K24))))</f>
        <v/>
      </c>
      <c r="C24" s="71">
        <f>IF(L24="","",IF(INDEX(tblVideos[Video ID],L24)="",IF(INDEX(tblVideos[Status],L24)="Watched","✓ ","▸ ")&amp;INDEX(tblVideos[Title],L24),HYPERLINK("https://www.youtube.com/watch?v="&amp;INDEX(tblVideos[Video ID],L24),IF(INDEX(tblVideos[Status],L24)="Watched","✓ ","▸ ")&amp;INDEX(tblVideos[Title],L24))))</f>
        <v/>
      </c>
      <c r="D24" s="71">
        <f>IF(M24="","",IF(INDEX(tblVideos[Video ID],M24)="",IF(INDEX(tblVideos[Status],M24)="Watched","✓ ","▸ ")&amp;INDEX(tblVideos[Title],M24),HYPERLINK("https://www.youtube.com/watch?v="&amp;INDEX(tblVideos[Video ID],M24),IF(INDEX(tblVideos[Status],M24)="Watched","✓ ","▸ ")&amp;INDEX(tblVideos[Title],M24))))</f>
        <v/>
      </c>
      <c r="E24" s="71">
        <f>IF(N24="","",IF(INDEX(tblVideos[Video ID],N24)="",IF(INDEX(tblVideos[Status],N24)="Watched","✓ ","▸ ")&amp;INDEX(tblVideos[Title],N24),HYPERLINK("https://www.youtube.com/watch?v="&amp;INDEX(tblVideos[Video ID],N24),IF(INDEX(tblVideos[Status],N24)="Watched","✓ ","▸ ")&amp;INDEX(tblVideos[Title],N24))))</f>
        <v/>
      </c>
      <c r="F24" s="71">
        <f>IF(O24="","",IF(INDEX(tblVideos[Video ID],O24)="",IF(INDEX(tblVideos[Status],O24)="Watched","✓ ","▸ ")&amp;INDEX(tblVideos[Title],O24),HYPERLINK("https://www.youtube.com/watch?v="&amp;INDEX(tblVideos[Video ID],O24),IF(INDEX(tblVideos[Status],O24)="Watched","✓ ","▸ ")&amp;INDEX(tblVideos[Title],O24))))</f>
        <v/>
      </c>
      <c r="G24" s="71">
        <f>IF(P24="","",IF(INDEX(tblVideos[Video ID],P24)="",IF(INDEX(tblVideos[Status],P24)="Watched","✓ ","▸ ")&amp;INDEX(tblVideos[Title],P24),HYPERLINK("https://www.youtube.com/watch?v="&amp;INDEX(tblVideos[Video ID],P24),IF(INDEX(tblVideos[Status],P24)="Watched","✓ ","▸ ")&amp;INDEX(tblVideos[Title],P24))))</f>
        <v/>
      </c>
      <c r="H24" s="71">
        <f>IF(Q24="","",IF(INDEX(tblVideos[Video ID],Q24)="",IF(INDEX(tblVideos[Status],Q24)="Watched","✓ ","▸ ")&amp;INDEX(tblVideos[Title],Q24),HYPERLINK("https://www.youtube.com/watch?v="&amp;INDEX(tblVideos[Video ID],Q24),IF(INDEX(tblVideos[Status],Q24)="Watched","✓ ","▸ ")&amp;INDEX(tblVideos[Title],Q24))))</f>
        <v/>
      </c>
      <c r="K24">
        <f>IF(S18&gt;=4,MATCH(K18*100+4,tblVideos[Cal Key],0),"")</f>
        <v/>
      </c>
      <c r="L24">
        <f>IF(T18&gt;=4,MATCH(L18*100+4,tblVideos[Cal Key],0),"")</f>
        <v/>
      </c>
      <c r="M24">
        <f>IF(U18&gt;=4,MATCH(M18*100+4,tblVideos[Cal Key],0),"")</f>
        <v/>
      </c>
      <c r="N24">
        <f>IF(V18&gt;=4,MATCH(N18*100+4,tblVideos[Cal Key],0),"")</f>
        <v/>
      </c>
      <c r="O24">
        <f>IF(W18&gt;=4,MATCH(O18*100+4,tblVideos[Cal Key],0),"")</f>
        <v/>
      </c>
      <c r="P24">
        <f>IF(X18&gt;=4,MATCH(P18*100+4,tblVideos[Cal Key],0),"")</f>
        <v/>
      </c>
      <c r="Q24">
        <f>IF(Y18&gt;=4,MATCH(Q18*100+4,tblVideos[Cal Key],0),"")</f>
        <v/>
      </c>
      <c r="S24">
        <f>IF(K24="","",IFERROR(MATCH(INDEX(tblVideos[Channel ID],K24),tblChannels[Channel ID],0),""))</f>
        <v/>
      </c>
      <c r="T24">
        <f>IF(L24="","",IFERROR(MATCH(INDEX(tblVideos[Channel ID],L24),tblChannels[Channel ID],0),""))</f>
        <v/>
      </c>
      <c r="U24">
        <f>IF(M24="","",IFERROR(MATCH(INDEX(tblVideos[Channel ID],M24),tblChannels[Channel ID],0),""))</f>
        <v/>
      </c>
      <c r="V24">
        <f>IF(N24="","",IFERROR(MATCH(INDEX(tblVideos[Channel ID],N24),tblChannels[Channel ID],0),""))</f>
        <v/>
      </c>
      <c r="W24">
        <f>IF(O24="","",IFERROR(MATCH(INDEX(tblVideos[Channel ID],O24),tblChannels[Channel ID],0),""))</f>
        <v/>
      </c>
      <c r="X24">
        <f>IF(P24="","",IFERROR(MATCH(INDEX(tblVideos[Channel ID],P24),tblChannels[Channel ID],0),""))</f>
        <v/>
      </c>
      <c r="Y24">
        <f>IF(Q24="","",IFERROR(MATCH(INDEX(tblVideos[Channel ID],Q24),tblChannels[Channel ID],0),""))</f>
        <v/>
      </c>
    </row>
    <row r="25">
      <c r="B25" s="71">
        <f>IF(K25="","",IF(INDEX(tblVideos[Video ID],K25)="",IF(INDEX(tblVideos[Status],K25)="Watched","✓ ","▸ ")&amp;INDEX(tblVideos[Title],K25),HYPERLINK("https://www.youtube.com/watch?v="&amp;INDEX(tblVideos[Video ID],K25),IF(INDEX(tblVideos[Status],K25)="Watched","✓ ","▸ ")&amp;INDEX(tblVideos[Title],K25))))</f>
        <v/>
      </c>
      <c r="C25" s="71">
        <f>IF(L25="","",IF(INDEX(tblVideos[Video ID],L25)="",IF(INDEX(tblVideos[Status],L25)="Watched","✓ ","▸ ")&amp;INDEX(tblVideos[Title],L25),HYPERLINK("https://www.youtube.com/watch?v="&amp;INDEX(tblVideos[Video ID],L25),IF(INDEX(tblVideos[Status],L25)="Watched","✓ ","▸ ")&amp;INDEX(tblVideos[Title],L25))))</f>
        <v/>
      </c>
      <c r="D25" s="71">
        <f>IF(M25="","",IF(INDEX(tblVideos[Video ID],M25)="",IF(INDEX(tblVideos[Status],M25)="Watched","✓ ","▸ ")&amp;INDEX(tblVideos[Title],M25),HYPERLINK("https://www.youtube.com/watch?v="&amp;INDEX(tblVideos[Video ID],M25),IF(INDEX(tblVideos[Status],M25)="Watched","✓ ","▸ ")&amp;INDEX(tblVideos[Title],M25))))</f>
        <v/>
      </c>
      <c r="E25" s="71">
        <f>IF(N25="","",IF(INDEX(tblVideos[Video ID],N25)="",IF(INDEX(tblVideos[Status],N25)="Watched","✓ ","▸ ")&amp;INDEX(tblVideos[Title],N25),HYPERLINK("https://www.youtube.com/watch?v="&amp;INDEX(tblVideos[Video ID],N25),IF(INDEX(tblVideos[Status],N25)="Watched","✓ ","▸ ")&amp;INDEX(tblVideos[Title],N25))))</f>
        <v/>
      </c>
      <c r="F25" s="71">
        <f>IF(O25="","",IF(INDEX(tblVideos[Video ID],O25)="",IF(INDEX(tblVideos[Status],O25)="Watched","✓ ","▸ ")&amp;INDEX(tblVideos[Title],O25),HYPERLINK("https://www.youtube.com/watch?v="&amp;INDEX(tblVideos[Video ID],O25),IF(INDEX(tblVideos[Status],O25)="Watched","✓ ","▸ ")&amp;INDEX(tblVideos[Title],O25))))</f>
        <v/>
      </c>
      <c r="G25" s="71">
        <f>IF(P25="","",IF(INDEX(tblVideos[Video ID],P25)="",IF(INDEX(tblVideos[Status],P25)="Watched","✓ ","▸ ")&amp;INDEX(tblVideos[Title],P25),HYPERLINK("https://www.youtube.com/watch?v="&amp;INDEX(tblVideos[Video ID],P25),IF(INDEX(tblVideos[Status],P25)="Watched","✓ ","▸ ")&amp;INDEX(tblVideos[Title],P25))))</f>
        <v/>
      </c>
      <c r="H25" s="71">
        <f>IF(Q25="","",IF(INDEX(tblVideos[Video ID],Q25)="",IF(INDEX(tblVideos[Status],Q25)="Watched","✓ ","▸ ")&amp;INDEX(tblVideos[Title],Q25),HYPERLINK("https://www.youtube.com/watch?v="&amp;INDEX(tblVideos[Video ID],Q25),IF(INDEX(tblVideos[Status],Q25)="Watched","✓ ","▸ ")&amp;INDEX(tblVideos[Title],Q25))))</f>
        <v/>
      </c>
      <c r="K25">
        <f>IF(S18&gt;=5,MATCH(K18*100+5,tblVideos[Cal Key],0),"")</f>
        <v/>
      </c>
      <c r="L25">
        <f>IF(T18&gt;=5,MATCH(L18*100+5,tblVideos[Cal Key],0),"")</f>
        <v/>
      </c>
      <c r="M25">
        <f>IF(U18&gt;=5,MATCH(M18*100+5,tblVideos[Cal Key],0),"")</f>
        <v/>
      </c>
      <c r="N25">
        <f>IF(V18&gt;=5,MATCH(N18*100+5,tblVideos[Cal Key],0),"")</f>
        <v/>
      </c>
      <c r="O25">
        <f>IF(W18&gt;=5,MATCH(O18*100+5,tblVideos[Cal Key],0),"")</f>
        <v/>
      </c>
      <c r="P25">
        <f>IF(X18&gt;=5,MATCH(P18*100+5,tblVideos[Cal Key],0),"")</f>
        <v/>
      </c>
      <c r="Q25">
        <f>IF(Y18&gt;=5,MATCH(Q18*100+5,tblVideos[Cal Key],0),"")</f>
        <v/>
      </c>
      <c r="S25">
        <f>IF(K25="","",IFERROR(MATCH(INDEX(tblVideos[Channel ID],K25),tblChannels[Channel ID],0),""))</f>
        <v/>
      </c>
      <c r="T25">
        <f>IF(L25="","",IFERROR(MATCH(INDEX(tblVideos[Channel ID],L25),tblChannels[Channel ID],0),""))</f>
        <v/>
      </c>
      <c r="U25">
        <f>IF(M25="","",IFERROR(MATCH(INDEX(tblVideos[Channel ID],M25),tblChannels[Channel ID],0),""))</f>
        <v/>
      </c>
      <c r="V25">
        <f>IF(N25="","",IFERROR(MATCH(INDEX(tblVideos[Channel ID],N25),tblChannels[Channel ID],0),""))</f>
        <v/>
      </c>
      <c r="W25">
        <f>IF(O25="","",IFERROR(MATCH(INDEX(tblVideos[Channel ID],O25),tblChannels[Channel ID],0),""))</f>
        <v/>
      </c>
      <c r="X25">
        <f>IF(P25="","",IFERROR(MATCH(INDEX(tblVideos[Channel ID],P25),tblChannels[Channel ID],0),""))</f>
        <v/>
      </c>
      <c r="Y25">
        <f>IF(Q25="","",IFERROR(MATCH(INDEX(tblVideos[Channel ID],Q25),tblChannels[Channel ID],0),""))</f>
        <v/>
      </c>
    </row>
    <row r="26" ht="18" customHeight="1">
      <c r="B26" s="69">
        <f>IF(MONTH(K26)=MONTH($K$2),DAY(K26)&amp;IF(S26&gt;0,"   ·   "&amp;S26&amp;IF(S26=1," video"," videos")&amp;"   ·   "&amp;IF(ROUND((AA26)*1440,0)&lt;60,ROUND((AA26)*1440,0)&amp;" m",IF(MOD(ROUND((AA26)*1440,0),60)=0,INT(ROUND((AA26)*1440,0)/60)&amp;" h",INT(ROUND((AA26)*1440,0)/60)&amp;" h "&amp;MOD(ROUND((AA26)*1440,0),60)&amp;" m"))&amp;IF(S26&gt;5,"   (+"&amp;(S26-5)&amp;" more)",""),""),"")</f>
        <v/>
      </c>
      <c r="C26" s="69">
        <f>IF(MONTH(L26)=MONTH($K$2),DAY(L26)&amp;IF(T26&gt;0,"   ·   "&amp;T26&amp;IF(T26=1," video"," videos")&amp;"   ·   "&amp;IF(ROUND((AB26)*1440,0)&lt;60,ROUND((AB26)*1440,0)&amp;" m",IF(MOD(ROUND((AB26)*1440,0),60)=0,INT(ROUND((AB26)*1440,0)/60)&amp;" h",INT(ROUND((AB26)*1440,0)/60)&amp;" h "&amp;MOD(ROUND((AB26)*1440,0),60)&amp;" m"))&amp;IF(T26&gt;5,"   (+"&amp;(T26-5)&amp;" more)",""),""),"")</f>
        <v/>
      </c>
      <c r="D26" s="69">
        <f>IF(MONTH(M26)=MONTH($K$2),DAY(M26)&amp;IF(U26&gt;0,"   ·   "&amp;U26&amp;IF(U26=1," video"," videos")&amp;"   ·   "&amp;IF(ROUND((AC26)*1440,0)&lt;60,ROUND((AC26)*1440,0)&amp;" m",IF(MOD(ROUND((AC26)*1440,0),60)=0,INT(ROUND((AC26)*1440,0)/60)&amp;" h",INT(ROUND((AC26)*1440,0)/60)&amp;" h "&amp;MOD(ROUND((AC26)*1440,0),60)&amp;" m"))&amp;IF(U26&gt;5,"   (+"&amp;(U26-5)&amp;" more)",""),""),"")</f>
        <v/>
      </c>
      <c r="E26" s="69">
        <f>IF(MONTH(N26)=MONTH($K$2),DAY(N26)&amp;IF(V26&gt;0,"   ·   "&amp;V26&amp;IF(V26=1," video"," videos")&amp;"   ·   "&amp;IF(ROUND((AD26)*1440,0)&lt;60,ROUND((AD26)*1440,0)&amp;" m",IF(MOD(ROUND((AD26)*1440,0),60)=0,INT(ROUND((AD26)*1440,0)/60)&amp;" h",INT(ROUND((AD26)*1440,0)/60)&amp;" h "&amp;MOD(ROUND((AD26)*1440,0),60)&amp;" m"))&amp;IF(V26&gt;5,"   (+"&amp;(V26-5)&amp;" more)",""),""),"")</f>
        <v/>
      </c>
      <c r="F26" s="69">
        <f>IF(MONTH(O26)=MONTH($K$2),DAY(O26)&amp;IF(W26&gt;0,"   ·   "&amp;W26&amp;IF(W26=1," video"," videos")&amp;"   ·   "&amp;IF(ROUND((AE26)*1440,0)&lt;60,ROUND((AE26)*1440,0)&amp;" m",IF(MOD(ROUND((AE26)*1440,0),60)=0,INT(ROUND((AE26)*1440,0)/60)&amp;" h",INT(ROUND((AE26)*1440,0)/60)&amp;" h "&amp;MOD(ROUND((AE26)*1440,0),60)&amp;" m"))&amp;IF(W26&gt;5,"   (+"&amp;(W26-5)&amp;" more)",""),""),"")</f>
        <v/>
      </c>
      <c r="G26" s="69">
        <f>IF(MONTH(P26)=MONTH($K$2),DAY(P26)&amp;IF(X26&gt;0,"   ·   "&amp;X26&amp;IF(X26=1," video"," videos")&amp;"   ·   "&amp;IF(ROUND((AF26)*1440,0)&lt;60,ROUND((AF26)*1440,0)&amp;" m",IF(MOD(ROUND((AF26)*1440,0),60)=0,INT(ROUND((AF26)*1440,0)/60)&amp;" h",INT(ROUND((AF26)*1440,0)/60)&amp;" h "&amp;MOD(ROUND((AF26)*1440,0),60)&amp;" m"))&amp;IF(X26&gt;5,"   (+"&amp;(X26-5)&amp;" more)",""),""),"")</f>
        <v/>
      </c>
      <c r="H26" s="69">
        <f>IF(MONTH(Q26)=MONTH($K$2),DAY(Q26)&amp;IF(Y26&gt;0,"   ·   "&amp;Y26&amp;IF(Y26=1," video"," videos")&amp;"   ·   "&amp;IF(ROUND((AG26)*1440,0)&lt;60,ROUND((AG26)*1440,0)&amp;" m",IF(MOD(ROUND((AG26)*1440,0),60)=0,INT(ROUND((AG26)*1440,0)/60)&amp;" h",INT(ROUND((AG26)*1440,0)/60)&amp;" h "&amp;MOD(ROUND((AG26)*1440,0),60)&amp;" m"))&amp;IF(Y26&gt;5,"   (+"&amp;(Y26-5)&amp;" more)",""),""),"")</f>
        <v/>
      </c>
      <c r="K26" s="59">
        <f>$K$3+14</f>
        <v/>
      </c>
      <c r="L26" s="59">
        <f>$K$3+15</f>
        <v/>
      </c>
      <c r="M26" s="59">
        <f>$K$3+16</f>
        <v/>
      </c>
      <c r="N26" s="59">
        <f>$K$3+17</f>
        <v/>
      </c>
      <c r="O26" s="59">
        <f>$K$3+18</f>
        <v/>
      </c>
      <c r="P26" s="59">
        <f>$K$3+19</f>
        <v/>
      </c>
      <c r="Q26" s="59">
        <f>$K$3+20</f>
        <v/>
      </c>
      <c r="S26">
        <f>IF(MONTH(K26)=MONTH($K$2),COUNTIFS(tblVideos[Day],K26,tblVideos[Channel ID],$K$4),0)</f>
        <v/>
      </c>
      <c r="T26">
        <f>IF(MONTH(L26)=MONTH($K$2),COUNTIFS(tblVideos[Day],L26,tblVideos[Channel ID],$K$4),0)</f>
        <v/>
      </c>
      <c r="U26">
        <f>IF(MONTH(M26)=MONTH($K$2),COUNTIFS(tblVideos[Day],M26,tblVideos[Channel ID],$K$4),0)</f>
        <v/>
      </c>
      <c r="V26">
        <f>IF(MONTH(N26)=MONTH($K$2),COUNTIFS(tblVideos[Day],N26,tblVideos[Channel ID],$K$4),0)</f>
        <v/>
      </c>
      <c r="W26">
        <f>IF(MONTH(O26)=MONTH($K$2),COUNTIFS(tblVideos[Day],O26,tblVideos[Channel ID],$K$4),0)</f>
        <v/>
      </c>
      <c r="X26">
        <f>IF(MONTH(P26)=MONTH($K$2),COUNTIFS(tblVideos[Day],P26,tblVideos[Channel ID],$K$4),0)</f>
        <v/>
      </c>
      <c r="Y26">
        <f>IF(MONTH(Q26)=MONTH($K$2),COUNTIFS(tblVideos[Day],Q26,tblVideos[Channel ID],$K$4),0)</f>
        <v/>
      </c>
      <c r="AA26">
        <f>IF(S26&gt;0,SUMIFS(tblVideos[Length],tblVideos[Day],K26,tblVideos[Channel ID],$K$4),0)</f>
        <v/>
      </c>
      <c r="AB26">
        <f>IF(T26&gt;0,SUMIFS(tblVideos[Length],tblVideos[Day],L26,tblVideos[Channel ID],$K$4),0)</f>
        <v/>
      </c>
      <c r="AC26">
        <f>IF(U26&gt;0,SUMIFS(tblVideos[Length],tblVideos[Day],M26,tblVideos[Channel ID],$K$4),0)</f>
        <v/>
      </c>
      <c r="AD26">
        <f>IF(V26&gt;0,SUMIFS(tblVideos[Length],tblVideos[Day],N26,tblVideos[Channel ID],$K$4),0)</f>
        <v/>
      </c>
      <c r="AE26">
        <f>IF(W26&gt;0,SUMIFS(tblVideos[Length],tblVideos[Day],O26,tblVideos[Channel ID],$K$4),0)</f>
        <v/>
      </c>
      <c r="AF26">
        <f>IF(X26&gt;0,SUMIFS(tblVideos[Length],tblVideos[Day],P26,tblVideos[Channel ID],$K$4),0)</f>
        <v/>
      </c>
      <c r="AG26">
        <f>IF(Y26&gt;0,SUMIFS(tblVideos[Length],tblVideos[Day],Q26,tblVideos[Channel ID],$K$4),0)</f>
        <v/>
      </c>
    </row>
    <row r="27" ht="14" customHeight="1">
      <c r="B27" s="70">
        <f>IF(K27="","",IF(LEFT(INDEX(Events!$F$6:$F$598,K27),4)="http",HYPERLINK(INDEX(Events!$F$6:$F$598,K27),IFERROR(INDEX(Lists!$H$1:$H$7,S27),"")&amp;" "&amp;SUBSTITUTE(INDEX(Events!$C$6:$C$598,K27),"{n}",YEAR(INDEX(EventGrid!$E$4:$E$596,K27))-YEAR(INDEX(Events!$A$6:$A$598,K27)))),IFERROR(INDEX(Lists!$H$1:$H$7,S27),"")&amp;" "&amp;SUBSTITUTE(INDEX(Events!$C$6:$C$598,K27),"{n}",YEAR(INDEX(EventGrid!$E$4:$E$596,K27))-YEAR(INDEX(Events!$A$6:$A$598,K27)))))</f>
        <v/>
      </c>
      <c r="C27" s="70">
        <f>IF(L27="","",IF(LEFT(INDEX(Events!$F$6:$F$598,L27),4)="http",HYPERLINK(INDEX(Events!$F$6:$F$598,L27),IFERROR(INDEX(Lists!$H$1:$H$7,T27),"")&amp;" "&amp;SUBSTITUTE(INDEX(Events!$C$6:$C$598,L27),"{n}",YEAR(INDEX(EventGrid!$E$4:$E$596,L27))-YEAR(INDEX(Events!$A$6:$A$598,L27)))),IFERROR(INDEX(Lists!$H$1:$H$7,T27),"")&amp;" "&amp;SUBSTITUTE(INDEX(Events!$C$6:$C$598,L27),"{n}",YEAR(INDEX(EventGrid!$E$4:$E$596,L27))-YEAR(INDEX(Events!$A$6:$A$598,L27)))))</f>
        <v/>
      </c>
      <c r="D27" s="70">
        <f>IF(M27="","",IF(LEFT(INDEX(Events!$F$6:$F$598,M27),4)="http",HYPERLINK(INDEX(Events!$F$6:$F$598,M27),IFERROR(INDEX(Lists!$H$1:$H$7,U27),"")&amp;" "&amp;SUBSTITUTE(INDEX(Events!$C$6:$C$598,M27),"{n}",YEAR(INDEX(EventGrid!$E$4:$E$596,M27))-YEAR(INDEX(Events!$A$6:$A$598,M27)))),IFERROR(INDEX(Lists!$H$1:$H$7,U27),"")&amp;" "&amp;SUBSTITUTE(INDEX(Events!$C$6:$C$598,M27),"{n}",YEAR(INDEX(EventGrid!$E$4:$E$596,M27))-YEAR(INDEX(Events!$A$6:$A$598,M27)))))</f>
        <v/>
      </c>
      <c r="E27" s="70">
        <f>IF(N27="","",IF(LEFT(INDEX(Events!$F$6:$F$598,N27),4)="http",HYPERLINK(INDEX(Events!$F$6:$F$598,N27),IFERROR(INDEX(Lists!$H$1:$H$7,V27),"")&amp;" "&amp;SUBSTITUTE(INDEX(Events!$C$6:$C$598,N27),"{n}",YEAR(INDEX(EventGrid!$E$4:$E$596,N27))-YEAR(INDEX(Events!$A$6:$A$598,N27)))),IFERROR(INDEX(Lists!$H$1:$H$7,V27),"")&amp;" "&amp;SUBSTITUTE(INDEX(Events!$C$6:$C$598,N27),"{n}",YEAR(INDEX(EventGrid!$E$4:$E$596,N27))-YEAR(INDEX(Events!$A$6:$A$598,N27)))))</f>
        <v/>
      </c>
      <c r="F27" s="70">
        <f>IF(O27="","",IF(LEFT(INDEX(Events!$F$6:$F$598,O27),4)="http",HYPERLINK(INDEX(Events!$F$6:$F$598,O27),IFERROR(INDEX(Lists!$H$1:$H$7,W27),"")&amp;" "&amp;SUBSTITUTE(INDEX(Events!$C$6:$C$598,O27),"{n}",YEAR(INDEX(EventGrid!$E$4:$E$596,O27))-YEAR(INDEX(Events!$A$6:$A$598,O27)))),IFERROR(INDEX(Lists!$H$1:$H$7,W27),"")&amp;" "&amp;SUBSTITUTE(INDEX(Events!$C$6:$C$598,O27),"{n}",YEAR(INDEX(EventGrid!$E$4:$E$596,O27))-YEAR(INDEX(Events!$A$6:$A$598,O27)))))</f>
        <v/>
      </c>
      <c r="G27" s="70">
        <f>IF(P27="","",IF(LEFT(INDEX(Events!$F$6:$F$598,P27),4)="http",HYPERLINK(INDEX(Events!$F$6:$F$598,P27),IFERROR(INDEX(Lists!$H$1:$H$7,X27),"")&amp;" "&amp;SUBSTITUTE(INDEX(Events!$C$6:$C$598,P27),"{n}",YEAR(INDEX(EventGrid!$E$4:$E$596,P27))-YEAR(INDEX(Events!$A$6:$A$598,P27)))),IFERROR(INDEX(Lists!$H$1:$H$7,X27),"")&amp;" "&amp;SUBSTITUTE(INDEX(Events!$C$6:$C$598,P27),"{n}",YEAR(INDEX(EventGrid!$E$4:$E$596,P27))-YEAR(INDEX(Events!$A$6:$A$598,P27)))))</f>
        <v/>
      </c>
      <c r="H27" s="70">
        <f>IF(Q27="","",IF(LEFT(INDEX(Events!$F$6:$F$598,Q27),4)="http",HYPERLINK(INDEX(Events!$F$6:$F$598,Q27),IFERROR(INDEX(Lists!$H$1:$H$7,Y27),"")&amp;" "&amp;SUBSTITUTE(INDEX(Events!$C$6:$C$598,Q27),"{n}",YEAR(INDEX(EventGrid!$E$4:$E$596,Q27))-YEAR(INDEX(Events!$A$6:$A$598,Q27)))),IFERROR(INDEX(Lists!$H$1:$H$7,Y27),"")&amp;" "&amp;SUBSTITUTE(INDEX(Events!$C$6:$C$598,Q27),"{n}",YEAR(INDEX(EventGrid!$E$4:$E$596,Q27))-YEAR(INDEX(Events!$A$6:$A$598,Q27)))))</f>
        <v/>
      </c>
      <c r="K27">
        <f>IF(MONTH(K26)=MONTH($K$2),IFERROR(MATCH(1,EventGrid!V$3:V$596,0)-1,""),"")</f>
        <v/>
      </c>
      <c r="L27">
        <f>IF(MONTH(L26)=MONTH($K$2),IFERROR(MATCH(1,EventGrid!W$3:W$596,0)-1,""),"")</f>
        <v/>
      </c>
      <c r="M27">
        <f>IF(MONTH(M26)=MONTH($K$2),IFERROR(MATCH(1,EventGrid!X$3:X$596,0)-1,""),"")</f>
        <v/>
      </c>
      <c r="N27">
        <f>IF(MONTH(N26)=MONTH($K$2),IFERROR(MATCH(1,EventGrid!Y$3:Y$596,0)-1,""),"")</f>
        <v/>
      </c>
      <c r="O27">
        <f>IF(MONTH(O26)=MONTH($K$2),IFERROR(MATCH(1,EventGrid!Z$3:Z$596,0)-1,""),"")</f>
        <v/>
      </c>
      <c r="P27">
        <f>IF(MONTH(P26)=MONTH($K$2),IFERROR(MATCH(1,EventGrid!AA$3:AA$596,0)-1,""),"")</f>
        <v/>
      </c>
      <c r="Q27">
        <f>IF(MONTH(Q26)=MONTH($K$2),IFERROR(MATCH(1,EventGrid!AB$3:AB$596,0)-1,""),"")</f>
        <v/>
      </c>
      <c r="S27">
        <f>IF(K27="","",IFERROR(MATCH(INDEX(Events!$D$6:$D$598,K27),Lists!$G$1:$G$7,0),""))</f>
        <v/>
      </c>
      <c r="T27">
        <f>IF(L27="","",IFERROR(MATCH(INDEX(Events!$D$6:$D$598,L27),Lists!$G$1:$G$7,0),""))</f>
        <v/>
      </c>
      <c r="U27">
        <f>IF(M27="","",IFERROR(MATCH(INDEX(Events!$D$6:$D$598,M27),Lists!$G$1:$G$7,0),""))</f>
        <v/>
      </c>
      <c r="V27">
        <f>IF(N27="","",IFERROR(MATCH(INDEX(Events!$D$6:$D$598,N27),Lists!$G$1:$G$7,0),""))</f>
        <v/>
      </c>
      <c r="W27">
        <f>IF(O27="","",IFERROR(MATCH(INDEX(Events!$D$6:$D$598,O27),Lists!$G$1:$G$7,0),""))</f>
        <v/>
      </c>
      <c r="X27">
        <f>IF(P27="","",IFERROR(MATCH(INDEX(Events!$D$6:$D$598,P27),Lists!$G$1:$G$7,0),""))</f>
        <v/>
      </c>
      <c r="Y27">
        <f>IF(Q27="","",IFERROR(MATCH(INDEX(Events!$D$6:$D$598,Q27),Lists!$G$1:$G$7,0),""))</f>
        <v/>
      </c>
    </row>
    <row r="28" ht="14" customHeight="1">
      <c r="B28" s="70">
        <f>IF(K28="","",IF(LEFT(INDEX(Events!$F$6:$F$598,K28),4)="http",HYPERLINK(INDEX(Events!$F$6:$F$598,K28),IFERROR(INDEX(Lists!$H$1:$H$7,S28),"")&amp;" "&amp;SUBSTITUTE(INDEX(Events!$C$6:$C$598,K28),"{n}",YEAR(INDEX(EventGrid!$E$4:$E$596,K28))-YEAR(INDEX(Events!$A$6:$A$598,K28)))&amp;IF(EventGrid!V$596&gt;2," (+"&amp;(EventGrid!V$596-2)&amp;" more)","")),IFERROR(INDEX(Lists!$H$1:$H$7,S28),"")&amp;" "&amp;SUBSTITUTE(INDEX(Events!$C$6:$C$598,K28),"{n}",YEAR(INDEX(EventGrid!$E$4:$E$596,K28))-YEAR(INDEX(Events!$A$6:$A$598,K28)))&amp;IF(EventGrid!V$596&gt;2," (+"&amp;(EventGrid!V$596-2)&amp;" more)","")))</f>
        <v/>
      </c>
      <c r="C28" s="70">
        <f>IF(L28="","",IF(LEFT(INDEX(Events!$F$6:$F$598,L28),4)="http",HYPERLINK(INDEX(Events!$F$6:$F$598,L28),IFERROR(INDEX(Lists!$H$1:$H$7,T28),"")&amp;" "&amp;SUBSTITUTE(INDEX(Events!$C$6:$C$598,L28),"{n}",YEAR(INDEX(EventGrid!$E$4:$E$596,L28))-YEAR(INDEX(Events!$A$6:$A$598,L28)))&amp;IF(EventGrid!W$596&gt;2," (+"&amp;(EventGrid!W$596-2)&amp;" more)","")),IFERROR(INDEX(Lists!$H$1:$H$7,T28),"")&amp;" "&amp;SUBSTITUTE(INDEX(Events!$C$6:$C$598,L28),"{n}",YEAR(INDEX(EventGrid!$E$4:$E$596,L28))-YEAR(INDEX(Events!$A$6:$A$598,L28)))&amp;IF(EventGrid!W$596&gt;2," (+"&amp;(EventGrid!W$596-2)&amp;" more)","")))</f>
        <v/>
      </c>
      <c r="D28" s="70">
        <f>IF(M28="","",IF(LEFT(INDEX(Events!$F$6:$F$598,M28),4)="http",HYPERLINK(INDEX(Events!$F$6:$F$598,M28),IFERROR(INDEX(Lists!$H$1:$H$7,U28),"")&amp;" "&amp;SUBSTITUTE(INDEX(Events!$C$6:$C$598,M28),"{n}",YEAR(INDEX(EventGrid!$E$4:$E$596,M28))-YEAR(INDEX(Events!$A$6:$A$598,M28)))&amp;IF(EventGrid!X$596&gt;2," (+"&amp;(EventGrid!X$596-2)&amp;" more)","")),IFERROR(INDEX(Lists!$H$1:$H$7,U28),"")&amp;" "&amp;SUBSTITUTE(INDEX(Events!$C$6:$C$598,M28),"{n}",YEAR(INDEX(EventGrid!$E$4:$E$596,M28))-YEAR(INDEX(Events!$A$6:$A$598,M28)))&amp;IF(EventGrid!X$596&gt;2," (+"&amp;(EventGrid!X$596-2)&amp;" more)","")))</f>
        <v/>
      </c>
      <c r="E28" s="70">
        <f>IF(N28="","",IF(LEFT(INDEX(Events!$F$6:$F$598,N28),4)="http",HYPERLINK(INDEX(Events!$F$6:$F$598,N28),IFERROR(INDEX(Lists!$H$1:$H$7,V28),"")&amp;" "&amp;SUBSTITUTE(INDEX(Events!$C$6:$C$598,N28),"{n}",YEAR(INDEX(EventGrid!$E$4:$E$596,N28))-YEAR(INDEX(Events!$A$6:$A$598,N28)))&amp;IF(EventGrid!Y$596&gt;2," (+"&amp;(EventGrid!Y$596-2)&amp;" more)","")),IFERROR(INDEX(Lists!$H$1:$H$7,V28),"")&amp;" "&amp;SUBSTITUTE(INDEX(Events!$C$6:$C$598,N28),"{n}",YEAR(INDEX(EventGrid!$E$4:$E$596,N28))-YEAR(INDEX(Events!$A$6:$A$598,N28)))&amp;IF(EventGrid!Y$596&gt;2," (+"&amp;(EventGrid!Y$596-2)&amp;" more)","")))</f>
        <v/>
      </c>
      <c r="F28" s="70">
        <f>IF(O28="","",IF(LEFT(INDEX(Events!$F$6:$F$598,O28),4)="http",HYPERLINK(INDEX(Events!$F$6:$F$598,O28),IFERROR(INDEX(Lists!$H$1:$H$7,W28),"")&amp;" "&amp;SUBSTITUTE(INDEX(Events!$C$6:$C$598,O28),"{n}",YEAR(INDEX(EventGrid!$E$4:$E$596,O28))-YEAR(INDEX(Events!$A$6:$A$598,O28)))&amp;IF(EventGrid!Z$596&gt;2," (+"&amp;(EventGrid!Z$596-2)&amp;" more)","")),IFERROR(INDEX(Lists!$H$1:$H$7,W28),"")&amp;" "&amp;SUBSTITUTE(INDEX(Events!$C$6:$C$598,O28),"{n}",YEAR(INDEX(EventGrid!$E$4:$E$596,O28))-YEAR(INDEX(Events!$A$6:$A$598,O28)))&amp;IF(EventGrid!Z$596&gt;2," (+"&amp;(EventGrid!Z$596-2)&amp;" more)","")))</f>
        <v/>
      </c>
      <c r="G28" s="70">
        <f>IF(P28="","",IF(LEFT(INDEX(Events!$F$6:$F$598,P28),4)="http",HYPERLINK(INDEX(Events!$F$6:$F$598,P28),IFERROR(INDEX(Lists!$H$1:$H$7,X28),"")&amp;" "&amp;SUBSTITUTE(INDEX(Events!$C$6:$C$598,P28),"{n}",YEAR(INDEX(EventGrid!$E$4:$E$596,P28))-YEAR(INDEX(Events!$A$6:$A$598,P28)))&amp;IF(EventGrid!AA$596&gt;2," (+"&amp;(EventGrid!AA$596-2)&amp;" more)","")),IFERROR(INDEX(Lists!$H$1:$H$7,X28),"")&amp;" "&amp;SUBSTITUTE(INDEX(Events!$C$6:$C$598,P28),"{n}",YEAR(INDEX(EventGrid!$E$4:$E$596,P28))-YEAR(INDEX(Events!$A$6:$A$598,P28)))&amp;IF(EventGrid!AA$596&gt;2," (+"&amp;(EventGrid!AA$596-2)&amp;" more)","")))</f>
        <v/>
      </c>
      <c r="H28" s="70">
        <f>IF(Q28="","",IF(LEFT(INDEX(Events!$F$6:$F$598,Q28),4)="http",HYPERLINK(INDEX(Events!$F$6:$F$598,Q28),IFERROR(INDEX(Lists!$H$1:$H$7,Y28),"")&amp;" "&amp;SUBSTITUTE(INDEX(Events!$C$6:$C$598,Q28),"{n}",YEAR(INDEX(EventGrid!$E$4:$E$596,Q28))-YEAR(INDEX(Events!$A$6:$A$598,Q28)))&amp;IF(EventGrid!AB$596&gt;2," (+"&amp;(EventGrid!AB$596-2)&amp;" more)","")),IFERROR(INDEX(Lists!$H$1:$H$7,Y28),"")&amp;" "&amp;SUBSTITUTE(INDEX(Events!$C$6:$C$598,Q28),"{n}",YEAR(INDEX(EventGrid!$E$4:$E$596,Q28))-YEAR(INDEX(Events!$A$6:$A$598,Q28)))&amp;IF(EventGrid!AB$596&gt;2," (+"&amp;(EventGrid!AB$596-2)&amp;" more)","")))</f>
        <v/>
      </c>
      <c r="K28">
        <f>IF(MONTH(K26)=MONTH($K$2),IFERROR(MATCH(2,EventGrid!V$3:V$596,0)-1,""),"")</f>
        <v/>
      </c>
      <c r="L28">
        <f>IF(MONTH(L26)=MONTH($K$2),IFERROR(MATCH(2,EventGrid!W$3:W$596,0)-1,""),"")</f>
        <v/>
      </c>
      <c r="M28">
        <f>IF(MONTH(M26)=MONTH($K$2),IFERROR(MATCH(2,EventGrid!X$3:X$596,0)-1,""),"")</f>
        <v/>
      </c>
      <c r="N28">
        <f>IF(MONTH(N26)=MONTH($K$2),IFERROR(MATCH(2,EventGrid!Y$3:Y$596,0)-1,""),"")</f>
        <v/>
      </c>
      <c r="O28">
        <f>IF(MONTH(O26)=MONTH($K$2),IFERROR(MATCH(2,EventGrid!Z$3:Z$596,0)-1,""),"")</f>
        <v/>
      </c>
      <c r="P28">
        <f>IF(MONTH(P26)=MONTH($K$2),IFERROR(MATCH(2,EventGrid!AA$3:AA$596,0)-1,""),"")</f>
        <v/>
      </c>
      <c r="Q28">
        <f>IF(MONTH(Q26)=MONTH($K$2),IFERROR(MATCH(2,EventGrid!AB$3:AB$596,0)-1,""),"")</f>
        <v/>
      </c>
      <c r="S28">
        <f>IF(K28="","",IFERROR(MATCH(INDEX(Events!$D$6:$D$598,K28),Lists!$G$1:$G$7,0),""))</f>
        <v/>
      </c>
      <c r="T28">
        <f>IF(L28="","",IFERROR(MATCH(INDEX(Events!$D$6:$D$598,L28),Lists!$G$1:$G$7,0),""))</f>
        <v/>
      </c>
      <c r="U28">
        <f>IF(M28="","",IFERROR(MATCH(INDEX(Events!$D$6:$D$598,M28),Lists!$G$1:$G$7,0),""))</f>
        <v/>
      </c>
      <c r="V28">
        <f>IF(N28="","",IFERROR(MATCH(INDEX(Events!$D$6:$D$598,N28),Lists!$G$1:$G$7,0),""))</f>
        <v/>
      </c>
      <c r="W28">
        <f>IF(O28="","",IFERROR(MATCH(INDEX(Events!$D$6:$D$598,O28),Lists!$G$1:$G$7,0),""))</f>
        <v/>
      </c>
      <c r="X28">
        <f>IF(P28="","",IFERROR(MATCH(INDEX(Events!$D$6:$D$598,P28),Lists!$G$1:$G$7,0),""))</f>
        <v/>
      </c>
      <c r="Y28">
        <f>IF(Q28="","",IFERROR(MATCH(INDEX(Events!$D$6:$D$598,Q28),Lists!$G$1:$G$7,0),""))</f>
        <v/>
      </c>
    </row>
    <row r="29">
      <c r="B29" s="71">
        <f>IF(K29="","",IF(INDEX(tblVideos[Video ID],K29)="",IF(INDEX(tblVideos[Status],K29)="Watched","✓ ","▸ ")&amp;INDEX(tblVideos[Title],K29),HYPERLINK("https://www.youtube.com/watch?v="&amp;INDEX(tblVideos[Video ID],K29),IF(INDEX(tblVideos[Status],K29)="Watched","✓ ","▸ ")&amp;INDEX(tblVideos[Title],K29))))</f>
        <v/>
      </c>
      <c r="C29" s="71">
        <f>IF(L29="","",IF(INDEX(tblVideos[Video ID],L29)="",IF(INDEX(tblVideos[Status],L29)="Watched","✓ ","▸ ")&amp;INDEX(tblVideos[Title],L29),HYPERLINK("https://www.youtube.com/watch?v="&amp;INDEX(tblVideos[Video ID],L29),IF(INDEX(tblVideos[Status],L29)="Watched","✓ ","▸ ")&amp;INDEX(tblVideos[Title],L29))))</f>
        <v/>
      </c>
      <c r="D29" s="71">
        <f>IF(M29="","",IF(INDEX(tblVideos[Video ID],M29)="",IF(INDEX(tblVideos[Status],M29)="Watched","✓ ","▸ ")&amp;INDEX(tblVideos[Title],M29),HYPERLINK("https://www.youtube.com/watch?v="&amp;INDEX(tblVideos[Video ID],M29),IF(INDEX(tblVideos[Status],M29)="Watched","✓ ","▸ ")&amp;INDEX(tblVideos[Title],M29))))</f>
        <v/>
      </c>
      <c r="E29" s="71">
        <f>IF(N29="","",IF(INDEX(tblVideos[Video ID],N29)="",IF(INDEX(tblVideos[Status],N29)="Watched","✓ ","▸ ")&amp;INDEX(tblVideos[Title],N29),HYPERLINK("https://www.youtube.com/watch?v="&amp;INDEX(tblVideos[Video ID],N29),IF(INDEX(tblVideos[Status],N29)="Watched","✓ ","▸ ")&amp;INDEX(tblVideos[Title],N29))))</f>
        <v/>
      </c>
      <c r="F29" s="71">
        <f>IF(O29="","",IF(INDEX(tblVideos[Video ID],O29)="",IF(INDEX(tblVideos[Status],O29)="Watched","✓ ","▸ ")&amp;INDEX(tblVideos[Title],O29),HYPERLINK("https://www.youtube.com/watch?v="&amp;INDEX(tblVideos[Video ID],O29),IF(INDEX(tblVideos[Status],O29)="Watched","✓ ","▸ ")&amp;INDEX(tblVideos[Title],O29))))</f>
        <v/>
      </c>
      <c r="G29" s="71">
        <f>IF(P29="","",IF(INDEX(tblVideos[Video ID],P29)="",IF(INDEX(tblVideos[Status],P29)="Watched","✓ ","▸ ")&amp;INDEX(tblVideos[Title],P29),HYPERLINK("https://www.youtube.com/watch?v="&amp;INDEX(tblVideos[Video ID],P29),IF(INDEX(tblVideos[Status],P29)="Watched","✓ ","▸ ")&amp;INDEX(tblVideos[Title],P29))))</f>
        <v/>
      </c>
      <c r="H29" s="71">
        <f>IF(Q29="","",IF(INDEX(tblVideos[Video ID],Q29)="",IF(INDEX(tblVideos[Status],Q29)="Watched","✓ ","▸ ")&amp;INDEX(tblVideos[Title],Q29),HYPERLINK("https://www.youtube.com/watch?v="&amp;INDEX(tblVideos[Video ID],Q29),IF(INDEX(tblVideos[Status],Q29)="Watched","✓ ","▸ ")&amp;INDEX(tblVideos[Title],Q29))))</f>
        <v/>
      </c>
      <c r="K29">
        <f>IF(S26&gt;=1,MATCH(K26*100+1,tblVideos[Cal Key],0),"")</f>
        <v/>
      </c>
      <c r="L29">
        <f>IF(T26&gt;=1,MATCH(L26*100+1,tblVideos[Cal Key],0),"")</f>
        <v/>
      </c>
      <c r="M29">
        <f>IF(U26&gt;=1,MATCH(M26*100+1,tblVideos[Cal Key],0),"")</f>
        <v/>
      </c>
      <c r="N29">
        <f>IF(V26&gt;=1,MATCH(N26*100+1,tblVideos[Cal Key],0),"")</f>
        <v/>
      </c>
      <c r="O29">
        <f>IF(W26&gt;=1,MATCH(O26*100+1,tblVideos[Cal Key],0),"")</f>
        <v/>
      </c>
      <c r="P29">
        <f>IF(X26&gt;=1,MATCH(P26*100+1,tblVideos[Cal Key],0),"")</f>
        <v/>
      </c>
      <c r="Q29">
        <f>IF(Y26&gt;=1,MATCH(Q26*100+1,tblVideos[Cal Key],0),"")</f>
        <v/>
      </c>
      <c r="S29">
        <f>IF(K29="","",IFERROR(MATCH(INDEX(tblVideos[Channel ID],K29),tblChannels[Channel ID],0),""))</f>
        <v/>
      </c>
      <c r="T29">
        <f>IF(L29="","",IFERROR(MATCH(INDEX(tblVideos[Channel ID],L29),tblChannels[Channel ID],0),""))</f>
        <v/>
      </c>
      <c r="U29">
        <f>IF(M29="","",IFERROR(MATCH(INDEX(tblVideos[Channel ID],M29),tblChannels[Channel ID],0),""))</f>
        <v/>
      </c>
      <c r="V29">
        <f>IF(N29="","",IFERROR(MATCH(INDEX(tblVideos[Channel ID],N29),tblChannels[Channel ID],0),""))</f>
        <v/>
      </c>
      <c r="W29">
        <f>IF(O29="","",IFERROR(MATCH(INDEX(tblVideos[Channel ID],O29),tblChannels[Channel ID],0),""))</f>
        <v/>
      </c>
      <c r="X29">
        <f>IF(P29="","",IFERROR(MATCH(INDEX(tblVideos[Channel ID],P29),tblChannels[Channel ID],0),""))</f>
        <v/>
      </c>
      <c r="Y29">
        <f>IF(Q29="","",IFERROR(MATCH(INDEX(tblVideos[Channel ID],Q29),tblChannels[Channel ID],0),""))</f>
        <v/>
      </c>
    </row>
    <row r="30">
      <c r="B30" s="71">
        <f>IF(K30="","",IF(INDEX(tblVideos[Video ID],K30)="",IF(INDEX(tblVideos[Status],K30)="Watched","✓ ","▸ ")&amp;INDEX(tblVideos[Title],K30),HYPERLINK("https://www.youtube.com/watch?v="&amp;INDEX(tblVideos[Video ID],K30),IF(INDEX(tblVideos[Status],K30)="Watched","✓ ","▸ ")&amp;INDEX(tblVideos[Title],K30))))</f>
        <v/>
      </c>
      <c r="C30" s="71">
        <f>IF(L30="","",IF(INDEX(tblVideos[Video ID],L30)="",IF(INDEX(tblVideos[Status],L30)="Watched","✓ ","▸ ")&amp;INDEX(tblVideos[Title],L30),HYPERLINK("https://www.youtube.com/watch?v="&amp;INDEX(tblVideos[Video ID],L30),IF(INDEX(tblVideos[Status],L30)="Watched","✓ ","▸ ")&amp;INDEX(tblVideos[Title],L30))))</f>
        <v/>
      </c>
      <c r="D30" s="71">
        <f>IF(M30="","",IF(INDEX(tblVideos[Video ID],M30)="",IF(INDEX(tblVideos[Status],M30)="Watched","✓ ","▸ ")&amp;INDEX(tblVideos[Title],M30),HYPERLINK("https://www.youtube.com/watch?v="&amp;INDEX(tblVideos[Video ID],M30),IF(INDEX(tblVideos[Status],M30)="Watched","✓ ","▸ ")&amp;INDEX(tblVideos[Title],M30))))</f>
        <v/>
      </c>
      <c r="E30" s="71">
        <f>IF(N30="","",IF(INDEX(tblVideos[Video ID],N30)="",IF(INDEX(tblVideos[Status],N30)="Watched","✓ ","▸ ")&amp;INDEX(tblVideos[Title],N30),HYPERLINK("https://www.youtube.com/watch?v="&amp;INDEX(tblVideos[Video ID],N30),IF(INDEX(tblVideos[Status],N30)="Watched","✓ ","▸ ")&amp;INDEX(tblVideos[Title],N30))))</f>
        <v/>
      </c>
      <c r="F30" s="71">
        <f>IF(O30="","",IF(INDEX(tblVideos[Video ID],O30)="",IF(INDEX(tblVideos[Status],O30)="Watched","✓ ","▸ ")&amp;INDEX(tblVideos[Title],O30),HYPERLINK("https://www.youtube.com/watch?v="&amp;INDEX(tblVideos[Video ID],O30),IF(INDEX(tblVideos[Status],O30)="Watched","✓ ","▸ ")&amp;INDEX(tblVideos[Title],O30))))</f>
        <v/>
      </c>
      <c r="G30" s="71">
        <f>IF(P30="","",IF(INDEX(tblVideos[Video ID],P30)="",IF(INDEX(tblVideos[Status],P30)="Watched","✓ ","▸ ")&amp;INDEX(tblVideos[Title],P30),HYPERLINK("https://www.youtube.com/watch?v="&amp;INDEX(tblVideos[Video ID],P30),IF(INDEX(tblVideos[Status],P30)="Watched","✓ ","▸ ")&amp;INDEX(tblVideos[Title],P30))))</f>
        <v/>
      </c>
      <c r="H30" s="71">
        <f>IF(Q30="","",IF(INDEX(tblVideos[Video ID],Q30)="",IF(INDEX(tblVideos[Status],Q30)="Watched","✓ ","▸ ")&amp;INDEX(tblVideos[Title],Q30),HYPERLINK("https://www.youtube.com/watch?v="&amp;INDEX(tblVideos[Video ID],Q30),IF(INDEX(tblVideos[Status],Q30)="Watched","✓ ","▸ ")&amp;INDEX(tblVideos[Title],Q30))))</f>
        <v/>
      </c>
      <c r="K30">
        <f>IF(S26&gt;=2,MATCH(K26*100+2,tblVideos[Cal Key],0),"")</f>
        <v/>
      </c>
      <c r="L30">
        <f>IF(T26&gt;=2,MATCH(L26*100+2,tblVideos[Cal Key],0),"")</f>
        <v/>
      </c>
      <c r="M30">
        <f>IF(U26&gt;=2,MATCH(M26*100+2,tblVideos[Cal Key],0),"")</f>
        <v/>
      </c>
      <c r="N30">
        <f>IF(V26&gt;=2,MATCH(N26*100+2,tblVideos[Cal Key],0),"")</f>
        <v/>
      </c>
      <c r="O30">
        <f>IF(W26&gt;=2,MATCH(O26*100+2,tblVideos[Cal Key],0),"")</f>
        <v/>
      </c>
      <c r="P30">
        <f>IF(X26&gt;=2,MATCH(P26*100+2,tblVideos[Cal Key],0),"")</f>
        <v/>
      </c>
      <c r="Q30">
        <f>IF(Y26&gt;=2,MATCH(Q26*100+2,tblVideos[Cal Key],0),"")</f>
        <v/>
      </c>
      <c r="S30">
        <f>IF(K30="","",IFERROR(MATCH(INDEX(tblVideos[Channel ID],K30),tblChannels[Channel ID],0),""))</f>
        <v/>
      </c>
      <c r="T30">
        <f>IF(L30="","",IFERROR(MATCH(INDEX(tblVideos[Channel ID],L30),tblChannels[Channel ID],0),""))</f>
        <v/>
      </c>
      <c r="U30">
        <f>IF(M30="","",IFERROR(MATCH(INDEX(tblVideos[Channel ID],M30),tblChannels[Channel ID],0),""))</f>
        <v/>
      </c>
      <c r="V30">
        <f>IF(N30="","",IFERROR(MATCH(INDEX(tblVideos[Channel ID],N30),tblChannels[Channel ID],0),""))</f>
        <v/>
      </c>
      <c r="W30">
        <f>IF(O30="","",IFERROR(MATCH(INDEX(tblVideos[Channel ID],O30),tblChannels[Channel ID],0),""))</f>
        <v/>
      </c>
      <c r="X30">
        <f>IF(P30="","",IFERROR(MATCH(INDEX(tblVideos[Channel ID],P30),tblChannels[Channel ID],0),""))</f>
        <v/>
      </c>
      <c r="Y30">
        <f>IF(Q30="","",IFERROR(MATCH(INDEX(tblVideos[Channel ID],Q30),tblChannels[Channel ID],0),""))</f>
        <v/>
      </c>
    </row>
    <row r="31">
      <c r="B31" s="71">
        <f>IF(K31="","",IF(INDEX(tblVideos[Video ID],K31)="",IF(INDEX(tblVideos[Status],K31)="Watched","✓ ","▸ ")&amp;INDEX(tblVideos[Title],K31),HYPERLINK("https://www.youtube.com/watch?v="&amp;INDEX(tblVideos[Video ID],K31),IF(INDEX(tblVideos[Status],K31)="Watched","✓ ","▸ ")&amp;INDEX(tblVideos[Title],K31))))</f>
        <v/>
      </c>
      <c r="C31" s="71">
        <f>IF(L31="","",IF(INDEX(tblVideos[Video ID],L31)="",IF(INDEX(tblVideos[Status],L31)="Watched","✓ ","▸ ")&amp;INDEX(tblVideos[Title],L31),HYPERLINK("https://www.youtube.com/watch?v="&amp;INDEX(tblVideos[Video ID],L31),IF(INDEX(tblVideos[Status],L31)="Watched","✓ ","▸ ")&amp;INDEX(tblVideos[Title],L31))))</f>
        <v/>
      </c>
      <c r="D31" s="71">
        <f>IF(M31="","",IF(INDEX(tblVideos[Video ID],M31)="",IF(INDEX(tblVideos[Status],M31)="Watched","✓ ","▸ ")&amp;INDEX(tblVideos[Title],M31),HYPERLINK("https://www.youtube.com/watch?v="&amp;INDEX(tblVideos[Video ID],M31),IF(INDEX(tblVideos[Status],M31)="Watched","✓ ","▸ ")&amp;INDEX(tblVideos[Title],M31))))</f>
        <v/>
      </c>
      <c r="E31" s="71">
        <f>IF(N31="","",IF(INDEX(tblVideos[Video ID],N31)="",IF(INDEX(tblVideos[Status],N31)="Watched","✓ ","▸ ")&amp;INDEX(tblVideos[Title],N31),HYPERLINK("https://www.youtube.com/watch?v="&amp;INDEX(tblVideos[Video ID],N31),IF(INDEX(tblVideos[Status],N31)="Watched","✓ ","▸ ")&amp;INDEX(tblVideos[Title],N31))))</f>
        <v/>
      </c>
      <c r="F31" s="71">
        <f>IF(O31="","",IF(INDEX(tblVideos[Video ID],O31)="",IF(INDEX(tblVideos[Status],O31)="Watched","✓ ","▸ ")&amp;INDEX(tblVideos[Title],O31),HYPERLINK("https://www.youtube.com/watch?v="&amp;INDEX(tblVideos[Video ID],O31),IF(INDEX(tblVideos[Status],O31)="Watched","✓ ","▸ ")&amp;INDEX(tblVideos[Title],O31))))</f>
        <v/>
      </c>
      <c r="G31" s="71">
        <f>IF(P31="","",IF(INDEX(tblVideos[Video ID],P31)="",IF(INDEX(tblVideos[Status],P31)="Watched","✓ ","▸ ")&amp;INDEX(tblVideos[Title],P31),HYPERLINK("https://www.youtube.com/watch?v="&amp;INDEX(tblVideos[Video ID],P31),IF(INDEX(tblVideos[Status],P31)="Watched","✓ ","▸ ")&amp;INDEX(tblVideos[Title],P31))))</f>
        <v/>
      </c>
      <c r="H31" s="71">
        <f>IF(Q31="","",IF(INDEX(tblVideos[Video ID],Q31)="",IF(INDEX(tblVideos[Status],Q31)="Watched","✓ ","▸ ")&amp;INDEX(tblVideos[Title],Q31),HYPERLINK("https://www.youtube.com/watch?v="&amp;INDEX(tblVideos[Video ID],Q31),IF(INDEX(tblVideos[Status],Q31)="Watched","✓ ","▸ ")&amp;INDEX(tblVideos[Title],Q31))))</f>
        <v/>
      </c>
      <c r="K31">
        <f>IF(S26&gt;=3,MATCH(K26*100+3,tblVideos[Cal Key],0),"")</f>
        <v/>
      </c>
      <c r="L31">
        <f>IF(T26&gt;=3,MATCH(L26*100+3,tblVideos[Cal Key],0),"")</f>
        <v/>
      </c>
      <c r="M31">
        <f>IF(U26&gt;=3,MATCH(M26*100+3,tblVideos[Cal Key],0),"")</f>
        <v/>
      </c>
      <c r="N31">
        <f>IF(V26&gt;=3,MATCH(N26*100+3,tblVideos[Cal Key],0),"")</f>
        <v/>
      </c>
      <c r="O31">
        <f>IF(W26&gt;=3,MATCH(O26*100+3,tblVideos[Cal Key],0),"")</f>
        <v/>
      </c>
      <c r="P31">
        <f>IF(X26&gt;=3,MATCH(P26*100+3,tblVideos[Cal Key],0),"")</f>
        <v/>
      </c>
      <c r="Q31">
        <f>IF(Y26&gt;=3,MATCH(Q26*100+3,tblVideos[Cal Key],0),"")</f>
        <v/>
      </c>
      <c r="S31">
        <f>IF(K31="","",IFERROR(MATCH(INDEX(tblVideos[Channel ID],K31),tblChannels[Channel ID],0),""))</f>
        <v/>
      </c>
      <c r="T31">
        <f>IF(L31="","",IFERROR(MATCH(INDEX(tblVideos[Channel ID],L31),tblChannels[Channel ID],0),""))</f>
        <v/>
      </c>
      <c r="U31">
        <f>IF(M31="","",IFERROR(MATCH(INDEX(tblVideos[Channel ID],M31),tblChannels[Channel ID],0),""))</f>
        <v/>
      </c>
      <c r="V31">
        <f>IF(N31="","",IFERROR(MATCH(INDEX(tblVideos[Channel ID],N31),tblChannels[Channel ID],0),""))</f>
        <v/>
      </c>
      <c r="W31">
        <f>IF(O31="","",IFERROR(MATCH(INDEX(tblVideos[Channel ID],O31),tblChannels[Channel ID],0),""))</f>
        <v/>
      </c>
      <c r="X31">
        <f>IF(P31="","",IFERROR(MATCH(INDEX(tblVideos[Channel ID],P31),tblChannels[Channel ID],0),""))</f>
        <v/>
      </c>
      <c r="Y31">
        <f>IF(Q31="","",IFERROR(MATCH(INDEX(tblVideos[Channel ID],Q31),tblChannels[Channel ID],0),""))</f>
        <v/>
      </c>
    </row>
    <row r="32">
      <c r="B32" s="71">
        <f>IF(K32="","",IF(INDEX(tblVideos[Video ID],K32)="",IF(INDEX(tblVideos[Status],K32)="Watched","✓ ","▸ ")&amp;INDEX(tblVideos[Title],K32),HYPERLINK("https://www.youtube.com/watch?v="&amp;INDEX(tblVideos[Video ID],K32),IF(INDEX(tblVideos[Status],K32)="Watched","✓ ","▸ ")&amp;INDEX(tblVideos[Title],K32))))</f>
        <v/>
      </c>
      <c r="C32" s="71">
        <f>IF(L32="","",IF(INDEX(tblVideos[Video ID],L32)="",IF(INDEX(tblVideos[Status],L32)="Watched","✓ ","▸ ")&amp;INDEX(tblVideos[Title],L32),HYPERLINK("https://www.youtube.com/watch?v="&amp;INDEX(tblVideos[Video ID],L32),IF(INDEX(tblVideos[Status],L32)="Watched","✓ ","▸ ")&amp;INDEX(tblVideos[Title],L32))))</f>
        <v/>
      </c>
      <c r="D32" s="71">
        <f>IF(M32="","",IF(INDEX(tblVideos[Video ID],M32)="",IF(INDEX(tblVideos[Status],M32)="Watched","✓ ","▸ ")&amp;INDEX(tblVideos[Title],M32),HYPERLINK("https://www.youtube.com/watch?v="&amp;INDEX(tblVideos[Video ID],M32),IF(INDEX(tblVideos[Status],M32)="Watched","✓ ","▸ ")&amp;INDEX(tblVideos[Title],M32))))</f>
        <v/>
      </c>
      <c r="E32" s="71">
        <f>IF(N32="","",IF(INDEX(tblVideos[Video ID],N32)="",IF(INDEX(tblVideos[Status],N32)="Watched","✓ ","▸ ")&amp;INDEX(tblVideos[Title],N32),HYPERLINK("https://www.youtube.com/watch?v="&amp;INDEX(tblVideos[Video ID],N32),IF(INDEX(tblVideos[Status],N32)="Watched","✓ ","▸ ")&amp;INDEX(tblVideos[Title],N32))))</f>
        <v/>
      </c>
      <c r="F32" s="71">
        <f>IF(O32="","",IF(INDEX(tblVideos[Video ID],O32)="",IF(INDEX(tblVideos[Status],O32)="Watched","✓ ","▸ ")&amp;INDEX(tblVideos[Title],O32),HYPERLINK("https://www.youtube.com/watch?v="&amp;INDEX(tblVideos[Video ID],O32),IF(INDEX(tblVideos[Status],O32)="Watched","✓ ","▸ ")&amp;INDEX(tblVideos[Title],O32))))</f>
        <v/>
      </c>
      <c r="G32" s="71">
        <f>IF(P32="","",IF(INDEX(tblVideos[Video ID],P32)="",IF(INDEX(tblVideos[Status],P32)="Watched","✓ ","▸ ")&amp;INDEX(tblVideos[Title],P32),HYPERLINK("https://www.youtube.com/watch?v="&amp;INDEX(tblVideos[Video ID],P32),IF(INDEX(tblVideos[Status],P32)="Watched","✓ ","▸ ")&amp;INDEX(tblVideos[Title],P32))))</f>
        <v/>
      </c>
      <c r="H32" s="71">
        <f>IF(Q32="","",IF(INDEX(tblVideos[Video ID],Q32)="",IF(INDEX(tblVideos[Status],Q32)="Watched","✓ ","▸ ")&amp;INDEX(tblVideos[Title],Q32),HYPERLINK("https://www.youtube.com/watch?v="&amp;INDEX(tblVideos[Video ID],Q32),IF(INDEX(tblVideos[Status],Q32)="Watched","✓ ","▸ ")&amp;INDEX(tblVideos[Title],Q32))))</f>
        <v/>
      </c>
      <c r="K32">
        <f>IF(S26&gt;=4,MATCH(K26*100+4,tblVideos[Cal Key],0),"")</f>
        <v/>
      </c>
      <c r="L32">
        <f>IF(T26&gt;=4,MATCH(L26*100+4,tblVideos[Cal Key],0),"")</f>
        <v/>
      </c>
      <c r="M32">
        <f>IF(U26&gt;=4,MATCH(M26*100+4,tblVideos[Cal Key],0),"")</f>
        <v/>
      </c>
      <c r="N32">
        <f>IF(V26&gt;=4,MATCH(N26*100+4,tblVideos[Cal Key],0),"")</f>
        <v/>
      </c>
      <c r="O32">
        <f>IF(W26&gt;=4,MATCH(O26*100+4,tblVideos[Cal Key],0),"")</f>
        <v/>
      </c>
      <c r="P32">
        <f>IF(X26&gt;=4,MATCH(P26*100+4,tblVideos[Cal Key],0),"")</f>
        <v/>
      </c>
      <c r="Q32">
        <f>IF(Y26&gt;=4,MATCH(Q26*100+4,tblVideos[Cal Key],0),"")</f>
        <v/>
      </c>
      <c r="S32">
        <f>IF(K32="","",IFERROR(MATCH(INDEX(tblVideos[Channel ID],K32),tblChannels[Channel ID],0),""))</f>
        <v/>
      </c>
      <c r="T32">
        <f>IF(L32="","",IFERROR(MATCH(INDEX(tblVideos[Channel ID],L32),tblChannels[Channel ID],0),""))</f>
        <v/>
      </c>
      <c r="U32">
        <f>IF(M32="","",IFERROR(MATCH(INDEX(tblVideos[Channel ID],M32),tblChannels[Channel ID],0),""))</f>
        <v/>
      </c>
      <c r="V32">
        <f>IF(N32="","",IFERROR(MATCH(INDEX(tblVideos[Channel ID],N32),tblChannels[Channel ID],0),""))</f>
        <v/>
      </c>
      <c r="W32">
        <f>IF(O32="","",IFERROR(MATCH(INDEX(tblVideos[Channel ID],O32),tblChannels[Channel ID],0),""))</f>
        <v/>
      </c>
      <c r="X32">
        <f>IF(P32="","",IFERROR(MATCH(INDEX(tblVideos[Channel ID],P32),tblChannels[Channel ID],0),""))</f>
        <v/>
      </c>
      <c r="Y32">
        <f>IF(Q32="","",IFERROR(MATCH(INDEX(tblVideos[Channel ID],Q32),tblChannels[Channel ID],0),""))</f>
        <v/>
      </c>
    </row>
    <row r="33">
      <c r="B33" s="71">
        <f>IF(K33="","",IF(INDEX(tblVideos[Video ID],K33)="",IF(INDEX(tblVideos[Status],K33)="Watched","✓ ","▸ ")&amp;INDEX(tblVideos[Title],K33),HYPERLINK("https://www.youtube.com/watch?v="&amp;INDEX(tblVideos[Video ID],K33),IF(INDEX(tblVideos[Status],K33)="Watched","✓ ","▸ ")&amp;INDEX(tblVideos[Title],K33))))</f>
        <v/>
      </c>
      <c r="C33" s="71">
        <f>IF(L33="","",IF(INDEX(tblVideos[Video ID],L33)="",IF(INDEX(tblVideos[Status],L33)="Watched","✓ ","▸ ")&amp;INDEX(tblVideos[Title],L33),HYPERLINK("https://www.youtube.com/watch?v="&amp;INDEX(tblVideos[Video ID],L33),IF(INDEX(tblVideos[Status],L33)="Watched","✓ ","▸ ")&amp;INDEX(tblVideos[Title],L33))))</f>
        <v/>
      </c>
      <c r="D33" s="71">
        <f>IF(M33="","",IF(INDEX(tblVideos[Video ID],M33)="",IF(INDEX(tblVideos[Status],M33)="Watched","✓ ","▸ ")&amp;INDEX(tblVideos[Title],M33),HYPERLINK("https://www.youtube.com/watch?v="&amp;INDEX(tblVideos[Video ID],M33),IF(INDEX(tblVideos[Status],M33)="Watched","✓ ","▸ ")&amp;INDEX(tblVideos[Title],M33))))</f>
        <v/>
      </c>
      <c r="E33" s="71">
        <f>IF(N33="","",IF(INDEX(tblVideos[Video ID],N33)="",IF(INDEX(tblVideos[Status],N33)="Watched","✓ ","▸ ")&amp;INDEX(tblVideos[Title],N33),HYPERLINK("https://www.youtube.com/watch?v="&amp;INDEX(tblVideos[Video ID],N33),IF(INDEX(tblVideos[Status],N33)="Watched","✓ ","▸ ")&amp;INDEX(tblVideos[Title],N33))))</f>
        <v/>
      </c>
      <c r="F33" s="71">
        <f>IF(O33="","",IF(INDEX(tblVideos[Video ID],O33)="",IF(INDEX(tblVideos[Status],O33)="Watched","✓ ","▸ ")&amp;INDEX(tblVideos[Title],O33),HYPERLINK("https://www.youtube.com/watch?v="&amp;INDEX(tblVideos[Video ID],O33),IF(INDEX(tblVideos[Status],O33)="Watched","✓ ","▸ ")&amp;INDEX(tblVideos[Title],O33))))</f>
        <v/>
      </c>
      <c r="G33" s="71">
        <f>IF(P33="","",IF(INDEX(tblVideos[Video ID],P33)="",IF(INDEX(tblVideos[Status],P33)="Watched","✓ ","▸ ")&amp;INDEX(tblVideos[Title],P33),HYPERLINK("https://www.youtube.com/watch?v="&amp;INDEX(tblVideos[Video ID],P33),IF(INDEX(tblVideos[Status],P33)="Watched","✓ ","▸ ")&amp;INDEX(tblVideos[Title],P33))))</f>
        <v/>
      </c>
      <c r="H33" s="71">
        <f>IF(Q33="","",IF(INDEX(tblVideos[Video ID],Q33)="",IF(INDEX(tblVideos[Status],Q33)="Watched","✓ ","▸ ")&amp;INDEX(tblVideos[Title],Q33),HYPERLINK("https://www.youtube.com/watch?v="&amp;INDEX(tblVideos[Video ID],Q33),IF(INDEX(tblVideos[Status],Q33)="Watched","✓ ","▸ ")&amp;INDEX(tblVideos[Title],Q33))))</f>
        <v/>
      </c>
      <c r="K33">
        <f>IF(S26&gt;=5,MATCH(K26*100+5,tblVideos[Cal Key],0),"")</f>
        <v/>
      </c>
      <c r="L33">
        <f>IF(T26&gt;=5,MATCH(L26*100+5,tblVideos[Cal Key],0),"")</f>
        <v/>
      </c>
      <c r="M33">
        <f>IF(U26&gt;=5,MATCH(M26*100+5,tblVideos[Cal Key],0),"")</f>
        <v/>
      </c>
      <c r="N33">
        <f>IF(V26&gt;=5,MATCH(N26*100+5,tblVideos[Cal Key],0),"")</f>
        <v/>
      </c>
      <c r="O33">
        <f>IF(W26&gt;=5,MATCH(O26*100+5,tblVideos[Cal Key],0),"")</f>
        <v/>
      </c>
      <c r="P33">
        <f>IF(X26&gt;=5,MATCH(P26*100+5,tblVideos[Cal Key],0),"")</f>
        <v/>
      </c>
      <c r="Q33">
        <f>IF(Y26&gt;=5,MATCH(Q26*100+5,tblVideos[Cal Key],0),"")</f>
        <v/>
      </c>
      <c r="S33">
        <f>IF(K33="","",IFERROR(MATCH(INDEX(tblVideos[Channel ID],K33),tblChannels[Channel ID],0),""))</f>
        <v/>
      </c>
      <c r="T33">
        <f>IF(L33="","",IFERROR(MATCH(INDEX(tblVideos[Channel ID],L33),tblChannels[Channel ID],0),""))</f>
        <v/>
      </c>
      <c r="U33">
        <f>IF(M33="","",IFERROR(MATCH(INDEX(tblVideos[Channel ID],M33),tblChannels[Channel ID],0),""))</f>
        <v/>
      </c>
      <c r="V33">
        <f>IF(N33="","",IFERROR(MATCH(INDEX(tblVideos[Channel ID],N33),tblChannels[Channel ID],0),""))</f>
        <v/>
      </c>
      <c r="W33">
        <f>IF(O33="","",IFERROR(MATCH(INDEX(tblVideos[Channel ID],O33),tblChannels[Channel ID],0),""))</f>
        <v/>
      </c>
      <c r="X33">
        <f>IF(P33="","",IFERROR(MATCH(INDEX(tblVideos[Channel ID],P33),tblChannels[Channel ID],0),""))</f>
        <v/>
      </c>
      <c r="Y33">
        <f>IF(Q33="","",IFERROR(MATCH(INDEX(tblVideos[Channel ID],Q33),tblChannels[Channel ID],0),""))</f>
        <v/>
      </c>
    </row>
    <row r="34" ht="18" customHeight="1">
      <c r="B34" s="69">
        <f>IF(MONTH(K34)=MONTH($K$2),DAY(K34)&amp;IF(S34&gt;0,"   ·   "&amp;S34&amp;IF(S34=1," video"," videos")&amp;"   ·   "&amp;IF(ROUND((AA34)*1440,0)&lt;60,ROUND((AA34)*1440,0)&amp;" m",IF(MOD(ROUND((AA34)*1440,0),60)=0,INT(ROUND((AA34)*1440,0)/60)&amp;" h",INT(ROUND((AA34)*1440,0)/60)&amp;" h "&amp;MOD(ROUND((AA34)*1440,0),60)&amp;" m"))&amp;IF(S34&gt;5,"   (+"&amp;(S34-5)&amp;" more)",""),""),"")</f>
        <v/>
      </c>
      <c r="C34" s="69">
        <f>IF(MONTH(L34)=MONTH($K$2),DAY(L34)&amp;IF(T34&gt;0,"   ·   "&amp;T34&amp;IF(T34=1," video"," videos")&amp;"   ·   "&amp;IF(ROUND((AB34)*1440,0)&lt;60,ROUND((AB34)*1440,0)&amp;" m",IF(MOD(ROUND((AB34)*1440,0),60)=0,INT(ROUND((AB34)*1440,0)/60)&amp;" h",INT(ROUND((AB34)*1440,0)/60)&amp;" h "&amp;MOD(ROUND((AB34)*1440,0),60)&amp;" m"))&amp;IF(T34&gt;5,"   (+"&amp;(T34-5)&amp;" more)",""),""),"")</f>
        <v/>
      </c>
      <c r="D34" s="69">
        <f>IF(MONTH(M34)=MONTH($K$2),DAY(M34)&amp;IF(U34&gt;0,"   ·   "&amp;U34&amp;IF(U34=1," video"," videos")&amp;"   ·   "&amp;IF(ROUND((AC34)*1440,0)&lt;60,ROUND((AC34)*1440,0)&amp;" m",IF(MOD(ROUND((AC34)*1440,0),60)=0,INT(ROUND((AC34)*1440,0)/60)&amp;" h",INT(ROUND((AC34)*1440,0)/60)&amp;" h "&amp;MOD(ROUND((AC34)*1440,0),60)&amp;" m"))&amp;IF(U34&gt;5,"   (+"&amp;(U34-5)&amp;" more)",""),""),"")</f>
        <v/>
      </c>
      <c r="E34" s="69">
        <f>IF(MONTH(N34)=MONTH($K$2),DAY(N34)&amp;IF(V34&gt;0,"   ·   "&amp;V34&amp;IF(V34=1," video"," videos")&amp;"   ·   "&amp;IF(ROUND((AD34)*1440,0)&lt;60,ROUND((AD34)*1440,0)&amp;" m",IF(MOD(ROUND((AD34)*1440,0),60)=0,INT(ROUND((AD34)*1440,0)/60)&amp;" h",INT(ROUND((AD34)*1440,0)/60)&amp;" h "&amp;MOD(ROUND((AD34)*1440,0),60)&amp;" m"))&amp;IF(V34&gt;5,"   (+"&amp;(V34-5)&amp;" more)",""),""),"")</f>
        <v/>
      </c>
      <c r="F34" s="69">
        <f>IF(MONTH(O34)=MONTH($K$2),DAY(O34)&amp;IF(W34&gt;0,"   ·   "&amp;W34&amp;IF(W34=1," video"," videos")&amp;"   ·   "&amp;IF(ROUND((AE34)*1440,0)&lt;60,ROUND((AE34)*1440,0)&amp;" m",IF(MOD(ROUND((AE34)*1440,0),60)=0,INT(ROUND((AE34)*1440,0)/60)&amp;" h",INT(ROUND((AE34)*1440,0)/60)&amp;" h "&amp;MOD(ROUND((AE34)*1440,0),60)&amp;" m"))&amp;IF(W34&gt;5,"   (+"&amp;(W34-5)&amp;" more)",""),""),"")</f>
        <v/>
      </c>
      <c r="G34" s="69">
        <f>IF(MONTH(P34)=MONTH($K$2),DAY(P34)&amp;IF(X34&gt;0,"   ·   "&amp;X34&amp;IF(X34=1," video"," videos")&amp;"   ·   "&amp;IF(ROUND((AF34)*1440,0)&lt;60,ROUND((AF34)*1440,0)&amp;" m",IF(MOD(ROUND((AF34)*1440,0),60)=0,INT(ROUND((AF34)*1440,0)/60)&amp;" h",INT(ROUND((AF34)*1440,0)/60)&amp;" h "&amp;MOD(ROUND((AF34)*1440,0),60)&amp;" m"))&amp;IF(X34&gt;5,"   (+"&amp;(X34-5)&amp;" more)",""),""),"")</f>
        <v/>
      </c>
      <c r="H34" s="69">
        <f>IF(MONTH(Q34)=MONTH($K$2),DAY(Q34)&amp;IF(Y34&gt;0,"   ·   "&amp;Y34&amp;IF(Y34=1," video"," videos")&amp;"   ·   "&amp;IF(ROUND((AG34)*1440,0)&lt;60,ROUND((AG34)*1440,0)&amp;" m",IF(MOD(ROUND((AG34)*1440,0),60)=0,INT(ROUND((AG34)*1440,0)/60)&amp;" h",INT(ROUND((AG34)*1440,0)/60)&amp;" h "&amp;MOD(ROUND((AG34)*1440,0),60)&amp;" m"))&amp;IF(Y34&gt;5,"   (+"&amp;(Y34-5)&amp;" more)",""),""),"")</f>
        <v/>
      </c>
      <c r="K34" s="59">
        <f>$K$3+21</f>
        <v/>
      </c>
      <c r="L34" s="59">
        <f>$K$3+22</f>
        <v/>
      </c>
      <c r="M34" s="59">
        <f>$K$3+23</f>
        <v/>
      </c>
      <c r="N34" s="59">
        <f>$K$3+24</f>
        <v/>
      </c>
      <c r="O34" s="59">
        <f>$K$3+25</f>
        <v/>
      </c>
      <c r="P34" s="59">
        <f>$K$3+26</f>
        <v/>
      </c>
      <c r="Q34" s="59">
        <f>$K$3+27</f>
        <v/>
      </c>
      <c r="S34">
        <f>IF(MONTH(K34)=MONTH($K$2),COUNTIFS(tblVideos[Day],K34,tblVideos[Channel ID],$K$4),0)</f>
        <v/>
      </c>
      <c r="T34">
        <f>IF(MONTH(L34)=MONTH($K$2),COUNTIFS(tblVideos[Day],L34,tblVideos[Channel ID],$K$4),0)</f>
        <v/>
      </c>
      <c r="U34">
        <f>IF(MONTH(M34)=MONTH($K$2),COUNTIFS(tblVideos[Day],M34,tblVideos[Channel ID],$K$4),0)</f>
        <v/>
      </c>
      <c r="V34">
        <f>IF(MONTH(N34)=MONTH($K$2),COUNTIFS(tblVideos[Day],N34,tblVideos[Channel ID],$K$4),0)</f>
        <v/>
      </c>
      <c r="W34">
        <f>IF(MONTH(O34)=MONTH($K$2),COUNTIFS(tblVideos[Day],O34,tblVideos[Channel ID],$K$4),0)</f>
        <v/>
      </c>
      <c r="X34">
        <f>IF(MONTH(P34)=MONTH($K$2),COUNTIFS(tblVideos[Day],P34,tblVideos[Channel ID],$K$4),0)</f>
        <v/>
      </c>
      <c r="Y34">
        <f>IF(MONTH(Q34)=MONTH($K$2),COUNTIFS(tblVideos[Day],Q34,tblVideos[Channel ID],$K$4),0)</f>
        <v/>
      </c>
      <c r="AA34">
        <f>IF(S34&gt;0,SUMIFS(tblVideos[Length],tblVideos[Day],K34,tblVideos[Channel ID],$K$4),0)</f>
        <v/>
      </c>
      <c r="AB34">
        <f>IF(T34&gt;0,SUMIFS(tblVideos[Length],tblVideos[Day],L34,tblVideos[Channel ID],$K$4),0)</f>
        <v/>
      </c>
      <c r="AC34">
        <f>IF(U34&gt;0,SUMIFS(tblVideos[Length],tblVideos[Day],M34,tblVideos[Channel ID],$K$4),0)</f>
        <v/>
      </c>
      <c r="AD34">
        <f>IF(V34&gt;0,SUMIFS(tblVideos[Length],tblVideos[Day],N34,tblVideos[Channel ID],$K$4),0)</f>
        <v/>
      </c>
      <c r="AE34">
        <f>IF(W34&gt;0,SUMIFS(tblVideos[Length],tblVideos[Day],O34,tblVideos[Channel ID],$K$4),0)</f>
        <v/>
      </c>
      <c r="AF34">
        <f>IF(X34&gt;0,SUMIFS(tblVideos[Length],tblVideos[Day],P34,tblVideos[Channel ID],$K$4),0)</f>
        <v/>
      </c>
      <c r="AG34">
        <f>IF(Y34&gt;0,SUMIFS(tblVideos[Length],tblVideos[Day],Q34,tblVideos[Channel ID],$K$4),0)</f>
        <v/>
      </c>
    </row>
    <row r="35" ht="14" customHeight="1">
      <c r="B35" s="70">
        <f>IF(K35="","",IF(LEFT(INDEX(Events!$F$6:$F$598,K35),4)="http",HYPERLINK(INDEX(Events!$F$6:$F$598,K35),IFERROR(INDEX(Lists!$H$1:$H$7,S35),"")&amp;" "&amp;SUBSTITUTE(INDEX(Events!$C$6:$C$598,K35),"{n}",YEAR(INDEX(EventGrid!$E$4:$E$596,K35))-YEAR(INDEX(Events!$A$6:$A$598,K35)))),IFERROR(INDEX(Lists!$H$1:$H$7,S35),"")&amp;" "&amp;SUBSTITUTE(INDEX(Events!$C$6:$C$598,K35),"{n}",YEAR(INDEX(EventGrid!$E$4:$E$596,K35))-YEAR(INDEX(Events!$A$6:$A$598,K35)))))</f>
        <v/>
      </c>
      <c r="C35" s="70">
        <f>IF(L35="","",IF(LEFT(INDEX(Events!$F$6:$F$598,L35),4)="http",HYPERLINK(INDEX(Events!$F$6:$F$598,L35),IFERROR(INDEX(Lists!$H$1:$H$7,T35),"")&amp;" "&amp;SUBSTITUTE(INDEX(Events!$C$6:$C$598,L35),"{n}",YEAR(INDEX(EventGrid!$E$4:$E$596,L35))-YEAR(INDEX(Events!$A$6:$A$598,L35)))),IFERROR(INDEX(Lists!$H$1:$H$7,T35),"")&amp;" "&amp;SUBSTITUTE(INDEX(Events!$C$6:$C$598,L35),"{n}",YEAR(INDEX(EventGrid!$E$4:$E$596,L35))-YEAR(INDEX(Events!$A$6:$A$598,L35)))))</f>
        <v/>
      </c>
      <c r="D35" s="70">
        <f>IF(M35="","",IF(LEFT(INDEX(Events!$F$6:$F$598,M35),4)="http",HYPERLINK(INDEX(Events!$F$6:$F$598,M35),IFERROR(INDEX(Lists!$H$1:$H$7,U35),"")&amp;" "&amp;SUBSTITUTE(INDEX(Events!$C$6:$C$598,M35),"{n}",YEAR(INDEX(EventGrid!$E$4:$E$596,M35))-YEAR(INDEX(Events!$A$6:$A$598,M35)))),IFERROR(INDEX(Lists!$H$1:$H$7,U35),"")&amp;" "&amp;SUBSTITUTE(INDEX(Events!$C$6:$C$598,M35),"{n}",YEAR(INDEX(EventGrid!$E$4:$E$596,M35))-YEAR(INDEX(Events!$A$6:$A$598,M35)))))</f>
        <v/>
      </c>
      <c r="E35" s="70">
        <f>IF(N35="","",IF(LEFT(INDEX(Events!$F$6:$F$598,N35),4)="http",HYPERLINK(INDEX(Events!$F$6:$F$598,N35),IFERROR(INDEX(Lists!$H$1:$H$7,V35),"")&amp;" "&amp;SUBSTITUTE(INDEX(Events!$C$6:$C$598,N35),"{n}",YEAR(INDEX(EventGrid!$E$4:$E$596,N35))-YEAR(INDEX(Events!$A$6:$A$598,N35)))),IFERROR(INDEX(Lists!$H$1:$H$7,V35),"")&amp;" "&amp;SUBSTITUTE(INDEX(Events!$C$6:$C$598,N35),"{n}",YEAR(INDEX(EventGrid!$E$4:$E$596,N35))-YEAR(INDEX(Events!$A$6:$A$598,N35)))))</f>
        <v/>
      </c>
      <c r="F35" s="70">
        <f>IF(O35="","",IF(LEFT(INDEX(Events!$F$6:$F$598,O35),4)="http",HYPERLINK(INDEX(Events!$F$6:$F$598,O35),IFERROR(INDEX(Lists!$H$1:$H$7,W35),"")&amp;" "&amp;SUBSTITUTE(INDEX(Events!$C$6:$C$598,O35),"{n}",YEAR(INDEX(EventGrid!$E$4:$E$596,O35))-YEAR(INDEX(Events!$A$6:$A$598,O35)))),IFERROR(INDEX(Lists!$H$1:$H$7,W35),"")&amp;" "&amp;SUBSTITUTE(INDEX(Events!$C$6:$C$598,O35),"{n}",YEAR(INDEX(EventGrid!$E$4:$E$596,O35))-YEAR(INDEX(Events!$A$6:$A$598,O35)))))</f>
        <v/>
      </c>
      <c r="G35" s="70">
        <f>IF(P35="","",IF(LEFT(INDEX(Events!$F$6:$F$598,P35),4)="http",HYPERLINK(INDEX(Events!$F$6:$F$598,P35),IFERROR(INDEX(Lists!$H$1:$H$7,X35),"")&amp;" "&amp;SUBSTITUTE(INDEX(Events!$C$6:$C$598,P35),"{n}",YEAR(INDEX(EventGrid!$E$4:$E$596,P35))-YEAR(INDEX(Events!$A$6:$A$598,P35)))),IFERROR(INDEX(Lists!$H$1:$H$7,X35),"")&amp;" "&amp;SUBSTITUTE(INDEX(Events!$C$6:$C$598,P35),"{n}",YEAR(INDEX(EventGrid!$E$4:$E$596,P35))-YEAR(INDEX(Events!$A$6:$A$598,P35)))))</f>
        <v/>
      </c>
      <c r="H35" s="70">
        <f>IF(Q35="","",IF(LEFT(INDEX(Events!$F$6:$F$598,Q35),4)="http",HYPERLINK(INDEX(Events!$F$6:$F$598,Q35),IFERROR(INDEX(Lists!$H$1:$H$7,Y35),"")&amp;" "&amp;SUBSTITUTE(INDEX(Events!$C$6:$C$598,Q35),"{n}",YEAR(INDEX(EventGrid!$E$4:$E$596,Q35))-YEAR(INDEX(Events!$A$6:$A$598,Q35)))),IFERROR(INDEX(Lists!$H$1:$H$7,Y35),"")&amp;" "&amp;SUBSTITUTE(INDEX(Events!$C$6:$C$598,Q35),"{n}",YEAR(INDEX(EventGrid!$E$4:$E$596,Q35))-YEAR(INDEX(Events!$A$6:$A$598,Q35)))))</f>
        <v/>
      </c>
      <c r="K35">
        <f>IF(MONTH(K34)=MONTH($K$2),IFERROR(MATCH(1,EventGrid!AC$3:AC$596,0)-1,""),"")</f>
        <v/>
      </c>
      <c r="L35">
        <f>IF(MONTH(L34)=MONTH($K$2),IFERROR(MATCH(1,EventGrid!AD$3:AD$596,0)-1,""),"")</f>
        <v/>
      </c>
      <c r="M35">
        <f>IF(MONTH(M34)=MONTH($K$2),IFERROR(MATCH(1,EventGrid!AE$3:AE$596,0)-1,""),"")</f>
        <v/>
      </c>
      <c r="N35">
        <f>IF(MONTH(N34)=MONTH($K$2),IFERROR(MATCH(1,EventGrid!AF$3:AF$596,0)-1,""),"")</f>
        <v/>
      </c>
      <c r="O35">
        <f>IF(MONTH(O34)=MONTH($K$2),IFERROR(MATCH(1,EventGrid!AG$3:AG$596,0)-1,""),"")</f>
        <v/>
      </c>
      <c r="P35">
        <f>IF(MONTH(P34)=MONTH($K$2),IFERROR(MATCH(1,EventGrid!AH$3:AH$596,0)-1,""),"")</f>
        <v/>
      </c>
      <c r="Q35">
        <f>IF(MONTH(Q34)=MONTH($K$2),IFERROR(MATCH(1,EventGrid!AI$3:AI$596,0)-1,""),"")</f>
        <v/>
      </c>
      <c r="S35">
        <f>IF(K35="","",IFERROR(MATCH(INDEX(Events!$D$6:$D$598,K35),Lists!$G$1:$G$7,0),""))</f>
        <v/>
      </c>
      <c r="T35">
        <f>IF(L35="","",IFERROR(MATCH(INDEX(Events!$D$6:$D$598,L35),Lists!$G$1:$G$7,0),""))</f>
        <v/>
      </c>
      <c r="U35">
        <f>IF(M35="","",IFERROR(MATCH(INDEX(Events!$D$6:$D$598,M35),Lists!$G$1:$G$7,0),""))</f>
        <v/>
      </c>
      <c r="V35">
        <f>IF(N35="","",IFERROR(MATCH(INDEX(Events!$D$6:$D$598,N35),Lists!$G$1:$G$7,0),""))</f>
        <v/>
      </c>
      <c r="W35">
        <f>IF(O35="","",IFERROR(MATCH(INDEX(Events!$D$6:$D$598,O35),Lists!$G$1:$G$7,0),""))</f>
        <v/>
      </c>
      <c r="X35">
        <f>IF(P35="","",IFERROR(MATCH(INDEX(Events!$D$6:$D$598,P35),Lists!$G$1:$G$7,0),""))</f>
        <v/>
      </c>
      <c r="Y35">
        <f>IF(Q35="","",IFERROR(MATCH(INDEX(Events!$D$6:$D$598,Q35),Lists!$G$1:$G$7,0),""))</f>
        <v/>
      </c>
    </row>
    <row r="36" ht="14" customHeight="1">
      <c r="B36" s="70">
        <f>IF(K36="","",IF(LEFT(INDEX(Events!$F$6:$F$598,K36),4)="http",HYPERLINK(INDEX(Events!$F$6:$F$598,K36),IFERROR(INDEX(Lists!$H$1:$H$7,S36),"")&amp;" "&amp;SUBSTITUTE(INDEX(Events!$C$6:$C$598,K36),"{n}",YEAR(INDEX(EventGrid!$E$4:$E$596,K36))-YEAR(INDEX(Events!$A$6:$A$598,K36)))&amp;IF(EventGrid!AC$596&gt;2," (+"&amp;(EventGrid!AC$596-2)&amp;" more)","")),IFERROR(INDEX(Lists!$H$1:$H$7,S36),"")&amp;" "&amp;SUBSTITUTE(INDEX(Events!$C$6:$C$598,K36),"{n}",YEAR(INDEX(EventGrid!$E$4:$E$596,K36))-YEAR(INDEX(Events!$A$6:$A$598,K36)))&amp;IF(EventGrid!AC$596&gt;2," (+"&amp;(EventGrid!AC$596-2)&amp;" more)","")))</f>
        <v/>
      </c>
      <c r="C36" s="70">
        <f>IF(L36="","",IF(LEFT(INDEX(Events!$F$6:$F$598,L36),4)="http",HYPERLINK(INDEX(Events!$F$6:$F$598,L36),IFERROR(INDEX(Lists!$H$1:$H$7,T36),"")&amp;" "&amp;SUBSTITUTE(INDEX(Events!$C$6:$C$598,L36),"{n}",YEAR(INDEX(EventGrid!$E$4:$E$596,L36))-YEAR(INDEX(Events!$A$6:$A$598,L36)))&amp;IF(EventGrid!AD$596&gt;2," (+"&amp;(EventGrid!AD$596-2)&amp;" more)","")),IFERROR(INDEX(Lists!$H$1:$H$7,T36),"")&amp;" "&amp;SUBSTITUTE(INDEX(Events!$C$6:$C$598,L36),"{n}",YEAR(INDEX(EventGrid!$E$4:$E$596,L36))-YEAR(INDEX(Events!$A$6:$A$598,L36)))&amp;IF(EventGrid!AD$596&gt;2," (+"&amp;(EventGrid!AD$596-2)&amp;" more)","")))</f>
        <v/>
      </c>
      <c r="D36" s="70">
        <f>IF(M36="","",IF(LEFT(INDEX(Events!$F$6:$F$598,M36),4)="http",HYPERLINK(INDEX(Events!$F$6:$F$598,M36),IFERROR(INDEX(Lists!$H$1:$H$7,U36),"")&amp;" "&amp;SUBSTITUTE(INDEX(Events!$C$6:$C$598,M36),"{n}",YEAR(INDEX(EventGrid!$E$4:$E$596,M36))-YEAR(INDEX(Events!$A$6:$A$598,M36)))&amp;IF(EventGrid!AE$596&gt;2," (+"&amp;(EventGrid!AE$596-2)&amp;" more)","")),IFERROR(INDEX(Lists!$H$1:$H$7,U36),"")&amp;" "&amp;SUBSTITUTE(INDEX(Events!$C$6:$C$598,M36),"{n}",YEAR(INDEX(EventGrid!$E$4:$E$596,M36))-YEAR(INDEX(Events!$A$6:$A$598,M36)))&amp;IF(EventGrid!AE$596&gt;2," (+"&amp;(EventGrid!AE$596-2)&amp;" more)","")))</f>
        <v/>
      </c>
      <c r="E36" s="70">
        <f>IF(N36="","",IF(LEFT(INDEX(Events!$F$6:$F$598,N36),4)="http",HYPERLINK(INDEX(Events!$F$6:$F$598,N36),IFERROR(INDEX(Lists!$H$1:$H$7,V36),"")&amp;" "&amp;SUBSTITUTE(INDEX(Events!$C$6:$C$598,N36),"{n}",YEAR(INDEX(EventGrid!$E$4:$E$596,N36))-YEAR(INDEX(Events!$A$6:$A$598,N36)))&amp;IF(EventGrid!AF$596&gt;2," (+"&amp;(EventGrid!AF$596-2)&amp;" more)","")),IFERROR(INDEX(Lists!$H$1:$H$7,V36),"")&amp;" "&amp;SUBSTITUTE(INDEX(Events!$C$6:$C$598,N36),"{n}",YEAR(INDEX(EventGrid!$E$4:$E$596,N36))-YEAR(INDEX(Events!$A$6:$A$598,N36)))&amp;IF(EventGrid!AF$596&gt;2," (+"&amp;(EventGrid!AF$596-2)&amp;" more)","")))</f>
        <v/>
      </c>
      <c r="F36" s="70">
        <f>IF(O36="","",IF(LEFT(INDEX(Events!$F$6:$F$598,O36),4)="http",HYPERLINK(INDEX(Events!$F$6:$F$598,O36),IFERROR(INDEX(Lists!$H$1:$H$7,W36),"")&amp;" "&amp;SUBSTITUTE(INDEX(Events!$C$6:$C$598,O36),"{n}",YEAR(INDEX(EventGrid!$E$4:$E$596,O36))-YEAR(INDEX(Events!$A$6:$A$598,O36)))&amp;IF(EventGrid!AG$596&gt;2," (+"&amp;(EventGrid!AG$596-2)&amp;" more)","")),IFERROR(INDEX(Lists!$H$1:$H$7,W36),"")&amp;" "&amp;SUBSTITUTE(INDEX(Events!$C$6:$C$598,O36),"{n}",YEAR(INDEX(EventGrid!$E$4:$E$596,O36))-YEAR(INDEX(Events!$A$6:$A$598,O36)))&amp;IF(EventGrid!AG$596&gt;2," (+"&amp;(EventGrid!AG$596-2)&amp;" more)","")))</f>
        <v/>
      </c>
      <c r="G36" s="70">
        <f>IF(P36="","",IF(LEFT(INDEX(Events!$F$6:$F$598,P36),4)="http",HYPERLINK(INDEX(Events!$F$6:$F$598,P36),IFERROR(INDEX(Lists!$H$1:$H$7,X36),"")&amp;" "&amp;SUBSTITUTE(INDEX(Events!$C$6:$C$598,P36),"{n}",YEAR(INDEX(EventGrid!$E$4:$E$596,P36))-YEAR(INDEX(Events!$A$6:$A$598,P36)))&amp;IF(EventGrid!AH$596&gt;2," (+"&amp;(EventGrid!AH$596-2)&amp;" more)","")),IFERROR(INDEX(Lists!$H$1:$H$7,X36),"")&amp;" "&amp;SUBSTITUTE(INDEX(Events!$C$6:$C$598,P36),"{n}",YEAR(INDEX(EventGrid!$E$4:$E$596,P36))-YEAR(INDEX(Events!$A$6:$A$598,P36)))&amp;IF(EventGrid!AH$596&gt;2," (+"&amp;(EventGrid!AH$596-2)&amp;" more)","")))</f>
        <v/>
      </c>
      <c r="H36" s="70">
        <f>IF(Q36="","",IF(LEFT(INDEX(Events!$F$6:$F$598,Q36),4)="http",HYPERLINK(INDEX(Events!$F$6:$F$598,Q36),IFERROR(INDEX(Lists!$H$1:$H$7,Y36),"")&amp;" "&amp;SUBSTITUTE(INDEX(Events!$C$6:$C$598,Q36),"{n}",YEAR(INDEX(EventGrid!$E$4:$E$596,Q36))-YEAR(INDEX(Events!$A$6:$A$598,Q36)))&amp;IF(EventGrid!AI$596&gt;2," (+"&amp;(EventGrid!AI$596-2)&amp;" more)","")),IFERROR(INDEX(Lists!$H$1:$H$7,Y36),"")&amp;" "&amp;SUBSTITUTE(INDEX(Events!$C$6:$C$598,Q36),"{n}",YEAR(INDEX(EventGrid!$E$4:$E$596,Q36))-YEAR(INDEX(Events!$A$6:$A$598,Q36)))&amp;IF(EventGrid!AI$596&gt;2," (+"&amp;(EventGrid!AI$596-2)&amp;" more)","")))</f>
        <v/>
      </c>
      <c r="K36">
        <f>IF(MONTH(K34)=MONTH($K$2),IFERROR(MATCH(2,EventGrid!AC$3:AC$596,0)-1,""),"")</f>
        <v/>
      </c>
      <c r="L36">
        <f>IF(MONTH(L34)=MONTH($K$2),IFERROR(MATCH(2,EventGrid!AD$3:AD$596,0)-1,""),"")</f>
        <v/>
      </c>
      <c r="M36">
        <f>IF(MONTH(M34)=MONTH($K$2),IFERROR(MATCH(2,EventGrid!AE$3:AE$596,0)-1,""),"")</f>
        <v/>
      </c>
      <c r="N36">
        <f>IF(MONTH(N34)=MONTH($K$2),IFERROR(MATCH(2,EventGrid!AF$3:AF$596,0)-1,""),"")</f>
        <v/>
      </c>
      <c r="O36">
        <f>IF(MONTH(O34)=MONTH($K$2),IFERROR(MATCH(2,EventGrid!AG$3:AG$596,0)-1,""),"")</f>
        <v/>
      </c>
      <c r="P36">
        <f>IF(MONTH(P34)=MONTH($K$2),IFERROR(MATCH(2,EventGrid!AH$3:AH$596,0)-1,""),"")</f>
        <v/>
      </c>
      <c r="Q36">
        <f>IF(MONTH(Q34)=MONTH($K$2),IFERROR(MATCH(2,EventGrid!AI$3:AI$596,0)-1,""),"")</f>
        <v/>
      </c>
      <c r="S36">
        <f>IF(K36="","",IFERROR(MATCH(INDEX(Events!$D$6:$D$598,K36),Lists!$G$1:$G$7,0),""))</f>
        <v/>
      </c>
      <c r="T36">
        <f>IF(L36="","",IFERROR(MATCH(INDEX(Events!$D$6:$D$598,L36),Lists!$G$1:$G$7,0),""))</f>
        <v/>
      </c>
      <c r="U36">
        <f>IF(M36="","",IFERROR(MATCH(INDEX(Events!$D$6:$D$598,M36),Lists!$G$1:$G$7,0),""))</f>
        <v/>
      </c>
      <c r="V36">
        <f>IF(N36="","",IFERROR(MATCH(INDEX(Events!$D$6:$D$598,N36),Lists!$G$1:$G$7,0),""))</f>
        <v/>
      </c>
      <c r="W36">
        <f>IF(O36="","",IFERROR(MATCH(INDEX(Events!$D$6:$D$598,O36),Lists!$G$1:$G$7,0),""))</f>
        <v/>
      </c>
      <c r="X36">
        <f>IF(P36="","",IFERROR(MATCH(INDEX(Events!$D$6:$D$598,P36),Lists!$G$1:$G$7,0),""))</f>
        <v/>
      </c>
      <c r="Y36">
        <f>IF(Q36="","",IFERROR(MATCH(INDEX(Events!$D$6:$D$598,Q36),Lists!$G$1:$G$7,0),""))</f>
        <v/>
      </c>
    </row>
    <row r="37">
      <c r="B37" s="71">
        <f>IF(K37="","",IF(INDEX(tblVideos[Video ID],K37)="",IF(INDEX(tblVideos[Status],K37)="Watched","✓ ","▸ ")&amp;INDEX(tblVideos[Title],K37),HYPERLINK("https://www.youtube.com/watch?v="&amp;INDEX(tblVideos[Video ID],K37),IF(INDEX(tblVideos[Status],K37)="Watched","✓ ","▸ ")&amp;INDEX(tblVideos[Title],K37))))</f>
        <v/>
      </c>
      <c r="C37" s="71">
        <f>IF(L37="","",IF(INDEX(tblVideos[Video ID],L37)="",IF(INDEX(tblVideos[Status],L37)="Watched","✓ ","▸ ")&amp;INDEX(tblVideos[Title],L37),HYPERLINK("https://www.youtube.com/watch?v="&amp;INDEX(tblVideos[Video ID],L37),IF(INDEX(tblVideos[Status],L37)="Watched","✓ ","▸ ")&amp;INDEX(tblVideos[Title],L37))))</f>
        <v/>
      </c>
      <c r="D37" s="71">
        <f>IF(M37="","",IF(INDEX(tblVideos[Video ID],M37)="",IF(INDEX(tblVideos[Status],M37)="Watched","✓ ","▸ ")&amp;INDEX(tblVideos[Title],M37),HYPERLINK("https://www.youtube.com/watch?v="&amp;INDEX(tblVideos[Video ID],M37),IF(INDEX(tblVideos[Status],M37)="Watched","✓ ","▸ ")&amp;INDEX(tblVideos[Title],M37))))</f>
        <v/>
      </c>
      <c r="E37" s="71">
        <f>IF(N37="","",IF(INDEX(tblVideos[Video ID],N37)="",IF(INDEX(tblVideos[Status],N37)="Watched","✓ ","▸ ")&amp;INDEX(tblVideos[Title],N37),HYPERLINK("https://www.youtube.com/watch?v="&amp;INDEX(tblVideos[Video ID],N37),IF(INDEX(tblVideos[Status],N37)="Watched","✓ ","▸ ")&amp;INDEX(tblVideos[Title],N37))))</f>
        <v/>
      </c>
      <c r="F37" s="71">
        <f>IF(O37="","",IF(INDEX(tblVideos[Video ID],O37)="",IF(INDEX(tblVideos[Status],O37)="Watched","✓ ","▸ ")&amp;INDEX(tblVideos[Title],O37),HYPERLINK("https://www.youtube.com/watch?v="&amp;INDEX(tblVideos[Video ID],O37),IF(INDEX(tblVideos[Status],O37)="Watched","✓ ","▸ ")&amp;INDEX(tblVideos[Title],O37))))</f>
        <v/>
      </c>
      <c r="G37" s="71">
        <f>IF(P37="","",IF(INDEX(tblVideos[Video ID],P37)="",IF(INDEX(tblVideos[Status],P37)="Watched","✓ ","▸ ")&amp;INDEX(tblVideos[Title],P37),HYPERLINK("https://www.youtube.com/watch?v="&amp;INDEX(tblVideos[Video ID],P37),IF(INDEX(tblVideos[Status],P37)="Watched","✓ ","▸ ")&amp;INDEX(tblVideos[Title],P37))))</f>
        <v/>
      </c>
      <c r="H37" s="71">
        <f>IF(Q37="","",IF(INDEX(tblVideos[Video ID],Q37)="",IF(INDEX(tblVideos[Status],Q37)="Watched","✓ ","▸ ")&amp;INDEX(tblVideos[Title],Q37),HYPERLINK("https://www.youtube.com/watch?v="&amp;INDEX(tblVideos[Video ID],Q37),IF(INDEX(tblVideos[Status],Q37)="Watched","✓ ","▸ ")&amp;INDEX(tblVideos[Title],Q37))))</f>
        <v/>
      </c>
      <c r="K37">
        <f>IF(S34&gt;=1,MATCH(K34*100+1,tblVideos[Cal Key],0),"")</f>
        <v/>
      </c>
      <c r="L37">
        <f>IF(T34&gt;=1,MATCH(L34*100+1,tblVideos[Cal Key],0),"")</f>
        <v/>
      </c>
      <c r="M37">
        <f>IF(U34&gt;=1,MATCH(M34*100+1,tblVideos[Cal Key],0),"")</f>
        <v/>
      </c>
      <c r="N37">
        <f>IF(V34&gt;=1,MATCH(N34*100+1,tblVideos[Cal Key],0),"")</f>
        <v/>
      </c>
      <c r="O37">
        <f>IF(W34&gt;=1,MATCH(O34*100+1,tblVideos[Cal Key],0),"")</f>
        <v/>
      </c>
      <c r="P37">
        <f>IF(X34&gt;=1,MATCH(P34*100+1,tblVideos[Cal Key],0),"")</f>
        <v/>
      </c>
      <c r="Q37">
        <f>IF(Y34&gt;=1,MATCH(Q34*100+1,tblVideos[Cal Key],0),"")</f>
        <v/>
      </c>
      <c r="S37">
        <f>IF(K37="","",IFERROR(MATCH(INDEX(tblVideos[Channel ID],K37),tblChannels[Channel ID],0),""))</f>
        <v/>
      </c>
      <c r="T37">
        <f>IF(L37="","",IFERROR(MATCH(INDEX(tblVideos[Channel ID],L37),tblChannels[Channel ID],0),""))</f>
        <v/>
      </c>
      <c r="U37">
        <f>IF(M37="","",IFERROR(MATCH(INDEX(tblVideos[Channel ID],M37),tblChannels[Channel ID],0),""))</f>
        <v/>
      </c>
      <c r="V37">
        <f>IF(N37="","",IFERROR(MATCH(INDEX(tblVideos[Channel ID],N37),tblChannels[Channel ID],0),""))</f>
        <v/>
      </c>
      <c r="W37">
        <f>IF(O37="","",IFERROR(MATCH(INDEX(tblVideos[Channel ID],O37),tblChannels[Channel ID],0),""))</f>
        <v/>
      </c>
      <c r="X37">
        <f>IF(P37="","",IFERROR(MATCH(INDEX(tblVideos[Channel ID],P37),tblChannels[Channel ID],0),""))</f>
        <v/>
      </c>
      <c r="Y37">
        <f>IF(Q37="","",IFERROR(MATCH(INDEX(tblVideos[Channel ID],Q37),tblChannels[Channel ID],0),""))</f>
        <v/>
      </c>
    </row>
    <row r="38">
      <c r="B38" s="71">
        <f>IF(K38="","",IF(INDEX(tblVideos[Video ID],K38)="",IF(INDEX(tblVideos[Status],K38)="Watched","✓ ","▸ ")&amp;INDEX(tblVideos[Title],K38),HYPERLINK("https://www.youtube.com/watch?v="&amp;INDEX(tblVideos[Video ID],K38),IF(INDEX(tblVideos[Status],K38)="Watched","✓ ","▸ ")&amp;INDEX(tblVideos[Title],K38))))</f>
        <v/>
      </c>
      <c r="C38" s="71">
        <f>IF(L38="","",IF(INDEX(tblVideos[Video ID],L38)="",IF(INDEX(tblVideos[Status],L38)="Watched","✓ ","▸ ")&amp;INDEX(tblVideos[Title],L38),HYPERLINK("https://www.youtube.com/watch?v="&amp;INDEX(tblVideos[Video ID],L38),IF(INDEX(tblVideos[Status],L38)="Watched","✓ ","▸ ")&amp;INDEX(tblVideos[Title],L38))))</f>
        <v/>
      </c>
      <c r="D38" s="71">
        <f>IF(M38="","",IF(INDEX(tblVideos[Video ID],M38)="",IF(INDEX(tblVideos[Status],M38)="Watched","✓ ","▸ ")&amp;INDEX(tblVideos[Title],M38),HYPERLINK("https://www.youtube.com/watch?v="&amp;INDEX(tblVideos[Video ID],M38),IF(INDEX(tblVideos[Status],M38)="Watched","✓ ","▸ ")&amp;INDEX(tblVideos[Title],M38))))</f>
        <v/>
      </c>
      <c r="E38" s="71">
        <f>IF(N38="","",IF(INDEX(tblVideos[Video ID],N38)="",IF(INDEX(tblVideos[Status],N38)="Watched","✓ ","▸ ")&amp;INDEX(tblVideos[Title],N38),HYPERLINK("https://www.youtube.com/watch?v="&amp;INDEX(tblVideos[Video ID],N38),IF(INDEX(tblVideos[Status],N38)="Watched","✓ ","▸ ")&amp;INDEX(tblVideos[Title],N38))))</f>
        <v/>
      </c>
      <c r="F38" s="71">
        <f>IF(O38="","",IF(INDEX(tblVideos[Video ID],O38)="",IF(INDEX(tblVideos[Status],O38)="Watched","✓ ","▸ ")&amp;INDEX(tblVideos[Title],O38),HYPERLINK("https://www.youtube.com/watch?v="&amp;INDEX(tblVideos[Video ID],O38),IF(INDEX(tblVideos[Status],O38)="Watched","✓ ","▸ ")&amp;INDEX(tblVideos[Title],O38))))</f>
        <v/>
      </c>
      <c r="G38" s="71">
        <f>IF(P38="","",IF(INDEX(tblVideos[Video ID],P38)="",IF(INDEX(tblVideos[Status],P38)="Watched","✓ ","▸ ")&amp;INDEX(tblVideos[Title],P38),HYPERLINK("https://www.youtube.com/watch?v="&amp;INDEX(tblVideos[Video ID],P38),IF(INDEX(tblVideos[Status],P38)="Watched","✓ ","▸ ")&amp;INDEX(tblVideos[Title],P38))))</f>
        <v/>
      </c>
      <c r="H38" s="71">
        <f>IF(Q38="","",IF(INDEX(tblVideos[Video ID],Q38)="",IF(INDEX(tblVideos[Status],Q38)="Watched","✓ ","▸ ")&amp;INDEX(tblVideos[Title],Q38),HYPERLINK("https://www.youtube.com/watch?v="&amp;INDEX(tblVideos[Video ID],Q38),IF(INDEX(tblVideos[Status],Q38)="Watched","✓ ","▸ ")&amp;INDEX(tblVideos[Title],Q38))))</f>
        <v/>
      </c>
      <c r="K38">
        <f>IF(S34&gt;=2,MATCH(K34*100+2,tblVideos[Cal Key],0),"")</f>
        <v/>
      </c>
      <c r="L38">
        <f>IF(T34&gt;=2,MATCH(L34*100+2,tblVideos[Cal Key],0),"")</f>
        <v/>
      </c>
      <c r="M38">
        <f>IF(U34&gt;=2,MATCH(M34*100+2,tblVideos[Cal Key],0),"")</f>
        <v/>
      </c>
      <c r="N38">
        <f>IF(V34&gt;=2,MATCH(N34*100+2,tblVideos[Cal Key],0),"")</f>
        <v/>
      </c>
      <c r="O38">
        <f>IF(W34&gt;=2,MATCH(O34*100+2,tblVideos[Cal Key],0),"")</f>
        <v/>
      </c>
      <c r="P38">
        <f>IF(X34&gt;=2,MATCH(P34*100+2,tblVideos[Cal Key],0),"")</f>
        <v/>
      </c>
      <c r="Q38">
        <f>IF(Y34&gt;=2,MATCH(Q34*100+2,tblVideos[Cal Key],0),"")</f>
        <v/>
      </c>
      <c r="S38">
        <f>IF(K38="","",IFERROR(MATCH(INDEX(tblVideos[Channel ID],K38),tblChannels[Channel ID],0),""))</f>
        <v/>
      </c>
      <c r="T38">
        <f>IF(L38="","",IFERROR(MATCH(INDEX(tblVideos[Channel ID],L38),tblChannels[Channel ID],0),""))</f>
        <v/>
      </c>
      <c r="U38">
        <f>IF(M38="","",IFERROR(MATCH(INDEX(tblVideos[Channel ID],M38),tblChannels[Channel ID],0),""))</f>
        <v/>
      </c>
      <c r="V38">
        <f>IF(N38="","",IFERROR(MATCH(INDEX(tblVideos[Channel ID],N38),tblChannels[Channel ID],0),""))</f>
        <v/>
      </c>
      <c r="W38">
        <f>IF(O38="","",IFERROR(MATCH(INDEX(tblVideos[Channel ID],O38),tblChannels[Channel ID],0),""))</f>
        <v/>
      </c>
      <c r="X38">
        <f>IF(P38="","",IFERROR(MATCH(INDEX(tblVideos[Channel ID],P38),tblChannels[Channel ID],0),""))</f>
        <v/>
      </c>
      <c r="Y38">
        <f>IF(Q38="","",IFERROR(MATCH(INDEX(tblVideos[Channel ID],Q38),tblChannels[Channel ID],0),""))</f>
        <v/>
      </c>
    </row>
    <row r="39">
      <c r="B39" s="71">
        <f>IF(K39="","",IF(INDEX(tblVideos[Video ID],K39)="",IF(INDEX(tblVideos[Status],K39)="Watched","✓ ","▸ ")&amp;INDEX(tblVideos[Title],K39),HYPERLINK("https://www.youtube.com/watch?v="&amp;INDEX(tblVideos[Video ID],K39),IF(INDEX(tblVideos[Status],K39)="Watched","✓ ","▸ ")&amp;INDEX(tblVideos[Title],K39))))</f>
        <v/>
      </c>
      <c r="C39" s="71">
        <f>IF(L39="","",IF(INDEX(tblVideos[Video ID],L39)="",IF(INDEX(tblVideos[Status],L39)="Watched","✓ ","▸ ")&amp;INDEX(tblVideos[Title],L39),HYPERLINK("https://www.youtube.com/watch?v="&amp;INDEX(tblVideos[Video ID],L39),IF(INDEX(tblVideos[Status],L39)="Watched","✓ ","▸ ")&amp;INDEX(tblVideos[Title],L39))))</f>
        <v/>
      </c>
      <c r="D39" s="71">
        <f>IF(M39="","",IF(INDEX(tblVideos[Video ID],M39)="",IF(INDEX(tblVideos[Status],M39)="Watched","✓ ","▸ ")&amp;INDEX(tblVideos[Title],M39),HYPERLINK("https://www.youtube.com/watch?v="&amp;INDEX(tblVideos[Video ID],M39),IF(INDEX(tblVideos[Status],M39)="Watched","✓ ","▸ ")&amp;INDEX(tblVideos[Title],M39))))</f>
        <v/>
      </c>
      <c r="E39" s="71">
        <f>IF(N39="","",IF(INDEX(tblVideos[Video ID],N39)="",IF(INDEX(tblVideos[Status],N39)="Watched","✓ ","▸ ")&amp;INDEX(tblVideos[Title],N39),HYPERLINK("https://www.youtube.com/watch?v="&amp;INDEX(tblVideos[Video ID],N39),IF(INDEX(tblVideos[Status],N39)="Watched","✓ ","▸ ")&amp;INDEX(tblVideos[Title],N39))))</f>
        <v/>
      </c>
      <c r="F39" s="71">
        <f>IF(O39="","",IF(INDEX(tblVideos[Video ID],O39)="",IF(INDEX(tblVideos[Status],O39)="Watched","✓ ","▸ ")&amp;INDEX(tblVideos[Title],O39),HYPERLINK("https://www.youtube.com/watch?v="&amp;INDEX(tblVideos[Video ID],O39),IF(INDEX(tblVideos[Status],O39)="Watched","✓ ","▸ ")&amp;INDEX(tblVideos[Title],O39))))</f>
        <v/>
      </c>
      <c r="G39" s="71">
        <f>IF(P39="","",IF(INDEX(tblVideos[Video ID],P39)="",IF(INDEX(tblVideos[Status],P39)="Watched","✓ ","▸ ")&amp;INDEX(tblVideos[Title],P39),HYPERLINK("https://www.youtube.com/watch?v="&amp;INDEX(tblVideos[Video ID],P39),IF(INDEX(tblVideos[Status],P39)="Watched","✓ ","▸ ")&amp;INDEX(tblVideos[Title],P39))))</f>
        <v/>
      </c>
      <c r="H39" s="71">
        <f>IF(Q39="","",IF(INDEX(tblVideos[Video ID],Q39)="",IF(INDEX(tblVideos[Status],Q39)="Watched","✓ ","▸ ")&amp;INDEX(tblVideos[Title],Q39),HYPERLINK("https://www.youtube.com/watch?v="&amp;INDEX(tblVideos[Video ID],Q39),IF(INDEX(tblVideos[Status],Q39)="Watched","✓ ","▸ ")&amp;INDEX(tblVideos[Title],Q39))))</f>
        <v/>
      </c>
      <c r="K39">
        <f>IF(S34&gt;=3,MATCH(K34*100+3,tblVideos[Cal Key],0),"")</f>
        <v/>
      </c>
      <c r="L39">
        <f>IF(T34&gt;=3,MATCH(L34*100+3,tblVideos[Cal Key],0),"")</f>
        <v/>
      </c>
      <c r="M39">
        <f>IF(U34&gt;=3,MATCH(M34*100+3,tblVideos[Cal Key],0),"")</f>
        <v/>
      </c>
      <c r="N39">
        <f>IF(V34&gt;=3,MATCH(N34*100+3,tblVideos[Cal Key],0),"")</f>
        <v/>
      </c>
      <c r="O39">
        <f>IF(W34&gt;=3,MATCH(O34*100+3,tblVideos[Cal Key],0),"")</f>
        <v/>
      </c>
      <c r="P39">
        <f>IF(X34&gt;=3,MATCH(P34*100+3,tblVideos[Cal Key],0),"")</f>
        <v/>
      </c>
      <c r="Q39">
        <f>IF(Y34&gt;=3,MATCH(Q34*100+3,tblVideos[Cal Key],0),"")</f>
        <v/>
      </c>
      <c r="S39">
        <f>IF(K39="","",IFERROR(MATCH(INDEX(tblVideos[Channel ID],K39),tblChannels[Channel ID],0),""))</f>
        <v/>
      </c>
      <c r="T39">
        <f>IF(L39="","",IFERROR(MATCH(INDEX(tblVideos[Channel ID],L39),tblChannels[Channel ID],0),""))</f>
        <v/>
      </c>
      <c r="U39">
        <f>IF(M39="","",IFERROR(MATCH(INDEX(tblVideos[Channel ID],M39),tblChannels[Channel ID],0),""))</f>
        <v/>
      </c>
      <c r="V39">
        <f>IF(N39="","",IFERROR(MATCH(INDEX(tblVideos[Channel ID],N39),tblChannels[Channel ID],0),""))</f>
        <v/>
      </c>
      <c r="W39">
        <f>IF(O39="","",IFERROR(MATCH(INDEX(tblVideos[Channel ID],O39),tblChannels[Channel ID],0),""))</f>
        <v/>
      </c>
      <c r="X39">
        <f>IF(P39="","",IFERROR(MATCH(INDEX(tblVideos[Channel ID],P39),tblChannels[Channel ID],0),""))</f>
        <v/>
      </c>
      <c r="Y39">
        <f>IF(Q39="","",IFERROR(MATCH(INDEX(tblVideos[Channel ID],Q39),tblChannels[Channel ID],0),""))</f>
        <v/>
      </c>
    </row>
    <row r="40">
      <c r="B40" s="71">
        <f>IF(K40="","",IF(INDEX(tblVideos[Video ID],K40)="",IF(INDEX(tblVideos[Status],K40)="Watched","✓ ","▸ ")&amp;INDEX(tblVideos[Title],K40),HYPERLINK("https://www.youtube.com/watch?v="&amp;INDEX(tblVideos[Video ID],K40),IF(INDEX(tblVideos[Status],K40)="Watched","✓ ","▸ ")&amp;INDEX(tblVideos[Title],K40))))</f>
        <v/>
      </c>
      <c r="C40" s="71">
        <f>IF(L40="","",IF(INDEX(tblVideos[Video ID],L40)="",IF(INDEX(tblVideos[Status],L40)="Watched","✓ ","▸ ")&amp;INDEX(tblVideos[Title],L40),HYPERLINK("https://www.youtube.com/watch?v="&amp;INDEX(tblVideos[Video ID],L40),IF(INDEX(tblVideos[Status],L40)="Watched","✓ ","▸ ")&amp;INDEX(tblVideos[Title],L40))))</f>
        <v/>
      </c>
      <c r="D40" s="71">
        <f>IF(M40="","",IF(INDEX(tblVideos[Video ID],M40)="",IF(INDEX(tblVideos[Status],M40)="Watched","✓ ","▸ ")&amp;INDEX(tblVideos[Title],M40),HYPERLINK("https://www.youtube.com/watch?v="&amp;INDEX(tblVideos[Video ID],M40),IF(INDEX(tblVideos[Status],M40)="Watched","✓ ","▸ ")&amp;INDEX(tblVideos[Title],M40))))</f>
        <v/>
      </c>
      <c r="E40" s="71">
        <f>IF(N40="","",IF(INDEX(tblVideos[Video ID],N40)="",IF(INDEX(tblVideos[Status],N40)="Watched","✓ ","▸ ")&amp;INDEX(tblVideos[Title],N40),HYPERLINK("https://www.youtube.com/watch?v="&amp;INDEX(tblVideos[Video ID],N40),IF(INDEX(tblVideos[Status],N40)="Watched","✓ ","▸ ")&amp;INDEX(tblVideos[Title],N40))))</f>
        <v/>
      </c>
      <c r="F40" s="71">
        <f>IF(O40="","",IF(INDEX(tblVideos[Video ID],O40)="",IF(INDEX(tblVideos[Status],O40)="Watched","✓ ","▸ ")&amp;INDEX(tblVideos[Title],O40),HYPERLINK("https://www.youtube.com/watch?v="&amp;INDEX(tblVideos[Video ID],O40),IF(INDEX(tblVideos[Status],O40)="Watched","✓ ","▸ ")&amp;INDEX(tblVideos[Title],O40))))</f>
        <v/>
      </c>
      <c r="G40" s="71">
        <f>IF(P40="","",IF(INDEX(tblVideos[Video ID],P40)="",IF(INDEX(tblVideos[Status],P40)="Watched","✓ ","▸ ")&amp;INDEX(tblVideos[Title],P40),HYPERLINK("https://www.youtube.com/watch?v="&amp;INDEX(tblVideos[Video ID],P40),IF(INDEX(tblVideos[Status],P40)="Watched","✓ ","▸ ")&amp;INDEX(tblVideos[Title],P40))))</f>
        <v/>
      </c>
      <c r="H40" s="71">
        <f>IF(Q40="","",IF(INDEX(tblVideos[Video ID],Q40)="",IF(INDEX(tblVideos[Status],Q40)="Watched","✓ ","▸ ")&amp;INDEX(tblVideos[Title],Q40),HYPERLINK("https://www.youtube.com/watch?v="&amp;INDEX(tblVideos[Video ID],Q40),IF(INDEX(tblVideos[Status],Q40)="Watched","✓ ","▸ ")&amp;INDEX(tblVideos[Title],Q40))))</f>
        <v/>
      </c>
      <c r="K40">
        <f>IF(S34&gt;=4,MATCH(K34*100+4,tblVideos[Cal Key],0),"")</f>
        <v/>
      </c>
      <c r="L40">
        <f>IF(T34&gt;=4,MATCH(L34*100+4,tblVideos[Cal Key],0),"")</f>
        <v/>
      </c>
      <c r="M40">
        <f>IF(U34&gt;=4,MATCH(M34*100+4,tblVideos[Cal Key],0),"")</f>
        <v/>
      </c>
      <c r="N40">
        <f>IF(V34&gt;=4,MATCH(N34*100+4,tblVideos[Cal Key],0),"")</f>
        <v/>
      </c>
      <c r="O40">
        <f>IF(W34&gt;=4,MATCH(O34*100+4,tblVideos[Cal Key],0),"")</f>
        <v/>
      </c>
      <c r="P40">
        <f>IF(X34&gt;=4,MATCH(P34*100+4,tblVideos[Cal Key],0),"")</f>
        <v/>
      </c>
      <c r="Q40">
        <f>IF(Y34&gt;=4,MATCH(Q34*100+4,tblVideos[Cal Key],0),"")</f>
        <v/>
      </c>
      <c r="S40">
        <f>IF(K40="","",IFERROR(MATCH(INDEX(tblVideos[Channel ID],K40),tblChannels[Channel ID],0),""))</f>
        <v/>
      </c>
      <c r="T40">
        <f>IF(L40="","",IFERROR(MATCH(INDEX(tblVideos[Channel ID],L40),tblChannels[Channel ID],0),""))</f>
        <v/>
      </c>
      <c r="U40">
        <f>IF(M40="","",IFERROR(MATCH(INDEX(tblVideos[Channel ID],M40),tblChannels[Channel ID],0),""))</f>
        <v/>
      </c>
      <c r="V40">
        <f>IF(N40="","",IFERROR(MATCH(INDEX(tblVideos[Channel ID],N40),tblChannels[Channel ID],0),""))</f>
        <v/>
      </c>
      <c r="W40">
        <f>IF(O40="","",IFERROR(MATCH(INDEX(tblVideos[Channel ID],O40),tblChannels[Channel ID],0),""))</f>
        <v/>
      </c>
      <c r="X40">
        <f>IF(P40="","",IFERROR(MATCH(INDEX(tblVideos[Channel ID],P40),tblChannels[Channel ID],0),""))</f>
        <v/>
      </c>
      <c r="Y40">
        <f>IF(Q40="","",IFERROR(MATCH(INDEX(tblVideos[Channel ID],Q40),tblChannels[Channel ID],0),""))</f>
        <v/>
      </c>
    </row>
    <row r="41">
      <c r="B41" s="71">
        <f>IF(K41="","",IF(INDEX(tblVideos[Video ID],K41)="",IF(INDEX(tblVideos[Status],K41)="Watched","✓ ","▸ ")&amp;INDEX(tblVideos[Title],K41),HYPERLINK("https://www.youtube.com/watch?v="&amp;INDEX(tblVideos[Video ID],K41),IF(INDEX(tblVideos[Status],K41)="Watched","✓ ","▸ ")&amp;INDEX(tblVideos[Title],K41))))</f>
        <v/>
      </c>
      <c r="C41" s="71">
        <f>IF(L41="","",IF(INDEX(tblVideos[Video ID],L41)="",IF(INDEX(tblVideos[Status],L41)="Watched","✓ ","▸ ")&amp;INDEX(tblVideos[Title],L41),HYPERLINK("https://www.youtube.com/watch?v="&amp;INDEX(tblVideos[Video ID],L41),IF(INDEX(tblVideos[Status],L41)="Watched","✓ ","▸ ")&amp;INDEX(tblVideos[Title],L41))))</f>
        <v/>
      </c>
      <c r="D41" s="71">
        <f>IF(M41="","",IF(INDEX(tblVideos[Video ID],M41)="",IF(INDEX(tblVideos[Status],M41)="Watched","✓ ","▸ ")&amp;INDEX(tblVideos[Title],M41),HYPERLINK("https://www.youtube.com/watch?v="&amp;INDEX(tblVideos[Video ID],M41),IF(INDEX(tblVideos[Status],M41)="Watched","✓ ","▸ ")&amp;INDEX(tblVideos[Title],M41))))</f>
        <v/>
      </c>
      <c r="E41" s="71">
        <f>IF(N41="","",IF(INDEX(tblVideos[Video ID],N41)="",IF(INDEX(tblVideos[Status],N41)="Watched","✓ ","▸ ")&amp;INDEX(tblVideos[Title],N41),HYPERLINK("https://www.youtube.com/watch?v="&amp;INDEX(tblVideos[Video ID],N41),IF(INDEX(tblVideos[Status],N41)="Watched","✓ ","▸ ")&amp;INDEX(tblVideos[Title],N41))))</f>
        <v/>
      </c>
      <c r="F41" s="71">
        <f>IF(O41="","",IF(INDEX(tblVideos[Video ID],O41)="",IF(INDEX(tblVideos[Status],O41)="Watched","✓ ","▸ ")&amp;INDEX(tblVideos[Title],O41),HYPERLINK("https://www.youtube.com/watch?v="&amp;INDEX(tblVideos[Video ID],O41),IF(INDEX(tblVideos[Status],O41)="Watched","✓ ","▸ ")&amp;INDEX(tblVideos[Title],O41))))</f>
        <v/>
      </c>
      <c r="G41" s="71">
        <f>IF(P41="","",IF(INDEX(tblVideos[Video ID],P41)="",IF(INDEX(tblVideos[Status],P41)="Watched","✓ ","▸ ")&amp;INDEX(tblVideos[Title],P41),HYPERLINK("https://www.youtube.com/watch?v="&amp;INDEX(tblVideos[Video ID],P41),IF(INDEX(tblVideos[Status],P41)="Watched","✓ ","▸ ")&amp;INDEX(tblVideos[Title],P41))))</f>
        <v/>
      </c>
      <c r="H41" s="71">
        <f>IF(Q41="","",IF(INDEX(tblVideos[Video ID],Q41)="",IF(INDEX(tblVideos[Status],Q41)="Watched","✓ ","▸ ")&amp;INDEX(tblVideos[Title],Q41),HYPERLINK("https://www.youtube.com/watch?v="&amp;INDEX(tblVideos[Video ID],Q41),IF(INDEX(tblVideos[Status],Q41)="Watched","✓ ","▸ ")&amp;INDEX(tblVideos[Title],Q41))))</f>
        <v/>
      </c>
      <c r="K41">
        <f>IF(S34&gt;=5,MATCH(K34*100+5,tblVideos[Cal Key],0),"")</f>
        <v/>
      </c>
      <c r="L41">
        <f>IF(T34&gt;=5,MATCH(L34*100+5,tblVideos[Cal Key],0),"")</f>
        <v/>
      </c>
      <c r="M41">
        <f>IF(U34&gt;=5,MATCH(M34*100+5,tblVideos[Cal Key],0),"")</f>
        <v/>
      </c>
      <c r="N41">
        <f>IF(V34&gt;=5,MATCH(N34*100+5,tblVideos[Cal Key],0),"")</f>
        <v/>
      </c>
      <c r="O41">
        <f>IF(W34&gt;=5,MATCH(O34*100+5,tblVideos[Cal Key],0),"")</f>
        <v/>
      </c>
      <c r="P41">
        <f>IF(X34&gt;=5,MATCH(P34*100+5,tblVideos[Cal Key],0),"")</f>
        <v/>
      </c>
      <c r="Q41">
        <f>IF(Y34&gt;=5,MATCH(Q34*100+5,tblVideos[Cal Key],0),"")</f>
        <v/>
      </c>
      <c r="S41">
        <f>IF(K41="","",IFERROR(MATCH(INDEX(tblVideos[Channel ID],K41),tblChannels[Channel ID],0),""))</f>
        <v/>
      </c>
      <c r="T41">
        <f>IF(L41="","",IFERROR(MATCH(INDEX(tblVideos[Channel ID],L41),tblChannels[Channel ID],0),""))</f>
        <v/>
      </c>
      <c r="U41">
        <f>IF(M41="","",IFERROR(MATCH(INDEX(tblVideos[Channel ID],M41),tblChannels[Channel ID],0),""))</f>
        <v/>
      </c>
      <c r="V41">
        <f>IF(N41="","",IFERROR(MATCH(INDEX(tblVideos[Channel ID],N41),tblChannels[Channel ID],0),""))</f>
        <v/>
      </c>
      <c r="W41">
        <f>IF(O41="","",IFERROR(MATCH(INDEX(tblVideos[Channel ID],O41),tblChannels[Channel ID],0),""))</f>
        <v/>
      </c>
      <c r="X41">
        <f>IF(P41="","",IFERROR(MATCH(INDEX(tblVideos[Channel ID],P41),tblChannels[Channel ID],0),""))</f>
        <v/>
      </c>
      <c r="Y41">
        <f>IF(Q41="","",IFERROR(MATCH(INDEX(tblVideos[Channel ID],Q41),tblChannels[Channel ID],0),""))</f>
        <v/>
      </c>
    </row>
    <row r="42" ht="18" customHeight="1">
      <c r="B42" s="69">
        <f>IF(MONTH(K42)=MONTH($K$2),DAY(K42)&amp;IF(S42&gt;0,"   ·   "&amp;S42&amp;IF(S42=1," video"," videos")&amp;"   ·   "&amp;IF(ROUND((AA42)*1440,0)&lt;60,ROUND((AA42)*1440,0)&amp;" m",IF(MOD(ROUND((AA42)*1440,0),60)=0,INT(ROUND((AA42)*1440,0)/60)&amp;" h",INT(ROUND((AA42)*1440,0)/60)&amp;" h "&amp;MOD(ROUND((AA42)*1440,0),60)&amp;" m"))&amp;IF(S42&gt;5,"   (+"&amp;(S42-5)&amp;" more)",""),""),"")</f>
        <v/>
      </c>
      <c r="C42" s="69">
        <f>IF(MONTH(L42)=MONTH($K$2),DAY(L42)&amp;IF(T42&gt;0,"   ·   "&amp;T42&amp;IF(T42=1," video"," videos")&amp;"   ·   "&amp;IF(ROUND((AB42)*1440,0)&lt;60,ROUND((AB42)*1440,0)&amp;" m",IF(MOD(ROUND((AB42)*1440,0),60)=0,INT(ROUND((AB42)*1440,0)/60)&amp;" h",INT(ROUND((AB42)*1440,0)/60)&amp;" h "&amp;MOD(ROUND((AB42)*1440,0),60)&amp;" m"))&amp;IF(T42&gt;5,"   (+"&amp;(T42-5)&amp;" more)",""),""),"")</f>
        <v/>
      </c>
      <c r="D42" s="69">
        <f>IF(MONTH(M42)=MONTH($K$2),DAY(M42)&amp;IF(U42&gt;0,"   ·   "&amp;U42&amp;IF(U42=1," video"," videos")&amp;"   ·   "&amp;IF(ROUND((AC42)*1440,0)&lt;60,ROUND((AC42)*1440,0)&amp;" m",IF(MOD(ROUND((AC42)*1440,0),60)=0,INT(ROUND((AC42)*1440,0)/60)&amp;" h",INT(ROUND((AC42)*1440,0)/60)&amp;" h "&amp;MOD(ROUND((AC42)*1440,0),60)&amp;" m"))&amp;IF(U42&gt;5,"   (+"&amp;(U42-5)&amp;" more)",""),""),"")</f>
        <v/>
      </c>
      <c r="E42" s="69">
        <f>IF(MONTH(N42)=MONTH($K$2),DAY(N42)&amp;IF(V42&gt;0,"   ·   "&amp;V42&amp;IF(V42=1," video"," videos")&amp;"   ·   "&amp;IF(ROUND((AD42)*1440,0)&lt;60,ROUND((AD42)*1440,0)&amp;" m",IF(MOD(ROUND((AD42)*1440,0),60)=0,INT(ROUND((AD42)*1440,0)/60)&amp;" h",INT(ROUND((AD42)*1440,0)/60)&amp;" h "&amp;MOD(ROUND((AD42)*1440,0),60)&amp;" m"))&amp;IF(V42&gt;5,"   (+"&amp;(V42-5)&amp;" more)",""),""),"")</f>
        <v/>
      </c>
      <c r="F42" s="69">
        <f>IF(MONTH(O42)=MONTH($K$2),DAY(O42)&amp;IF(W42&gt;0,"   ·   "&amp;W42&amp;IF(W42=1," video"," videos")&amp;"   ·   "&amp;IF(ROUND((AE42)*1440,0)&lt;60,ROUND((AE42)*1440,0)&amp;" m",IF(MOD(ROUND((AE42)*1440,0),60)=0,INT(ROUND((AE42)*1440,0)/60)&amp;" h",INT(ROUND((AE42)*1440,0)/60)&amp;" h "&amp;MOD(ROUND((AE42)*1440,0),60)&amp;" m"))&amp;IF(W42&gt;5,"   (+"&amp;(W42-5)&amp;" more)",""),""),"")</f>
        <v/>
      </c>
      <c r="G42" s="69">
        <f>IF(MONTH(P42)=MONTH($K$2),DAY(P42)&amp;IF(X42&gt;0,"   ·   "&amp;X42&amp;IF(X42=1," video"," videos")&amp;"   ·   "&amp;IF(ROUND((AF42)*1440,0)&lt;60,ROUND((AF42)*1440,0)&amp;" m",IF(MOD(ROUND((AF42)*1440,0),60)=0,INT(ROUND((AF42)*1440,0)/60)&amp;" h",INT(ROUND((AF42)*1440,0)/60)&amp;" h "&amp;MOD(ROUND((AF42)*1440,0),60)&amp;" m"))&amp;IF(X42&gt;5,"   (+"&amp;(X42-5)&amp;" more)",""),""),"")</f>
        <v/>
      </c>
      <c r="H42" s="69">
        <f>IF(MONTH(Q42)=MONTH($K$2),DAY(Q42)&amp;IF(Y42&gt;0,"   ·   "&amp;Y42&amp;IF(Y42=1," video"," videos")&amp;"   ·   "&amp;IF(ROUND((AG42)*1440,0)&lt;60,ROUND((AG42)*1440,0)&amp;" m",IF(MOD(ROUND((AG42)*1440,0),60)=0,INT(ROUND((AG42)*1440,0)/60)&amp;" h",INT(ROUND((AG42)*1440,0)/60)&amp;" h "&amp;MOD(ROUND((AG42)*1440,0),60)&amp;" m"))&amp;IF(Y42&gt;5,"   (+"&amp;(Y42-5)&amp;" more)",""),""),"")</f>
        <v/>
      </c>
      <c r="K42" s="59">
        <f>$K$3+28</f>
        <v/>
      </c>
      <c r="L42" s="59">
        <f>$K$3+29</f>
        <v/>
      </c>
      <c r="M42" s="59">
        <f>$K$3+30</f>
        <v/>
      </c>
      <c r="N42" s="59">
        <f>$K$3+31</f>
        <v/>
      </c>
      <c r="O42" s="59">
        <f>$K$3+32</f>
        <v/>
      </c>
      <c r="P42" s="59">
        <f>$K$3+33</f>
        <v/>
      </c>
      <c r="Q42" s="59">
        <f>$K$3+34</f>
        <v/>
      </c>
      <c r="S42">
        <f>IF(MONTH(K42)=MONTH($K$2),COUNTIFS(tblVideos[Day],K42,tblVideos[Channel ID],$K$4),0)</f>
        <v/>
      </c>
      <c r="T42">
        <f>IF(MONTH(L42)=MONTH($K$2),COUNTIFS(tblVideos[Day],L42,tblVideos[Channel ID],$K$4),0)</f>
        <v/>
      </c>
      <c r="U42">
        <f>IF(MONTH(M42)=MONTH($K$2),COUNTIFS(tblVideos[Day],M42,tblVideos[Channel ID],$K$4),0)</f>
        <v/>
      </c>
      <c r="V42">
        <f>IF(MONTH(N42)=MONTH($K$2),COUNTIFS(tblVideos[Day],N42,tblVideos[Channel ID],$K$4),0)</f>
        <v/>
      </c>
      <c r="W42">
        <f>IF(MONTH(O42)=MONTH($K$2),COUNTIFS(tblVideos[Day],O42,tblVideos[Channel ID],$K$4),0)</f>
        <v/>
      </c>
      <c r="X42">
        <f>IF(MONTH(P42)=MONTH($K$2),COUNTIFS(tblVideos[Day],P42,tblVideos[Channel ID],$K$4),0)</f>
        <v/>
      </c>
      <c r="Y42">
        <f>IF(MONTH(Q42)=MONTH($K$2),COUNTIFS(tblVideos[Day],Q42,tblVideos[Channel ID],$K$4),0)</f>
        <v/>
      </c>
      <c r="AA42">
        <f>IF(S42&gt;0,SUMIFS(tblVideos[Length],tblVideos[Day],K42,tblVideos[Channel ID],$K$4),0)</f>
        <v/>
      </c>
      <c r="AB42">
        <f>IF(T42&gt;0,SUMIFS(tblVideos[Length],tblVideos[Day],L42,tblVideos[Channel ID],$K$4),0)</f>
        <v/>
      </c>
      <c r="AC42">
        <f>IF(U42&gt;0,SUMIFS(tblVideos[Length],tblVideos[Day],M42,tblVideos[Channel ID],$K$4),0)</f>
        <v/>
      </c>
      <c r="AD42">
        <f>IF(V42&gt;0,SUMIFS(tblVideos[Length],tblVideos[Day],N42,tblVideos[Channel ID],$K$4),0)</f>
        <v/>
      </c>
      <c r="AE42">
        <f>IF(W42&gt;0,SUMIFS(tblVideos[Length],tblVideos[Day],O42,tblVideos[Channel ID],$K$4),0)</f>
        <v/>
      </c>
      <c r="AF42">
        <f>IF(X42&gt;0,SUMIFS(tblVideos[Length],tblVideos[Day],P42,tblVideos[Channel ID],$K$4),0)</f>
        <v/>
      </c>
      <c r="AG42">
        <f>IF(Y42&gt;0,SUMIFS(tblVideos[Length],tblVideos[Day],Q42,tblVideos[Channel ID],$K$4),0)</f>
        <v/>
      </c>
    </row>
    <row r="43" ht="14" customHeight="1">
      <c r="B43" s="70">
        <f>IF(K43="","",IF(LEFT(INDEX(Events!$F$6:$F$598,K43),4)="http",HYPERLINK(INDEX(Events!$F$6:$F$598,K43),IFERROR(INDEX(Lists!$H$1:$H$7,S43),"")&amp;" "&amp;SUBSTITUTE(INDEX(Events!$C$6:$C$598,K43),"{n}",YEAR(INDEX(EventGrid!$E$4:$E$596,K43))-YEAR(INDEX(Events!$A$6:$A$598,K43)))),IFERROR(INDEX(Lists!$H$1:$H$7,S43),"")&amp;" "&amp;SUBSTITUTE(INDEX(Events!$C$6:$C$598,K43),"{n}",YEAR(INDEX(EventGrid!$E$4:$E$596,K43))-YEAR(INDEX(Events!$A$6:$A$598,K43)))))</f>
        <v/>
      </c>
      <c r="C43" s="70">
        <f>IF(L43="","",IF(LEFT(INDEX(Events!$F$6:$F$598,L43),4)="http",HYPERLINK(INDEX(Events!$F$6:$F$598,L43),IFERROR(INDEX(Lists!$H$1:$H$7,T43),"")&amp;" "&amp;SUBSTITUTE(INDEX(Events!$C$6:$C$598,L43),"{n}",YEAR(INDEX(EventGrid!$E$4:$E$596,L43))-YEAR(INDEX(Events!$A$6:$A$598,L43)))),IFERROR(INDEX(Lists!$H$1:$H$7,T43),"")&amp;" "&amp;SUBSTITUTE(INDEX(Events!$C$6:$C$598,L43),"{n}",YEAR(INDEX(EventGrid!$E$4:$E$596,L43))-YEAR(INDEX(Events!$A$6:$A$598,L43)))))</f>
        <v/>
      </c>
      <c r="D43" s="70">
        <f>IF(M43="","",IF(LEFT(INDEX(Events!$F$6:$F$598,M43),4)="http",HYPERLINK(INDEX(Events!$F$6:$F$598,M43),IFERROR(INDEX(Lists!$H$1:$H$7,U43),"")&amp;" "&amp;SUBSTITUTE(INDEX(Events!$C$6:$C$598,M43),"{n}",YEAR(INDEX(EventGrid!$E$4:$E$596,M43))-YEAR(INDEX(Events!$A$6:$A$598,M43)))),IFERROR(INDEX(Lists!$H$1:$H$7,U43),"")&amp;" "&amp;SUBSTITUTE(INDEX(Events!$C$6:$C$598,M43),"{n}",YEAR(INDEX(EventGrid!$E$4:$E$596,M43))-YEAR(INDEX(Events!$A$6:$A$598,M43)))))</f>
        <v/>
      </c>
      <c r="E43" s="70">
        <f>IF(N43="","",IF(LEFT(INDEX(Events!$F$6:$F$598,N43),4)="http",HYPERLINK(INDEX(Events!$F$6:$F$598,N43),IFERROR(INDEX(Lists!$H$1:$H$7,V43),"")&amp;" "&amp;SUBSTITUTE(INDEX(Events!$C$6:$C$598,N43),"{n}",YEAR(INDEX(EventGrid!$E$4:$E$596,N43))-YEAR(INDEX(Events!$A$6:$A$598,N43)))),IFERROR(INDEX(Lists!$H$1:$H$7,V43),"")&amp;" "&amp;SUBSTITUTE(INDEX(Events!$C$6:$C$598,N43),"{n}",YEAR(INDEX(EventGrid!$E$4:$E$596,N43))-YEAR(INDEX(Events!$A$6:$A$598,N43)))))</f>
        <v/>
      </c>
      <c r="F43" s="70">
        <f>IF(O43="","",IF(LEFT(INDEX(Events!$F$6:$F$598,O43),4)="http",HYPERLINK(INDEX(Events!$F$6:$F$598,O43),IFERROR(INDEX(Lists!$H$1:$H$7,W43),"")&amp;" "&amp;SUBSTITUTE(INDEX(Events!$C$6:$C$598,O43),"{n}",YEAR(INDEX(EventGrid!$E$4:$E$596,O43))-YEAR(INDEX(Events!$A$6:$A$598,O43)))),IFERROR(INDEX(Lists!$H$1:$H$7,W43),"")&amp;" "&amp;SUBSTITUTE(INDEX(Events!$C$6:$C$598,O43),"{n}",YEAR(INDEX(EventGrid!$E$4:$E$596,O43))-YEAR(INDEX(Events!$A$6:$A$598,O43)))))</f>
        <v/>
      </c>
      <c r="G43" s="70">
        <f>IF(P43="","",IF(LEFT(INDEX(Events!$F$6:$F$598,P43),4)="http",HYPERLINK(INDEX(Events!$F$6:$F$598,P43),IFERROR(INDEX(Lists!$H$1:$H$7,X43),"")&amp;" "&amp;SUBSTITUTE(INDEX(Events!$C$6:$C$598,P43),"{n}",YEAR(INDEX(EventGrid!$E$4:$E$596,P43))-YEAR(INDEX(Events!$A$6:$A$598,P43)))),IFERROR(INDEX(Lists!$H$1:$H$7,X43),"")&amp;" "&amp;SUBSTITUTE(INDEX(Events!$C$6:$C$598,P43),"{n}",YEAR(INDEX(EventGrid!$E$4:$E$596,P43))-YEAR(INDEX(Events!$A$6:$A$598,P43)))))</f>
        <v/>
      </c>
      <c r="H43" s="70">
        <f>IF(Q43="","",IF(LEFT(INDEX(Events!$F$6:$F$598,Q43),4)="http",HYPERLINK(INDEX(Events!$F$6:$F$598,Q43),IFERROR(INDEX(Lists!$H$1:$H$7,Y43),"")&amp;" "&amp;SUBSTITUTE(INDEX(Events!$C$6:$C$598,Q43),"{n}",YEAR(INDEX(EventGrid!$E$4:$E$596,Q43))-YEAR(INDEX(Events!$A$6:$A$598,Q43)))),IFERROR(INDEX(Lists!$H$1:$H$7,Y43),"")&amp;" "&amp;SUBSTITUTE(INDEX(Events!$C$6:$C$598,Q43),"{n}",YEAR(INDEX(EventGrid!$E$4:$E$596,Q43))-YEAR(INDEX(Events!$A$6:$A$598,Q43)))))</f>
        <v/>
      </c>
      <c r="K43">
        <f>IF(MONTH(K42)=MONTH($K$2),IFERROR(MATCH(1,EventGrid!AJ$3:AJ$596,0)-1,""),"")</f>
        <v/>
      </c>
      <c r="L43">
        <f>IF(MONTH(L42)=MONTH($K$2),IFERROR(MATCH(1,EventGrid!AK$3:AK$596,0)-1,""),"")</f>
        <v/>
      </c>
      <c r="M43">
        <f>IF(MONTH(M42)=MONTH($K$2),IFERROR(MATCH(1,EventGrid!AL$3:AL$596,0)-1,""),"")</f>
        <v/>
      </c>
      <c r="N43">
        <f>IF(MONTH(N42)=MONTH($K$2),IFERROR(MATCH(1,EventGrid!AM$3:AM$596,0)-1,""),"")</f>
        <v/>
      </c>
      <c r="O43">
        <f>IF(MONTH(O42)=MONTH($K$2),IFERROR(MATCH(1,EventGrid!AN$3:AN$596,0)-1,""),"")</f>
        <v/>
      </c>
      <c r="P43">
        <f>IF(MONTH(P42)=MONTH($K$2),IFERROR(MATCH(1,EventGrid!AO$3:AO$596,0)-1,""),"")</f>
        <v/>
      </c>
      <c r="Q43">
        <f>IF(MONTH(Q42)=MONTH($K$2),IFERROR(MATCH(1,EventGrid!AP$3:AP$596,0)-1,""),"")</f>
        <v/>
      </c>
      <c r="S43">
        <f>IF(K43="","",IFERROR(MATCH(INDEX(Events!$D$6:$D$598,K43),Lists!$G$1:$G$7,0),""))</f>
        <v/>
      </c>
      <c r="T43">
        <f>IF(L43="","",IFERROR(MATCH(INDEX(Events!$D$6:$D$598,L43),Lists!$G$1:$G$7,0),""))</f>
        <v/>
      </c>
      <c r="U43">
        <f>IF(M43="","",IFERROR(MATCH(INDEX(Events!$D$6:$D$598,M43),Lists!$G$1:$G$7,0),""))</f>
        <v/>
      </c>
      <c r="V43">
        <f>IF(N43="","",IFERROR(MATCH(INDEX(Events!$D$6:$D$598,N43),Lists!$G$1:$G$7,0),""))</f>
        <v/>
      </c>
      <c r="W43">
        <f>IF(O43="","",IFERROR(MATCH(INDEX(Events!$D$6:$D$598,O43),Lists!$G$1:$G$7,0),""))</f>
        <v/>
      </c>
      <c r="X43">
        <f>IF(P43="","",IFERROR(MATCH(INDEX(Events!$D$6:$D$598,P43),Lists!$G$1:$G$7,0),""))</f>
        <v/>
      </c>
      <c r="Y43">
        <f>IF(Q43="","",IFERROR(MATCH(INDEX(Events!$D$6:$D$598,Q43),Lists!$G$1:$G$7,0),""))</f>
        <v/>
      </c>
    </row>
    <row r="44" ht="14" customHeight="1">
      <c r="B44" s="70">
        <f>IF(K44="","",IF(LEFT(INDEX(Events!$F$6:$F$598,K44),4)="http",HYPERLINK(INDEX(Events!$F$6:$F$598,K44),IFERROR(INDEX(Lists!$H$1:$H$7,S44),"")&amp;" "&amp;SUBSTITUTE(INDEX(Events!$C$6:$C$598,K44),"{n}",YEAR(INDEX(EventGrid!$E$4:$E$596,K44))-YEAR(INDEX(Events!$A$6:$A$598,K44)))&amp;IF(EventGrid!AJ$596&gt;2," (+"&amp;(EventGrid!AJ$596-2)&amp;" more)","")),IFERROR(INDEX(Lists!$H$1:$H$7,S44),"")&amp;" "&amp;SUBSTITUTE(INDEX(Events!$C$6:$C$598,K44),"{n}",YEAR(INDEX(EventGrid!$E$4:$E$596,K44))-YEAR(INDEX(Events!$A$6:$A$598,K44)))&amp;IF(EventGrid!AJ$596&gt;2," (+"&amp;(EventGrid!AJ$596-2)&amp;" more)","")))</f>
        <v/>
      </c>
      <c r="C44" s="70">
        <f>IF(L44="","",IF(LEFT(INDEX(Events!$F$6:$F$598,L44),4)="http",HYPERLINK(INDEX(Events!$F$6:$F$598,L44),IFERROR(INDEX(Lists!$H$1:$H$7,T44),"")&amp;" "&amp;SUBSTITUTE(INDEX(Events!$C$6:$C$598,L44),"{n}",YEAR(INDEX(EventGrid!$E$4:$E$596,L44))-YEAR(INDEX(Events!$A$6:$A$598,L44)))&amp;IF(EventGrid!AK$596&gt;2," (+"&amp;(EventGrid!AK$596-2)&amp;" more)","")),IFERROR(INDEX(Lists!$H$1:$H$7,T44),"")&amp;" "&amp;SUBSTITUTE(INDEX(Events!$C$6:$C$598,L44),"{n}",YEAR(INDEX(EventGrid!$E$4:$E$596,L44))-YEAR(INDEX(Events!$A$6:$A$598,L44)))&amp;IF(EventGrid!AK$596&gt;2," (+"&amp;(EventGrid!AK$596-2)&amp;" more)","")))</f>
        <v/>
      </c>
      <c r="D44" s="70">
        <f>IF(M44="","",IF(LEFT(INDEX(Events!$F$6:$F$598,M44),4)="http",HYPERLINK(INDEX(Events!$F$6:$F$598,M44),IFERROR(INDEX(Lists!$H$1:$H$7,U44),"")&amp;" "&amp;SUBSTITUTE(INDEX(Events!$C$6:$C$598,M44),"{n}",YEAR(INDEX(EventGrid!$E$4:$E$596,M44))-YEAR(INDEX(Events!$A$6:$A$598,M44)))&amp;IF(EventGrid!AL$596&gt;2," (+"&amp;(EventGrid!AL$596-2)&amp;" more)","")),IFERROR(INDEX(Lists!$H$1:$H$7,U44),"")&amp;" "&amp;SUBSTITUTE(INDEX(Events!$C$6:$C$598,M44),"{n}",YEAR(INDEX(EventGrid!$E$4:$E$596,M44))-YEAR(INDEX(Events!$A$6:$A$598,M44)))&amp;IF(EventGrid!AL$596&gt;2," (+"&amp;(EventGrid!AL$596-2)&amp;" more)","")))</f>
        <v/>
      </c>
      <c r="E44" s="70">
        <f>IF(N44="","",IF(LEFT(INDEX(Events!$F$6:$F$598,N44),4)="http",HYPERLINK(INDEX(Events!$F$6:$F$598,N44),IFERROR(INDEX(Lists!$H$1:$H$7,V44),"")&amp;" "&amp;SUBSTITUTE(INDEX(Events!$C$6:$C$598,N44),"{n}",YEAR(INDEX(EventGrid!$E$4:$E$596,N44))-YEAR(INDEX(Events!$A$6:$A$598,N44)))&amp;IF(EventGrid!AM$596&gt;2," (+"&amp;(EventGrid!AM$596-2)&amp;" more)","")),IFERROR(INDEX(Lists!$H$1:$H$7,V44),"")&amp;" "&amp;SUBSTITUTE(INDEX(Events!$C$6:$C$598,N44),"{n}",YEAR(INDEX(EventGrid!$E$4:$E$596,N44))-YEAR(INDEX(Events!$A$6:$A$598,N44)))&amp;IF(EventGrid!AM$596&gt;2," (+"&amp;(EventGrid!AM$596-2)&amp;" more)","")))</f>
        <v/>
      </c>
      <c r="F44" s="70">
        <f>IF(O44="","",IF(LEFT(INDEX(Events!$F$6:$F$598,O44),4)="http",HYPERLINK(INDEX(Events!$F$6:$F$598,O44),IFERROR(INDEX(Lists!$H$1:$H$7,W44),"")&amp;" "&amp;SUBSTITUTE(INDEX(Events!$C$6:$C$598,O44),"{n}",YEAR(INDEX(EventGrid!$E$4:$E$596,O44))-YEAR(INDEX(Events!$A$6:$A$598,O44)))&amp;IF(EventGrid!AN$596&gt;2," (+"&amp;(EventGrid!AN$596-2)&amp;" more)","")),IFERROR(INDEX(Lists!$H$1:$H$7,W44),"")&amp;" "&amp;SUBSTITUTE(INDEX(Events!$C$6:$C$598,O44),"{n}",YEAR(INDEX(EventGrid!$E$4:$E$596,O44))-YEAR(INDEX(Events!$A$6:$A$598,O44)))&amp;IF(EventGrid!AN$596&gt;2," (+"&amp;(EventGrid!AN$596-2)&amp;" more)","")))</f>
        <v/>
      </c>
      <c r="G44" s="70">
        <f>IF(P44="","",IF(LEFT(INDEX(Events!$F$6:$F$598,P44),4)="http",HYPERLINK(INDEX(Events!$F$6:$F$598,P44),IFERROR(INDEX(Lists!$H$1:$H$7,X44),"")&amp;" "&amp;SUBSTITUTE(INDEX(Events!$C$6:$C$598,P44),"{n}",YEAR(INDEX(EventGrid!$E$4:$E$596,P44))-YEAR(INDEX(Events!$A$6:$A$598,P44)))&amp;IF(EventGrid!AO$596&gt;2," (+"&amp;(EventGrid!AO$596-2)&amp;" more)","")),IFERROR(INDEX(Lists!$H$1:$H$7,X44),"")&amp;" "&amp;SUBSTITUTE(INDEX(Events!$C$6:$C$598,P44),"{n}",YEAR(INDEX(EventGrid!$E$4:$E$596,P44))-YEAR(INDEX(Events!$A$6:$A$598,P44)))&amp;IF(EventGrid!AO$596&gt;2," (+"&amp;(EventGrid!AO$596-2)&amp;" more)","")))</f>
        <v/>
      </c>
      <c r="H44" s="70">
        <f>IF(Q44="","",IF(LEFT(INDEX(Events!$F$6:$F$598,Q44),4)="http",HYPERLINK(INDEX(Events!$F$6:$F$598,Q44),IFERROR(INDEX(Lists!$H$1:$H$7,Y44),"")&amp;" "&amp;SUBSTITUTE(INDEX(Events!$C$6:$C$598,Q44),"{n}",YEAR(INDEX(EventGrid!$E$4:$E$596,Q44))-YEAR(INDEX(Events!$A$6:$A$598,Q44)))&amp;IF(EventGrid!AP$596&gt;2," (+"&amp;(EventGrid!AP$596-2)&amp;" more)","")),IFERROR(INDEX(Lists!$H$1:$H$7,Y44),"")&amp;" "&amp;SUBSTITUTE(INDEX(Events!$C$6:$C$598,Q44),"{n}",YEAR(INDEX(EventGrid!$E$4:$E$596,Q44))-YEAR(INDEX(Events!$A$6:$A$598,Q44)))&amp;IF(EventGrid!AP$596&gt;2," (+"&amp;(EventGrid!AP$596-2)&amp;" more)","")))</f>
        <v/>
      </c>
      <c r="K44">
        <f>IF(MONTH(K42)=MONTH($K$2),IFERROR(MATCH(2,EventGrid!AJ$3:AJ$596,0)-1,""),"")</f>
        <v/>
      </c>
      <c r="L44">
        <f>IF(MONTH(L42)=MONTH($K$2),IFERROR(MATCH(2,EventGrid!AK$3:AK$596,0)-1,""),"")</f>
        <v/>
      </c>
      <c r="M44">
        <f>IF(MONTH(M42)=MONTH($K$2),IFERROR(MATCH(2,EventGrid!AL$3:AL$596,0)-1,""),"")</f>
        <v/>
      </c>
      <c r="N44">
        <f>IF(MONTH(N42)=MONTH($K$2),IFERROR(MATCH(2,EventGrid!AM$3:AM$596,0)-1,""),"")</f>
        <v/>
      </c>
      <c r="O44">
        <f>IF(MONTH(O42)=MONTH($K$2),IFERROR(MATCH(2,EventGrid!AN$3:AN$596,0)-1,""),"")</f>
        <v/>
      </c>
      <c r="P44">
        <f>IF(MONTH(P42)=MONTH($K$2),IFERROR(MATCH(2,EventGrid!AO$3:AO$596,0)-1,""),"")</f>
        <v/>
      </c>
      <c r="Q44">
        <f>IF(MONTH(Q42)=MONTH($K$2),IFERROR(MATCH(2,EventGrid!AP$3:AP$596,0)-1,""),"")</f>
        <v/>
      </c>
      <c r="S44">
        <f>IF(K44="","",IFERROR(MATCH(INDEX(Events!$D$6:$D$598,K44),Lists!$G$1:$G$7,0),""))</f>
        <v/>
      </c>
      <c r="T44">
        <f>IF(L44="","",IFERROR(MATCH(INDEX(Events!$D$6:$D$598,L44),Lists!$G$1:$G$7,0),""))</f>
        <v/>
      </c>
      <c r="U44">
        <f>IF(M44="","",IFERROR(MATCH(INDEX(Events!$D$6:$D$598,M44),Lists!$G$1:$G$7,0),""))</f>
        <v/>
      </c>
      <c r="V44">
        <f>IF(N44="","",IFERROR(MATCH(INDEX(Events!$D$6:$D$598,N44),Lists!$G$1:$G$7,0),""))</f>
        <v/>
      </c>
      <c r="W44">
        <f>IF(O44="","",IFERROR(MATCH(INDEX(Events!$D$6:$D$598,O44),Lists!$G$1:$G$7,0),""))</f>
        <v/>
      </c>
      <c r="X44">
        <f>IF(P44="","",IFERROR(MATCH(INDEX(Events!$D$6:$D$598,P44),Lists!$G$1:$G$7,0),""))</f>
        <v/>
      </c>
      <c r="Y44">
        <f>IF(Q44="","",IFERROR(MATCH(INDEX(Events!$D$6:$D$598,Q44),Lists!$G$1:$G$7,0),""))</f>
        <v/>
      </c>
    </row>
    <row r="45">
      <c r="B45" s="71">
        <f>IF(K45="","",IF(INDEX(tblVideos[Video ID],K45)="",IF(INDEX(tblVideos[Status],K45)="Watched","✓ ","▸ ")&amp;INDEX(tblVideos[Title],K45),HYPERLINK("https://www.youtube.com/watch?v="&amp;INDEX(tblVideos[Video ID],K45),IF(INDEX(tblVideos[Status],K45)="Watched","✓ ","▸ ")&amp;INDEX(tblVideos[Title],K45))))</f>
        <v/>
      </c>
      <c r="C45" s="71">
        <f>IF(L45="","",IF(INDEX(tblVideos[Video ID],L45)="",IF(INDEX(tblVideos[Status],L45)="Watched","✓ ","▸ ")&amp;INDEX(tblVideos[Title],L45),HYPERLINK("https://www.youtube.com/watch?v="&amp;INDEX(tblVideos[Video ID],L45),IF(INDEX(tblVideos[Status],L45)="Watched","✓ ","▸ ")&amp;INDEX(tblVideos[Title],L45))))</f>
        <v/>
      </c>
      <c r="D45" s="71">
        <f>IF(M45="","",IF(INDEX(tblVideos[Video ID],M45)="",IF(INDEX(tblVideos[Status],M45)="Watched","✓ ","▸ ")&amp;INDEX(tblVideos[Title],M45),HYPERLINK("https://www.youtube.com/watch?v="&amp;INDEX(tblVideos[Video ID],M45),IF(INDEX(tblVideos[Status],M45)="Watched","✓ ","▸ ")&amp;INDEX(tblVideos[Title],M45))))</f>
        <v/>
      </c>
      <c r="E45" s="71">
        <f>IF(N45="","",IF(INDEX(tblVideos[Video ID],N45)="",IF(INDEX(tblVideos[Status],N45)="Watched","✓ ","▸ ")&amp;INDEX(tblVideos[Title],N45),HYPERLINK("https://www.youtube.com/watch?v="&amp;INDEX(tblVideos[Video ID],N45),IF(INDEX(tblVideos[Status],N45)="Watched","✓ ","▸ ")&amp;INDEX(tblVideos[Title],N45))))</f>
        <v/>
      </c>
      <c r="F45" s="71">
        <f>IF(O45="","",IF(INDEX(tblVideos[Video ID],O45)="",IF(INDEX(tblVideos[Status],O45)="Watched","✓ ","▸ ")&amp;INDEX(tblVideos[Title],O45),HYPERLINK("https://www.youtube.com/watch?v="&amp;INDEX(tblVideos[Video ID],O45),IF(INDEX(tblVideos[Status],O45)="Watched","✓ ","▸ ")&amp;INDEX(tblVideos[Title],O45))))</f>
        <v/>
      </c>
      <c r="G45" s="71">
        <f>IF(P45="","",IF(INDEX(tblVideos[Video ID],P45)="",IF(INDEX(tblVideos[Status],P45)="Watched","✓ ","▸ ")&amp;INDEX(tblVideos[Title],P45),HYPERLINK("https://www.youtube.com/watch?v="&amp;INDEX(tblVideos[Video ID],P45),IF(INDEX(tblVideos[Status],P45)="Watched","✓ ","▸ ")&amp;INDEX(tblVideos[Title],P45))))</f>
        <v/>
      </c>
      <c r="H45" s="71">
        <f>IF(Q45="","",IF(INDEX(tblVideos[Video ID],Q45)="",IF(INDEX(tblVideos[Status],Q45)="Watched","✓ ","▸ ")&amp;INDEX(tblVideos[Title],Q45),HYPERLINK("https://www.youtube.com/watch?v="&amp;INDEX(tblVideos[Video ID],Q45),IF(INDEX(tblVideos[Status],Q45)="Watched","✓ ","▸ ")&amp;INDEX(tblVideos[Title],Q45))))</f>
        <v/>
      </c>
      <c r="K45">
        <f>IF(S42&gt;=1,MATCH(K42*100+1,tblVideos[Cal Key],0),"")</f>
        <v/>
      </c>
      <c r="L45">
        <f>IF(T42&gt;=1,MATCH(L42*100+1,tblVideos[Cal Key],0),"")</f>
        <v/>
      </c>
      <c r="M45">
        <f>IF(U42&gt;=1,MATCH(M42*100+1,tblVideos[Cal Key],0),"")</f>
        <v/>
      </c>
      <c r="N45">
        <f>IF(V42&gt;=1,MATCH(N42*100+1,tblVideos[Cal Key],0),"")</f>
        <v/>
      </c>
      <c r="O45">
        <f>IF(W42&gt;=1,MATCH(O42*100+1,tblVideos[Cal Key],0),"")</f>
        <v/>
      </c>
      <c r="P45">
        <f>IF(X42&gt;=1,MATCH(P42*100+1,tblVideos[Cal Key],0),"")</f>
        <v/>
      </c>
      <c r="Q45">
        <f>IF(Y42&gt;=1,MATCH(Q42*100+1,tblVideos[Cal Key],0),"")</f>
        <v/>
      </c>
      <c r="S45">
        <f>IF(K45="","",IFERROR(MATCH(INDEX(tblVideos[Channel ID],K45),tblChannels[Channel ID],0),""))</f>
        <v/>
      </c>
      <c r="T45">
        <f>IF(L45="","",IFERROR(MATCH(INDEX(tblVideos[Channel ID],L45),tblChannels[Channel ID],0),""))</f>
        <v/>
      </c>
      <c r="U45">
        <f>IF(M45="","",IFERROR(MATCH(INDEX(tblVideos[Channel ID],M45),tblChannels[Channel ID],0),""))</f>
        <v/>
      </c>
      <c r="V45">
        <f>IF(N45="","",IFERROR(MATCH(INDEX(tblVideos[Channel ID],N45),tblChannels[Channel ID],0),""))</f>
        <v/>
      </c>
      <c r="W45">
        <f>IF(O45="","",IFERROR(MATCH(INDEX(tblVideos[Channel ID],O45),tblChannels[Channel ID],0),""))</f>
        <v/>
      </c>
      <c r="X45">
        <f>IF(P45="","",IFERROR(MATCH(INDEX(tblVideos[Channel ID],P45),tblChannels[Channel ID],0),""))</f>
        <v/>
      </c>
      <c r="Y45">
        <f>IF(Q45="","",IFERROR(MATCH(INDEX(tblVideos[Channel ID],Q45),tblChannels[Channel ID],0),""))</f>
        <v/>
      </c>
    </row>
    <row r="46">
      <c r="B46" s="71">
        <f>IF(K46="","",IF(INDEX(tblVideos[Video ID],K46)="",IF(INDEX(tblVideos[Status],K46)="Watched","✓ ","▸ ")&amp;INDEX(tblVideos[Title],K46),HYPERLINK("https://www.youtube.com/watch?v="&amp;INDEX(tblVideos[Video ID],K46),IF(INDEX(tblVideos[Status],K46)="Watched","✓ ","▸ ")&amp;INDEX(tblVideos[Title],K46))))</f>
        <v/>
      </c>
      <c r="C46" s="71">
        <f>IF(L46="","",IF(INDEX(tblVideos[Video ID],L46)="",IF(INDEX(tblVideos[Status],L46)="Watched","✓ ","▸ ")&amp;INDEX(tblVideos[Title],L46),HYPERLINK("https://www.youtube.com/watch?v="&amp;INDEX(tblVideos[Video ID],L46),IF(INDEX(tblVideos[Status],L46)="Watched","✓ ","▸ ")&amp;INDEX(tblVideos[Title],L46))))</f>
        <v/>
      </c>
      <c r="D46" s="71">
        <f>IF(M46="","",IF(INDEX(tblVideos[Video ID],M46)="",IF(INDEX(tblVideos[Status],M46)="Watched","✓ ","▸ ")&amp;INDEX(tblVideos[Title],M46),HYPERLINK("https://www.youtube.com/watch?v="&amp;INDEX(tblVideos[Video ID],M46),IF(INDEX(tblVideos[Status],M46)="Watched","✓ ","▸ ")&amp;INDEX(tblVideos[Title],M46))))</f>
        <v/>
      </c>
      <c r="E46" s="71">
        <f>IF(N46="","",IF(INDEX(tblVideos[Video ID],N46)="",IF(INDEX(tblVideos[Status],N46)="Watched","✓ ","▸ ")&amp;INDEX(tblVideos[Title],N46),HYPERLINK("https://www.youtube.com/watch?v="&amp;INDEX(tblVideos[Video ID],N46),IF(INDEX(tblVideos[Status],N46)="Watched","✓ ","▸ ")&amp;INDEX(tblVideos[Title],N46))))</f>
        <v/>
      </c>
      <c r="F46" s="71">
        <f>IF(O46="","",IF(INDEX(tblVideos[Video ID],O46)="",IF(INDEX(tblVideos[Status],O46)="Watched","✓ ","▸ ")&amp;INDEX(tblVideos[Title],O46),HYPERLINK("https://www.youtube.com/watch?v="&amp;INDEX(tblVideos[Video ID],O46),IF(INDEX(tblVideos[Status],O46)="Watched","✓ ","▸ ")&amp;INDEX(tblVideos[Title],O46))))</f>
        <v/>
      </c>
      <c r="G46" s="71">
        <f>IF(P46="","",IF(INDEX(tblVideos[Video ID],P46)="",IF(INDEX(tblVideos[Status],P46)="Watched","✓ ","▸ ")&amp;INDEX(tblVideos[Title],P46),HYPERLINK("https://www.youtube.com/watch?v="&amp;INDEX(tblVideos[Video ID],P46),IF(INDEX(tblVideos[Status],P46)="Watched","✓ ","▸ ")&amp;INDEX(tblVideos[Title],P46))))</f>
        <v/>
      </c>
      <c r="H46" s="71">
        <f>IF(Q46="","",IF(INDEX(tblVideos[Video ID],Q46)="",IF(INDEX(tblVideos[Status],Q46)="Watched","✓ ","▸ ")&amp;INDEX(tblVideos[Title],Q46),HYPERLINK("https://www.youtube.com/watch?v="&amp;INDEX(tblVideos[Video ID],Q46),IF(INDEX(tblVideos[Status],Q46)="Watched","✓ ","▸ ")&amp;INDEX(tblVideos[Title],Q46))))</f>
        <v/>
      </c>
      <c r="K46">
        <f>IF(S42&gt;=2,MATCH(K42*100+2,tblVideos[Cal Key],0),"")</f>
        <v/>
      </c>
      <c r="L46">
        <f>IF(T42&gt;=2,MATCH(L42*100+2,tblVideos[Cal Key],0),"")</f>
        <v/>
      </c>
      <c r="M46">
        <f>IF(U42&gt;=2,MATCH(M42*100+2,tblVideos[Cal Key],0),"")</f>
        <v/>
      </c>
      <c r="N46">
        <f>IF(V42&gt;=2,MATCH(N42*100+2,tblVideos[Cal Key],0),"")</f>
        <v/>
      </c>
      <c r="O46">
        <f>IF(W42&gt;=2,MATCH(O42*100+2,tblVideos[Cal Key],0),"")</f>
        <v/>
      </c>
      <c r="P46">
        <f>IF(X42&gt;=2,MATCH(P42*100+2,tblVideos[Cal Key],0),"")</f>
        <v/>
      </c>
      <c r="Q46">
        <f>IF(Y42&gt;=2,MATCH(Q42*100+2,tblVideos[Cal Key],0),"")</f>
        <v/>
      </c>
      <c r="S46">
        <f>IF(K46="","",IFERROR(MATCH(INDEX(tblVideos[Channel ID],K46),tblChannels[Channel ID],0),""))</f>
        <v/>
      </c>
      <c r="T46">
        <f>IF(L46="","",IFERROR(MATCH(INDEX(tblVideos[Channel ID],L46),tblChannels[Channel ID],0),""))</f>
        <v/>
      </c>
      <c r="U46">
        <f>IF(M46="","",IFERROR(MATCH(INDEX(tblVideos[Channel ID],M46),tblChannels[Channel ID],0),""))</f>
        <v/>
      </c>
      <c r="V46">
        <f>IF(N46="","",IFERROR(MATCH(INDEX(tblVideos[Channel ID],N46),tblChannels[Channel ID],0),""))</f>
        <v/>
      </c>
      <c r="W46">
        <f>IF(O46="","",IFERROR(MATCH(INDEX(tblVideos[Channel ID],O46),tblChannels[Channel ID],0),""))</f>
        <v/>
      </c>
      <c r="X46">
        <f>IF(P46="","",IFERROR(MATCH(INDEX(tblVideos[Channel ID],P46),tblChannels[Channel ID],0),""))</f>
        <v/>
      </c>
      <c r="Y46">
        <f>IF(Q46="","",IFERROR(MATCH(INDEX(tblVideos[Channel ID],Q46),tblChannels[Channel ID],0),""))</f>
        <v/>
      </c>
    </row>
    <row r="47">
      <c r="B47" s="71">
        <f>IF(K47="","",IF(INDEX(tblVideos[Video ID],K47)="",IF(INDEX(tblVideos[Status],K47)="Watched","✓ ","▸ ")&amp;INDEX(tblVideos[Title],K47),HYPERLINK("https://www.youtube.com/watch?v="&amp;INDEX(tblVideos[Video ID],K47),IF(INDEX(tblVideos[Status],K47)="Watched","✓ ","▸ ")&amp;INDEX(tblVideos[Title],K47))))</f>
        <v/>
      </c>
      <c r="C47" s="71">
        <f>IF(L47="","",IF(INDEX(tblVideos[Video ID],L47)="",IF(INDEX(tblVideos[Status],L47)="Watched","✓ ","▸ ")&amp;INDEX(tblVideos[Title],L47),HYPERLINK("https://www.youtube.com/watch?v="&amp;INDEX(tblVideos[Video ID],L47),IF(INDEX(tblVideos[Status],L47)="Watched","✓ ","▸ ")&amp;INDEX(tblVideos[Title],L47))))</f>
        <v/>
      </c>
      <c r="D47" s="71">
        <f>IF(M47="","",IF(INDEX(tblVideos[Video ID],M47)="",IF(INDEX(tblVideos[Status],M47)="Watched","✓ ","▸ ")&amp;INDEX(tblVideos[Title],M47),HYPERLINK("https://www.youtube.com/watch?v="&amp;INDEX(tblVideos[Video ID],M47),IF(INDEX(tblVideos[Status],M47)="Watched","✓ ","▸ ")&amp;INDEX(tblVideos[Title],M47))))</f>
        <v/>
      </c>
      <c r="E47" s="71">
        <f>IF(N47="","",IF(INDEX(tblVideos[Video ID],N47)="",IF(INDEX(tblVideos[Status],N47)="Watched","✓ ","▸ ")&amp;INDEX(tblVideos[Title],N47),HYPERLINK("https://www.youtube.com/watch?v="&amp;INDEX(tblVideos[Video ID],N47),IF(INDEX(tblVideos[Status],N47)="Watched","✓ ","▸ ")&amp;INDEX(tblVideos[Title],N47))))</f>
        <v/>
      </c>
      <c r="F47" s="71">
        <f>IF(O47="","",IF(INDEX(tblVideos[Video ID],O47)="",IF(INDEX(tblVideos[Status],O47)="Watched","✓ ","▸ ")&amp;INDEX(tblVideos[Title],O47),HYPERLINK("https://www.youtube.com/watch?v="&amp;INDEX(tblVideos[Video ID],O47),IF(INDEX(tblVideos[Status],O47)="Watched","✓ ","▸ ")&amp;INDEX(tblVideos[Title],O47))))</f>
        <v/>
      </c>
      <c r="G47" s="71">
        <f>IF(P47="","",IF(INDEX(tblVideos[Video ID],P47)="",IF(INDEX(tblVideos[Status],P47)="Watched","✓ ","▸ ")&amp;INDEX(tblVideos[Title],P47),HYPERLINK("https://www.youtube.com/watch?v="&amp;INDEX(tblVideos[Video ID],P47),IF(INDEX(tblVideos[Status],P47)="Watched","✓ ","▸ ")&amp;INDEX(tblVideos[Title],P47))))</f>
        <v/>
      </c>
      <c r="H47" s="71">
        <f>IF(Q47="","",IF(INDEX(tblVideos[Video ID],Q47)="",IF(INDEX(tblVideos[Status],Q47)="Watched","✓ ","▸ ")&amp;INDEX(tblVideos[Title],Q47),HYPERLINK("https://www.youtube.com/watch?v="&amp;INDEX(tblVideos[Video ID],Q47),IF(INDEX(tblVideos[Status],Q47)="Watched","✓ ","▸ ")&amp;INDEX(tblVideos[Title],Q47))))</f>
        <v/>
      </c>
      <c r="K47">
        <f>IF(S42&gt;=3,MATCH(K42*100+3,tblVideos[Cal Key],0),"")</f>
        <v/>
      </c>
      <c r="L47">
        <f>IF(T42&gt;=3,MATCH(L42*100+3,tblVideos[Cal Key],0),"")</f>
        <v/>
      </c>
      <c r="M47">
        <f>IF(U42&gt;=3,MATCH(M42*100+3,tblVideos[Cal Key],0),"")</f>
        <v/>
      </c>
      <c r="N47">
        <f>IF(V42&gt;=3,MATCH(N42*100+3,tblVideos[Cal Key],0),"")</f>
        <v/>
      </c>
      <c r="O47">
        <f>IF(W42&gt;=3,MATCH(O42*100+3,tblVideos[Cal Key],0),"")</f>
        <v/>
      </c>
      <c r="P47">
        <f>IF(X42&gt;=3,MATCH(P42*100+3,tblVideos[Cal Key],0),"")</f>
        <v/>
      </c>
      <c r="Q47">
        <f>IF(Y42&gt;=3,MATCH(Q42*100+3,tblVideos[Cal Key],0),"")</f>
        <v/>
      </c>
      <c r="S47">
        <f>IF(K47="","",IFERROR(MATCH(INDEX(tblVideos[Channel ID],K47),tblChannels[Channel ID],0),""))</f>
        <v/>
      </c>
      <c r="T47">
        <f>IF(L47="","",IFERROR(MATCH(INDEX(tblVideos[Channel ID],L47),tblChannels[Channel ID],0),""))</f>
        <v/>
      </c>
      <c r="U47">
        <f>IF(M47="","",IFERROR(MATCH(INDEX(tblVideos[Channel ID],M47),tblChannels[Channel ID],0),""))</f>
        <v/>
      </c>
      <c r="V47">
        <f>IF(N47="","",IFERROR(MATCH(INDEX(tblVideos[Channel ID],N47),tblChannels[Channel ID],0),""))</f>
        <v/>
      </c>
      <c r="W47">
        <f>IF(O47="","",IFERROR(MATCH(INDEX(tblVideos[Channel ID],O47),tblChannels[Channel ID],0),""))</f>
        <v/>
      </c>
      <c r="X47">
        <f>IF(P47="","",IFERROR(MATCH(INDEX(tblVideos[Channel ID],P47),tblChannels[Channel ID],0),""))</f>
        <v/>
      </c>
      <c r="Y47">
        <f>IF(Q47="","",IFERROR(MATCH(INDEX(tblVideos[Channel ID],Q47),tblChannels[Channel ID],0),""))</f>
        <v/>
      </c>
    </row>
    <row r="48">
      <c r="B48" s="71">
        <f>IF(K48="","",IF(INDEX(tblVideos[Video ID],K48)="",IF(INDEX(tblVideos[Status],K48)="Watched","✓ ","▸ ")&amp;INDEX(tblVideos[Title],K48),HYPERLINK("https://www.youtube.com/watch?v="&amp;INDEX(tblVideos[Video ID],K48),IF(INDEX(tblVideos[Status],K48)="Watched","✓ ","▸ ")&amp;INDEX(tblVideos[Title],K48))))</f>
        <v/>
      </c>
      <c r="C48" s="71">
        <f>IF(L48="","",IF(INDEX(tblVideos[Video ID],L48)="",IF(INDEX(tblVideos[Status],L48)="Watched","✓ ","▸ ")&amp;INDEX(tblVideos[Title],L48),HYPERLINK("https://www.youtube.com/watch?v="&amp;INDEX(tblVideos[Video ID],L48),IF(INDEX(tblVideos[Status],L48)="Watched","✓ ","▸ ")&amp;INDEX(tblVideos[Title],L48))))</f>
        <v/>
      </c>
      <c r="D48" s="71">
        <f>IF(M48="","",IF(INDEX(tblVideos[Video ID],M48)="",IF(INDEX(tblVideos[Status],M48)="Watched","✓ ","▸ ")&amp;INDEX(tblVideos[Title],M48),HYPERLINK("https://www.youtube.com/watch?v="&amp;INDEX(tblVideos[Video ID],M48),IF(INDEX(tblVideos[Status],M48)="Watched","✓ ","▸ ")&amp;INDEX(tblVideos[Title],M48))))</f>
        <v/>
      </c>
      <c r="E48" s="71">
        <f>IF(N48="","",IF(INDEX(tblVideos[Video ID],N48)="",IF(INDEX(tblVideos[Status],N48)="Watched","✓ ","▸ ")&amp;INDEX(tblVideos[Title],N48),HYPERLINK("https://www.youtube.com/watch?v="&amp;INDEX(tblVideos[Video ID],N48),IF(INDEX(tblVideos[Status],N48)="Watched","✓ ","▸ ")&amp;INDEX(tblVideos[Title],N48))))</f>
        <v/>
      </c>
      <c r="F48" s="71">
        <f>IF(O48="","",IF(INDEX(tblVideos[Video ID],O48)="",IF(INDEX(tblVideos[Status],O48)="Watched","✓ ","▸ ")&amp;INDEX(tblVideos[Title],O48),HYPERLINK("https://www.youtube.com/watch?v="&amp;INDEX(tblVideos[Video ID],O48),IF(INDEX(tblVideos[Status],O48)="Watched","✓ ","▸ ")&amp;INDEX(tblVideos[Title],O48))))</f>
        <v/>
      </c>
      <c r="G48" s="71">
        <f>IF(P48="","",IF(INDEX(tblVideos[Video ID],P48)="",IF(INDEX(tblVideos[Status],P48)="Watched","✓ ","▸ ")&amp;INDEX(tblVideos[Title],P48),HYPERLINK("https://www.youtube.com/watch?v="&amp;INDEX(tblVideos[Video ID],P48),IF(INDEX(tblVideos[Status],P48)="Watched","✓ ","▸ ")&amp;INDEX(tblVideos[Title],P48))))</f>
        <v/>
      </c>
      <c r="H48" s="71">
        <f>IF(Q48="","",IF(INDEX(tblVideos[Video ID],Q48)="",IF(INDEX(tblVideos[Status],Q48)="Watched","✓ ","▸ ")&amp;INDEX(tblVideos[Title],Q48),HYPERLINK("https://www.youtube.com/watch?v="&amp;INDEX(tblVideos[Video ID],Q48),IF(INDEX(tblVideos[Status],Q48)="Watched","✓ ","▸ ")&amp;INDEX(tblVideos[Title],Q48))))</f>
        <v/>
      </c>
      <c r="K48">
        <f>IF(S42&gt;=4,MATCH(K42*100+4,tblVideos[Cal Key],0),"")</f>
        <v/>
      </c>
      <c r="L48">
        <f>IF(T42&gt;=4,MATCH(L42*100+4,tblVideos[Cal Key],0),"")</f>
        <v/>
      </c>
      <c r="M48">
        <f>IF(U42&gt;=4,MATCH(M42*100+4,tblVideos[Cal Key],0),"")</f>
        <v/>
      </c>
      <c r="N48">
        <f>IF(V42&gt;=4,MATCH(N42*100+4,tblVideos[Cal Key],0),"")</f>
        <v/>
      </c>
      <c r="O48">
        <f>IF(W42&gt;=4,MATCH(O42*100+4,tblVideos[Cal Key],0),"")</f>
        <v/>
      </c>
      <c r="P48">
        <f>IF(X42&gt;=4,MATCH(P42*100+4,tblVideos[Cal Key],0),"")</f>
        <v/>
      </c>
      <c r="Q48">
        <f>IF(Y42&gt;=4,MATCH(Q42*100+4,tblVideos[Cal Key],0),"")</f>
        <v/>
      </c>
      <c r="S48">
        <f>IF(K48="","",IFERROR(MATCH(INDEX(tblVideos[Channel ID],K48),tblChannels[Channel ID],0),""))</f>
        <v/>
      </c>
      <c r="T48">
        <f>IF(L48="","",IFERROR(MATCH(INDEX(tblVideos[Channel ID],L48),tblChannels[Channel ID],0),""))</f>
        <v/>
      </c>
      <c r="U48">
        <f>IF(M48="","",IFERROR(MATCH(INDEX(tblVideos[Channel ID],M48),tblChannels[Channel ID],0),""))</f>
        <v/>
      </c>
      <c r="V48">
        <f>IF(N48="","",IFERROR(MATCH(INDEX(tblVideos[Channel ID],N48),tblChannels[Channel ID],0),""))</f>
        <v/>
      </c>
      <c r="W48">
        <f>IF(O48="","",IFERROR(MATCH(INDEX(tblVideos[Channel ID],O48),tblChannels[Channel ID],0),""))</f>
        <v/>
      </c>
      <c r="X48">
        <f>IF(P48="","",IFERROR(MATCH(INDEX(tblVideos[Channel ID],P48),tblChannels[Channel ID],0),""))</f>
        <v/>
      </c>
      <c r="Y48">
        <f>IF(Q48="","",IFERROR(MATCH(INDEX(tblVideos[Channel ID],Q48),tblChannels[Channel ID],0),""))</f>
        <v/>
      </c>
    </row>
    <row r="49">
      <c r="B49" s="71">
        <f>IF(K49="","",IF(INDEX(tblVideos[Video ID],K49)="",IF(INDEX(tblVideos[Status],K49)="Watched","✓ ","▸ ")&amp;INDEX(tblVideos[Title],K49),HYPERLINK("https://www.youtube.com/watch?v="&amp;INDEX(tblVideos[Video ID],K49),IF(INDEX(tblVideos[Status],K49)="Watched","✓ ","▸ ")&amp;INDEX(tblVideos[Title],K49))))</f>
        <v/>
      </c>
      <c r="C49" s="71">
        <f>IF(L49="","",IF(INDEX(tblVideos[Video ID],L49)="",IF(INDEX(tblVideos[Status],L49)="Watched","✓ ","▸ ")&amp;INDEX(tblVideos[Title],L49),HYPERLINK("https://www.youtube.com/watch?v="&amp;INDEX(tblVideos[Video ID],L49),IF(INDEX(tblVideos[Status],L49)="Watched","✓ ","▸ ")&amp;INDEX(tblVideos[Title],L49))))</f>
        <v/>
      </c>
      <c r="D49" s="71">
        <f>IF(M49="","",IF(INDEX(tblVideos[Video ID],M49)="",IF(INDEX(tblVideos[Status],M49)="Watched","✓ ","▸ ")&amp;INDEX(tblVideos[Title],M49),HYPERLINK("https://www.youtube.com/watch?v="&amp;INDEX(tblVideos[Video ID],M49),IF(INDEX(tblVideos[Status],M49)="Watched","✓ ","▸ ")&amp;INDEX(tblVideos[Title],M49))))</f>
        <v/>
      </c>
      <c r="E49" s="71">
        <f>IF(N49="","",IF(INDEX(tblVideos[Video ID],N49)="",IF(INDEX(tblVideos[Status],N49)="Watched","✓ ","▸ ")&amp;INDEX(tblVideos[Title],N49),HYPERLINK("https://www.youtube.com/watch?v="&amp;INDEX(tblVideos[Video ID],N49),IF(INDEX(tblVideos[Status],N49)="Watched","✓ ","▸ ")&amp;INDEX(tblVideos[Title],N49))))</f>
        <v/>
      </c>
      <c r="F49" s="71">
        <f>IF(O49="","",IF(INDEX(tblVideos[Video ID],O49)="",IF(INDEX(tblVideos[Status],O49)="Watched","✓ ","▸ ")&amp;INDEX(tblVideos[Title],O49),HYPERLINK("https://www.youtube.com/watch?v="&amp;INDEX(tblVideos[Video ID],O49),IF(INDEX(tblVideos[Status],O49)="Watched","✓ ","▸ ")&amp;INDEX(tblVideos[Title],O49))))</f>
        <v/>
      </c>
      <c r="G49" s="71">
        <f>IF(P49="","",IF(INDEX(tblVideos[Video ID],P49)="",IF(INDEX(tblVideos[Status],P49)="Watched","✓ ","▸ ")&amp;INDEX(tblVideos[Title],P49),HYPERLINK("https://www.youtube.com/watch?v="&amp;INDEX(tblVideos[Video ID],P49),IF(INDEX(tblVideos[Status],P49)="Watched","✓ ","▸ ")&amp;INDEX(tblVideos[Title],P49))))</f>
        <v/>
      </c>
      <c r="H49" s="71">
        <f>IF(Q49="","",IF(INDEX(tblVideos[Video ID],Q49)="",IF(INDEX(tblVideos[Status],Q49)="Watched","✓ ","▸ ")&amp;INDEX(tblVideos[Title],Q49),HYPERLINK("https://www.youtube.com/watch?v="&amp;INDEX(tblVideos[Video ID],Q49),IF(INDEX(tblVideos[Status],Q49)="Watched","✓ ","▸ ")&amp;INDEX(tblVideos[Title],Q49))))</f>
        <v/>
      </c>
      <c r="K49">
        <f>IF(S42&gt;=5,MATCH(K42*100+5,tblVideos[Cal Key],0),"")</f>
        <v/>
      </c>
      <c r="L49">
        <f>IF(T42&gt;=5,MATCH(L42*100+5,tblVideos[Cal Key],0),"")</f>
        <v/>
      </c>
      <c r="M49">
        <f>IF(U42&gt;=5,MATCH(M42*100+5,tblVideos[Cal Key],0),"")</f>
        <v/>
      </c>
      <c r="N49">
        <f>IF(V42&gt;=5,MATCH(N42*100+5,tblVideos[Cal Key],0),"")</f>
        <v/>
      </c>
      <c r="O49">
        <f>IF(W42&gt;=5,MATCH(O42*100+5,tblVideos[Cal Key],0),"")</f>
        <v/>
      </c>
      <c r="P49">
        <f>IF(X42&gt;=5,MATCH(P42*100+5,tblVideos[Cal Key],0),"")</f>
        <v/>
      </c>
      <c r="Q49">
        <f>IF(Y42&gt;=5,MATCH(Q42*100+5,tblVideos[Cal Key],0),"")</f>
        <v/>
      </c>
      <c r="S49">
        <f>IF(K49="","",IFERROR(MATCH(INDEX(tblVideos[Channel ID],K49),tblChannels[Channel ID],0),""))</f>
        <v/>
      </c>
      <c r="T49">
        <f>IF(L49="","",IFERROR(MATCH(INDEX(tblVideos[Channel ID],L49),tblChannels[Channel ID],0),""))</f>
        <v/>
      </c>
      <c r="U49">
        <f>IF(M49="","",IFERROR(MATCH(INDEX(tblVideos[Channel ID],M49),tblChannels[Channel ID],0),""))</f>
        <v/>
      </c>
      <c r="V49">
        <f>IF(N49="","",IFERROR(MATCH(INDEX(tblVideos[Channel ID],N49),tblChannels[Channel ID],0),""))</f>
        <v/>
      </c>
      <c r="W49">
        <f>IF(O49="","",IFERROR(MATCH(INDEX(tblVideos[Channel ID],O49),tblChannels[Channel ID],0),""))</f>
        <v/>
      </c>
      <c r="X49">
        <f>IF(P49="","",IFERROR(MATCH(INDEX(tblVideos[Channel ID],P49),tblChannels[Channel ID],0),""))</f>
        <v/>
      </c>
      <c r="Y49">
        <f>IF(Q49="","",IFERROR(MATCH(INDEX(tblVideos[Channel ID],Q49),tblChannels[Channel ID],0),""))</f>
        <v/>
      </c>
    </row>
    <row r="50" ht="18" customHeight="1">
      <c r="B50" s="69">
        <f>IF(MONTH(K50)=MONTH($K$2),DAY(K50)&amp;IF(S50&gt;0,"   ·   "&amp;S50&amp;IF(S50=1," video"," videos")&amp;"   ·   "&amp;IF(ROUND((AA50)*1440,0)&lt;60,ROUND((AA50)*1440,0)&amp;" m",IF(MOD(ROUND((AA50)*1440,0),60)=0,INT(ROUND((AA50)*1440,0)/60)&amp;" h",INT(ROUND((AA50)*1440,0)/60)&amp;" h "&amp;MOD(ROUND((AA50)*1440,0),60)&amp;" m"))&amp;IF(S50&gt;5,"   (+"&amp;(S50-5)&amp;" more)",""),""),"")</f>
        <v/>
      </c>
      <c r="C50" s="69">
        <f>IF(MONTH(L50)=MONTH($K$2),DAY(L50)&amp;IF(T50&gt;0,"   ·   "&amp;T50&amp;IF(T50=1," video"," videos")&amp;"   ·   "&amp;IF(ROUND((AB50)*1440,0)&lt;60,ROUND((AB50)*1440,0)&amp;" m",IF(MOD(ROUND((AB50)*1440,0),60)=0,INT(ROUND((AB50)*1440,0)/60)&amp;" h",INT(ROUND((AB50)*1440,0)/60)&amp;" h "&amp;MOD(ROUND((AB50)*1440,0),60)&amp;" m"))&amp;IF(T50&gt;5,"   (+"&amp;(T50-5)&amp;" more)",""),""),"")</f>
        <v/>
      </c>
      <c r="D50" s="69">
        <f>IF(MONTH(M50)=MONTH($K$2),DAY(M50)&amp;IF(U50&gt;0,"   ·   "&amp;U50&amp;IF(U50=1," video"," videos")&amp;"   ·   "&amp;IF(ROUND((AC50)*1440,0)&lt;60,ROUND((AC50)*1440,0)&amp;" m",IF(MOD(ROUND((AC50)*1440,0),60)=0,INT(ROUND((AC50)*1440,0)/60)&amp;" h",INT(ROUND((AC50)*1440,0)/60)&amp;" h "&amp;MOD(ROUND((AC50)*1440,0),60)&amp;" m"))&amp;IF(U50&gt;5,"   (+"&amp;(U50-5)&amp;" more)",""),""),"")</f>
        <v/>
      </c>
      <c r="E50" s="69">
        <f>IF(MONTH(N50)=MONTH($K$2),DAY(N50)&amp;IF(V50&gt;0,"   ·   "&amp;V50&amp;IF(V50=1," video"," videos")&amp;"   ·   "&amp;IF(ROUND((AD50)*1440,0)&lt;60,ROUND((AD50)*1440,0)&amp;" m",IF(MOD(ROUND((AD50)*1440,0),60)=0,INT(ROUND((AD50)*1440,0)/60)&amp;" h",INT(ROUND((AD50)*1440,0)/60)&amp;" h "&amp;MOD(ROUND((AD50)*1440,0),60)&amp;" m"))&amp;IF(V50&gt;5,"   (+"&amp;(V50-5)&amp;" more)",""),""),"")</f>
        <v/>
      </c>
      <c r="F50" s="69">
        <f>IF(MONTH(O50)=MONTH($K$2),DAY(O50)&amp;IF(W50&gt;0,"   ·   "&amp;W50&amp;IF(W50=1," video"," videos")&amp;"   ·   "&amp;IF(ROUND((AE50)*1440,0)&lt;60,ROUND((AE50)*1440,0)&amp;" m",IF(MOD(ROUND((AE50)*1440,0),60)=0,INT(ROUND((AE50)*1440,0)/60)&amp;" h",INT(ROUND((AE50)*1440,0)/60)&amp;" h "&amp;MOD(ROUND((AE50)*1440,0),60)&amp;" m"))&amp;IF(W50&gt;5,"   (+"&amp;(W50-5)&amp;" more)",""),""),"")</f>
        <v/>
      </c>
      <c r="G50" s="69">
        <f>IF(MONTH(P50)=MONTH($K$2),DAY(P50)&amp;IF(X50&gt;0,"   ·   "&amp;X50&amp;IF(X50=1," video"," videos")&amp;"   ·   "&amp;IF(ROUND((AF50)*1440,0)&lt;60,ROUND((AF50)*1440,0)&amp;" m",IF(MOD(ROUND((AF50)*1440,0),60)=0,INT(ROUND((AF50)*1440,0)/60)&amp;" h",INT(ROUND((AF50)*1440,0)/60)&amp;" h "&amp;MOD(ROUND((AF50)*1440,0),60)&amp;" m"))&amp;IF(X50&gt;5,"   (+"&amp;(X50-5)&amp;" more)",""),""),"")</f>
        <v/>
      </c>
      <c r="H50" s="69">
        <f>IF(MONTH(Q50)=MONTH($K$2),DAY(Q50)&amp;IF(Y50&gt;0,"   ·   "&amp;Y50&amp;IF(Y50=1," video"," videos")&amp;"   ·   "&amp;IF(ROUND((AG50)*1440,0)&lt;60,ROUND((AG50)*1440,0)&amp;" m",IF(MOD(ROUND((AG50)*1440,0),60)=0,INT(ROUND((AG50)*1440,0)/60)&amp;" h",INT(ROUND((AG50)*1440,0)/60)&amp;" h "&amp;MOD(ROUND((AG50)*1440,0),60)&amp;" m"))&amp;IF(Y50&gt;5,"   (+"&amp;(Y50-5)&amp;" more)",""),""),"")</f>
        <v/>
      </c>
      <c r="K50" s="59">
        <f>$K$3+35</f>
        <v/>
      </c>
      <c r="L50" s="59">
        <f>$K$3+36</f>
        <v/>
      </c>
      <c r="M50" s="59">
        <f>$K$3+37</f>
        <v/>
      </c>
      <c r="N50" s="59">
        <f>$K$3+38</f>
        <v/>
      </c>
      <c r="O50" s="59">
        <f>$K$3+39</f>
        <v/>
      </c>
      <c r="P50" s="59">
        <f>$K$3+40</f>
        <v/>
      </c>
      <c r="Q50" s="59">
        <f>$K$3+41</f>
        <v/>
      </c>
      <c r="S50">
        <f>IF(MONTH(K50)=MONTH($K$2),COUNTIFS(tblVideos[Day],K50,tblVideos[Channel ID],$K$4),0)</f>
        <v/>
      </c>
      <c r="T50">
        <f>IF(MONTH(L50)=MONTH($K$2),COUNTIFS(tblVideos[Day],L50,tblVideos[Channel ID],$K$4),0)</f>
        <v/>
      </c>
      <c r="U50">
        <f>IF(MONTH(M50)=MONTH($K$2),COUNTIFS(tblVideos[Day],M50,tblVideos[Channel ID],$K$4),0)</f>
        <v/>
      </c>
      <c r="V50">
        <f>IF(MONTH(N50)=MONTH($K$2),COUNTIFS(tblVideos[Day],N50,tblVideos[Channel ID],$K$4),0)</f>
        <v/>
      </c>
      <c r="W50">
        <f>IF(MONTH(O50)=MONTH($K$2),COUNTIFS(tblVideos[Day],O50,tblVideos[Channel ID],$K$4),0)</f>
        <v/>
      </c>
      <c r="X50">
        <f>IF(MONTH(P50)=MONTH($K$2),COUNTIFS(tblVideos[Day],P50,tblVideos[Channel ID],$K$4),0)</f>
        <v/>
      </c>
      <c r="Y50">
        <f>IF(MONTH(Q50)=MONTH($K$2),COUNTIFS(tblVideos[Day],Q50,tblVideos[Channel ID],$K$4),0)</f>
        <v/>
      </c>
      <c r="AA50">
        <f>IF(S50&gt;0,SUMIFS(tblVideos[Length],tblVideos[Day],K50,tblVideos[Channel ID],$K$4),0)</f>
        <v/>
      </c>
      <c r="AB50">
        <f>IF(T50&gt;0,SUMIFS(tblVideos[Length],tblVideos[Day],L50,tblVideos[Channel ID],$K$4),0)</f>
        <v/>
      </c>
      <c r="AC50">
        <f>IF(U50&gt;0,SUMIFS(tblVideos[Length],tblVideos[Day],M50,tblVideos[Channel ID],$K$4),0)</f>
        <v/>
      </c>
      <c r="AD50">
        <f>IF(V50&gt;0,SUMIFS(tblVideos[Length],tblVideos[Day],N50,tblVideos[Channel ID],$K$4),0)</f>
        <v/>
      </c>
      <c r="AE50">
        <f>IF(W50&gt;0,SUMIFS(tblVideos[Length],tblVideos[Day],O50,tblVideos[Channel ID],$K$4),0)</f>
        <v/>
      </c>
      <c r="AF50">
        <f>IF(X50&gt;0,SUMIFS(tblVideos[Length],tblVideos[Day],P50,tblVideos[Channel ID],$K$4),0)</f>
        <v/>
      </c>
      <c r="AG50">
        <f>IF(Y50&gt;0,SUMIFS(tblVideos[Length],tblVideos[Day],Q50,tblVideos[Channel ID],$K$4),0)</f>
        <v/>
      </c>
    </row>
    <row r="51" ht="14" customHeight="1">
      <c r="B51" s="70">
        <f>IF(K51="","",IF(LEFT(INDEX(Events!$F$6:$F$598,K51),4)="http",HYPERLINK(INDEX(Events!$F$6:$F$598,K51),IFERROR(INDEX(Lists!$H$1:$H$7,S51),"")&amp;" "&amp;SUBSTITUTE(INDEX(Events!$C$6:$C$598,K51),"{n}",YEAR(INDEX(EventGrid!$E$4:$E$596,K51))-YEAR(INDEX(Events!$A$6:$A$598,K51)))),IFERROR(INDEX(Lists!$H$1:$H$7,S51),"")&amp;" "&amp;SUBSTITUTE(INDEX(Events!$C$6:$C$598,K51),"{n}",YEAR(INDEX(EventGrid!$E$4:$E$596,K51))-YEAR(INDEX(Events!$A$6:$A$598,K51)))))</f>
        <v/>
      </c>
      <c r="C51" s="70">
        <f>IF(L51="","",IF(LEFT(INDEX(Events!$F$6:$F$598,L51),4)="http",HYPERLINK(INDEX(Events!$F$6:$F$598,L51),IFERROR(INDEX(Lists!$H$1:$H$7,T51),"")&amp;" "&amp;SUBSTITUTE(INDEX(Events!$C$6:$C$598,L51),"{n}",YEAR(INDEX(EventGrid!$E$4:$E$596,L51))-YEAR(INDEX(Events!$A$6:$A$598,L51)))),IFERROR(INDEX(Lists!$H$1:$H$7,T51),"")&amp;" "&amp;SUBSTITUTE(INDEX(Events!$C$6:$C$598,L51),"{n}",YEAR(INDEX(EventGrid!$E$4:$E$596,L51))-YEAR(INDEX(Events!$A$6:$A$598,L51)))))</f>
        <v/>
      </c>
      <c r="D51" s="70">
        <f>IF(M51="","",IF(LEFT(INDEX(Events!$F$6:$F$598,M51),4)="http",HYPERLINK(INDEX(Events!$F$6:$F$598,M51),IFERROR(INDEX(Lists!$H$1:$H$7,U51),"")&amp;" "&amp;SUBSTITUTE(INDEX(Events!$C$6:$C$598,M51),"{n}",YEAR(INDEX(EventGrid!$E$4:$E$596,M51))-YEAR(INDEX(Events!$A$6:$A$598,M51)))),IFERROR(INDEX(Lists!$H$1:$H$7,U51),"")&amp;" "&amp;SUBSTITUTE(INDEX(Events!$C$6:$C$598,M51),"{n}",YEAR(INDEX(EventGrid!$E$4:$E$596,M51))-YEAR(INDEX(Events!$A$6:$A$598,M51)))))</f>
        <v/>
      </c>
      <c r="E51" s="70">
        <f>IF(N51="","",IF(LEFT(INDEX(Events!$F$6:$F$598,N51),4)="http",HYPERLINK(INDEX(Events!$F$6:$F$598,N51),IFERROR(INDEX(Lists!$H$1:$H$7,V51),"")&amp;" "&amp;SUBSTITUTE(INDEX(Events!$C$6:$C$598,N51),"{n}",YEAR(INDEX(EventGrid!$E$4:$E$596,N51))-YEAR(INDEX(Events!$A$6:$A$598,N51)))),IFERROR(INDEX(Lists!$H$1:$H$7,V51),"")&amp;" "&amp;SUBSTITUTE(INDEX(Events!$C$6:$C$598,N51),"{n}",YEAR(INDEX(EventGrid!$E$4:$E$596,N51))-YEAR(INDEX(Events!$A$6:$A$598,N51)))))</f>
        <v/>
      </c>
      <c r="F51" s="70">
        <f>IF(O51="","",IF(LEFT(INDEX(Events!$F$6:$F$598,O51),4)="http",HYPERLINK(INDEX(Events!$F$6:$F$598,O51),IFERROR(INDEX(Lists!$H$1:$H$7,W51),"")&amp;" "&amp;SUBSTITUTE(INDEX(Events!$C$6:$C$598,O51),"{n}",YEAR(INDEX(EventGrid!$E$4:$E$596,O51))-YEAR(INDEX(Events!$A$6:$A$598,O51)))),IFERROR(INDEX(Lists!$H$1:$H$7,W51),"")&amp;" "&amp;SUBSTITUTE(INDEX(Events!$C$6:$C$598,O51),"{n}",YEAR(INDEX(EventGrid!$E$4:$E$596,O51))-YEAR(INDEX(Events!$A$6:$A$598,O51)))))</f>
        <v/>
      </c>
      <c r="G51" s="70">
        <f>IF(P51="","",IF(LEFT(INDEX(Events!$F$6:$F$598,P51),4)="http",HYPERLINK(INDEX(Events!$F$6:$F$598,P51),IFERROR(INDEX(Lists!$H$1:$H$7,X51),"")&amp;" "&amp;SUBSTITUTE(INDEX(Events!$C$6:$C$598,P51),"{n}",YEAR(INDEX(EventGrid!$E$4:$E$596,P51))-YEAR(INDEX(Events!$A$6:$A$598,P51)))),IFERROR(INDEX(Lists!$H$1:$H$7,X51),"")&amp;" "&amp;SUBSTITUTE(INDEX(Events!$C$6:$C$598,P51),"{n}",YEAR(INDEX(EventGrid!$E$4:$E$596,P51))-YEAR(INDEX(Events!$A$6:$A$598,P51)))))</f>
        <v/>
      </c>
      <c r="H51" s="70">
        <f>IF(Q51="","",IF(LEFT(INDEX(Events!$F$6:$F$598,Q51),4)="http",HYPERLINK(INDEX(Events!$F$6:$F$598,Q51),IFERROR(INDEX(Lists!$H$1:$H$7,Y51),"")&amp;" "&amp;SUBSTITUTE(INDEX(Events!$C$6:$C$598,Q51),"{n}",YEAR(INDEX(EventGrid!$E$4:$E$596,Q51))-YEAR(INDEX(Events!$A$6:$A$598,Q51)))),IFERROR(INDEX(Lists!$H$1:$H$7,Y51),"")&amp;" "&amp;SUBSTITUTE(INDEX(Events!$C$6:$C$598,Q51),"{n}",YEAR(INDEX(EventGrid!$E$4:$E$596,Q51))-YEAR(INDEX(Events!$A$6:$A$598,Q51)))))</f>
        <v/>
      </c>
      <c r="K51">
        <f>IF(MONTH(K50)=MONTH($K$2),IFERROR(MATCH(1,EventGrid!AQ$3:AQ$596,0)-1,""),"")</f>
        <v/>
      </c>
      <c r="L51">
        <f>IF(MONTH(L50)=MONTH($K$2),IFERROR(MATCH(1,EventGrid!AR$3:AR$596,0)-1,""),"")</f>
        <v/>
      </c>
      <c r="M51">
        <f>IF(MONTH(M50)=MONTH($K$2),IFERROR(MATCH(1,EventGrid!AS$3:AS$596,0)-1,""),"")</f>
        <v/>
      </c>
      <c r="N51">
        <f>IF(MONTH(N50)=MONTH($K$2),IFERROR(MATCH(1,EventGrid!AT$3:AT$596,0)-1,""),"")</f>
        <v/>
      </c>
      <c r="O51">
        <f>IF(MONTH(O50)=MONTH($K$2),IFERROR(MATCH(1,EventGrid!AU$3:AU$596,0)-1,""),"")</f>
        <v/>
      </c>
      <c r="P51">
        <f>IF(MONTH(P50)=MONTH($K$2),IFERROR(MATCH(1,EventGrid!AV$3:AV$596,0)-1,""),"")</f>
        <v/>
      </c>
      <c r="Q51">
        <f>IF(MONTH(Q50)=MONTH($K$2),IFERROR(MATCH(1,EventGrid!AW$3:AW$596,0)-1,""),"")</f>
        <v/>
      </c>
      <c r="S51">
        <f>IF(K51="","",IFERROR(MATCH(INDEX(Events!$D$6:$D$598,K51),Lists!$G$1:$G$7,0),""))</f>
        <v/>
      </c>
      <c r="T51">
        <f>IF(L51="","",IFERROR(MATCH(INDEX(Events!$D$6:$D$598,L51),Lists!$G$1:$G$7,0),""))</f>
        <v/>
      </c>
      <c r="U51">
        <f>IF(M51="","",IFERROR(MATCH(INDEX(Events!$D$6:$D$598,M51),Lists!$G$1:$G$7,0),""))</f>
        <v/>
      </c>
      <c r="V51">
        <f>IF(N51="","",IFERROR(MATCH(INDEX(Events!$D$6:$D$598,N51),Lists!$G$1:$G$7,0),""))</f>
        <v/>
      </c>
      <c r="W51">
        <f>IF(O51="","",IFERROR(MATCH(INDEX(Events!$D$6:$D$598,O51),Lists!$G$1:$G$7,0),""))</f>
        <v/>
      </c>
      <c r="X51">
        <f>IF(P51="","",IFERROR(MATCH(INDEX(Events!$D$6:$D$598,P51),Lists!$G$1:$G$7,0),""))</f>
        <v/>
      </c>
      <c r="Y51">
        <f>IF(Q51="","",IFERROR(MATCH(INDEX(Events!$D$6:$D$598,Q51),Lists!$G$1:$G$7,0),""))</f>
        <v/>
      </c>
    </row>
    <row r="52" ht="14" customHeight="1">
      <c r="B52" s="70">
        <f>IF(K52="","",IF(LEFT(INDEX(Events!$F$6:$F$598,K52),4)="http",HYPERLINK(INDEX(Events!$F$6:$F$598,K52),IFERROR(INDEX(Lists!$H$1:$H$7,S52),"")&amp;" "&amp;SUBSTITUTE(INDEX(Events!$C$6:$C$598,K52),"{n}",YEAR(INDEX(EventGrid!$E$4:$E$596,K52))-YEAR(INDEX(Events!$A$6:$A$598,K52)))&amp;IF(EventGrid!AQ$596&gt;2," (+"&amp;(EventGrid!AQ$596-2)&amp;" more)","")),IFERROR(INDEX(Lists!$H$1:$H$7,S52),"")&amp;" "&amp;SUBSTITUTE(INDEX(Events!$C$6:$C$598,K52),"{n}",YEAR(INDEX(EventGrid!$E$4:$E$596,K52))-YEAR(INDEX(Events!$A$6:$A$598,K52)))&amp;IF(EventGrid!AQ$596&gt;2," (+"&amp;(EventGrid!AQ$596-2)&amp;" more)","")))</f>
        <v/>
      </c>
      <c r="C52" s="70">
        <f>IF(L52="","",IF(LEFT(INDEX(Events!$F$6:$F$598,L52),4)="http",HYPERLINK(INDEX(Events!$F$6:$F$598,L52),IFERROR(INDEX(Lists!$H$1:$H$7,T52),"")&amp;" "&amp;SUBSTITUTE(INDEX(Events!$C$6:$C$598,L52),"{n}",YEAR(INDEX(EventGrid!$E$4:$E$596,L52))-YEAR(INDEX(Events!$A$6:$A$598,L52)))&amp;IF(EventGrid!AR$596&gt;2," (+"&amp;(EventGrid!AR$596-2)&amp;" more)","")),IFERROR(INDEX(Lists!$H$1:$H$7,T52),"")&amp;" "&amp;SUBSTITUTE(INDEX(Events!$C$6:$C$598,L52),"{n}",YEAR(INDEX(EventGrid!$E$4:$E$596,L52))-YEAR(INDEX(Events!$A$6:$A$598,L52)))&amp;IF(EventGrid!AR$596&gt;2," (+"&amp;(EventGrid!AR$596-2)&amp;" more)","")))</f>
        <v/>
      </c>
      <c r="D52" s="70">
        <f>IF(M52="","",IF(LEFT(INDEX(Events!$F$6:$F$598,M52),4)="http",HYPERLINK(INDEX(Events!$F$6:$F$598,M52),IFERROR(INDEX(Lists!$H$1:$H$7,U52),"")&amp;" "&amp;SUBSTITUTE(INDEX(Events!$C$6:$C$598,M52),"{n}",YEAR(INDEX(EventGrid!$E$4:$E$596,M52))-YEAR(INDEX(Events!$A$6:$A$598,M52)))&amp;IF(EventGrid!AS$596&gt;2," (+"&amp;(EventGrid!AS$596-2)&amp;" more)","")),IFERROR(INDEX(Lists!$H$1:$H$7,U52),"")&amp;" "&amp;SUBSTITUTE(INDEX(Events!$C$6:$C$598,M52),"{n}",YEAR(INDEX(EventGrid!$E$4:$E$596,M52))-YEAR(INDEX(Events!$A$6:$A$598,M52)))&amp;IF(EventGrid!AS$596&gt;2," (+"&amp;(EventGrid!AS$596-2)&amp;" more)","")))</f>
        <v/>
      </c>
      <c r="E52" s="70">
        <f>IF(N52="","",IF(LEFT(INDEX(Events!$F$6:$F$598,N52),4)="http",HYPERLINK(INDEX(Events!$F$6:$F$598,N52),IFERROR(INDEX(Lists!$H$1:$H$7,V52),"")&amp;" "&amp;SUBSTITUTE(INDEX(Events!$C$6:$C$598,N52),"{n}",YEAR(INDEX(EventGrid!$E$4:$E$596,N52))-YEAR(INDEX(Events!$A$6:$A$598,N52)))&amp;IF(EventGrid!AT$596&gt;2," (+"&amp;(EventGrid!AT$596-2)&amp;" more)","")),IFERROR(INDEX(Lists!$H$1:$H$7,V52),"")&amp;" "&amp;SUBSTITUTE(INDEX(Events!$C$6:$C$598,N52),"{n}",YEAR(INDEX(EventGrid!$E$4:$E$596,N52))-YEAR(INDEX(Events!$A$6:$A$598,N52)))&amp;IF(EventGrid!AT$596&gt;2," (+"&amp;(EventGrid!AT$596-2)&amp;" more)","")))</f>
        <v/>
      </c>
      <c r="F52" s="70">
        <f>IF(O52="","",IF(LEFT(INDEX(Events!$F$6:$F$598,O52),4)="http",HYPERLINK(INDEX(Events!$F$6:$F$598,O52),IFERROR(INDEX(Lists!$H$1:$H$7,W52),"")&amp;" "&amp;SUBSTITUTE(INDEX(Events!$C$6:$C$598,O52),"{n}",YEAR(INDEX(EventGrid!$E$4:$E$596,O52))-YEAR(INDEX(Events!$A$6:$A$598,O52)))&amp;IF(EventGrid!AU$596&gt;2," (+"&amp;(EventGrid!AU$596-2)&amp;" more)","")),IFERROR(INDEX(Lists!$H$1:$H$7,W52),"")&amp;" "&amp;SUBSTITUTE(INDEX(Events!$C$6:$C$598,O52),"{n}",YEAR(INDEX(EventGrid!$E$4:$E$596,O52))-YEAR(INDEX(Events!$A$6:$A$598,O52)))&amp;IF(EventGrid!AU$596&gt;2," (+"&amp;(EventGrid!AU$596-2)&amp;" more)","")))</f>
        <v/>
      </c>
      <c r="G52" s="70">
        <f>IF(P52="","",IF(LEFT(INDEX(Events!$F$6:$F$598,P52),4)="http",HYPERLINK(INDEX(Events!$F$6:$F$598,P52),IFERROR(INDEX(Lists!$H$1:$H$7,X52),"")&amp;" "&amp;SUBSTITUTE(INDEX(Events!$C$6:$C$598,P52),"{n}",YEAR(INDEX(EventGrid!$E$4:$E$596,P52))-YEAR(INDEX(Events!$A$6:$A$598,P52)))&amp;IF(EventGrid!AV$596&gt;2," (+"&amp;(EventGrid!AV$596-2)&amp;" more)","")),IFERROR(INDEX(Lists!$H$1:$H$7,X52),"")&amp;" "&amp;SUBSTITUTE(INDEX(Events!$C$6:$C$598,P52),"{n}",YEAR(INDEX(EventGrid!$E$4:$E$596,P52))-YEAR(INDEX(Events!$A$6:$A$598,P52)))&amp;IF(EventGrid!AV$596&gt;2," (+"&amp;(EventGrid!AV$596-2)&amp;" more)","")))</f>
        <v/>
      </c>
      <c r="H52" s="70">
        <f>IF(Q52="","",IF(LEFT(INDEX(Events!$F$6:$F$598,Q52),4)="http",HYPERLINK(INDEX(Events!$F$6:$F$598,Q52),IFERROR(INDEX(Lists!$H$1:$H$7,Y52),"")&amp;" "&amp;SUBSTITUTE(INDEX(Events!$C$6:$C$598,Q52),"{n}",YEAR(INDEX(EventGrid!$E$4:$E$596,Q52))-YEAR(INDEX(Events!$A$6:$A$598,Q52)))&amp;IF(EventGrid!AW$596&gt;2," (+"&amp;(EventGrid!AW$596-2)&amp;" more)","")),IFERROR(INDEX(Lists!$H$1:$H$7,Y52),"")&amp;" "&amp;SUBSTITUTE(INDEX(Events!$C$6:$C$598,Q52),"{n}",YEAR(INDEX(EventGrid!$E$4:$E$596,Q52))-YEAR(INDEX(Events!$A$6:$A$598,Q52)))&amp;IF(EventGrid!AW$596&gt;2," (+"&amp;(EventGrid!AW$596-2)&amp;" more)","")))</f>
        <v/>
      </c>
      <c r="K52">
        <f>IF(MONTH(K50)=MONTH($K$2),IFERROR(MATCH(2,EventGrid!AQ$3:AQ$596,0)-1,""),"")</f>
        <v/>
      </c>
      <c r="L52">
        <f>IF(MONTH(L50)=MONTH($K$2),IFERROR(MATCH(2,EventGrid!AR$3:AR$596,0)-1,""),"")</f>
        <v/>
      </c>
      <c r="M52">
        <f>IF(MONTH(M50)=MONTH($K$2),IFERROR(MATCH(2,EventGrid!AS$3:AS$596,0)-1,""),"")</f>
        <v/>
      </c>
      <c r="N52">
        <f>IF(MONTH(N50)=MONTH($K$2),IFERROR(MATCH(2,EventGrid!AT$3:AT$596,0)-1,""),"")</f>
        <v/>
      </c>
      <c r="O52">
        <f>IF(MONTH(O50)=MONTH($K$2),IFERROR(MATCH(2,EventGrid!AU$3:AU$596,0)-1,""),"")</f>
        <v/>
      </c>
      <c r="P52">
        <f>IF(MONTH(P50)=MONTH($K$2),IFERROR(MATCH(2,EventGrid!AV$3:AV$596,0)-1,""),"")</f>
        <v/>
      </c>
      <c r="Q52">
        <f>IF(MONTH(Q50)=MONTH($K$2),IFERROR(MATCH(2,EventGrid!AW$3:AW$596,0)-1,""),"")</f>
        <v/>
      </c>
      <c r="S52">
        <f>IF(K52="","",IFERROR(MATCH(INDEX(Events!$D$6:$D$598,K52),Lists!$G$1:$G$7,0),""))</f>
        <v/>
      </c>
      <c r="T52">
        <f>IF(L52="","",IFERROR(MATCH(INDEX(Events!$D$6:$D$598,L52),Lists!$G$1:$G$7,0),""))</f>
        <v/>
      </c>
      <c r="U52">
        <f>IF(M52="","",IFERROR(MATCH(INDEX(Events!$D$6:$D$598,M52),Lists!$G$1:$G$7,0),""))</f>
        <v/>
      </c>
      <c r="V52">
        <f>IF(N52="","",IFERROR(MATCH(INDEX(Events!$D$6:$D$598,N52),Lists!$G$1:$G$7,0),""))</f>
        <v/>
      </c>
      <c r="W52">
        <f>IF(O52="","",IFERROR(MATCH(INDEX(Events!$D$6:$D$598,O52),Lists!$G$1:$G$7,0),""))</f>
        <v/>
      </c>
      <c r="X52">
        <f>IF(P52="","",IFERROR(MATCH(INDEX(Events!$D$6:$D$598,P52),Lists!$G$1:$G$7,0),""))</f>
        <v/>
      </c>
      <c r="Y52">
        <f>IF(Q52="","",IFERROR(MATCH(INDEX(Events!$D$6:$D$598,Q52),Lists!$G$1:$G$7,0),""))</f>
        <v/>
      </c>
    </row>
    <row r="53">
      <c r="B53" s="71">
        <f>IF(K53="","",IF(INDEX(tblVideos[Video ID],K53)="",IF(INDEX(tblVideos[Status],K53)="Watched","✓ ","▸ ")&amp;INDEX(tblVideos[Title],K53),HYPERLINK("https://www.youtube.com/watch?v="&amp;INDEX(tblVideos[Video ID],K53),IF(INDEX(tblVideos[Status],K53)="Watched","✓ ","▸ ")&amp;INDEX(tblVideos[Title],K53))))</f>
        <v/>
      </c>
      <c r="C53" s="71">
        <f>IF(L53="","",IF(INDEX(tblVideos[Video ID],L53)="",IF(INDEX(tblVideos[Status],L53)="Watched","✓ ","▸ ")&amp;INDEX(tblVideos[Title],L53),HYPERLINK("https://www.youtube.com/watch?v="&amp;INDEX(tblVideos[Video ID],L53),IF(INDEX(tblVideos[Status],L53)="Watched","✓ ","▸ ")&amp;INDEX(tblVideos[Title],L53))))</f>
        <v/>
      </c>
      <c r="D53" s="71">
        <f>IF(M53="","",IF(INDEX(tblVideos[Video ID],M53)="",IF(INDEX(tblVideos[Status],M53)="Watched","✓ ","▸ ")&amp;INDEX(tblVideos[Title],M53),HYPERLINK("https://www.youtube.com/watch?v="&amp;INDEX(tblVideos[Video ID],M53),IF(INDEX(tblVideos[Status],M53)="Watched","✓ ","▸ ")&amp;INDEX(tblVideos[Title],M53))))</f>
        <v/>
      </c>
      <c r="E53" s="71">
        <f>IF(N53="","",IF(INDEX(tblVideos[Video ID],N53)="",IF(INDEX(tblVideos[Status],N53)="Watched","✓ ","▸ ")&amp;INDEX(tblVideos[Title],N53),HYPERLINK("https://www.youtube.com/watch?v="&amp;INDEX(tblVideos[Video ID],N53),IF(INDEX(tblVideos[Status],N53)="Watched","✓ ","▸ ")&amp;INDEX(tblVideos[Title],N53))))</f>
        <v/>
      </c>
      <c r="F53" s="71">
        <f>IF(O53="","",IF(INDEX(tblVideos[Video ID],O53)="",IF(INDEX(tblVideos[Status],O53)="Watched","✓ ","▸ ")&amp;INDEX(tblVideos[Title],O53),HYPERLINK("https://www.youtube.com/watch?v="&amp;INDEX(tblVideos[Video ID],O53),IF(INDEX(tblVideos[Status],O53)="Watched","✓ ","▸ ")&amp;INDEX(tblVideos[Title],O53))))</f>
        <v/>
      </c>
      <c r="G53" s="71">
        <f>IF(P53="","",IF(INDEX(tblVideos[Video ID],P53)="",IF(INDEX(tblVideos[Status],P53)="Watched","✓ ","▸ ")&amp;INDEX(tblVideos[Title],P53),HYPERLINK("https://www.youtube.com/watch?v="&amp;INDEX(tblVideos[Video ID],P53),IF(INDEX(tblVideos[Status],P53)="Watched","✓ ","▸ ")&amp;INDEX(tblVideos[Title],P53))))</f>
        <v/>
      </c>
      <c r="H53" s="71">
        <f>IF(Q53="","",IF(INDEX(tblVideos[Video ID],Q53)="",IF(INDEX(tblVideos[Status],Q53)="Watched","✓ ","▸ ")&amp;INDEX(tblVideos[Title],Q53),HYPERLINK("https://www.youtube.com/watch?v="&amp;INDEX(tblVideos[Video ID],Q53),IF(INDEX(tblVideos[Status],Q53)="Watched","✓ ","▸ ")&amp;INDEX(tblVideos[Title],Q53))))</f>
        <v/>
      </c>
      <c r="K53">
        <f>IF(S50&gt;=1,MATCH(K50*100+1,tblVideos[Cal Key],0),"")</f>
        <v/>
      </c>
      <c r="L53">
        <f>IF(T50&gt;=1,MATCH(L50*100+1,tblVideos[Cal Key],0),"")</f>
        <v/>
      </c>
      <c r="M53">
        <f>IF(U50&gt;=1,MATCH(M50*100+1,tblVideos[Cal Key],0),"")</f>
        <v/>
      </c>
      <c r="N53">
        <f>IF(V50&gt;=1,MATCH(N50*100+1,tblVideos[Cal Key],0),"")</f>
        <v/>
      </c>
      <c r="O53">
        <f>IF(W50&gt;=1,MATCH(O50*100+1,tblVideos[Cal Key],0),"")</f>
        <v/>
      </c>
      <c r="P53">
        <f>IF(X50&gt;=1,MATCH(P50*100+1,tblVideos[Cal Key],0),"")</f>
        <v/>
      </c>
      <c r="Q53">
        <f>IF(Y50&gt;=1,MATCH(Q50*100+1,tblVideos[Cal Key],0),"")</f>
        <v/>
      </c>
      <c r="S53">
        <f>IF(K53="","",IFERROR(MATCH(INDEX(tblVideos[Channel ID],K53),tblChannels[Channel ID],0),""))</f>
        <v/>
      </c>
      <c r="T53">
        <f>IF(L53="","",IFERROR(MATCH(INDEX(tblVideos[Channel ID],L53),tblChannels[Channel ID],0),""))</f>
        <v/>
      </c>
      <c r="U53">
        <f>IF(M53="","",IFERROR(MATCH(INDEX(tblVideos[Channel ID],M53),tblChannels[Channel ID],0),""))</f>
        <v/>
      </c>
      <c r="V53">
        <f>IF(N53="","",IFERROR(MATCH(INDEX(tblVideos[Channel ID],N53),tblChannels[Channel ID],0),""))</f>
        <v/>
      </c>
      <c r="W53">
        <f>IF(O53="","",IFERROR(MATCH(INDEX(tblVideos[Channel ID],O53),tblChannels[Channel ID],0),""))</f>
        <v/>
      </c>
      <c r="X53">
        <f>IF(P53="","",IFERROR(MATCH(INDEX(tblVideos[Channel ID],P53),tblChannels[Channel ID],0),""))</f>
        <v/>
      </c>
      <c r="Y53">
        <f>IF(Q53="","",IFERROR(MATCH(INDEX(tblVideos[Channel ID],Q53),tblChannels[Channel ID],0),""))</f>
        <v/>
      </c>
    </row>
    <row r="54">
      <c r="B54" s="71">
        <f>IF(K54="","",IF(INDEX(tblVideos[Video ID],K54)="",IF(INDEX(tblVideos[Status],K54)="Watched","✓ ","▸ ")&amp;INDEX(tblVideos[Title],K54),HYPERLINK("https://www.youtube.com/watch?v="&amp;INDEX(tblVideos[Video ID],K54),IF(INDEX(tblVideos[Status],K54)="Watched","✓ ","▸ ")&amp;INDEX(tblVideos[Title],K54))))</f>
        <v/>
      </c>
      <c r="C54" s="71">
        <f>IF(L54="","",IF(INDEX(tblVideos[Video ID],L54)="",IF(INDEX(tblVideos[Status],L54)="Watched","✓ ","▸ ")&amp;INDEX(tblVideos[Title],L54),HYPERLINK("https://www.youtube.com/watch?v="&amp;INDEX(tblVideos[Video ID],L54),IF(INDEX(tblVideos[Status],L54)="Watched","✓ ","▸ ")&amp;INDEX(tblVideos[Title],L54))))</f>
        <v/>
      </c>
      <c r="D54" s="71">
        <f>IF(M54="","",IF(INDEX(tblVideos[Video ID],M54)="",IF(INDEX(tblVideos[Status],M54)="Watched","✓ ","▸ ")&amp;INDEX(tblVideos[Title],M54),HYPERLINK("https://www.youtube.com/watch?v="&amp;INDEX(tblVideos[Video ID],M54),IF(INDEX(tblVideos[Status],M54)="Watched","✓ ","▸ ")&amp;INDEX(tblVideos[Title],M54))))</f>
        <v/>
      </c>
      <c r="E54" s="71">
        <f>IF(N54="","",IF(INDEX(tblVideos[Video ID],N54)="",IF(INDEX(tblVideos[Status],N54)="Watched","✓ ","▸ ")&amp;INDEX(tblVideos[Title],N54),HYPERLINK("https://www.youtube.com/watch?v="&amp;INDEX(tblVideos[Video ID],N54),IF(INDEX(tblVideos[Status],N54)="Watched","✓ ","▸ ")&amp;INDEX(tblVideos[Title],N54))))</f>
        <v/>
      </c>
      <c r="F54" s="71">
        <f>IF(O54="","",IF(INDEX(tblVideos[Video ID],O54)="",IF(INDEX(tblVideos[Status],O54)="Watched","✓ ","▸ ")&amp;INDEX(tblVideos[Title],O54),HYPERLINK("https://www.youtube.com/watch?v="&amp;INDEX(tblVideos[Video ID],O54),IF(INDEX(tblVideos[Status],O54)="Watched","✓ ","▸ ")&amp;INDEX(tblVideos[Title],O54))))</f>
        <v/>
      </c>
      <c r="G54" s="71">
        <f>IF(P54="","",IF(INDEX(tblVideos[Video ID],P54)="",IF(INDEX(tblVideos[Status],P54)="Watched","✓ ","▸ ")&amp;INDEX(tblVideos[Title],P54),HYPERLINK("https://www.youtube.com/watch?v="&amp;INDEX(tblVideos[Video ID],P54),IF(INDEX(tblVideos[Status],P54)="Watched","✓ ","▸ ")&amp;INDEX(tblVideos[Title],P54))))</f>
        <v/>
      </c>
      <c r="H54" s="71">
        <f>IF(Q54="","",IF(INDEX(tblVideos[Video ID],Q54)="",IF(INDEX(tblVideos[Status],Q54)="Watched","✓ ","▸ ")&amp;INDEX(tblVideos[Title],Q54),HYPERLINK("https://www.youtube.com/watch?v="&amp;INDEX(tblVideos[Video ID],Q54),IF(INDEX(tblVideos[Status],Q54)="Watched","✓ ","▸ ")&amp;INDEX(tblVideos[Title],Q54))))</f>
        <v/>
      </c>
      <c r="K54">
        <f>IF(S50&gt;=2,MATCH(K50*100+2,tblVideos[Cal Key],0),"")</f>
        <v/>
      </c>
      <c r="L54">
        <f>IF(T50&gt;=2,MATCH(L50*100+2,tblVideos[Cal Key],0),"")</f>
        <v/>
      </c>
      <c r="M54">
        <f>IF(U50&gt;=2,MATCH(M50*100+2,tblVideos[Cal Key],0),"")</f>
        <v/>
      </c>
      <c r="N54">
        <f>IF(V50&gt;=2,MATCH(N50*100+2,tblVideos[Cal Key],0),"")</f>
        <v/>
      </c>
      <c r="O54">
        <f>IF(W50&gt;=2,MATCH(O50*100+2,tblVideos[Cal Key],0),"")</f>
        <v/>
      </c>
      <c r="P54">
        <f>IF(X50&gt;=2,MATCH(P50*100+2,tblVideos[Cal Key],0),"")</f>
        <v/>
      </c>
      <c r="Q54">
        <f>IF(Y50&gt;=2,MATCH(Q50*100+2,tblVideos[Cal Key],0),"")</f>
        <v/>
      </c>
      <c r="S54">
        <f>IF(K54="","",IFERROR(MATCH(INDEX(tblVideos[Channel ID],K54),tblChannels[Channel ID],0),""))</f>
        <v/>
      </c>
      <c r="T54">
        <f>IF(L54="","",IFERROR(MATCH(INDEX(tblVideos[Channel ID],L54),tblChannels[Channel ID],0),""))</f>
        <v/>
      </c>
      <c r="U54">
        <f>IF(M54="","",IFERROR(MATCH(INDEX(tblVideos[Channel ID],M54),tblChannels[Channel ID],0),""))</f>
        <v/>
      </c>
      <c r="V54">
        <f>IF(N54="","",IFERROR(MATCH(INDEX(tblVideos[Channel ID],N54),tblChannels[Channel ID],0),""))</f>
        <v/>
      </c>
      <c r="W54">
        <f>IF(O54="","",IFERROR(MATCH(INDEX(tblVideos[Channel ID],O54),tblChannels[Channel ID],0),""))</f>
        <v/>
      </c>
      <c r="X54">
        <f>IF(P54="","",IFERROR(MATCH(INDEX(tblVideos[Channel ID],P54),tblChannels[Channel ID],0),""))</f>
        <v/>
      </c>
      <c r="Y54">
        <f>IF(Q54="","",IFERROR(MATCH(INDEX(tblVideos[Channel ID],Q54),tblChannels[Channel ID],0),""))</f>
        <v/>
      </c>
    </row>
    <row r="55">
      <c r="B55" s="71">
        <f>IF(K55="","",IF(INDEX(tblVideos[Video ID],K55)="",IF(INDEX(tblVideos[Status],K55)="Watched","✓ ","▸ ")&amp;INDEX(tblVideos[Title],K55),HYPERLINK("https://www.youtube.com/watch?v="&amp;INDEX(tblVideos[Video ID],K55),IF(INDEX(tblVideos[Status],K55)="Watched","✓ ","▸ ")&amp;INDEX(tblVideos[Title],K55))))</f>
        <v/>
      </c>
      <c r="C55" s="71">
        <f>IF(L55="","",IF(INDEX(tblVideos[Video ID],L55)="",IF(INDEX(tblVideos[Status],L55)="Watched","✓ ","▸ ")&amp;INDEX(tblVideos[Title],L55),HYPERLINK("https://www.youtube.com/watch?v="&amp;INDEX(tblVideos[Video ID],L55),IF(INDEX(tblVideos[Status],L55)="Watched","✓ ","▸ ")&amp;INDEX(tblVideos[Title],L55))))</f>
        <v/>
      </c>
      <c r="D55" s="71">
        <f>IF(M55="","",IF(INDEX(tblVideos[Video ID],M55)="",IF(INDEX(tblVideos[Status],M55)="Watched","✓ ","▸ ")&amp;INDEX(tblVideos[Title],M55),HYPERLINK("https://www.youtube.com/watch?v="&amp;INDEX(tblVideos[Video ID],M55),IF(INDEX(tblVideos[Status],M55)="Watched","✓ ","▸ ")&amp;INDEX(tblVideos[Title],M55))))</f>
        <v/>
      </c>
      <c r="E55" s="71">
        <f>IF(N55="","",IF(INDEX(tblVideos[Video ID],N55)="",IF(INDEX(tblVideos[Status],N55)="Watched","✓ ","▸ ")&amp;INDEX(tblVideos[Title],N55),HYPERLINK("https://www.youtube.com/watch?v="&amp;INDEX(tblVideos[Video ID],N55),IF(INDEX(tblVideos[Status],N55)="Watched","✓ ","▸ ")&amp;INDEX(tblVideos[Title],N55))))</f>
        <v/>
      </c>
      <c r="F55" s="71">
        <f>IF(O55="","",IF(INDEX(tblVideos[Video ID],O55)="",IF(INDEX(tblVideos[Status],O55)="Watched","✓ ","▸ ")&amp;INDEX(tblVideos[Title],O55),HYPERLINK("https://www.youtube.com/watch?v="&amp;INDEX(tblVideos[Video ID],O55),IF(INDEX(tblVideos[Status],O55)="Watched","✓ ","▸ ")&amp;INDEX(tblVideos[Title],O55))))</f>
        <v/>
      </c>
      <c r="G55" s="71">
        <f>IF(P55="","",IF(INDEX(tblVideos[Video ID],P55)="",IF(INDEX(tblVideos[Status],P55)="Watched","✓ ","▸ ")&amp;INDEX(tblVideos[Title],P55),HYPERLINK("https://www.youtube.com/watch?v="&amp;INDEX(tblVideos[Video ID],P55),IF(INDEX(tblVideos[Status],P55)="Watched","✓ ","▸ ")&amp;INDEX(tblVideos[Title],P55))))</f>
        <v/>
      </c>
      <c r="H55" s="71">
        <f>IF(Q55="","",IF(INDEX(tblVideos[Video ID],Q55)="",IF(INDEX(tblVideos[Status],Q55)="Watched","✓ ","▸ ")&amp;INDEX(tblVideos[Title],Q55),HYPERLINK("https://www.youtube.com/watch?v="&amp;INDEX(tblVideos[Video ID],Q55),IF(INDEX(tblVideos[Status],Q55)="Watched","✓ ","▸ ")&amp;INDEX(tblVideos[Title],Q55))))</f>
        <v/>
      </c>
      <c r="K55">
        <f>IF(S50&gt;=3,MATCH(K50*100+3,tblVideos[Cal Key],0),"")</f>
        <v/>
      </c>
      <c r="L55">
        <f>IF(T50&gt;=3,MATCH(L50*100+3,tblVideos[Cal Key],0),"")</f>
        <v/>
      </c>
      <c r="M55">
        <f>IF(U50&gt;=3,MATCH(M50*100+3,tblVideos[Cal Key],0),"")</f>
        <v/>
      </c>
      <c r="N55">
        <f>IF(V50&gt;=3,MATCH(N50*100+3,tblVideos[Cal Key],0),"")</f>
        <v/>
      </c>
      <c r="O55">
        <f>IF(W50&gt;=3,MATCH(O50*100+3,tblVideos[Cal Key],0),"")</f>
        <v/>
      </c>
      <c r="P55">
        <f>IF(X50&gt;=3,MATCH(P50*100+3,tblVideos[Cal Key],0),"")</f>
        <v/>
      </c>
      <c r="Q55">
        <f>IF(Y50&gt;=3,MATCH(Q50*100+3,tblVideos[Cal Key],0),"")</f>
        <v/>
      </c>
      <c r="S55">
        <f>IF(K55="","",IFERROR(MATCH(INDEX(tblVideos[Channel ID],K55),tblChannels[Channel ID],0),""))</f>
        <v/>
      </c>
      <c r="T55">
        <f>IF(L55="","",IFERROR(MATCH(INDEX(tblVideos[Channel ID],L55),tblChannels[Channel ID],0),""))</f>
        <v/>
      </c>
      <c r="U55">
        <f>IF(M55="","",IFERROR(MATCH(INDEX(tblVideos[Channel ID],M55),tblChannels[Channel ID],0),""))</f>
        <v/>
      </c>
      <c r="V55">
        <f>IF(N55="","",IFERROR(MATCH(INDEX(tblVideos[Channel ID],N55),tblChannels[Channel ID],0),""))</f>
        <v/>
      </c>
      <c r="W55">
        <f>IF(O55="","",IFERROR(MATCH(INDEX(tblVideos[Channel ID],O55),tblChannels[Channel ID],0),""))</f>
        <v/>
      </c>
      <c r="X55">
        <f>IF(P55="","",IFERROR(MATCH(INDEX(tblVideos[Channel ID],P55),tblChannels[Channel ID],0),""))</f>
        <v/>
      </c>
      <c r="Y55">
        <f>IF(Q55="","",IFERROR(MATCH(INDEX(tblVideos[Channel ID],Q55),tblChannels[Channel ID],0),""))</f>
        <v/>
      </c>
    </row>
    <row r="56">
      <c r="B56" s="71">
        <f>IF(K56="","",IF(INDEX(tblVideos[Video ID],K56)="",IF(INDEX(tblVideos[Status],K56)="Watched","✓ ","▸ ")&amp;INDEX(tblVideos[Title],K56),HYPERLINK("https://www.youtube.com/watch?v="&amp;INDEX(tblVideos[Video ID],K56),IF(INDEX(tblVideos[Status],K56)="Watched","✓ ","▸ ")&amp;INDEX(tblVideos[Title],K56))))</f>
        <v/>
      </c>
      <c r="C56" s="71">
        <f>IF(L56="","",IF(INDEX(tblVideos[Video ID],L56)="",IF(INDEX(tblVideos[Status],L56)="Watched","✓ ","▸ ")&amp;INDEX(tblVideos[Title],L56),HYPERLINK("https://www.youtube.com/watch?v="&amp;INDEX(tblVideos[Video ID],L56),IF(INDEX(tblVideos[Status],L56)="Watched","✓ ","▸ ")&amp;INDEX(tblVideos[Title],L56))))</f>
        <v/>
      </c>
      <c r="D56" s="71">
        <f>IF(M56="","",IF(INDEX(tblVideos[Video ID],M56)="",IF(INDEX(tblVideos[Status],M56)="Watched","✓ ","▸ ")&amp;INDEX(tblVideos[Title],M56),HYPERLINK("https://www.youtube.com/watch?v="&amp;INDEX(tblVideos[Video ID],M56),IF(INDEX(tblVideos[Status],M56)="Watched","✓ ","▸ ")&amp;INDEX(tblVideos[Title],M56))))</f>
        <v/>
      </c>
      <c r="E56" s="71">
        <f>IF(N56="","",IF(INDEX(tblVideos[Video ID],N56)="",IF(INDEX(tblVideos[Status],N56)="Watched","✓ ","▸ ")&amp;INDEX(tblVideos[Title],N56),HYPERLINK("https://www.youtube.com/watch?v="&amp;INDEX(tblVideos[Video ID],N56),IF(INDEX(tblVideos[Status],N56)="Watched","✓ ","▸ ")&amp;INDEX(tblVideos[Title],N56))))</f>
        <v/>
      </c>
      <c r="F56" s="71">
        <f>IF(O56="","",IF(INDEX(tblVideos[Video ID],O56)="",IF(INDEX(tblVideos[Status],O56)="Watched","✓ ","▸ ")&amp;INDEX(tblVideos[Title],O56),HYPERLINK("https://www.youtube.com/watch?v="&amp;INDEX(tblVideos[Video ID],O56),IF(INDEX(tblVideos[Status],O56)="Watched","✓ ","▸ ")&amp;INDEX(tblVideos[Title],O56))))</f>
        <v/>
      </c>
      <c r="G56" s="71">
        <f>IF(P56="","",IF(INDEX(tblVideos[Video ID],P56)="",IF(INDEX(tblVideos[Status],P56)="Watched","✓ ","▸ ")&amp;INDEX(tblVideos[Title],P56),HYPERLINK("https://www.youtube.com/watch?v="&amp;INDEX(tblVideos[Video ID],P56),IF(INDEX(tblVideos[Status],P56)="Watched","✓ ","▸ ")&amp;INDEX(tblVideos[Title],P56))))</f>
        <v/>
      </c>
      <c r="H56" s="71">
        <f>IF(Q56="","",IF(INDEX(tblVideos[Video ID],Q56)="",IF(INDEX(tblVideos[Status],Q56)="Watched","✓ ","▸ ")&amp;INDEX(tblVideos[Title],Q56),HYPERLINK("https://www.youtube.com/watch?v="&amp;INDEX(tblVideos[Video ID],Q56),IF(INDEX(tblVideos[Status],Q56)="Watched","✓ ","▸ ")&amp;INDEX(tblVideos[Title],Q56))))</f>
        <v/>
      </c>
      <c r="K56">
        <f>IF(S50&gt;=4,MATCH(K50*100+4,tblVideos[Cal Key],0),"")</f>
        <v/>
      </c>
      <c r="L56">
        <f>IF(T50&gt;=4,MATCH(L50*100+4,tblVideos[Cal Key],0),"")</f>
        <v/>
      </c>
      <c r="M56">
        <f>IF(U50&gt;=4,MATCH(M50*100+4,tblVideos[Cal Key],0),"")</f>
        <v/>
      </c>
      <c r="N56">
        <f>IF(V50&gt;=4,MATCH(N50*100+4,tblVideos[Cal Key],0),"")</f>
        <v/>
      </c>
      <c r="O56">
        <f>IF(W50&gt;=4,MATCH(O50*100+4,tblVideos[Cal Key],0),"")</f>
        <v/>
      </c>
      <c r="P56">
        <f>IF(X50&gt;=4,MATCH(P50*100+4,tblVideos[Cal Key],0),"")</f>
        <v/>
      </c>
      <c r="Q56">
        <f>IF(Y50&gt;=4,MATCH(Q50*100+4,tblVideos[Cal Key],0),"")</f>
        <v/>
      </c>
      <c r="S56">
        <f>IF(K56="","",IFERROR(MATCH(INDEX(tblVideos[Channel ID],K56),tblChannels[Channel ID],0),""))</f>
        <v/>
      </c>
      <c r="T56">
        <f>IF(L56="","",IFERROR(MATCH(INDEX(tblVideos[Channel ID],L56),tblChannels[Channel ID],0),""))</f>
        <v/>
      </c>
      <c r="U56">
        <f>IF(M56="","",IFERROR(MATCH(INDEX(tblVideos[Channel ID],M56),tblChannels[Channel ID],0),""))</f>
        <v/>
      </c>
      <c r="V56">
        <f>IF(N56="","",IFERROR(MATCH(INDEX(tblVideos[Channel ID],N56),tblChannels[Channel ID],0),""))</f>
        <v/>
      </c>
      <c r="W56">
        <f>IF(O56="","",IFERROR(MATCH(INDEX(tblVideos[Channel ID],O56),tblChannels[Channel ID],0),""))</f>
        <v/>
      </c>
      <c r="X56">
        <f>IF(P56="","",IFERROR(MATCH(INDEX(tblVideos[Channel ID],P56),tblChannels[Channel ID],0),""))</f>
        <v/>
      </c>
      <c r="Y56">
        <f>IF(Q56="","",IFERROR(MATCH(INDEX(tblVideos[Channel ID],Q56),tblChannels[Channel ID],0),""))</f>
        <v/>
      </c>
    </row>
    <row r="57">
      <c r="B57" s="71">
        <f>IF(K57="","",IF(INDEX(tblVideos[Video ID],K57)="",IF(INDEX(tblVideos[Status],K57)="Watched","✓ ","▸ ")&amp;INDEX(tblVideos[Title],K57),HYPERLINK("https://www.youtube.com/watch?v="&amp;INDEX(tblVideos[Video ID],K57),IF(INDEX(tblVideos[Status],K57)="Watched","✓ ","▸ ")&amp;INDEX(tblVideos[Title],K57))))</f>
        <v/>
      </c>
      <c r="C57" s="71">
        <f>IF(L57="","",IF(INDEX(tblVideos[Video ID],L57)="",IF(INDEX(tblVideos[Status],L57)="Watched","✓ ","▸ ")&amp;INDEX(tblVideos[Title],L57),HYPERLINK("https://www.youtube.com/watch?v="&amp;INDEX(tblVideos[Video ID],L57),IF(INDEX(tblVideos[Status],L57)="Watched","✓ ","▸ ")&amp;INDEX(tblVideos[Title],L57))))</f>
        <v/>
      </c>
      <c r="D57" s="71">
        <f>IF(M57="","",IF(INDEX(tblVideos[Video ID],M57)="",IF(INDEX(tblVideos[Status],M57)="Watched","✓ ","▸ ")&amp;INDEX(tblVideos[Title],M57),HYPERLINK("https://www.youtube.com/watch?v="&amp;INDEX(tblVideos[Video ID],M57),IF(INDEX(tblVideos[Status],M57)="Watched","✓ ","▸ ")&amp;INDEX(tblVideos[Title],M57))))</f>
        <v/>
      </c>
      <c r="E57" s="71">
        <f>IF(N57="","",IF(INDEX(tblVideos[Video ID],N57)="",IF(INDEX(tblVideos[Status],N57)="Watched","✓ ","▸ ")&amp;INDEX(tblVideos[Title],N57),HYPERLINK("https://www.youtube.com/watch?v="&amp;INDEX(tblVideos[Video ID],N57),IF(INDEX(tblVideos[Status],N57)="Watched","✓ ","▸ ")&amp;INDEX(tblVideos[Title],N57))))</f>
        <v/>
      </c>
      <c r="F57" s="71">
        <f>IF(O57="","",IF(INDEX(tblVideos[Video ID],O57)="",IF(INDEX(tblVideos[Status],O57)="Watched","✓ ","▸ ")&amp;INDEX(tblVideos[Title],O57),HYPERLINK("https://www.youtube.com/watch?v="&amp;INDEX(tblVideos[Video ID],O57),IF(INDEX(tblVideos[Status],O57)="Watched","✓ ","▸ ")&amp;INDEX(tblVideos[Title],O57))))</f>
        <v/>
      </c>
      <c r="G57" s="71">
        <f>IF(P57="","",IF(INDEX(tblVideos[Video ID],P57)="",IF(INDEX(tblVideos[Status],P57)="Watched","✓ ","▸ ")&amp;INDEX(tblVideos[Title],P57),HYPERLINK("https://www.youtube.com/watch?v="&amp;INDEX(tblVideos[Video ID],P57),IF(INDEX(tblVideos[Status],P57)="Watched","✓ ","▸ ")&amp;INDEX(tblVideos[Title],P57))))</f>
        <v/>
      </c>
      <c r="H57" s="71">
        <f>IF(Q57="","",IF(INDEX(tblVideos[Video ID],Q57)="",IF(INDEX(tblVideos[Status],Q57)="Watched","✓ ","▸ ")&amp;INDEX(tblVideos[Title],Q57),HYPERLINK("https://www.youtube.com/watch?v="&amp;INDEX(tblVideos[Video ID],Q57),IF(INDEX(tblVideos[Status],Q57)="Watched","✓ ","▸ ")&amp;INDEX(tblVideos[Title],Q57))))</f>
        <v/>
      </c>
      <c r="K57">
        <f>IF(S50&gt;=5,MATCH(K50*100+5,tblVideos[Cal Key],0),"")</f>
        <v/>
      </c>
      <c r="L57">
        <f>IF(T50&gt;=5,MATCH(L50*100+5,tblVideos[Cal Key],0),"")</f>
        <v/>
      </c>
      <c r="M57">
        <f>IF(U50&gt;=5,MATCH(M50*100+5,tblVideos[Cal Key],0),"")</f>
        <v/>
      </c>
      <c r="N57">
        <f>IF(V50&gt;=5,MATCH(N50*100+5,tblVideos[Cal Key],0),"")</f>
        <v/>
      </c>
      <c r="O57">
        <f>IF(W50&gt;=5,MATCH(O50*100+5,tblVideos[Cal Key],0),"")</f>
        <v/>
      </c>
      <c r="P57">
        <f>IF(X50&gt;=5,MATCH(P50*100+5,tblVideos[Cal Key],0),"")</f>
        <v/>
      </c>
      <c r="Q57">
        <f>IF(Y50&gt;=5,MATCH(Q50*100+5,tblVideos[Cal Key],0),"")</f>
        <v/>
      </c>
      <c r="S57">
        <f>IF(K57="","",IFERROR(MATCH(INDEX(tblVideos[Channel ID],K57),tblChannels[Channel ID],0),""))</f>
        <v/>
      </c>
      <c r="T57">
        <f>IF(L57="","",IFERROR(MATCH(INDEX(tblVideos[Channel ID],L57),tblChannels[Channel ID],0),""))</f>
        <v/>
      </c>
      <c r="U57">
        <f>IF(M57="","",IFERROR(MATCH(INDEX(tblVideos[Channel ID],M57),tblChannels[Channel ID],0),""))</f>
        <v/>
      </c>
      <c r="V57">
        <f>IF(N57="","",IFERROR(MATCH(INDEX(tblVideos[Channel ID],N57),tblChannels[Channel ID],0),""))</f>
        <v/>
      </c>
      <c r="W57">
        <f>IF(O57="","",IFERROR(MATCH(INDEX(tblVideos[Channel ID],O57),tblChannels[Channel ID],0),""))</f>
        <v/>
      </c>
      <c r="X57">
        <f>IF(P57="","",IFERROR(MATCH(INDEX(tblVideos[Channel ID],P57),tblChannels[Channel ID],0),""))</f>
        <v/>
      </c>
      <c r="Y57">
        <f>IF(Q57="","",IFERROR(MATCH(INDEX(tblVideos[Channel ID],Q57),tblChannels[Channel ID],0),""))</f>
        <v/>
      </c>
    </row>
    <row r="59" ht="20" customHeight="1">
      <c r="B59" s="10">
        <f>"Events this month  ("&amp;COUNT(EventGrid!$G$4:$G$596)&amp;")"</f>
        <v/>
      </c>
      <c r="C59" s="11" t="n"/>
      <c r="D59" s="11" t="n"/>
      <c r="E59" s="11" t="n"/>
      <c r="F59" s="11" t="n"/>
      <c r="G59" s="11" t="n"/>
      <c r="H59" s="11" t="n"/>
    </row>
    <row r="60">
      <c r="B60" s="72">
        <f>IF($K60="","",TEXT(INDEX(EventGrid!$E$4:$E$596,$K60),"ddd mmm d")&amp;IF(INDEX(EventGrid!$A$4:$A$596,$K60)&gt;0," - "&amp;TEXT(INDEX(EventGrid!$F$4:$F$596,$K60),"ddd mmm d"),""))</f>
        <v/>
      </c>
      <c r="C60" s="73">
        <f>IF($K60="","",IFERROR(INDEX(Lists!$H$1:$H$7,MATCH(INDEX(Events!$D$6:$D$598,$K60),Lists!$G$1:$G$7,0)),"")&amp;" "&amp;SUBSTITUTE(INDEX(Events!$C$6:$C$598,$K60),"{n}",YEAR(INDEX(EventGrid!$E$4:$E$596,$K60))-YEAR(INDEX(Events!$A$6:$A$598,$K60))))</f>
        <v/>
      </c>
      <c r="D60" s="32" t="n"/>
      <c r="E60" s="32" t="n"/>
      <c r="F60" s="74">
        <f>IF($K60="","",IF(INDEX(Events!$F$6:$F$598,$K60)=0,"",INDEX(Events!$F$6:$F$598,$K60)))</f>
        <v/>
      </c>
      <c r="G60" s="32" t="n"/>
      <c r="H60" s="32" t="n"/>
      <c r="K60">
        <f>IFERROR(MATCH(SMALL(EventGrid!$G$4:$G$596,1),EventGrid!$G$4:$G$596,0),"")</f>
        <v/>
      </c>
    </row>
    <row r="61">
      <c r="B61" s="72">
        <f>IF($K61="","",TEXT(INDEX(EventGrid!$E$4:$E$596,$K61),"ddd mmm d")&amp;IF(INDEX(EventGrid!$A$4:$A$596,$K61)&gt;0," - "&amp;TEXT(INDEX(EventGrid!$F$4:$F$596,$K61),"ddd mmm d"),""))</f>
        <v/>
      </c>
      <c r="C61" s="73">
        <f>IF($K61="","",IFERROR(INDEX(Lists!$H$1:$H$7,MATCH(INDEX(Events!$D$6:$D$598,$K61),Lists!$G$1:$G$7,0)),"")&amp;" "&amp;SUBSTITUTE(INDEX(Events!$C$6:$C$598,$K61),"{n}",YEAR(INDEX(EventGrid!$E$4:$E$596,$K61))-YEAR(INDEX(Events!$A$6:$A$598,$K61))))</f>
        <v/>
      </c>
      <c r="D61" s="32" t="n"/>
      <c r="E61" s="32" t="n"/>
      <c r="F61" s="74">
        <f>IF($K61="","",IF(INDEX(Events!$F$6:$F$598,$K61)=0,"",INDEX(Events!$F$6:$F$598,$K61)))</f>
        <v/>
      </c>
      <c r="G61" s="32" t="n"/>
      <c r="H61" s="32" t="n"/>
      <c r="K61">
        <f>IFERROR(MATCH(SMALL(EventGrid!$G$4:$G$596,2),EventGrid!$G$4:$G$596,0),"")</f>
        <v/>
      </c>
    </row>
    <row r="62">
      <c r="B62" s="72">
        <f>IF($K62="","",TEXT(INDEX(EventGrid!$E$4:$E$596,$K62),"ddd mmm d")&amp;IF(INDEX(EventGrid!$A$4:$A$596,$K62)&gt;0," - "&amp;TEXT(INDEX(EventGrid!$F$4:$F$596,$K62),"ddd mmm d"),""))</f>
        <v/>
      </c>
      <c r="C62" s="73">
        <f>IF($K62="","",IFERROR(INDEX(Lists!$H$1:$H$7,MATCH(INDEX(Events!$D$6:$D$598,$K62),Lists!$G$1:$G$7,0)),"")&amp;" "&amp;SUBSTITUTE(INDEX(Events!$C$6:$C$598,$K62),"{n}",YEAR(INDEX(EventGrid!$E$4:$E$596,$K62))-YEAR(INDEX(Events!$A$6:$A$598,$K62))))</f>
        <v/>
      </c>
      <c r="D62" s="32" t="n"/>
      <c r="E62" s="32" t="n"/>
      <c r="F62" s="74">
        <f>IF($K62="","",IF(INDEX(Events!$F$6:$F$598,$K62)=0,"",INDEX(Events!$F$6:$F$598,$K62)))</f>
        <v/>
      </c>
      <c r="G62" s="32" t="n"/>
      <c r="H62" s="32" t="n"/>
      <c r="K62">
        <f>IFERROR(MATCH(SMALL(EventGrid!$G$4:$G$596,3),EventGrid!$G$4:$G$596,0),"")</f>
        <v/>
      </c>
    </row>
    <row r="63">
      <c r="B63" s="72">
        <f>IF($K63="","",TEXT(INDEX(EventGrid!$E$4:$E$596,$K63),"ddd mmm d")&amp;IF(INDEX(EventGrid!$A$4:$A$596,$K63)&gt;0," - "&amp;TEXT(INDEX(EventGrid!$F$4:$F$596,$K63),"ddd mmm d"),""))</f>
        <v/>
      </c>
      <c r="C63" s="73">
        <f>IF($K63="","",IFERROR(INDEX(Lists!$H$1:$H$7,MATCH(INDEX(Events!$D$6:$D$598,$K63),Lists!$G$1:$G$7,0)),"")&amp;" "&amp;SUBSTITUTE(INDEX(Events!$C$6:$C$598,$K63),"{n}",YEAR(INDEX(EventGrid!$E$4:$E$596,$K63))-YEAR(INDEX(Events!$A$6:$A$598,$K63))))</f>
        <v/>
      </c>
      <c r="D63" s="32" t="n"/>
      <c r="E63" s="32" t="n"/>
      <c r="F63" s="74">
        <f>IF($K63="","",IF(INDEX(Events!$F$6:$F$598,$K63)=0,"",INDEX(Events!$F$6:$F$598,$K63)))</f>
        <v/>
      </c>
      <c r="G63" s="32" t="n"/>
      <c r="H63" s="32" t="n"/>
      <c r="K63">
        <f>IFERROR(MATCH(SMALL(EventGrid!$G$4:$G$596,4),EventGrid!$G$4:$G$596,0),"")</f>
        <v/>
      </c>
    </row>
    <row r="64">
      <c r="B64" s="72">
        <f>IF($K64="","",TEXT(INDEX(EventGrid!$E$4:$E$596,$K64),"ddd mmm d")&amp;IF(INDEX(EventGrid!$A$4:$A$596,$K64)&gt;0," - "&amp;TEXT(INDEX(EventGrid!$F$4:$F$596,$K64),"ddd mmm d"),""))</f>
        <v/>
      </c>
      <c r="C64" s="73">
        <f>IF($K64="","",IFERROR(INDEX(Lists!$H$1:$H$7,MATCH(INDEX(Events!$D$6:$D$598,$K64),Lists!$G$1:$G$7,0)),"")&amp;" "&amp;SUBSTITUTE(INDEX(Events!$C$6:$C$598,$K64),"{n}",YEAR(INDEX(EventGrid!$E$4:$E$596,$K64))-YEAR(INDEX(Events!$A$6:$A$598,$K64))))</f>
        <v/>
      </c>
      <c r="D64" s="32" t="n"/>
      <c r="E64" s="32" t="n"/>
      <c r="F64" s="74">
        <f>IF($K64="","",IF(INDEX(Events!$F$6:$F$598,$K64)=0,"",INDEX(Events!$F$6:$F$598,$K64)))</f>
        <v/>
      </c>
      <c r="G64" s="32" t="n"/>
      <c r="H64" s="32" t="n"/>
      <c r="K64">
        <f>IFERROR(MATCH(SMALL(EventGrid!$G$4:$G$596,5),EventGrid!$G$4:$G$596,0),"")</f>
        <v/>
      </c>
    </row>
    <row r="65">
      <c r="B65" s="72">
        <f>IF($K65="","",TEXT(INDEX(EventGrid!$E$4:$E$596,$K65),"ddd mmm d")&amp;IF(INDEX(EventGrid!$A$4:$A$596,$K65)&gt;0," - "&amp;TEXT(INDEX(EventGrid!$F$4:$F$596,$K65),"ddd mmm d"),""))</f>
        <v/>
      </c>
      <c r="C65" s="73">
        <f>IF($K65="","",IFERROR(INDEX(Lists!$H$1:$H$7,MATCH(INDEX(Events!$D$6:$D$598,$K65),Lists!$G$1:$G$7,0)),"")&amp;" "&amp;SUBSTITUTE(INDEX(Events!$C$6:$C$598,$K65),"{n}",YEAR(INDEX(EventGrid!$E$4:$E$596,$K65))-YEAR(INDEX(Events!$A$6:$A$598,$K65))))</f>
        <v/>
      </c>
      <c r="D65" s="32" t="n"/>
      <c r="E65" s="32" t="n"/>
      <c r="F65" s="74">
        <f>IF($K65="","",IF(INDEX(Events!$F$6:$F$598,$K65)=0,"",INDEX(Events!$F$6:$F$598,$K65)))</f>
        <v/>
      </c>
      <c r="G65" s="32" t="n"/>
      <c r="H65" s="32" t="n"/>
      <c r="K65">
        <f>IFERROR(MATCH(SMALL(EventGrid!$G$4:$G$596,6),EventGrid!$G$4:$G$596,0),"")</f>
        <v/>
      </c>
    </row>
    <row r="66">
      <c r="B66" s="72">
        <f>IF($K66="","",TEXT(INDEX(EventGrid!$E$4:$E$596,$K66),"ddd mmm d")&amp;IF(INDEX(EventGrid!$A$4:$A$596,$K66)&gt;0," - "&amp;TEXT(INDEX(EventGrid!$F$4:$F$596,$K66),"ddd mmm d"),""))</f>
        <v/>
      </c>
      <c r="C66" s="73">
        <f>IF($K66="","",IFERROR(INDEX(Lists!$H$1:$H$7,MATCH(INDEX(Events!$D$6:$D$598,$K66),Lists!$G$1:$G$7,0)),"")&amp;" "&amp;SUBSTITUTE(INDEX(Events!$C$6:$C$598,$K66),"{n}",YEAR(INDEX(EventGrid!$E$4:$E$596,$K66))-YEAR(INDEX(Events!$A$6:$A$598,$K66))))</f>
        <v/>
      </c>
      <c r="D66" s="32" t="n"/>
      <c r="E66" s="32" t="n"/>
      <c r="F66" s="74">
        <f>IF($K66="","",IF(INDEX(Events!$F$6:$F$598,$K66)=0,"",INDEX(Events!$F$6:$F$598,$K66)))</f>
        <v/>
      </c>
      <c r="G66" s="32" t="n"/>
      <c r="H66" s="32" t="n"/>
      <c r="K66">
        <f>IFERROR(MATCH(SMALL(EventGrid!$G$4:$G$596,7),EventGrid!$G$4:$G$596,0),"")</f>
        <v/>
      </c>
    </row>
    <row r="67">
      <c r="B67" s="72">
        <f>IF($K67="","",TEXT(INDEX(EventGrid!$E$4:$E$596,$K67),"ddd mmm d")&amp;IF(INDEX(EventGrid!$A$4:$A$596,$K67)&gt;0," - "&amp;TEXT(INDEX(EventGrid!$F$4:$F$596,$K67),"ddd mmm d"),""))</f>
        <v/>
      </c>
      <c r="C67" s="73">
        <f>IF($K67="","",IFERROR(INDEX(Lists!$H$1:$H$7,MATCH(INDEX(Events!$D$6:$D$598,$K67),Lists!$G$1:$G$7,0)),"")&amp;" "&amp;SUBSTITUTE(INDEX(Events!$C$6:$C$598,$K67),"{n}",YEAR(INDEX(EventGrid!$E$4:$E$596,$K67))-YEAR(INDEX(Events!$A$6:$A$598,$K67))))</f>
        <v/>
      </c>
      <c r="D67" s="32" t="n"/>
      <c r="E67" s="32" t="n"/>
      <c r="F67" s="74">
        <f>IF($K67="","",IF(INDEX(Events!$F$6:$F$598,$K67)=0,"",INDEX(Events!$F$6:$F$598,$K67)))</f>
        <v/>
      </c>
      <c r="G67" s="32" t="n"/>
      <c r="H67" s="32" t="n"/>
      <c r="K67">
        <f>IFERROR(MATCH(SMALL(EventGrid!$G$4:$G$596,8),EventGrid!$G$4:$G$596,0),"")</f>
        <v/>
      </c>
    </row>
    <row r="68">
      <c r="B68" s="72">
        <f>IF($K68="","",TEXT(INDEX(EventGrid!$E$4:$E$596,$K68),"ddd mmm d")&amp;IF(INDEX(EventGrid!$A$4:$A$596,$K68)&gt;0," - "&amp;TEXT(INDEX(EventGrid!$F$4:$F$596,$K68),"ddd mmm d"),""))</f>
        <v/>
      </c>
      <c r="C68" s="73">
        <f>IF($K68="","",IFERROR(INDEX(Lists!$H$1:$H$7,MATCH(INDEX(Events!$D$6:$D$598,$K68),Lists!$G$1:$G$7,0)),"")&amp;" "&amp;SUBSTITUTE(INDEX(Events!$C$6:$C$598,$K68),"{n}",YEAR(INDEX(EventGrid!$E$4:$E$596,$K68))-YEAR(INDEX(Events!$A$6:$A$598,$K68))))</f>
        <v/>
      </c>
      <c r="D68" s="32" t="n"/>
      <c r="E68" s="32" t="n"/>
      <c r="F68" s="74">
        <f>IF($K68="","",IF(INDEX(Events!$F$6:$F$598,$K68)=0,"",INDEX(Events!$F$6:$F$598,$K68)))</f>
        <v/>
      </c>
      <c r="G68" s="32" t="n"/>
      <c r="H68" s="32" t="n"/>
      <c r="K68">
        <f>IFERROR(MATCH(SMALL(EventGrid!$G$4:$G$596,9),EventGrid!$G$4:$G$596,0),"")</f>
        <v/>
      </c>
    </row>
    <row r="69">
      <c r="B69" s="72">
        <f>IF($K69="","",TEXT(INDEX(EventGrid!$E$4:$E$596,$K69),"ddd mmm d")&amp;IF(INDEX(EventGrid!$A$4:$A$596,$K69)&gt;0," - "&amp;TEXT(INDEX(EventGrid!$F$4:$F$596,$K69),"ddd mmm d"),""))</f>
        <v/>
      </c>
      <c r="C69" s="73">
        <f>IF($K69="","",IFERROR(INDEX(Lists!$H$1:$H$7,MATCH(INDEX(Events!$D$6:$D$598,$K69),Lists!$G$1:$G$7,0)),"")&amp;" "&amp;SUBSTITUTE(INDEX(Events!$C$6:$C$598,$K69),"{n}",YEAR(INDEX(EventGrid!$E$4:$E$596,$K69))-YEAR(INDEX(Events!$A$6:$A$598,$K69))))</f>
        <v/>
      </c>
      <c r="D69" s="32" t="n"/>
      <c r="E69" s="32" t="n"/>
      <c r="F69" s="74">
        <f>IF($K69="","",IF(INDEX(Events!$F$6:$F$598,$K69)=0,"",INDEX(Events!$F$6:$F$598,$K69)))</f>
        <v/>
      </c>
      <c r="G69" s="32" t="n"/>
      <c r="H69" s="32" t="n"/>
      <c r="K69">
        <f>IFERROR(MATCH(SMALL(EventGrid!$G$4:$G$596,10),EventGrid!$G$4:$G$596,0),"")</f>
        <v/>
      </c>
    </row>
    <row r="70">
      <c r="B70" s="72">
        <f>IF($K70="","",TEXT(INDEX(EventGrid!$E$4:$E$596,$K70),"ddd mmm d")&amp;IF(INDEX(EventGrid!$A$4:$A$596,$K70)&gt;0," - "&amp;TEXT(INDEX(EventGrid!$F$4:$F$596,$K70),"ddd mmm d"),""))</f>
        <v/>
      </c>
      <c r="C70" s="73">
        <f>IF($K70="","",IFERROR(INDEX(Lists!$H$1:$H$7,MATCH(INDEX(Events!$D$6:$D$598,$K70),Lists!$G$1:$G$7,0)),"")&amp;" "&amp;SUBSTITUTE(INDEX(Events!$C$6:$C$598,$K70),"{n}",YEAR(INDEX(EventGrid!$E$4:$E$596,$K70))-YEAR(INDEX(Events!$A$6:$A$598,$K70))))</f>
        <v/>
      </c>
      <c r="D70" s="32" t="n"/>
      <c r="E70" s="32" t="n"/>
      <c r="F70" s="74">
        <f>IF($K70="","",IF(INDEX(Events!$F$6:$F$598,$K70)=0,"",INDEX(Events!$F$6:$F$598,$K70)))</f>
        <v/>
      </c>
      <c r="G70" s="32" t="n"/>
      <c r="H70" s="32" t="n"/>
      <c r="K70">
        <f>IFERROR(MATCH(SMALL(EventGrid!$G$4:$G$596,11),EventGrid!$G$4:$G$596,0),"")</f>
        <v/>
      </c>
    </row>
    <row r="71">
      <c r="B71" s="72">
        <f>IF($K71="","",TEXT(INDEX(EventGrid!$E$4:$E$596,$K71),"ddd mmm d")&amp;IF(INDEX(EventGrid!$A$4:$A$596,$K71)&gt;0," - "&amp;TEXT(INDEX(EventGrid!$F$4:$F$596,$K71),"ddd mmm d"),""))</f>
        <v/>
      </c>
      <c r="C71" s="73">
        <f>IF($K71="","",IFERROR(INDEX(Lists!$H$1:$H$7,MATCH(INDEX(Events!$D$6:$D$598,$K71),Lists!$G$1:$G$7,0)),"")&amp;" "&amp;SUBSTITUTE(INDEX(Events!$C$6:$C$598,$K71),"{n}",YEAR(INDEX(EventGrid!$E$4:$E$596,$K71))-YEAR(INDEX(Events!$A$6:$A$598,$K71))))</f>
        <v/>
      </c>
      <c r="D71" s="32" t="n"/>
      <c r="E71" s="32" t="n"/>
      <c r="F71" s="74">
        <f>IF($K71="","",IF(INDEX(Events!$F$6:$F$598,$K71)=0,"",INDEX(Events!$F$6:$F$598,$K71)))</f>
        <v/>
      </c>
      <c r="G71" s="32" t="n"/>
      <c r="H71" s="32" t="n"/>
      <c r="K71">
        <f>IFERROR(MATCH(SMALL(EventGrid!$G$4:$G$596,12),EventGrid!$G$4:$G$596,0),"")</f>
        <v/>
      </c>
    </row>
    <row r="72">
      <c r="B72" s="72">
        <f>IF($K72="","",TEXT(INDEX(EventGrid!$E$4:$E$596,$K72),"ddd mmm d")&amp;IF(INDEX(EventGrid!$A$4:$A$596,$K72)&gt;0," - "&amp;TEXT(INDEX(EventGrid!$F$4:$F$596,$K72),"ddd mmm d"),""))</f>
        <v/>
      </c>
      <c r="C72" s="73">
        <f>IF($K72="","",IFERROR(INDEX(Lists!$H$1:$H$7,MATCH(INDEX(Events!$D$6:$D$598,$K72),Lists!$G$1:$G$7,0)),"")&amp;" "&amp;SUBSTITUTE(INDEX(Events!$C$6:$C$598,$K72),"{n}",YEAR(INDEX(EventGrid!$E$4:$E$596,$K72))-YEAR(INDEX(Events!$A$6:$A$598,$K72))))</f>
        <v/>
      </c>
      <c r="D72" s="32" t="n"/>
      <c r="E72" s="32" t="n"/>
      <c r="F72" s="74">
        <f>IF($K72="","",IF(INDEX(Events!$F$6:$F$598,$K72)=0,"",INDEX(Events!$F$6:$F$598,$K72)))</f>
        <v/>
      </c>
      <c r="G72" s="32" t="n"/>
      <c r="H72" s="32" t="n"/>
      <c r="K72">
        <f>IFERROR(MATCH(SMALL(EventGrid!$G$4:$G$596,13),EventGrid!$G$4:$G$596,0),"")</f>
        <v/>
      </c>
    </row>
    <row r="73">
      <c r="B73" s="72">
        <f>IF($K73="","",TEXT(INDEX(EventGrid!$E$4:$E$596,$K73),"ddd mmm d")&amp;IF(INDEX(EventGrid!$A$4:$A$596,$K73)&gt;0," - "&amp;TEXT(INDEX(EventGrid!$F$4:$F$596,$K73),"ddd mmm d"),""))</f>
        <v/>
      </c>
      <c r="C73" s="73">
        <f>IF($K73="","",IFERROR(INDEX(Lists!$H$1:$H$7,MATCH(INDEX(Events!$D$6:$D$598,$K73),Lists!$G$1:$G$7,0)),"")&amp;" "&amp;SUBSTITUTE(INDEX(Events!$C$6:$C$598,$K73),"{n}",YEAR(INDEX(EventGrid!$E$4:$E$596,$K73))-YEAR(INDEX(Events!$A$6:$A$598,$K73))))</f>
        <v/>
      </c>
      <c r="D73" s="32" t="n"/>
      <c r="E73" s="32" t="n"/>
      <c r="F73" s="74">
        <f>IF($K73="","",IF(INDEX(Events!$F$6:$F$598,$K73)=0,"",INDEX(Events!$F$6:$F$598,$K73)))</f>
        <v/>
      </c>
      <c r="G73" s="32" t="n"/>
      <c r="H73" s="32" t="n"/>
      <c r="K73">
        <f>IFERROR(MATCH(SMALL(EventGrid!$G$4:$G$596,14),EventGrid!$G$4:$G$596,0),"")</f>
        <v/>
      </c>
    </row>
    <row r="74">
      <c r="B74" s="2">
        <f>IF(COUNT(EventGrid!$G$4:$G$596)&gt;14,"+ "&amp;(COUNT(EventGrid!$G$4:$G$596)-14)&amp;" more this month - see the Events sheet","")</f>
        <v/>
      </c>
    </row>
  </sheetData>
  <sheetProtection selectLockedCells="0" selectUnlockedCells="0" sheet="1" objects="0" insertRows="1" insertHyperlinks="1" autoFilter="1" scenarios="0" formatColumns="1" deleteColumns="1" insertColumns="1" pivotTables="1" deleteRows="1" formatCells="1" formatRows="1" sort="1"/>
  <mergeCells count="28">
    <mergeCell ref="F70:H70"/>
    <mergeCell ref="F66:H66"/>
    <mergeCell ref="F62:H62"/>
    <mergeCell ref="C60:E60"/>
    <mergeCell ref="F72:H72"/>
    <mergeCell ref="C71:E71"/>
    <mergeCell ref="C61:E61"/>
    <mergeCell ref="F71:H71"/>
    <mergeCell ref="C70:E70"/>
    <mergeCell ref="F67:H67"/>
    <mergeCell ref="F61:H61"/>
    <mergeCell ref="C67:E67"/>
    <mergeCell ref="C72:E72"/>
    <mergeCell ref="C66:E66"/>
    <mergeCell ref="F60:H60"/>
    <mergeCell ref="C69:E69"/>
    <mergeCell ref="F73:H73"/>
    <mergeCell ref="F64:H64"/>
    <mergeCell ref="C68:E68"/>
    <mergeCell ref="F69:H69"/>
    <mergeCell ref="F65:H65"/>
    <mergeCell ref="F63:H63"/>
    <mergeCell ref="C62:E62"/>
    <mergeCell ref="F68:H68"/>
    <mergeCell ref="C63:E63"/>
    <mergeCell ref="C73:E73"/>
    <mergeCell ref="C64:E64"/>
    <mergeCell ref="C65:E65"/>
  </mergeCells>
  <conditionalFormatting sqref="B10:H17">
    <cfRule type="expression" priority="1" dxfId="13" stopIfTrue="1">
      <formula>MONTH(K$10)&lt;&gt;MONTH($K$2)</formula>
    </cfRule>
  </conditionalFormatting>
  <conditionalFormatting sqref="B10:H10">
    <cfRule type="expression" priority="2" dxfId="6">
      <formula>K10=TODAY()</formula>
    </cfRule>
  </conditionalFormatting>
  <conditionalFormatting sqref="B18:H25">
    <cfRule type="expression" priority="3" dxfId="13" stopIfTrue="1">
      <formula>MONTH(K$18)&lt;&gt;MONTH($K$2)</formula>
    </cfRule>
  </conditionalFormatting>
  <conditionalFormatting sqref="B18:H18">
    <cfRule type="expression" priority="4" dxfId="6">
      <formula>K18=TODAY()</formula>
    </cfRule>
  </conditionalFormatting>
  <conditionalFormatting sqref="B26:H33">
    <cfRule type="expression" priority="5" dxfId="13" stopIfTrue="1">
      <formula>MONTH(K$26)&lt;&gt;MONTH($K$2)</formula>
    </cfRule>
  </conditionalFormatting>
  <conditionalFormatting sqref="B26:H26">
    <cfRule type="expression" priority="6" dxfId="6">
      <formula>K26=TODAY()</formula>
    </cfRule>
  </conditionalFormatting>
  <conditionalFormatting sqref="B34:H41">
    <cfRule type="expression" priority="7" dxfId="13" stopIfTrue="1">
      <formula>MONTH(K$34)&lt;&gt;MONTH($K$2)</formula>
    </cfRule>
  </conditionalFormatting>
  <conditionalFormatting sqref="B34:H34">
    <cfRule type="expression" priority="8" dxfId="6">
      <formula>K34=TODAY()</formula>
    </cfRule>
  </conditionalFormatting>
  <conditionalFormatting sqref="B42:H49">
    <cfRule type="expression" priority="9" dxfId="13" stopIfTrue="1">
      <formula>MONTH(K$42)&lt;&gt;MONTH($K$2)</formula>
    </cfRule>
  </conditionalFormatting>
  <conditionalFormatting sqref="B42:H42">
    <cfRule type="expression" priority="10" dxfId="6">
      <formula>K42=TODAY()</formula>
    </cfRule>
  </conditionalFormatting>
  <conditionalFormatting sqref="B50:H57">
    <cfRule type="expression" priority="11" dxfId="13" stopIfTrue="1">
      <formula>MONTH(K$50)&lt;&gt;MONTH($K$2)</formula>
    </cfRule>
  </conditionalFormatting>
  <conditionalFormatting sqref="B50:H50">
    <cfRule type="expression" priority="12" dxfId="6">
      <formula>K50=TODAY()</formula>
    </cfRule>
  </conditionalFormatting>
  <conditionalFormatting sqref="B13:H17 B21:H25 B29:H33 B37:H41 B45:H49 B53:H57">
    <cfRule type="expression" priority="13" dxfId="14">
      <formula>S13=1</formula>
    </cfRule>
    <cfRule type="expression" priority="14" dxfId="15">
      <formula>S13=2</formula>
    </cfRule>
    <cfRule type="expression" priority="15" dxfId="16">
      <formula>S13=3</formula>
    </cfRule>
    <cfRule type="expression" priority="16" dxfId="17">
      <formula>S13=4</formula>
    </cfRule>
    <cfRule type="expression" priority="17" dxfId="18">
      <formula>S13=5</formula>
    </cfRule>
    <cfRule type="expression" priority="18" dxfId="19">
      <formula>S13=6</formula>
    </cfRule>
    <cfRule type="expression" priority="19" dxfId="20">
      <formula>LEFT(B13,1)="✓"</formula>
    </cfRule>
  </conditionalFormatting>
  <conditionalFormatting sqref="B11:H12 B19:H20 B27:H28 B35:H36 B43:H44 B51:H52">
    <cfRule type="expression" priority="20" dxfId="21">
      <formula>S11=1</formula>
    </cfRule>
    <cfRule type="expression" priority="21" dxfId="22">
      <formula>S11=2</formula>
    </cfRule>
    <cfRule type="expression" priority="22" dxfId="23">
      <formula>S11=3</formula>
    </cfRule>
    <cfRule type="expression" priority="23" dxfId="24">
      <formula>S11=4</formula>
    </cfRule>
    <cfRule type="expression" priority="24" dxfId="25">
      <formula>S11=5</formula>
    </cfRule>
    <cfRule type="expression" priority="25" dxfId="26">
      <formula>S11=6</formula>
    </cfRule>
    <cfRule type="expression" priority="26" dxfId="27">
      <formula>S11=7</formula>
    </cfRule>
  </conditionalFormatting>
  <dataValidations count="4">
    <dataValidation sqref="H4" showDropDown="0" showInputMessage="0" showErrorMessage="1" allowBlank="0" type="list">
      <formula1>"All events,Holiday,Fandom,Movie / trailer,Game release,Carlin life,SCB milestone,Other,None"</formula1>
    </dataValidation>
    <dataValidation sqref="C4" showDropDown="0" showInputMessage="0" showErrorMessage="1" allowBlank="0" type="list">
      <formula1>=YearList</formula1>
    </dataValidation>
    <dataValidation sqref="E4" showDropDown="0" showInputMessage="0" showErrorMessage="1" allowBlank="0" type="list">
      <formula1>=MonthList</formula1>
    </dataValidation>
    <dataValidation sqref="G4" showDropDown="0" showInputMessage="0" showErrorMessage="1" allowBlank="0" type="list">
      <formula1>=ChannelList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8E5BB5"/>
    <outlinePr summaryBelow="1" summaryRight="1"/>
    <pageSetUpPr fitToPage="1"/>
  </sheetPr>
  <dimension ref="A1:I448"/>
  <sheetViews>
    <sheetView showGridLines="0" workbookViewId="0">
      <pane ySplit="5" topLeftCell="A6" activePane="bottomLeft" state="frozen"/>
      <selection pane="bottomLeft" activeCell="A1" sqref="A1"/>
    </sheetView>
  </sheetViews>
  <sheetFormatPr baseColWidth="8" defaultRowHeight="15"/>
  <cols>
    <col width="13" customWidth="1" min="1" max="1"/>
    <col width="13" customWidth="1" min="2" max="2"/>
    <col width="62" customWidth="1" min="3" max="3"/>
    <col width="17" customWidth="1" min="4" max="4"/>
    <col width="14" customWidth="1" min="5" max="5"/>
    <col width="50" customWidth="1" min="6" max="6"/>
    <col width="8" customWidth="1" min="7" max="7"/>
    <col width="11" customWidth="1" min="8" max="8"/>
    <col hidden="1" outlineLevel="1" width="24" customWidth="1" min="9" max="9"/>
  </cols>
  <sheetData>
    <row r="1" ht="28" customHeight="1">
      <c r="A1" s="34" t="inlineStr">
        <is>
          <t>Events</t>
        </is>
      </c>
    </row>
    <row r="2">
      <c r="A2" s="2" t="inlineStr">
        <is>
          <t>These appear on the Calendar sheet. To add your own, type in the first empty row under the table. Date = first day (End Date only for multi-day events). Repeats Yearly = Yes for birthdays and anniversaries; write {n} in the name to show the number of years ("J's birthday (turns {n})").</t>
        </is>
      </c>
    </row>
    <row r="3">
      <c r="A3" s="2" t="inlineStr">
        <is>
          <t>Show = No hides an event. Rows with Source = Built-in are refreshed when the library updates (only their Show setting is remembered); rows you add are never touched. To change a built-in event, hide it and add your own version. Put a web address in Notes / Link to make the calendar entry clickable.</t>
        </is>
      </c>
    </row>
    <row r="4">
      <c r="A4" s="35">
        <f>HYPERLINK("#'Dashboard'!A1","◄ Dashboard")</f>
        <v/>
      </c>
      <c r="C4" s="56">
        <f>COUNTA(C6:C598)&amp;" of 593 rows used - the calendar reads rows 6 to 598."</f>
        <v/>
      </c>
    </row>
    <row r="5" ht="24" customHeight="1">
      <c r="A5" s="12" t="inlineStr">
        <is>
          <t>Date</t>
        </is>
      </c>
      <c r="B5" s="12" t="inlineStr">
        <is>
          <t>End Date</t>
        </is>
      </c>
      <c r="C5" s="12" t="inlineStr">
        <is>
          <t>Event</t>
        </is>
      </c>
      <c r="D5" s="12" t="inlineStr">
        <is>
          <t>Category</t>
        </is>
      </c>
      <c r="E5" s="12" t="inlineStr">
        <is>
          <t>Repeats Yearly</t>
        </is>
      </c>
      <c r="F5" s="12" t="inlineStr">
        <is>
          <t>Notes / Link</t>
        </is>
      </c>
      <c r="G5" s="36" t="inlineStr">
        <is>
          <t>Show</t>
        </is>
      </c>
      <c r="H5" s="12" t="inlineStr">
        <is>
          <t>Source</t>
        </is>
      </c>
      <c r="I5" s="12" t="inlineStr">
        <is>
          <t>Key</t>
        </is>
      </c>
    </row>
    <row r="6">
      <c r="A6" s="75" t="n">
        <v>32177</v>
      </c>
      <c r="B6" s="75" t="n"/>
      <c r="C6" t="inlineStr">
        <is>
          <t>J's birthday (turns {n})</t>
        </is>
      </c>
      <c r="D6" s="39" t="inlineStr">
        <is>
          <t>Carlin life</t>
        </is>
      </c>
      <c r="E6" s="39" t="inlineStr">
        <is>
          <t>Yes</t>
        </is>
      </c>
      <c r="F6" s="47" t="inlineStr">
        <is>
          <t>Birth date from public bio sites - please verify</t>
        </is>
      </c>
      <c r="G6" s="76" t="inlineStr">
        <is>
          <t>Yes</t>
        </is>
      </c>
      <c r="H6" s="77" t="inlineStr">
        <is>
          <t>Built-in</t>
        </is>
      </c>
      <c r="I6" s="78" t="inlineStr">
        <is>
          <t>life:bday:0204</t>
        </is>
      </c>
    </row>
    <row r="7">
      <c r="A7" s="75" t="n">
        <v>32806</v>
      </c>
      <c r="B7" s="75" t="n"/>
      <c r="C7" t="inlineStr">
        <is>
          <t>Ben's birthday (turns {n})</t>
        </is>
      </c>
      <c r="D7" s="39" t="inlineStr">
        <is>
          <t>Carlin life</t>
        </is>
      </c>
      <c r="E7" s="39" t="inlineStr">
        <is>
          <t>Yes</t>
        </is>
      </c>
      <c r="F7" s="47" t="inlineStr">
        <is>
          <t>Birth date from public bio sites - please verify</t>
        </is>
      </c>
      <c r="G7" s="76" t="inlineStr">
        <is>
          <t>Yes</t>
        </is>
      </c>
      <c r="H7" s="77" t="inlineStr">
        <is>
          <t>Built-in</t>
        </is>
      </c>
      <c r="I7" s="78" t="inlineStr">
        <is>
          <t>life:bday:1025</t>
        </is>
      </c>
    </row>
    <row r="8">
      <c r="A8" s="75" t="n">
        <v>40909</v>
      </c>
      <c r="B8" s="75" t="n"/>
      <c r="C8" t="inlineStr">
        <is>
          <t>New Year's Day</t>
        </is>
      </c>
      <c r="D8" s="39" t="inlineStr">
        <is>
          <t>Holiday</t>
        </is>
      </c>
      <c r="E8" s="39" t="inlineStr">
        <is>
          <t>Yes</t>
        </is>
      </c>
      <c r="F8" s="47" t="n"/>
      <c r="G8" s="76" t="inlineStr">
        <is>
          <t>Yes</t>
        </is>
      </c>
      <c r="H8" s="77" t="inlineStr">
        <is>
          <t>Built-in</t>
        </is>
      </c>
      <c r="I8" s="78" t="inlineStr">
        <is>
          <t>hol:0101</t>
        </is>
      </c>
    </row>
    <row r="9">
      <c r="A9" s="75" t="n">
        <v>40924</v>
      </c>
      <c r="B9" s="75" t="n"/>
      <c r="C9" t="inlineStr">
        <is>
          <t>Martin Luther King Jr. Day</t>
        </is>
      </c>
      <c r="D9" s="39" t="inlineStr">
        <is>
          <t>Holiday</t>
        </is>
      </c>
      <c r="E9" s="39" t="inlineStr">
        <is>
          <t>No</t>
        </is>
      </c>
      <c r="F9" s="47" t="n"/>
      <c r="G9" s="76" t="inlineStr">
        <is>
          <t>Yes</t>
        </is>
      </c>
      <c r="H9" s="77" t="inlineStr">
        <is>
          <t>Built-in</t>
        </is>
      </c>
      <c r="I9" s="78" t="inlineStr">
        <is>
          <t>hol:mlk:2012</t>
        </is>
      </c>
    </row>
    <row r="10">
      <c r="A10" s="75" t="n">
        <v>40944</v>
      </c>
      <c r="B10" s="75" t="n"/>
      <c r="C10" t="inlineStr">
        <is>
          <t>Super Bowl Sunday</t>
        </is>
      </c>
      <c r="D10" s="39" t="inlineStr">
        <is>
          <t>Holiday</t>
        </is>
      </c>
      <c r="E10" s="39" t="inlineStr">
        <is>
          <t>No</t>
        </is>
      </c>
      <c r="F10" s="47" t="n"/>
      <c r="G10" s="76" t="inlineStr">
        <is>
          <t>Yes</t>
        </is>
      </c>
      <c r="H10" s="77" t="inlineStr">
        <is>
          <t>Built-in</t>
        </is>
      </c>
      <c r="I10" s="78" t="inlineStr">
        <is>
          <t>hol:sb:2012</t>
        </is>
      </c>
    </row>
    <row r="11">
      <c r="A11" s="75" t="n">
        <v>40953</v>
      </c>
      <c r="B11" s="75" t="n"/>
      <c r="C11" t="inlineStr">
        <is>
          <t>Valentine's Day</t>
        </is>
      </c>
      <c r="D11" s="39" t="inlineStr">
        <is>
          <t>Holiday</t>
        </is>
      </c>
      <c r="E11" s="39" t="inlineStr">
        <is>
          <t>Yes</t>
        </is>
      </c>
      <c r="F11" s="47" t="n"/>
      <c r="G11" s="76" t="inlineStr">
        <is>
          <t>Yes</t>
        </is>
      </c>
      <c r="H11" s="77" t="inlineStr">
        <is>
          <t>Built-in</t>
        </is>
      </c>
      <c r="I11" s="78" t="inlineStr">
        <is>
          <t>hol:0214</t>
        </is>
      </c>
    </row>
    <row r="12">
      <c r="A12" s="75" t="n">
        <v>40959</v>
      </c>
      <c r="B12" s="75" t="n"/>
      <c r="C12" t="inlineStr">
        <is>
          <t>Presidents' Day</t>
        </is>
      </c>
      <c r="D12" s="39" t="inlineStr">
        <is>
          <t>Holiday</t>
        </is>
      </c>
      <c r="E12" s="39" t="inlineStr">
        <is>
          <t>No</t>
        </is>
      </c>
      <c r="F12" s="47" t="n"/>
      <c r="G12" s="76" t="inlineStr">
        <is>
          <t>Yes</t>
        </is>
      </c>
      <c r="H12" s="77" t="inlineStr">
        <is>
          <t>Built-in</t>
        </is>
      </c>
      <c r="I12" s="78" t="inlineStr">
        <is>
          <t>hol:pres:2012</t>
        </is>
      </c>
    </row>
    <row r="13">
      <c r="A13" s="75" t="n">
        <v>40965</v>
      </c>
      <c r="B13" s="75" t="n"/>
      <c r="C13" t="inlineStr">
        <is>
          <t>The Oscars</t>
        </is>
      </c>
      <c r="D13" s="39" t="inlineStr">
        <is>
          <t>Holiday</t>
        </is>
      </c>
      <c r="E13" s="39" t="inlineStr">
        <is>
          <t>No</t>
        </is>
      </c>
      <c r="F13" s="47" t="inlineStr">
        <is>
          <t>Academy Awards ceremony</t>
        </is>
      </c>
      <c r="G13" s="76" t="inlineStr">
        <is>
          <t>Yes</t>
        </is>
      </c>
      <c r="H13" s="77" t="inlineStr">
        <is>
          <t>Built-in</t>
        </is>
      </c>
      <c r="I13" s="78" t="inlineStr">
        <is>
          <t>hol:oscars:2012</t>
        </is>
      </c>
    </row>
    <row r="14">
      <c r="A14" s="75" t="n">
        <v>40966</v>
      </c>
      <c r="B14" s="75" t="n"/>
      <c r="C14" t="inlineStr">
        <is>
          <t>Pokémon Day</t>
        </is>
      </c>
      <c r="D14" s="39" t="inlineStr">
        <is>
          <t>Fandom</t>
        </is>
      </c>
      <c r="E14" s="39" t="inlineStr">
        <is>
          <t>Yes</t>
        </is>
      </c>
      <c r="F14" s="47" t="inlineStr">
        <is>
          <t>Anniversary of the first Pokémon games (1996)</t>
        </is>
      </c>
      <c r="G14" s="76" t="inlineStr">
        <is>
          <t>Yes</t>
        </is>
      </c>
      <c r="H14" s="77" t="inlineStr">
        <is>
          <t>Built-in</t>
        </is>
      </c>
      <c r="I14" s="78" t="inlineStr">
        <is>
          <t>fan:0227</t>
        </is>
      </c>
    </row>
    <row r="15">
      <c r="A15" s="75" t="n">
        <v>40978</v>
      </c>
      <c r="B15" s="75" t="n"/>
      <c r="C15" t="inlineStr">
        <is>
          <t>Mario Day (MAR10)</t>
        </is>
      </c>
      <c r="D15" s="39" t="inlineStr">
        <is>
          <t>Fandom</t>
        </is>
      </c>
      <c r="E15" s="39" t="inlineStr">
        <is>
          <t>Yes</t>
        </is>
      </c>
      <c r="F15" s="47" t="n"/>
      <c r="G15" s="76" t="inlineStr">
        <is>
          <t>Yes</t>
        </is>
      </c>
      <c r="H15" s="77" t="inlineStr">
        <is>
          <t>Built-in</t>
        </is>
      </c>
      <c r="I15" s="78" t="inlineStr">
        <is>
          <t>fan:0310</t>
        </is>
      </c>
    </row>
    <row r="16">
      <c r="A16" s="75" t="n">
        <v>40985</v>
      </c>
      <c r="B16" s="75" t="n"/>
      <c r="C16" t="inlineStr">
        <is>
          <t>St. Patrick's Day</t>
        </is>
      </c>
      <c r="D16" s="39" t="inlineStr">
        <is>
          <t>Holiday</t>
        </is>
      </c>
      <c r="E16" s="39" t="inlineStr">
        <is>
          <t>Yes</t>
        </is>
      </c>
      <c r="F16" s="47" t="n"/>
      <c r="G16" s="76" t="inlineStr">
        <is>
          <t>Yes</t>
        </is>
      </c>
      <c r="H16" s="77" t="inlineStr">
        <is>
          <t>Built-in</t>
        </is>
      </c>
      <c r="I16" s="78" t="inlineStr">
        <is>
          <t>hol:0317</t>
        </is>
      </c>
    </row>
    <row r="17">
      <c r="A17" s="75" t="n">
        <v>40991</v>
      </c>
      <c r="B17" s="75" t="n"/>
      <c r="C17" t="inlineStr">
        <is>
          <t>The Hunger Games released</t>
        </is>
      </c>
      <c r="D17" s="39" t="inlineStr">
        <is>
          <t>Movie / trailer</t>
        </is>
      </c>
      <c r="E17" s="39" t="inlineStr">
        <is>
          <t>No</t>
        </is>
      </c>
      <c r="F17" s="47" t="inlineStr">
        <is>
          <t>Hunger Games - US date</t>
        </is>
      </c>
      <c r="G17" s="76" t="inlineStr">
        <is>
          <t>Yes</t>
        </is>
      </c>
      <c r="H17" s="77" t="inlineStr">
        <is>
          <t>Built-in</t>
        </is>
      </c>
      <c r="I17" s="78" t="inlineStr">
        <is>
          <t>rel:2012-03-23:The Hunger Games</t>
        </is>
      </c>
    </row>
    <row r="18">
      <c r="A18" s="75" t="n">
        <v>41000</v>
      </c>
      <c r="B18" s="75" t="n"/>
      <c r="C18" t="inlineStr">
        <is>
          <t>April Fools' Day</t>
        </is>
      </c>
      <c r="D18" s="39" t="inlineStr">
        <is>
          <t>Holiday</t>
        </is>
      </c>
      <c r="E18" s="39" t="inlineStr">
        <is>
          <t>Yes</t>
        </is>
      </c>
      <c r="F18" s="47" t="n"/>
      <c r="G18" s="76" t="inlineStr">
        <is>
          <t>Yes</t>
        </is>
      </c>
      <c r="H18" s="77" t="inlineStr">
        <is>
          <t>Built-in</t>
        </is>
      </c>
      <c r="I18" s="78" t="inlineStr">
        <is>
          <t>hol:0401</t>
        </is>
      </c>
    </row>
    <row r="19">
      <c r="A19" s="75" t="n">
        <v>41007</v>
      </c>
      <c r="B19" s="75" t="n"/>
      <c r="C19" t="inlineStr">
        <is>
          <t>Easter Sunday</t>
        </is>
      </c>
      <c r="D19" s="39" t="inlineStr">
        <is>
          <t>Holiday</t>
        </is>
      </c>
      <c r="E19" s="39" t="inlineStr">
        <is>
          <t>No</t>
        </is>
      </c>
      <c r="F19" s="47" t="n"/>
      <c r="G19" s="76" t="inlineStr">
        <is>
          <t>Yes</t>
        </is>
      </c>
      <c r="H19" s="77" t="inlineStr">
        <is>
          <t>Built-in</t>
        </is>
      </c>
      <c r="I19" s="78" t="inlineStr">
        <is>
          <t>hol:easter:2012</t>
        </is>
      </c>
    </row>
    <row r="20">
      <c r="A20" s="75" t="n">
        <v>41031</v>
      </c>
      <c r="B20" s="75" t="n"/>
      <c r="C20" t="inlineStr">
        <is>
          <t>Battle of Hogwarts anniversary</t>
        </is>
      </c>
      <c r="D20" s="39" t="inlineStr">
        <is>
          <t>Fandom</t>
        </is>
      </c>
      <c r="E20" s="39" t="inlineStr">
        <is>
          <t>Yes</t>
        </is>
      </c>
      <c r="F20" s="47" t="n"/>
      <c r="G20" s="76" t="inlineStr">
        <is>
          <t>Yes</t>
        </is>
      </c>
      <c r="H20" s="77" t="inlineStr">
        <is>
          <t>Built-in</t>
        </is>
      </c>
      <c r="I20" s="78" t="inlineStr">
        <is>
          <t>fan:0502</t>
        </is>
      </c>
    </row>
    <row r="21">
      <c r="A21" s="75" t="n">
        <v>41033</v>
      </c>
      <c r="B21" s="75" t="n"/>
      <c r="C21" t="inlineStr">
        <is>
          <t>Star Wars Day (May the 4th)</t>
        </is>
      </c>
      <c r="D21" s="39" t="inlineStr">
        <is>
          <t>Fandom</t>
        </is>
      </c>
      <c r="E21" s="39" t="inlineStr">
        <is>
          <t>Yes</t>
        </is>
      </c>
      <c r="F21" s="47" t="n"/>
      <c r="G21" s="76" t="inlineStr">
        <is>
          <t>Yes</t>
        </is>
      </c>
      <c r="H21" s="77" t="inlineStr">
        <is>
          <t>Built-in</t>
        </is>
      </c>
      <c r="I21" s="78" t="inlineStr">
        <is>
          <t>fan:0504</t>
        </is>
      </c>
    </row>
    <row r="22">
      <c r="A22" s="75" t="n">
        <v>41033</v>
      </c>
      <c r="B22" s="75" t="n"/>
      <c r="C22" t="inlineStr">
        <is>
          <t>The Avengers released</t>
        </is>
      </c>
      <c r="D22" s="39" t="inlineStr">
        <is>
          <t>Movie / trailer</t>
        </is>
      </c>
      <c r="E22" s="39" t="inlineStr">
        <is>
          <t>No</t>
        </is>
      </c>
      <c r="F22" s="47" t="inlineStr">
        <is>
          <t>Marvel - US date</t>
        </is>
      </c>
      <c r="G22" s="76" t="inlineStr">
        <is>
          <t>Yes</t>
        </is>
      </c>
      <c r="H22" s="77" t="inlineStr">
        <is>
          <t>Built-in</t>
        </is>
      </c>
      <c r="I22" s="78" t="inlineStr">
        <is>
          <t>rel:2012-05-04:The Avengers</t>
        </is>
      </c>
    </row>
    <row r="23">
      <c r="A23" s="75" t="n">
        <v>41042</v>
      </c>
      <c r="B23" s="75" t="n"/>
      <c r="C23" t="inlineStr">
        <is>
          <t>Mother's Day</t>
        </is>
      </c>
      <c r="D23" s="39" t="inlineStr">
        <is>
          <t>Holiday</t>
        </is>
      </c>
      <c r="E23" s="39" t="inlineStr">
        <is>
          <t>No</t>
        </is>
      </c>
      <c r="F23" s="47" t="n"/>
      <c r="G23" s="76" t="inlineStr">
        <is>
          <t>Yes</t>
        </is>
      </c>
      <c r="H23" s="77" t="inlineStr">
        <is>
          <t>Built-in</t>
        </is>
      </c>
      <c r="I23" s="78" t="inlineStr">
        <is>
          <t>hol:mothers:2012</t>
        </is>
      </c>
    </row>
    <row r="24">
      <c r="A24" s="75" t="n">
        <v>41054</v>
      </c>
      <c r="B24" s="75" t="n"/>
      <c r="C24" t="inlineStr">
        <is>
          <t>Star Wars anniversary (A New Hope, 1977)</t>
        </is>
      </c>
      <c r="D24" s="39" t="inlineStr">
        <is>
          <t>Fandom</t>
        </is>
      </c>
      <c r="E24" s="39" t="inlineStr">
        <is>
          <t>Yes</t>
        </is>
      </c>
      <c r="F24" s="47" t="inlineStr">
        <is>
          <t>Original Star Wars released May 25, 1977</t>
        </is>
      </c>
      <c r="G24" s="76" t="inlineStr">
        <is>
          <t>Yes</t>
        </is>
      </c>
      <c r="H24" s="77" t="inlineStr">
        <is>
          <t>Built-in</t>
        </is>
      </c>
      <c r="I24" s="78" t="inlineStr">
        <is>
          <t>fan:0525</t>
        </is>
      </c>
    </row>
    <row r="25">
      <c r="A25" s="75" t="n">
        <v>41057</v>
      </c>
      <c r="B25" s="75" t="n"/>
      <c r="C25" t="inlineStr">
        <is>
          <t>Memorial Day</t>
        </is>
      </c>
      <c r="D25" s="39" t="inlineStr">
        <is>
          <t>Holiday</t>
        </is>
      </c>
      <c r="E25" s="39" t="inlineStr">
        <is>
          <t>No</t>
        </is>
      </c>
      <c r="F25" s="47" t="n"/>
      <c r="G25" s="76" t="inlineStr">
        <is>
          <t>Yes</t>
        </is>
      </c>
      <c r="H25" s="77" t="inlineStr">
        <is>
          <t>Built-in</t>
        </is>
      </c>
      <c r="I25" s="78" t="inlineStr">
        <is>
          <t>hol:memorial:2012</t>
        </is>
      </c>
    </row>
    <row r="26">
      <c r="A26" s="75" t="n">
        <v>41058</v>
      </c>
      <c r="B26" s="75" t="n"/>
      <c r="C26" t="inlineStr">
        <is>
          <t>Super Carlin Brothers: first video in the library</t>
        </is>
      </c>
      <c r="D26" s="39" t="inlineStr">
        <is>
          <t>SCB milestone</t>
        </is>
      </c>
      <c r="E26" s="39" t="inlineStr">
        <is>
          <t>No</t>
        </is>
      </c>
      <c r="F26" s="47" t="inlineStr">
        <is>
          <t>Super Carlin Brothers Teaser</t>
        </is>
      </c>
      <c r="G26" s="76" t="inlineStr">
        <is>
          <t>Yes</t>
        </is>
      </c>
      <c r="H26" s="77" t="inlineStr">
        <is>
          <t>Built-in</t>
        </is>
      </c>
      <c r="I26" s="78" t="inlineStr">
        <is>
          <t>auto:first:UCKZo4N0lVPccBkSiuyVh4yg</t>
        </is>
      </c>
    </row>
    <row r="27">
      <c r="A27" s="75" t="n">
        <v>41077</v>
      </c>
      <c r="B27" s="75" t="n"/>
      <c r="C27" t="inlineStr">
        <is>
          <t>Father's Day</t>
        </is>
      </c>
      <c r="D27" s="39" t="inlineStr">
        <is>
          <t>Holiday</t>
        </is>
      </c>
      <c r="E27" s="39" t="inlineStr">
        <is>
          <t>No</t>
        </is>
      </c>
      <c r="F27" s="47" t="n"/>
      <c r="G27" s="76" t="inlineStr">
        <is>
          <t>Yes</t>
        </is>
      </c>
      <c r="H27" s="77" t="inlineStr">
        <is>
          <t>Built-in</t>
        </is>
      </c>
      <c r="I27" s="78" t="inlineStr">
        <is>
          <t>hol:fathers:2012</t>
        </is>
      </c>
    </row>
    <row r="28">
      <c r="A28" s="75" t="n">
        <v>41082</v>
      </c>
      <c r="B28" s="75" t="n"/>
      <c r="C28" t="inlineStr">
        <is>
          <t>Brave released</t>
        </is>
      </c>
      <c r="D28" s="39" t="inlineStr">
        <is>
          <t>Movie / trailer</t>
        </is>
      </c>
      <c r="E28" s="39" t="inlineStr">
        <is>
          <t>No</t>
        </is>
      </c>
      <c r="F28" s="47" t="inlineStr">
        <is>
          <t>Pixar - US date</t>
        </is>
      </c>
      <c r="G28" s="76" t="inlineStr">
        <is>
          <t>Yes</t>
        </is>
      </c>
      <c r="H28" s="77" t="inlineStr">
        <is>
          <t>Built-in</t>
        </is>
      </c>
      <c r="I28" s="78" t="inlineStr">
        <is>
          <t>rel:2012-06-22:Brave</t>
        </is>
      </c>
    </row>
    <row r="29">
      <c r="A29" s="75" t="n">
        <v>41086</v>
      </c>
      <c r="B29" s="75" t="n"/>
      <c r="C29" t="inlineStr">
        <is>
          <t>Harry Potter book anniversary (1997)</t>
        </is>
      </c>
      <c r="D29" s="39" t="inlineStr">
        <is>
          <t>Fandom</t>
        </is>
      </c>
      <c r="E29" s="39" t="inlineStr">
        <is>
          <t>Yes</t>
        </is>
      </c>
      <c r="F29" s="47" t="inlineStr">
        <is>
          <t>Philosopher's Stone first published June 26, 1997</t>
        </is>
      </c>
      <c r="G29" s="76" t="inlineStr">
        <is>
          <t>Yes</t>
        </is>
      </c>
      <c r="H29" s="77" t="inlineStr">
        <is>
          <t>Built-in</t>
        </is>
      </c>
      <c r="I29" s="78" t="inlineStr">
        <is>
          <t>fan:0626</t>
        </is>
      </c>
    </row>
    <row r="30">
      <c r="A30" s="75" t="n">
        <v>41094</v>
      </c>
      <c r="B30" s="75" t="n"/>
      <c r="C30" t="inlineStr">
        <is>
          <t>Independence Day (4th of July)</t>
        </is>
      </c>
      <c r="D30" s="39" t="inlineStr">
        <is>
          <t>Holiday</t>
        </is>
      </c>
      <c r="E30" s="39" t="inlineStr">
        <is>
          <t>Yes</t>
        </is>
      </c>
      <c r="F30" s="47" t="n"/>
      <c r="G30" s="76" t="inlineStr">
        <is>
          <t>Yes</t>
        </is>
      </c>
      <c r="H30" s="77" t="inlineStr">
        <is>
          <t>Built-in</t>
        </is>
      </c>
      <c r="I30" s="78" t="inlineStr">
        <is>
          <t>hol:0704</t>
        </is>
      </c>
    </row>
    <row r="31">
      <c r="A31" s="75" t="n">
        <v>41102</v>
      </c>
      <c r="B31" s="75" t="n">
        <v>41105</v>
      </c>
      <c r="C31" t="inlineStr">
        <is>
          <t>San Diego Comic-Con</t>
        </is>
      </c>
      <c r="D31" s="39" t="inlineStr">
        <is>
          <t>Movie / trailer</t>
        </is>
      </c>
      <c r="E31" s="39" t="inlineStr">
        <is>
          <t>No</t>
        </is>
      </c>
      <c r="F31" s="47" t="inlineStr">
        <is>
          <t>Big trailer and announcement reveals (Marvel, Star Wars, Disney, Harry Potter)</t>
        </is>
      </c>
      <c r="G31" s="76" t="inlineStr">
        <is>
          <t>Yes</t>
        </is>
      </c>
      <c r="H31" s="77" t="inlineStr">
        <is>
          <t>Built-in</t>
        </is>
      </c>
      <c r="I31" s="78" t="inlineStr">
        <is>
          <t>con:sdcc:2012</t>
        </is>
      </c>
    </row>
    <row r="32">
      <c r="A32" s="75" t="n">
        <v>41121</v>
      </c>
      <c r="B32" s="75" t="n"/>
      <c r="C32" t="inlineStr">
        <is>
          <t>Harry Potter's birthday (and J.K. Rowling's)</t>
        </is>
      </c>
      <c r="D32" s="39" t="inlineStr">
        <is>
          <t>Fandom</t>
        </is>
      </c>
      <c r="E32" s="39" t="inlineStr">
        <is>
          <t>Yes</t>
        </is>
      </c>
      <c r="F32" s="47" t="n"/>
      <c r="G32" s="76" t="inlineStr">
        <is>
          <t>Yes</t>
        </is>
      </c>
      <c r="H32" s="77" t="inlineStr">
        <is>
          <t>Built-in</t>
        </is>
      </c>
      <c r="I32" s="78" t="inlineStr">
        <is>
          <t>fan:0731</t>
        </is>
      </c>
    </row>
    <row r="33">
      <c r="A33" s="75" t="n">
        <v>41153</v>
      </c>
      <c r="B33" s="75" t="n"/>
      <c r="C33" t="inlineStr">
        <is>
          <t>Back to Hogwarts Day</t>
        </is>
      </c>
      <c r="D33" s="39" t="inlineStr">
        <is>
          <t>Fandom</t>
        </is>
      </c>
      <c r="E33" s="39" t="inlineStr">
        <is>
          <t>Yes</t>
        </is>
      </c>
      <c r="F33" s="47" t="inlineStr">
        <is>
          <t>The Hogwarts Express leaves King's Cross</t>
        </is>
      </c>
      <c r="G33" s="76" t="inlineStr">
        <is>
          <t>Yes</t>
        </is>
      </c>
      <c r="H33" s="77" t="inlineStr">
        <is>
          <t>Built-in</t>
        </is>
      </c>
      <c r="I33" s="78" t="inlineStr">
        <is>
          <t>fan:0901</t>
        </is>
      </c>
    </row>
    <row r="34">
      <c r="A34" s="75" t="n">
        <v>41155</v>
      </c>
      <c r="B34" s="75" t="n"/>
      <c r="C34" t="inlineStr">
        <is>
          <t>Labor Day</t>
        </is>
      </c>
      <c r="D34" s="39" t="inlineStr">
        <is>
          <t>Holiday</t>
        </is>
      </c>
      <c r="E34" s="39" t="inlineStr">
        <is>
          <t>No</t>
        </is>
      </c>
      <c r="F34" s="47" t="n"/>
      <c r="G34" s="76" t="inlineStr">
        <is>
          <t>Yes</t>
        </is>
      </c>
      <c r="H34" s="77" t="inlineStr">
        <is>
          <t>Built-in</t>
        </is>
      </c>
      <c r="I34" s="78" t="inlineStr">
        <is>
          <t>hol:labor:2012</t>
        </is>
      </c>
    </row>
    <row r="35">
      <c r="A35" s="75" t="n">
        <v>41171</v>
      </c>
      <c r="B35" s="75" t="n"/>
      <c r="C35" t="inlineStr">
        <is>
          <t>Hermione Granger's birthday</t>
        </is>
      </c>
      <c r="D35" s="39" t="inlineStr">
        <is>
          <t>Fandom</t>
        </is>
      </c>
      <c r="E35" s="39" t="inlineStr">
        <is>
          <t>Yes</t>
        </is>
      </c>
      <c r="F35" s="47" t="inlineStr">
        <is>
          <t>Fan-canon date</t>
        </is>
      </c>
      <c r="G35" s="76" t="inlineStr">
        <is>
          <t>Yes</t>
        </is>
      </c>
      <c r="H35" s="77" t="inlineStr">
        <is>
          <t>Built-in</t>
        </is>
      </c>
      <c r="I35" s="78" t="inlineStr">
        <is>
          <t>fan:0919</t>
        </is>
      </c>
    </row>
    <row r="36">
      <c r="A36" s="75" t="n">
        <v>41212</v>
      </c>
      <c r="B36" s="75" t="n"/>
      <c r="C36" t="inlineStr">
        <is>
          <t>Disney announces it is buying Lucasfilm</t>
        </is>
      </c>
      <c r="D36" s="39" t="inlineStr">
        <is>
          <t>Movie / trailer</t>
        </is>
      </c>
      <c r="E36" s="39" t="inlineStr">
        <is>
          <t>No</t>
        </is>
      </c>
      <c r="F36" s="47" t="inlineStr">
        <is>
          <t>Star Wars sequels announced</t>
        </is>
      </c>
      <c r="G36" s="76" t="inlineStr">
        <is>
          <t>Yes</t>
        </is>
      </c>
      <c r="H36" s="77" t="inlineStr">
        <is>
          <t>Built-in</t>
        </is>
      </c>
      <c r="I36" s="78" t="inlineStr">
        <is>
          <t>ind:2012-10-30</t>
        </is>
      </c>
    </row>
    <row r="37">
      <c r="A37" s="75" t="n">
        <v>41213</v>
      </c>
      <c r="B37" s="75" t="n"/>
      <c r="C37" t="inlineStr">
        <is>
          <t>Halloween</t>
        </is>
      </c>
      <c r="D37" s="39" t="inlineStr">
        <is>
          <t>Holiday</t>
        </is>
      </c>
      <c r="E37" s="39" t="inlineStr">
        <is>
          <t>Yes</t>
        </is>
      </c>
      <c r="F37" s="47" t="n"/>
      <c r="G37" s="76" t="inlineStr">
        <is>
          <t>Yes</t>
        </is>
      </c>
      <c r="H37" s="77" t="inlineStr">
        <is>
          <t>Built-in</t>
        </is>
      </c>
      <c r="I37" s="78" t="inlineStr">
        <is>
          <t>hol:1031</t>
        </is>
      </c>
    </row>
    <row r="38">
      <c r="A38" s="75" t="n">
        <v>41215</v>
      </c>
      <c r="B38" s="75" t="n"/>
      <c r="C38" t="inlineStr">
        <is>
          <t>Wreck-It Ralph released</t>
        </is>
      </c>
      <c r="D38" s="39" t="inlineStr">
        <is>
          <t>Movie / trailer</t>
        </is>
      </c>
      <c r="E38" s="39" t="inlineStr">
        <is>
          <t>No</t>
        </is>
      </c>
      <c r="F38" s="47" t="inlineStr">
        <is>
          <t>Disney - US date</t>
        </is>
      </c>
      <c r="G38" s="76" t="inlineStr">
        <is>
          <t>Yes</t>
        </is>
      </c>
      <c r="H38" s="77" t="inlineStr">
        <is>
          <t>Built-in</t>
        </is>
      </c>
      <c r="I38" s="78" t="inlineStr">
        <is>
          <t>rel:2012-11-02:Wreck-It Ralph</t>
        </is>
      </c>
    </row>
    <row r="39">
      <c r="A39" s="75" t="n">
        <v>41222</v>
      </c>
      <c r="B39" s="75" t="n"/>
      <c r="C39" t="inlineStr">
        <is>
          <t>Super Carlin Brothers: video #100</t>
        </is>
      </c>
      <c r="D39" s="39" t="inlineStr">
        <is>
          <t>SCB milestone</t>
        </is>
      </c>
      <c r="E39" s="39" t="inlineStr">
        <is>
          <t>No</t>
        </is>
      </c>
      <c r="F39" s="47" t="inlineStr">
        <is>
          <t>JUXTABROS! VIDEO 100!!!</t>
        </is>
      </c>
      <c r="G39" s="76" t="inlineStr">
        <is>
          <t>Yes</t>
        </is>
      </c>
      <c r="H39" s="77" t="inlineStr">
        <is>
          <t>Built-in</t>
        </is>
      </c>
      <c r="I39" s="78" t="inlineStr">
        <is>
          <t>auto:n100:UCKZo4N0lVPccBkSiuyVh4yg</t>
        </is>
      </c>
    </row>
    <row r="40">
      <c r="A40" s="75" t="n">
        <v>41224</v>
      </c>
      <c r="B40" s="75" t="n"/>
      <c r="C40" t="inlineStr">
        <is>
          <t>Veterans Day</t>
        </is>
      </c>
      <c r="D40" s="39" t="inlineStr">
        <is>
          <t>Holiday</t>
        </is>
      </c>
      <c r="E40" s="39" t="inlineStr">
        <is>
          <t>Yes</t>
        </is>
      </c>
      <c r="F40" s="47" t="n"/>
      <c r="G40" s="76" t="inlineStr">
        <is>
          <t>Yes</t>
        </is>
      </c>
      <c r="H40" s="77" t="inlineStr">
        <is>
          <t>Built-in</t>
        </is>
      </c>
      <c r="I40" s="78" t="inlineStr">
        <is>
          <t>hol:1111</t>
        </is>
      </c>
    </row>
    <row r="41">
      <c r="A41" s="75" t="n">
        <v>41231</v>
      </c>
      <c r="B41" s="75" t="n"/>
      <c r="C41" t="inlineStr">
        <is>
          <t>Mickey Mouse's birthday (Steamboat Willie, 1928)</t>
        </is>
      </c>
      <c r="D41" s="39" t="inlineStr">
        <is>
          <t>Fandom</t>
        </is>
      </c>
      <c r="E41" s="39" t="inlineStr">
        <is>
          <t>Yes</t>
        </is>
      </c>
      <c r="F41" s="47" t="n"/>
      <c r="G41" s="76" t="inlineStr">
        <is>
          <t>Yes</t>
        </is>
      </c>
      <c r="H41" s="77" t="inlineStr">
        <is>
          <t>Built-in</t>
        </is>
      </c>
      <c r="I41" s="78" t="inlineStr">
        <is>
          <t>fan:1118</t>
        </is>
      </c>
    </row>
    <row r="42">
      <c r="A42" s="75" t="n">
        <v>41235</v>
      </c>
      <c r="B42" s="75" t="n"/>
      <c r="C42" t="inlineStr">
        <is>
          <t>Thanksgiving</t>
        </is>
      </c>
      <c r="D42" s="39" t="inlineStr">
        <is>
          <t>Holiday</t>
        </is>
      </c>
      <c r="E42" s="39" t="inlineStr">
        <is>
          <t>No</t>
        </is>
      </c>
      <c r="F42" s="47" t="n"/>
      <c r="G42" s="76" t="inlineStr">
        <is>
          <t>Yes</t>
        </is>
      </c>
      <c r="H42" s="77" t="inlineStr">
        <is>
          <t>Built-in</t>
        </is>
      </c>
      <c r="I42" s="78" t="inlineStr">
        <is>
          <t>hol:thanks:2012</t>
        </is>
      </c>
    </row>
    <row r="43">
      <c r="A43" s="75" t="n">
        <v>41236</v>
      </c>
      <c r="B43" s="75" t="n"/>
      <c r="C43" t="inlineStr">
        <is>
          <t>Black Friday</t>
        </is>
      </c>
      <c r="D43" s="39" t="inlineStr">
        <is>
          <t>Holiday</t>
        </is>
      </c>
      <c r="E43" s="39" t="inlineStr">
        <is>
          <t>No</t>
        </is>
      </c>
      <c r="F43" s="47" t="n"/>
      <c r="G43" s="76" t="inlineStr">
        <is>
          <t>Yes</t>
        </is>
      </c>
      <c r="H43" s="77" t="inlineStr">
        <is>
          <t>Built-in</t>
        </is>
      </c>
      <c r="I43" s="78" t="inlineStr">
        <is>
          <t>hol:blackfri:2012</t>
        </is>
      </c>
    </row>
    <row r="44">
      <c r="A44" s="75" t="n">
        <v>41248</v>
      </c>
      <c r="B44" s="75" t="n"/>
      <c r="C44" t="inlineStr">
        <is>
          <t>Walt Disney's birthday (1901)</t>
        </is>
      </c>
      <c r="D44" s="39" t="inlineStr">
        <is>
          <t>Fandom</t>
        </is>
      </c>
      <c r="E44" s="39" t="inlineStr">
        <is>
          <t>Yes</t>
        </is>
      </c>
      <c r="F44" s="47" t="n"/>
      <c r="G44" s="76" t="inlineStr">
        <is>
          <t>Yes</t>
        </is>
      </c>
      <c r="H44" s="77" t="inlineStr">
        <is>
          <t>Built-in</t>
        </is>
      </c>
      <c r="I44" s="78" t="inlineStr">
        <is>
          <t>fan:1205</t>
        </is>
      </c>
    </row>
    <row r="45">
      <c r="A45" s="75" t="n">
        <v>41267</v>
      </c>
      <c r="B45" s="75" t="n"/>
      <c r="C45" t="inlineStr">
        <is>
          <t>Christmas Eve</t>
        </is>
      </c>
      <c r="D45" s="39" t="inlineStr">
        <is>
          <t>Holiday</t>
        </is>
      </c>
      <c r="E45" s="39" t="inlineStr">
        <is>
          <t>Yes</t>
        </is>
      </c>
      <c r="F45" s="47" t="n"/>
      <c r="G45" s="76" t="inlineStr">
        <is>
          <t>Yes</t>
        </is>
      </c>
      <c r="H45" s="77" t="inlineStr">
        <is>
          <t>Built-in</t>
        </is>
      </c>
      <c r="I45" s="78" t="inlineStr">
        <is>
          <t>hol:1224</t>
        </is>
      </c>
    </row>
    <row r="46">
      <c r="A46" s="75" t="n">
        <v>41268</v>
      </c>
      <c r="B46" s="75" t="n"/>
      <c r="C46" t="inlineStr">
        <is>
          <t>Christmas Day</t>
        </is>
      </c>
      <c r="D46" s="39" t="inlineStr">
        <is>
          <t>Holiday</t>
        </is>
      </c>
      <c r="E46" s="39" t="inlineStr">
        <is>
          <t>Yes</t>
        </is>
      </c>
      <c r="F46" s="47" t="n"/>
      <c r="G46" s="76" t="inlineStr">
        <is>
          <t>Yes</t>
        </is>
      </c>
      <c r="H46" s="77" t="inlineStr">
        <is>
          <t>Built-in</t>
        </is>
      </c>
      <c r="I46" s="78" t="inlineStr">
        <is>
          <t>hol:1225</t>
        </is>
      </c>
    </row>
    <row r="47">
      <c r="A47" s="75" t="n">
        <v>41274</v>
      </c>
      <c r="B47" s="75" t="n"/>
      <c r="C47" t="inlineStr">
        <is>
          <t>New Year's Eve</t>
        </is>
      </c>
      <c r="D47" s="39" t="inlineStr">
        <is>
          <t>Holiday</t>
        </is>
      </c>
      <c r="E47" s="39" t="inlineStr">
        <is>
          <t>Yes</t>
        </is>
      </c>
      <c r="F47" s="47" t="n"/>
      <c r="G47" s="76" t="inlineStr">
        <is>
          <t>Yes</t>
        </is>
      </c>
      <c r="H47" s="77" t="inlineStr">
        <is>
          <t>Built-in</t>
        </is>
      </c>
      <c r="I47" s="78" t="inlineStr">
        <is>
          <t>hol:1231</t>
        </is>
      </c>
    </row>
    <row r="48">
      <c r="A48" s="75" t="n">
        <v>41295</v>
      </c>
      <c r="B48" s="75" t="n"/>
      <c r="C48" t="inlineStr">
        <is>
          <t>Martin Luther King Jr. Day</t>
        </is>
      </c>
      <c r="D48" s="39" t="inlineStr">
        <is>
          <t>Holiday</t>
        </is>
      </c>
      <c r="E48" s="39" t="inlineStr">
        <is>
          <t>No</t>
        </is>
      </c>
      <c r="F48" s="47" t="n"/>
      <c r="G48" s="76" t="inlineStr">
        <is>
          <t>Yes</t>
        </is>
      </c>
      <c r="H48" s="77" t="inlineStr">
        <is>
          <t>Built-in</t>
        </is>
      </c>
      <c r="I48" s="78" t="inlineStr">
        <is>
          <t>hol:mlk:2013</t>
        </is>
      </c>
    </row>
    <row r="49">
      <c r="A49" s="75" t="n">
        <v>41308</v>
      </c>
      <c r="B49" s="75" t="n"/>
      <c r="C49" t="inlineStr">
        <is>
          <t>Super Bowl Sunday</t>
        </is>
      </c>
      <c r="D49" s="39" t="inlineStr">
        <is>
          <t>Holiday</t>
        </is>
      </c>
      <c r="E49" s="39" t="inlineStr">
        <is>
          <t>No</t>
        </is>
      </c>
      <c r="F49" s="47" t="n"/>
      <c r="G49" s="76" t="inlineStr">
        <is>
          <t>Yes</t>
        </is>
      </c>
      <c r="H49" s="77" t="inlineStr">
        <is>
          <t>Built-in</t>
        </is>
      </c>
      <c r="I49" s="78" t="inlineStr">
        <is>
          <t>hol:sb:2013</t>
        </is>
      </c>
    </row>
    <row r="50">
      <c r="A50" s="75" t="n">
        <v>41323</v>
      </c>
      <c r="B50" s="75" t="n"/>
      <c r="C50" t="inlineStr">
        <is>
          <t>Presidents' Day</t>
        </is>
      </c>
      <c r="D50" s="39" t="inlineStr">
        <is>
          <t>Holiday</t>
        </is>
      </c>
      <c r="E50" s="39" t="inlineStr">
        <is>
          <t>No</t>
        </is>
      </c>
      <c r="F50" s="47" t="n"/>
      <c r="G50" s="76" t="inlineStr">
        <is>
          <t>Yes</t>
        </is>
      </c>
      <c r="H50" s="77" t="inlineStr">
        <is>
          <t>Built-in</t>
        </is>
      </c>
      <c r="I50" s="78" t="inlineStr">
        <is>
          <t>hol:pres:2013</t>
        </is>
      </c>
    </row>
    <row r="51">
      <c r="A51" s="75" t="n">
        <v>41329</v>
      </c>
      <c r="B51" s="75" t="n"/>
      <c r="C51" t="inlineStr">
        <is>
          <t>The Oscars</t>
        </is>
      </c>
      <c r="D51" s="39" t="inlineStr">
        <is>
          <t>Holiday</t>
        </is>
      </c>
      <c r="E51" s="39" t="inlineStr">
        <is>
          <t>No</t>
        </is>
      </c>
      <c r="F51" s="47" t="inlineStr">
        <is>
          <t>Academy Awards ceremony</t>
        </is>
      </c>
      <c r="G51" s="76" t="inlineStr">
        <is>
          <t>Yes</t>
        </is>
      </c>
      <c r="H51" s="77" t="inlineStr">
        <is>
          <t>Built-in</t>
        </is>
      </c>
      <c r="I51" s="78" t="inlineStr">
        <is>
          <t>hol:oscars:2013</t>
        </is>
      </c>
    </row>
    <row r="52">
      <c r="A52" s="75" t="n">
        <v>41364</v>
      </c>
      <c r="B52" s="75" t="n"/>
      <c r="C52" t="inlineStr">
        <is>
          <t>Easter Sunday</t>
        </is>
      </c>
      <c r="D52" s="39" t="inlineStr">
        <is>
          <t>Holiday</t>
        </is>
      </c>
      <c r="E52" s="39" t="inlineStr">
        <is>
          <t>No</t>
        </is>
      </c>
      <c r="F52" s="47" t="n"/>
      <c r="G52" s="76" t="inlineStr">
        <is>
          <t>Yes</t>
        </is>
      </c>
      <c r="H52" s="77" t="inlineStr">
        <is>
          <t>Built-in</t>
        </is>
      </c>
      <c r="I52" s="78" t="inlineStr">
        <is>
          <t>hol:easter:2013</t>
        </is>
      </c>
    </row>
    <row r="53">
      <c r="A53" s="75" t="n">
        <v>41397</v>
      </c>
      <c r="B53" s="75" t="n"/>
      <c r="C53" t="inlineStr">
        <is>
          <t>Iron Man 3 released</t>
        </is>
      </c>
      <c r="D53" s="39" t="inlineStr">
        <is>
          <t>Movie / trailer</t>
        </is>
      </c>
      <c r="E53" s="39" t="inlineStr">
        <is>
          <t>No</t>
        </is>
      </c>
      <c r="F53" s="47" t="inlineStr">
        <is>
          <t>Marvel - US date</t>
        </is>
      </c>
      <c r="G53" s="76" t="inlineStr">
        <is>
          <t>Yes</t>
        </is>
      </c>
      <c r="H53" s="77" t="inlineStr">
        <is>
          <t>Built-in</t>
        </is>
      </c>
      <c r="I53" s="78" t="inlineStr">
        <is>
          <t>rel:2013-05-03:Iron Man 3</t>
        </is>
      </c>
    </row>
    <row r="54">
      <c r="A54" s="75" t="n">
        <v>41406</v>
      </c>
      <c r="B54" s="75" t="n"/>
      <c r="C54" t="inlineStr">
        <is>
          <t>Mother's Day</t>
        </is>
      </c>
      <c r="D54" s="39" t="inlineStr">
        <is>
          <t>Holiday</t>
        </is>
      </c>
      <c r="E54" s="39" t="inlineStr">
        <is>
          <t>No</t>
        </is>
      </c>
      <c r="F54" s="47" t="n"/>
      <c r="G54" s="76" t="inlineStr">
        <is>
          <t>Yes</t>
        </is>
      </c>
      <c r="H54" s="77" t="inlineStr">
        <is>
          <t>Built-in</t>
        </is>
      </c>
      <c r="I54" s="78" t="inlineStr">
        <is>
          <t>hol:mothers:2013</t>
        </is>
      </c>
    </row>
    <row r="55">
      <c r="A55" s="75" t="n">
        <v>41421</v>
      </c>
      <c r="B55" s="75" t="n"/>
      <c r="C55" t="inlineStr">
        <is>
          <t>Memorial Day</t>
        </is>
      </c>
      <c r="D55" s="39" t="inlineStr">
        <is>
          <t>Holiday</t>
        </is>
      </c>
      <c r="E55" s="39" t="inlineStr">
        <is>
          <t>No</t>
        </is>
      </c>
      <c r="F55" s="47" t="n"/>
      <c r="G55" s="76" t="inlineStr">
        <is>
          <t>Yes</t>
        </is>
      </c>
      <c r="H55" s="77" t="inlineStr">
        <is>
          <t>Built-in</t>
        </is>
      </c>
      <c r="I55" s="78" t="inlineStr">
        <is>
          <t>hol:memorial:2013</t>
        </is>
      </c>
    </row>
    <row r="56">
      <c r="A56" s="75" t="n">
        <v>41432</v>
      </c>
      <c r="B56" s="75" t="n"/>
      <c r="C56" t="inlineStr">
        <is>
          <t>Super Carlin Brothers: video #250</t>
        </is>
      </c>
      <c r="D56" s="39" t="inlineStr">
        <is>
          <t>SCB milestone</t>
        </is>
      </c>
      <c r="E56" s="39" t="inlineStr">
        <is>
          <t>No</t>
        </is>
      </c>
      <c r="F56" s="47" t="inlineStr">
        <is>
          <t>The Touch</t>
        </is>
      </c>
      <c r="G56" s="76" t="inlineStr">
        <is>
          <t>Yes</t>
        </is>
      </c>
      <c r="H56" s="77" t="inlineStr">
        <is>
          <t>Built-in</t>
        </is>
      </c>
      <c r="I56" s="78" t="inlineStr">
        <is>
          <t>auto:n250:UCKZo4N0lVPccBkSiuyVh4yg</t>
        </is>
      </c>
    </row>
    <row r="57">
      <c r="A57" s="75" t="n">
        <v>41441</v>
      </c>
      <c r="B57" s="75" t="n"/>
      <c r="C57" t="inlineStr">
        <is>
          <t>Father's Day</t>
        </is>
      </c>
      <c r="D57" s="39" t="inlineStr">
        <is>
          <t>Holiday</t>
        </is>
      </c>
      <c r="E57" s="39" t="inlineStr">
        <is>
          <t>No</t>
        </is>
      </c>
      <c r="F57" s="47" t="n"/>
      <c r="G57" s="76" t="inlineStr">
        <is>
          <t>Yes</t>
        </is>
      </c>
      <c r="H57" s="77" t="inlineStr">
        <is>
          <t>Built-in</t>
        </is>
      </c>
      <c r="I57" s="78" t="inlineStr">
        <is>
          <t>hol:fathers:2013</t>
        </is>
      </c>
    </row>
    <row r="58">
      <c r="A58" s="75" t="n">
        <v>41446</v>
      </c>
      <c r="B58" s="75" t="n"/>
      <c r="C58" t="inlineStr">
        <is>
          <t>Monsters University released</t>
        </is>
      </c>
      <c r="D58" s="39" t="inlineStr">
        <is>
          <t>Movie / trailer</t>
        </is>
      </c>
      <c r="E58" s="39" t="inlineStr">
        <is>
          <t>No</t>
        </is>
      </c>
      <c r="F58" s="47" t="inlineStr">
        <is>
          <t>Pixar - US date</t>
        </is>
      </c>
      <c r="G58" s="76" t="inlineStr">
        <is>
          <t>Yes</t>
        </is>
      </c>
      <c r="H58" s="77" t="inlineStr">
        <is>
          <t>Built-in</t>
        </is>
      </c>
      <c r="I58" s="78" t="inlineStr">
        <is>
          <t>rel:2013-06-21:Monsters University</t>
        </is>
      </c>
    </row>
    <row r="59">
      <c r="A59" s="75" t="n">
        <v>41473</v>
      </c>
      <c r="B59" s="75" t="n">
        <v>41476</v>
      </c>
      <c r="C59" t="inlineStr">
        <is>
          <t>San Diego Comic-Con</t>
        </is>
      </c>
      <c r="D59" s="39" t="inlineStr">
        <is>
          <t>Movie / trailer</t>
        </is>
      </c>
      <c r="E59" s="39" t="inlineStr">
        <is>
          <t>No</t>
        </is>
      </c>
      <c r="F59" s="47" t="inlineStr">
        <is>
          <t>Big trailer and announcement reveals (Marvel, Star Wars, Disney, Harry Potter)</t>
        </is>
      </c>
      <c r="G59" s="76" t="inlineStr">
        <is>
          <t>Yes</t>
        </is>
      </c>
      <c r="H59" s="77" t="inlineStr">
        <is>
          <t>Built-in</t>
        </is>
      </c>
      <c r="I59" s="78" t="inlineStr">
        <is>
          <t>con:sdcc:2013</t>
        </is>
      </c>
    </row>
    <row r="60">
      <c r="A60" s="75" t="n">
        <v>41479</v>
      </c>
      <c r="B60" s="75" t="n"/>
      <c r="C60" t="inlineStr">
        <is>
          <t>Super Carlin Brothers: most-viewed video uploaded</t>
        </is>
      </c>
      <c r="D60" s="39" t="inlineStr">
        <is>
          <t>SCB milestone</t>
        </is>
      </c>
      <c r="E60" s="39" t="inlineStr">
        <is>
          <t>No</t>
        </is>
      </c>
      <c r="F60" s="47" t="inlineStr">
        <is>
          <t>The Pixar Theory</t>
        </is>
      </c>
      <c r="G60" s="76" t="inlineStr">
        <is>
          <t>Yes</t>
        </is>
      </c>
      <c r="H60" s="77" t="inlineStr">
        <is>
          <t>Built-in</t>
        </is>
      </c>
      <c r="I60" s="78" t="inlineStr">
        <is>
          <t>auto:top:UCKZo4N0lVPccBkSiuyVh4yg</t>
        </is>
      </c>
    </row>
    <row r="61">
      <c r="A61" s="75" t="n">
        <v>41495</v>
      </c>
      <c r="B61" s="75" t="n">
        <v>41497</v>
      </c>
      <c r="C61" t="inlineStr">
        <is>
          <t>D23 Expo (Disney fan event)</t>
        </is>
      </c>
      <c r="D61" s="39" t="inlineStr">
        <is>
          <t>Movie / trailer</t>
        </is>
      </c>
      <c r="E61" s="39" t="inlineStr">
        <is>
          <t>No</t>
        </is>
      </c>
      <c r="F61" s="47" t="inlineStr">
        <is>
          <t>Disney, Pixar, Marvel and Lucasfilm announcements</t>
        </is>
      </c>
      <c r="G61" s="76" t="inlineStr">
        <is>
          <t>Yes</t>
        </is>
      </c>
      <c r="H61" s="77" t="inlineStr">
        <is>
          <t>Built-in</t>
        </is>
      </c>
      <c r="I61" s="78" t="inlineStr">
        <is>
          <t>con:d23:2013</t>
        </is>
      </c>
    </row>
    <row r="62">
      <c r="A62" s="75" t="n">
        <v>41519</v>
      </c>
      <c r="B62" s="75" t="n"/>
      <c r="C62" t="inlineStr">
        <is>
          <t>Labor Day</t>
        </is>
      </c>
      <c r="D62" s="39" t="inlineStr">
        <is>
          <t>Holiday</t>
        </is>
      </c>
      <c r="E62" s="39" t="inlineStr">
        <is>
          <t>No</t>
        </is>
      </c>
      <c r="F62" s="47" t="n"/>
      <c r="G62" s="76" t="inlineStr">
        <is>
          <t>Yes</t>
        </is>
      </c>
      <c r="H62" s="77" t="inlineStr">
        <is>
          <t>Built-in</t>
        </is>
      </c>
      <c r="I62" s="78" t="inlineStr">
        <is>
          <t>hol:labor:2013</t>
        </is>
      </c>
    </row>
    <row r="63">
      <c r="A63" s="75" t="n">
        <v>41547</v>
      </c>
      <c r="B63" s="75" t="n"/>
      <c r="C63" t="inlineStr">
        <is>
          <t>Super Carlin Gaming: first video in the library</t>
        </is>
      </c>
      <c r="D63" s="39" t="inlineStr">
        <is>
          <t>SCB milestone</t>
        </is>
      </c>
      <c r="E63" s="39" t="inlineStr">
        <is>
          <t>No</t>
        </is>
      </c>
      <c r="F63" s="47" t="inlineStr">
        <is>
          <t>Pokemon FireRed Nuzlocke Challenge #1 - Enter Peaches</t>
        </is>
      </c>
      <c r="G63" s="76" t="inlineStr">
        <is>
          <t>Yes</t>
        </is>
      </c>
      <c r="H63" s="77" t="inlineStr">
        <is>
          <t>Built-in</t>
        </is>
      </c>
      <c r="I63" s="78" t="inlineStr">
        <is>
          <t>auto:first:UCor_9jRnNNZVzTuQ92PKsaQ</t>
        </is>
      </c>
    </row>
    <row r="64">
      <c r="A64" s="75" t="n">
        <v>41559</v>
      </c>
      <c r="B64" s="75" t="n"/>
      <c r="C64" t="inlineStr">
        <is>
          <t>Pokémon X and Y released</t>
        </is>
      </c>
      <c r="D64" s="39" t="inlineStr">
        <is>
          <t>Game release</t>
        </is>
      </c>
      <c r="E64" s="39" t="inlineStr">
        <is>
          <t>No</t>
        </is>
      </c>
      <c r="F64" s="47" t="inlineStr">
        <is>
          <t>US date</t>
        </is>
      </c>
      <c r="G64" s="76" t="inlineStr">
        <is>
          <t>Yes</t>
        </is>
      </c>
      <c r="H64" s="77" t="inlineStr">
        <is>
          <t>Built-in</t>
        </is>
      </c>
      <c r="I64" s="78" t="inlineStr">
        <is>
          <t>game:2013-10-12:Pokémon X and Y released</t>
        </is>
      </c>
    </row>
    <row r="65">
      <c r="A65" s="75" t="n">
        <v>41586</v>
      </c>
      <c r="B65" s="75" t="n"/>
      <c r="C65" t="inlineStr">
        <is>
          <t>Thor: The Dark World released</t>
        </is>
      </c>
      <c r="D65" s="39" t="inlineStr">
        <is>
          <t>Movie / trailer</t>
        </is>
      </c>
      <c r="E65" s="39" t="inlineStr">
        <is>
          <t>No</t>
        </is>
      </c>
      <c r="F65" s="47" t="inlineStr">
        <is>
          <t>Marvel - US date</t>
        </is>
      </c>
      <c r="G65" s="76" t="inlineStr">
        <is>
          <t>Yes</t>
        </is>
      </c>
      <c r="H65" s="77" t="inlineStr">
        <is>
          <t>Built-in</t>
        </is>
      </c>
      <c r="I65" s="78" t="inlineStr">
        <is>
          <t>rel:2013-11-08:Thor: The Dark World</t>
        </is>
      </c>
    </row>
    <row r="66">
      <c r="A66" s="75" t="n">
        <v>41600</v>
      </c>
      <c r="B66" s="75" t="n"/>
      <c r="C66" t="inlineStr">
        <is>
          <t>The Hunger Games: Catching Fire released</t>
        </is>
      </c>
      <c r="D66" s="39" t="inlineStr">
        <is>
          <t>Movie / trailer</t>
        </is>
      </c>
      <c r="E66" s="39" t="inlineStr">
        <is>
          <t>No</t>
        </is>
      </c>
      <c r="F66" s="47" t="inlineStr">
        <is>
          <t>Hunger Games - US date</t>
        </is>
      </c>
      <c r="G66" s="76" t="inlineStr">
        <is>
          <t>Yes</t>
        </is>
      </c>
      <c r="H66" s="77" t="inlineStr">
        <is>
          <t>Built-in</t>
        </is>
      </c>
      <c r="I66" s="78" t="inlineStr">
        <is>
          <t>rel:2013-11-22:The Hunger Games: Catchi</t>
        </is>
      </c>
    </row>
    <row r="67">
      <c r="A67" s="75" t="n">
        <v>41605</v>
      </c>
      <c r="B67" s="75" t="n"/>
      <c r="C67" t="inlineStr">
        <is>
          <t>Frozen released</t>
        </is>
      </c>
      <c r="D67" s="39" t="inlineStr">
        <is>
          <t>Movie / trailer</t>
        </is>
      </c>
      <c r="E67" s="39" t="inlineStr">
        <is>
          <t>No</t>
        </is>
      </c>
      <c r="F67" s="47" t="inlineStr">
        <is>
          <t>Disney - US date</t>
        </is>
      </c>
      <c r="G67" s="76" t="inlineStr">
        <is>
          <t>Yes</t>
        </is>
      </c>
      <c r="H67" s="77" t="inlineStr">
        <is>
          <t>Built-in</t>
        </is>
      </c>
      <c r="I67" s="78" t="inlineStr">
        <is>
          <t>rel:2013-11-27:Frozen</t>
        </is>
      </c>
    </row>
    <row r="68">
      <c r="A68" s="75" t="n">
        <v>41606</v>
      </c>
      <c r="B68" s="75" t="n"/>
      <c r="C68" t="inlineStr">
        <is>
          <t>Thanksgiving</t>
        </is>
      </c>
      <c r="D68" s="39" t="inlineStr">
        <is>
          <t>Holiday</t>
        </is>
      </c>
      <c r="E68" s="39" t="inlineStr">
        <is>
          <t>No</t>
        </is>
      </c>
      <c r="F68" s="47" t="n"/>
      <c r="G68" s="76" t="inlineStr">
        <is>
          <t>Yes</t>
        </is>
      </c>
      <c r="H68" s="77" t="inlineStr">
        <is>
          <t>Built-in</t>
        </is>
      </c>
      <c r="I68" s="78" t="inlineStr">
        <is>
          <t>hol:thanks:2013</t>
        </is>
      </c>
    </row>
    <row r="69">
      <c r="A69" s="75" t="n">
        <v>41607</v>
      </c>
      <c r="B69" s="75" t="n"/>
      <c r="C69" t="inlineStr">
        <is>
          <t>Black Friday</t>
        </is>
      </c>
      <c r="D69" s="39" t="inlineStr">
        <is>
          <t>Holiday</t>
        </is>
      </c>
      <c r="E69" s="39" t="inlineStr">
        <is>
          <t>No</t>
        </is>
      </c>
      <c r="F69" s="47" t="n"/>
      <c r="G69" s="76" t="inlineStr">
        <is>
          <t>Yes</t>
        </is>
      </c>
      <c r="H69" s="77" t="inlineStr">
        <is>
          <t>Built-in</t>
        </is>
      </c>
      <c r="I69" s="78" t="inlineStr">
        <is>
          <t>hol:blackfri:2013</t>
        </is>
      </c>
    </row>
    <row r="70">
      <c r="A70" s="75" t="n">
        <v>41659</v>
      </c>
      <c r="B70" s="75" t="n"/>
      <c r="C70" t="inlineStr">
        <is>
          <t>Martin Luther King Jr. Day</t>
        </is>
      </c>
      <c r="D70" s="39" t="inlineStr">
        <is>
          <t>Holiday</t>
        </is>
      </c>
      <c r="E70" s="39" t="inlineStr">
        <is>
          <t>No</t>
        </is>
      </c>
      <c r="F70" s="47" t="n"/>
      <c r="G70" s="76" t="inlineStr">
        <is>
          <t>Yes</t>
        </is>
      </c>
      <c r="H70" s="77" t="inlineStr">
        <is>
          <t>Built-in</t>
        </is>
      </c>
      <c r="I70" s="78" t="inlineStr">
        <is>
          <t>hol:mlk:2014</t>
        </is>
      </c>
    </row>
    <row r="71">
      <c r="A71" s="75" t="n">
        <v>41672</v>
      </c>
      <c r="B71" s="75" t="n"/>
      <c r="C71" t="inlineStr">
        <is>
          <t>Super Bowl Sunday</t>
        </is>
      </c>
      <c r="D71" s="39" t="inlineStr">
        <is>
          <t>Holiday</t>
        </is>
      </c>
      <c r="E71" s="39" t="inlineStr">
        <is>
          <t>No</t>
        </is>
      </c>
      <c r="F71" s="47" t="n"/>
      <c r="G71" s="76" t="inlineStr">
        <is>
          <t>Yes</t>
        </is>
      </c>
      <c r="H71" s="77" t="inlineStr">
        <is>
          <t>Built-in</t>
        </is>
      </c>
      <c r="I71" s="78" t="inlineStr">
        <is>
          <t>hol:sb:2014</t>
        </is>
      </c>
    </row>
    <row r="72">
      <c r="A72" s="75" t="n">
        <v>41687</v>
      </c>
      <c r="B72" s="75" t="n"/>
      <c r="C72" t="inlineStr">
        <is>
          <t>Presidents' Day</t>
        </is>
      </c>
      <c r="D72" s="39" t="inlineStr">
        <is>
          <t>Holiday</t>
        </is>
      </c>
      <c r="E72" s="39" t="inlineStr">
        <is>
          <t>No</t>
        </is>
      </c>
      <c r="F72" s="47" t="n"/>
      <c r="G72" s="76" t="inlineStr">
        <is>
          <t>Yes</t>
        </is>
      </c>
      <c r="H72" s="77" t="inlineStr">
        <is>
          <t>Built-in</t>
        </is>
      </c>
      <c r="I72" s="78" t="inlineStr">
        <is>
          <t>hol:pres:2014</t>
        </is>
      </c>
    </row>
    <row r="73">
      <c r="A73" s="75" t="n">
        <v>41700</v>
      </c>
      <c r="B73" s="75" t="n"/>
      <c r="C73" t="inlineStr">
        <is>
          <t>The Oscars</t>
        </is>
      </c>
      <c r="D73" s="39" t="inlineStr">
        <is>
          <t>Holiday</t>
        </is>
      </c>
      <c r="E73" s="39" t="inlineStr">
        <is>
          <t>No</t>
        </is>
      </c>
      <c r="F73" s="47" t="inlineStr">
        <is>
          <t>Academy Awards ceremony</t>
        </is>
      </c>
      <c r="G73" s="76" t="inlineStr">
        <is>
          <t>Yes</t>
        </is>
      </c>
      <c r="H73" s="77" t="inlineStr">
        <is>
          <t>Built-in</t>
        </is>
      </c>
      <c r="I73" s="78" t="inlineStr">
        <is>
          <t>hol:oscars:2014</t>
        </is>
      </c>
    </row>
    <row r="74">
      <c r="A74" s="75" t="n">
        <v>41733</v>
      </c>
      <c r="B74" s="75" t="n"/>
      <c r="C74" t="inlineStr">
        <is>
          <t>Captain America: The Winter Soldier released</t>
        </is>
      </c>
      <c r="D74" s="39" t="inlineStr">
        <is>
          <t>Movie / trailer</t>
        </is>
      </c>
      <c r="E74" s="39" t="inlineStr">
        <is>
          <t>No</t>
        </is>
      </c>
      <c r="F74" s="47" t="inlineStr">
        <is>
          <t>Marvel - US date</t>
        </is>
      </c>
      <c r="G74" s="76" t="inlineStr">
        <is>
          <t>Yes</t>
        </is>
      </c>
      <c r="H74" s="77" t="inlineStr">
        <is>
          <t>Built-in</t>
        </is>
      </c>
      <c r="I74" s="78" t="inlineStr">
        <is>
          <t>rel:2014-04-04:Captain America: The Win</t>
        </is>
      </c>
    </row>
    <row r="75">
      <c r="A75" s="75" t="n">
        <v>41749</v>
      </c>
      <c r="B75" s="75" t="n"/>
      <c r="C75" t="inlineStr">
        <is>
          <t>Easter Sunday</t>
        </is>
      </c>
      <c r="D75" s="39" t="inlineStr">
        <is>
          <t>Holiday</t>
        </is>
      </c>
      <c r="E75" s="39" t="inlineStr">
        <is>
          <t>No</t>
        </is>
      </c>
      <c r="F75" s="47" t="n"/>
      <c r="G75" s="76" t="inlineStr">
        <is>
          <t>Yes</t>
        </is>
      </c>
      <c r="H75" s="77" t="inlineStr">
        <is>
          <t>Built-in</t>
        </is>
      </c>
      <c r="I75" s="78" t="inlineStr">
        <is>
          <t>hol:easter:2014</t>
        </is>
      </c>
    </row>
    <row r="76">
      <c r="A76" s="75" t="n">
        <v>41770</v>
      </c>
      <c r="B76" s="75" t="n"/>
      <c r="C76" t="inlineStr">
        <is>
          <t>Mother's Day</t>
        </is>
      </c>
      <c r="D76" s="39" t="inlineStr">
        <is>
          <t>Holiday</t>
        </is>
      </c>
      <c r="E76" s="39" t="inlineStr">
        <is>
          <t>No</t>
        </is>
      </c>
      <c r="F76" s="47" t="n"/>
      <c r="G76" s="76" t="inlineStr">
        <is>
          <t>Yes</t>
        </is>
      </c>
      <c r="H76" s="77" t="inlineStr">
        <is>
          <t>Built-in</t>
        </is>
      </c>
      <c r="I76" s="78" t="inlineStr">
        <is>
          <t>hol:mothers:2014</t>
        </is>
      </c>
    </row>
    <row r="77">
      <c r="A77" s="75" t="n">
        <v>41785</v>
      </c>
      <c r="B77" s="75" t="n"/>
      <c r="C77" t="inlineStr">
        <is>
          <t>Memorial Day</t>
        </is>
      </c>
      <c r="D77" s="39" t="inlineStr">
        <is>
          <t>Holiday</t>
        </is>
      </c>
      <c r="E77" s="39" t="inlineStr">
        <is>
          <t>No</t>
        </is>
      </c>
      <c r="F77" s="47" t="n"/>
      <c r="G77" s="76" t="inlineStr">
        <is>
          <t>Yes</t>
        </is>
      </c>
      <c r="H77" s="77" t="inlineStr">
        <is>
          <t>Built-in</t>
        </is>
      </c>
      <c r="I77" s="78" t="inlineStr">
        <is>
          <t>hol:memorial:2014</t>
        </is>
      </c>
    </row>
    <row r="78">
      <c r="A78" s="75" t="n">
        <v>41789</v>
      </c>
      <c r="B78" s="75" t="n"/>
      <c r="C78" t="inlineStr">
        <is>
          <t>Mario Kart 8 released (Wii U)</t>
        </is>
      </c>
      <c r="D78" s="39" t="inlineStr">
        <is>
          <t>Game release</t>
        </is>
      </c>
      <c r="E78" s="39" t="inlineStr">
        <is>
          <t>No</t>
        </is>
      </c>
      <c r="F78" s="47" t="inlineStr">
        <is>
          <t>US date</t>
        </is>
      </c>
      <c r="G78" s="76" t="inlineStr">
        <is>
          <t>Yes</t>
        </is>
      </c>
      <c r="H78" s="77" t="inlineStr">
        <is>
          <t>Built-in</t>
        </is>
      </c>
      <c r="I78" s="78" t="inlineStr">
        <is>
          <t>game:2014-05-30:Mario Kart 8 released (W</t>
        </is>
      </c>
    </row>
    <row r="79">
      <c r="A79" s="75" t="n">
        <v>41805</v>
      </c>
      <c r="B79" s="75" t="n"/>
      <c r="C79" t="inlineStr">
        <is>
          <t>Father's Day</t>
        </is>
      </c>
      <c r="D79" s="39" t="inlineStr">
        <is>
          <t>Holiday</t>
        </is>
      </c>
      <c r="E79" s="39" t="inlineStr">
        <is>
          <t>No</t>
        </is>
      </c>
      <c r="F79" s="47" t="n"/>
      <c r="G79" s="76" t="inlineStr">
        <is>
          <t>Yes</t>
        </is>
      </c>
      <c r="H79" s="77" t="inlineStr">
        <is>
          <t>Built-in</t>
        </is>
      </c>
      <c r="I79" s="78" t="inlineStr">
        <is>
          <t>hol:fathers:2014</t>
        </is>
      </c>
    </row>
    <row r="80">
      <c r="A80" s="75" t="n">
        <v>41844</v>
      </c>
      <c r="B80" s="75" t="n">
        <v>41847</v>
      </c>
      <c r="C80" t="inlineStr">
        <is>
          <t>San Diego Comic-Con</t>
        </is>
      </c>
      <c r="D80" s="39" t="inlineStr">
        <is>
          <t>Movie / trailer</t>
        </is>
      </c>
      <c r="E80" s="39" t="inlineStr">
        <is>
          <t>No</t>
        </is>
      </c>
      <c r="F80" s="47" t="inlineStr">
        <is>
          <t>Big trailer and announcement reveals (Marvel, Star Wars, Disney, Harry Potter)</t>
        </is>
      </c>
      <c r="G80" s="76" t="inlineStr">
        <is>
          <t>Yes</t>
        </is>
      </c>
      <c r="H80" s="77" t="inlineStr">
        <is>
          <t>Built-in</t>
        </is>
      </c>
      <c r="I80" s="78" t="inlineStr">
        <is>
          <t>con:sdcc:2014</t>
        </is>
      </c>
    </row>
    <row r="81">
      <c r="A81" s="75" t="n">
        <v>41852</v>
      </c>
      <c r="B81" s="75" t="n"/>
      <c r="C81" t="inlineStr">
        <is>
          <t>Guardians of the Galaxy released</t>
        </is>
      </c>
      <c r="D81" s="39" t="inlineStr">
        <is>
          <t>Movie / trailer</t>
        </is>
      </c>
      <c r="E81" s="39" t="inlineStr">
        <is>
          <t>No</t>
        </is>
      </c>
      <c r="F81" s="47" t="inlineStr">
        <is>
          <t>Marvel - US date</t>
        </is>
      </c>
      <c r="G81" s="76" t="inlineStr">
        <is>
          <t>Yes</t>
        </is>
      </c>
      <c r="H81" s="77" t="inlineStr">
        <is>
          <t>Built-in</t>
        </is>
      </c>
      <c r="I81" s="78" t="inlineStr">
        <is>
          <t>rel:2014-08-01:Guardians of the Galaxy</t>
        </is>
      </c>
    </row>
    <row r="82">
      <c r="A82" s="75" t="n">
        <v>41883</v>
      </c>
      <c r="B82" s="75" t="n"/>
      <c r="C82" t="inlineStr">
        <is>
          <t>Labor Day</t>
        </is>
      </c>
      <c r="D82" s="39" t="inlineStr">
        <is>
          <t>Holiday</t>
        </is>
      </c>
      <c r="E82" s="39" t="inlineStr">
        <is>
          <t>No</t>
        </is>
      </c>
      <c r="F82" s="47" t="n"/>
      <c r="G82" s="76" t="inlineStr">
        <is>
          <t>Yes</t>
        </is>
      </c>
      <c r="H82" s="77" t="inlineStr">
        <is>
          <t>Built-in</t>
        </is>
      </c>
      <c r="I82" s="78" t="inlineStr">
        <is>
          <t>hol:labor:2014</t>
        </is>
      </c>
    </row>
    <row r="83">
      <c r="A83" s="75" t="n">
        <v>41884</v>
      </c>
      <c r="B83" s="75" t="n"/>
      <c r="C83" t="inlineStr">
        <is>
          <t>The Sims 4 released</t>
        </is>
      </c>
      <c r="D83" s="39" t="inlineStr">
        <is>
          <t>Game release</t>
        </is>
      </c>
      <c r="E83" s="39" t="inlineStr">
        <is>
          <t>No</t>
        </is>
      </c>
      <c r="F83" s="47" t="inlineStr">
        <is>
          <t>US date</t>
        </is>
      </c>
      <c r="G83" s="76" t="inlineStr">
        <is>
          <t>Yes</t>
        </is>
      </c>
      <c r="H83" s="77" t="inlineStr">
        <is>
          <t>Built-in</t>
        </is>
      </c>
      <c r="I83" s="78" t="inlineStr">
        <is>
          <t>game:2014-09-02:The Sims 4 released</t>
        </is>
      </c>
    </row>
    <row r="84">
      <c r="A84" s="75" t="n">
        <v>41950</v>
      </c>
      <c r="B84" s="75" t="n"/>
      <c r="C84" t="inlineStr">
        <is>
          <t>Big Hero 6 released</t>
        </is>
      </c>
      <c r="D84" s="39" t="inlineStr">
        <is>
          <t>Movie / trailer</t>
        </is>
      </c>
      <c r="E84" s="39" t="inlineStr">
        <is>
          <t>No</t>
        </is>
      </c>
      <c r="F84" s="47" t="inlineStr">
        <is>
          <t>Disney - US date</t>
        </is>
      </c>
      <c r="G84" s="76" t="inlineStr">
        <is>
          <t>Yes</t>
        </is>
      </c>
      <c r="H84" s="77" t="inlineStr">
        <is>
          <t>Built-in</t>
        </is>
      </c>
      <c r="I84" s="78" t="inlineStr">
        <is>
          <t>rel:2014-11-07:Big Hero 6</t>
        </is>
      </c>
    </row>
    <row r="85">
      <c r="A85" s="75" t="n">
        <v>41964</v>
      </c>
      <c r="B85" s="75" t="n"/>
      <c r="C85" t="inlineStr">
        <is>
          <t>Pokémon Omega Ruby / Alpha Sapphire released</t>
        </is>
      </c>
      <c r="D85" s="39" t="inlineStr">
        <is>
          <t>Game release</t>
        </is>
      </c>
      <c r="E85" s="39" t="inlineStr">
        <is>
          <t>No</t>
        </is>
      </c>
      <c r="F85" s="47" t="inlineStr">
        <is>
          <t>US date</t>
        </is>
      </c>
      <c r="G85" s="76" t="inlineStr">
        <is>
          <t>Yes</t>
        </is>
      </c>
      <c r="H85" s="77" t="inlineStr">
        <is>
          <t>Built-in</t>
        </is>
      </c>
      <c r="I85" s="78" t="inlineStr">
        <is>
          <t>game:2014-11-21:Pokémon Omega Ruby / Alp</t>
        </is>
      </c>
    </row>
    <row r="86">
      <c r="A86" s="75" t="n">
        <v>41964</v>
      </c>
      <c r="B86" s="75" t="n"/>
      <c r="C86" t="inlineStr">
        <is>
          <t>Super Smash Bros. for Wii U released</t>
        </is>
      </c>
      <c r="D86" s="39" t="inlineStr">
        <is>
          <t>Game release</t>
        </is>
      </c>
      <c r="E86" s="39" t="inlineStr">
        <is>
          <t>No</t>
        </is>
      </c>
      <c r="F86" s="47" t="inlineStr">
        <is>
          <t>US date</t>
        </is>
      </c>
      <c r="G86" s="76" t="inlineStr">
        <is>
          <t>Yes</t>
        </is>
      </c>
      <c r="H86" s="77" t="inlineStr">
        <is>
          <t>Built-in</t>
        </is>
      </c>
      <c r="I86" s="78" t="inlineStr">
        <is>
          <t>game:2014-11-21:Super Smash Bros. for Wi</t>
        </is>
      </c>
    </row>
    <row r="87">
      <c r="A87" s="75" t="n">
        <v>41964</v>
      </c>
      <c r="B87" s="75" t="n"/>
      <c r="C87" t="inlineStr">
        <is>
          <t>The Hunger Games: Mockingjay - Part 1 released</t>
        </is>
      </c>
      <c r="D87" s="39" t="inlineStr">
        <is>
          <t>Movie / trailer</t>
        </is>
      </c>
      <c r="E87" s="39" t="inlineStr">
        <is>
          <t>No</t>
        </is>
      </c>
      <c r="F87" s="47" t="inlineStr">
        <is>
          <t>Hunger Games - US date</t>
        </is>
      </c>
      <c r="G87" s="76" t="inlineStr">
        <is>
          <t>Yes</t>
        </is>
      </c>
      <c r="H87" s="77" t="inlineStr">
        <is>
          <t>Built-in</t>
        </is>
      </c>
      <c r="I87" s="78" t="inlineStr">
        <is>
          <t>rel:2014-11-21:The Hunger Games: Mockin</t>
        </is>
      </c>
    </row>
    <row r="88">
      <c r="A88" s="75" t="n">
        <v>41970</v>
      </c>
      <c r="B88" s="75" t="n"/>
      <c r="C88" t="inlineStr">
        <is>
          <t>Thanksgiving</t>
        </is>
      </c>
      <c r="D88" s="39" t="inlineStr">
        <is>
          <t>Holiday</t>
        </is>
      </c>
      <c r="E88" s="39" t="inlineStr">
        <is>
          <t>No</t>
        </is>
      </c>
      <c r="F88" s="47" t="n"/>
      <c r="G88" s="76" t="inlineStr">
        <is>
          <t>Yes</t>
        </is>
      </c>
      <c r="H88" s="77" t="inlineStr">
        <is>
          <t>Built-in</t>
        </is>
      </c>
      <c r="I88" s="78" t="inlineStr">
        <is>
          <t>hol:thanks:2014</t>
        </is>
      </c>
    </row>
    <row r="89">
      <c r="A89" s="75" t="n">
        <v>41971</v>
      </c>
      <c r="B89" s="75" t="n"/>
      <c r="C89" t="inlineStr">
        <is>
          <t>Black Friday</t>
        </is>
      </c>
      <c r="D89" s="39" t="inlineStr">
        <is>
          <t>Holiday</t>
        </is>
      </c>
      <c r="E89" s="39" t="inlineStr">
        <is>
          <t>No</t>
        </is>
      </c>
      <c r="F89" s="47" t="n"/>
      <c r="G89" s="76" t="inlineStr">
        <is>
          <t>Yes</t>
        </is>
      </c>
      <c r="H89" s="77" t="inlineStr">
        <is>
          <t>Built-in</t>
        </is>
      </c>
      <c r="I89" s="78" t="inlineStr">
        <is>
          <t>hol:blackfri:2014</t>
        </is>
      </c>
    </row>
    <row r="90">
      <c r="A90" s="75" t="n">
        <v>41971</v>
      </c>
      <c r="B90" s="75" t="n"/>
      <c r="C90" t="inlineStr">
        <is>
          <t>Star Wars: The Force Awakens - first teaser trailer</t>
        </is>
      </c>
      <c r="D90" s="39" t="inlineStr">
        <is>
          <t>Movie / trailer</t>
        </is>
      </c>
      <c r="E90" s="39" t="inlineStr">
        <is>
          <t>No</t>
        </is>
      </c>
      <c r="F90" s="47" t="inlineStr">
        <is>
          <t>Star Wars - US date (trailer)</t>
        </is>
      </c>
      <c r="G90" s="76" t="inlineStr">
        <is>
          <t>Yes</t>
        </is>
      </c>
      <c r="H90" s="77" t="inlineStr">
        <is>
          <t>Built-in</t>
        </is>
      </c>
      <c r="I90" s="78" t="inlineStr">
        <is>
          <t>rel:2014-11-28:Star Wars: The Force Awa</t>
        </is>
      </c>
    </row>
    <row r="91">
      <c r="A91" s="75" t="n">
        <v>41983</v>
      </c>
      <c r="B91" s="75" t="n"/>
      <c r="C91" t="inlineStr">
        <is>
          <t>J &amp; Beth announce their engagement</t>
        </is>
      </c>
      <c r="D91" s="39" t="inlineStr">
        <is>
          <t>Carlin life</t>
        </is>
      </c>
      <c r="E91" s="39" t="inlineStr">
        <is>
          <t>No</t>
        </is>
      </c>
      <c r="F91" s="47" t="inlineStr">
        <is>
          <t>Announced in the video 'WE GOT ENGAGED!!'</t>
        </is>
      </c>
      <c r="G91" s="76" t="inlineStr">
        <is>
          <t>Yes</t>
        </is>
      </c>
      <c r="H91" s="77" t="inlineStr">
        <is>
          <t>Built-in</t>
        </is>
      </c>
      <c r="I91" s="78" t="inlineStr">
        <is>
          <t>life:2014-12-10</t>
        </is>
      </c>
    </row>
    <row r="92">
      <c r="A92" s="75" t="n">
        <v>42023</v>
      </c>
      <c r="B92" s="75" t="n"/>
      <c r="C92" t="inlineStr">
        <is>
          <t>Martin Luther King Jr. Day</t>
        </is>
      </c>
      <c r="D92" s="39" t="inlineStr">
        <is>
          <t>Holiday</t>
        </is>
      </c>
      <c r="E92" s="39" t="inlineStr">
        <is>
          <t>No</t>
        </is>
      </c>
      <c r="F92" s="47" t="n"/>
      <c r="G92" s="76" t="inlineStr">
        <is>
          <t>Yes</t>
        </is>
      </c>
      <c r="H92" s="77" t="inlineStr">
        <is>
          <t>Built-in</t>
        </is>
      </c>
      <c r="I92" s="78" t="inlineStr">
        <is>
          <t>hol:mlk:2015</t>
        </is>
      </c>
    </row>
    <row r="93">
      <c r="A93" s="75" t="n">
        <v>42036</v>
      </c>
      <c r="B93" s="75" t="n"/>
      <c r="C93" t="inlineStr">
        <is>
          <t>Super Bowl Sunday</t>
        </is>
      </c>
      <c r="D93" s="39" t="inlineStr">
        <is>
          <t>Holiday</t>
        </is>
      </c>
      <c r="E93" s="39" t="inlineStr">
        <is>
          <t>No</t>
        </is>
      </c>
      <c r="F93" s="47" t="n"/>
      <c r="G93" s="76" t="inlineStr">
        <is>
          <t>Yes</t>
        </is>
      </c>
      <c r="H93" s="77" t="inlineStr">
        <is>
          <t>Built-in</t>
        </is>
      </c>
      <c r="I93" s="78" t="inlineStr">
        <is>
          <t>hol:sb:2015</t>
        </is>
      </c>
    </row>
    <row r="94">
      <c r="A94" s="75" t="n">
        <v>42051</v>
      </c>
      <c r="B94" s="75" t="n"/>
      <c r="C94" t="inlineStr">
        <is>
          <t>Presidents' Day</t>
        </is>
      </c>
      <c r="D94" s="39" t="inlineStr">
        <is>
          <t>Holiday</t>
        </is>
      </c>
      <c r="E94" s="39" t="inlineStr">
        <is>
          <t>No</t>
        </is>
      </c>
      <c r="F94" s="47" t="n"/>
      <c r="G94" s="76" t="inlineStr">
        <is>
          <t>Yes</t>
        </is>
      </c>
      <c r="H94" s="77" t="inlineStr">
        <is>
          <t>Built-in</t>
        </is>
      </c>
      <c r="I94" s="78" t="inlineStr">
        <is>
          <t>hol:pres:2015</t>
        </is>
      </c>
    </row>
    <row r="95">
      <c r="A95" s="75" t="n">
        <v>42057</v>
      </c>
      <c r="B95" s="75" t="n"/>
      <c r="C95" t="inlineStr">
        <is>
          <t>The Oscars</t>
        </is>
      </c>
      <c r="D95" s="39" t="inlineStr">
        <is>
          <t>Holiday</t>
        </is>
      </c>
      <c r="E95" s="39" t="inlineStr">
        <is>
          <t>No</t>
        </is>
      </c>
      <c r="F95" s="47" t="inlineStr">
        <is>
          <t>Academy Awards ceremony</t>
        </is>
      </c>
      <c r="G95" s="76" t="inlineStr">
        <is>
          <t>Yes</t>
        </is>
      </c>
      <c r="H95" s="77" t="inlineStr">
        <is>
          <t>Built-in</t>
        </is>
      </c>
      <c r="I95" s="78" t="inlineStr">
        <is>
          <t>hol:oscars:2015</t>
        </is>
      </c>
    </row>
    <row r="96">
      <c r="A96" s="75" t="n">
        <v>42076</v>
      </c>
      <c r="B96" s="75" t="n"/>
      <c r="C96" t="inlineStr">
        <is>
          <t>Cinderella (live-action) released</t>
        </is>
      </c>
      <c r="D96" s="39" t="inlineStr">
        <is>
          <t>Movie / trailer</t>
        </is>
      </c>
      <c r="E96" s="39" t="inlineStr">
        <is>
          <t>No</t>
        </is>
      </c>
      <c r="F96" s="47" t="inlineStr">
        <is>
          <t>Disney - US date</t>
        </is>
      </c>
      <c r="G96" s="76" t="inlineStr">
        <is>
          <t>Yes</t>
        </is>
      </c>
      <c r="H96" s="77" t="inlineStr">
        <is>
          <t>Built-in</t>
        </is>
      </c>
      <c r="I96" s="78" t="inlineStr">
        <is>
          <t>rel:2015-03-13:Cinderella (live-action)</t>
        </is>
      </c>
    </row>
    <row r="97">
      <c r="A97" s="75" t="n">
        <v>42099</v>
      </c>
      <c r="B97" s="75" t="n"/>
      <c r="C97" t="inlineStr">
        <is>
          <t>Easter Sunday</t>
        </is>
      </c>
      <c r="D97" s="39" t="inlineStr">
        <is>
          <t>Holiday</t>
        </is>
      </c>
      <c r="E97" s="39" t="inlineStr">
        <is>
          <t>No</t>
        </is>
      </c>
      <c r="F97" s="47" t="n"/>
      <c r="G97" s="76" t="inlineStr">
        <is>
          <t>Yes</t>
        </is>
      </c>
      <c r="H97" s="77" t="inlineStr">
        <is>
          <t>Built-in</t>
        </is>
      </c>
      <c r="I97" s="78" t="inlineStr">
        <is>
          <t>hol:easter:2015</t>
        </is>
      </c>
    </row>
    <row r="98">
      <c r="A98" s="75" t="n">
        <v>42110</v>
      </c>
      <c r="B98" s="75" t="n">
        <v>42113</v>
      </c>
      <c r="C98" t="inlineStr">
        <is>
          <t>Star Wars Celebration (Anaheim)</t>
        </is>
      </c>
      <c r="D98" s="39" t="inlineStr">
        <is>
          <t>Movie / trailer</t>
        </is>
      </c>
      <c r="E98" s="39" t="inlineStr">
        <is>
          <t>No</t>
        </is>
      </c>
      <c r="F98" s="47" t="inlineStr">
        <is>
          <t>Lucasfilm fan convention - trailers and reveals</t>
        </is>
      </c>
      <c r="G98" s="76" t="inlineStr">
        <is>
          <t>Yes</t>
        </is>
      </c>
      <c r="H98" s="77" t="inlineStr">
        <is>
          <t>Built-in</t>
        </is>
      </c>
      <c r="I98" s="78" t="inlineStr">
        <is>
          <t>con:swc:2015</t>
        </is>
      </c>
    </row>
    <row r="99">
      <c r="A99" s="75" t="n">
        <v>42110</v>
      </c>
      <c r="B99" s="75" t="n"/>
      <c r="C99" t="inlineStr">
        <is>
          <t>The Force Awakens trailer #2 (Star Wars Celebration)</t>
        </is>
      </c>
      <c r="D99" s="39" t="inlineStr">
        <is>
          <t>Movie / trailer</t>
        </is>
      </c>
      <c r="E99" s="39" t="inlineStr">
        <is>
          <t>No</t>
        </is>
      </c>
      <c r="F99" s="47" t="inlineStr">
        <is>
          <t>Star Wars - US date (trailer)</t>
        </is>
      </c>
      <c r="G99" s="76" t="inlineStr">
        <is>
          <t>Yes</t>
        </is>
      </c>
      <c r="H99" s="77" t="inlineStr">
        <is>
          <t>Built-in</t>
        </is>
      </c>
      <c r="I99" s="78" t="inlineStr">
        <is>
          <t>rel:2015-04-16:The Force Awakens traile</t>
        </is>
      </c>
    </row>
    <row r="100">
      <c r="A100" s="75" t="n">
        <v>42125</v>
      </c>
      <c r="B100" s="75" t="n"/>
      <c r="C100" t="inlineStr">
        <is>
          <t>Avengers: Age of Ultron released</t>
        </is>
      </c>
      <c r="D100" s="39" t="inlineStr">
        <is>
          <t>Movie / trailer</t>
        </is>
      </c>
      <c r="E100" s="39" t="inlineStr">
        <is>
          <t>No</t>
        </is>
      </c>
      <c r="F100" s="47" t="inlineStr">
        <is>
          <t>Marvel - US date</t>
        </is>
      </c>
      <c r="G100" s="76" t="inlineStr">
        <is>
          <t>Yes</t>
        </is>
      </c>
      <c r="H100" s="77" t="inlineStr">
        <is>
          <t>Built-in</t>
        </is>
      </c>
      <c r="I100" s="78" t="inlineStr">
        <is>
          <t>rel:2015-05-01:Avengers: Age of Ultron</t>
        </is>
      </c>
    </row>
    <row r="101">
      <c r="A101" s="75" t="n">
        <v>42134</v>
      </c>
      <c r="B101" s="75" t="n"/>
      <c r="C101" t="inlineStr">
        <is>
          <t>Mother's Day</t>
        </is>
      </c>
      <c r="D101" s="39" t="inlineStr">
        <is>
          <t>Holiday</t>
        </is>
      </c>
      <c r="E101" s="39" t="inlineStr">
        <is>
          <t>No</t>
        </is>
      </c>
      <c r="F101" s="47" t="n"/>
      <c r="G101" s="76" t="inlineStr">
        <is>
          <t>Yes</t>
        </is>
      </c>
      <c r="H101" s="77" t="inlineStr">
        <is>
          <t>Built-in</t>
        </is>
      </c>
      <c r="I101" s="78" t="inlineStr">
        <is>
          <t>hol:mothers:2015</t>
        </is>
      </c>
    </row>
    <row r="102">
      <c r="A102" s="75" t="n">
        <v>42149</v>
      </c>
      <c r="B102" s="75" t="n"/>
      <c r="C102" t="inlineStr">
        <is>
          <t>Memorial Day</t>
        </is>
      </c>
      <c r="D102" s="39" t="inlineStr">
        <is>
          <t>Holiday</t>
        </is>
      </c>
      <c r="E102" s="39" t="inlineStr">
        <is>
          <t>No</t>
        </is>
      </c>
      <c r="F102" s="47" t="n"/>
      <c r="G102" s="76" t="inlineStr">
        <is>
          <t>Yes</t>
        </is>
      </c>
      <c r="H102" s="77" t="inlineStr">
        <is>
          <t>Built-in</t>
        </is>
      </c>
      <c r="I102" s="78" t="inlineStr">
        <is>
          <t>hol:memorial:2015</t>
        </is>
      </c>
    </row>
    <row r="103">
      <c r="A103" s="75" t="n">
        <v>42172</v>
      </c>
      <c r="B103" s="75" t="n"/>
      <c r="C103" t="inlineStr">
        <is>
          <t>SCB reaches 100,000 subscribers</t>
        </is>
      </c>
      <c r="D103" s="39" t="inlineStr">
        <is>
          <t>SCB milestone</t>
        </is>
      </c>
      <c r="E103" s="39" t="inlineStr">
        <is>
          <t>No</t>
        </is>
      </c>
      <c r="F103" s="47" t="inlineStr">
        <is>
          <t>Video: 'The Utah Teapot and 100,000 Subscribers!'</t>
        </is>
      </c>
      <c r="G103" s="76" t="inlineStr">
        <is>
          <t>Yes</t>
        </is>
      </c>
      <c r="H103" s="77" t="inlineStr">
        <is>
          <t>Built-in</t>
        </is>
      </c>
      <c r="I103" s="78" t="inlineStr">
        <is>
          <t>ms:2015-06-17</t>
        </is>
      </c>
    </row>
    <row r="104">
      <c r="A104" s="75" t="n">
        <v>42174</v>
      </c>
      <c r="B104" s="75" t="n"/>
      <c r="C104" t="inlineStr">
        <is>
          <t>Inside Out released</t>
        </is>
      </c>
      <c r="D104" s="39" t="inlineStr">
        <is>
          <t>Movie / trailer</t>
        </is>
      </c>
      <c r="E104" s="39" t="inlineStr">
        <is>
          <t>No</t>
        </is>
      </c>
      <c r="F104" s="47" t="inlineStr">
        <is>
          <t>Pixar - US date</t>
        </is>
      </c>
      <c r="G104" s="76" t="inlineStr">
        <is>
          <t>Yes</t>
        </is>
      </c>
      <c r="H104" s="77" t="inlineStr">
        <is>
          <t>Built-in</t>
        </is>
      </c>
      <c r="I104" s="78" t="inlineStr">
        <is>
          <t>rel:2015-06-19:Inside Out</t>
        </is>
      </c>
    </row>
    <row r="105">
      <c r="A105" s="75" t="n">
        <v>42176</v>
      </c>
      <c r="B105" s="75" t="n"/>
      <c r="C105" t="inlineStr">
        <is>
          <t>Father's Day</t>
        </is>
      </c>
      <c r="D105" s="39" t="inlineStr">
        <is>
          <t>Holiday</t>
        </is>
      </c>
      <c r="E105" s="39" t="inlineStr">
        <is>
          <t>No</t>
        </is>
      </c>
      <c r="F105" s="47" t="n"/>
      <c r="G105" s="76" t="inlineStr">
        <is>
          <t>Yes</t>
        </is>
      </c>
      <c r="H105" s="77" t="inlineStr">
        <is>
          <t>Built-in</t>
        </is>
      </c>
      <c r="I105" s="78" t="inlineStr">
        <is>
          <t>hol:fathers:2015</t>
        </is>
      </c>
    </row>
    <row r="106">
      <c r="A106" s="75" t="n">
        <v>42192</v>
      </c>
      <c r="B106" s="75" t="n"/>
      <c r="C106" t="inlineStr">
        <is>
          <t>Rocket League released</t>
        </is>
      </c>
      <c r="D106" s="39" t="inlineStr">
        <is>
          <t>Game release</t>
        </is>
      </c>
      <c r="E106" s="39" t="inlineStr">
        <is>
          <t>No</t>
        </is>
      </c>
      <c r="F106" s="47" t="inlineStr">
        <is>
          <t>US date</t>
        </is>
      </c>
      <c r="G106" s="76" t="inlineStr">
        <is>
          <t>Yes</t>
        </is>
      </c>
      <c r="H106" s="77" t="inlineStr">
        <is>
          <t>Built-in</t>
        </is>
      </c>
      <c r="I106" s="78" t="inlineStr">
        <is>
          <t>game:2015-07-07:Rocket League released</t>
        </is>
      </c>
    </row>
    <row r="107">
      <c r="A107" s="75" t="n">
        <v>42194</v>
      </c>
      <c r="B107" s="75" t="n">
        <v>42197</v>
      </c>
      <c r="C107" t="inlineStr">
        <is>
          <t>San Diego Comic-Con</t>
        </is>
      </c>
      <c r="D107" s="39" t="inlineStr">
        <is>
          <t>Movie / trailer</t>
        </is>
      </c>
      <c r="E107" s="39" t="inlineStr">
        <is>
          <t>No</t>
        </is>
      </c>
      <c r="F107" s="47" t="inlineStr">
        <is>
          <t>Big trailer and announcement reveals (Marvel, Star Wars, Disney, Harry Potter)</t>
        </is>
      </c>
      <c r="G107" s="76" t="inlineStr">
        <is>
          <t>Yes</t>
        </is>
      </c>
      <c r="H107" s="77" t="inlineStr">
        <is>
          <t>Built-in</t>
        </is>
      </c>
      <c r="I107" s="78" t="inlineStr">
        <is>
          <t>con:sdcc:2015</t>
        </is>
      </c>
    </row>
    <row r="108">
      <c r="A108" s="75" t="n">
        <v>42202</v>
      </c>
      <c r="B108" s="75" t="n"/>
      <c r="C108" t="inlineStr">
        <is>
          <t>Ant-Man released</t>
        </is>
      </c>
      <c r="D108" s="39" t="inlineStr">
        <is>
          <t>Movie / trailer</t>
        </is>
      </c>
      <c r="E108" s="39" t="inlineStr">
        <is>
          <t>No</t>
        </is>
      </c>
      <c r="F108" s="47" t="inlineStr">
        <is>
          <t>Marvel - US date</t>
        </is>
      </c>
      <c r="G108" s="76" t="inlineStr">
        <is>
          <t>Yes</t>
        </is>
      </c>
      <c r="H108" s="77" t="inlineStr">
        <is>
          <t>Built-in</t>
        </is>
      </c>
      <c r="I108" s="78" t="inlineStr">
        <is>
          <t>rel:2015-07-17:Ant-Man</t>
        </is>
      </c>
    </row>
    <row r="109">
      <c r="A109" s="75" t="n">
        <v>42230</v>
      </c>
      <c r="B109" s="75" t="n">
        <v>42232</v>
      </c>
      <c r="C109" t="inlineStr">
        <is>
          <t>D23 Expo (Disney fan event)</t>
        </is>
      </c>
      <c r="D109" s="39" t="inlineStr">
        <is>
          <t>Movie / trailer</t>
        </is>
      </c>
      <c r="E109" s="39" t="inlineStr">
        <is>
          <t>No</t>
        </is>
      </c>
      <c r="F109" s="47" t="inlineStr">
        <is>
          <t>Disney, Pixar, Marvel and Lucasfilm announcements</t>
        </is>
      </c>
      <c r="G109" s="76" t="inlineStr">
        <is>
          <t>Yes</t>
        </is>
      </c>
      <c r="H109" s="77" t="inlineStr">
        <is>
          <t>Built-in</t>
        </is>
      </c>
      <c r="I109" s="78" t="inlineStr">
        <is>
          <t>con:d23:2015</t>
        </is>
      </c>
    </row>
    <row r="110">
      <c r="A110" s="75" t="n">
        <v>42254</v>
      </c>
      <c r="B110" s="75" t="n"/>
      <c r="C110" t="inlineStr">
        <is>
          <t>Labor Day</t>
        </is>
      </c>
      <c r="D110" s="39" t="inlineStr">
        <is>
          <t>Holiday</t>
        </is>
      </c>
      <c r="E110" s="39" t="inlineStr">
        <is>
          <t>No</t>
        </is>
      </c>
      <c r="F110" s="47" t="n"/>
      <c r="G110" s="76" t="inlineStr">
        <is>
          <t>Yes</t>
        </is>
      </c>
      <c r="H110" s="77" t="inlineStr">
        <is>
          <t>Built-in</t>
        </is>
      </c>
      <c r="I110" s="78" t="inlineStr">
        <is>
          <t>hol:labor:2015</t>
        </is>
      </c>
    </row>
    <row r="111">
      <c r="A111" s="75" t="n">
        <v>42296</v>
      </c>
      <c r="B111" s="75" t="n"/>
      <c r="C111" t="inlineStr">
        <is>
          <t>The Force Awakens - final trailer</t>
        </is>
      </c>
      <c r="D111" s="39" t="inlineStr">
        <is>
          <t>Movie / trailer</t>
        </is>
      </c>
      <c r="E111" s="39" t="inlineStr">
        <is>
          <t>No</t>
        </is>
      </c>
      <c r="F111" s="47" t="inlineStr">
        <is>
          <t>Star Wars - US date (trailer)</t>
        </is>
      </c>
      <c r="G111" s="76" t="inlineStr">
        <is>
          <t>Yes</t>
        </is>
      </c>
      <c r="H111" s="77" t="inlineStr">
        <is>
          <t>Built-in</t>
        </is>
      </c>
      <c r="I111" s="78" t="inlineStr">
        <is>
          <t>rel:2015-10-19:The Force Awakens - fina</t>
        </is>
      </c>
    </row>
    <row r="112">
      <c r="A112" s="75" t="n">
        <v>42299</v>
      </c>
      <c r="B112" s="75" t="n"/>
      <c r="C112" t="inlineStr">
        <is>
          <t>Super Carlin Brothers: video #500</t>
        </is>
      </c>
      <c r="D112" s="39" t="inlineStr">
        <is>
          <t>SCB milestone</t>
        </is>
      </c>
      <c r="E112" s="39" t="inlineStr">
        <is>
          <t>No</t>
        </is>
      </c>
      <c r="F112" s="47" t="inlineStr">
        <is>
          <t>Fast Facts: Harry Potter and the Deathly Hallows</t>
        </is>
      </c>
      <c r="G112" s="76" t="inlineStr">
        <is>
          <t>Yes</t>
        </is>
      </c>
      <c r="H112" s="77" t="inlineStr">
        <is>
          <t>Built-in</t>
        </is>
      </c>
      <c r="I112" s="78" t="inlineStr">
        <is>
          <t>auto:n500:UCKZo4N0lVPccBkSiuyVh4yg</t>
        </is>
      </c>
    </row>
    <row r="113">
      <c r="A113" s="75" t="n">
        <v>42328</v>
      </c>
      <c r="B113" s="75" t="n"/>
      <c r="C113" t="inlineStr">
        <is>
          <t>The Hunger Games: Mockingjay - Part 2 released</t>
        </is>
      </c>
      <c r="D113" s="39" t="inlineStr">
        <is>
          <t>Movie / trailer</t>
        </is>
      </c>
      <c r="E113" s="39" t="inlineStr">
        <is>
          <t>No</t>
        </is>
      </c>
      <c r="F113" s="47" t="inlineStr">
        <is>
          <t>Hunger Games - US date</t>
        </is>
      </c>
      <c r="G113" s="76" t="inlineStr">
        <is>
          <t>Yes</t>
        </is>
      </c>
      <c r="H113" s="77" t="inlineStr">
        <is>
          <t>Built-in</t>
        </is>
      </c>
      <c r="I113" s="78" t="inlineStr">
        <is>
          <t>rel:2015-11-20:The Hunger Games: Mockin</t>
        </is>
      </c>
    </row>
    <row r="114">
      <c r="A114" s="75" t="n">
        <v>42333</v>
      </c>
      <c r="B114" s="75" t="n"/>
      <c r="C114" t="inlineStr">
        <is>
          <t>The Good Dinosaur released</t>
        </is>
      </c>
      <c r="D114" s="39" t="inlineStr">
        <is>
          <t>Movie / trailer</t>
        </is>
      </c>
      <c r="E114" s="39" t="inlineStr">
        <is>
          <t>No</t>
        </is>
      </c>
      <c r="F114" s="47" t="inlineStr">
        <is>
          <t>Pixar - US date</t>
        </is>
      </c>
      <c r="G114" s="76" t="inlineStr">
        <is>
          <t>Yes</t>
        </is>
      </c>
      <c r="H114" s="77" t="inlineStr">
        <is>
          <t>Built-in</t>
        </is>
      </c>
      <c r="I114" s="78" t="inlineStr">
        <is>
          <t>rel:2015-11-25:The Good Dinosaur</t>
        </is>
      </c>
    </row>
    <row r="115">
      <c r="A115" s="75" t="n">
        <v>42334</v>
      </c>
      <c r="B115" s="75" t="n"/>
      <c r="C115" t="inlineStr">
        <is>
          <t>Thanksgiving</t>
        </is>
      </c>
      <c r="D115" s="39" t="inlineStr">
        <is>
          <t>Holiday</t>
        </is>
      </c>
      <c r="E115" s="39" t="inlineStr">
        <is>
          <t>No</t>
        </is>
      </c>
      <c r="F115" s="47" t="n"/>
      <c r="G115" s="76" t="inlineStr">
        <is>
          <t>Yes</t>
        </is>
      </c>
      <c r="H115" s="77" t="inlineStr">
        <is>
          <t>Built-in</t>
        </is>
      </c>
      <c r="I115" s="78" t="inlineStr">
        <is>
          <t>hol:thanks:2015</t>
        </is>
      </c>
    </row>
    <row r="116">
      <c r="A116" s="75" t="n">
        <v>42335</v>
      </c>
      <c r="B116" s="75" t="n"/>
      <c r="C116" t="inlineStr">
        <is>
          <t>Black Friday</t>
        </is>
      </c>
      <c r="D116" s="39" t="inlineStr">
        <is>
          <t>Holiday</t>
        </is>
      </c>
      <c r="E116" s="39" t="inlineStr">
        <is>
          <t>No</t>
        </is>
      </c>
      <c r="F116" s="47" t="n"/>
      <c r="G116" s="76" t="inlineStr">
        <is>
          <t>Yes</t>
        </is>
      </c>
      <c r="H116" s="77" t="inlineStr">
        <is>
          <t>Built-in</t>
        </is>
      </c>
      <c r="I116" s="78" t="inlineStr">
        <is>
          <t>hol:blackfri:2015</t>
        </is>
      </c>
    </row>
    <row r="117">
      <c r="A117" s="75" t="n">
        <v>42356</v>
      </c>
      <c r="B117" s="75" t="n"/>
      <c r="C117" t="inlineStr">
        <is>
          <t>Star Wars: The Force Awakens released</t>
        </is>
      </c>
      <c r="D117" s="39" t="inlineStr">
        <is>
          <t>Movie / trailer</t>
        </is>
      </c>
      <c r="E117" s="39" t="inlineStr">
        <is>
          <t>No</t>
        </is>
      </c>
      <c r="F117" s="47" t="inlineStr">
        <is>
          <t>Star Wars - US date</t>
        </is>
      </c>
      <c r="G117" s="76" t="inlineStr">
        <is>
          <t>Yes</t>
        </is>
      </c>
      <c r="H117" s="77" t="inlineStr">
        <is>
          <t>Built-in</t>
        </is>
      </c>
      <c r="I117" s="78" t="inlineStr">
        <is>
          <t>rel:2015-12-18:Star Wars: The Force Awa</t>
        </is>
      </c>
    </row>
    <row r="118">
      <c r="A118" s="75" t="n">
        <v>42383</v>
      </c>
      <c r="B118" s="75" t="n"/>
      <c r="C118" t="inlineStr">
        <is>
          <t>Alan Rickman passes away (Professor Snape)</t>
        </is>
      </c>
      <c r="D118" s="39" t="inlineStr">
        <is>
          <t>Fandom</t>
        </is>
      </c>
      <c r="E118" s="39" t="inlineStr">
        <is>
          <t>No</t>
        </is>
      </c>
      <c r="F118" s="47" t="inlineStr">
        <is>
          <t>In memoriam</t>
        </is>
      </c>
      <c r="G118" s="76" t="inlineStr">
        <is>
          <t>Yes</t>
        </is>
      </c>
      <c r="H118" s="77" t="inlineStr">
        <is>
          <t>Built-in</t>
        </is>
      </c>
      <c r="I118" s="78" t="inlineStr">
        <is>
          <t>fan:mem:2016-01-14</t>
        </is>
      </c>
    </row>
    <row r="119">
      <c r="A119" s="75" t="n">
        <v>42387</v>
      </c>
      <c r="B119" s="75" t="n"/>
      <c r="C119" t="inlineStr">
        <is>
          <t>Martin Luther King Jr. Day</t>
        </is>
      </c>
      <c r="D119" s="39" t="inlineStr">
        <is>
          <t>Holiday</t>
        </is>
      </c>
      <c r="E119" s="39" t="inlineStr">
        <is>
          <t>No</t>
        </is>
      </c>
      <c r="F119" s="47" t="n"/>
      <c r="G119" s="76" t="inlineStr">
        <is>
          <t>Yes</t>
        </is>
      </c>
      <c r="H119" s="77" t="inlineStr">
        <is>
          <t>Built-in</t>
        </is>
      </c>
      <c r="I119" s="78" t="inlineStr">
        <is>
          <t>hol:mlk:2016</t>
        </is>
      </c>
    </row>
    <row r="120">
      <c r="A120" s="75" t="n">
        <v>42407</v>
      </c>
      <c r="B120" s="75" t="n"/>
      <c r="C120" t="inlineStr">
        <is>
          <t>Super Bowl Sunday</t>
        </is>
      </c>
      <c r="D120" s="39" t="inlineStr">
        <is>
          <t>Holiday</t>
        </is>
      </c>
      <c r="E120" s="39" t="inlineStr">
        <is>
          <t>No</t>
        </is>
      </c>
      <c r="F120" s="47" t="n"/>
      <c r="G120" s="76" t="inlineStr">
        <is>
          <t>Yes</t>
        </is>
      </c>
      <c r="H120" s="77" t="inlineStr">
        <is>
          <t>Built-in</t>
        </is>
      </c>
      <c r="I120" s="78" t="inlineStr">
        <is>
          <t>hol:sb:2016</t>
        </is>
      </c>
    </row>
    <row r="121">
      <c r="A121" s="75" t="n">
        <v>42415</v>
      </c>
      <c r="B121" s="75" t="n"/>
      <c r="C121" t="inlineStr">
        <is>
          <t>Presidents' Day</t>
        </is>
      </c>
      <c r="D121" s="39" t="inlineStr">
        <is>
          <t>Holiday</t>
        </is>
      </c>
      <c r="E121" s="39" t="inlineStr">
        <is>
          <t>No</t>
        </is>
      </c>
      <c r="F121" s="47" t="n"/>
      <c r="G121" s="76" t="inlineStr">
        <is>
          <t>Yes</t>
        </is>
      </c>
      <c r="H121" s="77" t="inlineStr">
        <is>
          <t>Built-in</t>
        </is>
      </c>
      <c r="I121" s="78" t="inlineStr">
        <is>
          <t>hol:pres:2016</t>
        </is>
      </c>
    </row>
    <row r="122">
      <c r="A122" s="75" t="n">
        <v>42428</v>
      </c>
      <c r="B122" s="75" t="n"/>
      <c r="C122" t="inlineStr">
        <is>
          <t>The Oscars</t>
        </is>
      </c>
      <c r="D122" s="39" t="inlineStr">
        <is>
          <t>Holiday</t>
        </is>
      </c>
      <c r="E122" s="39" t="inlineStr">
        <is>
          <t>No</t>
        </is>
      </c>
      <c r="F122" s="47" t="inlineStr">
        <is>
          <t>Academy Awards ceremony</t>
        </is>
      </c>
      <c r="G122" s="76" t="inlineStr">
        <is>
          <t>Yes</t>
        </is>
      </c>
      <c r="H122" s="77" t="inlineStr">
        <is>
          <t>Built-in</t>
        </is>
      </c>
      <c r="I122" s="78" t="inlineStr">
        <is>
          <t>hol:oscars:2016</t>
        </is>
      </c>
    </row>
    <row r="123">
      <c r="A123" s="75" t="n">
        <v>42433</v>
      </c>
      <c r="B123" s="75" t="n"/>
      <c r="C123" t="inlineStr">
        <is>
          <t>Zootopia released</t>
        </is>
      </c>
      <c r="D123" s="39" t="inlineStr">
        <is>
          <t>Movie / trailer</t>
        </is>
      </c>
      <c r="E123" s="39" t="inlineStr">
        <is>
          <t>No</t>
        </is>
      </c>
      <c r="F123" s="47" t="inlineStr">
        <is>
          <t>Disney - US date</t>
        </is>
      </c>
      <c r="G123" s="76" t="inlineStr">
        <is>
          <t>Yes</t>
        </is>
      </c>
      <c r="H123" s="77" t="inlineStr">
        <is>
          <t>Built-in</t>
        </is>
      </c>
      <c r="I123" s="78" t="inlineStr">
        <is>
          <t>rel:2016-03-04:Zootopia</t>
        </is>
      </c>
    </row>
    <row r="124">
      <c r="A124" s="75" t="n">
        <v>42456</v>
      </c>
      <c r="B124" s="75" t="n"/>
      <c r="C124" t="inlineStr">
        <is>
          <t>Easter Sunday</t>
        </is>
      </c>
      <c r="D124" s="39" t="inlineStr">
        <is>
          <t>Holiday</t>
        </is>
      </c>
      <c r="E124" s="39" t="inlineStr">
        <is>
          <t>No</t>
        </is>
      </c>
      <c r="F124" s="47" t="n"/>
      <c r="G124" s="76" t="inlineStr">
        <is>
          <t>Yes</t>
        </is>
      </c>
      <c r="H124" s="77" t="inlineStr">
        <is>
          <t>Built-in</t>
        </is>
      </c>
      <c r="I124" s="78" t="inlineStr">
        <is>
          <t>hol:easter:2016</t>
        </is>
      </c>
    </row>
    <row r="125">
      <c r="A125" s="75" t="n">
        <v>42467</v>
      </c>
      <c r="B125" s="75" t="n"/>
      <c r="C125" t="inlineStr">
        <is>
          <t>Rogue One - first teaser trailer</t>
        </is>
      </c>
      <c r="D125" s="39" t="inlineStr">
        <is>
          <t>Movie / trailer</t>
        </is>
      </c>
      <c r="E125" s="39" t="inlineStr">
        <is>
          <t>No</t>
        </is>
      </c>
      <c r="F125" s="47" t="inlineStr">
        <is>
          <t>Star Wars - US date (trailer)</t>
        </is>
      </c>
      <c r="G125" s="76" t="inlineStr">
        <is>
          <t>Yes</t>
        </is>
      </c>
      <c r="H125" s="77" t="inlineStr">
        <is>
          <t>Built-in</t>
        </is>
      </c>
      <c r="I125" s="78" t="inlineStr">
        <is>
          <t>rel:2016-04-07:Rogue One - first teaser</t>
        </is>
      </c>
    </row>
    <row r="126">
      <c r="A126" s="75" t="n">
        <v>42475</v>
      </c>
      <c r="B126" s="75" t="n"/>
      <c r="C126" t="inlineStr">
        <is>
          <t>The Jungle Book (live-action) released</t>
        </is>
      </c>
      <c r="D126" s="39" t="inlineStr">
        <is>
          <t>Movie / trailer</t>
        </is>
      </c>
      <c r="E126" s="39" t="inlineStr">
        <is>
          <t>No</t>
        </is>
      </c>
      <c r="F126" s="47" t="inlineStr">
        <is>
          <t>Disney - US date</t>
        </is>
      </c>
      <c r="G126" s="76" t="inlineStr">
        <is>
          <t>Yes</t>
        </is>
      </c>
      <c r="H126" s="77" t="inlineStr">
        <is>
          <t>Built-in</t>
        </is>
      </c>
      <c r="I126" s="78" t="inlineStr">
        <is>
          <t>rel:2016-04-15:The Jungle Book (live-ac</t>
        </is>
      </c>
    </row>
    <row r="127">
      <c r="A127" s="75" t="n">
        <v>42496</v>
      </c>
      <c r="B127" s="75" t="n"/>
      <c r="C127" t="inlineStr">
        <is>
          <t>Captain America: Civil War released</t>
        </is>
      </c>
      <c r="D127" s="39" t="inlineStr">
        <is>
          <t>Movie / trailer</t>
        </is>
      </c>
      <c r="E127" s="39" t="inlineStr">
        <is>
          <t>No</t>
        </is>
      </c>
      <c r="F127" s="47" t="inlineStr">
        <is>
          <t>Marvel - US date</t>
        </is>
      </c>
      <c r="G127" s="76" t="inlineStr">
        <is>
          <t>Yes</t>
        </is>
      </c>
      <c r="H127" s="77" t="inlineStr">
        <is>
          <t>Built-in</t>
        </is>
      </c>
      <c r="I127" s="78" t="inlineStr">
        <is>
          <t>rel:2016-05-06:Captain America: Civil W</t>
        </is>
      </c>
    </row>
    <row r="128">
      <c r="A128" s="75" t="n">
        <v>42498</v>
      </c>
      <c r="B128" s="75" t="n"/>
      <c r="C128" t="inlineStr">
        <is>
          <t>Mother's Day</t>
        </is>
      </c>
      <c r="D128" s="39" t="inlineStr">
        <is>
          <t>Holiday</t>
        </is>
      </c>
      <c r="E128" s="39" t="inlineStr">
        <is>
          <t>No</t>
        </is>
      </c>
      <c r="F128" s="47" t="n"/>
      <c r="G128" s="76" t="inlineStr">
        <is>
          <t>Yes</t>
        </is>
      </c>
      <c r="H128" s="77" t="inlineStr">
        <is>
          <t>Built-in</t>
        </is>
      </c>
      <c r="I128" s="78" t="inlineStr">
        <is>
          <t>hol:mothers:2016</t>
        </is>
      </c>
    </row>
    <row r="129">
      <c r="A129" s="75" t="n">
        <v>42520</v>
      </c>
      <c r="B129" s="75" t="n"/>
      <c r="C129" t="inlineStr">
        <is>
          <t>Memorial Day</t>
        </is>
      </c>
      <c r="D129" s="39" t="inlineStr">
        <is>
          <t>Holiday</t>
        </is>
      </c>
      <c r="E129" s="39" t="inlineStr">
        <is>
          <t>No</t>
        </is>
      </c>
      <c r="F129" s="47" t="n"/>
      <c r="G129" s="76" t="inlineStr">
        <is>
          <t>Yes</t>
        </is>
      </c>
      <c r="H129" s="77" t="inlineStr">
        <is>
          <t>Built-in</t>
        </is>
      </c>
      <c r="I129" s="78" t="inlineStr">
        <is>
          <t>hol:memorial:2016</t>
        </is>
      </c>
    </row>
    <row r="130">
      <c r="A130" s="75" t="n">
        <v>42538</v>
      </c>
      <c r="B130" s="75" t="n"/>
      <c r="C130" t="inlineStr">
        <is>
          <t>Finding Dory released</t>
        </is>
      </c>
      <c r="D130" s="39" t="inlineStr">
        <is>
          <t>Movie / trailer</t>
        </is>
      </c>
      <c r="E130" s="39" t="inlineStr">
        <is>
          <t>No</t>
        </is>
      </c>
      <c r="F130" s="47" t="inlineStr">
        <is>
          <t>Pixar - US date</t>
        </is>
      </c>
      <c r="G130" s="76" t="inlineStr">
        <is>
          <t>Yes</t>
        </is>
      </c>
      <c r="H130" s="77" t="inlineStr">
        <is>
          <t>Built-in</t>
        </is>
      </c>
      <c r="I130" s="78" t="inlineStr">
        <is>
          <t>rel:2016-06-17:Finding Dory</t>
        </is>
      </c>
    </row>
    <row r="131">
      <c r="A131" s="75" t="n">
        <v>42540</v>
      </c>
      <c r="B131" s="75" t="n"/>
      <c r="C131" t="inlineStr">
        <is>
          <t>Father's Day</t>
        </is>
      </c>
      <c r="D131" s="39" t="inlineStr">
        <is>
          <t>Holiday</t>
        </is>
      </c>
      <c r="E131" s="39" t="inlineStr">
        <is>
          <t>No</t>
        </is>
      </c>
      <c r="F131" s="47" t="n"/>
      <c r="G131" s="76" t="inlineStr">
        <is>
          <t>Yes</t>
        </is>
      </c>
      <c r="H131" s="77" t="inlineStr">
        <is>
          <t>Built-in</t>
        </is>
      </c>
      <c r="I131" s="78" t="inlineStr">
        <is>
          <t>hol:fathers:2016</t>
        </is>
      </c>
    </row>
    <row r="132">
      <c r="A132" s="75" t="n">
        <v>42557</v>
      </c>
      <c r="B132" s="75" t="n"/>
      <c r="C132" t="inlineStr">
        <is>
          <t>Pokémon GO released (US)</t>
        </is>
      </c>
      <c r="D132" s="39" t="inlineStr">
        <is>
          <t>Game release</t>
        </is>
      </c>
      <c r="E132" s="39" t="inlineStr">
        <is>
          <t>No</t>
        </is>
      </c>
      <c r="F132" s="47" t="inlineStr">
        <is>
          <t>US date</t>
        </is>
      </c>
      <c r="G132" s="76" t="inlineStr">
        <is>
          <t>Yes</t>
        </is>
      </c>
      <c r="H132" s="77" t="inlineStr">
        <is>
          <t>Built-in</t>
        </is>
      </c>
      <c r="I132" s="78" t="inlineStr">
        <is>
          <t>game:2016-07-06:Pokémon GO released (US)</t>
        </is>
      </c>
    </row>
    <row r="133">
      <c r="A133" s="75" t="n">
        <v>42566</v>
      </c>
      <c r="B133" s="75" t="n">
        <v>42568</v>
      </c>
      <c r="C133" t="inlineStr">
        <is>
          <t>Star Wars Celebration (London)</t>
        </is>
      </c>
      <c r="D133" s="39" t="inlineStr">
        <is>
          <t>Movie / trailer</t>
        </is>
      </c>
      <c r="E133" s="39" t="inlineStr">
        <is>
          <t>No</t>
        </is>
      </c>
      <c r="F133" s="47" t="inlineStr">
        <is>
          <t>Lucasfilm fan convention - trailers and reveals</t>
        </is>
      </c>
      <c r="G133" s="76" t="inlineStr">
        <is>
          <t>Yes</t>
        </is>
      </c>
      <c r="H133" s="77" t="inlineStr">
        <is>
          <t>Built-in</t>
        </is>
      </c>
      <c r="I133" s="78" t="inlineStr">
        <is>
          <t>con:swc:2016</t>
        </is>
      </c>
    </row>
    <row r="134">
      <c r="A134" s="75" t="n">
        <v>42572</v>
      </c>
      <c r="B134" s="75" t="n">
        <v>42575</v>
      </c>
      <c r="C134" t="inlineStr">
        <is>
          <t>San Diego Comic-Con</t>
        </is>
      </c>
      <c r="D134" s="39" t="inlineStr">
        <is>
          <t>Movie / trailer</t>
        </is>
      </c>
      <c r="E134" s="39" t="inlineStr">
        <is>
          <t>No</t>
        </is>
      </c>
      <c r="F134" s="47" t="inlineStr">
        <is>
          <t>Big trailer and announcement reveals (Marvel, Star Wars, Disney, Harry Potter)</t>
        </is>
      </c>
      <c r="G134" s="76" t="inlineStr">
        <is>
          <t>Yes</t>
        </is>
      </c>
      <c r="H134" s="77" t="inlineStr">
        <is>
          <t>Built-in</t>
        </is>
      </c>
      <c r="I134" s="78" t="inlineStr">
        <is>
          <t>con:sdcc:2016</t>
        </is>
      </c>
    </row>
    <row r="135">
      <c r="A135" s="75" t="n">
        <v>42582</v>
      </c>
      <c r="B135" s="75" t="n"/>
      <c r="C135" t="inlineStr">
        <is>
          <t>Harry Potter and the Cursed Child - script book released</t>
        </is>
      </c>
      <c r="D135" s="39" t="inlineStr">
        <is>
          <t>Movie / trailer</t>
        </is>
      </c>
      <c r="E135" s="39" t="inlineStr">
        <is>
          <t>No</t>
        </is>
      </c>
      <c r="F135" s="47" t="inlineStr">
        <is>
          <t>Harry Potter - US date</t>
        </is>
      </c>
      <c r="G135" s="76" t="inlineStr">
        <is>
          <t>Yes</t>
        </is>
      </c>
      <c r="H135" s="77" t="inlineStr">
        <is>
          <t>Built-in</t>
        </is>
      </c>
      <c r="I135" s="78" t="inlineStr">
        <is>
          <t>rel:2016-07-31:Harry Potter and the Cur</t>
        </is>
      </c>
    </row>
    <row r="136">
      <c r="A136" s="75" t="n">
        <v>42618</v>
      </c>
      <c r="B136" s="75" t="n"/>
      <c r="C136" t="inlineStr">
        <is>
          <t>Labor Day</t>
        </is>
      </c>
      <c r="D136" s="39" t="inlineStr">
        <is>
          <t>Holiday</t>
        </is>
      </c>
      <c r="E136" s="39" t="inlineStr">
        <is>
          <t>No</t>
        </is>
      </c>
      <c r="F136" s="47" t="n"/>
      <c r="G136" s="76" t="inlineStr">
        <is>
          <t>Yes</t>
        </is>
      </c>
      <c r="H136" s="77" t="inlineStr">
        <is>
          <t>Built-in</t>
        </is>
      </c>
      <c r="I136" s="78" t="inlineStr">
        <is>
          <t>hol:labor:2016</t>
        </is>
      </c>
    </row>
    <row r="137">
      <c r="A137" s="75" t="n">
        <v>42678</v>
      </c>
      <c r="B137" s="75" t="n"/>
      <c r="C137" t="inlineStr">
        <is>
          <t>Doctor Strange released</t>
        </is>
      </c>
      <c r="D137" s="39" t="inlineStr">
        <is>
          <t>Movie / trailer</t>
        </is>
      </c>
      <c r="E137" s="39" t="inlineStr">
        <is>
          <t>No</t>
        </is>
      </c>
      <c r="F137" s="47" t="inlineStr">
        <is>
          <t>Marvel - US date</t>
        </is>
      </c>
      <c r="G137" s="76" t="inlineStr">
        <is>
          <t>Yes</t>
        </is>
      </c>
      <c r="H137" s="77" t="inlineStr">
        <is>
          <t>Built-in</t>
        </is>
      </c>
      <c r="I137" s="78" t="inlineStr">
        <is>
          <t>rel:2016-11-04:Doctor Strange</t>
        </is>
      </c>
    </row>
    <row r="138">
      <c r="A138" s="75" t="n">
        <v>42692</v>
      </c>
      <c r="B138" s="75" t="n"/>
      <c r="C138" t="inlineStr">
        <is>
          <t>Fantastic Beasts and Where to Find Them released</t>
        </is>
      </c>
      <c r="D138" s="39" t="inlineStr">
        <is>
          <t>Movie / trailer</t>
        </is>
      </c>
      <c r="E138" s="39" t="inlineStr">
        <is>
          <t>No</t>
        </is>
      </c>
      <c r="F138" s="47" t="inlineStr">
        <is>
          <t>Harry Potter - US date</t>
        </is>
      </c>
      <c r="G138" s="76" t="inlineStr">
        <is>
          <t>Yes</t>
        </is>
      </c>
      <c r="H138" s="77" t="inlineStr">
        <is>
          <t>Built-in</t>
        </is>
      </c>
      <c r="I138" s="78" t="inlineStr">
        <is>
          <t>rel:2016-11-18:Fantastic Beasts and Whe</t>
        </is>
      </c>
    </row>
    <row r="139">
      <c r="A139" s="75" t="n">
        <v>42692</v>
      </c>
      <c r="B139" s="75" t="n"/>
      <c r="C139" t="inlineStr">
        <is>
          <t>Pokémon Sun and Moon released</t>
        </is>
      </c>
      <c r="D139" s="39" t="inlineStr">
        <is>
          <t>Game release</t>
        </is>
      </c>
      <c r="E139" s="39" t="inlineStr">
        <is>
          <t>No</t>
        </is>
      </c>
      <c r="F139" s="47" t="inlineStr">
        <is>
          <t>US date</t>
        </is>
      </c>
      <c r="G139" s="76" t="inlineStr">
        <is>
          <t>Yes</t>
        </is>
      </c>
      <c r="H139" s="77" t="inlineStr">
        <is>
          <t>Built-in</t>
        </is>
      </c>
      <c r="I139" s="78" t="inlineStr">
        <is>
          <t>game:2016-11-18:Pokémon Sun and Moon rel</t>
        </is>
      </c>
    </row>
    <row r="140">
      <c r="A140" s="75" t="n">
        <v>42697</v>
      </c>
      <c r="B140" s="75" t="n"/>
      <c r="C140" t="inlineStr">
        <is>
          <t>Moana released</t>
        </is>
      </c>
      <c r="D140" s="39" t="inlineStr">
        <is>
          <t>Movie / trailer</t>
        </is>
      </c>
      <c r="E140" s="39" t="inlineStr">
        <is>
          <t>No</t>
        </is>
      </c>
      <c r="F140" s="47" t="inlineStr">
        <is>
          <t>Disney - US date</t>
        </is>
      </c>
      <c r="G140" s="76" t="inlineStr">
        <is>
          <t>Yes</t>
        </is>
      </c>
      <c r="H140" s="77" t="inlineStr">
        <is>
          <t>Built-in</t>
        </is>
      </c>
      <c r="I140" s="78" t="inlineStr">
        <is>
          <t>rel:2016-11-23:Moana</t>
        </is>
      </c>
    </row>
    <row r="141">
      <c r="A141" s="75" t="n">
        <v>42698</v>
      </c>
      <c r="B141" s="75" t="n"/>
      <c r="C141" t="inlineStr">
        <is>
          <t>Thanksgiving</t>
        </is>
      </c>
      <c r="D141" s="39" t="inlineStr">
        <is>
          <t>Holiday</t>
        </is>
      </c>
      <c r="E141" s="39" t="inlineStr">
        <is>
          <t>No</t>
        </is>
      </c>
      <c r="F141" s="47" t="n"/>
      <c r="G141" s="76" t="inlineStr">
        <is>
          <t>Yes</t>
        </is>
      </c>
      <c r="H141" s="77" t="inlineStr">
        <is>
          <t>Built-in</t>
        </is>
      </c>
      <c r="I141" s="78" t="inlineStr">
        <is>
          <t>hol:thanks:2016</t>
        </is>
      </c>
    </row>
    <row r="142">
      <c r="A142" s="75" t="n">
        <v>42699</v>
      </c>
      <c r="B142" s="75" t="n"/>
      <c r="C142" t="inlineStr">
        <is>
          <t>Black Friday</t>
        </is>
      </c>
      <c r="D142" s="39" t="inlineStr">
        <is>
          <t>Holiday</t>
        </is>
      </c>
      <c r="E142" s="39" t="inlineStr">
        <is>
          <t>No</t>
        </is>
      </c>
      <c r="F142" s="47" t="n"/>
      <c r="G142" s="76" t="inlineStr">
        <is>
          <t>Yes</t>
        </is>
      </c>
      <c r="H142" s="77" t="inlineStr">
        <is>
          <t>Built-in</t>
        </is>
      </c>
      <c r="I142" s="78" t="inlineStr">
        <is>
          <t>hol:blackfri:2016</t>
        </is>
      </c>
    </row>
    <row r="143">
      <c r="A143" s="75" t="n">
        <v>42720</v>
      </c>
      <c r="B143" s="75" t="n"/>
      <c r="C143" t="inlineStr">
        <is>
          <t>Rogue One: A Star Wars Story released</t>
        </is>
      </c>
      <c r="D143" s="39" t="inlineStr">
        <is>
          <t>Movie / trailer</t>
        </is>
      </c>
      <c r="E143" s="39" t="inlineStr">
        <is>
          <t>No</t>
        </is>
      </c>
      <c r="F143" s="47" t="inlineStr">
        <is>
          <t>Star Wars - US date</t>
        </is>
      </c>
      <c r="G143" s="76" t="inlineStr">
        <is>
          <t>Yes</t>
        </is>
      </c>
      <c r="H143" s="77" t="inlineStr">
        <is>
          <t>Built-in</t>
        </is>
      </c>
      <c r="I143" s="78" t="inlineStr">
        <is>
          <t>rel:2016-12-16:Rogue One: A Star Wars S</t>
        </is>
      </c>
    </row>
    <row r="144">
      <c r="A144" s="75" t="n">
        <v>42731</v>
      </c>
      <c r="B144" s="75" t="n"/>
      <c r="C144" t="inlineStr">
        <is>
          <t>Carrie Fisher passes away (Princess Leia)</t>
        </is>
      </c>
      <c r="D144" s="39" t="inlineStr">
        <is>
          <t>Fandom</t>
        </is>
      </c>
      <c r="E144" s="39" t="inlineStr">
        <is>
          <t>No</t>
        </is>
      </c>
      <c r="F144" s="47" t="inlineStr">
        <is>
          <t>In memoriam</t>
        </is>
      </c>
      <c r="G144" s="76" t="inlineStr">
        <is>
          <t>Yes</t>
        </is>
      </c>
      <c r="H144" s="77" t="inlineStr">
        <is>
          <t>Built-in</t>
        </is>
      </c>
      <c r="I144" s="78" t="inlineStr">
        <is>
          <t>fan:mem:2016-12-27</t>
        </is>
      </c>
    </row>
    <row r="145">
      <c r="A145" s="75" t="n">
        <v>42751</v>
      </c>
      <c r="B145" s="75" t="n"/>
      <c r="C145" t="inlineStr">
        <is>
          <t>Martin Luther King Jr. Day</t>
        </is>
      </c>
      <c r="D145" s="39" t="inlineStr">
        <is>
          <t>Holiday</t>
        </is>
      </c>
      <c r="E145" s="39" t="inlineStr">
        <is>
          <t>No</t>
        </is>
      </c>
      <c r="F145" s="47" t="n"/>
      <c r="G145" s="76" t="inlineStr">
        <is>
          <t>Yes</t>
        </is>
      </c>
      <c r="H145" s="77" t="inlineStr">
        <is>
          <t>Built-in</t>
        </is>
      </c>
      <c r="I145" s="78" t="inlineStr">
        <is>
          <t>hol:mlk:2017</t>
        </is>
      </c>
    </row>
    <row r="146">
      <c r="A146" s="75" t="n">
        <v>42768</v>
      </c>
      <c r="B146" s="75" t="n"/>
      <c r="C146" t="inlineStr">
        <is>
          <t>Super Carlin Gaming: video #100</t>
        </is>
      </c>
      <c r="D146" s="39" t="inlineStr">
        <is>
          <t>SCB milestone</t>
        </is>
      </c>
      <c r="E146" s="39" t="inlineStr">
        <is>
          <t>No</t>
        </is>
      </c>
      <c r="F146" s="47" t="inlineStr">
        <is>
          <t>Castle Crashers #9: THE FINAL BATTLE</t>
        </is>
      </c>
      <c r="G146" s="76" t="inlineStr">
        <is>
          <t>Yes</t>
        </is>
      </c>
      <c r="H146" s="77" t="inlineStr">
        <is>
          <t>Built-in</t>
        </is>
      </c>
      <c r="I146" s="78" t="inlineStr">
        <is>
          <t>auto:n100:UCor_9jRnNNZVzTuQ92PKsaQ</t>
        </is>
      </c>
    </row>
    <row r="147">
      <c r="A147" s="75" t="n">
        <v>42771</v>
      </c>
      <c r="B147" s="75" t="n"/>
      <c r="C147" t="inlineStr">
        <is>
          <t>Super Bowl Sunday</t>
        </is>
      </c>
      <c r="D147" s="39" t="inlineStr">
        <is>
          <t>Holiday</t>
        </is>
      </c>
      <c r="E147" s="39" t="inlineStr">
        <is>
          <t>No</t>
        </is>
      </c>
      <c r="F147" s="47" t="n"/>
      <c r="G147" s="76" t="inlineStr">
        <is>
          <t>Yes</t>
        </is>
      </c>
      <c r="H147" s="77" t="inlineStr">
        <is>
          <t>Built-in</t>
        </is>
      </c>
      <c r="I147" s="78" t="inlineStr">
        <is>
          <t>hol:sb:2017</t>
        </is>
      </c>
    </row>
    <row r="148">
      <c r="A148" s="75" t="n">
        <v>42786</v>
      </c>
      <c r="B148" s="75" t="n"/>
      <c r="C148" t="inlineStr">
        <is>
          <t>Presidents' Day</t>
        </is>
      </c>
      <c r="D148" s="39" t="inlineStr">
        <is>
          <t>Holiday</t>
        </is>
      </c>
      <c r="E148" s="39" t="inlineStr">
        <is>
          <t>No</t>
        </is>
      </c>
      <c r="F148" s="47" t="n"/>
      <c r="G148" s="76" t="inlineStr">
        <is>
          <t>Yes</t>
        </is>
      </c>
      <c r="H148" s="77" t="inlineStr">
        <is>
          <t>Built-in</t>
        </is>
      </c>
      <c r="I148" s="78" t="inlineStr">
        <is>
          <t>hol:pres:2017</t>
        </is>
      </c>
    </row>
    <row r="149">
      <c r="A149" s="75" t="n">
        <v>42792</v>
      </c>
      <c r="B149" s="75" t="n"/>
      <c r="C149" t="inlineStr">
        <is>
          <t>The Oscars</t>
        </is>
      </c>
      <c r="D149" s="39" t="inlineStr">
        <is>
          <t>Holiday</t>
        </is>
      </c>
      <c r="E149" s="39" t="inlineStr">
        <is>
          <t>No</t>
        </is>
      </c>
      <c r="F149" s="47" t="inlineStr">
        <is>
          <t>Academy Awards ceremony</t>
        </is>
      </c>
      <c r="G149" s="76" t="inlineStr">
        <is>
          <t>Yes</t>
        </is>
      </c>
      <c r="H149" s="77" t="inlineStr">
        <is>
          <t>Built-in</t>
        </is>
      </c>
      <c r="I149" s="78" t="inlineStr">
        <is>
          <t>hol:oscars:2017</t>
        </is>
      </c>
    </row>
    <row r="150">
      <c r="A150" s="75" t="n">
        <v>42797</v>
      </c>
      <c r="B150" s="75" t="n"/>
      <c r="C150" t="inlineStr">
        <is>
          <t>Nintendo Switch and Zelda: Breath of the Wild released</t>
        </is>
      </c>
      <c r="D150" s="39" t="inlineStr">
        <is>
          <t>Game release</t>
        </is>
      </c>
      <c r="E150" s="39" t="inlineStr">
        <is>
          <t>No</t>
        </is>
      </c>
      <c r="F150" s="47" t="inlineStr">
        <is>
          <t>US date</t>
        </is>
      </c>
      <c r="G150" s="76" t="inlineStr">
        <is>
          <t>Yes</t>
        </is>
      </c>
      <c r="H150" s="77" t="inlineStr">
        <is>
          <t>Built-in</t>
        </is>
      </c>
      <c r="I150" s="78" t="inlineStr">
        <is>
          <t>game:2017-03-03:Nintendo Switch and Zeld</t>
        </is>
      </c>
    </row>
    <row r="151">
      <c r="A151" s="75" t="n">
        <v>42811</v>
      </c>
      <c r="B151" s="75" t="n"/>
      <c r="C151" t="inlineStr">
        <is>
          <t>Beauty and the Beast (live-action) released</t>
        </is>
      </c>
      <c r="D151" s="39" t="inlineStr">
        <is>
          <t>Movie / trailer</t>
        </is>
      </c>
      <c r="E151" s="39" t="inlineStr">
        <is>
          <t>No</t>
        </is>
      </c>
      <c r="F151" s="47" t="inlineStr">
        <is>
          <t>Disney - US date</t>
        </is>
      </c>
      <c r="G151" s="76" t="inlineStr">
        <is>
          <t>Yes</t>
        </is>
      </c>
      <c r="H151" s="77" t="inlineStr">
        <is>
          <t>Built-in</t>
        </is>
      </c>
      <c r="I151" s="78" t="inlineStr">
        <is>
          <t>rel:2017-03-17:Beauty and the Beast (li</t>
        </is>
      </c>
    </row>
    <row r="152">
      <c r="A152" s="75" t="n">
        <v>42838</v>
      </c>
      <c r="B152" s="75" t="n">
        <v>42841</v>
      </c>
      <c r="C152" t="inlineStr">
        <is>
          <t>Star Wars Celebration (Orlando)</t>
        </is>
      </c>
      <c r="D152" s="39" t="inlineStr">
        <is>
          <t>Movie / trailer</t>
        </is>
      </c>
      <c r="E152" s="39" t="inlineStr">
        <is>
          <t>No</t>
        </is>
      </c>
      <c r="F152" s="47" t="inlineStr">
        <is>
          <t>Lucasfilm fan convention - trailers and reveals</t>
        </is>
      </c>
      <c r="G152" s="76" t="inlineStr">
        <is>
          <t>Yes</t>
        </is>
      </c>
      <c r="H152" s="77" t="inlineStr">
        <is>
          <t>Built-in</t>
        </is>
      </c>
      <c r="I152" s="78" t="inlineStr">
        <is>
          <t>con:swc:2017</t>
        </is>
      </c>
    </row>
    <row r="153">
      <c r="A153" s="75" t="n">
        <v>42839</v>
      </c>
      <c r="B153" s="75" t="n"/>
      <c r="C153" t="inlineStr">
        <is>
          <t>The Last Jedi - first teaser trailer</t>
        </is>
      </c>
      <c r="D153" s="39" t="inlineStr">
        <is>
          <t>Movie / trailer</t>
        </is>
      </c>
      <c r="E153" s="39" t="inlineStr">
        <is>
          <t>No</t>
        </is>
      </c>
      <c r="F153" s="47" t="inlineStr">
        <is>
          <t>Star Wars - US date (trailer)</t>
        </is>
      </c>
      <c r="G153" s="76" t="inlineStr">
        <is>
          <t>Yes</t>
        </is>
      </c>
      <c r="H153" s="77" t="inlineStr">
        <is>
          <t>Built-in</t>
        </is>
      </c>
      <c r="I153" s="78" t="inlineStr">
        <is>
          <t>rel:2017-04-14:The Last Jedi - first te</t>
        </is>
      </c>
    </row>
    <row r="154">
      <c r="A154" s="75" t="n">
        <v>42841</v>
      </c>
      <c r="B154" s="75" t="n"/>
      <c r="C154" t="inlineStr">
        <is>
          <t>Easter Sunday</t>
        </is>
      </c>
      <c r="D154" s="39" t="inlineStr">
        <is>
          <t>Holiday</t>
        </is>
      </c>
      <c r="E154" s="39" t="inlineStr">
        <is>
          <t>No</t>
        </is>
      </c>
      <c r="F154" s="47" t="n"/>
      <c r="G154" s="76" t="inlineStr">
        <is>
          <t>Yes</t>
        </is>
      </c>
      <c r="H154" s="77" t="inlineStr">
        <is>
          <t>Built-in</t>
        </is>
      </c>
      <c r="I154" s="78" t="inlineStr">
        <is>
          <t>hol:easter:2017</t>
        </is>
      </c>
    </row>
    <row r="155">
      <c r="A155" s="75" t="n">
        <v>42853</v>
      </c>
      <c r="B155" s="75" t="n"/>
      <c r="C155" t="inlineStr">
        <is>
          <t>Mario Kart 8 Deluxe released</t>
        </is>
      </c>
      <c r="D155" s="39" t="inlineStr">
        <is>
          <t>Game release</t>
        </is>
      </c>
      <c r="E155" s="39" t="inlineStr">
        <is>
          <t>No</t>
        </is>
      </c>
      <c r="F155" s="47" t="inlineStr">
        <is>
          <t>US date</t>
        </is>
      </c>
      <c r="G155" s="76" t="inlineStr">
        <is>
          <t>Yes</t>
        </is>
      </c>
      <c r="H155" s="77" t="inlineStr">
        <is>
          <t>Built-in</t>
        </is>
      </c>
      <c r="I155" s="78" t="inlineStr">
        <is>
          <t>game:2017-04-28:Mario Kart 8 Deluxe rele</t>
        </is>
      </c>
    </row>
    <row r="156">
      <c r="A156" s="75" t="n">
        <v>42860</v>
      </c>
      <c r="B156" s="75" t="n"/>
      <c r="C156" t="inlineStr">
        <is>
          <t>Guardians of the Galaxy Vol. 2 released</t>
        </is>
      </c>
      <c r="D156" s="39" t="inlineStr">
        <is>
          <t>Movie / trailer</t>
        </is>
      </c>
      <c r="E156" s="39" t="inlineStr">
        <is>
          <t>No</t>
        </is>
      </c>
      <c r="F156" s="47" t="inlineStr">
        <is>
          <t>Marvel - US date</t>
        </is>
      </c>
      <c r="G156" s="76" t="inlineStr">
        <is>
          <t>Yes</t>
        </is>
      </c>
      <c r="H156" s="77" t="inlineStr">
        <is>
          <t>Built-in</t>
        </is>
      </c>
      <c r="I156" s="78" t="inlineStr">
        <is>
          <t xml:space="preserve">rel:2017-05-05:Guardians of the Galaxy </t>
        </is>
      </c>
    </row>
    <row r="157">
      <c r="A157" s="75" t="n">
        <v>42869</v>
      </c>
      <c r="B157" s="75" t="n"/>
      <c r="C157" t="inlineStr">
        <is>
          <t>Mother's Day</t>
        </is>
      </c>
      <c r="D157" s="39" t="inlineStr">
        <is>
          <t>Holiday</t>
        </is>
      </c>
      <c r="E157" s="39" t="inlineStr">
        <is>
          <t>No</t>
        </is>
      </c>
      <c r="F157" s="47" t="n"/>
      <c r="G157" s="76" t="inlineStr">
        <is>
          <t>Yes</t>
        </is>
      </c>
      <c r="H157" s="77" t="inlineStr">
        <is>
          <t>Built-in</t>
        </is>
      </c>
      <c r="I157" s="78" t="inlineStr">
        <is>
          <t>hol:mothers:2017</t>
        </is>
      </c>
    </row>
    <row r="158">
      <c r="A158" s="75" t="n">
        <v>42884</v>
      </c>
      <c r="B158" s="75" t="n"/>
      <c r="C158" t="inlineStr">
        <is>
          <t>Memorial Day</t>
        </is>
      </c>
      <c r="D158" s="39" t="inlineStr">
        <is>
          <t>Holiday</t>
        </is>
      </c>
      <c r="E158" s="39" t="inlineStr">
        <is>
          <t>No</t>
        </is>
      </c>
      <c r="F158" s="47" t="n"/>
      <c r="G158" s="76" t="inlineStr">
        <is>
          <t>Yes</t>
        </is>
      </c>
      <c r="H158" s="77" t="inlineStr">
        <is>
          <t>Built-in</t>
        </is>
      </c>
      <c r="I158" s="78" t="inlineStr">
        <is>
          <t>hol:memorial:2017</t>
        </is>
      </c>
    </row>
    <row r="159">
      <c r="A159" s="75" t="n">
        <v>42902</v>
      </c>
      <c r="B159" s="75" t="n"/>
      <c r="C159" t="inlineStr">
        <is>
          <t>Cars 3 released</t>
        </is>
      </c>
      <c r="D159" s="39" t="inlineStr">
        <is>
          <t>Movie / trailer</t>
        </is>
      </c>
      <c r="E159" s="39" t="inlineStr">
        <is>
          <t>No</t>
        </is>
      </c>
      <c r="F159" s="47" t="inlineStr">
        <is>
          <t>Pixar - US date</t>
        </is>
      </c>
      <c r="G159" s="76" t="inlineStr">
        <is>
          <t>Yes</t>
        </is>
      </c>
      <c r="H159" s="77" t="inlineStr">
        <is>
          <t>Built-in</t>
        </is>
      </c>
      <c r="I159" s="78" t="inlineStr">
        <is>
          <t>rel:2017-06-16:Cars 3</t>
        </is>
      </c>
    </row>
    <row r="160">
      <c r="A160" s="75" t="n">
        <v>42904</v>
      </c>
      <c r="B160" s="75" t="n"/>
      <c r="C160" t="inlineStr">
        <is>
          <t>Father's Day</t>
        </is>
      </c>
      <c r="D160" s="39" t="inlineStr">
        <is>
          <t>Holiday</t>
        </is>
      </c>
      <c r="E160" s="39" t="inlineStr">
        <is>
          <t>No</t>
        </is>
      </c>
      <c r="F160" s="47" t="n"/>
      <c r="G160" s="76" t="inlineStr">
        <is>
          <t>Yes</t>
        </is>
      </c>
      <c r="H160" s="77" t="inlineStr">
        <is>
          <t>Built-in</t>
        </is>
      </c>
      <c r="I160" s="78" t="inlineStr">
        <is>
          <t>hol:fathers:2017</t>
        </is>
      </c>
    </row>
    <row r="161">
      <c r="A161" s="75" t="n">
        <v>42923</v>
      </c>
      <c r="B161" s="75" t="n"/>
      <c r="C161" t="inlineStr">
        <is>
          <t>Spider-Man: Homecoming released</t>
        </is>
      </c>
      <c r="D161" s="39" t="inlineStr">
        <is>
          <t>Movie / trailer</t>
        </is>
      </c>
      <c r="E161" s="39" t="inlineStr">
        <is>
          <t>No</t>
        </is>
      </c>
      <c r="F161" s="47" t="inlineStr">
        <is>
          <t>Marvel - US date</t>
        </is>
      </c>
      <c r="G161" s="76" t="inlineStr">
        <is>
          <t>Yes</t>
        </is>
      </c>
      <c r="H161" s="77" t="inlineStr">
        <is>
          <t>Built-in</t>
        </is>
      </c>
      <c r="I161" s="78" t="inlineStr">
        <is>
          <t>rel:2017-07-07:Spider-Man: Homecoming</t>
        </is>
      </c>
    </row>
    <row r="162">
      <c r="A162" s="75" t="n">
        <v>42930</v>
      </c>
      <c r="B162" s="75" t="n">
        <v>42932</v>
      </c>
      <c r="C162" t="inlineStr">
        <is>
          <t>D23 Expo (Disney fan event)</t>
        </is>
      </c>
      <c r="D162" s="39" t="inlineStr">
        <is>
          <t>Movie / trailer</t>
        </is>
      </c>
      <c r="E162" s="39" t="inlineStr">
        <is>
          <t>No</t>
        </is>
      </c>
      <c r="F162" s="47" t="inlineStr">
        <is>
          <t>Disney, Pixar, Marvel and Lucasfilm announcements</t>
        </is>
      </c>
      <c r="G162" s="76" t="inlineStr">
        <is>
          <t>Yes</t>
        </is>
      </c>
      <c r="H162" s="77" t="inlineStr">
        <is>
          <t>Built-in</t>
        </is>
      </c>
      <c r="I162" s="78" t="inlineStr">
        <is>
          <t>con:d23:2017</t>
        </is>
      </c>
    </row>
    <row r="163">
      <c r="A163" s="75" t="n">
        <v>42936</v>
      </c>
      <c r="B163" s="75" t="n">
        <v>42939</v>
      </c>
      <c r="C163" t="inlineStr">
        <is>
          <t>San Diego Comic-Con</t>
        </is>
      </c>
      <c r="D163" s="39" t="inlineStr">
        <is>
          <t>Movie / trailer</t>
        </is>
      </c>
      <c r="E163" s="39" t="inlineStr">
        <is>
          <t>No</t>
        </is>
      </c>
      <c r="F163" s="47" t="inlineStr">
        <is>
          <t>Big trailer and announcement reveals (Marvel, Star Wars, Disney, Harry Potter)</t>
        </is>
      </c>
      <c r="G163" s="76" t="inlineStr">
        <is>
          <t>Yes</t>
        </is>
      </c>
      <c r="H163" s="77" t="inlineStr">
        <is>
          <t>Built-in</t>
        </is>
      </c>
      <c r="I163" s="78" t="inlineStr">
        <is>
          <t>con:sdcc:2017</t>
        </is>
      </c>
    </row>
    <row r="164">
      <c r="A164" s="75" t="n">
        <v>42982</v>
      </c>
      <c r="B164" s="75" t="n"/>
      <c r="C164" t="inlineStr">
        <is>
          <t>Labor Day</t>
        </is>
      </c>
      <c r="D164" s="39" t="inlineStr">
        <is>
          <t>Holiday</t>
        </is>
      </c>
      <c r="E164" s="39" t="inlineStr">
        <is>
          <t>No</t>
        </is>
      </c>
      <c r="F164" s="47" t="n"/>
      <c r="G164" s="76" t="inlineStr">
        <is>
          <t>Yes</t>
        </is>
      </c>
      <c r="H164" s="77" t="inlineStr">
        <is>
          <t>Built-in</t>
        </is>
      </c>
      <c r="I164" s="78" t="inlineStr">
        <is>
          <t>hol:labor:2017</t>
        </is>
      </c>
    </row>
    <row r="165">
      <c r="A165" s="75" t="n">
        <v>43039</v>
      </c>
      <c r="B165" s="75" t="n"/>
      <c r="C165" t="inlineStr">
        <is>
          <t>Jonathan Carlin: first video in the library</t>
        </is>
      </c>
      <c r="D165" s="39" t="inlineStr">
        <is>
          <t>SCB milestone</t>
        </is>
      </c>
      <c r="E165" s="39" t="inlineStr">
        <is>
          <t>No</t>
        </is>
      </c>
      <c r="F165" s="47" t="inlineStr">
        <is>
          <t>BEER MILE</t>
        </is>
      </c>
      <c r="G165" s="76" t="inlineStr">
        <is>
          <t>Yes</t>
        </is>
      </c>
      <c r="H165" s="77" t="inlineStr">
        <is>
          <t>Built-in</t>
        </is>
      </c>
      <c r="I165" s="78" t="inlineStr">
        <is>
          <t>auto:first:UCYPKFe86e6nm4TVUYKLsFUQ</t>
        </is>
      </c>
    </row>
    <row r="166">
      <c r="A166" s="75" t="n">
        <v>43042</v>
      </c>
      <c r="B166" s="75" t="n"/>
      <c r="C166" t="inlineStr">
        <is>
          <t>Thor: Ragnarok released</t>
        </is>
      </c>
      <c r="D166" s="39" t="inlineStr">
        <is>
          <t>Movie / trailer</t>
        </is>
      </c>
      <c r="E166" s="39" t="inlineStr">
        <is>
          <t>No</t>
        </is>
      </c>
      <c r="F166" s="47" t="inlineStr">
        <is>
          <t>Marvel - US date</t>
        </is>
      </c>
      <c r="G166" s="76" t="inlineStr">
        <is>
          <t>Yes</t>
        </is>
      </c>
      <c r="H166" s="77" t="inlineStr">
        <is>
          <t>Built-in</t>
        </is>
      </c>
      <c r="I166" s="78" t="inlineStr">
        <is>
          <t>rel:2017-11-03:Thor: Ragnarok</t>
        </is>
      </c>
    </row>
    <row r="167">
      <c r="A167" s="75" t="n">
        <v>43061</v>
      </c>
      <c r="B167" s="75" t="n"/>
      <c r="C167" t="inlineStr">
        <is>
          <t>Coco released</t>
        </is>
      </c>
      <c r="D167" s="39" t="inlineStr">
        <is>
          <t>Movie / trailer</t>
        </is>
      </c>
      <c r="E167" s="39" t="inlineStr">
        <is>
          <t>No</t>
        </is>
      </c>
      <c r="F167" s="47" t="inlineStr">
        <is>
          <t>Pixar - US date</t>
        </is>
      </c>
      <c r="G167" s="76" t="inlineStr">
        <is>
          <t>Yes</t>
        </is>
      </c>
      <c r="H167" s="77" t="inlineStr">
        <is>
          <t>Built-in</t>
        </is>
      </c>
      <c r="I167" s="78" t="inlineStr">
        <is>
          <t>rel:2017-11-22:Coco</t>
        </is>
      </c>
    </row>
    <row r="168">
      <c r="A168" s="75" t="n">
        <v>43062</v>
      </c>
      <c r="B168" s="75" t="n"/>
      <c r="C168" t="inlineStr">
        <is>
          <t>Thanksgiving</t>
        </is>
      </c>
      <c r="D168" s="39" t="inlineStr">
        <is>
          <t>Holiday</t>
        </is>
      </c>
      <c r="E168" s="39" t="inlineStr">
        <is>
          <t>No</t>
        </is>
      </c>
      <c r="F168" s="47" t="n"/>
      <c r="G168" s="76" t="inlineStr">
        <is>
          <t>Yes</t>
        </is>
      </c>
      <c r="H168" s="77" t="inlineStr">
        <is>
          <t>Built-in</t>
        </is>
      </c>
      <c r="I168" s="78" t="inlineStr">
        <is>
          <t>hol:thanks:2017</t>
        </is>
      </c>
    </row>
    <row r="169">
      <c r="A169" s="75" t="n">
        <v>43063</v>
      </c>
      <c r="B169" s="75" t="n"/>
      <c r="C169" t="inlineStr">
        <is>
          <t>Black Friday</t>
        </is>
      </c>
      <c r="D169" s="39" t="inlineStr">
        <is>
          <t>Holiday</t>
        </is>
      </c>
      <c r="E169" s="39" t="inlineStr">
        <is>
          <t>No</t>
        </is>
      </c>
      <c r="F169" s="47" t="n"/>
      <c r="G169" s="76" t="inlineStr">
        <is>
          <t>Yes</t>
        </is>
      </c>
      <c r="H169" s="77" t="inlineStr">
        <is>
          <t>Built-in</t>
        </is>
      </c>
      <c r="I169" s="78" t="inlineStr">
        <is>
          <t>hol:blackfri:2017</t>
        </is>
      </c>
    </row>
    <row r="170">
      <c r="A170" s="75" t="n">
        <v>43068</v>
      </c>
      <c r="B170" s="75" t="n"/>
      <c r="C170" t="inlineStr">
        <is>
          <t>Avengers: Infinity War - first trailer</t>
        </is>
      </c>
      <c r="D170" s="39" t="inlineStr">
        <is>
          <t>Movie / trailer</t>
        </is>
      </c>
      <c r="E170" s="39" t="inlineStr">
        <is>
          <t>No</t>
        </is>
      </c>
      <c r="F170" s="47" t="inlineStr">
        <is>
          <t>Marvel - US date (trailer)</t>
        </is>
      </c>
      <c r="G170" s="76" t="inlineStr">
        <is>
          <t>Yes</t>
        </is>
      </c>
      <c r="H170" s="77" t="inlineStr">
        <is>
          <t>Built-in</t>
        </is>
      </c>
      <c r="I170" s="78" t="inlineStr">
        <is>
          <t>rel:2017-11-29:Avengers: Infinity War -</t>
        </is>
      </c>
    </row>
    <row r="171">
      <c r="A171" s="75" t="n">
        <v>43075</v>
      </c>
      <c r="B171" s="75" t="n"/>
      <c r="C171" t="inlineStr">
        <is>
          <t>Getting Over It with Bennett Foddy released</t>
        </is>
      </c>
      <c r="D171" s="39" t="inlineStr">
        <is>
          <t>Game release</t>
        </is>
      </c>
      <c r="E171" s="39" t="inlineStr">
        <is>
          <t>No</t>
        </is>
      </c>
      <c r="F171" s="47" t="inlineStr">
        <is>
          <t>US date</t>
        </is>
      </c>
      <c r="G171" s="76" t="inlineStr">
        <is>
          <t>Yes</t>
        </is>
      </c>
      <c r="H171" s="77" t="inlineStr">
        <is>
          <t>Built-in</t>
        </is>
      </c>
      <c r="I171" s="78" t="inlineStr">
        <is>
          <t>game:2017-12-06:Getting Over It with Ben</t>
        </is>
      </c>
    </row>
    <row r="172">
      <c r="A172" s="75" t="n">
        <v>43084</v>
      </c>
      <c r="B172" s="75" t="n"/>
      <c r="C172" t="inlineStr">
        <is>
          <t>Star Wars: The Last Jedi released</t>
        </is>
      </c>
      <c r="D172" s="39" t="inlineStr">
        <is>
          <t>Movie / trailer</t>
        </is>
      </c>
      <c r="E172" s="39" t="inlineStr">
        <is>
          <t>No</t>
        </is>
      </c>
      <c r="F172" s="47" t="inlineStr">
        <is>
          <t>Star Wars - US date</t>
        </is>
      </c>
      <c r="G172" s="76" t="inlineStr">
        <is>
          <t>Yes</t>
        </is>
      </c>
      <c r="H172" s="77" t="inlineStr">
        <is>
          <t>Built-in</t>
        </is>
      </c>
      <c r="I172" s="78" t="inlineStr">
        <is>
          <t>rel:2017-12-15:Star Wars: The Last Jedi</t>
        </is>
      </c>
    </row>
    <row r="173">
      <c r="A173" s="75" t="n">
        <v>43087</v>
      </c>
      <c r="B173" s="75" t="n"/>
      <c r="C173" t="inlineStr">
        <is>
          <t>J &amp; Beth welcome their first child (announced)</t>
        </is>
      </c>
      <c r="D173" s="39" t="inlineStr">
        <is>
          <t>Carlin life</t>
        </is>
      </c>
      <c r="E173" s="39" t="inlineStr">
        <is>
          <t>No</t>
        </is>
      </c>
      <c r="F173" s="47" t="inlineStr">
        <is>
          <t>Announced in the video 'MY SON IS BORN'</t>
        </is>
      </c>
      <c r="G173" s="76" t="inlineStr">
        <is>
          <t>Yes</t>
        </is>
      </c>
      <c r="H173" s="77" t="inlineStr">
        <is>
          <t>Built-in</t>
        </is>
      </c>
      <c r="I173" s="78" t="inlineStr">
        <is>
          <t>life:2017-12-18</t>
        </is>
      </c>
    </row>
    <row r="174">
      <c r="A174" s="75" t="n">
        <v>43115</v>
      </c>
      <c r="B174" s="75" t="n"/>
      <c r="C174" t="inlineStr">
        <is>
          <t>Martin Luther King Jr. Day</t>
        </is>
      </c>
      <c r="D174" s="39" t="inlineStr">
        <is>
          <t>Holiday</t>
        </is>
      </c>
      <c r="E174" s="39" t="inlineStr">
        <is>
          <t>No</t>
        </is>
      </c>
      <c r="F174" s="47" t="n"/>
      <c r="G174" s="76" t="inlineStr">
        <is>
          <t>Yes</t>
        </is>
      </c>
      <c r="H174" s="77" t="inlineStr">
        <is>
          <t>Built-in</t>
        </is>
      </c>
      <c r="I174" s="78" t="inlineStr">
        <is>
          <t>hol:mlk:2018</t>
        </is>
      </c>
    </row>
    <row r="175">
      <c r="A175" s="75" t="n">
        <v>43116</v>
      </c>
      <c r="B175" s="75" t="n"/>
      <c r="C175" t="inlineStr">
        <is>
          <t>Super Carlin Gaming: video #250</t>
        </is>
      </c>
      <c r="D175" s="39" t="inlineStr">
        <is>
          <t>SCB milestone</t>
        </is>
      </c>
      <c r="E175" s="39" t="inlineStr">
        <is>
          <t>No</t>
        </is>
      </c>
      <c r="F175" s="47" t="inlineStr">
        <is>
          <t>Mario Kart Roulette #63: Public Speaking</t>
        </is>
      </c>
      <c r="G175" s="76" t="inlineStr">
        <is>
          <t>Yes</t>
        </is>
      </c>
      <c r="H175" s="77" t="inlineStr">
        <is>
          <t>Built-in</t>
        </is>
      </c>
      <c r="I175" s="78" t="inlineStr">
        <is>
          <t>auto:n250:UCor_9jRnNNZVzTuQ92PKsaQ</t>
        </is>
      </c>
    </row>
    <row r="176">
      <c r="A176" s="75" t="n">
        <v>43135</v>
      </c>
      <c r="B176" s="75" t="n"/>
      <c r="C176" t="inlineStr">
        <is>
          <t>Super Bowl Sunday</t>
        </is>
      </c>
      <c r="D176" s="39" t="inlineStr">
        <is>
          <t>Holiday</t>
        </is>
      </c>
      <c r="E176" s="39" t="inlineStr">
        <is>
          <t>No</t>
        </is>
      </c>
      <c r="F176" s="47" t="n"/>
      <c r="G176" s="76" t="inlineStr">
        <is>
          <t>Yes</t>
        </is>
      </c>
      <c r="H176" s="77" t="inlineStr">
        <is>
          <t>Built-in</t>
        </is>
      </c>
      <c r="I176" s="78" t="inlineStr">
        <is>
          <t>hol:sb:2018</t>
        </is>
      </c>
    </row>
    <row r="177">
      <c r="A177" s="75" t="n">
        <v>43147</v>
      </c>
      <c r="B177" s="75" t="n"/>
      <c r="C177" t="inlineStr">
        <is>
          <t>Black Panther released</t>
        </is>
      </c>
      <c r="D177" s="39" t="inlineStr">
        <is>
          <t>Movie / trailer</t>
        </is>
      </c>
      <c r="E177" s="39" t="inlineStr">
        <is>
          <t>No</t>
        </is>
      </c>
      <c r="F177" s="47" t="inlineStr">
        <is>
          <t>Marvel - US date</t>
        </is>
      </c>
      <c r="G177" s="76" t="inlineStr">
        <is>
          <t>Yes</t>
        </is>
      </c>
      <c r="H177" s="77" t="inlineStr">
        <is>
          <t>Built-in</t>
        </is>
      </c>
      <c r="I177" s="78" t="inlineStr">
        <is>
          <t>rel:2018-02-16:Black Panther</t>
        </is>
      </c>
    </row>
    <row r="178">
      <c r="A178" s="75" t="n">
        <v>43150</v>
      </c>
      <c r="B178" s="75" t="n"/>
      <c r="C178" t="inlineStr">
        <is>
          <t>Presidents' Day</t>
        </is>
      </c>
      <c r="D178" s="39" t="inlineStr">
        <is>
          <t>Holiday</t>
        </is>
      </c>
      <c r="E178" s="39" t="inlineStr">
        <is>
          <t>No</t>
        </is>
      </c>
      <c r="F178" s="47" t="n"/>
      <c r="G178" s="76" t="inlineStr">
        <is>
          <t>Yes</t>
        </is>
      </c>
      <c r="H178" s="77" t="inlineStr">
        <is>
          <t>Built-in</t>
        </is>
      </c>
      <c r="I178" s="78" t="inlineStr">
        <is>
          <t>hol:pres:2018</t>
        </is>
      </c>
    </row>
    <row r="179">
      <c r="A179" s="75" t="n">
        <v>43163</v>
      </c>
      <c r="B179" s="75" t="n"/>
      <c r="C179" t="inlineStr">
        <is>
          <t>The Oscars</t>
        </is>
      </c>
      <c r="D179" s="39" t="inlineStr">
        <is>
          <t>Holiday</t>
        </is>
      </c>
      <c r="E179" s="39" t="inlineStr">
        <is>
          <t>No</t>
        </is>
      </c>
      <c r="F179" s="47" t="inlineStr">
        <is>
          <t>Academy Awards ceremony</t>
        </is>
      </c>
      <c r="G179" s="76" t="inlineStr">
        <is>
          <t>Yes</t>
        </is>
      </c>
      <c r="H179" s="77" t="inlineStr">
        <is>
          <t>Built-in</t>
        </is>
      </c>
      <c r="I179" s="78" t="inlineStr">
        <is>
          <t>hol:oscars:2018</t>
        </is>
      </c>
    </row>
    <row r="180">
      <c r="A180" s="75" t="n">
        <v>43191</v>
      </c>
      <c r="B180" s="75" t="n"/>
      <c r="C180" t="inlineStr">
        <is>
          <t>Easter Sunday</t>
        </is>
      </c>
      <c r="D180" s="39" t="inlineStr">
        <is>
          <t>Holiday</t>
        </is>
      </c>
      <c r="E180" s="39" t="inlineStr">
        <is>
          <t>No</t>
        </is>
      </c>
      <c r="F180" s="47" t="n"/>
      <c r="G180" s="76" t="inlineStr">
        <is>
          <t>Yes</t>
        </is>
      </c>
      <c r="H180" s="77" t="inlineStr">
        <is>
          <t>Built-in</t>
        </is>
      </c>
      <c r="I180" s="78" t="inlineStr">
        <is>
          <t>hol:easter:2018</t>
        </is>
      </c>
    </row>
    <row r="181">
      <c r="A181" s="75" t="n">
        <v>43217</v>
      </c>
      <c r="B181" s="75" t="n"/>
      <c r="C181" t="inlineStr">
        <is>
          <t>Avengers: Infinity War released</t>
        </is>
      </c>
      <c r="D181" s="39" t="inlineStr">
        <is>
          <t>Movie / trailer</t>
        </is>
      </c>
      <c r="E181" s="39" t="inlineStr">
        <is>
          <t>No</t>
        </is>
      </c>
      <c r="F181" s="47" t="inlineStr">
        <is>
          <t>Marvel - US date</t>
        </is>
      </c>
      <c r="G181" s="76" t="inlineStr">
        <is>
          <t>Yes</t>
        </is>
      </c>
      <c r="H181" s="77" t="inlineStr">
        <is>
          <t>Built-in</t>
        </is>
      </c>
      <c r="I181" s="78" t="inlineStr">
        <is>
          <t>rel:2018-04-27:Avengers: Infinity War</t>
        </is>
      </c>
    </row>
    <row r="182">
      <c r="A182" s="75" t="n">
        <v>43233</v>
      </c>
      <c r="B182" s="75" t="n"/>
      <c r="C182" t="inlineStr">
        <is>
          <t>Mother's Day</t>
        </is>
      </c>
      <c r="D182" s="39" t="inlineStr">
        <is>
          <t>Holiday</t>
        </is>
      </c>
      <c r="E182" s="39" t="inlineStr">
        <is>
          <t>No</t>
        </is>
      </c>
      <c r="F182" s="47" t="n"/>
      <c r="G182" s="76" t="inlineStr">
        <is>
          <t>Yes</t>
        </is>
      </c>
      <c r="H182" s="77" t="inlineStr">
        <is>
          <t>Built-in</t>
        </is>
      </c>
      <c r="I182" s="78" t="inlineStr">
        <is>
          <t>hol:mothers:2018</t>
        </is>
      </c>
    </row>
    <row r="183">
      <c r="A183" s="75" t="n">
        <v>43245</v>
      </c>
      <c r="B183" s="75" t="n"/>
      <c r="C183" t="inlineStr">
        <is>
          <t>Solo: A Star Wars Story released</t>
        </is>
      </c>
      <c r="D183" s="39" t="inlineStr">
        <is>
          <t>Movie / trailer</t>
        </is>
      </c>
      <c r="E183" s="39" t="inlineStr">
        <is>
          <t>No</t>
        </is>
      </c>
      <c r="F183" s="47" t="inlineStr">
        <is>
          <t>Star Wars - US date</t>
        </is>
      </c>
      <c r="G183" s="76" t="inlineStr">
        <is>
          <t>Yes</t>
        </is>
      </c>
      <c r="H183" s="77" t="inlineStr">
        <is>
          <t>Built-in</t>
        </is>
      </c>
      <c r="I183" s="78" t="inlineStr">
        <is>
          <t>rel:2018-05-25:Solo: A Star Wars Story</t>
        </is>
      </c>
    </row>
    <row r="184">
      <c r="A184" s="75" t="n">
        <v>43248</v>
      </c>
      <c r="B184" s="75" t="n"/>
      <c r="C184" t="inlineStr">
        <is>
          <t>Memorial Day</t>
        </is>
      </c>
      <c r="D184" s="39" t="inlineStr">
        <is>
          <t>Holiday</t>
        </is>
      </c>
      <c r="E184" s="39" t="inlineStr">
        <is>
          <t>No</t>
        </is>
      </c>
      <c r="F184" s="47" t="n"/>
      <c r="G184" s="76" t="inlineStr">
        <is>
          <t>Yes</t>
        </is>
      </c>
      <c r="H184" s="77" t="inlineStr">
        <is>
          <t>Built-in</t>
        </is>
      </c>
      <c r="I184" s="78" t="inlineStr">
        <is>
          <t>hol:memorial:2018</t>
        </is>
      </c>
    </row>
    <row r="185">
      <c r="A185" s="75" t="n">
        <v>43266</v>
      </c>
      <c r="B185" s="75" t="n"/>
      <c r="C185" t="inlineStr">
        <is>
          <t>Incredibles 2 released</t>
        </is>
      </c>
      <c r="D185" s="39" t="inlineStr">
        <is>
          <t>Movie / trailer</t>
        </is>
      </c>
      <c r="E185" s="39" t="inlineStr">
        <is>
          <t>No</t>
        </is>
      </c>
      <c r="F185" s="47" t="inlineStr">
        <is>
          <t>Pixar - US date</t>
        </is>
      </c>
      <c r="G185" s="76" t="inlineStr">
        <is>
          <t>Yes</t>
        </is>
      </c>
      <c r="H185" s="77" t="inlineStr">
        <is>
          <t>Built-in</t>
        </is>
      </c>
      <c r="I185" s="78" t="inlineStr">
        <is>
          <t>rel:2018-06-15:Incredibles 2</t>
        </is>
      </c>
    </row>
    <row r="186">
      <c r="A186" s="75" t="n">
        <v>43268</v>
      </c>
      <c r="B186" s="75" t="n"/>
      <c r="C186" t="inlineStr">
        <is>
          <t>Father's Day</t>
        </is>
      </c>
      <c r="D186" s="39" t="inlineStr">
        <is>
          <t>Holiday</t>
        </is>
      </c>
      <c r="E186" s="39" t="inlineStr">
        <is>
          <t>No</t>
        </is>
      </c>
      <c r="F186" s="47" t="n"/>
      <c r="G186" s="76" t="inlineStr">
        <is>
          <t>Yes</t>
        </is>
      </c>
      <c r="H186" s="77" t="inlineStr">
        <is>
          <t>Built-in</t>
        </is>
      </c>
      <c r="I186" s="78" t="inlineStr">
        <is>
          <t>hol:fathers:2018</t>
        </is>
      </c>
    </row>
    <row r="187">
      <c r="A187" s="75" t="n">
        <v>43287</v>
      </c>
      <c r="B187" s="75" t="n"/>
      <c r="C187" t="inlineStr">
        <is>
          <t>Ant-Man and the Wasp released</t>
        </is>
      </c>
      <c r="D187" s="39" t="inlineStr">
        <is>
          <t>Movie / trailer</t>
        </is>
      </c>
      <c r="E187" s="39" t="inlineStr">
        <is>
          <t>No</t>
        </is>
      </c>
      <c r="F187" s="47" t="inlineStr">
        <is>
          <t>Marvel - US date</t>
        </is>
      </c>
      <c r="G187" s="76" t="inlineStr">
        <is>
          <t>Yes</t>
        </is>
      </c>
      <c r="H187" s="77" t="inlineStr">
        <is>
          <t>Built-in</t>
        </is>
      </c>
      <c r="I187" s="78" t="inlineStr">
        <is>
          <t>rel:2018-07-06:Ant-Man and the Wasp</t>
        </is>
      </c>
    </row>
    <row r="188">
      <c r="A188" s="75" t="n">
        <v>43300</v>
      </c>
      <c r="B188" s="75" t="n">
        <v>43303</v>
      </c>
      <c r="C188" t="inlineStr">
        <is>
          <t>San Diego Comic-Con</t>
        </is>
      </c>
      <c r="D188" s="39" t="inlineStr">
        <is>
          <t>Movie / trailer</t>
        </is>
      </c>
      <c r="E188" s="39" t="inlineStr">
        <is>
          <t>No</t>
        </is>
      </c>
      <c r="F188" s="47" t="inlineStr">
        <is>
          <t>Big trailer and announcement reveals (Marvel, Star Wars, Disney, Harry Potter)</t>
        </is>
      </c>
      <c r="G188" s="76" t="inlineStr">
        <is>
          <t>Yes</t>
        </is>
      </c>
      <c r="H188" s="77" t="inlineStr">
        <is>
          <t>Built-in</t>
        </is>
      </c>
      <c r="I188" s="78" t="inlineStr">
        <is>
          <t>con:sdcc:2018</t>
        </is>
      </c>
    </row>
    <row r="189">
      <c r="A189" s="75" t="n">
        <v>43346</v>
      </c>
      <c r="B189" s="75" t="n"/>
      <c r="C189" t="inlineStr">
        <is>
          <t>Labor Day</t>
        </is>
      </c>
      <c r="D189" s="39" t="inlineStr">
        <is>
          <t>Holiday</t>
        </is>
      </c>
      <c r="E189" s="39" t="inlineStr">
        <is>
          <t>No</t>
        </is>
      </c>
      <c r="F189" s="47" t="n"/>
      <c r="G189" s="76" t="inlineStr">
        <is>
          <t>Yes</t>
        </is>
      </c>
      <c r="H189" s="77" t="inlineStr">
        <is>
          <t>Built-in</t>
        </is>
      </c>
      <c r="I189" s="78" t="inlineStr">
        <is>
          <t>hol:labor:2018</t>
        </is>
      </c>
    </row>
    <row r="190">
      <c r="A190" s="75" t="n">
        <v>43395</v>
      </c>
      <c r="B190" s="75" t="n"/>
      <c r="C190" t="inlineStr">
        <is>
          <t>Jonathan Carlin: most-viewed video uploaded</t>
        </is>
      </c>
      <c r="D190" s="39" t="inlineStr">
        <is>
          <t>SCB milestone</t>
        </is>
      </c>
      <c r="E190" s="39" t="inlineStr">
        <is>
          <t>No</t>
        </is>
      </c>
      <c r="F190" s="47" t="inlineStr">
        <is>
          <t>WE MET JK ROWLING! | New York Harry Potter Adventure</t>
        </is>
      </c>
      <c r="G190" s="76" t="inlineStr">
        <is>
          <t>Yes</t>
        </is>
      </c>
      <c r="H190" s="77" t="inlineStr">
        <is>
          <t>Built-in</t>
        </is>
      </c>
      <c r="I190" s="78" t="inlineStr">
        <is>
          <t>auto:top:UCYPKFe86e6nm4TVUYKLsFUQ</t>
        </is>
      </c>
    </row>
    <row r="191">
      <c r="A191" s="75" t="n">
        <v>43416</v>
      </c>
      <c r="B191" s="75" t="n"/>
      <c r="C191" t="inlineStr">
        <is>
          <t>Stan Lee passes away</t>
        </is>
      </c>
      <c r="D191" s="39" t="inlineStr">
        <is>
          <t>Fandom</t>
        </is>
      </c>
      <c r="E191" s="39" t="inlineStr">
        <is>
          <t>No</t>
        </is>
      </c>
      <c r="F191" s="47" t="inlineStr">
        <is>
          <t>In memoriam</t>
        </is>
      </c>
      <c r="G191" s="76" t="inlineStr">
        <is>
          <t>Yes</t>
        </is>
      </c>
      <c r="H191" s="77" t="inlineStr">
        <is>
          <t>Built-in</t>
        </is>
      </c>
      <c r="I191" s="78" t="inlineStr">
        <is>
          <t>fan:mem:2018-11-12</t>
        </is>
      </c>
    </row>
    <row r="192">
      <c r="A192" s="75" t="n">
        <v>43419</v>
      </c>
      <c r="B192" s="75" t="n"/>
      <c r="C192" t="inlineStr">
        <is>
          <t>Toy Story 4 - first trailer</t>
        </is>
      </c>
      <c r="D192" s="39" t="inlineStr">
        <is>
          <t>Movie / trailer</t>
        </is>
      </c>
      <c r="E192" s="39" t="inlineStr">
        <is>
          <t>No</t>
        </is>
      </c>
      <c r="F192" s="47" t="inlineStr">
        <is>
          <t>Pixar - US date (trailer)</t>
        </is>
      </c>
      <c r="G192" s="76" t="inlineStr">
        <is>
          <t>Yes</t>
        </is>
      </c>
      <c r="H192" s="77" t="inlineStr">
        <is>
          <t>Built-in</t>
        </is>
      </c>
      <c r="I192" s="78" t="inlineStr">
        <is>
          <t>rel:2018-11-15:Toy Story 4 - first trai</t>
        </is>
      </c>
    </row>
    <row r="193">
      <c r="A193" s="75" t="n">
        <v>43420</v>
      </c>
      <c r="B193" s="75" t="n"/>
      <c r="C193" t="inlineStr">
        <is>
          <t>Fantastic Beasts: The Crimes of Grindelwald released</t>
        </is>
      </c>
      <c r="D193" s="39" t="inlineStr">
        <is>
          <t>Movie / trailer</t>
        </is>
      </c>
      <c r="E193" s="39" t="inlineStr">
        <is>
          <t>No</t>
        </is>
      </c>
      <c r="F193" s="47" t="inlineStr">
        <is>
          <t>Harry Potter - US date</t>
        </is>
      </c>
      <c r="G193" s="76" t="inlineStr">
        <is>
          <t>Yes</t>
        </is>
      </c>
      <c r="H193" s="77" t="inlineStr">
        <is>
          <t>Built-in</t>
        </is>
      </c>
      <c r="I193" s="78" t="inlineStr">
        <is>
          <t>rel:2018-11-16:Fantastic Beasts: The Cr</t>
        </is>
      </c>
    </row>
    <row r="194">
      <c r="A194" s="75" t="n">
        <v>43420</v>
      </c>
      <c r="B194" s="75" t="n"/>
      <c r="C194" t="inlineStr">
        <is>
          <t>Pokémon Let's Go, Pikachu! / Eevee! released</t>
        </is>
      </c>
      <c r="D194" s="39" t="inlineStr">
        <is>
          <t>Game release</t>
        </is>
      </c>
      <c r="E194" s="39" t="inlineStr">
        <is>
          <t>No</t>
        </is>
      </c>
      <c r="F194" s="47" t="inlineStr">
        <is>
          <t>US date</t>
        </is>
      </c>
      <c r="G194" s="76" t="inlineStr">
        <is>
          <t>Yes</t>
        </is>
      </c>
      <c r="H194" s="77" t="inlineStr">
        <is>
          <t>Built-in</t>
        </is>
      </c>
      <c r="I194" s="78" t="inlineStr">
        <is>
          <t>game:2018-11-16:Pokémon Let's Go, Pikach</t>
        </is>
      </c>
    </row>
    <row r="195">
      <c r="A195" s="75" t="n">
        <v>43424</v>
      </c>
      <c r="B195" s="75" t="n"/>
      <c r="C195" t="inlineStr">
        <is>
          <t>The Lion King (2019) - first teaser</t>
        </is>
      </c>
      <c r="D195" s="39" t="inlineStr">
        <is>
          <t>Movie / trailer</t>
        </is>
      </c>
      <c r="E195" s="39" t="inlineStr">
        <is>
          <t>No</t>
        </is>
      </c>
      <c r="F195" s="47" t="inlineStr">
        <is>
          <t>Disney - US date (trailer)</t>
        </is>
      </c>
      <c r="G195" s="76" t="inlineStr">
        <is>
          <t>Yes</t>
        </is>
      </c>
      <c r="H195" s="77" t="inlineStr">
        <is>
          <t>Built-in</t>
        </is>
      </c>
      <c r="I195" s="78" t="inlineStr">
        <is>
          <t>rel:2018-11-20:The Lion King (2019) - f</t>
        </is>
      </c>
    </row>
    <row r="196">
      <c r="A196" s="75" t="n">
        <v>43425</v>
      </c>
      <c r="B196" s="75" t="n"/>
      <c r="C196" t="inlineStr">
        <is>
          <t>Ralph Breaks the Internet released</t>
        </is>
      </c>
      <c r="D196" s="39" t="inlineStr">
        <is>
          <t>Movie / trailer</t>
        </is>
      </c>
      <c r="E196" s="39" t="inlineStr">
        <is>
          <t>No</t>
        </is>
      </c>
      <c r="F196" s="47" t="inlineStr">
        <is>
          <t>Disney - US date</t>
        </is>
      </c>
      <c r="G196" s="76" t="inlineStr">
        <is>
          <t>Yes</t>
        </is>
      </c>
      <c r="H196" s="77" t="inlineStr">
        <is>
          <t>Built-in</t>
        </is>
      </c>
      <c r="I196" s="78" t="inlineStr">
        <is>
          <t>rel:2018-11-21:Ralph Breaks the Interne</t>
        </is>
      </c>
    </row>
    <row r="197">
      <c r="A197" s="75" t="n">
        <v>43426</v>
      </c>
      <c r="B197" s="75" t="n"/>
      <c r="C197" t="inlineStr">
        <is>
          <t>Thanksgiving</t>
        </is>
      </c>
      <c r="D197" s="39" t="inlineStr">
        <is>
          <t>Holiday</t>
        </is>
      </c>
      <c r="E197" s="39" t="inlineStr">
        <is>
          <t>No</t>
        </is>
      </c>
      <c r="F197" s="47" t="n"/>
      <c r="G197" s="76" t="inlineStr">
        <is>
          <t>Yes</t>
        </is>
      </c>
      <c r="H197" s="77" t="inlineStr">
        <is>
          <t>Built-in</t>
        </is>
      </c>
      <c r="I197" s="78" t="inlineStr">
        <is>
          <t>hol:thanks:2018</t>
        </is>
      </c>
    </row>
    <row r="198">
      <c r="A198" s="75" t="n">
        <v>43427</v>
      </c>
      <c r="B198" s="75" t="n"/>
      <c r="C198" t="inlineStr">
        <is>
          <t>Black Friday</t>
        </is>
      </c>
      <c r="D198" s="39" t="inlineStr">
        <is>
          <t>Holiday</t>
        </is>
      </c>
      <c r="E198" s="39" t="inlineStr">
        <is>
          <t>No</t>
        </is>
      </c>
      <c r="F198" s="47" t="n"/>
      <c r="G198" s="76" t="inlineStr">
        <is>
          <t>Yes</t>
        </is>
      </c>
      <c r="H198" s="77" t="inlineStr">
        <is>
          <t>Built-in</t>
        </is>
      </c>
      <c r="I198" s="78" t="inlineStr">
        <is>
          <t>hol:blackfri:2018</t>
        </is>
      </c>
    </row>
    <row r="199">
      <c r="A199" s="75" t="n">
        <v>43441</v>
      </c>
      <c r="B199" s="75" t="n"/>
      <c r="C199" t="inlineStr">
        <is>
          <t>Avengers: Endgame - first trailer</t>
        </is>
      </c>
      <c r="D199" s="39" t="inlineStr">
        <is>
          <t>Movie / trailer</t>
        </is>
      </c>
      <c r="E199" s="39" t="inlineStr">
        <is>
          <t>No</t>
        </is>
      </c>
      <c r="F199" s="47" t="inlineStr">
        <is>
          <t>Marvel - US date (trailer)</t>
        </is>
      </c>
      <c r="G199" s="76" t="inlineStr">
        <is>
          <t>Yes</t>
        </is>
      </c>
      <c r="H199" s="77" t="inlineStr">
        <is>
          <t>Built-in</t>
        </is>
      </c>
      <c r="I199" s="78" t="inlineStr">
        <is>
          <t>rel:2018-12-07:Avengers: Endgame - firs</t>
        </is>
      </c>
    </row>
    <row r="200">
      <c r="A200" s="75" t="n">
        <v>43441</v>
      </c>
      <c r="B200" s="75" t="n"/>
      <c r="C200" t="inlineStr">
        <is>
          <t>Super Smash Bros. Ultimate released</t>
        </is>
      </c>
      <c r="D200" s="39" t="inlineStr">
        <is>
          <t>Game release</t>
        </is>
      </c>
      <c r="E200" s="39" t="inlineStr">
        <is>
          <t>No</t>
        </is>
      </c>
      <c r="F200" s="47" t="inlineStr">
        <is>
          <t>US date</t>
        </is>
      </c>
      <c r="G200" s="76" t="inlineStr">
        <is>
          <t>Yes</t>
        </is>
      </c>
      <c r="H200" s="77" t="inlineStr">
        <is>
          <t>Built-in</t>
        </is>
      </c>
      <c r="I200" s="78" t="inlineStr">
        <is>
          <t>game:2018-12-07:Super Smash Bros. Ultima</t>
        </is>
      </c>
    </row>
    <row r="201">
      <c r="A201" s="75" t="n">
        <v>43486</v>
      </c>
      <c r="B201" s="75" t="n"/>
      <c r="C201" t="inlineStr">
        <is>
          <t>Martin Luther King Jr. Day</t>
        </is>
      </c>
      <c r="D201" s="39" t="inlineStr">
        <is>
          <t>Holiday</t>
        </is>
      </c>
      <c r="E201" s="39" t="inlineStr">
        <is>
          <t>No</t>
        </is>
      </c>
      <c r="F201" s="47" t="n"/>
      <c r="G201" s="76" t="inlineStr">
        <is>
          <t>Yes</t>
        </is>
      </c>
      <c r="H201" s="77" t="inlineStr">
        <is>
          <t>Built-in</t>
        </is>
      </c>
      <c r="I201" s="78" t="inlineStr">
        <is>
          <t>hol:mlk:2019</t>
        </is>
      </c>
    </row>
    <row r="202">
      <c r="A202" s="75" t="n">
        <v>43499</v>
      </c>
      <c r="B202" s="75" t="n"/>
      <c r="C202" t="inlineStr">
        <is>
          <t>Super Bowl Sunday</t>
        </is>
      </c>
      <c r="D202" s="39" t="inlineStr">
        <is>
          <t>Holiday</t>
        </is>
      </c>
      <c r="E202" s="39" t="inlineStr">
        <is>
          <t>No</t>
        </is>
      </c>
      <c r="F202" s="47" t="n"/>
      <c r="G202" s="76" t="inlineStr">
        <is>
          <t>Yes</t>
        </is>
      </c>
      <c r="H202" s="77" t="inlineStr">
        <is>
          <t>Built-in</t>
        </is>
      </c>
      <c r="I202" s="78" t="inlineStr">
        <is>
          <t>hol:sb:2019</t>
        </is>
      </c>
    </row>
    <row r="203">
      <c r="A203" s="75" t="n">
        <v>43508</v>
      </c>
      <c r="B203" s="75" t="n"/>
      <c r="C203" t="inlineStr">
        <is>
          <t>Frozen II - first teaser trailer</t>
        </is>
      </c>
      <c r="D203" s="39" t="inlineStr">
        <is>
          <t>Movie / trailer</t>
        </is>
      </c>
      <c r="E203" s="39" t="inlineStr">
        <is>
          <t>No</t>
        </is>
      </c>
      <c r="F203" s="47" t="inlineStr">
        <is>
          <t>Disney - US date (trailer)</t>
        </is>
      </c>
      <c r="G203" s="76" t="inlineStr">
        <is>
          <t>Yes</t>
        </is>
      </c>
      <c r="H203" s="77" t="inlineStr">
        <is>
          <t>Built-in</t>
        </is>
      </c>
      <c r="I203" s="78" t="inlineStr">
        <is>
          <t>rel:2019-02-12:Frozen II - first teaser</t>
        </is>
      </c>
    </row>
    <row r="204">
      <c r="A204" s="75" t="n">
        <v>43514</v>
      </c>
      <c r="B204" s="75" t="n"/>
      <c r="C204" t="inlineStr">
        <is>
          <t>Presidents' Day</t>
        </is>
      </c>
      <c r="D204" s="39" t="inlineStr">
        <is>
          <t>Holiday</t>
        </is>
      </c>
      <c r="E204" s="39" t="inlineStr">
        <is>
          <t>No</t>
        </is>
      </c>
      <c r="F204" s="47" t="n"/>
      <c r="G204" s="76" t="inlineStr">
        <is>
          <t>Yes</t>
        </is>
      </c>
      <c r="H204" s="77" t="inlineStr">
        <is>
          <t>Built-in</t>
        </is>
      </c>
      <c r="I204" s="78" t="inlineStr">
        <is>
          <t>hol:pres:2019</t>
        </is>
      </c>
    </row>
    <row r="205">
      <c r="A205" s="75" t="n">
        <v>43520</v>
      </c>
      <c r="B205" s="75" t="n"/>
      <c r="C205" t="inlineStr">
        <is>
          <t>The Oscars</t>
        </is>
      </c>
      <c r="D205" s="39" t="inlineStr">
        <is>
          <t>Holiday</t>
        </is>
      </c>
      <c r="E205" s="39" t="inlineStr">
        <is>
          <t>No</t>
        </is>
      </c>
      <c r="F205" s="47" t="inlineStr">
        <is>
          <t>Academy Awards ceremony</t>
        </is>
      </c>
      <c r="G205" s="76" t="inlineStr">
        <is>
          <t>Yes</t>
        </is>
      </c>
      <c r="H205" s="77" t="inlineStr">
        <is>
          <t>Built-in</t>
        </is>
      </c>
      <c r="I205" s="78" t="inlineStr">
        <is>
          <t>hol:oscars:2019</t>
        </is>
      </c>
    </row>
    <row r="206">
      <c r="A206" s="75" t="n">
        <v>43526</v>
      </c>
      <c r="B206" s="75" t="n"/>
      <c r="C206" t="inlineStr">
        <is>
          <t>SCB Meet Ups announced</t>
        </is>
      </c>
      <c r="D206" s="39" t="inlineStr">
        <is>
          <t>SCB milestone</t>
        </is>
      </c>
      <c r="E206" s="39" t="inlineStr">
        <is>
          <t>No</t>
        </is>
      </c>
      <c r="F206" s="47" t="n"/>
      <c r="G206" s="76" t="inlineStr">
        <is>
          <t>Yes</t>
        </is>
      </c>
      <c r="H206" s="77" t="inlineStr">
        <is>
          <t>Built-in</t>
        </is>
      </c>
      <c r="I206" s="78" t="inlineStr">
        <is>
          <t>ms:2019-03-02</t>
        </is>
      </c>
    </row>
    <row r="207">
      <c r="A207" s="75" t="n">
        <v>43532</v>
      </c>
      <c r="B207" s="75" t="n"/>
      <c r="C207" t="inlineStr">
        <is>
          <t>Captain Marvel released</t>
        </is>
      </c>
      <c r="D207" s="39" t="inlineStr">
        <is>
          <t>Movie / trailer</t>
        </is>
      </c>
      <c r="E207" s="39" t="inlineStr">
        <is>
          <t>No</t>
        </is>
      </c>
      <c r="F207" s="47" t="inlineStr">
        <is>
          <t>Marvel - US date</t>
        </is>
      </c>
      <c r="G207" s="76" t="inlineStr">
        <is>
          <t>Yes</t>
        </is>
      </c>
      <c r="H207" s="77" t="inlineStr">
        <is>
          <t>Built-in</t>
        </is>
      </c>
      <c r="I207" s="78" t="inlineStr">
        <is>
          <t>rel:2019-03-08:Captain Marvel</t>
        </is>
      </c>
    </row>
    <row r="208">
      <c r="A208" s="75" t="n">
        <v>43535</v>
      </c>
      <c r="B208" s="75" t="n"/>
      <c r="C208" t="inlineStr">
        <is>
          <t>Ben &amp; Alyce announce their engagement</t>
        </is>
      </c>
      <c r="D208" s="39" t="inlineStr">
        <is>
          <t>Carlin life</t>
        </is>
      </c>
      <c r="E208" s="39" t="inlineStr">
        <is>
          <t>No</t>
        </is>
      </c>
      <c r="F208" s="47" t="inlineStr">
        <is>
          <t>Announced in the video 'BEN &amp; ALYCE GET ENGAGED!!'</t>
        </is>
      </c>
      <c r="G208" s="76" t="inlineStr">
        <is>
          <t>Yes</t>
        </is>
      </c>
      <c r="H208" s="77" t="inlineStr">
        <is>
          <t>Built-in</t>
        </is>
      </c>
      <c r="I208" s="78" t="inlineStr">
        <is>
          <t>life:2019-03-11</t>
        </is>
      </c>
    </row>
    <row r="209">
      <c r="A209" s="75" t="n">
        <v>43538</v>
      </c>
      <c r="B209" s="75" t="n"/>
      <c r="C209" t="inlineStr">
        <is>
          <t>Avengers: Endgame - second trailer</t>
        </is>
      </c>
      <c r="D209" s="39" t="inlineStr">
        <is>
          <t>Movie / trailer</t>
        </is>
      </c>
      <c r="E209" s="39" t="inlineStr">
        <is>
          <t>No</t>
        </is>
      </c>
      <c r="F209" s="47" t="inlineStr">
        <is>
          <t>Marvel - US date (trailer)</t>
        </is>
      </c>
      <c r="G209" s="76" t="inlineStr">
        <is>
          <t>Yes</t>
        </is>
      </c>
      <c r="H209" s="77" t="inlineStr">
        <is>
          <t>Built-in</t>
        </is>
      </c>
      <c r="I209" s="78" t="inlineStr">
        <is>
          <t>rel:2019-03-14:Avengers: Endgame - seco</t>
        </is>
      </c>
    </row>
    <row r="210">
      <c r="A210" s="75" t="n">
        <v>43544</v>
      </c>
      <c r="B210" s="75" t="n"/>
      <c r="C210" t="inlineStr">
        <is>
          <t>Disney completes its acquisition of 21st Century Fox</t>
        </is>
      </c>
      <c r="D210" s="39" t="inlineStr">
        <is>
          <t>Movie / trailer</t>
        </is>
      </c>
      <c r="E210" s="39" t="inlineStr">
        <is>
          <t>No</t>
        </is>
      </c>
      <c r="F210" s="47" t="n"/>
      <c r="G210" s="76" t="inlineStr">
        <is>
          <t>Yes</t>
        </is>
      </c>
      <c r="H210" s="77" t="inlineStr">
        <is>
          <t>Built-in</t>
        </is>
      </c>
      <c r="I210" s="78" t="inlineStr">
        <is>
          <t>ind:2019-03-20</t>
        </is>
      </c>
    </row>
    <row r="211">
      <c r="A211" s="75" t="n">
        <v>43544</v>
      </c>
      <c r="B211" s="75" t="n"/>
      <c r="C211" t="inlineStr">
        <is>
          <t>Super Carlin Gaming: most-viewed video uploaded</t>
        </is>
      </c>
      <c r="D211" s="39" t="inlineStr">
        <is>
          <t>SCB milestone</t>
        </is>
      </c>
      <c r="E211" s="39" t="inlineStr">
        <is>
          <t>No</t>
        </is>
      </c>
      <c r="F211" s="47" t="inlineStr">
        <is>
          <t>Luke Chooses Our Starter | Pokémon X Nuzlocke #1</t>
        </is>
      </c>
      <c r="G211" s="76" t="inlineStr">
        <is>
          <t>Yes</t>
        </is>
      </c>
      <c r="H211" s="77" t="inlineStr">
        <is>
          <t>Built-in</t>
        </is>
      </c>
      <c r="I211" s="78" t="inlineStr">
        <is>
          <t>auto:top:UCor_9jRnNNZVzTuQ92PKsaQ</t>
        </is>
      </c>
    </row>
    <row r="212">
      <c r="A212" s="75" t="n">
        <v>43566</v>
      </c>
      <c r="B212" s="75" t="n">
        <v>43569</v>
      </c>
      <c r="C212" t="inlineStr">
        <is>
          <t>Star Wars Celebration (Chicago)</t>
        </is>
      </c>
      <c r="D212" s="39" t="inlineStr">
        <is>
          <t>Movie / trailer</t>
        </is>
      </c>
      <c r="E212" s="39" t="inlineStr">
        <is>
          <t>No</t>
        </is>
      </c>
      <c r="F212" s="47" t="inlineStr">
        <is>
          <t>Lucasfilm fan convention - trailers and reveals</t>
        </is>
      </c>
      <c r="G212" s="76" t="inlineStr">
        <is>
          <t>Yes</t>
        </is>
      </c>
      <c r="H212" s="77" t="inlineStr">
        <is>
          <t>Built-in</t>
        </is>
      </c>
      <c r="I212" s="78" t="inlineStr">
        <is>
          <t>con:swc:2019</t>
        </is>
      </c>
    </row>
    <row r="213">
      <c r="A213" s="75" t="n">
        <v>43567</v>
      </c>
      <c r="B213" s="75" t="n"/>
      <c r="C213" t="inlineStr">
        <is>
          <t>The Rise of Skywalker - first teaser trailer</t>
        </is>
      </c>
      <c r="D213" s="39" t="inlineStr">
        <is>
          <t>Movie / trailer</t>
        </is>
      </c>
      <c r="E213" s="39" t="inlineStr">
        <is>
          <t>No</t>
        </is>
      </c>
      <c r="F213" s="47" t="inlineStr">
        <is>
          <t>Star Wars - US date (trailer)</t>
        </is>
      </c>
      <c r="G213" s="76" t="inlineStr">
        <is>
          <t>Yes</t>
        </is>
      </c>
      <c r="H213" s="77" t="inlineStr">
        <is>
          <t>Built-in</t>
        </is>
      </c>
      <c r="I213" s="78" t="inlineStr">
        <is>
          <t xml:space="preserve">rel:2019-04-12:The Rise of Skywalker - </t>
        </is>
      </c>
    </row>
    <row r="214">
      <c r="A214" s="75" t="n">
        <v>43576</v>
      </c>
      <c r="B214" s="75" t="n"/>
      <c r="C214" t="inlineStr">
        <is>
          <t>Easter Sunday</t>
        </is>
      </c>
      <c r="D214" s="39" t="inlineStr">
        <is>
          <t>Holiday</t>
        </is>
      </c>
      <c r="E214" s="39" t="inlineStr">
        <is>
          <t>No</t>
        </is>
      </c>
      <c r="F214" s="47" t="n"/>
      <c r="G214" s="76" t="inlineStr">
        <is>
          <t>Yes</t>
        </is>
      </c>
      <c r="H214" s="77" t="inlineStr">
        <is>
          <t>Built-in</t>
        </is>
      </c>
      <c r="I214" s="78" t="inlineStr">
        <is>
          <t>hol:easter:2019</t>
        </is>
      </c>
    </row>
    <row r="215">
      <c r="A215" s="75" t="n">
        <v>43581</v>
      </c>
      <c r="B215" s="75" t="n"/>
      <c r="C215" t="inlineStr">
        <is>
          <t>Avengers: Endgame released</t>
        </is>
      </c>
      <c r="D215" s="39" t="inlineStr">
        <is>
          <t>Movie / trailer</t>
        </is>
      </c>
      <c r="E215" s="39" t="inlineStr">
        <is>
          <t>No</t>
        </is>
      </c>
      <c r="F215" s="47" t="inlineStr">
        <is>
          <t>Marvel - US date</t>
        </is>
      </c>
      <c r="G215" s="76" t="inlineStr">
        <is>
          <t>Yes</t>
        </is>
      </c>
      <c r="H215" s="77" t="inlineStr">
        <is>
          <t>Built-in</t>
        </is>
      </c>
      <c r="I215" s="78" t="inlineStr">
        <is>
          <t>rel:2019-04-26:Avengers: Endgame</t>
        </is>
      </c>
    </row>
    <row r="216">
      <c r="A216" s="75" t="n">
        <v>43597</v>
      </c>
      <c r="B216" s="75" t="n"/>
      <c r="C216" t="inlineStr">
        <is>
          <t>Mother's Day</t>
        </is>
      </c>
      <c r="D216" s="39" t="inlineStr">
        <is>
          <t>Holiday</t>
        </is>
      </c>
      <c r="E216" s="39" t="inlineStr">
        <is>
          <t>No</t>
        </is>
      </c>
      <c r="F216" s="47" t="n"/>
      <c r="G216" s="76" t="inlineStr">
        <is>
          <t>Yes</t>
        </is>
      </c>
      <c r="H216" s="77" t="inlineStr">
        <is>
          <t>Built-in</t>
        </is>
      </c>
      <c r="I216" s="78" t="inlineStr">
        <is>
          <t>hol:mothers:2019</t>
        </is>
      </c>
    </row>
    <row r="217">
      <c r="A217" s="75" t="n">
        <v>43609</v>
      </c>
      <c r="B217" s="75" t="n"/>
      <c r="C217" t="inlineStr">
        <is>
          <t>Aladdin (live-action) released</t>
        </is>
      </c>
      <c r="D217" s="39" t="inlineStr">
        <is>
          <t>Movie / trailer</t>
        </is>
      </c>
      <c r="E217" s="39" t="inlineStr">
        <is>
          <t>No</t>
        </is>
      </c>
      <c r="F217" s="47" t="inlineStr">
        <is>
          <t>Disney - US date</t>
        </is>
      </c>
      <c r="G217" s="76" t="inlineStr">
        <is>
          <t>Yes</t>
        </is>
      </c>
      <c r="H217" s="77" t="inlineStr">
        <is>
          <t>Built-in</t>
        </is>
      </c>
      <c r="I217" s="78" t="inlineStr">
        <is>
          <t>rel:2019-05-24:Aladdin (live-action)</t>
        </is>
      </c>
    </row>
    <row r="218">
      <c r="A218" s="75" t="n">
        <v>43612</v>
      </c>
      <c r="B218" s="75" t="n"/>
      <c r="C218" t="inlineStr">
        <is>
          <t>Memorial Day</t>
        </is>
      </c>
      <c r="D218" s="39" t="inlineStr">
        <is>
          <t>Holiday</t>
        </is>
      </c>
      <c r="E218" s="39" t="inlineStr">
        <is>
          <t>No</t>
        </is>
      </c>
      <c r="F218" s="47" t="n"/>
      <c r="G218" s="76" t="inlineStr">
        <is>
          <t>Yes</t>
        </is>
      </c>
      <c r="H218" s="77" t="inlineStr">
        <is>
          <t>Built-in</t>
        </is>
      </c>
      <c r="I218" s="78" t="inlineStr">
        <is>
          <t>hol:memorial:2019</t>
        </is>
      </c>
    </row>
    <row r="219">
      <c r="A219" s="75" t="n">
        <v>43632</v>
      </c>
      <c r="B219" s="75" t="n"/>
      <c r="C219" t="inlineStr">
        <is>
          <t>Father's Day</t>
        </is>
      </c>
      <c r="D219" s="39" t="inlineStr">
        <is>
          <t>Holiday</t>
        </is>
      </c>
      <c r="E219" s="39" t="inlineStr">
        <is>
          <t>No</t>
        </is>
      </c>
      <c r="F219" s="47" t="n"/>
      <c r="G219" s="76" t="inlineStr">
        <is>
          <t>Yes</t>
        </is>
      </c>
      <c r="H219" s="77" t="inlineStr">
        <is>
          <t>Built-in</t>
        </is>
      </c>
      <c r="I219" s="78" t="inlineStr">
        <is>
          <t>hol:fathers:2019</t>
        </is>
      </c>
    </row>
    <row r="220">
      <c r="A220" s="75" t="n">
        <v>43637</v>
      </c>
      <c r="B220" s="75" t="n"/>
      <c r="C220" t="inlineStr">
        <is>
          <t>Toy Story 4 released</t>
        </is>
      </c>
      <c r="D220" s="39" t="inlineStr">
        <is>
          <t>Movie / trailer</t>
        </is>
      </c>
      <c r="E220" s="39" t="inlineStr">
        <is>
          <t>No</t>
        </is>
      </c>
      <c r="F220" s="47" t="inlineStr">
        <is>
          <t>Pixar - US date</t>
        </is>
      </c>
      <c r="G220" s="76" t="inlineStr">
        <is>
          <t>Yes</t>
        </is>
      </c>
      <c r="H220" s="77" t="inlineStr">
        <is>
          <t>Built-in</t>
        </is>
      </c>
      <c r="I220" s="78" t="inlineStr">
        <is>
          <t>rel:2019-06-21:Toy Story 4</t>
        </is>
      </c>
    </row>
    <row r="221">
      <c r="A221" s="75" t="n">
        <v>43648</v>
      </c>
      <c r="B221" s="75" t="n"/>
      <c r="C221" t="inlineStr">
        <is>
          <t>Spider-Man: Far From Home released</t>
        </is>
      </c>
      <c r="D221" s="39" t="inlineStr">
        <is>
          <t>Movie / trailer</t>
        </is>
      </c>
      <c r="E221" s="39" t="inlineStr">
        <is>
          <t>No</t>
        </is>
      </c>
      <c r="F221" s="47" t="inlineStr">
        <is>
          <t>Marvel - US date</t>
        </is>
      </c>
      <c r="G221" s="76" t="inlineStr">
        <is>
          <t>Yes</t>
        </is>
      </c>
      <c r="H221" s="77" t="inlineStr">
        <is>
          <t>Built-in</t>
        </is>
      </c>
      <c r="I221" s="78" t="inlineStr">
        <is>
          <t>rel:2019-07-02:Spider-Man: Far From Hom</t>
        </is>
      </c>
    </row>
    <row r="222">
      <c r="A222" s="75" t="n">
        <v>43664</v>
      </c>
      <c r="B222" s="75" t="n">
        <v>43667</v>
      </c>
      <c r="C222" t="inlineStr">
        <is>
          <t>San Diego Comic-Con</t>
        </is>
      </c>
      <c r="D222" s="39" t="inlineStr">
        <is>
          <t>Movie / trailer</t>
        </is>
      </c>
      <c r="E222" s="39" t="inlineStr">
        <is>
          <t>No</t>
        </is>
      </c>
      <c r="F222" s="47" t="inlineStr">
        <is>
          <t>Big trailer and announcement reveals (Marvel, Star Wars, Disney, Harry Potter)</t>
        </is>
      </c>
      <c r="G222" s="76" t="inlineStr">
        <is>
          <t>Yes</t>
        </is>
      </c>
      <c r="H222" s="77" t="inlineStr">
        <is>
          <t>Built-in</t>
        </is>
      </c>
      <c r="I222" s="78" t="inlineStr">
        <is>
          <t>con:sdcc:2019</t>
        </is>
      </c>
    </row>
    <row r="223">
      <c r="A223" s="75" t="n">
        <v>43665</v>
      </c>
      <c r="B223" s="75" t="n"/>
      <c r="C223" t="inlineStr">
        <is>
          <t>The Lion King (live-action) released</t>
        </is>
      </c>
      <c r="D223" s="39" t="inlineStr">
        <is>
          <t>Movie / trailer</t>
        </is>
      </c>
      <c r="E223" s="39" t="inlineStr">
        <is>
          <t>No</t>
        </is>
      </c>
      <c r="F223" s="47" t="inlineStr">
        <is>
          <t>Disney - US date</t>
        </is>
      </c>
      <c r="G223" s="76" t="inlineStr">
        <is>
          <t>Yes</t>
        </is>
      </c>
      <c r="H223" s="77" t="inlineStr">
        <is>
          <t>Built-in</t>
        </is>
      </c>
      <c r="I223" s="78" t="inlineStr">
        <is>
          <t>rel:2019-07-19:The Lion King (live-acti</t>
        </is>
      </c>
    </row>
    <row r="224">
      <c r="A224" s="75" t="n">
        <v>43669</v>
      </c>
      <c r="B224" s="75" t="n"/>
      <c r="C224" t="inlineStr">
        <is>
          <t>SCB reaches 2 million subscribers</t>
        </is>
      </c>
      <c r="D224" s="39" t="inlineStr">
        <is>
          <t>SCB milestone</t>
        </is>
      </c>
      <c r="E224" s="39" t="inlineStr">
        <is>
          <t>No</t>
        </is>
      </c>
      <c r="F224" s="47" t="inlineStr">
        <is>
          <t>Video: 'A Week Of Milestones | 2-Million Subscribers!'</t>
        </is>
      </c>
      <c r="G224" s="76" t="inlineStr">
        <is>
          <t>Yes</t>
        </is>
      </c>
      <c r="H224" s="77" t="inlineStr">
        <is>
          <t>Built-in</t>
        </is>
      </c>
      <c r="I224" s="78" t="inlineStr">
        <is>
          <t>ms:2019-07-23</t>
        </is>
      </c>
    </row>
    <row r="225">
      <c r="A225" s="75" t="n">
        <v>43700</v>
      </c>
      <c r="B225" s="75" t="n">
        <v>43702</v>
      </c>
      <c r="C225" t="inlineStr">
        <is>
          <t>D23 Expo (Disney fan event)</t>
        </is>
      </c>
      <c r="D225" s="39" t="inlineStr">
        <is>
          <t>Movie / trailer</t>
        </is>
      </c>
      <c r="E225" s="39" t="inlineStr">
        <is>
          <t>No</t>
        </is>
      </c>
      <c r="F225" s="47" t="inlineStr">
        <is>
          <t>Disney, Pixar, Marvel and Lucasfilm announcements</t>
        </is>
      </c>
      <c r="G225" s="76" t="inlineStr">
        <is>
          <t>Yes</t>
        </is>
      </c>
      <c r="H225" s="77" t="inlineStr">
        <is>
          <t>Built-in</t>
        </is>
      </c>
      <c r="I225" s="78" t="inlineStr">
        <is>
          <t>con:d23:2019</t>
        </is>
      </c>
    </row>
    <row r="226">
      <c r="A226" s="75" t="n">
        <v>43700</v>
      </c>
      <c r="B226" s="75" t="n"/>
      <c r="C226" t="inlineStr">
        <is>
          <t>The Mandalorian - first trailer (D23)</t>
        </is>
      </c>
      <c r="D226" s="39" t="inlineStr">
        <is>
          <t>Movie / trailer</t>
        </is>
      </c>
      <c r="E226" s="39" t="inlineStr">
        <is>
          <t>No</t>
        </is>
      </c>
      <c r="F226" s="47" t="inlineStr">
        <is>
          <t>Star Wars - US date (trailer)</t>
        </is>
      </c>
      <c r="G226" s="76" t="inlineStr">
        <is>
          <t>Yes</t>
        </is>
      </c>
      <c r="H226" s="77" t="inlineStr">
        <is>
          <t>Built-in</t>
        </is>
      </c>
      <c r="I226" s="78" t="inlineStr">
        <is>
          <t xml:space="preserve">rel:2019-08-23:The Mandalorian - first </t>
        </is>
      </c>
    </row>
    <row r="227">
      <c r="A227" s="75" t="n">
        <v>43710</v>
      </c>
      <c r="B227" s="75" t="n"/>
      <c r="C227" t="inlineStr">
        <is>
          <t>Labor Day</t>
        </is>
      </c>
      <c r="D227" s="39" t="inlineStr">
        <is>
          <t>Holiday</t>
        </is>
      </c>
      <c r="E227" s="39" t="inlineStr">
        <is>
          <t>No</t>
        </is>
      </c>
      <c r="F227" s="47" t="n"/>
      <c r="G227" s="76" t="inlineStr">
        <is>
          <t>Yes</t>
        </is>
      </c>
      <c r="H227" s="77" t="inlineStr">
        <is>
          <t>Built-in</t>
        </is>
      </c>
      <c r="I227" s="78" t="inlineStr">
        <is>
          <t>hol:labor:2019</t>
        </is>
      </c>
    </row>
    <row r="228">
      <c r="A228" s="75" t="n">
        <v>43724</v>
      </c>
      <c r="B228" s="75" t="n"/>
      <c r="C228" t="inlineStr">
        <is>
          <t>Jonathan Carlin: video #100</t>
        </is>
      </c>
      <c r="D228" s="39" t="inlineStr">
        <is>
          <t>SCB milestone</t>
        </is>
      </c>
      <c r="E228" s="39" t="inlineStr">
        <is>
          <t>No</t>
        </is>
      </c>
      <c r="F228" s="47" t="inlineStr">
        <is>
          <t>TYLER &amp; EMILY HAVE A BABY!</t>
        </is>
      </c>
      <c r="G228" s="76" t="inlineStr">
        <is>
          <t>Yes</t>
        </is>
      </c>
      <c r="H228" s="77" t="inlineStr">
        <is>
          <t>Built-in</t>
        </is>
      </c>
      <c r="I228" s="78" t="inlineStr">
        <is>
          <t>auto:n100:UCYPKFe86e6nm4TVUYKLsFUQ</t>
        </is>
      </c>
    </row>
    <row r="229">
      <c r="A229" s="75" t="n">
        <v>43728</v>
      </c>
      <c r="B229" s="75" t="n"/>
      <c r="C229" t="inlineStr">
        <is>
          <t>Carlin Brothers Coffee 1-year anniversary stream</t>
        </is>
      </c>
      <c r="D229" s="39" t="inlineStr">
        <is>
          <t>SCB milestone</t>
        </is>
      </c>
      <c r="E229" s="39" t="inlineStr">
        <is>
          <t>No</t>
        </is>
      </c>
      <c r="F229" s="47" t="n"/>
      <c r="G229" s="76" t="inlineStr">
        <is>
          <t>Yes</t>
        </is>
      </c>
      <c r="H229" s="77" t="inlineStr">
        <is>
          <t>Built-in</t>
        </is>
      </c>
      <c r="I229" s="78" t="inlineStr">
        <is>
          <t>ms:2019-09-20</t>
        </is>
      </c>
    </row>
    <row r="230">
      <c r="A230" s="75" t="n">
        <v>43781</v>
      </c>
      <c r="B230" s="75" t="n"/>
      <c r="C230" t="inlineStr">
        <is>
          <t>Disney+ launches</t>
        </is>
      </c>
      <c r="D230" s="39" t="inlineStr">
        <is>
          <t>Movie / trailer</t>
        </is>
      </c>
      <c r="E230" s="39" t="inlineStr">
        <is>
          <t>No</t>
        </is>
      </c>
      <c r="F230" s="47" t="n"/>
      <c r="G230" s="76" t="inlineStr">
        <is>
          <t>Yes</t>
        </is>
      </c>
      <c r="H230" s="77" t="inlineStr">
        <is>
          <t>Built-in</t>
        </is>
      </c>
      <c r="I230" s="78" t="inlineStr">
        <is>
          <t>ind:2019-11-12</t>
        </is>
      </c>
    </row>
    <row r="231">
      <c r="A231" s="75" t="n">
        <v>43781</v>
      </c>
      <c r="B231" s="75" t="n"/>
      <c r="C231" t="inlineStr">
        <is>
          <t>The Mandalorian season 1 (Disney+) premieres</t>
        </is>
      </c>
      <c r="D231" s="39" t="inlineStr">
        <is>
          <t>Movie / trailer</t>
        </is>
      </c>
      <c r="E231" s="39" t="inlineStr">
        <is>
          <t>No</t>
        </is>
      </c>
      <c r="F231" s="47" t="inlineStr">
        <is>
          <t>Star Wars - US date</t>
        </is>
      </c>
      <c r="G231" s="76" t="inlineStr">
        <is>
          <t>Yes</t>
        </is>
      </c>
      <c r="H231" s="77" t="inlineStr">
        <is>
          <t>Built-in</t>
        </is>
      </c>
      <c r="I231" s="78" t="inlineStr">
        <is>
          <t>rel:2019-11-12:The Mandalorian season 1</t>
        </is>
      </c>
    </row>
    <row r="232">
      <c r="A232" s="75" t="n">
        <v>43784</v>
      </c>
      <c r="B232" s="75" t="n"/>
      <c r="C232" t="inlineStr">
        <is>
          <t>Pokémon Sword and Shield released</t>
        </is>
      </c>
      <c r="D232" s="39" t="inlineStr">
        <is>
          <t>Game release</t>
        </is>
      </c>
      <c r="E232" s="39" t="inlineStr">
        <is>
          <t>No</t>
        </is>
      </c>
      <c r="F232" s="47" t="inlineStr">
        <is>
          <t>US date</t>
        </is>
      </c>
      <c r="G232" s="76" t="inlineStr">
        <is>
          <t>Yes</t>
        </is>
      </c>
      <c r="H232" s="77" t="inlineStr">
        <is>
          <t>Built-in</t>
        </is>
      </c>
      <c r="I232" s="78" t="inlineStr">
        <is>
          <t>game:2019-11-15:Pokémon Sword and Shield</t>
        </is>
      </c>
    </row>
    <row r="233">
      <c r="A233" s="75" t="n">
        <v>43791</v>
      </c>
      <c r="B233" s="75" t="n"/>
      <c r="C233" t="inlineStr">
        <is>
          <t>Frozen II released</t>
        </is>
      </c>
      <c r="D233" s="39" t="inlineStr">
        <is>
          <t>Movie / trailer</t>
        </is>
      </c>
      <c r="E233" s="39" t="inlineStr">
        <is>
          <t>No</t>
        </is>
      </c>
      <c r="F233" s="47" t="inlineStr">
        <is>
          <t>Disney - US date</t>
        </is>
      </c>
      <c r="G233" s="76" t="inlineStr">
        <is>
          <t>Yes</t>
        </is>
      </c>
      <c r="H233" s="77" t="inlineStr">
        <is>
          <t>Built-in</t>
        </is>
      </c>
      <c r="I233" s="78" t="inlineStr">
        <is>
          <t>rel:2019-11-22:Frozen II</t>
        </is>
      </c>
    </row>
    <row r="234">
      <c r="A234" s="75" t="n">
        <v>43797</v>
      </c>
      <c r="B234" s="75" t="n"/>
      <c r="C234" t="inlineStr">
        <is>
          <t>Thanksgiving</t>
        </is>
      </c>
      <c r="D234" s="39" t="inlineStr">
        <is>
          <t>Holiday</t>
        </is>
      </c>
      <c r="E234" s="39" t="inlineStr">
        <is>
          <t>No</t>
        </is>
      </c>
      <c r="F234" s="47" t="n"/>
      <c r="G234" s="76" t="inlineStr">
        <is>
          <t>Yes</t>
        </is>
      </c>
      <c r="H234" s="77" t="inlineStr">
        <is>
          <t>Built-in</t>
        </is>
      </c>
      <c r="I234" s="78" t="inlineStr">
        <is>
          <t>hol:thanks:2019</t>
        </is>
      </c>
    </row>
    <row r="235">
      <c r="A235" s="75" t="n">
        <v>43798</v>
      </c>
      <c r="B235" s="75" t="n"/>
      <c r="C235" t="inlineStr">
        <is>
          <t>Black Friday</t>
        </is>
      </c>
      <c r="D235" s="39" t="inlineStr">
        <is>
          <t>Holiday</t>
        </is>
      </c>
      <c r="E235" s="39" t="inlineStr">
        <is>
          <t>No</t>
        </is>
      </c>
      <c r="F235" s="47" t="n"/>
      <c r="G235" s="76" t="inlineStr">
        <is>
          <t>Yes</t>
        </is>
      </c>
      <c r="H235" s="77" t="inlineStr">
        <is>
          <t>Built-in</t>
        </is>
      </c>
      <c r="I235" s="78" t="inlineStr">
        <is>
          <t>hol:blackfri:2019</t>
        </is>
      </c>
    </row>
    <row r="236">
      <c r="A236" s="75" t="n">
        <v>43817</v>
      </c>
      <c r="B236" s="75" t="n"/>
      <c r="C236" t="inlineStr">
        <is>
          <t>Popcorn Culture: first video in the library</t>
        </is>
      </c>
      <c r="D236" s="39" t="inlineStr">
        <is>
          <t>SCB milestone</t>
        </is>
      </c>
      <c r="E236" s="39" t="inlineStr">
        <is>
          <t>No</t>
        </is>
      </c>
      <c r="F236" s="47" t="inlineStr">
        <is>
          <t>Episode 0: The Pilot - So it Begins</t>
        </is>
      </c>
      <c r="G236" s="76" t="inlineStr">
        <is>
          <t>Yes</t>
        </is>
      </c>
      <c r="H236" s="77" t="inlineStr">
        <is>
          <t>Built-in</t>
        </is>
      </c>
      <c r="I236" s="78" t="inlineStr">
        <is>
          <t>auto:first:UCHfIbq9thHPC8yrKjAdJgDA</t>
        </is>
      </c>
    </row>
    <row r="237">
      <c r="A237" s="75" t="n">
        <v>43819</v>
      </c>
      <c r="B237" s="75" t="n"/>
      <c r="C237" t="inlineStr">
        <is>
          <t>Star Wars: The Rise of Skywalker released</t>
        </is>
      </c>
      <c r="D237" s="39" t="inlineStr">
        <is>
          <t>Movie / trailer</t>
        </is>
      </c>
      <c r="E237" s="39" t="inlineStr">
        <is>
          <t>No</t>
        </is>
      </c>
      <c r="F237" s="47" t="inlineStr">
        <is>
          <t>Star Wars - US date</t>
        </is>
      </c>
      <c r="G237" s="76" t="inlineStr">
        <is>
          <t>Yes</t>
        </is>
      </c>
      <c r="H237" s="77" t="inlineStr">
        <is>
          <t>Built-in</t>
        </is>
      </c>
      <c r="I237" s="78" t="inlineStr">
        <is>
          <t>rel:2019-12-20:Star Wars: The Rise of S</t>
        </is>
      </c>
    </row>
    <row r="238">
      <c r="A238" s="75" t="n">
        <v>43850</v>
      </c>
      <c r="B238" s="75" t="n"/>
      <c r="C238" t="inlineStr">
        <is>
          <t>Martin Luther King Jr. Day</t>
        </is>
      </c>
      <c r="D238" s="39" t="inlineStr">
        <is>
          <t>Holiday</t>
        </is>
      </c>
      <c r="E238" s="39" t="inlineStr">
        <is>
          <t>No</t>
        </is>
      </c>
      <c r="F238" s="47" t="n"/>
      <c r="G238" s="76" t="inlineStr">
        <is>
          <t>Yes</t>
        </is>
      </c>
      <c r="H238" s="77" t="inlineStr">
        <is>
          <t>Built-in</t>
        </is>
      </c>
      <c r="I238" s="78" t="inlineStr">
        <is>
          <t>hol:mlk:2020</t>
        </is>
      </c>
    </row>
    <row r="239">
      <c r="A239" s="75" t="n">
        <v>43863</v>
      </c>
      <c r="B239" s="75" t="n"/>
      <c r="C239" t="inlineStr">
        <is>
          <t>Super Bowl Sunday</t>
        </is>
      </c>
      <c r="D239" s="39" t="inlineStr">
        <is>
          <t>Holiday</t>
        </is>
      </c>
      <c r="E239" s="39" t="inlineStr">
        <is>
          <t>No</t>
        </is>
      </c>
      <c r="F239" s="47" t="n"/>
      <c r="G239" s="76" t="inlineStr">
        <is>
          <t>Yes</t>
        </is>
      </c>
      <c r="H239" s="77" t="inlineStr">
        <is>
          <t>Built-in</t>
        </is>
      </c>
      <c r="I239" s="78" t="inlineStr">
        <is>
          <t>hol:sb:2020</t>
        </is>
      </c>
    </row>
    <row r="240">
      <c r="A240" s="75" t="n">
        <v>43870</v>
      </c>
      <c r="B240" s="75" t="n"/>
      <c r="C240" t="inlineStr">
        <is>
          <t>The Oscars</t>
        </is>
      </c>
      <c r="D240" s="39" t="inlineStr">
        <is>
          <t>Holiday</t>
        </is>
      </c>
      <c r="E240" s="39" t="inlineStr">
        <is>
          <t>No</t>
        </is>
      </c>
      <c r="F240" s="47" t="inlineStr">
        <is>
          <t>Academy Awards ceremony</t>
        </is>
      </c>
      <c r="G240" s="76" t="inlineStr">
        <is>
          <t>Yes</t>
        </is>
      </c>
      <c r="H240" s="77" t="inlineStr">
        <is>
          <t>Built-in</t>
        </is>
      </c>
      <c r="I240" s="78" t="inlineStr">
        <is>
          <t>hol:oscars:2020</t>
        </is>
      </c>
    </row>
    <row r="241">
      <c r="A241" s="75" t="n">
        <v>43878</v>
      </c>
      <c r="B241" s="75" t="n"/>
      <c r="C241" t="inlineStr">
        <is>
          <t>Presidents' Day</t>
        </is>
      </c>
      <c r="D241" s="39" t="inlineStr">
        <is>
          <t>Holiday</t>
        </is>
      </c>
      <c r="E241" s="39" t="inlineStr">
        <is>
          <t>No</t>
        </is>
      </c>
      <c r="F241" s="47" t="n"/>
      <c r="G241" s="76" t="inlineStr">
        <is>
          <t>Yes</t>
        </is>
      </c>
      <c r="H241" s="77" t="inlineStr">
        <is>
          <t>Built-in</t>
        </is>
      </c>
      <c r="I241" s="78" t="inlineStr">
        <is>
          <t>hol:pres:2020</t>
        </is>
      </c>
    </row>
    <row r="242">
      <c r="A242" s="75" t="n">
        <v>43881</v>
      </c>
      <c r="B242" s="75" t="n"/>
      <c r="C242" t="inlineStr">
        <is>
          <t>Ben &amp; Alyce's Disney wedding (video)</t>
        </is>
      </c>
      <c r="D242" s="39" t="inlineStr">
        <is>
          <t>Carlin life</t>
        </is>
      </c>
      <c r="E242" s="39" t="inlineStr">
        <is>
          <t>No</t>
        </is>
      </c>
      <c r="F242" s="47" t="inlineStr">
        <is>
          <t>Video: 'OUR FAIRY TALE DISNEY WEDDING'</t>
        </is>
      </c>
      <c r="G242" s="76" t="inlineStr">
        <is>
          <t>Yes</t>
        </is>
      </c>
      <c r="H242" s="77" t="inlineStr">
        <is>
          <t>Built-in</t>
        </is>
      </c>
      <c r="I242" s="78" t="inlineStr">
        <is>
          <t>life:2020-02-20</t>
        </is>
      </c>
    </row>
    <row r="243">
      <c r="A243" s="75" t="n">
        <v>43896</v>
      </c>
      <c r="B243" s="75" t="n"/>
      <c r="C243" t="inlineStr">
        <is>
          <t>Onward released</t>
        </is>
      </c>
      <c r="D243" s="39" t="inlineStr">
        <is>
          <t>Movie / trailer</t>
        </is>
      </c>
      <c r="E243" s="39" t="inlineStr">
        <is>
          <t>No</t>
        </is>
      </c>
      <c r="F243" s="47" t="inlineStr">
        <is>
          <t>Pixar - US date</t>
        </is>
      </c>
      <c r="G243" s="76" t="inlineStr">
        <is>
          <t>Yes</t>
        </is>
      </c>
      <c r="H243" s="77" t="inlineStr">
        <is>
          <t>Built-in</t>
        </is>
      </c>
      <c r="I243" s="78" t="inlineStr">
        <is>
          <t>rel:2020-03-06:Onward</t>
        </is>
      </c>
    </row>
    <row r="244">
      <c r="A244" s="75" t="n">
        <v>43899</v>
      </c>
      <c r="B244" s="75" t="n"/>
      <c r="C244" t="inlineStr">
        <is>
          <t>J &amp; Beth welcome twins (announced)</t>
        </is>
      </c>
      <c r="D244" s="39" t="inlineStr">
        <is>
          <t>Carlin life</t>
        </is>
      </c>
      <c r="E244" s="39" t="inlineStr">
        <is>
          <t>No</t>
        </is>
      </c>
      <c r="F244" s="47" t="inlineStr">
        <is>
          <t>Announced in the video 'The Twins Are Born'</t>
        </is>
      </c>
      <c r="G244" s="76" t="inlineStr">
        <is>
          <t>Yes</t>
        </is>
      </c>
      <c r="H244" s="77" t="inlineStr">
        <is>
          <t>Built-in</t>
        </is>
      </c>
      <c r="I244" s="78" t="inlineStr">
        <is>
          <t>life:2020-03-09</t>
        </is>
      </c>
    </row>
    <row r="245">
      <c r="A245" s="75" t="n">
        <v>43901</v>
      </c>
      <c r="B245" s="75" t="n"/>
      <c r="C245" t="inlineStr">
        <is>
          <t>WHO declares COVID-19 a pandemic</t>
        </is>
      </c>
      <c r="D245" s="39" t="inlineStr">
        <is>
          <t>Other</t>
        </is>
      </c>
      <c r="E245" s="39" t="inlineStr">
        <is>
          <t>No</t>
        </is>
      </c>
      <c r="F245" s="47" t="inlineStr">
        <is>
          <t>Lockdowns follow within days</t>
        </is>
      </c>
      <c r="G245" s="76" t="inlineStr">
        <is>
          <t>Yes</t>
        </is>
      </c>
      <c r="H245" s="77" t="inlineStr">
        <is>
          <t>Built-in</t>
        </is>
      </c>
      <c r="I245" s="78" t="inlineStr">
        <is>
          <t>ind:2020-03-11</t>
        </is>
      </c>
    </row>
    <row r="246">
      <c r="A246" s="75" t="n">
        <v>43925</v>
      </c>
      <c r="B246" s="75" t="n"/>
      <c r="C246" t="inlineStr">
        <is>
          <t>Super Carlin Gaming: video #500</t>
        </is>
      </c>
      <c r="D246" s="39" t="inlineStr">
        <is>
          <t>SCB milestone</t>
        </is>
      </c>
      <c r="E246" s="39" t="inlineStr">
        <is>
          <t>No</t>
        </is>
      </c>
      <c r="F246" s="47" t="inlineStr">
        <is>
          <t>Can I Beat Pokemon LeafGreen with A SINGLE VULPIX? 🔥[Pokemon Challenge]</t>
        </is>
      </c>
      <c r="G246" s="76" t="inlineStr">
        <is>
          <t>Yes</t>
        </is>
      </c>
      <c r="H246" s="77" t="inlineStr">
        <is>
          <t>Built-in</t>
        </is>
      </c>
      <c r="I246" s="78" t="inlineStr">
        <is>
          <t>auto:n500:UCor_9jRnNNZVzTuQ92PKsaQ</t>
        </is>
      </c>
    </row>
    <row r="247">
      <c r="A247" s="75" t="n">
        <v>43933</v>
      </c>
      <c r="B247" s="75" t="n"/>
      <c r="C247" t="inlineStr">
        <is>
          <t>Easter Sunday</t>
        </is>
      </c>
      <c r="D247" s="39" t="inlineStr">
        <is>
          <t>Holiday</t>
        </is>
      </c>
      <c r="E247" s="39" t="inlineStr">
        <is>
          <t>No</t>
        </is>
      </c>
      <c r="F247" s="47" t="n"/>
      <c r="G247" s="76" t="inlineStr">
        <is>
          <t>Yes</t>
        </is>
      </c>
      <c r="H247" s="77" t="inlineStr">
        <is>
          <t>Built-in</t>
        </is>
      </c>
      <c r="I247" s="78" t="inlineStr">
        <is>
          <t>hol:easter:2020</t>
        </is>
      </c>
    </row>
    <row r="248">
      <c r="A248" s="75" t="n">
        <v>43961</v>
      </c>
      <c r="B248" s="75" t="n"/>
      <c r="C248" t="inlineStr">
        <is>
          <t>Mother's Day</t>
        </is>
      </c>
      <c r="D248" s="39" t="inlineStr">
        <is>
          <t>Holiday</t>
        </is>
      </c>
      <c r="E248" s="39" t="inlineStr">
        <is>
          <t>No</t>
        </is>
      </c>
      <c r="F248" s="47" t="n"/>
      <c r="G248" s="76" t="inlineStr">
        <is>
          <t>Yes</t>
        </is>
      </c>
      <c r="H248" s="77" t="inlineStr">
        <is>
          <t>Built-in</t>
        </is>
      </c>
      <c r="I248" s="78" t="inlineStr">
        <is>
          <t>hol:mothers:2020</t>
        </is>
      </c>
    </row>
    <row r="249">
      <c r="A249" s="75" t="n">
        <v>43976</v>
      </c>
      <c r="B249" s="75" t="n"/>
      <c r="C249" t="inlineStr">
        <is>
          <t>Memorial Day</t>
        </is>
      </c>
      <c r="D249" s="39" t="inlineStr">
        <is>
          <t>Holiday</t>
        </is>
      </c>
      <c r="E249" s="39" t="inlineStr">
        <is>
          <t>No</t>
        </is>
      </c>
      <c r="F249" s="47" t="n"/>
      <c r="G249" s="76" t="inlineStr">
        <is>
          <t>Yes</t>
        </is>
      </c>
      <c r="H249" s="77" t="inlineStr">
        <is>
          <t>Built-in</t>
        </is>
      </c>
      <c r="I249" s="78" t="inlineStr">
        <is>
          <t>hol:memorial:2020</t>
        </is>
      </c>
    </row>
    <row r="250">
      <c r="A250" s="75" t="n">
        <v>43986</v>
      </c>
      <c r="B250" s="75" t="n"/>
      <c r="C250" t="inlineStr">
        <is>
          <t>Super Carlin Brothers: video #1,000</t>
        </is>
      </c>
      <c r="D250" s="39" t="inlineStr">
        <is>
          <t>SCB milestone</t>
        </is>
      </c>
      <c r="E250" s="39" t="inlineStr">
        <is>
          <t>No</t>
        </is>
      </c>
      <c r="F250" s="47" t="inlineStr">
        <is>
          <t>Why Snape Was Forced To Teach Potions [Harry Potter Theory]</t>
        </is>
      </c>
      <c r="G250" s="76" t="inlineStr">
        <is>
          <t>Yes</t>
        </is>
      </c>
      <c r="H250" s="77" t="inlineStr">
        <is>
          <t>Built-in</t>
        </is>
      </c>
      <c r="I250" s="78" t="inlineStr">
        <is>
          <t>auto:n1000:UCKZo4N0lVPccBkSiuyVh4yg</t>
        </is>
      </c>
    </row>
    <row r="251">
      <c r="A251" s="75" t="n">
        <v>44003</v>
      </c>
      <c r="B251" s="75" t="n"/>
      <c r="C251" t="inlineStr">
        <is>
          <t>Father's Day</t>
        </is>
      </c>
      <c r="D251" s="39" t="inlineStr">
        <is>
          <t>Holiday</t>
        </is>
      </c>
      <c r="E251" s="39" t="inlineStr">
        <is>
          <t>No</t>
        </is>
      </c>
      <c r="F251" s="47" t="n"/>
      <c r="G251" s="76" t="inlineStr">
        <is>
          <t>Yes</t>
        </is>
      </c>
      <c r="H251" s="77" t="inlineStr">
        <is>
          <t>Built-in</t>
        </is>
      </c>
      <c r="I251" s="78" t="inlineStr">
        <is>
          <t>hol:fathers:2020</t>
        </is>
      </c>
    </row>
    <row r="252">
      <c r="A252" s="75" t="n">
        <v>44071</v>
      </c>
      <c r="B252" s="75" t="n"/>
      <c r="C252" t="inlineStr">
        <is>
          <t>Chadwick Boseman passes away (Black Panther)</t>
        </is>
      </c>
      <c r="D252" s="39" t="inlineStr">
        <is>
          <t>Fandom</t>
        </is>
      </c>
      <c r="E252" s="39" t="inlineStr">
        <is>
          <t>No</t>
        </is>
      </c>
      <c r="F252" s="47" t="inlineStr">
        <is>
          <t>In memoriam</t>
        </is>
      </c>
      <c r="G252" s="76" t="inlineStr">
        <is>
          <t>Yes</t>
        </is>
      </c>
      <c r="H252" s="77" t="inlineStr">
        <is>
          <t>Built-in</t>
        </is>
      </c>
      <c r="I252" s="78" t="inlineStr">
        <is>
          <t>fan:mem:2020-08-28</t>
        </is>
      </c>
    </row>
    <row r="253">
      <c r="A253" s="75" t="n">
        <v>44078</v>
      </c>
      <c r="B253" s="75" t="n"/>
      <c r="C253" t="inlineStr">
        <is>
          <t>Mulan (live-action, Disney+) released</t>
        </is>
      </c>
      <c r="D253" s="39" t="inlineStr">
        <is>
          <t>Movie / trailer</t>
        </is>
      </c>
      <c r="E253" s="39" t="inlineStr">
        <is>
          <t>No</t>
        </is>
      </c>
      <c r="F253" s="47" t="inlineStr">
        <is>
          <t>Disney - US date</t>
        </is>
      </c>
      <c r="G253" s="76" t="inlineStr">
        <is>
          <t>Yes</t>
        </is>
      </c>
      <c r="H253" s="77" t="inlineStr">
        <is>
          <t>Built-in</t>
        </is>
      </c>
      <c r="I253" s="78" t="inlineStr">
        <is>
          <t>rel:2020-09-04:Mulan (live-action, Disn</t>
        </is>
      </c>
    </row>
    <row r="254">
      <c r="A254" s="75" t="n">
        <v>44081</v>
      </c>
      <c r="B254" s="75" t="n"/>
      <c r="C254" t="inlineStr">
        <is>
          <t>Labor Day</t>
        </is>
      </c>
      <c r="D254" s="39" t="inlineStr">
        <is>
          <t>Holiday</t>
        </is>
      </c>
      <c r="E254" s="39" t="inlineStr">
        <is>
          <t>No</t>
        </is>
      </c>
      <c r="F254" s="47" t="n"/>
      <c r="G254" s="76" t="inlineStr">
        <is>
          <t>Yes</t>
        </is>
      </c>
      <c r="H254" s="77" t="inlineStr">
        <is>
          <t>Built-in</t>
        </is>
      </c>
      <c r="I254" s="78" t="inlineStr">
        <is>
          <t>hol:labor:2020</t>
        </is>
      </c>
    </row>
    <row r="255">
      <c r="A255" s="75" t="n">
        <v>44097</v>
      </c>
      <c r="B255" s="75" t="n"/>
      <c r="C255" t="inlineStr">
        <is>
          <t>Rocket League goes free-to-play</t>
        </is>
      </c>
      <c r="D255" s="39" t="inlineStr">
        <is>
          <t>Game release</t>
        </is>
      </c>
      <c r="E255" s="39" t="inlineStr">
        <is>
          <t>No</t>
        </is>
      </c>
      <c r="F255" s="47" t="inlineStr">
        <is>
          <t>US date</t>
        </is>
      </c>
      <c r="G255" s="76" t="inlineStr">
        <is>
          <t>Yes</t>
        </is>
      </c>
      <c r="H255" s="77" t="inlineStr">
        <is>
          <t>Built-in</t>
        </is>
      </c>
      <c r="I255" s="78" t="inlineStr">
        <is>
          <t>game:2020-09-23:Rocket League goes free-</t>
        </is>
      </c>
    </row>
    <row r="256">
      <c r="A256" s="75" t="n">
        <v>44134</v>
      </c>
      <c r="B256" s="75" t="n"/>
      <c r="C256" t="inlineStr">
        <is>
          <t>The Mandalorian season 2 (Disney+) premieres</t>
        </is>
      </c>
      <c r="D256" s="39" t="inlineStr">
        <is>
          <t>Movie / trailer</t>
        </is>
      </c>
      <c r="E256" s="39" t="inlineStr">
        <is>
          <t>No</t>
        </is>
      </c>
      <c r="F256" s="47" t="inlineStr">
        <is>
          <t>Star Wars - US date</t>
        </is>
      </c>
      <c r="G256" s="76" t="inlineStr">
        <is>
          <t>Yes</t>
        </is>
      </c>
      <c r="H256" s="77" t="inlineStr">
        <is>
          <t>Built-in</t>
        </is>
      </c>
      <c r="I256" s="78" t="inlineStr">
        <is>
          <t>rel:2020-10-30:The Mandalorian season 2</t>
        </is>
      </c>
    </row>
    <row r="257">
      <c r="A257" s="75" t="n">
        <v>44161</v>
      </c>
      <c r="B257" s="75" t="n"/>
      <c r="C257" t="inlineStr">
        <is>
          <t>Thanksgiving</t>
        </is>
      </c>
      <c r="D257" s="39" t="inlineStr">
        <is>
          <t>Holiday</t>
        </is>
      </c>
      <c r="E257" s="39" t="inlineStr">
        <is>
          <t>No</t>
        </is>
      </c>
      <c r="F257" s="47" t="n"/>
      <c r="G257" s="76" t="inlineStr">
        <is>
          <t>Yes</t>
        </is>
      </c>
      <c r="H257" s="77" t="inlineStr">
        <is>
          <t>Built-in</t>
        </is>
      </c>
      <c r="I257" s="78" t="inlineStr">
        <is>
          <t>hol:thanks:2020</t>
        </is>
      </c>
    </row>
    <row r="258">
      <c r="A258" s="75" t="n">
        <v>44162</v>
      </c>
      <c r="B258" s="75" t="n"/>
      <c r="C258" t="inlineStr">
        <is>
          <t>Black Friday</t>
        </is>
      </c>
      <c r="D258" s="39" t="inlineStr">
        <is>
          <t>Holiday</t>
        </is>
      </c>
      <c r="E258" s="39" t="inlineStr">
        <is>
          <t>No</t>
        </is>
      </c>
      <c r="F258" s="47" t="n"/>
      <c r="G258" s="76" t="inlineStr">
        <is>
          <t>Yes</t>
        </is>
      </c>
      <c r="H258" s="77" t="inlineStr">
        <is>
          <t>Built-in</t>
        </is>
      </c>
      <c r="I258" s="78" t="inlineStr">
        <is>
          <t>hol:blackfri:2020</t>
        </is>
      </c>
    </row>
    <row r="259">
      <c r="A259" s="75" t="n">
        <v>44190</v>
      </c>
      <c r="B259" s="75" t="n"/>
      <c r="C259" t="inlineStr">
        <is>
          <t>Soul (Disney+) released</t>
        </is>
      </c>
      <c r="D259" s="39" t="inlineStr">
        <is>
          <t>Movie / trailer</t>
        </is>
      </c>
      <c r="E259" s="39" t="inlineStr">
        <is>
          <t>No</t>
        </is>
      </c>
      <c r="F259" s="47" t="inlineStr">
        <is>
          <t>Pixar - US date</t>
        </is>
      </c>
      <c r="G259" s="76" t="inlineStr">
        <is>
          <t>Yes</t>
        </is>
      </c>
      <c r="H259" s="77" t="inlineStr">
        <is>
          <t>Built-in</t>
        </is>
      </c>
      <c r="I259" s="78" t="inlineStr">
        <is>
          <t>rel:2020-12-25:Soul (Disney+)</t>
        </is>
      </c>
    </row>
    <row r="260">
      <c r="A260" s="75" t="n">
        <v>44211</v>
      </c>
      <c r="B260" s="75" t="n"/>
      <c r="C260" t="inlineStr">
        <is>
          <t>WandaVision (Disney+) premieres</t>
        </is>
      </c>
      <c r="D260" s="39" t="inlineStr">
        <is>
          <t>Movie / trailer</t>
        </is>
      </c>
      <c r="E260" s="39" t="inlineStr">
        <is>
          <t>No</t>
        </is>
      </c>
      <c r="F260" s="47" t="inlineStr">
        <is>
          <t>Marvel - US date</t>
        </is>
      </c>
      <c r="G260" s="76" t="inlineStr">
        <is>
          <t>Yes</t>
        </is>
      </c>
      <c r="H260" s="77" t="inlineStr">
        <is>
          <t>Built-in</t>
        </is>
      </c>
      <c r="I260" s="78" t="inlineStr">
        <is>
          <t>rel:2021-01-15:WandaVision (Disney+)</t>
        </is>
      </c>
    </row>
    <row r="261">
      <c r="A261" s="75" t="n">
        <v>44214</v>
      </c>
      <c r="B261" s="75" t="n"/>
      <c r="C261" t="inlineStr">
        <is>
          <t>Martin Luther King Jr. Day</t>
        </is>
      </c>
      <c r="D261" s="39" t="inlineStr">
        <is>
          <t>Holiday</t>
        </is>
      </c>
      <c r="E261" s="39" t="inlineStr">
        <is>
          <t>No</t>
        </is>
      </c>
      <c r="F261" s="47" t="n"/>
      <c r="G261" s="76" t="inlineStr">
        <is>
          <t>Yes</t>
        </is>
      </c>
      <c r="H261" s="77" t="inlineStr">
        <is>
          <t>Built-in</t>
        </is>
      </c>
      <c r="I261" s="78" t="inlineStr">
        <is>
          <t>hol:mlk:2021</t>
        </is>
      </c>
    </row>
    <row r="262">
      <c r="A262" s="75" t="n">
        <v>44234</v>
      </c>
      <c r="B262" s="75" t="n"/>
      <c r="C262" t="inlineStr">
        <is>
          <t>Super Bowl Sunday</t>
        </is>
      </c>
      <c r="D262" s="39" t="inlineStr">
        <is>
          <t>Holiday</t>
        </is>
      </c>
      <c r="E262" s="39" t="inlineStr">
        <is>
          <t>No</t>
        </is>
      </c>
      <c r="F262" s="47" t="n"/>
      <c r="G262" s="76" t="inlineStr">
        <is>
          <t>Yes</t>
        </is>
      </c>
      <c r="H262" s="77" t="inlineStr">
        <is>
          <t>Built-in</t>
        </is>
      </c>
      <c r="I262" s="78" t="inlineStr">
        <is>
          <t>hol:sb:2021</t>
        </is>
      </c>
    </row>
    <row r="263">
      <c r="A263" s="75" t="n">
        <v>44242</v>
      </c>
      <c r="B263" s="75" t="n"/>
      <c r="C263" t="inlineStr">
        <is>
          <t>Presidents' Day</t>
        </is>
      </c>
      <c r="D263" s="39" t="inlineStr">
        <is>
          <t>Holiday</t>
        </is>
      </c>
      <c r="E263" s="39" t="inlineStr">
        <is>
          <t>No</t>
        </is>
      </c>
      <c r="F263" s="47" t="n"/>
      <c r="G263" s="76" t="inlineStr">
        <is>
          <t>Yes</t>
        </is>
      </c>
      <c r="H263" s="77" t="inlineStr">
        <is>
          <t>Built-in</t>
        </is>
      </c>
      <c r="I263" s="78" t="inlineStr">
        <is>
          <t>hol:pres:2021</t>
        </is>
      </c>
    </row>
    <row r="264">
      <c r="A264" s="75" t="n">
        <v>44260</v>
      </c>
      <c r="B264" s="75" t="n"/>
      <c r="C264" t="inlineStr">
        <is>
          <t>Raya and the Last Dragon released</t>
        </is>
      </c>
      <c r="D264" s="39" t="inlineStr">
        <is>
          <t>Movie / trailer</t>
        </is>
      </c>
      <c r="E264" s="39" t="inlineStr">
        <is>
          <t>No</t>
        </is>
      </c>
      <c r="F264" s="47" t="inlineStr">
        <is>
          <t>Disney - US date</t>
        </is>
      </c>
      <c r="G264" s="76" t="inlineStr">
        <is>
          <t>Yes</t>
        </is>
      </c>
      <c r="H264" s="77" t="inlineStr">
        <is>
          <t>Built-in</t>
        </is>
      </c>
      <c r="I264" s="78" t="inlineStr">
        <is>
          <t>rel:2021-03-05:Raya and the Last Dragon</t>
        </is>
      </c>
    </row>
    <row r="265">
      <c r="A265" s="75" t="n">
        <v>44274</v>
      </c>
      <c r="B265" s="75" t="n"/>
      <c r="C265" t="inlineStr">
        <is>
          <t>The Falcon and the Winter Soldier (Disney+) premieres</t>
        </is>
      </c>
      <c r="D265" s="39" t="inlineStr">
        <is>
          <t>Movie / trailer</t>
        </is>
      </c>
      <c r="E265" s="39" t="inlineStr">
        <is>
          <t>No</t>
        </is>
      </c>
      <c r="F265" s="47" t="inlineStr">
        <is>
          <t>Marvel - US date</t>
        </is>
      </c>
      <c r="G265" s="76" t="inlineStr">
        <is>
          <t>Yes</t>
        </is>
      </c>
      <c r="H265" s="77" t="inlineStr">
        <is>
          <t>Built-in</t>
        </is>
      </c>
      <c r="I265" s="78" t="inlineStr">
        <is>
          <t>rel:2021-03-19:The Falcon and the Winte</t>
        </is>
      </c>
    </row>
    <row r="266">
      <c r="A266" s="75" t="n">
        <v>44290</v>
      </c>
      <c r="B266" s="75" t="n"/>
      <c r="C266" t="inlineStr">
        <is>
          <t>Easter Sunday</t>
        </is>
      </c>
      <c r="D266" s="39" t="inlineStr">
        <is>
          <t>Holiday</t>
        </is>
      </c>
      <c r="E266" s="39" t="inlineStr">
        <is>
          <t>No</t>
        </is>
      </c>
      <c r="F266" s="47" t="n"/>
      <c r="G266" s="76" t="inlineStr">
        <is>
          <t>Yes</t>
        </is>
      </c>
      <c r="H266" s="77" t="inlineStr">
        <is>
          <t>Built-in</t>
        </is>
      </c>
      <c r="I266" s="78" t="inlineStr">
        <is>
          <t>hol:easter:2021</t>
        </is>
      </c>
    </row>
    <row r="267">
      <c r="A267" s="75" t="n">
        <v>44302</v>
      </c>
      <c r="B267" s="75" t="n"/>
      <c r="C267" t="inlineStr">
        <is>
          <t>Helen McCrory passes away (Narcissa Malfoy)</t>
        </is>
      </c>
      <c r="D267" s="39" t="inlineStr">
        <is>
          <t>Fandom</t>
        </is>
      </c>
      <c r="E267" s="39" t="inlineStr">
        <is>
          <t>No</t>
        </is>
      </c>
      <c r="F267" s="47" t="inlineStr">
        <is>
          <t>In memoriam</t>
        </is>
      </c>
      <c r="G267" s="76" t="inlineStr">
        <is>
          <t>Yes</t>
        </is>
      </c>
      <c r="H267" s="77" t="inlineStr">
        <is>
          <t>Built-in</t>
        </is>
      </c>
      <c r="I267" s="78" t="inlineStr">
        <is>
          <t>fan:mem:2021-04-16</t>
        </is>
      </c>
    </row>
    <row r="268">
      <c r="A268" s="75" t="n">
        <v>44311</v>
      </c>
      <c r="B268" s="75" t="n"/>
      <c r="C268" t="inlineStr">
        <is>
          <t>The Oscars</t>
        </is>
      </c>
      <c r="D268" s="39" t="inlineStr">
        <is>
          <t>Holiday</t>
        </is>
      </c>
      <c r="E268" s="39" t="inlineStr">
        <is>
          <t>No</t>
        </is>
      </c>
      <c r="F268" s="47" t="inlineStr">
        <is>
          <t>Academy Awards ceremony</t>
        </is>
      </c>
      <c r="G268" s="76" t="inlineStr">
        <is>
          <t>Yes</t>
        </is>
      </c>
      <c r="H268" s="77" t="inlineStr">
        <is>
          <t>Built-in</t>
        </is>
      </c>
      <c r="I268" s="78" t="inlineStr">
        <is>
          <t>hol:oscars:2021</t>
        </is>
      </c>
    </row>
    <row r="269">
      <c r="A269" s="75" t="n">
        <v>44325</v>
      </c>
      <c r="B269" s="75" t="n"/>
      <c r="C269" t="inlineStr">
        <is>
          <t>Mother's Day</t>
        </is>
      </c>
      <c r="D269" s="39" t="inlineStr">
        <is>
          <t>Holiday</t>
        </is>
      </c>
      <c r="E269" s="39" t="inlineStr">
        <is>
          <t>No</t>
        </is>
      </c>
      <c r="F269" s="47" t="n"/>
      <c r="G269" s="76" t="inlineStr">
        <is>
          <t>Yes</t>
        </is>
      </c>
      <c r="H269" s="77" t="inlineStr">
        <is>
          <t>Built-in</t>
        </is>
      </c>
      <c r="I269" s="78" t="inlineStr">
        <is>
          <t>hol:mothers:2021</t>
        </is>
      </c>
    </row>
    <row r="270">
      <c r="A270" s="75" t="n">
        <v>44344</v>
      </c>
      <c r="B270" s="75" t="n"/>
      <c r="C270" t="inlineStr">
        <is>
          <t>Cruella released</t>
        </is>
      </c>
      <c r="D270" s="39" t="inlineStr">
        <is>
          <t>Movie / trailer</t>
        </is>
      </c>
      <c r="E270" s="39" t="inlineStr">
        <is>
          <t>No</t>
        </is>
      </c>
      <c r="F270" s="47" t="inlineStr">
        <is>
          <t>Disney - US date</t>
        </is>
      </c>
      <c r="G270" s="76" t="inlineStr">
        <is>
          <t>Yes</t>
        </is>
      </c>
      <c r="H270" s="77" t="inlineStr">
        <is>
          <t>Built-in</t>
        </is>
      </c>
      <c r="I270" s="78" t="inlineStr">
        <is>
          <t>rel:2021-05-28:Cruella</t>
        </is>
      </c>
    </row>
    <row r="271">
      <c r="A271" s="75" t="n">
        <v>44347</v>
      </c>
      <c r="B271" s="75" t="n"/>
      <c r="C271" t="inlineStr">
        <is>
          <t>Memorial Day</t>
        </is>
      </c>
      <c r="D271" s="39" t="inlineStr">
        <is>
          <t>Holiday</t>
        </is>
      </c>
      <c r="E271" s="39" t="inlineStr">
        <is>
          <t>No</t>
        </is>
      </c>
      <c r="F271" s="47" t="n"/>
      <c r="G271" s="76" t="inlineStr">
        <is>
          <t>Yes</t>
        </is>
      </c>
      <c r="H271" s="77" t="inlineStr">
        <is>
          <t>Built-in</t>
        </is>
      </c>
      <c r="I271" s="78" t="inlineStr">
        <is>
          <t>hol:memorial:2021</t>
        </is>
      </c>
    </row>
    <row r="272">
      <c r="A272" s="75" t="n">
        <v>44356</v>
      </c>
      <c r="B272" s="75" t="n"/>
      <c r="C272" t="inlineStr">
        <is>
          <t>Loki (Disney+) premieres</t>
        </is>
      </c>
      <c r="D272" s="39" t="inlineStr">
        <is>
          <t>Movie / trailer</t>
        </is>
      </c>
      <c r="E272" s="39" t="inlineStr">
        <is>
          <t>No</t>
        </is>
      </c>
      <c r="F272" s="47" t="inlineStr">
        <is>
          <t>Marvel - US date</t>
        </is>
      </c>
      <c r="G272" s="76" t="inlineStr">
        <is>
          <t>Yes</t>
        </is>
      </c>
      <c r="H272" s="77" t="inlineStr">
        <is>
          <t>Built-in</t>
        </is>
      </c>
      <c r="I272" s="78" t="inlineStr">
        <is>
          <t>rel:2021-06-09:Loki (Disney+)</t>
        </is>
      </c>
    </row>
    <row r="273">
      <c r="A273" s="75" t="n">
        <v>44365</v>
      </c>
      <c r="B273" s="75" t="n"/>
      <c r="C273" t="inlineStr">
        <is>
          <t>Luca (Disney+) released</t>
        </is>
      </c>
      <c r="D273" s="39" t="inlineStr">
        <is>
          <t>Movie / trailer</t>
        </is>
      </c>
      <c r="E273" s="39" t="inlineStr">
        <is>
          <t>No</t>
        </is>
      </c>
      <c r="F273" s="47" t="inlineStr">
        <is>
          <t>Pixar - US date</t>
        </is>
      </c>
      <c r="G273" s="76" t="inlineStr">
        <is>
          <t>Yes</t>
        </is>
      </c>
      <c r="H273" s="77" t="inlineStr">
        <is>
          <t>Built-in</t>
        </is>
      </c>
      <c r="I273" s="78" t="inlineStr">
        <is>
          <t>rel:2021-06-18:Luca (Disney+)</t>
        </is>
      </c>
    </row>
    <row r="274">
      <c r="A274" s="75" t="n">
        <v>44366</v>
      </c>
      <c r="B274" s="75" t="n"/>
      <c r="C274" t="inlineStr">
        <is>
          <t>Juneteenth</t>
        </is>
      </c>
      <c r="D274" s="39" t="inlineStr">
        <is>
          <t>Holiday</t>
        </is>
      </c>
      <c r="E274" s="39" t="inlineStr">
        <is>
          <t>Yes</t>
        </is>
      </c>
      <c r="F274" s="47" t="n"/>
      <c r="G274" s="76" t="inlineStr">
        <is>
          <t>Yes</t>
        </is>
      </c>
      <c r="H274" s="77" t="inlineStr">
        <is>
          <t>Built-in</t>
        </is>
      </c>
      <c r="I274" s="78" t="inlineStr">
        <is>
          <t>hol:0619</t>
        </is>
      </c>
    </row>
    <row r="275">
      <c r="A275" s="75" t="n">
        <v>44367</v>
      </c>
      <c r="B275" s="75" t="n"/>
      <c r="C275" t="inlineStr">
        <is>
          <t>Father's Day</t>
        </is>
      </c>
      <c r="D275" s="39" t="inlineStr">
        <is>
          <t>Holiday</t>
        </is>
      </c>
      <c r="E275" s="39" t="inlineStr">
        <is>
          <t>No</t>
        </is>
      </c>
      <c r="F275" s="47" t="n"/>
      <c r="G275" s="76" t="inlineStr">
        <is>
          <t>Yes</t>
        </is>
      </c>
      <c r="H275" s="77" t="inlineStr">
        <is>
          <t>Built-in</t>
        </is>
      </c>
      <c r="I275" s="78" t="inlineStr">
        <is>
          <t>hol:fathers:2021</t>
        </is>
      </c>
    </row>
    <row r="276">
      <c r="A276" s="75" t="n">
        <v>44386</v>
      </c>
      <c r="B276" s="75" t="n"/>
      <c r="C276" t="inlineStr">
        <is>
          <t>Black Widow released</t>
        </is>
      </c>
      <c r="D276" s="39" t="inlineStr">
        <is>
          <t>Movie / trailer</t>
        </is>
      </c>
      <c r="E276" s="39" t="inlineStr">
        <is>
          <t>No</t>
        </is>
      </c>
      <c r="F276" s="47" t="inlineStr">
        <is>
          <t>Marvel - US date</t>
        </is>
      </c>
      <c r="G276" s="76" t="inlineStr">
        <is>
          <t>Yes</t>
        </is>
      </c>
      <c r="H276" s="77" t="inlineStr">
        <is>
          <t>Built-in</t>
        </is>
      </c>
      <c r="I276" s="78" t="inlineStr">
        <is>
          <t>rel:2021-07-09:Black Widow</t>
        </is>
      </c>
    </row>
    <row r="277">
      <c r="A277" s="75" t="n">
        <v>44400</v>
      </c>
      <c r="B277" s="75" t="n">
        <v>44402</v>
      </c>
      <c r="C277" t="inlineStr">
        <is>
          <t>San Diego Comic-Con</t>
        </is>
      </c>
      <c r="D277" s="39" t="inlineStr">
        <is>
          <t>Movie / trailer</t>
        </is>
      </c>
      <c r="E277" s="39" t="inlineStr">
        <is>
          <t>No</t>
        </is>
      </c>
      <c r="F277" s="47" t="inlineStr">
        <is>
          <t>Big trailer and announcement reveals (Marvel, Star Wars, Disney, Harry Potter)</t>
        </is>
      </c>
      <c r="G277" s="76" t="inlineStr">
        <is>
          <t>Yes</t>
        </is>
      </c>
      <c r="H277" s="77" t="inlineStr">
        <is>
          <t>Built-in</t>
        </is>
      </c>
      <c r="I277" s="78" t="inlineStr">
        <is>
          <t>con:sdcc:2021</t>
        </is>
      </c>
    </row>
    <row r="278">
      <c r="A278" s="75" t="n">
        <v>44419</v>
      </c>
      <c r="B278" s="75" t="n"/>
      <c r="C278" t="inlineStr">
        <is>
          <t>What If...? (Disney+) premieres</t>
        </is>
      </c>
      <c r="D278" s="39" t="inlineStr">
        <is>
          <t>Movie / trailer</t>
        </is>
      </c>
      <c r="E278" s="39" t="inlineStr">
        <is>
          <t>No</t>
        </is>
      </c>
      <c r="F278" s="47" t="inlineStr">
        <is>
          <t>Marvel - US date</t>
        </is>
      </c>
      <c r="G278" s="76" t="inlineStr">
        <is>
          <t>Yes</t>
        </is>
      </c>
      <c r="H278" s="77" t="inlineStr">
        <is>
          <t>Built-in</t>
        </is>
      </c>
      <c r="I278" s="78" t="inlineStr">
        <is>
          <t>rel:2021-08-11:What If...? (Disney+)</t>
        </is>
      </c>
    </row>
    <row r="279">
      <c r="A279" s="75" t="n">
        <v>44432</v>
      </c>
      <c r="B279" s="75" t="n"/>
      <c r="C279" t="inlineStr">
        <is>
          <t>Spider-Man: No Way Home - first trailer</t>
        </is>
      </c>
      <c r="D279" s="39" t="inlineStr">
        <is>
          <t>Movie / trailer</t>
        </is>
      </c>
      <c r="E279" s="39" t="inlineStr">
        <is>
          <t>No</t>
        </is>
      </c>
      <c r="F279" s="47" t="inlineStr">
        <is>
          <t>Marvel - US date (trailer)</t>
        </is>
      </c>
      <c r="G279" s="76" t="inlineStr">
        <is>
          <t>Yes</t>
        </is>
      </c>
      <c r="H279" s="77" t="inlineStr">
        <is>
          <t>Built-in</t>
        </is>
      </c>
      <c r="I279" s="78" t="inlineStr">
        <is>
          <t xml:space="preserve">rel:2021-08-24:Spider-Man: No Way Home </t>
        </is>
      </c>
    </row>
    <row r="280">
      <c r="A280" s="75" t="n">
        <v>44442</v>
      </c>
      <c r="B280" s="75" t="n"/>
      <c r="C280" t="inlineStr">
        <is>
          <t>Shang-Chi and the Legend of the Ten Rings released</t>
        </is>
      </c>
      <c r="D280" s="39" t="inlineStr">
        <is>
          <t>Movie / trailer</t>
        </is>
      </c>
      <c r="E280" s="39" t="inlineStr">
        <is>
          <t>No</t>
        </is>
      </c>
      <c r="F280" s="47" t="inlineStr">
        <is>
          <t>Marvel - US date</t>
        </is>
      </c>
      <c r="G280" s="76" t="inlineStr">
        <is>
          <t>Yes</t>
        </is>
      </c>
      <c r="H280" s="77" t="inlineStr">
        <is>
          <t>Built-in</t>
        </is>
      </c>
      <c r="I280" s="78" t="inlineStr">
        <is>
          <t>rel:2021-09-03:Shang-Chi and the Legend</t>
        </is>
      </c>
    </row>
    <row r="281">
      <c r="A281" s="75" t="n">
        <v>44445</v>
      </c>
      <c r="B281" s="75" t="n"/>
      <c r="C281" t="inlineStr">
        <is>
          <t>Labor Day</t>
        </is>
      </c>
      <c r="D281" s="39" t="inlineStr">
        <is>
          <t>Holiday</t>
        </is>
      </c>
      <c r="E281" s="39" t="inlineStr">
        <is>
          <t>No</t>
        </is>
      </c>
      <c r="F281" s="47" t="n"/>
      <c r="G281" s="76" t="inlineStr">
        <is>
          <t>Yes</t>
        </is>
      </c>
      <c r="H281" s="77" t="inlineStr">
        <is>
          <t>Built-in</t>
        </is>
      </c>
      <c r="I281" s="78" t="inlineStr">
        <is>
          <t>hol:labor:2021</t>
        </is>
      </c>
    </row>
    <row r="282">
      <c r="A282" s="75" t="n">
        <v>44505</v>
      </c>
      <c r="B282" s="75" t="n"/>
      <c r="C282" t="inlineStr">
        <is>
          <t>Eternals released</t>
        </is>
      </c>
      <c r="D282" s="39" t="inlineStr">
        <is>
          <t>Movie / trailer</t>
        </is>
      </c>
      <c r="E282" s="39" t="inlineStr">
        <is>
          <t>No</t>
        </is>
      </c>
      <c r="F282" s="47" t="inlineStr">
        <is>
          <t>Marvel - US date</t>
        </is>
      </c>
      <c r="G282" s="76" t="inlineStr">
        <is>
          <t>Yes</t>
        </is>
      </c>
      <c r="H282" s="77" t="inlineStr">
        <is>
          <t>Built-in</t>
        </is>
      </c>
      <c r="I282" s="78" t="inlineStr">
        <is>
          <t>rel:2021-11-05:Eternals</t>
        </is>
      </c>
    </row>
    <row r="283">
      <c r="A283" s="75" t="n">
        <v>44505</v>
      </c>
      <c r="B283" s="75" t="n"/>
      <c r="C283" t="inlineStr">
        <is>
          <t>Popcorn Culture: most-viewed video uploaded</t>
        </is>
      </c>
      <c r="D283" s="39" t="inlineStr">
        <is>
          <t>SCB milestone</t>
        </is>
      </c>
      <c r="E283" s="39" t="inlineStr">
        <is>
          <t>No</t>
        </is>
      </c>
      <c r="F283" s="47" t="inlineStr">
        <is>
          <t>The Wives Episode - How to be Effortlessly Cool | Popcorn Culture</t>
        </is>
      </c>
      <c r="G283" s="76" t="inlineStr">
        <is>
          <t>Yes</t>
        </is>
      </c>
      <c r="H283" s="77" t="inlineStr">
        <is>
          <t>Built-in</t>
        </is>
      </c>
      <c r="I283" s="78" t="inlineStr">
        <is>
          <t>auto:top:UCHfIbq9thHPC8yrKjAdJgDA</t>
        </is>
      </c>
    </row>
    <row r="284">
      <c r="A284" s="75" t="n">
        <v>44505</v>
      </c>
      <c r="B284" s="75" t="n"/>
      <c r="C284" t="inlineStr">
        <is>
          <t>Popcorn Culture: video #100</t>
        </is>
      </c>
      <c r="D284" s="39" t="inlineStr">
        <is>
          <t>SCB milestone</t>
        </is>
      </c>
      <c r="E284" s="39" t="inlineStr">
        <is>
          <t>No</t>
        </is>
      </c>
      <c r="F284" s="47" t="inlineStr">
        <is>
          <t>The Wives Episode - How to be Effortlessly Cool | Popcorn Culture</t>
        </is>
      </c>
      <c r="G284" s="76" t="inlineStr">
        <is>
          <t>Yes</t>
        </is>
      </c>
      <c r="H284" s="77" t="inlineStr">
        <is>
          <t>Built-in</t>
        </is>
      </c>
      <c r="I284" s="78" t="inlineStr">
        <is>
          <t>auto:n100:UCHfIbq9thHPC8yrKjAdJgDA</t>
        </is>
      </c>
    </row>
    <row r="285">
      <c r="A285" s="75" t="n">
        <v>44512</v>
      </c>
      <c r="B285" s="75" t="n"/>
      <c r="C285" t="inlineStr">
        <is>
          <t>Ben &amp; Alyce welcome their first child; 'With the Carlins' channel begins</t>
        </is>
      </c>
      <c r="D285" s="39" t="inlineStr">
        <is>
          <t>Carlin life</t>
        </is>
      </c>
      <c r="E285" s="39" t="inlineStr">
        <is>
          <t>No</t>
        </is>
      </c>
      <c r="F285" s="47" t="inlineStr">
        <is>
          <t>Video: 'Welcome to Life with the Carlins'</t>
        </is>
      </c>
      <c r="G285" s="76" t="inlineStr">
        <is>
          <t>Yes</t>
        </is>
      </c>
      <c r="H285" s="77" t="inlineStr">
        <is>
          <t>Built-in</t>
        </is>
      </c>
      <c r="I285" s="78" t="inlineStr">
        <is>
          <t>life:2021-11-12</t>
        </is>
      </c>
    </row>
    <row r="286">
      <c r="A286" s="75" t="n">
        <v>44512</v>
      </c>
      <c r="B286" s="75" t="n"/>
      <c r="C286" t="inlineStr">
        <is>
          <t>With the Carlins: first video in the library</t>
        </is>
      </c>
      <c r="D286" s="39" t="inlineStr">
        <is>
          <t>SCB milestone</t>
        </is>
      </c>
      <c r="E286" s="39" t="inlineStr">
        <is>
          <t>No</t>
        </is>
      </c>
      <c r="F286" s="47" t="inlineStr">
        <is>
          <t>Welcome to Life with the Carlins | Addison is Born</t>
        </is>
      </c>
      <c r="G286" s="76" t="inlineStr">
        <is>
          <t>Yes</t>
        </is>
      </c>
      <c r="H286" s="77" t="inlineStr">
        <is>
          <t>Built-in</t>
        </is>
      </c>
      <c r="I286" s="78" t="inlineStr">
        <is>
          <t>auto:first:UCVBTjN9WJU5Ac8yU7b2K-5g</t>
        </is>
      </c>
    </row>
    <row r="287">
      <c r="A287" s="75" t="n">
        <v>44512</v>
      </c>
      <c r="B287" s="75" t="n"/>
      <c r="C287" t="inlineStr">
        <is>
          <t>With the Carlins: most-viewed video uploaded</t>
        </is>
      </c>
      <c r="D287" s="39" t="inlineStr">
        <is>
          <t>SCB milestone</t>
        </is>
      </c>
      <c r="E287" s="39" t="inlineStr">
        <is>
          <t>No</t>
        </is>
      </c>
      <c r="F287" s="47" t="inlineStr">
        <is>
          <t>Welcome to Life with the Carlins | Addison is Born</t>
        </is>
      </c>
      <c r="G287" s="76" t="inlineStr">
        <is>
          <t>Yes</t>
        </is>
      </c>
      <c r="H287" s="77" t="inlineStr">
        <is>
          <t>Built-in</t>
        </is>
      </c>
      <c r="I287" s="78" t="inlineStr">
        <is>
          <t>auto:top:UCVBTjN9WJU5Ac8yU7b2K-5g</t>
        </is>
      </c>
    </row>
    <row r="288">
      <c r="A288" s="75" t="n">
        <v>44519</v>
      </c>
      <c r="B288" s="75" t="n"/>
      <c r="C288" t="inlineStr">
        <is>
          <t>Pokémon Brilliant Diamond / Shining Pearl released</t>
        </is>
      </c>
      <c r="D288" s="39" t="inlineStr">
        <is>
          <t>Game release</t>
        </is>
      </c>
      <c r="E288" s="39" t="inlineStr">
        <is>
          <t>No</t>
        </is>
      </c>
      <c r="F288" s="47" t="inlineStr">
        <is>
          <t>US date</t>
        </is>
      </c>
      <c r="G288" s="76" t="inlineStr">
        <is>
          <t>Yes</t>
        </is>
      </c>
      <c r="H288" s="77" t="inlineStr">
        <is>
          <t>Built-in</t>
        </is>
      </c>
      <c r="I288" s="78" t="inlineStr">
        <is>
          <t>game:2021-11-19:Pokémon Brilliant Diamon</t>
        </is>
      </c>
    </row>
    <row r="289">
      <c r="A289" s="75" t="n">
        <v>44524</v>
      </c>
      <c r="B289" s="75" t="n"/>
      <c r="C289" t="inlineStr">
        <is>
          <t>Encanto released</t>
        </is>
      </c>
      <c r="D289" s="39" t="inlineStr">
        <is>
          <t>Movie / trailer</t>
        </is>
      </c>
      <c r="E289" s="39" t="inlineStr">
        <is>
          <t>No</t>
        </is>
      </c>
      <c r="F289" s="47" t="inlineStr">
        <is>
          <t>Disney - US date</t>
        </is>
      </c>
      <c r="G289" s="76" t="inlineStr">
        <is>
          <t>Yes</t>
        </is>
      </c>
      <c r="H289" s="77" t="inlineStr">
        <is>
          <t>Built-in</t>
        </is>
      </c>
      <c r="I289" s="78" t="inlineStr">
        <is>
          <t>rel:2021-11-24:Encanto</t>
        </is>
      </c>
    </row>
    <row r="290">
      <c r="A290" s="75" t="n">
        <v>44524</v>
      </c>
      <c r="B290" s="75" t="n"/>
      <c r="C290" t="inlineStr">
        <is>
          <t>Hawkeye (Disney+) premieres</t>
        </is>
      </c>
      <c r="D290" s="39" t="inlineStr">
        <is>
          <t>Movie / trailer</t>
        </is>
      </c>
      <c r="E290" s="39" t="inlineStr">
        <is>
          <t>No</t>
        </is>
      </c>
      <c r="F290" s="47" t="inlineStr">
        <is>
          <t>Marvel - US date</t>
        </is>
      </c>
      <c r="G290" s="76" t="inlineStr">
        <is>
          <t>Yes</t>
        </is>
      </c>
      <c r="H290" s="77" t="inlineStr">
        <is>
          <t>Built-in</t>
        </is>
      </c>
      <c r="I290" s="78" t="inlineStr">
        <is>
          <t>rel:2021-11-24:Hawkeye (Disney+)</t>
        </is>
      </c>
    </row>
    <row r="291">
      <c r="A291" s="75" t="n">
        <v>44525</v>
      </c>
      <c r="B291" s="75" t="n"/>
      <c r="C291" t="inlineStr">
        <is>
          <t>Thanksgiving</t>
        </is>
      </c>
      <c r="D291" s="39" t="inlineStr">
        <is>
          <t>Holiday</t>
        </is>
      </c>
      <c r="E291" s="39" t="inlineStr">
        <is>
          <t>No</t>
        </is>
      </c>
      <c r="F291" s="47" t="n"/>
      <c r="G291" s="76" t="inlineStr">
        <is>
          <t>Yes</t>
        </is>
      </c>
      <c r="H291" s="77" t="inlineStr">
        <is>
          <t>Built-in</t>
        </is>
      </c>
      <c r="I291" s="78" t="inlineStr">
        <is>
          <t>hol:thanks:2021</t>
        </is>
      </c>
    </row>
    <row r="292">
      <c r="A292" s="75" t="n">
        <v>44526</v>
      </c>
      <c r="B292" s="75" t="n"/>
      <c r="C292" t="inlineStr">
        <is>
          <t>Black Friday</t>
        </is>
      </c>
      <c r="D292" s="39" t="inlineStr">
        <is>
          <t>Holiday</t>
        </is>
      </c>
      <c r="E292" s="39" t="inlineStr">
        <is>
          <t>No</t>
        </is>
      </c>
      <c r="F292" s="47" t="n"/>
      <c r="G292" s="76" t="inlineStr">
        <is>
          <t>Yes</t>
        </is>
      </c>
      <c r="H292" s="77" t="inlineStr">
        <is>
          <t>Built-in</t>
        </is>
      </c>
      <c r="I292" s="78" t="inlineStr">
        <is>
          <t>hol:blackfri:2021</t>
        </is>
      </c>
    </row>
    <row r="293">
      <c r="A293" s="75" t="n">
        <v>44547</v>
      </c>
      <c r="B293" s="75" t="n"/>
      <c r="C293" t="inlineStr">
        <is>
          <t>Spider-Man: No Way Home released</t>
        </is>
      </c>
      <c r="D293" s="39" t="inlineStr">
        <is>
          <t>Movie / trailer</t>
        </is>
      </c>
      <c r="E293" s="39" t="inlineStr">
        <is>
          <t>No</t>
        </is>
      </c>
      <c r="F293" s="47" t="inlineStr">
        <is>
          <t>Marvel - US date</t>
        </is>
      </c>
      <c r="G293" s="76" t="inlineStr">
        <is>
          <t>Yes</t>
        </is>
      </c>
      <c r="H293" s="77" t="inlineStr">
        <is>
          <t>Built-in</t>
        </is>
      </c>
      <c r="I293" s="78" t="inlineStr">
        <is>
          <t>rel:2021-12-17:Spider-Man: No Way Home</t>
        </is>
      </c>
    </row>
    <row r="294">
      <c r="A294" s="75" t="n">
        <v>44559</v>
      </c>
      <c r="B294" s="75" t="n"/>
      <c r="C294" t="inlineStr">
        <is>
          <t>The Book of Boba Fett (Disney+) premieres</t>
        </is>
      </c>
      <c r="D294" s="39" t="inlineStr">
        <is>
          <t>Movie / trailer</t>
        </is>
      </c>
      <c r="E294" s="39" t="inlineStr">
        <is>
          <t>No</t>
        </is>
      </c>
      <c r="F294" s="47" t="inlineStr">
        <is>
          <t>Star Wars - US date</t>
        </is>
      </c>
      <c r="G294" s="76" t="inlineStr">
        <is>
          <t>Yes</t>
        </is>
      </c>
      <c r="H294" s="77" t="inlineStr">
        <is>
          <t>Built-in</t>
        </is>
      </c>
      <c r="I294" s="78" t="inlineStr">
        <is>
          <t>rel:2021-12-29:The Book of Boba Fett (D</t>
        </is>
      </c>
    </row>
    <row r="295">
      <c r="A295" s="75" t="n">
        <v>44578</v>
      </c>
      <c r="B295" s="75" t="n"/>
      <c r="C295" t="inlineStr">
        <is>
          <t>Martin Luther King Jr. Day</t>
        </is>
      </c>
      <c r="D295" s="39" t="inlineStr">
        <is>
          <t>Holiday</t>
        </is>
      </c>
      <c r="E295" s="39" t="inlineStr">
        <is>
          <t>No</t>
        </is>
      </c>
      <c r="F295" s="47" t="n"/>
      <c r="G295" s="76" t="inlineStr">
        <is>
          <t>Yes</t>
        </is>
      </c>
      <c r="H295" s="77" t="inlineStr">
        <is>
          <t>Built-in</t>
        </is>
      </c>
      <c r="I295" s="78" t="inlineStr">
        <is>
          <t>hol:mlk:2022</t>
        </is>
      </c>
    </row>
    <row r="296">
      <c r="A296" s="75" t="n">
        <v>44589</v>
      </c>
      <c r="B296" s="75" t="n"/>
      <c r="C296" t="inlineStr">
        <is>
          <t>Pokémon Legends: Arceus released</t>
        </is>
      </c>
      <c r="D296" s="39" t="inlineStr">
        <is>
          <t>Game release</t>
        </is>
      </c>
      <c r="E296" s="39" t="inlineStr">
        <is>
          <t>No</t>
        </is>
      </c>
      <c r="F296" s="47" t="inlineStr">
        <is>
          <t>US date</t>
        </is>
      </c>
      <c r="G296" s="76" t="inlineStr">
        <is>
          <t>Yes</t>
        </is>
      </c>
      <c r="H296" s="77" t="inlineStr">
        <is>
          <t>Built-in</t>
        </is>
      </c>
      <c r="I296" s="78" t="inlineStr">
        <is>
          <t xml:space="preserve">game:2022-01-28:Pokémon Legends: Arceus </t>
        </is>
      </c>
    </row>
    <row r="297">
      <c r="A297" s="75" t="n">
        <v>44605</v>
      </c>
      <c r="B297" s="75" t="n"/>
      <c r="C297" t="inlineStr">
        <is>
          <t>Super Bowl Sunday</t>
        </is>
      </c>
      <c r="D297" s="39" t="inlineStr">
        <is>
          <t>Holiday</t>
        </is>
      </c>
      <c r="E297" s="39" t="inlineStr">
        <is>
          <t>No</t>
        </is>
      </c>
      <c r="F297" s="47" t="n"/>
      <c r="G297" s="76" t="inlineStr">
        <is>
          <t>Yes</t>
        </is>
      </c>
      <c r="H297" s="77" t="inlineStr">
        <is>
          <t>Built-in</t>
        </is>
      </c>
      <c r="I297" s="78" t="inlineStr">
        <is>
          <t>hol:sb:2022</t>
        </is>
      </c>
    </row>
    <row r="298">
      <c r="A298" s="75" t="n">
        <v>44613</v>
      </c>
      <c r="B298" s="75" t="n"/>
      <c r="C298" t="inlineStr">
        <is>
          <t>Presidents' Day</t>
        </is>
      </c>
      <c r="D298" s="39" t="inlineStr">
        <is>
          <t>Holiday</t>
        </is>
      </c>
      <c r="E298" s="39" t="inlineStr">
        <is>
          <t>No</t>
        </is>
      </c>
      <c r="F298" s="47" t="n"/>
      <c r="G298" s="76" t="inlineStr">
        <is>
          <t>Yes</t>
        </is>
      </c>
      <c r="H298" s="77" t="inlineStr">
        <is>
          <t>Built-in</t>
        </is>
      </c>
      <c r="I298" s="78" t="inlineStr">
        <is>
          <t>hol:pres:2022</t>
        </is>
      </c>
    </row>
    <row r="299">
      <c r="A299" s="75" t="n">
        <v>44631</v>
      </c>
      <c r="B299" s="75" t="n"/>
      <c r="C299" t="inlineStr">
        <is>
          <t>Turning Red (Disney+) released</t>
        </is>
      </c>
      <c r="D299" s="39" t="inlineStr">
        <is>
          <t>Movie / trailer</t>
        </is>
      </c>
      <c r="E299" s="39" t="inlineStr">
        <is>
          <t>No</t>
        </is>
      </c>
      <c r="F299" s="47" t="inlineStr">
        <is>
          <t>Pixar - US date</t>
        </is>
      </c>
      <c r="G299" s="76" t="inlineStr">
        <is>
          <t>Yes</t>
        </is>
      </c>
      <c r="H299" s="77" t="inlineStr">
        <is>
          <t>Built-in</t>
        </is>
      </c>
      <c r="I299" s="78" t="inlineStr">
        <is>
          <t>rel:2022-03-11:Turning Red (Disney+)</t>
        </is>
      </c>
    </row>
    <row r="300">
      <c r="A300" s="75" t="n">
        <v>44647</v>
      </c>
      <c r="B300" s="75" t="n"/>
      <c r="C300" t="inlineStr">
        <is>
          <t>The Oscars</t>
        </is>
      </c>
      <c r="D300" s="39" t="inlineStr">
        <is>
          <t>Holiday</t>
        </is>
      </c>
      <c r="E300" s="39" t="inlineStr">
        <is>
          <t>No</t>
        </is>
      </c>
      <c r="F300" s="47" t="inlineStr">
        <is>
          <t>Academy Awards ceremony</t>
        </is>
      </c>
      <c r="G300" s="76" t="inlineStr">
        <is>
          <t>Yes</t>
        </is>
      </c>
      <c r="H300" s="77" t="inlineStr">
        <is>
          <t>Built-in</t>
        </is>
      </c>
      <c r="I300" s="78" t="inlineStr">
        <is>
          <t>hol:oscars:2022</t>
        </is>
      </c>
    </row>
    <row r="301">
      <c r="A301" s="75" t="n">
        <v>44666</v>
      </c>
      <c r="B301" s="75" t="n"/>
      <c r="C301" t="inlineStr">
        <is>
          <t>Fantastic Beasts: The Secrets of Dumbledore released</t>
        </is>
      </c>
      <c r="D301" s="39" t="inlineStr">
        <is>
          <t>Movie / trailer</t>
        </is>
      </c>
      <c r="E301" s="39" t="inlineStr">
        <is>
          <t>No</t>
        </is>
      </c>
      <c r="F301" s="47" t="inlineStr">
        <is>
          <t>Harry Potter - US date</t>
        </is>
      </c>
      <c r="G301" s="76" t="inlineStr">
        <is>
          <t>Yes</t>
        </is>
      </c>
      <c r="H301" s="77" t="inlineStr">
        <is>
          <t>Built-in</t>
        </is>
      </c>
      <c r="I301" s="78" t="inlineStr">
        <is>
          <t>rel:2022-04-15:Fantastic Beasts: The Se</t>
        </is>
      </c>
    </row>
    <row r="302">
      <c r="A302" s="75" t="n">
        <v>44668</v>
      </c>
      <c r="B302" s="75" t="n"/>
      <c r="C302" t="inlineStr">
        <is>
          <t>Easter Sunday</t>
        </is>
      </c>
      <c r="D302" s="39" t="inlineStr">
        <is>
          <t>Holiday</t>
        </is>
      </c>
      <c r="E302" s="39" t="inlineStr">
        <is>
          <t>No</t>
        </is>
      </c>
      <c r="F302" s="47" t="n"/>
      <c r="G302" s="76" t="inlineStr">
        <is>
          <t>Yes</t>
        </is>
      </c>
      <c r="H302" s="77" t="inlineStr">
        <is>
          <t>Built-in</t>
        </is>
      </c>
      <c r="I302" s="78" t="inlineStr">
        <is>
          <t>hol:easter:2022</t>
        </is>
      </c>
    </row>
    <row r="303">
      <c r="A303" s="75" t="n">
        <v>44687</v>
      </c>
      <c r="B303" s="75" t="n"/>
      <c r="C303" t="inlineStr">
        <is>
          <t>Doctor Strange in the Multiverse of Madness released</t>
        </is>
      </c>
      <c r="D303" s="39" t="inlineStr">
        <is>
          <t>Movie / trailer</t>
        </is>
      </c>
      <c r="E303" s="39" t="inlineStr">
        <is>
          <t>No</t>
        </is>
      </c>
      <c r="F303" s="47" t="inlineStr">
        <is>
          <t>Marvel - US date</t>
        </is>
      </c>
      <c r="G303" s="76" t="inlineStr">
        <is>
          <t>Yes</t>
        </is>
      </c>
      <c r="H303" s="77" t="inlineStr">
        <is>
          <t>Built-in</t>
        </is>
      </c>
      <c r="I303" s="78" t="inlineStr">
        <is>
          <t>rel:2022-05-06:Doctor Strange in the Mu</t>
        </is>
      </c>
    </row>
    <row r="304">
      <c r="A304" s="75" t="n">
        <v>44689</v>
      </c>
      <c r="B304" s="75" t="n"/>
      <c r="C304" t="inlineStr">
        <is>
          <t>Mother's Day</t>
        </is>
      </c>
      <c r="D304" s="39" t="inlineStr">
        <is>
          <t>Holiday</t>
        </is>
      </c>
      <c r="E304" s="39" t="inlineStr">
        <is>
          <t>No</t>
        </is>
      </c>
      <c r="F304" s="47" t="n"/>
      <c r="G304" s="76" t="inlineStr">
        <is>
          <t>Yes</t>
        </is>
      </c>
      <c r="H304" s="77" t="inlineStr">
        <is>
          <t>Built-in</t>
        </is>
      </c>
      <c r="I304" s="78" t="inlineStr">
        <is>
          <t>hol:mothers:2022</t>
        </is>
      </c>
    </row>
    <row r="305">
      <c r="A305" s="75" t="n">
        <v>44708</v>
      </c>
      <c r="B305" s="75" t="n"/>
      <c r="C305" t="inlineStr">
        <is>
          <t>Obi-Wan Kenobi (Disney+) premieres</t>
        </is>
      </c>
      <c r="D305" s="39" t="inlineStr">
        <is>
          <t>Movie / trailer</t>
        </is>
      </c>
      <c r="E305" s="39" t="inlineStr">
        <is>
          <t>No</t>
        </is>
      </c>
      <c r="F305" s="47" t="inlineStr">
        <is>
          <t>Star Wars - US date</t>
        </is>
      </c>
      <c r="G305" s="76" t="inlineStr">
        <is>
          <t>Yes</t>
        </is>
      </c>
      <c r="H305" s="77" t="inlineStr">
        <is>
          <t>Built-in</t>
        </is>
      </c>
      <c r="I305" s="78" t="inlineStr">
        <is>
          <t>rel:2022-05-27:Obi-Wan Kenobi (Disney+)</t>
        </is>
      </c>
    </row>
    <row r="306">
      <c r="A306" s="75" t="n">
        <v>44711</v>
      </c>
      <c r="B306" s="75" t="n"/>
      <c r="C306" t="inlineStr">
        <is>
          <t>Memorial Day</t>
        </is>
      </c>
      <c r="D306" s="39" t="inlineStr">
        <is>
          <t>Holiday</t>
        </is>
      </c>
      <c r="E306" s="39" t="inlineStr">
        <is>
          <t>No</t>
        </is>
      </c>
      <c r="F306" s="47" t="n"/>
      <c r="G306" s="76" t="inlineStr">
        <is>
          <t>Yes</t>
        </is>
      </c>
      <c r="H306" s="77" t="inlineStr">
        <is>
          <t>Built-in</t>
        </is>
      </c>
      <c r="I306" s="78" t="inlineStr">
        <is>
          <t>hol:memorial:2022</t>
        </is>
      </c>
    </row>
    <row r="307">
      <c r="A307" s="75" t="n">
        <v>44713</v>
      </c>
      <c r="B307" s="75" t="n"/>
      <c r="C307" t="inlineStr">
        <is>
          <t>J &amp; Ben's first live show</t>
        </is>
      </c>
      <c r="D307" s="39" t="inlineStr">
        <is>
          <t>SCB milestone</t>
        </is>
      </c>
      <c r="E307" s="39" t="inlineStr">
        <is>
          <t>No</t>
        </is>
      </c>
      <c r="F307" s="47" t="inlineStr">
        <is>
          <t>Video: 'Our First LIVE SHOW'</t>
        </is>
      </c>
      <c r="G307" s="76" t="inlineStr">
        <is>
          <t>Yes</t>
        </is>
      </c>
      <c r="H307" s="77" t="inlineStr">
        <is>
          <t>Built-in</t>
        </is>
      </c>
      <c r="I307" s="78" t="inlineStr">
        <is>
          <t>ms:2022-06-01</t>
        </is>
      </c>
    </row>
    <row r="308">
      <c r="A308" s="75" t="n">
        <v>44729</v>
      </c>
      <c r="B308" s="75" t="n"/>
      <c r="C308" t="inlineStr">
        <is>
          <t>Lightyear released</t>
        </is>
      </c>
      <c r="D308" s="39" t="inlineStr">
        <is>
          <t>Movie / trailer</t>
        </is>
      </c>
      <c r="E308" s="39" t="inlineStr">
        <is>
          <t>No</t>
        </is>
      </c>
      <c r="F308" s="47" t="inlineStr">
        <is>
          <t>Pixar - US date</t>
        </is>
      </c>
      <c r="G308" s="76" t="inlineStr">
        <is>
          <t>Yes</t>
        </is>
      </c>
      <c r="H308" s="77" t="inlineStr">
        <is>
          <t>Built-in</t>
        </is>
      </c>
      <c r="I308" s="78" t="inlineStr">
        <is>
          <t>rel:2022-06-17:Lightyear</t>
        </is>
      </c>
    </row>
    <row r="309">
      <c r="A309" s="75" t="n">
        <v>44731</v>
      </c>
      <c r="B309" s="75" t="n"/>
      <c r="C309" t="inlineStr">
        <is>
          <t>Father's Day</t>
        </is>
      </c>
      <c r="D309" s="39" t="inlineStr">
        <is>
          <t>Holiday</t>
        </is>
      </c>
      <c r="E309" s="39" t="inlineStr">
        <is>
          <t>No</t>
        </is>
      </c>
      <c r="F309" s="47" t="n"/>
      <c r="G309" s="76" t="inlineStr">
        <is>
          <t>Yes</t>
        </is>
      </c>
      <c r="H309" s="77" t="inlineStr">
        <is>
          <t>Built-in</t>
        </is>
      </c>
      <c r="I309" s="78" t="inlineStr">
        <is>
          <t>hol:fathers:2022</t>
        </is>
      </c>
    </row>
    <row r="310">
      <c r="A310" s="75" t="n">
        <v>44737</v>
      </c>
      <c r="B310" s="75" t="n"/>
      <c r="C310" t="inlineStr">
        <is>
          <t>SCB 10-year celebration livestream</t>
        </is>
      </c>
      <c r="D310" s="39" t="inlineStr">
        <is>
          <t>SCB milestone</t>
        </is>
      </c>
      <c r="E310" s="39" t="inlineStr">
        <is>
          <t>No</t>
        </is>
      </c>
      <c r="F310" s="47" t="n"/>
      <c r="G310" s="76" t="inlineStr">
        <is>
          <t>Yes</t>
        </is>
      </c>
      <c r="H310" s="77" t="inlineStr">
        <is>
          <t>Built-in</t>
        </is>
      </c>
      <c r="I310" s="78" t="inlineStr">
        <is>
          <t>ms:2022-06-25</t>
        </is>
      </c>
    </row>
    <row r="311">
      <c r="A311" s="75" t="n">
        <v>44750</v>
      </c>
      <c r="B311" s="75" t="n"/>
      <c r="C311" t="inlineStr">
        <is>
          <t>Thor: Love and Thunder released</t>
        </is>
      </c>
      <c r="D311" s="39" t="inlineStr">
        <is>
          <t>Movie / trailer</t>
        </is>
      </c>
      <c r="E311" s="39" t="inlineStr">
        <is>
          <t>No</t>
        </is>
      </c>
      <c r="F311" s="47" t="inlineStr">
        <is>
          <t>Marvel - US date</t>
        </is>
      </c>
      <c r="G311" s="76" t="inlineStr">
        <is>
          <t>Yes</t>
        </is>
      </c>
      <c r="H311" s="77" t="inlineStr">
        <is>
          <t>Built-in</t>
        </is>
      </c>
      <c r="I311" s="78" t="inlineStr">
        <is>
          <t>rel:2022-07-08:Thor: Love and Thunder</t>
        </is>
      </c>
    </row>
    <row r="312">
      <c r="A312" s="75" t="n">
        <v>44763</v>
      </c>
      <c r="B312" s="75" t="n">
        <v>44766</v>
      </c>
      <c r="C312" t="inlineStr">
        <is>
          <t>San Diego Comic-Con</t>
        </is>
      </c>
      <c r="D312" s="39" t="inlineStr">
        <is>
          <t>Movie / trailer</t>
        </is>
      </c>
      <c r="E312" s="39" t="inlineStr">
        <is>
          <t>No</t>
        </is>
      </c>
      <c r="F312" s="47" t="inlineStr">
        <is>
          <t>Big trailer and announcement reveals (Marvel, Star Wars, Disney, Harry Potter)</t>
        </is>
      </c>
      <c r="G312" s="76" t="inlineStr">
        <is>
          <t>Yes</t>
        </is>
      </c>
      <c r="H312" s="77" t="inlineStr">
        <is>
          <t>Built-in</t>
        </is>
      </c>
      <c r="I312" s="78" t="inlineStr">
        <is>
          <t>con:sdcc:2022</t>
        </is>
      </c>
    </row>
    <row r="313">
      <c r="A313" s="75" t="n">
        <v>44809</v>
      </c>
      <c r="B313" s="75" t="n"/>
      <c r="C313" t="inlineStr">
        <is>
          <t>Labor Day</t>
        </is>
      </c>
      <c r="D313" s="39" t="inlineStr">
        <is>
          <t>Holiday</t>
        </is>
      </c>
      <c r="E313" s="39" t="inlineStr">
        <is>
          <t>No</t>
        </is>
      </c>
      <c r="F313" s="47" t="n"/>
      <c r="G313" s="76" t="inlineStr">
        <is>
          <t>Yes</t>
        </is>
      </c>
      <c r="H313" s="77" t="inlineStr">
        <is>
          <t>Built-in</t>
        </is>
      </c>
      <c r="I313" s="78" t="inlineStr">
        <is>
          <t>hol:labor:2022</t>
        </is>
      </c>
    </row>
    <row r="314">
      <c r="A314" s="75" t="n">
        <v>44813</v>
      </c>
      <c r="B314" s="75" t="n">
        <v>44815</v>
      </c>
      <c r="C314" t="inlineStr">
        <is>
          <t>D23 Expo (Disney fan event)</t>
        </is>
      </c>
      <c r="D314" s="39" t="inlineStr">
        <is>
          <t>Movie / trailer</t>
        </is>
      </c>
      <c r="E314" s="39" t="inlineStr">
        <is>
          <t>No</t>
        </is>
      </c>
      <c r="F314" s="47" t="inlineStr">
        <is>
          <t>Disney, Pixar, Marvel and Lucasfilm announcements</t>
        </is>
      </c>
      <c r="G314" s="76" t="inlineStr">
        <is>
          <t>Yes</t>
        </is>
      </c>
      <c r="H314" s="77" t="inlineStr">
        <is>
          <t>Built-in</t>
        </is>
      </c>
      <c r="I314" s="78" t="inlineStr">
        <is>
          <t>con:d23:2022</t>
        </is>
      </c>
    </row>
    <row r="315">
      <c r="A315" s="75" t="n">
        <v>44825</v>
      </c>
      <c r="B315" s="75" t="n"/>
      <c r="C315" t="inlineStr">
        <is>
          <t>Andor season 1 (Disney+) premieres</t>
        </is>
      </c>
      <c r="D315" s="39" t="inlineStr">
        <is>
          <t>Movie / trailer</t>
        </is>
      </c>
      <c r="E315" s="39" t="inlineStr">
        <is>
          <t>No</t>
        </is>
      </c>
      <c r="F315" s="47" t="inlineStr">
        <is>
          <t>Star Wars - US date</t>
        </is>
      </c>
      <c r="G315" s="76" t="inlineStr">
        <is>
          <t>Yes</t>
        </is>
      </c>
      <c r="H315" s="77" t="inlineStr">
        <is>
          <t>Built-in</t>
        </is>
      </c>
      <c r="I315" s="78" t="inlineStr">
        <is>
          <t>rel:2022-09-21:Andor season 1 (Disney+)</t>
        </is>
      </c>
    </row>
    <row r="316">
      <c r="A316" s="75" t="n">
        <v>44848</v>
      </c>
      <c r="B316" s="75" t="n"/>
      <c r="C316" t="inlineStr">
        <is>
          <t>Robbie Coltrane passes away (Hagrid)</t>
        </is>
      </c>
      <c r="D316" s="39" t="inlineStr">
        <is>
          <t>Fandom</t>
        </is>
      </c>
      <c r="E316" s="39" t="inlineStr">
        <is>
          <t>No</t>
        </is>
      </c>
      <c r="F316" s="47" t="inlineStr">
        <is>
          <t>In memoriam</t>
        </is>
      </c>
      <c r="G316" s="76" t="inlineStr">
        <is>
          <t>Yes</t>
        </is>
      </c>
      <c r="H316" s="77" t="inlineStr">
        <is>
          <t>Built-in</t>
        </is>
      </c>
      <c r="I316" s="78" t="inlineStr">
        <is>
          <t>fan:mem:2022-10-14</t>
        </is>
      </c>
    </row>
    <row r="317">
      <c r="A317" s="75" t="n">
        <v>44876</v>
      </c>
      <c r="B317" s="75" t="n"/>
      <c r="C317" t="inlineStr">
        <is>
          <t>Black Panther: Wakanda Forever released</t>
        </is>
      </c>
      <c r="D317" s="39" t="inlineStr">
        <is>
          <t>Movie / trailer</t>
        </is>
      </c>
      <c r="E317" s="39" t="inlineStr">
        <is>
          <t>No</t>
        </is>
      </c>
      <c r="F317" s="47" t="inlineStr">
        <is>
          <t>Marvel - US date</t>
        </is>
      </c>
      <c r="G317" s="76" t="inlineStr">
        <is>
          <t>Yes</t>
        </is>
      </c>
      <c r="H317" s="77" t="inlineStr">
        <is>
          <t>Built-in</t>
        </is>
      </c>
      <c r="I317" s="78" t="inlineStr">
        <is>
          <t>rel:2022-11-11:Black Panther: Wakanda F</t>
        </is>
      </c>
    </row>
    <row r="318">
      <c r="A318" s="75" t="n">
        <v>44883</v>
      </c>
      <c r="B318" s="75" t="n"/>
      <c r="C318" t="inlineStr">
        <is>
          <t>Pokémon Scarlet and Violet released</t>
        </is>
      </c>
      <c r="D318" s="39" t="inlineStr">
        <is>
          <t>Game release</t>
        </is>
      </c>
      <c r="E318" s="39" t="inlineStr">
        <is>
          <t>No</t>
        </is>
      </c>
      <c r="F318" s="47" t="inlineStr">
        <is>
          <t>US date</t>
        </is>
      </c>
      <c r="G318" s="76" t="inlineStr">
        <is>
          <t>Yes</t>
        </is>
      </c>
      <c r="H318" s="77" t="inlineStr">
        <is>
          <t>Built-in</t>
        </is>
      </c>
      <c r="I318" s="78" t="inlineStr">
        <is>
          <t>game:2022-11-18:Pokémon Scarlet and Viol</t>
        </is>
      </c>
    </row>
    <row r="319">
      <c r="A319" s="75" t="n">
        <v>44888</v>
      </c>
      <c r="B319" s="75" t="n"/>
      <c r="C319" t="inlineStr">
        <is>
          <t>Strange World released</t>
        </is>
      </c>
      <c r="D319" s="39" t="inlineStr">
        <is>
          <t>Movie / trailer</t>
        </is>
      </c>
      <c r="E319" s="39" t="inlineStr">
        <is>
          <t>No</t>
        </is>
      </c>
      <c r="F319" s="47" t="inlineStr">
        <is>
          <t>Disney - US date</t>
        </is>
      </c>
      <c r="G319" s="76" t="inlineStr">
        <is>
          <t>Yes</t>
        </is>
      </c>
      <c r="H319" s="77" t="inlineStr">
        <is>
          <t>Built-in</t>
        </is>
      </c>
      <c r="I319" s="78" t="inlineStr">
        <is>
          <t>rel:2022-11-23:Strange World</t>
        </is>
      </c>
    </row>
    <row r="320">
      <c r="A320" s="75" t="n">
        <v>44889</v>
      </c>
      <c r="B320" s="75" t="n"/>
      <c r="C320" t="inlineStr">
        <is>
          <t>Thanksgiving</t>
        </is>
      </c>
      <c r="D320" s="39" t="inlineStr">
        <is>
          <t>Holiday</t>
        </is>
      </c>
      <c r="E320" s="39" t="inlineStr">
        <is>
          <t>No</t>
        </is>
      </c>
      <c r="F320" s="47" t="n"/>
      <c r="G320" s="76" t="inlineStr">
        <is>
          <t>Yes</t>
        </is>
      </c>
      <c r="H320" s="77" t="inlineStr">
        <is>
          <t>Built-in</t>
        </is>
      </c>
      <c r="I320" s="78" t="inlineStr">
        <is>
          <t>hol:thanks:2022</t>
        </is>
      </c>
    </row>
    <row r="321">
      <c r="A321" s="75" t="n">
        <v>44890</v>
      </c>
      <c r="B321" s="75" t="n"/>
      <c r="C321" t="inlineStr">
        <is>
          <t>Black Friday</t>
        </is>
      </c>
      <c r="D321" s="39" t="inlineStr">
        <is>
          <t>Holiday</t>
        </is>
      </c>
      <c r="E321" s="39" t="inlineStr">
        <is>
          <t>No</t>
        </is>
      </c>
      <c r="F321" s="47" t="n"/>
      <c r="G321" s="76" t="inlineStr">
        <is>
          <t>Yes</t>
        </is>
      </c>
      <c r="H321" s="77" t="inlineStr">
        <is>
          <t>Built-in</t>
        </is>
      </c>
      <c r="I321" s="78" t="inlineStr">
        <is>
          <t>hol:blackfri:2022</t>
        </is>
      </c>
    </row>
    <row r="322">
      <c r="A322" s="75" t="n">
        <v>44942</v>
      </c>
      <c r="B322" s="75" t="n"/>
      <c r="C322" t="inlineStr">
        <is>
          <t>Martin Luther King Jr. Day</t>
        </is>
      </c>
      <c r="D322" s="39" t="inlineStr">
        <is>
          <t>Holiday</t>
        </is>
      </c>
      <c r="E322" s="39" t="inlineStr">
        <is>
          <t>No</t>
        </is>
      </c>
      <c r="F322" s="47" t="n"/>
      <c r="G322" s="76" t="inlineStr">
        <is>
          <t>Yes</t>
        </is>
      </c>
      <c r="H322" s="77" t="inlineStr">
        <is>
          <t>Built-in</t>
        </is>
      </c>
      <c r="I322" s="78" t="inlineStr">
        <is>
          <t>hol:mlk:2023</t>
        </is>
      </c>
    </row>
    <row r="323">
      <c r="A323" s="75" t="n">
        <v>44967</v>
      </c>
      <c r="B323" s="75" t="n"/>
      <c r="C323" t="inlineStr">
        <is>
          <t>Hogwarts Legacy (game) released</t>
        </is>
      </c>
      <c r="D323" s="39" t="inlineStr">
        <is>
          <t>Movie / trailer</t>
        </is>
      </c>
      <c r="E323" s="39" t="inlineStr">
        <is>
          <t>No</t>
        </is>
      </c>
      <c r="F323" s="47" t="inlineStr">
        <is>
          <t>Harry Potter - US date</t>
        </is>
      </c>
      <c r="G323" s="76" t="inlineStr">
        <is>
          <t>Yes</t>
        </is>
      </c>
      <c r="H323" s="77" t="inlineStr">
        <is>
          <t>Built-in</t>
        </is>
      </c>
      <c r="I323" s="78" t="inlineStr">
        <is>
          <t>rel:2023-02-10:Hogwarts Legacy (game) r</t>
        </is>
      </c>
    </row>
    <row r="324">
      <c r="A324" s="75" t="n">
        <v>44969</v>
      </c>
      <c r="B324" s="75" t="n"/>
      <c r="C324" t="inlineStr">
        <is>
          <t>Super Bowl Sunday</t>
        </is>
      </c>
      <c r="D324" s="39" t="inlineStr">
        <is>
          <t>Holiday</t>
        </is>
      </c>
      <c r="E324" s="39" t="inlineStr">
        <is>
          <t>No</t>
        </is>
      </c>
      <c r="F324" s="47" t="n"/>
      <c r="G324" s="76" t="inlineStr">
        <is>
          <t>Yes</t>
        </is>
      </c>
      <c r="H324" s="77" t="inlineStr">
        <is>
          <t>Built-in</t>
        </is>
      </c>
      <c r="I324" s="78" t="inlineStr">
        <is>
          <t>hol:sb:2023</t>
        </is>
      </c>
    </row>
    <row r="325">
      <c r="A325" s="75" t="n">
        <v>44974</v>
      </c>
      <c r="B325" s="75" t="n"/>
      <c r="C325" t="inlineStr">
        <is>
          <t>Ant-Man and the Wasp: Quantumania released</t>
        </is>
      </c>
      <c r="D325" s="39" t="inlineStr">
        <is>
          <t>Movie / trailer</t>
        </is>
      </c>
      <c r="E325" s="39" t="inlineStr">
        <is>
          <t>No</t>
        </is>
      </c>
      <c r="F325" s="47" t="inlineStr">
        <is>
          <t>Marvel - US date</t>
        </is>
      </c>
      <c r="G325" s="76" t="inlineStr">
        <is>
          <t>Yes</t>
        </is>
      </c>
      <c r="H325" s="77" t="inlineStr">
        <is>
          <t>Built-in</t>
        </is>
      </c>
      <c r="I325" s="78" t="inlineStr">
        <is>
          <t>rel:2023-02-17:Ant-Man and the Wasp: Qu</t>
        </is>
      </c>
    </row>
    <row r="326">
      <c r="A326" s="75" t="n">
        <v>44977</v>
      </c>
      <c r="B326" s="75" t="n"/>
      <c r="C326" t="inlineStr">
        <is>
          <t>Presidents' Day</t>
        </is>
      </c>
      <c r="D326" s="39" t="inlineStr">
        <is>
          <t>Holiday</t>
        </is>
      </c>
      <c r="E326" s="39" t="inlineStr">
        <is>
          <t>No</t>
        </is>
      </c>
      <c r="F326" s="47" t="n"/>
      <c r="G326" s="76" t="inlineStr">
        <is>
          <t>Yes</t>
        </is>
      </c>
      <c r="H326" s="77" t="inlineStr">
        <is>
          <t>Built-in</t>
        </is>
      </c>
      <c r="I326" s="78" t="inlineStr">
        <is>
          <t>hol:pres:2023</t>
        </is>
      </c>
    </row>
    <row r="327">
      <c r="A327" s="75" t="n">
        <v>44986</v>
      </c>
      <c r="B327" s="75" t="n"/>
      <c r="C327" t="inlineStr">
        <is>
          <t>The Mandalorian season 3 (Disney+) premieres</t>
        </is>
      </c>
      <c r="D327" s="39" t="inlineStr">
        <is>
          <t>Movie / trailer</t>
        </is>
      </c>
      <c r="E327" s="39" t="inlineStr">
        <is>
          <t>No</t>
        </is>
      </c>
      <c r="F327" s="47" t="inlineStr">
        <is>
          <t>Star Wars - US date</t>
        </is>
      </c>
      <c r="G327" s="76" t="inlineStr">
        <is>
          <t>Yes</t>
        </is>
      </c>
      <c r="H327" s="77" t="inlineStr">
        <is>
          <t>Built-in</t>
        </is>
      </c>
      <c r="I327" s="78" t="inlineStr">
        <is>
          <t>rel:2023-03-01:The Mandalorian season 3</t>
        </is>
      </c>
    </row>
    <row r="328">
      <c r="A328" s="75" t="n">
        <v>44997</v>
      </c>
      <c r="B328" s="75" t="n"/>
      <c r="C328" t="inlineStr">
        <is>
          <t>The Oscars</t>
        </is>
      </c>
      <c r="D328" s="39" t="inlineStr">
        <is>
          <t>Holiday</t>
        </is>
      </c>
      <c r="E328" s="39" t="inlineStr">
        <is>
          <t>No</t>
        </is>
      </c>
      <c r="F328" s="47" t="inlineStr">
        <is>
          <t>Academy Awards ceremony</t>
        </is>
      </c>
      <c r="G328" s="76" t="inlineStr">
        <is>
          <t>Yes</t>
        </is>
      </c>
      <c r="H328" s="77" t="inlineStr">
        <is>
          <t>Built-in</t>
        </is>
      </c>
      <c r="I328" s="78" t="inlineStr">
        <is>
          <t>hol:oscars:2023</t>
        </is>
      </c>
    </row>
    <row r="329">
      <c r="A329" s="75" t="n">
        <v>45021</v>
      </c>
      <c r="B329" s="75" t="n"/>
      <c r="C329" t="inlineStr">
        <is>
          <t>The Super Mario Bros. Movie released</t>
        </is>
      </c>
      <c r="D329" s="39" t="inlineStr">
        <is>
          <t>Game release</t>
        </is>
      </c>
      <c r="E329" s="39" t="inlineStr">
        <is>
          <t>No</t>
        </is>
      </c>
      <c r="F329" s="47" t="inlineStr">
        <is>
          <t>US date</t>
        </is>
      </c>
      <c r="G329" s="76" t="inlineStr">
        <is>
          <t>Yes</t>
        </is>
      </c>
      <c r="H329" s="77" t="inlineStr">
        <is>
          <t>Built-in</t>
        </is>
      </c>
      <c r="I329" s="78" t="inlineStr">
        <is>
          <t>game:2023-04-05:The Super Mario Bros. Mo</t>
        </is>
      </c>
    </row>
    <row r="330">
      <c r="A330" s="75" t="n">
        <v>45023</v>
      </c>
      <c r="B330" s="75" t="n">
        <v>45027</v>
      </c>
      <c r="C330" t="inlineStr">
        <is>
          <t>Star Wars Celebration (London)</t>
        </is>
      </c>
      <c r="D330" s="39" t="inlineStr">
        <is>
          <t>Movie / trailer</t>
        </is>
      </c>
      <c r="E330" s="39" t="inlineStr">
        <is>
          <t>No</t>
        </is>
      </c>
      <c r="F330" s="47" t="inlineStr">
        <is>
          <t>Lucasfilm fan convention - trailers and reveals</t>
        </is>
      </c>
      <c r="G330" s="76" t="inlineStr">
        <is>
          <t>Yes</t>
        </is>
      </c>
      <c r="H330" s="77" t="inlineStr">
        <is>
          <t>Built-in</t>
        </is>
      </c>
      <c r="I330" s="78" t="inlineStr">
        <is>
          <t>con:swc:2023</t>
        </is>
      </c>
    </row>
    <row r="331">
      <c r="A331" s="75" t="n">
        <v>45025</v>
      </c>
      <c r="B331" s="75" t="n"/>
      <c r="C331" t="inlineStr">
        <is>
          <t>Easter Sunday</t>
        </is>
      </c>
      <c r="D331" s="39" t="inlineStr">
        <is>
          <t>Holiday</t>
        </is>
      </c>
      <c r="E331" s="39" t="inlineStr">
        <is>
          <t>No</t>
        </is>
      </c>
      <c r="F331" s="47" t="n"/>
      <c r="G331" s="76" t="inlineStr">
        <is>
          <t>Yes</t>
        </is>
      </c>
      <c r="H331" s="77" t="inlineStr">
        <is>
          <t>Built-in</t>
        </is>
      </c>
      <c r="I331" s="78" t="inlineStr">
        <is>
          <t>hol:easter:2023</t>
        </is>
      </c>
    </row>
    <row r="332">
      <c r="A332" s="75" t="n">
        <v>45048</v>
      </c>
      <c r="B332" s="75" t="n">
        <v>45196</v>
      </c>
      <c r="C332" t="inlineStr">
        <is>
          <t>Writers Guild (WGA) strike</t>
        </is>
      </c>
      <c r="D332" s="39" t="inlineStr">
        <is>
          <t>Other</t>
        </is>
      </c>
      <c r="E332" s="39" t="inlineStr">
        <is>
          <t>No</t>
        </is>
      </c>
      <c r="F332" s="47" t="inlineStr">
        <is>
          <t>Hollywood production and promotion slowed</t>
        </is>
      </c>
      <c r="G332" s="76" t="inlineStr">
        <is>
          <t>Yes</t>
        </is>
      </c>
      <c r="H332" s="77" t="inlineStr">
        <is>
          <t>Built-in</t>
        </is>
      </c>
      <c r="I332" s="78" t="inlineStr">
        <is>
          <t>ind:2023-05-02</t>
        </is>
      </c>
    </row>
    <row r="333">
      <c r="A333" s="75" t="n">
        <v>45051</v>
      </c>
      <c r="B333" s="75" t="n"/>
      <c r="C333" t="inlineStr">
        <is>
          <t>Guardians of the Galaxy Vol. 3 released</t>
        </is>
      </c>
      <c r="D333" s="39" t="inlineStr">
        <is>
          <t>Movie / trailer</t>
        </is>
      </c>
      <c r="E333" s="39" t="inlineStr">
        <is>
          <t>No</t>
        </is>
      </c>
      <c r="F333" s="47" t="inlineStr">
        <is>
          <t>Marvel - US date</t>
        </is>
      </c>
      <c r="G333" s="76" t="inlineStr">
        <is>
          <t>Yes</t>
        </is>
      </c>
      <c r="H333" s="77" t="inlineStr">
        <is>
          <t>Built-in</t>
        </is>
      </c>
      <c r="I333" s="78" t="inlineStr">
        <is>
          <t xml:space="preserve">rel:2023-05-05:Guardians of the Galaxy </t>
        </is>
      </c>
    </row>
    <row r="334">
      <c r="A334" s="75" t="n">
        <v>45058</v>
      </c>
      <c r="B334" s="75" t="n"/>
      <c r="C334" t="inlineStr">
        <is>
          <t>The Legend of Zelda: Tears of the Kingdom released</t>
        </is>
      </c>
      <c r="D334" s="39" t="inlineStr">
        <is>
          <t>Game release</t>
        </is>
      </c>
      <c r="E334" s="39" t="inlineStr">
        <is>
          <t>No</t>
        </is>
      </c>
      <c r="F334" s="47" t="inlineStr">
        <is>
          <t>US date</t>
        </is>
      </c>
      <c r="G334" s="76" t="inlineStr">
        <is>
          <t>Yes</t>
        </is>
      </c>
      <c r="H334" s="77" t="inlineStr">
        <is>
          <t>Built-in</t>
        </is>
      </c>
      <c r="I334" s="78" t="inlineStr">
        <is>
          <t>game:2023-05-12:The Legend of Zelda: Tea</t>
        </is>
      </c>
    </row>
    <row r="335">
      <c r="A335" s="75" t="n">
        <v>45060</v>
      </c>
      <c r="B335" s="75" t="n"/>
      <c r="C335" t="inlineStr">
        <is>
          <t>Mother's Day</t>
        </is>
      </c>
      <c r="D335" s="39" t="inlineStr">
        <is>
          <t>Holiday</t>
        </is>
      </c>
      <c r="E335" s="39" t="inlineStr">
        <is>
          <t>No</t>
        </is>
      </c>
      <c r="F335" s="47" t="n"/>
      <c r="G335" s="76" t="inlineStr">
        <is>
          <t>Yes</t>
        </is>
      </c>
      <c r="H335" s="77" t="inlineStr">
        <is>
          <t>Built-in</t>
        </is>
      </c>
      <c r="I335" s="78" t="inlineStr">
        <is>
          <t>hol:mothers:2023</t>
        </is>
      </c>
    </row>
    <row r="336">
      <c r="A336" s="75" t="n">
        <v>45072</v>
      </c>
      <c r="B336" s="75" t="n"/>
      <c r="C336" t="inlineStr">
        <is>
          <t>The Little Mermaid (live-action) released</t>
        </is>
      </c>
      <c r="D336" s="39" t="inlineStr">
        <is>
          <t>Movie / trailer</t>
        </is>
      </c>
      <c r="E336" s="39" t="inlineStr">
        <is>
          <t>No</t>
        </is>
      </c>
      <c r="F336" s="47" t="inlineStr">
        <is>
          <t>Disney - US date</t>
        </is>
      </c>
      <c r="G336" s="76" t="inlineStr">
        <is>
          <t>Yes</t>
        </is>
      </c>
      <c r="H336" s="77" t="inlineStr">
        <is>
          <t>Built-in</t>
        </is>
      </c>
      <c r="I336" s="78" t="inlineStr">
        <is>
          <t>rel:2023-05-26:The Little Mermaid (live</t>
        </is>
      </c>
    </row>
    <row r="337">
      <c r="A337" s="75" t="n">
        <v>45075</v>
      </c>
      <c r="B337" s="75" t="n"/>
      <c r="C337" t="inlineStr">
        <is>
          <t>Memorial Day</t>
        </is>
      </c>
      <c r="D337" s="39" t="inlineStr">
        <is>
          <t>Holiday</t>
        </is>
      </c>
      <c r="E337" s="39" t="inlineStr">
        <is>
          <t>No</t>
        </is>
      </c>
      <c r="F337" s="47" t="n"/>
      <c r="G337" s="76" t="inlineStr">
        <is>
          <t>Yes</t>
        </is>
      </c>
      <c r="H337" s="77" t="inlineStr">
        <is>
          <t>Built-in</t>
        </is>
      </c>
      <c r="I337" s="78" t="inlineStr">
        <is>
          <t>hol:memorial:2023</t>
        </is>
      </c>
    </row>
    <row r="338">
      <c r="A338" s="75" t="n">
        <v>45093</v>
      </c>
      <c r="B338" s="75" t="n"/>
      <c r="C338" t="inlineStr">
        <is>
          <t>Elemental released</t>
        </is>
      </c>
      <c r="D338" s="39" t="inlineStr">
        <is>
          <t>Movie / trailer</t>
        </is>
      </c>
      <c r="E338" s="39" t="inlineStr">
        <is>
          <t>No</t>
        </is>
      </c>
      <c r="F338" s="47" t="inlineStr">
        <is>
          <t>Pixar - US date</t>
        </is>
      </c>
      <c r="G338" s="76" t="inlineStr">
        <is>
          <t>Yes</t>
        </is>
      </c>
      <c r="H338" s="77" t="inlineStr">
        <is>
          <t>Built-in</t>
        </is>
      </c>
      <c r="I338" s="78" t="inlineStr">
        <is>
          <t>rel:2023-06-16:Elemental</t>
        </is>
      </c>
    </row>
    <row r="339">
      <c r="A339" s="75" t="n">
        <v>45095</v>
      </c>
      <c r="B339" s="75" t="n"/>
      <c r="C339" t="inlineStr">
        <is>
          <t>Father's Day</t>
        </is>
      </c>
      <c r="D339" s="39" t="inlineStr">
        <is>
          <t>Holiday</t>
        </is>
      </c>
      <c r="E339" s="39" t="inlineStr">
        <is>
          <t>No</t>
        </is>
      </c>
      <c r="F339" s="47" t="n"/>
      <c r="G339" s="76" t="inlineStr">
        <is>
          <t>Yes</t>
        </is>
      </c>
      <c r="H339" s="77" t="inlineStr">
        <is>
          <t>Built-in</t>
        </is>
      </c>
      <c r="I339" s="78" t="inlineStr">
        <is>
          <t>hol:fathers:2023</t>
        </is>
      </c>
    </row>
    <row r="340">
      <c r="A340" s="75" t="n">
        <v>45121</v>
      </c>
      <c r="B340" s="75" t="n">
        <v>45239</v>
      </c>
      <c r="C340" t="inlineStr">
        <is>
          <t>SAG-AFTRA actors' strike</t>
        </is>
      </c>
      <c r="D340" s="39" t="inlineStr">
        <is>
          <t>Other</t>
        </is>
      </c>
      <c r="E340" s="39" t="inlineStr">
        <is>
          <t>No</t>
        </is>
      </c>
      <c r="F340" s="47" t="inlineStr">
        <is>
          <t>Actors could not promote films</t>
        </is>
      </c>
      <c r="G340" s="76" t="inlineStr">
        <is>
          <t>Yes</t>
        </is>
      </c>
      <c r="H340" s="77" t="inlineStr">
        <is>
          <t>Built-in</t>
        </is>
      </c>
      <c r="I340" s="78" t="inlineStr">
        <is>
          <t>ind:2023-07-14</t>
        </is>
      </c>
    </row>
    <row r="341">
      <c r="A341" s="75" t="n">
        <v>45127</v>
      </c>
      <c r="B341" s="75" t="n">
        <v>45130</v>
      </c>
      <c r="C341" t="inlineStr">
        <is>
          <t>San Diego Comic-Con</t>
        </is>
      </c>
      <c r="D341" s="39" t="inlineStr">
        <is>
          <t>Movie / trailer</t>
        </is>
      </c>
      <c r="E341" s="39" t="inlineStr">
        <is>
          <t>No</t>
        </is>
      </c>
      <c r="F341" s="47" t="inlineStr">
        <is>
          <t>Big trailer and announcement reveals (Marvel, Star Wars, Disney, Harry Potter)</t>
        </is>
      </c>
      <c r="G341" s="76" t="inlineStr">
        <is>
          <t>Yes</t>
        </is>
      </c>
      <c r="H341" s="77" t="inlineStr">
        <is>
          <t>Built-in</t>
        </is>
      </c>
      <c r="I341" s="78" t="inlineStr">
        <is>
          <t>con:sdcc:2023</t>
        </is>
      </c>
    </row>
    <row r="342">
      <c r="A342" s="75" t="n">
        <v>45161</v>
      </c>
      <c r="B342" s="75" t="n"/>
      <c r="C342" t="inlineStr">
        <is>
          <t>Ahsoka (Disney+) premieres</t>
        </is>
      </c>
      <c r="D342" s="39" t="inlineStr">
        <is>
          <t>Movie / trailer</t>
        </is>
      </c>
      <c r="E342" s="39" t="inlineStr">
        <is>
          <t>No</t>
        </is>
      </c>
      <c r="F342" s="47" t="inlineStr">
        <is>
          <t>Star Wars - US date</t>
        </is>
      </c>
      <c r="G342" s="76" t="inlineStr">
        <is>
          <t>Yes</t>
        </is>
      </c>
      <c r="H342" s="77" t="inlineStr">
        <is>
          <t>Built-in</t>
        </is>
      </c>
      <c r="I342" s="78" t="inlineStr">
        <is>
          <t>rel:2023-08-23:Ahsoka (Disney+)</t>
        </is>
      </c>
    </row>
    <row r="343">
      <c r="A343" s="75" t="n">
        <v>45173</v>
      </c>
      <c r="B343" s="75" t="n"/>
      <c r="C343" t="inlineStr">
        <is>
          <t>Labor Day</t>
        </is>
      </c>
      <c r="D343" s="39" t="inlineStr">
        <is>
          <t>Holiday</t>
        </is>
      </c>
      <c r="E343" s="39" t="inlineStr">
        <is>
          <t>No</t>
        </is>
      </c>
      <c r="F343" s="47" t="n"/>
      <c r="G343" s="76" t="inlineStr">
        <is>
          <t>Yes</t>
        </is>
      </c>
      <c r="H343" s="77" t="inlineStr">
        <is>
          <t>Built-in</t>
        </is>
      </c>
      <c r="I343" s="78" t="inlineStr">
        <is>
          <t>hol:labor:2023</t>
        </is>
      </c>
    </row>
    <row r="344">
      <c r="A344" s="75" t="n">
        <v>45196</v>
      </c>
      <c r="B344" s="75" t="n"/>
      <c r="C344" t="inlineStr">
        <is>
          <t>Michael Gambon passes away (Dumbledore)</t>
        </is>
      </c>
      <c r="D344" s="39" t="inlineStr">
        <is>
          <t>Fandom</t>
        </is>
      </c>
      <c r="E344" s="39" t="inlineStr">
        <is>
          <t>No</t>
        </is>
      </c>
      <c r="F344" s="47" t="inlineStr">
        <is>
          <t>In memoriam</t>
        </is>
      </c>
      <c r="G344" s="76" t="inlineStr">
        <is>
          <t>Yes</t>
        </is>
      </c>
      <c r="H344" s="77" t="inlineStr">
        <is>
          <t>Built-in</t>
        </is>
      </c>
      <c r="I344" s="78" t="inlineStr">
        <is>
          <t>fan:mem:2023-09-27</t>
        </is>
      </c>
    </row>
    <row r="345">
      <c r="A345" s="75" t="n">
        <v>45197</v>
      </c>
      <c r="B345" s="75" t="n"/>
      <c r="C345" t="inlineStr">
        <is>
          <t>Through The Griffin Door: first video in the library</t>
        </is>
      </c>
      <c r="D345" s="39" t="inlineStr">
        <is>
          <t>SCB milestone</t>
        </is>
      </c>
      <c r="E345" s="39" t="inlineStr">
        <is>
          <t>No</t>
        </is>
      </c>
      <c r="F345" s="47" t="inlineStr">
        <is>
          <t>Episode 0 - Through The Griffin Door</t>
        </is>
      </c>
      <c r="G345" s="76" t="inlineStr">
        <is>
          <t>Yes</t>
        </is>
      </c>
      <c r="H345" s="77" t="inlineStr">
        <is>
          <t>Built-in</t>
        </is>
      </c>
      <c r="I345" s="78" t="inlineStr">
        <is>
          <t>auto:first:UCEscP6ETYXWSSvsNrDHekMQ</t>
        </is>
      </c>
    </row>
    <row r="346">
      <c r="A346" s="75" t="n">
        <v>45200</v>
      </c>
      <c r="B346" s="75" t="n"/>
      <c r="C346" t="inlineStr">
        <is>
          <t>Through The Griffin Door: most-viewed video uploaded</t>
        </is>
      </c>
      <c r="D346" s="39" t="inlineStr">
        <is>
          <t>SCB milestone</t>
        </is>
      </c>
      <c r="E346" s="39" t="inlineStr">
        <is>
          <t>No</t>
        </is>
      </c>
      <c r="F346" s="47" t="inlineStr">
        <is>
          <t>Chapter 1: The Boy Who Lived | Philosopher's Stone</t>
        </is>
      </c>
      <c r="G346" s="76" t="inlineStr">
        <is>
          <t>Yes</t>
        </is>
      </c>
      <c r="H346" s="77" t="inlineStr">
        <is>
          <t>Built-in</t>
        </is>
      </c>
      <c r="I346" s="78" t="inlineStr">
        <is>
          <t>auto:top:UCEscP6ETYXWSSvsNrDHekMQ</t>
        </is>
      </c>
    </row>
    <row r="347">
      <c r="A347" s="75" t="n">
        <v>45205</v>
      </c>
      <c r="B347" s="75" t="n"/>
      <c r="C347" t="inlineStr">
        <is>
          <t>Loki season 2 (Disney+) premieres</t>
        </is>
      </c>
      <c r="D347" s="39" t="inlineStr">
        <is>
          <t>Movie / trailer</t>
        </is>
      </c>
      <c r="E347" s="39" t="inlineStr">
        <is>
          <t>No</t>
        </is>
      </c>
      <c r="F347" s="47" t="inlineStr">
        <is>
          <t>Marvel - US date</t>
        </is>
      </c>
      <c r="G347" s="76" t="inlineStr">
        <is>
          <t>Yes</t>
        </is>
      </c>
      <c r="H347" s="77" t="inlineStr">
        <is>
          <t>Built-in</t>
        </is>
      </c>
      <c r="I347" s="78" t="inlineStr">
        <is>
          <t>rel:2023-10-06:Loki season 2 (Disney+)</t>
        </is>
      </c>
    </row>
    <row r="348">
      <c r="A348" s="75" t="n">
        <v>45240</v>
      </c>
      <c r="B348" s="75" t="n"/>
      <c r="C348" t="inlineStr">
        <is>
          <t>The Marvels released</t>
        </is>
      </c>
      <c r="D348" s="39" t="inlineStr">
        <is>
          <t>Movie / trailer</t>
        </is>
      </c>
      <c r="E348" s="39" t="inlineStr">
        <is>
          <t>No</t>
        </is>
      </c>
      <c r="F348" s="47" t="inlineStr">
        <is>
          <t>Marvel - US date</t>
        </is>
      </c>
      <c r="G348" s="76" t="inlineStr">
        <is>
          <t>Yes</t>
        </is>
      </c>
      <c r="H348" s="77" t="inlineStr">
        <is>
          <t>Built-in</t>
        </is>
      </c>
      <c r="I348" s="78" t="inlineStr">
        <is>
          <t>rel:2023-11-10:The Marvels</t>
        </is>
      </c>
    </row>
    <row r="349">
      <c r="A349" s="75" t="n">
        <v>45247</v>
      </c>
      <c r="B349" s="75" t="n"/>
      <c r="C349" t="inlineStr">
        <is>
          <t>The Hunger Games: The Ballad of Songbirds &amp; Snakes released</t>
        </is>
      </c>
      <c r="D349" s="39" t="inlineStr">
        <is>
          <t>Movie / trailer</t>
        </is>
      </c>
      <c r="E349" s="39" t="inlineStr">
        <is>
          <t>No</t>
        </is>
      </c>
      <c r="F349" s="47" t="inlineStr">
        <is>
          <t>Hunger Games - US date</t>
        </is>
      </c>
      <c r="G349" s="76" t="inlineStr">
        <is>
          <t>Yes</t>
        </is>
      </c>
      <c r="H349" s="77" t="inlineStr">
        <is>
          <t>Built-in</t>
        </is>
      </c>
      <c r="I349" s="78" t="inlineStr">
        <is>
          <t>rel:2023-11-17:The Hunger Games: The Ba</t>
        </is>
      </c>
    </row>
    <row r="350">
      <c r="A350" s="75" t="n">
        <v>45252</v>
      </c>
      <c r="B350" s="75" t="n"/>
      <c r="C350" t="inlineStr">
        <is>
          <t>Wish released</t>
        </is>
      </c>
      <c r="D350" s="39" t="inlineStr">
        <is>
          <t>Movie / trailer</t>
        </is>
      </c>
      <c r="E350" s="39" t="inlineStr">
        <is>
          <t>No</t>
        </is>
      </c>
      <c r="F350" s="47" t="inlineStr">
        <is>
          <t>Disney - US date</t>
        </is>
      </c>
      <c r="G350" s="76" t="inlineStr">
        <is>
          <t>Yes</t>
        </is>
      </c>
      <c r="H350" s="77" t="inlineStr">
        <is>
          <t>Built-in</t>
        </is>
      </c>
      <c r="I350" s="78" t="inlineStr">
        <is>
          <t>rel:2023-11-22:Wish</t>
        </is>
      </c>
    </row>
    <row r="351">
      <c r="A351" s="75" t="n">
        <v>45253</v>
      </c>
      <c r="B351" s="75" t="n"/>
      <c r="C351" t="inlineStr">
        <is>
          <t>Thanksgiving</t>
        </is>
      </c>
      <c r="D351" s="39" t="inlineStr">
        <is>
          <t>Holiday</t>
        </is>
      </c>
      <c r="E351" s="39" t="inlineStr">
        <is>
          <t>No</t>
        </is>
      </c>
      <c r="F351" s="47" t="n"/>
      <c r="G351" s="76" t="inlineStr">
        <is>
          <t>Yes</t>
        </is>
      </c>
      <c r="H351" s="77" t="inlineStr">
        <is>
          <t>Built-in</t>
        </is>
      </c>
      <c r="I351" s="78" t="inlineStr">
        <is>
          <t>hol:thanks:2023</t>
        </is>
      </c>
    </row>
    <row r="352">
      <c r="A352" s="75" t="n">
        <v>45254</v>
      </c>
      <c r="B352" s="75" t="n"/>
      <c r="C352" t="inlineStr">
        <is>
          <t>Black Friday</t>
        </is>
      </c>
      <c r="D352" s="39" t="inlineStr">
        <is>
          <t>Holiday</t>
        </is>
      </c>
      <c r="E352" s="39" t="inlineStr">
        <is>
          <t>No</t>
        </is>
      </c>
      <c r="F352" s="47" t="n"/>
      <c r="G352" s="76" t="inlineStr">
        <is>
          <t>Yes</t>
        </is>
      </c>
      <c r="H352" s="77" t="inlineStr">
        <is>
          <t>Built-in</t>
        </is>
      </c>
      <c r="I352" s="78" t="inlineStr">
        <is>
          <t>hol:blackfri:2023</t>
        </is>
      </c>
    </row>
    <row r="353">
      <c r="A353" s="75" t="n">
        <v>45306</v>
      </c>
      <c r="B353" s="75" t="n"/>
      <c r="C353" t="inlineStr">
        <is>
          <t>Martin Luther King Jr. Day</t>
        </is>
      </c>
      <c r="D353" s="39" t="inlineStr">
        <is>
          <t>Holiday</t>
        </is>
      </c>
      <c r="E353" s="39" t="inlineStr">
        <is>
          <t>No</t>
        </is>
      </c>
      <c r="F353" s="47" t="n"/>
      <c r="G353" s="76" t="inlineStr">
        <is>
          <t>Yes</t>
        </is>
      </c>
      <c r="H353" s="77" t="inlineStr">
        <is>
          <t>Built-in</t>
        </is>
      </c>
      <c r="I353" s="78" t="inlineStr">
        <is>
          <t>hol:mlk:2024</t>
        </is>
      </c>
    </row>
    <row r="354">
      <c r="A354" s="75" t="n">
        <v>45333</v>
      </c>
      <c r="B354" s="75" t="n"/>
      <c r="C354" t="inlineStr">
        <is>
          <t>Super Bowl Sunday</t>
        </is>
      </c>
      <c r="D354" s="39" t="inlineStr">
        <is>
          <t>Holiday</t>
        </is>
      </c>
      <c r="E354" s="39" t="inlineStr">
        <is>
          <t>No</t>
        </is>
      </c>
      <c r="F354" s="47" t="n"/>
      <c r="G354" s="76" t="inlineStr">
        <is>
          <t>Yes</t>
        </is>
      </c>
      <c r="H354" s="77" t="inlineStr">
        <is>
          <t>Built-in</t>
        </is>
      </c>
      <c r="I354" s="78" t="inlineStr">
        <is>
          <t>hol:sb:2024</t>
        </is>
      </c>
    </row>
    <row r="355">
      <c r="A355" s="75" t="n">
        <v>45341</v>
      </c>
      <c r="B355" s="75" t="n"/>
      <c r="C355" t="inlineStr">
        <is>
          <t>Presidents' Day</t>
        </is>
      </c>
      <c r="D355" s="39" t="inlineStr">
        <is>
          <t>Holiday</t>
        </is>
      </c>
      <c r="E355" s="39" t="inlineStr">
        <is>
          <t>No</t>
        </is>
      </c>
      <c r="F355" s="47" t="n"/>
      <c r="G355" s="76" t="inlineStr">
        <is>
          <t>Yes</t>
        </is>
      </c>
      <c r="H355" s="77" t="inlineStr">
        <is>
          <t>Built-in</t>
        </is>
      </c>
      <c r="I355" s="78" t="inlineStr">
        <is>
          <t>hol:pres:2024</t>
        </is>
      </c>
    </row>
    <row r="356">
      <c r="A356" s="75" t="n">
        <v>45361</v>
      </c>
      <c r="B356" s="75" t="n"/>
      <c r="C356" t="inlineStr">
        <is>
          <t>The Oscars</t>
        </is>
      </c>
      <c r="D356" s="39" t="inlineStr">
        <is>
          <t>Holiday</t>
        </is>
      </c>
      <c r="E356" s="39" t="inlineStr">
        <is>
          <t>No</t>
        </is>
      </c>
      <c r="F356" s="47" t="inlineStr">
        <is>
          <t>Academy Awards ceremony</t>
        </is>
      </c>
      <c r="G356" s="76" t="inlineStr">
        <is>
          <t>Yes</t>
        </is>
      </c>
      <c r="H356" s="77" t="inlineStr">
        <is>
          <t>Built-in</t>
        </is>
      </c>
      <c r="I356" s="78" t="inlineStr">
        <is>
          <t>hol:oscars:2024</t>
        </is>
      </c>
    </row>
    <row r="357">
      <c r="A357" s="75" t="n">
        <v>45363</v>
      </c>
      <c r="B357" s="75" t="n"/>
      <c r="C357" t="inlineStr">
        <is>
          <t>'We're going on tour!' - Through the Griffin Door tour announced</t>
        </is>
      </c>
      <c r="D357" s="39" t="inlineStr">
        <is>
          <t>SCB milestone</t>
        </is>
      </c>
      <c r="E357" s="39" t="inlineStr">
        <is>
          <t>No</t>
        </is>
      </c>
      <c r="F357" s="47" t="n"/>
      <c r="G357" s="76" t="inlineStr">
        <is>
          <t>Yes</t>
        </is>
      </c>
      <c r="H357" s="77" t="inlineStr">
        <is>
          <t>Built-in</t>
        </is>
      </c>
      <c r="I357" s="78" t="inlineStr">
        <is>
          <t>ms:2024-03-12</t>
        </is>
      </c>
    </row>
    <row r="358">
      <c r="A358" s="75" t="n">
        <v>45382</v>
      </c>
      <c r="B358" s="75" t="n"/>
      <c r="C358" t="inlineStr">
        <is>
          <t>Easter Sunday</t>
        </is>
      </c>
      <c r="D358" s="39" t="inlineStr">
        <is>
          <t>Holiday</t>
        </is>
      </c>
      <c r="E358" s="39" t="inlineStr">
        <is>
          <t>No</t>
        </is>
      </c>
      <c r="F358" s="47" t="n"/>
      <c r="G358" s="76" t="inlineStr">
        <is>
          <t>Yes</t>
        </is>
      </c>
      <c r="H358" s="77" t="inlineStr">
        <is>
          <t>Built-in</t>
        </is>
      </c>
      <c r="I358" s="78" t="inlineStr">
        <is>
          <t>hol:easter:2024</t>
        </is>
      </c>
    </row>
    <row r="359">
      <c r="A359" s="75" t="n">
        <v>45424</v>
      </c>
      <c r="B359" s="75" t="n"/>
      <c r="C359" t="inlineStr">
        <is>
          <t>Mother's Day</t>
        </is>
      </c>
      <c r="D359" s="39" t="inlineStr">
        <is>
          <t>Holiday</t>
        </is>
      </c>
      <c r="E359" s="39" t="inlineStr">
        <is>
          <t>No</t>
        </is>
      </c>
      <c r="F359" s="47" t="n"/>
      <c r="G359" s="76" t="inlineStr">
        <is>
          <t>Yes</t>
        </is>
      </c>
      <c r="H359" s="77" t="inlineStr">
        <is>
          <t>Built-in</t>
        </is>
      </c>
      <c r="I359" s="78" t="inlineStr">
        <is>
          <t>hol:mothers:2024</t>
        </is>
      </c>
    </row>
    <row r="360">
      <c r="A360" s="75" t="n">
        <v>45439</v>
      </c>
      <c r="B360" s="75" t="n"/>
      <c r="C360" t="inlineStr">
        <is>
          <t>Memorial Day</t>
        </is>
      </c>
      <c r="D360" s="39" t="inlineStr">
        <is>
          <t>Holiday</t>
        </is>
      </c>
      <c r="E360" s="39" t="inlineStr">
        <is>
          <t>No</t>
        </is>
      </c>
      <c r="F360" s="47" t="n"/>
      <c r="G360" s="76" t="inlineStr">
        <is>
          <t>Yes</t>
        </is>
      </c>
      <c r="H360" s="77" t="inlineStr">
        <is>
          <t>Built-in</t>
        </is>
      </c>
      <c r="I360" s="78" t="inlineStr">
        <is>
          <t>hol:memorial:2024</t>
        </is>
      </c>
    </row>
    <row r="361">
      <c r="A361" s="75" t="n">
        <v>45447</v>
      </c>
      <c r="B361" s="75" t="n"/>
      <c r="C361" t="inlineStr">
        <is>
          <t>The Acolyte (Disney+) premieres</t>
        </is>
      </c>
      <c r="D361" s="39" t="inlineStr">
        <is>
          <t>Movie / trailer</t>
        </is>
      </c>
      <c r="E361" s="39" t="inlineStr">
        <is>
          <t>No</t>
        </is>
      </c>
      <c r="F361" s="47" t="inlineStr">
        <is>
          <t>Star Wars - US date</t>
        </is>
      </c>
      <c r="G361" s="76" t="inlineStr">
        <is>
          <t>Yes</t>
        </is>
      </c>
      <c r="H361" s="77" t="inlineStr">
        <is>
          <t>Built-in</t>
        </is>
      </c>
      <c r="I361" s="78" t="inlineStr">
        <is>
          <t>rel:2024-06-04:The Acolyte (Disney+)</t>
        </is>
      </c>
    </row>
    <row r="362">
      <c r="A362" s="75" t="n">
        <v>45457</v>
      </c>
      <c r="B362" s="75" t="n"/>
      <c r="C362" t="inlineStr">
        <is>
          <t>Inside Out 2 released</t>
        </is>
      </c>
      <c r="D362" s="39" t="inlineStr">
        <is>
          <t>Movie / trailer</t>
        </is>
      </c>
      <c r="E362" s="39" t="inlineStr">
        <is>
          <t>No</t>
        </is>
      </c>
      <c r="F362" s="47" t="inlineStr">
        <is>
          <t>Pixar - US date</t>
        </is>
      </c>
      <c r="G362" s="76" t="inlineStr">
        <is>
          <t>Yes</t>
        </is>
      </c>
      <c r="H362" s="77" t="inlineStr">
        <is>
          <t>Built-in</t>
        </is>
      </c>
      <c r="I362" s="78" t="inlineStr">
        <is>
          <t>rel:2024-06-14:Inside Out 2</t>
        </is>
      </c>
    </row>
    <row r="363">
      <c r="A363" s="75" t="n">
        <v>45457</v>
      </c>
      <c r="B363" s="75" t="n"/>
      <c r="C363" t="inlineStr">
        <is>
          <t>Super Carlin Brothers: video #1,500</t>
        </is>
      </c>
      <c r="D363" s="39" t="inlineStr">
        <is>
          <t>SCB milestone</t>
        </is>
      </c>
      <c r="E363" s="39" t="inlineStr">
        <is>
          <t>No</t>
        </is>
      </c>
      <c r="F363" s="47" t="inlineStr">
        <is>
          <t>Lockhart’s STOLE Quirrell’s Memory | Harry Potter Film Theory</t>
        </is>
      </c>
      <c r="G363" s="76" t="inlineStr">
        <is>
          <t>Yes</t>
        </is>
      </c>
      <c r="H363" s="77" t="inlineStr">
        <is>
          <t>Built-in</t>
        </is>
      </c>
      <c r="I363" s="78" t="inlineStr">
        <is>
          <t>auto:n1500:UCKZo4N0lVPccBkSiuyVh4yg</t>
        </is>
      </c>
    </row>
    <row r="364">
      <c r="A364" s="75" t="n">
        <v>45459</v>
      </c>
      <c r="B364" s="75" t="n"/>
      <c r="C364" t="inlineStr">
        <is>
          <t>Father's Day</t>
        </is>
      </c>
      <c r="D364" s="39" t="inlineStr">
        <is>
          <t>Holiday</t>
        </is>
      </c>
      <c r="E364" s="39" t="inlineStr">
        <is>
          <t>No</t>
        </is>
      </c>
      <c r="F364" s="47" t="n"/>
      <c r="G364" s="76" t="inlineStr">
        <is>
          <t>Yes</t>
        </is>
      </c>
      <c r="H364" s="77" t="inlineStr">
        <is>
          <t>Built-in</t>
        </is>
      </c>
      <c r="I364" s="78" t="inlineStr">
        <is>
          <t>hol:fathers:2024</t>
        </is>
      </c>
    </row>
    <row r="365">
      <c r="A365" s="75" t="n">
        <v>45461</v>
      </c>
      <c r="B365" s="75" t="n"/>
      <c r="C365" t="inlineStr">
        <is>
          <t>Through the Griffin Tour - West Coast announced</t>
        </is>
      </c>
      <c r="D365" s="39" t="inlineStr">
        <is>
          <t>SCB milestone</t>
        </is>
      </c>
      <c r="E365" s="39" t="inlineStr">
        <is>
          <t>No</t>
        </is>
      </c>
      <c r="F365" s="47" t="n"/>
      <c r="G365" s="76" t="inlineStr">
        <is>
          <t>Yes</t>
        </is>
      </c>
      <c r="H365" s="77" t="inlineStr">
        <is>
          <t>Built-in</t>
        </is>
      </c>
      <c r="I365" s="78" t="inlineStr">
        <is>
          <t>ms:2024-06-18</t>
        </is>
      </c>
    </row>
    <row r="366">
      <c r="A366" s="75" t="n">
        <v>45485</v>
      </c>
      <c r="B366" s="75" t="n"/>
      <c r="C366" t="inlineStr">
        <is>
          <t>Popcorn Culture: video #250</t>
        </is>
      </c>
      <c r="D366" s="39" t="inlineStr">
        <is>
          <t>SCB milestone</t>
        </is>
      </c>
      <c r="E366" s="39" t="inlineStr">
        <is>
          <t>No</t>
        </is>
      </c>
      <c r="F366" s="47" t="inlineStr">
        <is>
          <t>Lunch Date Wingman | Popcorn Culture</t>
        </is>
      </c>
      <c r="G366" s="76" t="inlineStr">
        <is>
          <t>Yes</t>
        </is>
      </c>
      <c r="H366" s="77" t="inlineStr">
        <is>
          <t>Built-in</t>
        </is>
      </c>
      <c r="I366" s="78" t="inlineStr">
        <is>
          <t>auto:n250:UCHfIbq9thHPC8yrKjAdJgDA</t>
        </is>
      </c>
    </row>
    <row r="367">
      <c r="A367" s="75" t="n">
        <v>45498</v>
      </c>
      <c r="B367" s="75" t="n">
        <v>45501</v>
      </c>
      <c r="C367" t="inlineStr">
        <is>
          <t>San Diego Comic-Con</t>
        </is>
      </c>
      <c r="D367" s="39" t="inlineStr">
        <is>
          <t>Movie / trailer</t>
        </is>
      </c>
      <c r="E367" s="39" t="inlineStr">
        <is>
          <t>No</t>
        </is>
      </c>
      <c r="F367" s="47" t="inlineStr">
        <is>
          <t>Big trailer and announcement reveals (Marvel, Star Wars, Disney, Harry Potter)</t>
        </is>
      </c>
      <c r="G367" s="76" t="inlineStr">
        <is>
          <t>Yes</t>
        </is>
      </c>
      <c r="H367" s="77" t="inlineStr">
        <is>
          <t>Built-in</t>
        </is>
      </c>
      <c r="I367" s="78" t="inlineStr">
        <is>
          <t>con:sdcc:2024</t>
        </is>
      </c>
    </row>
    <row r="368">
      <c r="A368" s="75" t="n">
        <v>45499</v>
      </c>
      <c r="B368" s="75" t="n"/>
      <c r="C368" t="inlineStr">
        <is>
          <t>Deadpool &amp; Wolverine released</t>
        </is>
      </c>
      <c r="D368" s="39" t="inlineStr">
        <is>
          <t>Movie / trailer</t>
        </is>
      </c>
      <c r="E368" s="39" t="inlineStr">
        <is>
          <t>No</t>
        </is>
      </c>
      <c r="F368" s="47" t="inlineStr">
        <is>
          <t>Marvel - US date</t>
        </is>
      </c>
      <c r="G368" s="76" t="inlineStr">
        <is>
          <t>Yes</t>
        </is>
      </c>
      <c r="H368" s="77" t="inlineStr">
        <is>
          <t>Built-in</t>
        </is>
      </c>
      <c r="I368" s="78" t="inlineStr">
        <is>
          <t>rel:2024-07-26:Deadpool &amp; Wolverine</t>
        </is>
      </c>
    </row>
    <row r="369">
      <c r="A369" s="75" t="n">
        <v>45513</v>
      </c>
      <c r="B369" s="75" t="n">
        <v>45515</v>
      </c>
      <c r="C369" t="inlineStr">
        <is>
          <t>D23 Expo (Disney fan event)</t>
        </is>
      </c>
      <c r="D369" s="39" t="inlineStr">
        <is>
          <t>Movie / trailer</t>
        </is>
      </c>
      <c r="E369" s="39" t="inlineStr">
        <is>
          <t>No</t>
        </is>
      </c>
      <c r="F369" s="47" t="inlineStr">
        <is>
          <t>Disney, Pixar, Marvel and Lucasfilm announcements</t>
        </is>
      </c>
      <c r="G369" s="76" t="inlineStr">
        <is>
          <t>Yes</t>
        </is>
      </c>
      <c r="H369" s="77" t="inlineStr">
        <is>
          <t>Built-in</t>
        </is>
      </c>
      <c r="I369" s="78" t="inlineStr">
        <is>
          <t>con:d23:2024</t>
        </is>
      </c>
    </row>
    <row r="370">
      <c r="A370" s="75" t="n">
        <v>45537</v>
      </c>
      <c r="B370" s="75" t="n"/>
      <c r="C370" t="inlineStr">
        <is>
          <t>Labor Day</t>
        </is>
      </c>
      <c r="D370" s="39" t="inlineStr">
        <is>
          <t>Holiday</t>
        </is>
      </c>
      <c r="E370" s="39" t="inlineStr">
        <is>
          <t>No</t>
        </is>
      </c>
      <c r="F370" s="47" t="n"/>
      <c r="G370" s="76" t="inlineStr">
        <is>
          <t>Yes</t>
        </is>
      </c>
      <c r="H370" s="77" t="inlineStr">
        <is>
          <t>Built-in</t>
        </is>
      </c>
      <c r="I370" s="78" t="inlineStr">
        <is>
          <t>hol:labor:2024</t>
        </is>
      </c>
    </row>
    <row r="371">
      <c r="A371" s="75" t="n">
        <v>45562</v>
      </c>
      <c r="B371" s="75" t="n"/>
      <c r="C371" t="inlineStr">
        <is>
          <t>Maggie Smith passes away (Professor McGonagall)</t>
        </is>
      </c>
      <c r="D371" s="39" t="inlineStr">
        <is>
          <t>Fandom</t>
        </is>
      </c>
      <c r="E371" s="39" t="inlineStr">
        <is>
          <t>No</t>
        </is>
      </c>
      <c r="F371" s="47" t="inlineStr">
        <is>
          <t>In memoriam</t>
        </is>
      </c>
      <c r="G371" s="76" t="inlineStr">
        <is>
          <t>Yes</t>
        </is>
      </c>
      <c r="H371" s="77" t="inlineStr">
        <is>
          <t>Built-in</t>
        </is>
      </c>
      <c r="I371" s="78" t="inlineStr">
        <is>
          <t>fan:mem:2024-09-27</t>
        </is>
      </c>
    </row>
    <row r="372">
      <c r="A372" s="75" t="n">
        <v>45587</v>
      </c>
      <c r="B372" s="75" t="n"/>
      <c r="C372" t="inlineStr">
        <is>
          <t>Through the Griffin Tour - Southeast announced</t>
        </is>
      </c>
      <c r="D372" s="39" t="inlineStr">
        <is>
          <t>SCB milestone</t>
        </is>
      </c>
      <c r="E372" s="39" t="inlineStr">
        <is>
          <t>No</t>
        </is>
      </c>
      <c r="F372" s="47" t="n"/>
      <c r="G372" s="76" t="inlineStr">
        <is>
          <t>Yes</t>
        </is>
      </c>
      <c r="H372" s="77" t="inlineStr">
        <is>
          <t>Built-in</t>
        </is>
      </c>
      <c r="I372" s="78" t="inlineStr">
        <is>
          <t>ms:2024-10-22</t>
        </is>
      </c>
    </row>
    <row r="373">
      <c r="A373" s="75" t="n">
        <v>45618</v>
      </c>
      <c r="B373" s="75" t="n"/>
      <c r="C373" t="inlineStr">
        <is>
          <t>Wicked released</t>
        </is>
      </c>
      <c r="D373" s="39" t="inlineStr">
        <is>
          <t>Movie / trailer</t>
        </is>
      </c>
      <c r="E373" s="39" t="inlineStr">
        <is>
          <t>No</t>
        </is>
      </c>
      <c r="F373" s="47" t="inlineStr">
        <is>
          <t>Wicked - US date</t>
        </is>
      </c>
      <c r="G373" s="76" t="inlineStr">
        <is>
          <t>Yes</t>
        </is>
      </c>
      <c r="H373" s="77" t="inlineStr">
        <is>
          <t>Built-in</t>
        </is>
      </c>
      <c r="I373" s="78" t="inlineStr">
        <is>
          <t>rel:2024-11-22:Wicked</t>
        </is>
      </c>
    </row>
    <row r="374">
      <c r="A374" s="75" t="n">
        <v>45623</v>
      </c>
      <c r="B374" s="75" t="n"/>
      <c r="C374" t="inlineStr">
        <is>
          <t>Moana 2 released</t>
        </is>
      </c>
      <c r="D374" s="39" t="inlineStr">
        <is>
          <t>Movie / trailer</t>
        </is>
      </c>
      <c r="E374" s="39" t="inlineStr">
        <is>
          <t>No</t>
        </is>
      </c>
      <c r="F374" s="47" t="inlineStr">
        <is>
          <t>Disney - US date</t>
        </is>
      </c>
      <c r="G374" s="76" t="inlineStr">
        <is>
          <t>Yes</t>
        </is>
      </c>
      <c r="H374" s="77" t="inlineStr">
        <is>
          <t>Built-in</t>
        </is>
      </c>
      <c r="I374" s="78" t="inlineStr">
        <is>
          <t>rel:2024-11-27:Moana 2</t>
        </is>
      </c>
    </row>
    <row r="375">
      <c r="A375" s="75" t="n">
        <v>45624</v>
      </c>
      <c r="B375" s="75" t="n"/>
      <c r="C375" t="inlineStr">
        <is>
          <t>Thanksgiving</t>
        </is>
      </c>
      <c r="D375" s="39" t="inlineStr">
        <is>
          <t>Holiday</t>
        </is>
      </c>
      <c r="E375" s="39" t="inlineStr">
        <is>
          <t>No</t>
        </is>
      </c>
      <c r="F375" s="47" t="n"/>
      <c r="G375" s="76" t="inlineStr">
        <is>
          <t>Yes</t>
        </is>
      </c>
      <c r="H375" s="77" t="inlineStr">
        <is>
          <t>Built-in</t>
        </is>
      </c>
      <c r="I375" s="78" t="inlineStr">
        <is>
          <t>hol:thanks:2024</t>
        </is>
      </c>
    </row>
    <row r="376">
      <c r="A376" s="75" t="n">
        <v>45625</v>
      </c>
      <c r="B376" s="75" t="n"/>
      <c r="C376" t="inlineStr">
        <is>
          <t>Black Friday</t>
        </is>
      </c>
      <c r="D376" s="39" t="inlineStr">
        <is>
          <t>Holiday</t>
        </is>
      </c>
      <c r="E376" s="39" t="inlineStr">
        <is>
          <t>No</t>
        </is>
      </c>
      <c r="F376" s="47" t="n"/>
      <c r="G376" s="76" t="inlineStr">
        <is>
          <t>Yes</t>
        </is>
      </c>
      <c r="H376" s="77" t="inlineStr">
        <is>
          <t>Built-in</t>
        </is>
      </c>
      <c r="I376" s="78" t="inlineStr">
        <is>
          <t>hol:blackfri:2024</t>
        </is>
      </c>
    </row>
    <row r="377">
      <c r="A377" s="75" t="n">
        <v>45629</v>
      </c>
      <c r="B377" s="75" t="n"/>
      <c r="C377" t="inlineStr">
        <is>
          <t>Skeleton Crew (Disney+) premieres</t>
        </is>
      </c>
      <c r="D377" s="39" t="inlineStr">
        <is>
          <t>Movie / trailer</t>
        </is>
      </c>
      <c r="E377" s="39" t="inlineStr">
        <is>
          <t>No</t>
        </is>
      </c>
      <c r="F377" s="47" t="inlineStr">
        <is>
          <t>Star Wars - US date</t>
        </is>
      </c>
      <c r="G377" s="76" t="inlineStr">
        <is>
          <t>Yes</t>
        </is>
      </c>
      <c r="H377" s="77" t="inlineStr">
        <is>
          <t>Built-in</t>
        </is>
      </c>
      <c r="I377" s="78" t="inlineStr">
        <is>
          <t>rel:2024-12-03:Skeleton Crew (Disney+)</t>
        </is>
      </c>
    </row>
    <row r="378">
      <c r="A378" s="75" t="n">
        <v>45646</v>
      </c>
      <c r="B378" s="75" t="n"/>
      <c r="C378" t="inlineStr">
        <is>
          <t>Mufasa: The Lion King released</t>
        </is>
      </c>
      <c r="D378" s="39" t="inlineStr">
        <is>
          <t>Movie / trailer</t>
        </is>
      </c>
      <c r="E378" s="39" t="inlineStr">
        <is>
          <t>No</t>
        </is>
      </c>
      <c r="F378" s="47" t="inlineStr">
        <is>
          <t>Disney - US date</t>
        </is>
      </c>
      <c r="G378" s="76" t="inlineStr">
        <is>
          <t>Yes</t>
        </is>
      </c>
      <c r="H378" s="77" t="inlineStr">
        <is>
          <t>Built-in</t>
        </is>
      </c>
      <c r="I378" s="78" t="inlineStr">
        <is>
          <t>rel:2024-12-20:Mufasa: The Lion King</t>
        </is>
      </c>
    </row>
    <row r="379">
      <c r="A379" s="75" t="n">
        <v>45677</v>
      </c>
      <c r="B379" s="75" t="n"/>
      <c r="C379" t="inlineStr">
        <is>
          <t>Martin Luther King Jr. Day</t>
        </is>
      </c>
      <c r="D379" s="39" t="inlineStr">
        <is>
          <t>Holiday</t>
        </is>
      </c>
      <c r="E379" s="39" t="inlineStr">
        <is>
          <t>No</t>
        </is>
      </c>
      <c r="F379" s="47" t="n"/>
      <c r="G379" s="76" t="inlineStr">
        <is>
          <t>Yes</t>
        </is>
      </c>
      <c r="H379" s="77" t="inlineStr">
        <is>
          <t>Built-in</t>
        </is>
      </c>
      <c r="I379" s="78" t="inlineStr">
        <is>
          <t>hol:mlk:2025</t>
        </is>
      </c>
    </row>
    <row r="380">
      <c r="A380" s="75" t="n">
        <v>45697</v>
      </c>
      <c r="B380" s="75" t="n"/>
      <c r="C380" t="inlineStr">
        <is>
          <t>Super Bowl Sunday</t>
        </is>
      </c>
      <c r="D380" s="39" t="inlineStr">
        <is>
          <t>Holiday</t>
        </is>
      </c>
      <c r="E380" s="39" t="inlineStr">
        <is>
          <t>No</t>
        </is>
      </c>
      <c r="F380" s="47" t="n"/>
      <c r="G380" s="76" t="inlineStr">
        <is>
          <t>Yes</t>
        </is>
      </c>
      <c r="H380" s="77" t="inlineStr">
        <is>
          <t>Built-in</t>
        </is>
      </c>
      <c r="I380" s="78" t="inlineStr">
        <is>
          <t>hol:sb:2025</t>
        </is>
      </c>
    </row>
    <row r="381">
      <c r="A381" s="75" t="n">
        <v>45702</v>
      </c>
      <c r="B381" s="75" t="n"/>
      <c r="C381" t="inlineStr">
        <is>
          <t>Captain America: Brave New World released</t>
        </is>
      </c>
      <c r="D381" s="39" t="inlineStr">
        <is>
          <t>Movie / trailer</t>
        </is>
      </c>
      <c r="E381" s="39" t="inlineStr">
        <is>
          <t>No</t>
        </is>
      </c>
      <c r="F381" s="47" t="inlineStr">
        <is>
          <t>Marvel - US date</t>
        </is>
      </c>
      <c r="G381" s="76" t="inlineStr">
        <is>
          <t>Yes</t>
        </is>
      </c>
      <c r="H381" s="77" t="inlineStr">
        <is>
          <t>Built-in</t>
        </is>
      </c>
      <c r="I381" s="78" t="inlineStr">
        <is>
          <t>rel:2025-02-14:Captain America: Brave N</t>
        </is>
      </c>
    </row>
    <row r="382">
      <c r="A382" s="75" t="n">
        <v>45705</v>
      </c>
      <c r="B382" s="75" t="n"/>
      <c r="C382" t="inlineStr">
        <is>
          <t>Presidents' Day</t>
        </is>
      </c>
      <c r="D382" s="39" t="inlineStr">
        <is>
          <t>Holiday</t>
        </is>
      </c>
      <c r="E382" s="39" t="inlineStr">
        <is>
          <t>No</t>
        </is>
      </c>
      <c r="F382" s="47" t="n"/>
      <c r="G382" s="76" t="inlineStr">
        <is>
          <t>Yes</t>
        </is>
      </c>
      <c r="H382" s="77" t="inlineStr">
        <is>
          <t>Built-in</t>
        </is>
      </c>
      <c r="I382" s="78" t="inlineStr">
        <is>
          <t>hol:pres:2025</t>
        </is>
      </c>
    </row>
    <row r="383">
      <c r="A383" s="75" t="n">
        <v>45718</v>
      </c>
      <c r="B383" s="75" t="n"/>
      <c r="C383" t="inlineStr">
        <is>
          <t>The Oscars</t>
        </is>
      </c>
      <c r="D383" s="39" t="inlineStr">
        <is>
          <t>Holiday</t>
        </is>
      </c>
      <c r="E383" s="39" t="inlineStr">
        <is>
          <t>No</t>
        </is>
      </c>
      <c r="F383" s="47" t="inlineStr">
        <is>
          <t>Academy Awards ceremony</t>
        </is>
      </c>
      <c r="G383" s="76" t="inlineStr">
        <is>
          <t>Yes</t>
        </is>
      </c>
      <c r="H383" s="77" t="inlineStr">
        <is>
          <t>Built-in</t>
        </is>
      </c>
      <c r="I383" s="78" t="inlineStr">
        <is>
          <t>hol:oscars:2025</t>
        </is>
      </c>
    </row>
    <row r="384">
      <c r="A384" s="75" t="n">
        <v>45720</v>
      </c>
      <c r="B384" s="75" t="n"/>
      <c r="C384" t="inlineStr">
        <is>
          <t>Daredevil: Born Again (Disney+) premieres</t>
        </is>
      </c>
      <c r="D384" s="39" t="inlineStr">
        <is>
          <t>Movie / trailer</t>
        </is>
      </c>
      <c r="E384" s="39" t="inlineStr">
        <is>
          <t>No</t>
        </is>
      </c>
      <c r="F384" s="47" t="inlineStr">
        <is>
          <t>Marvel - US date</t>
        </is>
      </c>
      <c r="G384" s="76" t="inlineStr">
        <is>
          <t>Yes</t>
        </is>
      </c>
      <c r="H384" s="77" t="inlineStr">
        <is>
          <t>Built-in</t>
        </is>
      </c>
      <c r="I384" s="78" t="inlineStr">
        <is>
          <t>rel:2025-03-04:Daredevil: Born Again (D</t>
        </is>
      </c>
    </row>
    <row r="385">
      <c r="A385" s="75" t="n">
        <v>45737</v>
      </c>
      <c r="B385" s="75" t="n"/>
      <c r="C385" t="inlineStr">
        <is>
          <t>Snow White (live-action) released</t>
        </is>
      </c>
      <c r="D385" s="39" t="inlineStr">
        <is>
          <t>Movie / trailer</t>
        </is>
      </c>
      <c r="E385" s="39" t="inlineStr">
        <is>
          <t>No</t>
        </is>
      </c>
      <c r="F385" s="47" t="inlineStr">
        <is>
          <t>Disney - US date</t>
        </is>
      </c>
      <c r="G385" s="76" t="inlineStr">
        <is>
          <t>Yes</t>
        </is>
      </c>
      <c r="H385" s="77" t="inlineStr">
        <is>
          <t>Built-in</t>
        </is>
      </c>
      <c r="I385" s="78" t="inlineStr">
        <is>
          <t>rel:2025-03-21:Snow White (live-action)</t>
        </is>
      </c>
    </row>
    <row r="386">
      <c r="A386" s="75" t="n">
        <v>45750</v>
      </c>
      <c r="B386" s="75" t="n"/>
      <c r="C386" t="inlineStr">
        <is>
          <t>Through The Griffin Door: video #100</t>
        </is>
      </c>
      <c r="D386" s="39" t="inlineStr">
        <is>
          <t>SCB milestone</t>
        </is>
      </c>
      <c r="E386" s="39" t="inlineStr">
        <is>
          <t>No</t>
        </is>
      </c>
      <c r="F386" s="47" t="inlineStr">
        <is>
          <t>Live in Nashville: Chapter 19: The Hungarian Horntail | Goblet of Fire</t>
        </is>
      </c>
      <c r="G386" s="76" t="inlineStr">
        <is>
          <t>Yes</t>
        </is>
      </c>
      <c r="H386" s="77" t="inlineStr">
        <is>
          <t>Built-in</t>
        </is>
      </c>
      <c r="I386" s="78" t="inlineStr">
        <is>
          <t>auto:n100:UCEscP6ETYXWSSvsNrDHekMQ</t>
        </is>
      </c>
    </row>
    <row r="387">
      <c r="A387" s="75" t="n">
        <v>45765</v>
      </c>
      <c r="B387" s="75" t="n">
        <v>45768</v>
      </c>
      <c r="C387" t="inlineStr">
        <is>
          <t>Star Wars Celebration (Japan)</t>
        </is>
      </c>
      <c r="D387" s="39" t="inlineStr">
        <is>
          <t>Movie / trailer</t>
        </is>
      </c>
      <c r="E387" s="39" t="inlineStr">
        <is>
          <t>No</t>
        </is>
      </c>
      <c r="F387" s="47" t="inlineStr">
        <is>
          <t>Lucasfilm fan convention - trailers and reveals</t>
        </is>
      </c>
      <c r="G387" s="76" t="inlineStr">
        <is>
          <t>Yes</t>
        </is>
      </c>
      <c r="H387" s="77" t="inlineStr">
        <is>
          <t>Built-in</t>
        </is>
      </c>
      <c r="I387" s="78" t="inlineStr">
        <is>
          <t>con:swc:2025</t>
        </is>
      </c>
    </row>
    <row r="388">
      <c r="A388" s="75" t="n">
        <v>45767</v>
      </c>
      <c r="B388" s="75" t="n"/>
      <c r="C388" t="inlineStr">
        <is>
          <t>Easter Sunday</t>
        </is>
      </c>
      <c r="D388" s="39" t="inlineStr">
        <is>
          <t>Holiday</t>
        </is>
      </c>
      <c r="E388" s="39" t="inlineStr">
        <is>
          <t>No</t>
        </is>
      </c>
      <c r="F388" s="47" t="n"/>
      <c r="G388" s="76" t="inlineStr">
        <is>
          <t>Yes</t>
        </is>
      </c>
      <c r="H388" s="77" t="inlineStr">
        <is>
          <t>Built-in</t>
        </is>
      </c>
      <c r="I388" s="78" t="inlineStr">
        <is>
          <t>hol:easter:2025</t>
        </is>
      </c>
    </row>
    <row r="389">
      <c r="A389" s="75" t="n">
        <v>45769</v>
      </c>
      <c r="B389" s="75" t="n"/>
      <c r="C389" t="inlineStr">
        <is>
          <t>Andor season 2 (Disney+) premieres</t>
        </is>
      </c>
      <c r="D389" s="39" t="inlineStr">
        <is>
          <t>Movie / trailer</t>
        </is>
      </c>
      <c r="E389" s="39" t="inlineStr">
        <is>
          <t>No</t>
        </is>
      </c>
      <c r="F389" s="47" t="inlineStr">
        <is>
          <t>Star Wars - US date</t>
        </is>
      </c>
      <c r="G389" s="76" t="inlineStr">
        <is>
          <t>Yes</t>
        </is>
      </c>
      <c r="H389" s="77" t="inlineStr">
        <is>
          <t>Built-in</t>
        </is>
      </c>
      <c r="I389" s="78" t="inlineStr">
        <is>
          <t>rel:2025-04-22:Andor season 2 (Disney+)</t>
        </is>
      </c>
    </row>
    <row r="390">
      <c r="A390" s="75" t="n">
        <v>45770</v>
      </c>
      <c r="B390" s="75" t="n"/>
      <c r="C390" t="inlineStr">
        <is>
          <t>Through the Griffin Tour - Midwest announced</t>
        </is>
      </c>
      <c r="D390" s="39" t="inlineStr">
        <is>
          <t>SCB milestone</t>
        </is>
      </c>
      <c r="E390" s="39" t="inlineStr">
        <is>
          <t>No</t>
        </is>
      </c>
      <c r="F390" s="47" t="n"/>
      <c r="G390" s="76" t="inlineStr">
        <is>
          <t>Yes</t>
        </is>
      </c>
      <c r="H390" s="77" t="inlineStr">
        <is>
          <t>Built-in</t>
        </is>
      </c>
      <c r="I390" s="78" t="inlineStr">
        <is>
          <t>ms:2025-04-23</t>
        </is>
      </c>
    </row>
    <row r="391">
      <c r="A391" s="75" t="n">
        <v>45779</v>
      </c>
      <c r="B391" s="75" t="n"/>
      <c r="C391" t="inlineStr">
        <is>
          <t>Thunderbolts* released</t>
        </is>
      </c>
      <c r="D391" s="39" t="inlineStr">
        <is>
          <t>Movie / trailer</t>
        </is>
      </c>
      <c r="E391" s="39" t="inlineStr">
        <is>
          <t>No</t>
        </is>
      </c>
      <c r="F391" s="47" t="inlineStr">
        <is>
          <t>Marvel - US date</t>
        </is>
      </c>
      <c r="G391" s="76" t="inlineStr">
        <is>
          <t>Yes</t>
        </is>
      </c>
      <c r="H391" s="77" t="inlineStr">
        <is>
          <t>Built-in</t>
        </is>
      </c>
      <c r="I391" s="78" t="inlineStr">
        <is>
          <t>rel:2025-05-02:Thunderbolts*</t>
        </is>
      </c>
    </row>
    <row r="392">
      <c r="A392" s="75" t="n">
        <v>45788</v>
      </c>
      <c r="B392" s="75" t="n"/>
      <c r="C392" t="inlineStr">
        <is>
          <t>Mother's Day</t>
        </is>
      </c>
      <c r="D392" s="39" t="inlineStr">
        <is>
          <t>Holiday</t>
        </is>
      </c>
      <c r="E392" s="39" t="inlineStr">
        <is>
          <t>No</t>
        </is>
      </c>
      <c r="F392" s="47" t="n"/>
      <c r="G392" s="76" t="inlineStr">
        <is>
          <t>Yes</t>
        </is>
      </c>
      <c r="H392" s="77" t="inlineStr">
        <is>
          <t>Built-in</t>
        </is>
      </c>
      <c r="I392" s="78" t="inlineStr">
        <is>
          <t>hol:mothers:2025</t>
        </is>
      </c>
    </row>
    <row r="393">
      <c r="A393" s="75" t="n">
        <v>45803</v>
      </c>
      <c r="B393" s="75" t="n"/>
      <c r="C393" t="inlineStr">
        <is>
          <t>Memorial Day</t>
        </is>
      </c>
      <c r="D393" s="39" t="inlineStr">
        <is>
          <t>Holiday</t>
        </is>
      </c>
      <c r="E393" s="39" t="inlineStr">
        <is>
          <t>No</t>
        </is>
      </c>
      <c r="F393" s="47" t="n"/>
      <c r="G393" s="76" t="inlineStr">
        <is>
          <t>Yes</t>
        </is>
      </c>
      <c r="H393" s="77" t="inlineStr">
        <is>
          <t>Built-in</t>
        </is>
      </c>
      <c r="I393" s="78" t="inlineStr">
        <is>
          <t>hol:memorial:2025</t>
        </is>
      </c>
    </row>
    <row r="394">
      <c r="A394" s="75" t="n">
        <v>45807</v>
      </c>
      <c r="B394" s="75" t="n"/>
      <c r="C394" t="inlineStr">
        <is>
          <t>Lilo &amp; Stitch (live-action) released</t>
        </is>
      </c>
      <c r="D394" s="39" t="inlineStr">
        <is>
          <t>Movie / trailer</t>
        </is>
      </c>
      <c r="E394" s="39" t="inlineStr">
        <is>
          <t>No</t>
        </is>
      </c>
      <c r="F394" s="47" t="inlineStr">
        <is>
          <t>Disney - US date</t>
        </is>
      </c>
      <c r="G394" s="76" t="inlineStr">
        <is>
          <t>Yes</t>
        </is>
      </c>
      <c r="H394" s="77" t="inlineStr">
        <is>
          <t>Built-in</t>
        </is>
      </c>
      <c r="I394" s="78" t="inlineStr">
        <is>
          <t>rel:2025-05-30:Lilo &amp; Stitch (live-acti</t>
        </is>
      </c>
    </row>
    <row r="395">
      <c r="A395" s="75" t="n">
        <v>45813</v>
      </c>
      <c r="B395" s="75" t="n"/>
      <c r="C395" t="inlineStr">
        <is>
          <t>Nintendo Switch 2 and Mario Kart World released</t>
        </is>
      </c>
      <c r="D395" s="39" t="inlineStr">
        <is>
          <t>Game release</t>
        </is>
      </c>
      <c r="E395" s="39" t="inlineStr">
        <is>
          <t>No</t>
        </is>
      </c>
      <c r="F395" s="47" t="inlineStr">
        <is>
          <t>US date</t>
        </is>
      </c>
      <c r="G395" s="76" t="inlineStr">
        <is>
          <t>Yes</t>
        </is>
      </c>
      <c r="H395" s="77" t="inlineStr">
        <is>
          <t>Built-in</t>
        </is>
      </c>
      <c r="I395" s="78" t="inlineStr">
        <is>
          <t>game:2025-06-05:Nintendo Switch 2 and Ma</t>
        </is>
      </c>
    </row>
    <row r="396">
      <c r="A396" s="75" t="n">
        <v>45823</v>
      </c>
      <c r="B396" s="75" t="n"/>
      <c r="C396" t="inlineStr">
        <is>
          <t>Father's Day</t>
        </is>
      </c>
      <c r="D396" s="39" t="inlineStr">
        <is>
          <t>Holiday</t>
        </is>
      </c>
      <c r="E396" s="39" t="inlineStr">
        <is>
          <t>No</t>
        </is>
      </c>
      <c r="F396" s="47" t="n"/>
      <c r="G396" s="76" t="inlineStr">
        <is>
          <t>Yes</t>
        </is>
      </c>
      <c r="H396" s="77" t="inlineStr">
        <is>
          <t>Built-in</t>
        </is>
      </c>
      <c r="I396" s="78" t="inlineStr">
        <is>
          <t>hol:fathers:2025</t>
        </is>
      </c>
    </row>
    <row r="397">
      <c r="A397" s="75" t="n">
        <v>45828</v>
      </c>
      <c r="B397" s="75" t="n"/>
      <c r="C397" t="inlineStr">
        <is>
          <t>Elio released</t>
        </is>
      </c>
      <c r="D397" s="39" t="inlineStr">
        <is>
          <t>Movie / trailer</t>
        </is>
      </c>
      <c r="E397" s="39" t="inlineStr">
        <is>
          <t>No</t>
        </is>
      </c>
      <c r="F397" s="47" t="inlineStr">
        <is>
          <t>Pixar - US date</t>
        </is>
      </c>
      <c r="G397" s="76" t="inlineStr">
        <is>
          <t>Yes</t>
        </is>
      </c>
      <c r="H397" s="77" t="inlineStr">
        <is>
          <t>Built-in</t>
        </is>
      </c>
      <c r="I397" s="78" t="inlineStr">
        <is>
          <t>rel:2025-06-20:Elio</t>
        </is>
      </c>
    </row>
    <row r="398">
      <c r="A398" s="75" t="n">
        <v>45862</v>
      </c>
      <c r="B398" s="75" t="n">
        <v>45865</v>
      </c>
      <c r="C398" t="inlineStr">
        <is>
          <t>San Diego Comic-Con</t>
        </is>
      </c>
      <c r="D398" s="39" t="inlineStr">
        <is>
          <t>Movie / trailer</t>
        </is>
      </c>
      <c r="E398" s="39" t="inlineStr">
        <is>
          <t>No</t>
        </is>
      </c>
      <c r="F398" s="47" t="inlineStr">
        <is>
          <t>Big trailer and announcement reveals (Marvel, Star Wars, Disney, Harry Potter)</t>
        </is>
      </c>
      <c r="G398" s="76" t="inlineStr">
        <is>
          <t>Yes</t>
        </is>
      </c>
      <c r="H398" s="77" t="inlineStr">
        <is>
          <t>Built-in</t>
        </is>
      </c>
      <c r="I398" s="78" t="inlineStr">
        <is>
          <t>con:sdcc:2025</t>
        </is>
      </c>
    </row>
    <row r="399">
      <c r="A399" s="75" t="n">
        <v>45863</v>
      </c>
      <c r="B399" s="75" t="n"/>
      <c r="C399" t="inlineStr">
        <is>
          <t>The Fantastic Four: First Steps released</t>
        </is>
      </c>
      <c r="D399" s="39" t="inlineStr">
        <is>
          <t>Movie / trailer</t>
        </is>
      </c>
      <c r="E399" s="39" t="inlineStr">
        <is>
          <t>No</t>
        </is>
      </c>
      <c r="F399" s="47" t="inlineStr">
        <is>
          <t>Marvel - US date</t>
        </is>
      </c>
      <c r="G399" s="76" t="inlineStr">
        <is>
          <t>Yes</t>
        </is>
      </c>
      <c r="H399" s="77" t="inlineStr">
        <is>
          <t>Built-in</t>
        </is>
      </c>
      <c r="I399" s="78" t="inlineStr">
        <is>
          <t>rel:2025-07-25:The Fantastic Four: Firs</t>
        </is>
      </c>
    </row>
    <row r="400">
      <c r="A400" s="75" t="n">
        <v>45901</v>
      </c>
      <c r="B400" s="75" t="n"/>
      <c r="C400" t="inlineStr">
        <is>
          <t>Labor Day</t>
        </is>
      </c>
      <c r="D400" s="39" t="inlineStr">
        <is>
          <t>Holiday</t>
        </is>
      </c>
      <c r="E400" s="39" t="inlineStr">
        <is>
          <t>No</t>
        </is>
      </c>
      <c r="F400" s="47" t="n"/>
      <c r="G400" s="76" t="inlineStr">
        <is>
          <t>Yes</t>
        </is>
      </c>
      <c r="H400" s="77" t="inlineStr">
        <is>
          <t>Built-in</t>
        </is>
      </c>
      <c r="I400" s="78" t="inlineStr">
        <is>
          <t>hol:labor:2025</t>
        </is>
      </c>
    </row>
    <row r="401">
      <c r="A401" s="75" t="n">
        <v>45940</v>
      </c>
      <c r="B401" s="75" t="n"/>
      <c r="C401" t="inlineStr">
        <is>
          <t>TRON: Ares released</t>
        </is>
      </c>
      <c r="D401" s="39" t="inlineStr">
        <is>
          <t>Movie / trailer</t>
        </is>
      </c>
      <c r="E401" s="39" t="inlineStr">
        <is>
          <t>No</t>
        </is>
      </c>
      <c r="F401" s="47" t="inlineStr">
        <is>
          <t>Disney - US date</t>
        </is>
      </c>
      <c r="G401" s="76" t="inlineStr">
        <is>
          <t>Yes</t>
        </is>
      </c>
      <c r="H401" s="77" t="inlineStr">
        <is>
          <t>Built-in</t>
        </is>
      </c>
      <c r="I401" s="78" t="inlineStr">
        <is>
          <t>rel:2025-10-10:TRON: Ares</t>
        </is>
      </c>
    </row>
    <row r="402">
      <c r="A402" s="75" t="n">
        <v>45946</v>
      </c>
      <c r="B402" s="75" t="n"/>
      <c r="C402" t="inlineStr">
        <is>
          <t>Pokémon Legends: Z-A released</t>
        </is>
      </c>
      <c r="D402" s="39" t="inlineStr">
        <is>
          <t>Game release</t>
        </is>
      </c>
      <c r="E402" s="39" t="inlineStr">
        <is>
          <t>No</t>
        </is>
      </c>
      <c r="F402" s="47" t="inlineStr">
        <is>
          <t>US date</t>
        </is>
      </c>
      <c r="G402" s="76" t="inlineStr">
        <is>
          <t>Yes</t>
        </is>
      </c>
      <c r="H402" s="77" t="inlineStr">
        <is>
          <t>Built-in</t>
        </is>
      </c>
      <c r="I402" s="78" t="inlineStr">
        <is>
          <t>game:2025-10-16:Pokémon Legends: Z-A rel</t>
        </is>
      </c>
    </row>
    <row r="403">
      <c r="A403" s="75" t="n">
        <v>45966</v>
      </c>
      <c r="B403" s="75" t="n"/>
      <c r="C403" t="inlineStr">
        <is>
          <t>Through the Griffin Tour - Southwest announced</t>
        </is>
      </c>
      <c r="D403" s="39" t="inlineStr">
        <is>
          <t>SCB milestone</t>
        </is>
      </c>
      <c r="E403" s="39" t="inlineStr">
        <is>
          <t>No</t>
        </is>
      </c>
      <c r="F403" s="47" t="n"/>
      <c r="G403" s="76" t="inlineStr">
        <is>
          <t>Yes</t>
        </is>
      </c>
      <c r="H403" s="77" t="inlineStr">
        <is>
          <t>Built-in</t>
        </is>
      </c>
      <c r="I403" s="78" t="inlineStr">
        <is>
          <t>ms:2025-11-05</t>
        </is>
      </c>
    </row>
    <row r="404">
      <c r="A404" s="75" t="n">
        <v>45982</v>
      </c>
      <c r="B404" s="75" t="n"/>
      <c r="C404" t="inlineStr">
        <is>
          <t>Wicked: For Good released</t>
        </is>
      </c>
      <c r="D404" s="39" t="inlineStr">
        <is>
          <t>Movie / trailer</t>
        </is>
      </c>
      <c r="E404" s="39" t="inlineStr">
        <is>
          <t>No</t>
        </is>
      </c>
      <c r="F404" s="47" t="inlineStr">
        <is>
          <t>Wicked - US date</t>
        </is>
      </c>
      <c r="G404" s="76" t="inlineStr">
        <is>
          <t>Yes</t>
        </is>
      </c>
      <c r="H404" s="77" t="inlineStr">
        <is>
          <t>Built-in</t>
        </is>
      </c>
      <c r="I404" s="78" t="inlineStr">
        <is>
          <t>rel:2025-11-21:Wicked: For Good</t>
        </is>
      </c>
    </row>
    <row r="405">
      <c r="A405" s="75" t="n">
        <v>45987</v>
      </c>
      <c r="B405" s="75" t="n"/>
      <c r="C405" t="inlineStr">
        <is>
          <t>Zootopia 2 released</t>
        </is>
      </c>
      <c r="D405" s="39" t="inlineStr">
        <is>
          <t>Movie / trailer</t>
        </is>
      </c>
      <c r="E405" s="39" t="inlineStr">
        <is>
          <t>No</t>
        </is>
      </c>
      <c r="F405" s="47" t="inlineStr">
        <is>
          <t>Disney - US date</t>
        </is>
      </c>
      <c r="G405" s="76" t="inlineStr">
        <is>
          <t>Yes</t>
        </is>
      </c>
      <c r="H405" s="77" t="inlineStr">
        <is>
          <t>Built-in</t>
        </is>
      </c>
      <c r="I405" s="78" t="inlineStr">
        <is>
          <t>rel:2025-11-26:Zootopia 2</t>
        </is>
      </c>
    </row>
    <row r="406">
      <c r="A406" s="75" t="n">
        <v>45988</v>
      </c>
      <c r="B406" s="75" t="n"/>
      <c r="C406" t="inlineStr">
        <is>
          <t>Thanksgiving</t>
        </is>
      </c>
      <c r="D406" s="39" t="inlineStr">
        <is>
          <t>Holiday</t>
        </is>
      </c>
      <c r="E406" s="39" t="inlineStr">
        <is>
          <t>No</t>
        </is>
      </c>
      <c r="F406" s="47" t="n"/>
      <c r="G406" s="76" t="inlineStr">
        <is>
          <t>Yes</t>
        </is>
      </c>
      <c r="H406" s="77" t="inlineStr">
        <is>
          <t>Built-in</t>
        </is>
      </c>
      <c r="I406" s="78" t="inlineStr">
        <is>
          <t>hol:thanks:2025</t>
        </is>
      </c>
    </row>
    <row r="407">
      <c r="A407" s="75" t="n">
        <v>45989</v>
      </c>
      <c r="B407" s="75" t="n"/>
      <c r="C407" t="inlineStr">
        <is>
          <t>Black Friday</t>
        </is>
      </c>
      <c r="D407" s="39" t="inlineStr">
        <is>
          <t>Holiday</t>
        </is>
      </c>
      <c r="E407" s="39" t="inlineStr">
        <is>
          <t>No</t>
        </is>
      </c>
      <c r="F407" s="47" t="n"/>
      <c r="G407" s="76" t="inlineStr">
        <is>
          <t>Yes</t>
        </is>
      </c>
      <c r="H407" s="77" t="inlineStr">
        <is>
          <t>Built-in</t>
        </is>
      </c>
      <c r="I407" s="78" t="inlineStr">
        <is>
          <t>hol:blackfri:2025</t>
        </is>
      </c>
    </row>
    <row r="408">
      <c r="A408" s="75" t="n">
        <v>46041</v>
      </c>
      <c r="B408" s="75" t="n"/>
      <c r="C408" t="inlineStr">
        <is>
          <t>Martin Luther King Jr. Day</t>
        </is>
      </c>
      <c r="D408" s="39" t="inlineStr">
        <is>
          <t>Holiday</t>
        </is>
      </c>
      <c r="E408" s="39" t="inlineStr">
        <is>
          <t>No</t>
        </is>
      </c>
      <c r="F408" s="47" t="n"/>
      <c r="G408" s="76" t="inlineStr">
        <is>
          <t>Yes</t>
        </is>
      </c>
      <c r="H408" s="77" t="inlineStr">
        <is>
          <t>Built-in</t>
        </is>
      </c>
      <c r="I408" s="78" t="inlineStr">
        <is>
          <t>hol:mlk:2026</t>
        </is>
      </c>
    </row>
    <row r="409">
      <c r="A409" s="75" t="n">
        <v>46061</v>
      </c>
      <c r="B409" s="75" t="n"/>
      <c r="C409" t="inlineStr">
        <is>
          <t>Super Bowl Sunday</t>
        </is>
      </c>
      <c r="D409" s="39" t="inlineStr">
        <is>
          <t>Holiday</t>
        </is>
      </c>
      <c r="E409" s="39" t="inlineStr">
        <is>
          <t>No</t>
        </is>
      </c>
      <c r="F409" s="47" t="n"/>
      <c r="G409" s="76" t="inlineStr">
        <is>
          <t>Yes</t>
        </is>
      </c>
      <c r="H409" s="77" t="inlineStr">
        <is>
          <t>Built-in</t>
        </is>
      </c>
      <c r="I409" s="78" t="inlineStr">
        <is>
          <t>hol:sb:2026</t>
        </is>
      </c>
    </row>
    <row r="410">
      <c r="A410" s="75" t="n">
        <v>46069</v>
      </c>
      <c r="B410" s="75" t="n"/>
      <c r="C410" t="inlineStr">
        <is>
          <t>Presidents' Day</t>
        </is>
      </c>
      <c r="D410" s="39" t="inlineStr">
        <is>
          <t>Holiday</t>
        </is>
      </c>
      <c r="E410" s="39" t="inlineStr">
        <is>
          <t>No</t>
        </is>
      </c>
      <c r="F410" s="47" t="n"/>
      <c r="G410" s="76" t="inlineStr">
        <is>
          <t>Yes</t>
        </is>
      </c>
      <c r="H410" s="77" t="inlineStr">
        <is>
          <t>Built-in</t>
        </is>
      </c>
      <c r="I410" s="78" t="inlineStr">
        <is>
          <t>hol:pres:2026</t>
        </is>
      </c>
    </row>
    <row r="411">
      <c r="A411" s="75" t="n">
        <v>46087</v>
      </c>
      <c r="B411" s="75" t="n"/>
      <c r="C411" t="inlineStr">
        <is>
          <t>Hoppers released</t>
        </is>
      </c>
      <c r="D411" s="39" t="inlineStr">
        <is>
          <t>Movie / trailer</t>
        </is>
      </c>
      <c r="E411" s="39" t="inlineStr">
        <is>
          <t>No</t>
        </is>
      </c>
      <c r="F411" s="47" t="inlineStr">
        <is>
          <t>Pixar - US date</t>
        </is>
      </c>
      <c r="G411" s="76" t="inlineStr">
        <is>
          <t>Yes</t>
        </is>
      </c>
      <c r="H411" s="77" t="inlineStr">
        <is>
          <t>Built-in</t>
        </is>
      </c>
      <c r="I411" s="78" t="inlineStr">
        <is>
          <t>rel:2026-03-06:Hoppers</t>
        </is>
      </c>
    </row>
    <row r="412">
      <c r="A412" s="75" t="n">
        <v>46096</v>
      </c>
      <c r="B412" s="75" t="n"/>
      <c r="C412" t="inlineStr">
        <is>
          <t>The Oscars</t>
        </is>
      </c>
      <c r="D412" s="39" t="inlineStr">
        <is>
          <t>Holiday</t>
        </is>
      </c>
      <c r="E412" s="39" t="inlineStr">
        <is>
          <t>No</t>
        </is>
      </c>
      <c r="F412" s="47" t="inlineStr">
        <is>
          <t>Academy Awards ceremony</t>
        </is>
      </c>
      <c r="G412" s="76" t="inlineStr">
        <is>
          <t>Yes</t>
        </is>
      </c>
      <c r="H412" s="77" t="inlineStr">
        <is>
          <t>Built-in</t>
        </is>
      </c>
      <c r="I412" s="78" t="inlineStr">
        <is>
          <t>hol:oscars:2026</t>
        </is>
      </c>
    </row>
    <row r="413">
      <c r="A413" s="75" t="n">
        <v>46117</v>
      </c>
      <c r="B413" s="75" t="n"/>
      <c r="C413" t="inlineStr">
        <is>
          <t>Easter Sunday</t>
        </is>
      </c>
      <c r="D413" s="39" t="inlineStr">
        <is>
          <t>Holiday</t>
        </is>
      </c>
      <c r="E413" s="39" t="inlineStr">
        <is>
          <t>No</t>
        </is>
      </c>
      <c r="F413" s="47" t="n"/>
      <c r="G413" s="76" t="inlineStr">
        <is>
          <t>Yes</t>
        </is>
      </c>
      <c r="H413" s="77" t="inlineStr">
        <is>
          <t>Built-in</t>
        </is>
      </c>
      <c r="I413" s="78" t="inlineStr">
        <is>
          <t>hol:easter:2026</t>
        </is>
      </c>
    </row>
    <row r="414">
      <c r="A414" s="75" t="n">
        <v>46120</v>
      </c>
      <c r="B414" s="75" t="n"/>
      <c r="C414" t="inlineStr">
        <is>
          <t>Through the Griffin Tour - Northeast 2026 announced</t>
        </is>
      </c>
      <c r="D414" s="39" t="inlineStr">
        <is>
          <t>SCB milestone</t>
        </is>
      </c>
      <c r="E414" s="39" t="inlineStr">
        <is>
          <t>No</t>
        </is>
      </c>
      <c r="F414" s="47" t="n"/>
      <c r="G414" s="76" t="inlineStr">
        <is>
          <t>Yes</t>
        </is>
      </c>
      <c r="H414" s="77" t="inlineStr">
        <is>
          <t>Built-in</t>
        </is>
      </c>
      <c r="I414" s="78" t="inlineStr">
        <is>
          <t>ms:2026-04-08</t>
        </is>
      </c>
    </row>
    <row r="415">
      <c r="A415" s="75" t="n">
        <v>46152</v>
      </c>
      <c r="B415" s="75" t="n"/>
      <c r="C415" t="inlineStr">
        <is>
          <t>Mother's Day</t>
        </is>
      </c>
      <c r="D415" s="39" t="inlineStr">
        <is>
          <t>Holiday</t>
        </is>
      </c>
      <c r="E415" s="39" t="inlineStr">
        <is>
          <t>No</t>
        </is>
      </c>
      <c r="F415" s="47" t="n"/>
      <c r="G415" s="76" t="inlineStr">
        <is>
          <t>Yes</t>
        </is>
      </c>
      <c r="H415" s="77" t="inlineStr">
        <is>
          <t>Built-in</t>
        </is>
      </c>
      <c r="I415" s="78" t="inlineStr">
        <is>
          <t>hol:mothers:2026</t>
        </is>
      </c>
    </row>
    <row r="416">
      <c r="A416" s="75" t="n">
        <v>46164</v>
      </c>
      <c r="B416" s="75" t="n"/>
      <c r="C416" t="inlineStr">
        <is>
          <t>The Mandalorian &amp; Grogu released</t>
        </is>
      </c>
      <c r="D416" s="39" t="inlineStr">
        <is>
          <t>Movie / trailer</t>
        </is>
      </c>
      <c r="E416" s="39" t="inlineStr">
        <is>
          <t>No</t>
        </is>
      </c>
      <c r="F416" s="47" t="inlineStr">
        <is>
          <t>Star Wars - US date</t>
        </is>
      </c>
      <c r="G416" s="76" t="inlineStr">
        <is>
          <t>Yes</t>
        </is>
      </c>
      <c r="H416" s="77" t="inlineStr">
        <is>
          <t>Built-in</t>
        </is>
      </c>
      <c r="I416" s="78" t="inlineStr">
        <is>
          <t>rel:2026-05-22:The Mandalorian &amp; Grogu</t>
        </is>
      </c>
    </row>
    <row r="417">
      <c r="A417" s="75" t="n">
        <v>46167</v>
      </c>
      <c r="B417" s="75" t="n"/>
      <c r="C417" t="inlineStr">
        <is>
          <t>Memorial Day</t>
        </is>
      </c>
      <c r="D417" s="39" t="inlineStr">
        <is>
          <t>Holiday</t>
        </is>
      </c>
      <c r="E417" s="39" t="inlineStr">
        <is>
          <t>No</t>
        </is>
      </c>
      <c r="F417" s="47" t="n"/>
      <c r="G417" s="76" t="inlineStr">
        <is>
          <t>Yes</t>
        </is>
      </c>
      <c r="H417" s="77" t="inlineStr">
        <is>
          <t>Built-in</t>
        </is>
      </c>
      <c r="I417" s="78" t="inlineStr">
        <is>
          <t>hol:memorial:2026</t>
        </is>
      </c>
    </row>
    <row r="418">
      <c r="A418" s="75" t="n">
        <v>46192</v>
      </c>
      <c r="B418" s="75" t="n"/>
      <c r="C418" t="inlineStr">
        <is>
          <t>Toy Story 5 released</t>
        </is>
      </c>
      <c r="D418" s="39" t="inlineStr">
        <is>
          <t>Movie / trailer</t>
        </is>
      </c>
      <c r="E418" s="39" t="inlineStr">
        <is>
          <t>No</t>
        </is>
      </c>
      <c r="F418" s="47" t="inlineStr">
        <is>
          <t>Pixar - US date</t>
        </is>
      </c>
      <c r="G418" s="76" t="inlineStr">
        <is>
          <t>Yes</t>
        </is>
      </c>
      <c r="H418" s="77" t="inlineStr">
        <is>
          <t>Built-in</t>
        </is>
      </c>
      <c r="I418" s="78" t="inlineStr">
        <is>
          <t>rel:2026-06-19:Toy Story 5</t>
        </is>
      </c>
    </row>
    <row r="419">
      <c r="A419" s="75" t="n">
        <v>46194</v>
      </c>
      <c r="B419" s="75" t="n"/>
      <c r="C419" t="inlineStr">
        <is>
          <t>Father's Day</t>
        </is>
      </c>
      <c r="D419" s="39" t="inlineStr">
        <is>
          <t>Holiday</t>
        </is>
      </c>
      <c r="E419" s="39" t="inlineStr">
        <is>
          <t>No</t>
        </is>
      </c>
      <c r="F419" s="47" t="n"/>
      <c r="G419" s="76" t="inlineStr">
        <is>
          <t>Yes</t>
        </is>
      </c>
      <c r="H419" s="77" t="inlineStr">
        <is>
          <t>Built-in</t>
        </is>
      </c>
      <c r="I419" s="78" t="inlineStr">
        <is>
          <t>hol:fathers:2026</t>
        </is>
      </c>
    </row>
    <row r="420">
      <c r="A420" s="75" t="n">
        <v>46213</v>
      </c>
      <c r="B420" s="75" t="n"/>
      <c r="C420" t="inlineStr">
        <is>
          <t>Moana (live-action) released</t>
        </is>
      </c>
      <c r="D420" s="39" t="inlineStr">
        <is>
          <t>Movie / trailer</t>
        </is>
      </c>
      <c r="E420" s="39" t="inlineStr">
        <is>
          <t>No</t>
        </is>
      </c>
      <c r="F420" s="47" t="inlineStr">
        <is>
          <t>Disney - US date</t>
        </is>
      </c>
      <c r="G420" s="76" t="inlineStr">
        <is>
          <t>Yes</t>
        </is>
      </c>
      <c r="H420" s="77" t="inlineStr">
        <is>
          <t>Built-in</t>
        </is>
      </c>
      <c r="I420" s="78" t="inlineStr">
        <is>
          <t>rel:2026-07-10:Moana (live-action)</t>
        </is>
      </c>
    </row>
    <row r="421">
      <c r="A421" s="75" t="n">
        <v>46226</v>
      </c>
      <c r="B421" s="75" t="n">
        <v>46229</v>
      </c>
      <c r="C421" t="inlineStr">
        <is>
          <t>San Diego Comic-Con</t>
        </is>
      </c>
      <c r="D421" s="39" t="inlineStr">
        <is>
          <t>Movie / trailer</t>
        </is>
      </c>
      <c r="E421" s="39" t="inlineStr">
        <is>
          <t>No</t>
        </is>
      </c>
      <c r="F421" s="47" t="inlineStr">
        <is>
          <t>Big trailer and announcement reveals (Marvel, Star Wars, Disney, Harry Potter)</t>
        </is>
      </c>
      <c r="G421" s="76" t="inlineStr">
        <is>
          <t>Yes</t>
        </is>
      </c>
      <c r="H421" s="77" t="inlineStr">
        <is>
          <t>Built-in</t>
        </is>
      </c>
      <c r="I421" s="78" t="inlineStr">
        <is>
          <t>con:sdcc:2026</t>
        </is>
      </c>
    </row>
    <row r="422">
      <c r="A422" s="75" t="n">
        <v>46234</v>
      </c>
      <c r="B422" s="75" t="n"/>
      <c r="C422" t="inlineStr">
        <is>
          <t>Spider-Man: Brand New Day released</t>
        </is>
      </c>
      <c r="D422" s="39" t="inlineStr">
        <is>
          <t>Movie / trailer</t>
        </is>
      </c>
      <c r="E422" s="39" t="inlineStr">
        <is>
          <t>No</t>
        </is>
      </c>
      <c r="F422" s="47" t="inlineStr">
        <is>
          <t>Marvel - US date</t>
        </is>
      </c>
      <c r="G422" s="76" t="inlineStr">
        <is>
          <t>Yes</t>
        </is>
      </c>
      <c r="H422" s="77" t="inlineStr">
        <is>
          <t>Built-in</t>
        </is>
      </c>
      <c r="I422" s="78" t="inlineStr">
        <is>
          <t>rel:2026-07-31:Spider-Man: Brand New Da</t>
        </is>
      </c>
    </row>
    <row r="423">
      <c r="A423" s="75" t="n">
        <v>46248</v>
      </c>
      <c r="B423" s="75" t="n">
        <v>46250</v>
      </c>
      <c r="C423" t="inlineStr">
        <is>
          <t>D23 Expo (Disney fan event)</t>
        </is>
      </c>
      <c r="D423" s="39" t="inlineStr">
        <is>
          <t>Movie / trailer</t>
        </is>
      </c>
      <c r="E423" s="39" t="inlineStr">
        <is>
          <t>No</t>
        </is>
      </c>
      <c r="F423" s="47" t="inlineStr">
        <is>
          <t>Disney, Pixar, Marvel and Lucasfilm announcements</t>
        </is>
      </c>
      <c r="G423" s="76" t="inlineStr">
        <is>
          <t>Yes</t>
        </is>
      </c>
      <c r="H423" s="77" t="inlineStr">
        <is>
          <t>Built-in</t>
        </is>
      </c>
      <c r="I423" s="78" t="inlineStr">
        <is>
          <t>con:d23:2026</t>
        </is>
      </c>
    </row>
    <row r="424">
      <c r="A424" s="75" t="n">
        <v>46267</v>
      </c>
      <c r="B424" s="75" t="n"/>
      <c r="C424" t="inlineStr">
        <is>
          <t>HBO Harry Potter series - second trailer</t>
        </is>
      </c>
      <c r="D424" s="39" t="inlineStr">
        <is>
          <t>Movie / trailer</t>
        </is>
      </c>
      <c r="E424" s="39" t="inlineStr">
        <is>
          <t>No</t>
        </is>
      </c>
      <c r="F424" s="47" t="inlineStr">
        <is>
          <t>Harry Potter - US date (trailer)</t>
        </is>
      </c>
      <c r="G424" s="76" t="inlineStr">
        <is>
          <t>Yes</t>
        </is>
      </c>
      <c r="H424" s="77" t="inlineStr">
        <is>
          <t>Built-in</t>
        </is>
      </c>
      <c r="I424" s="78" t="inlineStr">
        <is>
          <t xml:space="preserve">rel:2026-09-02:HBO Harry Potter series </t>
        </is>
      </c>
    </row>
    <row r="425">
      <c r="A425" s="75" t="n">
        <v>46272</v>
      </c>
      <c r="B425" s="75" t="n"/>
      <c r="C425" t="inlineStr">
        <is>
          <t>Labor Day</t>
        </is>
      </c>
      <c r="D425" s="39" t="inlineStr">
        <is>
          <t>Holiday</t>
        </is>
      </c>
      <c r="E425" s="39" t="inlineStr">
        <is>
          <t>No</t>
        </is>
      </c>
      <c r="F425" s="47" t="n"/>
      <c r="G425" s="76" t="inlineStr">
        <is>
          <t>Yes</t>
        </is>
      </c>
      <c r="H425" s="77" t="inlineStr">
        <is>
          <t>Built-in</t>
        </is>
      </c>
      <c r="I425" s="78" t="inlineStr">
        <is>
          <t>hol:labor:2026</t>
        </is>
      </c>
    </row>
    <row r="426">
      <c r="A426" s="75" t="n">
        <v>46309</v>
      </c>
      <c r="B426" s="75" t="n"/>
      <c r="C426" t="inlineStr">
        <is>
          <t>VisionQuest (Disney+) premieres</t>
        </is>
      </c>
      <c r="D426" s="39" t="inlineStr">
        <is>
          <t>Movie / trailer</t>
        </is>
      </c>
      <c r="E426" s="39" t="inlineStr">
        <is>
          <t>No</t>
        </is>
      </c>
      <c r="F426" s="47" t="inlineStr">
        <is>
          <t>Marvel - US date</t>
        </is>
      </c>
      <c r="G426" s="76" t="inlineStr">
        <is>
          <t>Yes</t>
        </is>
      </c>
      <c r="H426" s="77" t="inlineStr">
        <is>
          <t>Built-in</t>
        </is>
      </c>
      <c r="I426" s="78" t="inlineStr">
        <is>
          <t>rel:2026-10-14:VisionQuest (Disney+)</t>
        </is>
      </c>
    </row>
    <row r="427">
      <c r="A427" s="75" t="n">
        <v>46351</v>
      </c>
      <c r="B427" s="75" t="n"/>
      <c r="C427" t="inlineStr">
        <is>
          <t>Hexed released</t>
        </is>
      </c>
      <c r="D427" s="39" t="inlineStr">
        <is>
          <t>Movie / trailer</t>
        </is>
      </c>
      <c r="E427" s="39" t="inlineStr">
        <is>
          <t>No</t>
        </is>
      </c>
      <c r="F427" s="47" t="inlineStr">
        <is>
          <t>Disney - US date</t>
        </is>
      </c>
      <c r="G427" s="76" t="inlineStr">
        <is>
          <t>Yes</t>
        </is>
      </c>
      <c r="H427" s="77" t="inlineStr">
        <is>
          <t>Built-in</t>
        </is>
      </c>
      <c r="I427" s="78" t="inlineStr">
        <is>
          <t>rel:2026-11-25:Hexed</t>
        </is>
      </c>
    </row>
    <row r="428">
      <c r="A428" s="75" t="n">
        <v>46352</v>
      </c>
      <c r="B428" s="75" t="n"/>
      <c r="C428" t="inlineStr">
        <is>
          <t>Thanksgiving</t>
        </is>
      </c>
      <c r="D428" s="39" t="inlineStr">
        <is>
          <t>Holiday</t>
        </is>
      </c>
      <c r="E428" s="39" t="inlineStr">
        <is>
          <t>No</t>
        </is>
      </c>
      <c r="F428" s="47" t="n"/>
      <c r="G428" s="76" t="inlineStr">
        <is>
          <t>Yes</t>
        </is>
      </c>
      <c r="H428" s="77" t="inlineStr">
        <is>
          <t>Built-in</t>
        </is>
      </c>
      <c r="I428" s="78" t="inlineStr">
        <is>
          <t>hol:thanks:2026</t>
        </is>
      </c>
    </row>
    <row r="429">
      <c r="A429" s="75" t="n">
        <v>46353</v>
      </c>
      <c r="B429" s="75" t="n"/>
      <c r="C429" t="inlineStr">
        <is>
          <t>Black Friday</t>
        </is>
      </c>
      <c r="D429" s="39" t="inlineStr">
        <is>
          <t>Holiday</t>
        </is>
      </c>
      <c r="E429" s="39" t="inlineStr">
        <is>
          <t>No</t>
        </is>
      </c>
      <c r="F429" s="47" t="n"/>
      <c r="G429" s="76" t="inlineStr">
        <is>
          <t>Yes</t>
        </is>
      </c>
      <c r="H429" s="77" t="inlineStr">
        <is>
          <t>Built-in</t>
        </is>
      </c>
      <c r="I429" s="78" t="inlineStr">
        <is>
          <t>hol:blackfri:2026</t>
        </is>
      </c>
    </row>
    <row r="430">
      <c r="A430" s="75" t="n">
        <v>46374</v>
      </c>
      <c r="B430" s="75" t="n"/>
      <c r="C430" t="inlineStr">
        <is>
          <t>Avengers: Doomsday released</t>
        </is>
      </c>
      <c r="D430" s="39" t="inlineStr">
        <is>
          <t>Movie / trailer</t>
        </is>
      </c>
      <c r="E430" s="39" t="inlineStr">
        <is>
          <t>No</t>
        </is>
      </c>
      <c r="F430" s="47" t="inlineStr">
        <is>
          <t>Marvel - US date</t>
        </is>
      </c>
      <c r="G430" s="76" t="inlineStr">
        <is>
          <t>Yes</t>
        </is>
      </c>
      <c r="H430" s="77" t="inlineStr">
        <is>
          <t>Built-in</t>
        </is>
      </c>
      <c r="I430" s="78" t="inlineStr">
        <is>
          <t>rel:2026-12-18:Avengers: Doomsday</t>
        </is>
      </c>
    </row>
    <row r="431">
      <c r="A431" s="75" t="n">
        <v>46381</v>
      </c>
      <c r="B431" s="75" t="n"/>
      <c r="C431" t="inlineStr">
        <is>
          <t>HBO's Harry Potter series premieres (HBO Max)</t>
        </is>
      </c>
      <c r="D431" s="39" t="inlineStr">
        <is>
          <t>Movie / trailer</t>
        </is>
      </c>
      <c r="E431" s="39" t="inlineStr">
        <is>
          <t>No</t>
        </is>
      </c>
      <c r="F431" s="47" t="inlineStr">
        <is>
          <t>Harry Potter - US date</t>
        </is>
      </c>
      <c r="G431" s="76" t="inlineStr">
        <is>
          <t>Yes</t>
        </is>
      </c>
      <c r="H431" s="77" t="inlineStr">
        <is>
          <t>Built-in</t>
        </is>
      </c>
      <c r="I431" s="78" t="inlineStr">
        <is>
          <t>rel:2026-12-25:HBO's Harry Potter serie</t>
        </is>
      </c>
    </row>
    <row r="432">
      <c r="A432" s="75" t="n">
        <v>46405</v>
      </c>
      <c r="B432" s="75" t="n"/>
      <c r="C432" t="inlineStr">
        <is>
          <t>Martin Luther King Jr. Day</t>
        </is>
      </c>
      <c r="D432" s="39" t="inlineStr">
        <is>
          <t>Holiday</t>
        </is>
      </c>
      <c r="E432" s="39" t="inlineStr">
        <is>
          <t>No</t>
        </is>
      </c>
      <c r="F432" s="47" t="n"/>
      <c r="G432" s="76" t="inlineStr">
        <is>
          <t>Yes</t>
        </is>
      </c>
      <c r="H432" s="77" t="inlineStr">
        <is>
          <t>Built-in</t>
        </is>
      </c>
      <c r="I432" s="78" t="inlineStr">
        <is>
          <t>hol:mlk:2027</t>
        </is>
      </c>
    </row>
    <row r="433">
      <c r="A433" s="75" t="n">
        <v>46407</v>
      </c>
      <c r="B433" s="75" t="n"/>
      <c r="C433" t="inlineStr">
        <is>
          <t>Ahsoka season 2 (Disney+) premieres</t>
        </is>
      </c>
      <c r="D433" s="39" t="inlineStr">
        <is>
          <t>Movie / trailer</t>
        </is>
      </c>
      <c r="E433" s="39" t="inlineStr">
        <is>
          <t>No</t>
        </is>
      </c>
      <c r="F433" s="47" t="inlineStr">
        <is>
          <t>Star Wars - US date</t>
        </is>
      </c>
      <c r="G433" s="76" t="inlineStr">
        <is>
          <t>Yes</t>
        </is>
      </c>
      <c r="H433" s="77" t="inlineStr">
        <is>
          <t>Built-in</t>
        </is>
      </c>
      <c r="I433" s="78" t="inlineStr">
        <is>
          <t>rel:2027-01-20:Ahsoka season 2 (Disney+</t>
        </is>
      </c>
    </row>
    <row r="434">
      <c r="A434" s="75" t="n">
        <v>46432</v>
      </c>
      <c r="B434" s="75" t="n"/>
      <c r="C434" t="inlineStr">
        <is>
          <t>Super Bowl Sunday</t>
        </is>
      </c>
      <c r="D434" s="39" t="inlineStr">
        <is>
          <t>Holiday</t>
        </is>
      </c>
      <c r="E434" s="39" t="inlineStr">
        <is>
          <t>No</t>
        </is>
      </c>
      <c r="F434" s="47" t="n"/>
      <c r="G434" s="76" t="inlineStr">
        <is>
          <t>Yes</t>
        </is>
      </c>
      <c r="H434" s="77" t="inlineStr">
        <is>
          <t>Built-in</t>
        </is>
      </c>
      <c r="I434" s="78" t="inlineStr">
        <is>
          <t>hol:sb:2027</t>
        </is>
      </c>
    </row>
    <row r="435">
      <c r="A435" s="75" t="n">
        <v>46433</v>
      </c>
      <c r="B435" s="75" t="n"/>
      <c r="C435" t="inlineStr">
        <is>
          <t>Presidents' Day</t>
        </is>
      </c>
      <c r="D435" s="39" t="inlineStr">
        <is>
          <t>Holiday</t>
        </is>
      </c>
      <c r="E435" s="39" t="inlineStr">
        <is>
          <t>No</t>
        </is>
      </c>
      <c r="F435" s="47" t="n"/>
      <c r="G435" s="76" t="inlineStr">
        <is>
          <t>Yes</t>
        </is>
      </c>
      <c r="H435" s="77" t="inlineStr">
        <is>
          <t>Built-in</t>
        </is>
      </c>
      <c r="I435" s="78" t="inlineStr">
        <is>
          <t>hol:pres:2027</t>
        </is>
      </c>
    </row>
    <row r="436">
      <c r="A436" s="75" t="n">
        <v>46474</v>
      </c>
      <c r="B436" s="75" t="n"/>
      <c r="C436" t="inlineStr">
        <is>
          <t>Easter Sunday</t>
        </is>
      </c>
      <c r="D436" s="39" t="inlineStr">
        <is>
          <t>Holiday</t>
        </is>
      </c>
      <c r="E436" s="39" t="inlineStr">
        <is>
          <t>No</t>
        </is>
      </c>
      <c r="F436" s="47" t="n"/>
      <c r="G436" s="76" t="inlineStr">
        <is>
          <t>Yes</t>
        </is>
      </c>
      <c r="H436" s="77" t="inlineStr">
        <is>
          <t>Built-in</t>
        </is>
      </c>
      <c r="I436" s="78" t="inlineStr">
        <is>
          <t>hol:easter:2027</t>
        </is>
      </c>
    </row>
    <row r="437">
      <c r="A437" s="75" t="n">
        <v>46516</v>
      </c>
      <c r="B437" s="75" t="n"/>
      <c r="C437" t="inlineStr">
        <is>
          <t>Mother's Day</t>
        </is>
      </c>
      <c r="D437" s="39" t="inlineStr">
        <is>
          <t>Holiday</t>
        </is>
      </c>
      <c r="E437" s="39" t="inlineStr">
        <is>
          <t>No</t>
        </is>
      </c>
      <c r="F437" s="47" t="n"/>
      <c r="G437" s="76" t="inlineStr">
        <is>
          <t>Yes</t>
        </is>
      </c>
      <c r="H437" s="77" t="inlineStr">
        <is>
          <t>Built-in</t>
        </is>
      </c>
      <c r="I437" s="78" t="inlineStr">
        <is>
          <t>hol:mothers:2027</t>
        </is>
      </c>
    </row>
    <row r="438">
      <c r="A438" s="75" t="n">
        <v>46535</v>
      </c>
      <c r="B438" s="75" t="n"/>
      <c r="C438" t="inlineStr">
        <is>
          <t>Star Wars: Starfighter released</t>
        </is>
      </c>
      <c r="D438" s="39" t="inlineStr">
        <is>
          <t>Movie / trailer</t>
        </is>
      </c>
      <c r="E438" s="39" t="inlineStr">
        <is>
          <t>No</t>
        </is>
      </c>
      <c r="F438" s="47" t="inlineStr">
        <is>
          <t>Star Wars - US date</t>
        </is>
      </c>
      <c r="G438" s="76" t="inlineStr">
        <is>
          <t>Yes</t>
        </is>
      </c>
      <c r="H438" s="77" t="inlineStr">
        <is>
          <t>Built-in</t>
        </is>
      </c>
      <c r="I438" s="78" t="inlineStr">
        <is>
          <t>rel:2027-05-28:Star Wars: Starfighter</t>
        </is>
      </c>
    </row>
    <row r="439">
      <c r="A439" s="75" t="n">
        <v>46538</v>
      </c>
      <c r="B439" s="75" t="n"/>
      <c r="C439" t="inlineStr">
        <is>
          <t>Memorial Day</t>
        </is>
      </c>
      <c r="D439" s="39" t="inlineStr">
        <is>
          <t>Holiday</t>
        </is>
      </c>
      <c r="E439" s="39" t="inlineStr">
        <is>
          <t>No</t>
        </is>
      </c>
      <c r="F439" s="47" t="n"/>
      <c r="G439" s="76" t="inlineStr">
        <is>
          <t>Yes</t>
        </is>
      </c>
      <c r="H439" s="77" t="inlineStr">
        <is>
          <t>Built-in</t>
        </is>
      </c>
      <c r="I439" s="78" t="inlineStr">
        <is>
          <t>hol:memorial:2027</t>
        </is>
      </c>
    </row>
    <row r="440">
      <c r="A440" s="75" t="n">
        <v>46558</v>
      </c>
      <c r="B440" s="75" t="n"/>
      <c r="C440" t="inlineStr">
        <is>
          <t>Father's Day</t>
        </is>
      </c>
      <c r="D440" s="39" t="inlineStr">
        <is>
          <t>Holiday</t>
        </is>
      </c>
      <c r="E440" s="39" t="inlineStr">
        <is>
          <t>No</t>
        </is>
      </c>
      <c r="F440" s="47" t="n"/>
      <c r="G440" s="76" t="inlineStr">
        <is>
          <t>Yes</t>
        </is>
      </c>
      <c r="H440" s="77" t="inlineStr">
        <is>
          <t>Built-in</t>
        </is>
      </c>
      <c r="I440" s="78" t="inlineStr">
        <is>
          <t>hol:fathers:2027</t>
        </is>
      </c>
    </row>
    <row r="441">
      <c r="A441" s="75" t="n">
        <v>46636</v>
      </c>
      <c r="B441" s="75" t="n"/>
      <c r="C441" t="inlineStr">
        <is>
          <t>Labor Day</t>
        </is>
      </c>
      <c r="D441" s="39" t="inlineStr">
        <is>
          <t>Holiday</t>
        </is>
      </c>
      <c r="E441" s="39" t="inlineStr">
        <is>
          <t>No</t>
        </is>
      </c>
      <c r="F441" s="47" t="n"/>
      <c r="G441" s="76" t="inlineStr">
        <is>
          <t>Yes</t>
        </is>
      </c>
      <c r="H441" s="77" t="inlineStr">
        <is>
          <t>Built-in</t>
        </is>
      </c>
      <c r="I441" s="78" t="inlineStr">
        <is>
          <t>hol:labor:2027</t>
        </is>
      </c>
    </row>
    <row r="442">
      <c r="A442" s="75" t="n">
        <v>46715</v>
      </c>
      <c r="B442" s="75" t="n"/>
      <c r="C442" t="inlineStr">
        <is>
          <t>Frozen 3 (November 2027 - date to be confirmed)</t>
        </is>
      </c>
      <c r="D442" s="39" t="inlineStr">
        <is>
          <t>Movie / trailer</t>
        </is>
      </c>
      <c r="E442" s="39" t="inlineStr">
        <is>
          <t>No</t>
        </is>
      </c>
      <c r="F442" s="47" t="inlineStr">
        <is>
          <t>Disney - US date</t>
        </is>
      </c>
      <c r="G442" s="76" t="inlineStr">
        <is>
          <t>Yes</t>
        </is>
      </c>
      <c r="H442" s="77" t="inlineStr">
        <is>
          <t>Built-in</t>
        </is>
      </c>
      <c r="I442" s="78" t="inlineStr">
        <is>
          <t xml:space="preserve">rel:2027-11-24:Frozen 3 (November 2027 </t>
        </is>
      </c>
    </row>
    <row r="443">
      <c r="A443" s="75" t="n">
        <v>46716</v>
      </c>
      <c r="B443" s="75" t="n"/>
      <c r="C443" t="inlineStr">
        <is>
          <t>Thanksgiving</t>
        </is>
      </c>
      <c r="D443" s="39" t="inlineStr">
        <is>
          <t>Holiday</t>
        </is>
      </c>
      <c r="E443" s="39" t="inlineStr">
        <is>
          <t>No</t>
        </is>
      </c>
      <c r="F443" s="47" t="n"/>
      <c r="G443" s="76" t="inlineStr">
        <is>
          <t>Yes</t>
        </is>
      </c>
      <c r="H443" s="77" t="inlineStr">
        <is>
          <t>Built-in</t>
        </is>
      </c>
      <c r="I443" s="78" t="inlineStr">
        <is>
          <t>hol:thanks:2027</t>
        </is>
      </c>
    </row>
    <row r="444">
      <c r="A444" s="75" t="n">
        <v>46717</v>
      </c>
      <c r="B444" s="75" t="n"/>
      <c r="C444" t="inlineStr">
        <is>
          <t>Black Friday</t>
        </is>
      </c>
      <c r="D444" s="39" t="inlineStr">
        <is>
          <t>Holiday</t>
        </is>
      </c>
      <c r="E444" s="39" t="inlineStr">
        <is>
          <t>No</t>
        </is>
      </c>
      <c r="F444" s="47" t="n"/>
      <c r="G444" s="76" t="inlineStr">
        <is>
          <t>Yes</t>
        </is>
      </c>
      <c r="H444" s="77" t="inlineStr">
        <is>
          <t>Built-in</t>
        </is>
      </c>
      <c r="I444" s="78" t="inlineStr">
        <is>
          <t>hol:blackfri:2027</t>
        </is>
      </c>
    </row>
    <row r="445">
      <c r="A445" s="75" t="n">
        <v>46738</v>
      </c>
      <c r="B445" s="75" t="n"/>
      <c r="C445" t="inlineStr">
        <is>
          <t>Avengers: Secret Wars released</t>
        </is>
      </c>
      <c r="D445" s="39" t="inlineStr">
        <is>
          <t>Movie / trailer</t>
        </is>
      </c>
      <c r="E445" s="39" t="inlineStr">
        <is>
          <t>No</t>
        </is>
      </c>
      <c r="F445" s="47" t="inlineStr">
        <is>
          <t>Marvel - US date</t>
        </is>
      </c>
      <c r="G445" s="76" t="inlineStr">
        <is>
          <t>Yes</t>
        </is>
      </c>
      <c r="H445" s="77" t="inlineStr">
        <is>
          <t>Built-in</t>
        </is>
      </c>
      <c r="I445" s="78" t="inlineStr">
        <is>
          <t>rel:2027-12-17:Avengers: Secret Wars</t>
        </is>
      </c>
    </row>
    <row r="446">
      <c r="A446" s="79" t="n"/>
      <c r="B446" s="79" t="n"/>
      <c r="C446" s="80" t="inlineStr">
        <is>
          <t>Ben &amp; Alyce's wedding anniversary ({n} years)</t>
        </is>
      </c>
      <c r="D446" s="76" t="inlineStr">
        <is>
          <t>Carlin life</t>
        </is>
      </c>
      <c r="E446" s="76" t="inlineStr">
        <is>
          <t>Yes</t>
        </is>
      </c>
      <c r="F446" s="81" t="inlineStr">
        <is>
          <t>Fill in the wedding date and it will show every year</t>
        </is>
      </c>
      <c r="G446" s="76" t="inlineStr">
        <is>
          <t>Yes</t>
        </is>
      </c>
      <c r="H446" s="77" t="inlineStr">
        <is>
          <t>Mine</t>
        </is>
      </c>
      <c r="I446" s="78" t="n"/>
    </row>
    <row r="447">
      <c r="A447" s="79" t="n"/>
      <c r="B447" s="79" t="n"/>
      <c r="C447" s="80" t="inlineStr">
        <is>
          <t>J &amp; Beth's wedding anniversary ({n} years)</t>
        </is>
      </c>
      <c r="D447" s="76" t="inlineStr">
        <is>
          <t>Carlin life</t>
        </is>
      </c>
      <c r="E447" s="76" t="inlineStr">
        <is>
          <t>Yes</t>
        </is>
      </c>
      <c r="F447" s="81" t="inlineStr">
        <is>
          <t>Fill in the wedding date and it will show every year</t>
        </is>
      </c>
      <c r="G447" s="76" t="inlineStr">
        <is>
          <t>Yes</t>
        </is>
      </c>
      <c r="H447" s="77" t="inlineStr">
        <is>
          <t>Mine</t>
        </is>
      </c>
      <c r="I447" s="78" t="n"/>
    </row>
    <row r="448">
      <c r="A448" s="79" t="n"/>
      <c r="B448" s="79" t="n"/>
      <c r="C448" s="80" t="inlineStr">
        <is>
          <t>My own event - replace this row</t>
        </is>
      </c>
      <c r="D448" s="76" t="inlineStr">
        <is>
          <t>Other</t>
        </is>
      </c>
      <c r="E448" s="76" t="inlineStr">
        <is>
          <t>No</t>
        </is>
      </c>
      <c r="F448" s="81" t="inlineStr">
        <is>
          <t>Add a web address here to make it clickable</t>
        </is>
      </c>
      <c r="G448" s="76" t="inlineStr">
        <is>
          <t>Yes</t>
        </is>
      </c>
      <c r="H448" s="77" t="inlineStr">
        <is>
          <t>Mine</t>
        </is>
      </c>
      <c r="I448" s="78" t="n"/>
    </row>
  </sheetData>
  <conditionalFormatting sqref="A6:H598">
    <cfRule type="expression" priority="1" dxfId="28">
      <formula>$G6="No"</formula>
    </cfRule>
  </conditionalFormatting>
  <conditionalFormatting sqref="D6:D598">
    <cfRule type="expression" priority="2" dxfId="29">
      <formula>$D6="Holiday"</formula>
    </cfRule>
    <cfRule type="expression" priority="3" dxfId="30">
      <formula>$D6="Fandom"</formula>
    </cfRule>
    <cfRule type="expression" priority="4" dxfId="31">
      <formula>$D6="Movie / trailer"</formula>
    </cfRule>
    <cfRule type="expression" priority="5" dxfId="32">
      <formula>$D6="Game release"</formula>
    </cfRule>
    <cfRule type="expression" priority="6" dxfId="33">
      <formula>$D6="Carlin life"</formula>
    </cfRule>
    <cfRule type="expression" priority="7" dxfId="34">
      <formula>$D6="SCB milestone"</formula>
    </cfRule>
    <cfRule type="expression" priority="8" dxfId="35">
      <formula>$D6="Other"</formula>
    </cfRule>
  </conditionalFormatting>
  <dataValidations count="4">
    <dataValidation sqref="D6:D598" showDropDown="0" showInputMessage="0" showErrorMessage="0" allowBlank="1" type="list">
      <formula1>"Holiday,Fandom,Movie / trailer,Game release,Carlin life,SCB milestone,Other"</formula1>
    </dataValidation>
    <dataValidation sqref="E6:E598" showDropDown="0" showInputMessage="0" showErrorMessage="0" allowBlank="1" type="list">
      <formula1>"Yes,No"</formula1>
    </dataValidation>
    <dataValidation sqref="G6:G598" showDropDown="0" showInputMessage="0" showErrorMessage="0" allowBlank="1" type="list">
      <formula1>"Yes,No"</formula1>
    </dataValidation>
    <dataValidation sqref="A6:B598" showDropDown="0" showInputMessage="0" showErrorMessage="1" allowBlank="1" errorTitle="Date needed" error="Enter a date such as 2026-12-25" type="date" operator="greaterThan">
      <formula1>1</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9E6B"/>
    <outlinePr summaryBelow="1" summaryRight="1"/>
    <pageSetUpPr fitToPage="1"/>
  </sheetPr>
  <dimension ref="B1:T317"/>
  <sheetViews>
    <sheetView showGridLines="0" workbookViewId="0">
      <pane ySplit="4" topLeftCell="A5" activePane="bottomLeft" state="frozen"/>
      <selection pane="bottomLeft" activeCell="A1" sqref="A1"/>
    </sheetView>
  </sheetViews>
  <sheetFormatPr baseColWidth="8" defaultRowHeight="15"/>
  <cols>
    <col width="2" customWidth="1" min="1" max="1"/>
    <col width="16"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hidden="1" outlineLevel="1" width="13" customWidth="1" min="20" max="21"/>
  </cols>
  <sheetData>
    <row r="1"/>
    <row r="2" ht="30" customHeight="1">
      <c r="B2" s="55" t="inlineStr">
        <is>
          <t>History</t>
        </is>
      </c>
    </row>
    <row r="3">
      <c r="C3" s="56" t="inlineStr">
        <is>
          <t>Channel</t>
        </is>
      </c>
      <c r="G3" s="56" t="inlineStr">
        <is>
          <t>Heatmap shows</t>
        </is>
      </c>
      <c r="K3" s="56" t="inlineStr">
        <is>
          <t>Year view</t>
        </is>
      </c>
    </row>
    <row r="4">
      <c r="B4" s="60">
        <f>HYPERLINK("#'Dashboard'!A1","◄ Dashboard")</f>
        <v/>
      </c>
      <c r="C4" s="57" t="inlineStr">
        <is>
          <t>All channels</t>
        </is>
      </c>
      <c r="G4" s="57" t="inlineStr">
        <is>
          <t>Videos</t>
        </is>
      </c>
      <c r="K4" s="57" t="n">
        <v>2026</v>
      </c>
      <c r="T4">
        <f>IF($C$4="All channels","*",IFERROR(INDEX(tblChannels[Channel ID],MATCH($C$4,tblChannels[Display Name],0)),"none"))</f>
        <v/>
      </c>
    </row>
    <row r="5">
      <c r="B5" s="2" t="inlineStr">
        <is>
          <t>How the channels uploaded over the years - and how much of it you've watched.</t>
        </is>
      </c>
    </row>
    <row r="6" ht="20" customHeight="1">
      <c r="B6" s="10" t="inlineStr">
        <is>
          <t>Upload heatmap  -  darker = more (hours are rounded)</t>
        </is>
      </c>
      <c r="C6" s="11" t="n"/>
      <c r="D6" s="11" t="n"/>
      <c r="E6" s="11" t="n"/>
      <c r="F6" s="11" t="n"/>
      <c r="G6" s="11" t="n"/>
      <c r="H6" s="11" t="n"/>
      <c r="I6" s="11" t="n"/>
      <c r="J6" s="11" t="n"/>
      <c r="K6" s="11" t="n"/>
      <c r="L6" s="11" t="n"/>
      <c r="M6" s="11" t="n"/>
      <c r="N6" s="11" t="n"/>
      <c r="O6" s="11" t="n"/>
    </row>
    <row r="7" ht="20" customHeight="1">
      <c r="B7" s="12" t="inlineStr">
        <is>
          <t>Year</t>
        </is>
      </c>
      <c r="C7" s="12" t="inlineStr">
        <is>
          <t>Jan</t>
        </is>
      </c>
      <c r="D7" s="12" t="inlineStr">
        <is>
          <t>Feb</t>
        </is>
      </c>
      <c r="E7" s="12" t="inlineStr">
        <is>
          <t>Mar</t>
        </is>
      </c>
      <c r="F7" s="12" t="inlineStr">
        <is>
          <t>Apr</t>
        </is>
      </c>
      <c r="G7" s="12" t="inlineStr">
        <is>
          <t>May</t>
        </is>
      </c>
      <c r="H7" s="12" t="inlineStr">
        <is>
          <t>Jun</t>
        </is>
      </c>
      <c r="I7" s="12" t="inlineStr">
        <is>
          <t>Jul</t>
        </is>
      </c>
      <c r="J7" s="12" t="inlineStr">
        <is>
          <t>Aug</t>
        </is>
      </c>
      <c r="K7" s="12" t="inlineStr">
        <is>
          <t>Sep</t>
        </is>
      </c>
      <c r="L7" s="12" t="inlineStr">
        <is>
          <t>Oct</t>
        </is>
      </c>
      <c r="M7" s="12" t="inlineStr">
        <is>
          <t>Nov</t>
        </is>
      </c>
      <c r="N7" s="12" t="inlineStr">
        <is>
          <t>Dec</t>
        </is>
      </c>
      <c r="O7" s="12" t="inlineStr">
        <is>
          <t>Total</t>
        </is>
      </c>
    </row>
    <row r="8">
      <c r="B8" s="82" t="n">
        <v>2012</v>
      </c>
      <c r="C8" s="83">
        <f>IF($G$4="Hours",ROUND(SUMIFS(tblVideos[Length],tblVideos[Day],"&gt;="&amp;DATE($B8,1,1),tblVideos[Day],"&lt;"&amp;DATE($B8,2,1),tblVideos[Channel ID],$T$4)*24,0),COUNTIFS(tblVideos[Day],"&gt;="&amp;DATE($B8,1,1),tblVideos[Day],"&lt;"&amp;DATE($B8,2,1),tblVideos[Channel ID],$T$4))</f>
        <v/>
      </c>
      <c r="D8" s="83">
        <f>IF($G$4="Hours",ROUND(SUMIFS(tblVideos[Length],tblVideos[Day],"&gt;="&amp;DATE($B8,2,1),tblVideos[Day],"&lt;"&amp;DATE($B8,3,1),tblVideos[Channel ID],$T$4)*24,0),COUNTIFS(tblVideos[Day],"&gt;="&amp;DATE($B8,2,1),tblVideos[Day],"&lt;"&amp;DATE($B8,3,1),tblVideos[Channel ID],$T$4))</f>
        <v/>
      </c>
      <c r="E8" s="83">
        <f>IF($G$4="Hours",ROUND(SUMIFS(tblVideos[Length],tblVideos[Day],"&gt;="&amp;DATE($B8,3,1),tblVideos[Day],"&lt;"&amp;DATE($B8,4,1),tblVideos[Channel ID],$T$4)*24,0),COUNTIFS(tblVideos[Day],"&gt;="&amp;DATE($B8,3,1),tblVideos[Day],"&lt;"&amp;DATE($B8,4,1),tblVideos[Channel ID],$T$4))</f>
        <v/>
      </c>
      <c r="F8" s="83">
        <f>IF($G$4="Hours",ROUND(SUMIFS(tblVideos[Length],tblVideos[Day],"&gt;="&amp;DATE($B8,4,1),tblVideos[Day],"&lt;"&amp;DATE($B8,5,1),tblVideos[Channel ID],$T$4)*24,0),COUNTIFS(tblVideos[Day],"&gt;="&amp;DATE($B8,4,1),tblVideos[Day],"&lt;"&amp;DATE($B8,5,1),tblVideos[Channel ID],$T$4))</f>
        <v/>
      </c>
      <c r="G8" s="83">
        <f>IF($G$4="Hours",ROUND(SUMIFS(tblVideos[Length],tblVideos[Day],"&gt;="&amp;DATE($B8,5,1),tblVideos[Day],"&lt;"&amp;DATE($B8,6,1),tblVideos[Channel ID],$T$4)*24,0),COUNTIFS(tblVideos[Day],"&gt;="&amp;DATE($B8,5,1),tblVideos[Day],"&lt;"&amp;DATE($B8,6,1),tblVideos[Channel ID],$T$4))</f>
        <v/>
      </c>
      <c r="H8" s="83">
        <f>IF($G$4="Hours",ROUND(SUMIFS(tblVideos[Length],tblVideos[Day],"&gt;="&amp;DATE($B8,6,1),tblVideos[Day],"&lt;"&amp;DATE($B8,7,1),tblVideos[Channel ID],$T$4)*24,0),COUNTIFS(tblVideos[Day],"&gt;="&amp;DATE($B8,6,1),tblVideos[Day],"&lt;"&amp;DATE($B8,7,1),tblVideos[Channel ID],$T$4))</f>
        <v/>
      </c>
      <c r="I8" s="83">
        <f>IF($G$4="Hours",ROUND(SUMIFS(tblVideos[Length],tblVideos[Day],"&gt;="&amp;DATE($B8,7,1),tblVideos[Day],"&lt;"&amp;DATE($B8,8,1),tblVideos[Channel ID],$T$4)*24,0),COUNTIFS(tblVideos[Day],"&gt;="&amp;DATE($B8,7,1),tblVideos[Day],"&lt;"&amp;DATE($B8,8,1),tblVideos[Channel ID],$T$4))</f>
        <v/>
      </c>
      <c r="J8" s="83">
        <f>IF($G$4="Hours",ROUND(SUMIFS(tblVideos[Length],tblVideos[Day],"&gt;="&amp;DATE($B8,8,1),tblVideos[Day],"&lt;"&amp;DATE($B8,9,1),tblVideos[Channel ID],$T$4)*24,0),COUNTIFS(tblVideos[Day],"&gt;="&amp;DATE($B8,8,1),tblVideos[Day],"&lt;"&amp;DATE($B8,9,1),tblVideos[Channel ID],$T$4))</f>
        <v/>
      </c>
      <c r="K8" s="83">
        <f>IF($G$4="Hours",ROUND(SUMIFS(tblVideos[Length],tblVideos[Day],"&gt;="&amp;DATE($B8,9,1),tblVideos[Day],"&lt;"&amp;DATE($B8,10,1),tblVideos[Channel ID],$T$4)*24,0),COUNTIFS(tblVideos[Day],"&gt;="&amp;DATE($B8,9,1),tblVideos[Day],"&lt;"&amp;DATE($B8,10,1),tblVideos[Channel ID],$T$4))</f>
        <v/>
      </c>
      <c r="L8" s="83">
        <f>IF($G$4="Hours",ROUND(SUMIFS(tblVideos[Length],tblVideos[Day],"&gt;="&amp;DATE($B8,10,1),tblVideos[Day],"&lt;"&amp;DATE($B8,11,1),tblVideos[Channel ID],$T$4)*24,0),COUNTIFS(tblVideos[Day],"&gt;="&amp;DATE($B8,10,1),tblVideos[Day],"&lt;"&amp;DATE($B8,11,1),tblVideos[Channel ID],$T$4))</f>
        <v/>
      </c>
      <c r="M8" s="83">
        <f>IF($G$4="Hours",ROUND(SUMIFS(tblVideos[Length],tblVideos[Day],"&gt;="&amp;DATE($B8,11,1),tblVideos[Day],"&lt;"&amp;DATE($B8,12,1),tblVideos[Channel ID],$T$4)*24,0),COUNTIFS(tblVideos[Day],"&gt;="&amp;DATE($B8,11,1),tblVideos[Day],"&lt;"&amp;DATE($B8,12,1),tblVideos[Channel ID],$T$4))</f>
        <v/>
      </c>
      <c r="N8" s="83">
        <f>IF($G$4="Hours",ROUND(SUMIFS(tblVideos[Length],tblVideos[Day],"&gt;="&amp;DATE($B8,12,1),tblVideos[Day],"&lt;"&amp;DATE($B8,13,1),tblVideos[Channel ID],$T$4)*24,0),COUNTIFS(tblVideos[Day],"&gt;="&amp;DATE($B8,12,1),tblVideos[Day],"&lt;"&amp;DATE($B8,13,1),tblVideos[Channel ID],$T$4))</f>
        <v/>
      </c>
      <c r="O8" s="26">
        <f>SUM(C8:N8)</f>
        <v/>
      </c>
    </row>
    <row r="9">
      <c r="B9" s="82" t="n">
        <v>2013</v>
      </c>
      <c r="C9" s="83">
        <f>IF($G$4="Hours",ROUND(SUMIFS(tblVideos[Length],tblVideos[Day],"&gt;="&amp;DATE($B9,1,1),tblVideos[Day],"&lt;"&amp;DATE($B9,2,1),tblVideos[Channel ID],$T$4)*24,0),COUNTIFS(tblVideos[Day],"&gt;="&amp;DATE($B9,1,1),tblVideos[Day],"&lt;"&amp;DATE($B9,2,1),tblVideos[Channel ID],$T$4))</f>
        <v/>
      </c>
      <c r="D9" s="83">
        <f>IF($G$4="Hours",ROUND(SUMIFS(tblVideos[Length],tblVideos[Day],"&gt;="&amp;DATE($B9,2,1),tblVideos[Day],"&lt;"&amp;DATE($B9,3,1),tblVideos[Channel ID],$T$4)*24,0),COUNTIFS(tblVideos[Day],"&gt;="&amp;DATE($B9,2,1),tblVideos[Day],"&lt;"&amp;DATE($B9,3,1),tblVideos[Channel ID],$T$4))</f>
        <v/>
      </c>
      <c r="E9" s="83">
        <f>IF($G$4="Hours",ROUND(SUMIFS(tblVideos[Length],tblVideos[Day],"&gt;="&amp;DATE($B9,3,1),tblVideos[Day],"&lt;"&amp;DATE($B9,4,1),tblVideos[Channel ID],$T$4)*24,0),COUNTIFS(tblVideos[Day],"&gt;="&amp;DATE($B9,3,1),tblVideos[Day],"&lt;"&amp;DATE($B9,4,1),tblVideos[Channel ID],$T$4))</f>
        <v/>
      </c>
      <c r="F9" s="83">
        <f>IF($G$4="Hours",ROUND(SUMIFS(tblVideos[Length],tblVideos[Day],"&gt;="&amp;DATE($B9,4,1),tblVideos[Day],"&lt;"&amp;DATE($B9,5,1),tblVideos[Channel ID],$T$4)*24,0),COUNTIFS(tblVideos[Day],"&gt;="&amp;DATE($B9,4,1),tblVideos[Day],"&lt;"&amp;DATE($B9,5,1),tblVideos[Channel ID],$T$4))</f>
        <v/>
      </c>
      <c r="G9" s="83">
        <f>IF($G$4="Hours",ROUND(SUMIFS(tblVideos[Length],tblVideos[Day],"&gt;="&amp;DATE($B9,5,1),tblVideos[Day],"&lt;"&amp;DATE($B9,6,1),tblVideos[Channel ID],$T$4)*24,0),COUNTIFS(tblVideos[Day],"&gt;="&amp;DATE($B9,5,1),tblVideos[Day],"&lt;"&amp;DATE($B9,6,1),tblVideos[Channel ID],$T$4))</f>
        <v/>
      </c>
      <c r="H9" s="83">
        <f>IF($G$4="Hours",ROUND(SUMIFS(tblVideos[Length],tblVideos[Day],"&gt;="&amp;DATE($B9,6,1),tblVideos[Day],"&lt;"&amp;DATE($B9,7,1),tblVideos[Channel ID],$T$4)*24,0),COUNTIFS(tblVideos[Day],"&gt;="&amp;DATE($B9,6,1),tblVideos[Day],"&lt;"&amp;DATE($B9,7,1),tblVideos[Channel ID],$T$4))</f>
        <v/>
      </c>
      <c r="I9" s="83">
        <f>IF($G$4="Hours",ROUND(SUMIFS(tblVideos[Length],tblVideos[Day],"&gt;="&amp;DATE($B9,7,1),tblVideos[Day],"&lt;"&amp;DATE($B9,8,1),tblVideos[Channel ID],$T$4)*24,0),COUNTIFS(tblVideos[Day],"&gt;="&amp;DATE($B9,7,1),tblVideos[Day],"&lt;"&amp;DATE($B9,8,1),tblVideos[Channel ID],$T$4))</f>
        <v/>
      </c>
      <c r="J9" s="83">
        <f>IF($G$4="Hours",ROUND(SUMIFS(tblVideos[Length],tblVideos[Day],"&gt;="&amp;DATE($B9,8,1),tblVideos[Day],"&lt;"&amp;DATE($B9,9,1),tblVideos[Channel ID],$T$4)*24,0),COUNTIFS(tblVideos[Day],"&gt;="&amp;DATE($B9,8,1),tblVideos[Day],"&lt;"&amp;DATE($B9,9,1),tblVideos[Channel ID],$T$4))</f>
        <v/>
      </c>
      <c r="K9" s="83">
        <f>IF($G$4="Hours",ROUND(SUMIFS(tblVideos[Length],tblVideos[Day],"&gt;="&amp;DATE($B9,9,1),tblVideos[Day],"&lt;"&amp;DATE($B9,10,1),tblVideos[Channel ID],$T$4)*24,0),COUNTIFS(tblVideos[Day],"&gt;="&amp;DATE($B9,9,1),tblVideos[Day],"&lt;"&amp;DATE($B9,10,1),tblVideos[Channel ID],$T$4))</f>
        <v/>
      </c>
      <c r="L9" s="83">
        <f>IF($G$4="Hours",ROUND(SUMIFS(tblVideos[Length],tblVideos[Day],"&gt;="&amp;DATE($B9,10,1),tblVideos[Day],"&lt;"&amp;DATE($B9,11,1),tblVideos[Channel ID],$T$4)*24,0),COUNTIFS(tblVideos[Day],"&gt;="&amp;DATE($B9,10,1),tblVideos[Day],"&lt;"&amp;DATE($B9,11,1),tblVideos[Channel ID],$T$4))</f>
        <v/>
      </c>
      <c r="M9" s="83">
        <f>IF($G$4="Hours",ROUND(SUMIFS(tblVideos[Length],tblVideos[Day],"&gt;="&amp;DATE($B9,11,1),tblVideos[Day],"&lt;"&amp;DATE($B9,12,1),tblVideos[Channel ID],$T$4)*24,0),COUNTIFS(tblVideos[Day],"&gt;="&amp;DATE($B9,11,1),tblVideos[Day],"&lt;"&amp;DATE($B9,12,1),tblVideos[Channel ID],$T$4))</f>
        <v/>
      </c>
      <c r="N9" s="83">
        <f>IF($G$4="Hours",ROUND(SUMIFS(tblVideos[Length],tblVideos[Day],"&gt;="&amp;DATE($B9,12,1),tblVideos[Day],"&lt;"&amp;DATE($B9,13,1),tblVideos[Channel ID],$T$4)*24,0),COUNTIFS(tblVideos[Day],"&gt;="&amp;DATE($B9,12,1),tblVideos[Day],"&lt;"&amp;DATE($B9,13,1),tblVideos[Channel ID],$T$4))</f>
        <v/>
      </c>
      <c r="O9" s="26">
        <f>SUM(C9:N9)</f>
        <v/>
      </c>
    </row>
    <row r="10">
      <c r="B10" s="82" t="n">
        <v>2014</v>
      </c>
      <c r="C10" s="83">
        <f>IF($G$4="Hours",ROUND(SUMIFS(tblVideos[Length],tblVideos[Day],"&gt;="&amp;DATE($B10,1,1),tblVideos[Day],"&lt;"&amp;DATE($B10,2,1),tblVideos[Channel ID],$T$4)*24,0),COUNTIFS(tblVideos[Day],"&gt;="&amp;DATE($B10,1,1),tblVideos[Day],"&lt;"&amp;DATE($B10,2,1),tblVideos[Channel ID],$T$4))</f>
        <v/>
      </c>
      <c r="D10" s="83">
        <f>IF($G$4="Hours",ROUND(SUMIFS(tblVideos[Length],tblVideos[Day],"&gt;="&amp;DATE($B10,2,1),tblVideos[Day],"&lt;"&amp;DATE($B10,3,1),tblVideos[Channel ID],$T$4)*24,0),COUNTIFS(tblVideos[Day],"&gt;="&amp;DATE($B10,2,1),tblVideos[Day],"&lt;"&amp;DATE($B10,3,1),tblVideos[Channel ID],$T$4))</f>
        <v/>
      </c>
      <c r="E10" s="83">
        <f>IF($G$4="Hours",ROUND(SUMIFS(tblVideos[Length],tblVideos[Day],"&gt;="&amp;DATE($B10,3,1),tblVideos[Day],"&lt;"&amp;DATE($B10,4,1),tblVideos[Channel ID],$T$4)*24,0),COUNTIFS(tblVideos[Day],"&gt;="&amp;DATE($B10,3,1),tblVideos[Day],"&lt;"&amp;DATE($B10,4,1),tblVideos[Channel ID],$T$4))</f>
        <v/>
      </c>
      <c r="F10" s="83">
        <f>IF($G$4="Hours",ROUND(SUMIFS(tblVideos[Length],tblVideos[Day],"&gt;="&amp;DATE($B10,4,1),tblVideos[Day],"&lt;"&amp;DATE($B10,5,1),tblVideos[Channel ID],$T$4)*24,0),COUNTIFS(tblVideos[Day],"&gt;="&amp;DATE($B10,4,1),tblVideos[Day],"&lt;"&amp;DATE($B10,5,1),tblVideos[Channel ID],$T$4))</f>
        <v/>
      </c>
      <c r="G10" s="83">
        <f>IF($G$4="Hours",ROUND(SUMIFS(tblVideos[Length],tblVideos[Day],"&gt;="&amp;DATE($B10,5,1),tblVideos[Day],"&lt;"&amp;DATE($B10,6,1),tblVideos[Channel ID],$T$4)*24,0),COUNTIFS(tblVideos[Day],"&gt;="&amp;DATE($B10,5,1),tblVideos[Day],"&lt;"&amp;DATE($B10,6,1),tblVideos[Channel ID],$T$4))</f>
        <v/>
      </c>
      <c r="H10" s="83">
        <f>IF($G$4="Hours",ROUND(SUMIFS(tblVideos[Length],tblVideos[Day],"&gt;="&amp;DATE($B10,6,1),tblVideos[Day],"&lt;"&amp;DATE($B10,7,1),tblVideos[Channel ID],$T$4)*24,0),COUNTIFS(tblVideos[Day],"&gt;="&amp;DATE($B10,6,1),tblVideos[Day],"&lt;"&amp;DATE($B10,7,1),tblVideos[Channel ID],$T$4))</f>
        <v/>
      </c>
      <c r="I10" s="83">
        <f>IF($G$4="Hours",ROUND(SUMIFS(tblVideos[Length],tblVideos[Day],"&gt;="&amp;DATE($B10,7,1),tblVideos[Day],"&lt;"&amp;DATE($B10,8,1),tblVideos[Channel ID],$T$4)*24,0),COUNTIFS(tblVideos[Day],"&gt;="&amp;DATE($B10,7,1),tblVideos[Day],"&lt;"&amp;DATE($B10,8,1),tblVideos[Channel ID],$T$4))</f>
        <v/>
      </c>
      <c r="J10" s="83">
        <f>IF($G$4="Hours",ROUND(SUMIFS(tblVideos[Length],tblVideos[Day],"&gt;="&amp;DATE($B10,8,1),tblVideos[Day],"&lt;"&amp;DATE($B10,9,1),tblVideos[Channel ID],$T$4)*24,0),COUNTIFS(tblVideos[Day],"&gt;="&amp;DATE($B10,8,1),tblVideos[Day],"&lt;"&amp;DATE($B10,9,1),tblVideos[Channel ID],$T$4))</f>
        <v/>
      </c>
      <c r="K10" s="83">
        <f>IF($G$4="Hours",ROUND(SUMIFS(tblVideos[Length],tblVideos[Day],"&gt;="&amp;DATE($B10,9,1),tblVideos[Day],"&lt;"&amp;DATE($B10,10,1),tblVideos[Channel ID],$T$4)*24,0),COUNTIFS(tblVideos[Day],"&gt;="&amp;DATE($B10,9,1),tblVideos[Day],"&lt;"&amp;DATE($B10,10,1),tblVideos[Channel ID],$T$4))</f>
        <v/>
      </c>
      <c r="L10" s="83">
        <f>IF($G$4="Hours",ROUND(SUMIFS(tblVideos[Length],tblVideos[Day],"&gt;="&amp;DATE($B10,10,1),tblVideos[Day],"&lt;"&amp;DATE($B10,11,1),tblVideos[Channel ID],$T$4)*24,0),COUNTIFS(tblVideos[Day],"&gt;="&amp;DATE($B10,10,1),tblVideos[Day],"&lt;"&amp;DATE($B10,11,1),tblVideos[Channel ID],$T$4))</f>
        <v/>
      </c>
      <c r="M10" s="83">
        <f>IF($G$4="Hours",ROUND(SUMIFS(tblVideos[Length],tblVideos[Day],"&gt;="&amp;DATE($B10,11,1),tblVideos[Day],"&lt;"&amp;DATE($B10,12,1),tblVideos[Channel ID],$T$4)*24,0),COUNTIFS(tblVideos[Day],"&gt;="&amp;DATE($B10,11,1),tblVideos[Day],"&lt;"&amp;DATE($B10,12,1),tblVideos[Channel ID],$T$4))</f>
        <v/>
      </c>
      <c r="N10" s="83">
        <f>IF($G$4="Hours",ROUND(SUMIFS(tblVideos[Length],tblVideos[Day],"&gt;="&amp;DATE($B10,12,1),tblVideos[Day],"&lt;"&amp;DATE($B10,13,1),tblVideos[Channel ID],$T$4)*24,0),COUNTIFS(tblVideos[Day],"&gt;="&amp;DATE($B10,12,1),tblVideos[Day],"&lt;"&amp;DATE($B10,13,1),tblVideos[Channel ID],$T$4))</f>
        <v/>
      </c>
      <c r="O10" s="26">
        <f>SUM(C10:N10)</f>
        <v/>
      </c>
    </row>
    <row r="11">
      <c r="B11" s="82" t="n">
        <v>2015</v>
      </c>
      <c r="C11" s="83">
        <f>IF($G$4="Hours",ROUND(SUMIFS(tblVideos[Length],tblVideos[Day],"&gt;="&amp;DATE($B11,1,1),tblVideos[Day],"&lt;"&amp;DATE($B11,2,1),tblVideos[Channel ID],$T$4)*24,0),COUNTIFS(tblVideos[Day],"&gt;="&amp;DATE($B11,1,1),tblVideos[Day],"&lt;"&amp;DATE($B11,2,1),tblVideos[Channel ID],$T$4))</f>
        <v/>
      </c>
      <c r="D11" s="83">
        <f>IF($G$4="Hours",ROUND(SUMIFS(tblVideos[Length],tblVideos[Day],"&gt;="&amp;DATE($B11,2,1),tblVideos[Day],"&lt;"&amp;DATE($B11,3,1),tblVideos[Channel ID],$T$4)*24,0),COUNTIFS(tblVideos[Day],"&gt;="&amp;DATE($B11,2,1),tblVideos[Day],"&lt;"&amp;DATE($B11,3,1),tblVideos[Channel ID],$T$4))</f>
        <v/>
      </c>
      <c r="E11" s="83">
        <f>IF($G$4="Hours",ROUND(SUMIFS(tblVideos[Length],tblVideos[Day],"&gt;="&amp;DATE($B11,3,1),tblVideos[Day],"&lt;"&amp;DATE($B11,4,1),tblVideos[Channel ID],$T$4)*24,0),COUNTIFS(tblVideos[Day],"&gt;="&amp;DATE($B11,3,1),tblVideos[Day],"&lt;"&amp;DATE($B11,4,1),tblVideos[Channel ID],$T$4))</f>
        <v/>
      </c>
      <c r="F11" s="83">
        <f>IF($G$4="Hours",ROUND(SUMIFS(tblVideos[Length],tblVideos[Day],"&gt;="&amp;DATE($B11,4,1),tblVideos[Day],"&lt;"&amp;DATE($B11,5,1),tblVideos[Channel ID],$T$4)*24,0),COUNTIFS(tblVideos[Day],"&gt;="&amp;DATE($B11,4,1),tblVideos[Day],"&lt;"&amp;DATE($B11,5,1),tblVideos[Channel ID],$T$4))</f>
        <v/>
      </c>
      <c r="G11" s="83">
        <f>IF($G$4="Hours",ROUND(SUMIFS(tblVideos[Length],tblVideos[Day],"&gt;="&amp;DATE($B11,5,1),tblVideos[Day],"&lt;"&amp;DATE($B11,6,1),tblVideos[Channel ID],$T$4)*24,0),COUNTIFS(tblVideos[Day],"&gt;="&amp;DATE($B11,5,1),tblVideos[Day],"&lt;"&amp;DATE($B11,6,1),tblVideos[Channel ID],$T$4))</f>
        <v/>
      </c>
      <c r="H11" s="83">
        <f>IF($G$4="Hours",ROUND(SUMIFS(tblVideos[Length],tblVideos[Day],"&gt;="&amp;DATE($B11,6,1),tblVideos[Day],"&lt;"&amp;DATE($B11,7,1),tblVideos[Channel ID],$T$4)*24,0),COUNTIFS(tblVideos[Day],"&gt;="&amp;DATE($B11,6,1),tblVideos[Day],"&lt;"&amp;DATE($B11,7,1),tblVideos[Channel ID],$T$4))</f>
        <v/>
      </c>
      <c r="I11" s="83">
        <f>IF($G$4="Hours",ROUND(SUMIFS(tblVideos[Length],tblVideos[Day],"&gt;="&amp;DATE($B11,7,1),tblVideos[Day],"&lt;"&amp;DATE($B11,8,1),tblVideos[Channel ID],$T$4)*24,0),COUNTIFS(tblVideos[Day],"&gt;="&amp;DATE($B11,7,1),tblVideos[Day],"&lt;"&amp;DATE($B11,8,1),tblVideos[Channel ID],$T$4))</f>
        <v/>
      </c>
      <c r="J11" s="83">
        <f>IF($G$4="Hours",ROUND(SUMIFS(tblVideos[Length],tblVideos[Day],"&gt;="&amp;DATE($B11,8,1),tblVideos[Day],"&lt;"&amp;DATE($B11,9,1),tblVideos[Channel ID],$T$4)*24,0),COUNTIFS(tblVideos[Day],"&gt;="&amp;DATE($B11,8,1),tblVideos[Day],"&lt;"&amp;DATE($B11,9,1),tblVideos[Channel ID],$T$4))</f>
        <v/>
      </c>
      <c r="K11" s="83">
        <f>IF($G$4="Hours",ROUND(SUMIFS(tblVideos[Length],tblVideos[Day],"&gt;="&amp;DATE($B11,9,1),tblVideos[Day],"&lt;"&amp;DATE($B11,10,1),tblVideos[Channel ID],$T$4)*24,0),COUNTIFS(tblVideos[Day],"&gt;="&amp;DATE($B11,9,1),tblVideos[Day],"&lt;"&amp;DATE($B11,10,1),tblVideos[Channel ID],$T$4))</f>
        <v/>
      </c>
      <c r="L11" s="83">
        <f>IF($G$4="Hours",ROUND(SUMIFS(tblVideos[Length],tblVideos[Day],"&gt;="&amp;DATE($B11,10,1),tblVideos[Day],"&lt;"&amp;DATE($B11,11,1),tblVideos[Channel ID],$T$4)*24,0),COUNTIFS(tblVideos[Day],"&gt;="&amp;DATE($B11,10,1),tblVideos[Day],"&lt;"&amp;DATE($B11,11,1),tblVideos[Channel ID],$T$4))</f>
        <v/>
      </c>
      <c r="M11" s="83">
        <f>IF($G$4="Hours",ROUND(SUMIFS(tblVideos[Length],tblVideos[Day],"&gt;="&amp;DATE($B11,11,1),tblVideos[Day],"&lt;"&amp;DATE($B11,12,1),tblVideos[Channel ID],$T$4)*24,0),COUNTIFS(tblVideos[Day],"&gt;="&amp;DATE($B11,11,1),tblVideos[Day],"&lt;"&amp;DATE($B11,12,1),tblVideos[Channel ID],$T$4))</f>
        <v/>
      </c>
      <c r="N11" s="83">
        <f>IF($G$4="Hours",ROUND(SUMIFS(tblVideos[Length],tblVideos[Day],"&gt;="&amp;DATE($B11,12,1),tblVideos[Day],"&lt;"&amp;DATE($B11,13,1),tblVideos[Channel ID],$T$4)*24,0),COUNTIFS(tblVideos[Day],"&gt;="&amp;DATE($B11,12,1),tblVideos[Day],"&lt;"&amp;DATE($B11,13,1),tblVideos[Channel ID],$T$4))</f>
        <v/>
      </c>
      <c r="O11" s="26">
        <f>SUM(C11:N11)</f>
        <v/>
      </c>
    </row>
    <row r="12">
      <c r="B12" s="82" t="n">
        <v>2016</v>
      </c>
      <c r="C12" s="83">
        <f>IF($G$4="Hours",ROUND(SUMIFS(tblVideos[Length],tblVideos[Day],"&gt;="&amp;DATE($B12,1,1),tblVideos[Day],"&lt;"&amp;DATE($B12,2,1),tblVideos[Channel ID],$T$4)*24,0),COUNTIFS(tblVideos[Day],"&gt;="&amp;DATE($B12,1,1),tblVideos[Day],"&lt;"&amp;DATE($B12,2,1),tblVideos[Channel ID],$T$4))</f>
        <v/>
      </c>
      <c r="D12" s="83">
        <f>IF($G$4="Hours",ROUND(SUMIFS(tblVideos[Length],tblVideos[Day],"&gt;="&amp;DATE($B12,2,1),tblVideos[Day],"&lt;"&amp;DATE($B12,3,1),tblVideos[Channel ID],$T$4)*24,0),COUNTIFS(tblVideos[Day],"&gt;="&amp;DATE($B12,2,1),tblVideos[Day],"&lt;"&amp;DATE($B12,3,1),tblVideos[Channel ID],$T$4))</f>
        <v/>
      </c>
      <c r="E12" s="83">
        <f>IF($G$4="Hours",ROUND(SUMIFS(tblVideos[Length],tblVideos[Day],"&gt;="&amp;DATE($B12,3,1),tblVideos[Day],"&lt;"&amp;DATE($B12,4,1),tblVideos[Channel ID],$T$4)*24,0),COUNTIFS(tblVideos[Day],"&gt;="&amp;DATE($B12,3,1),tblVideos[Day],"&lt;"&amp;DATE($B12,4,1),tblVideos[Channel ID],$T$4))</f>
        <v/>
      </c>
      <c r="F12" s="83">
        <f>IF($G$4="Hours",ROUND(SUMIFS(tblVideos[Length],tblVideos[Day],"&gt;="&amp;DATE($B12,4,1),tblVideos[Day],"&lt;"&amp;DATE($B12,5,1),tblVideos[Channel ID],$T$4)*24,0),COUNTIFS(tblVideos[Day],"&gt;="&amp;DATE($B12,4,1),tblVideos[Day],"&lt;"&amp;DATE($B12,5,1),tblVideos[Channel ID],$T$4))</f>
        <v/>
      </c>
      <c r="G12" s="83">
        <f>IF($G$4="Hours",ROUND(SUMIFS(tblVideos[Length],tblVideos[Day],"&gt;="&amp;DATE($B12,5,1),tblVideos[Day],"&lt;"&amp;DATE($B12,6,1),tblVideos[Channel ID],$T$4)*24,0),COUNTIFS(tblVideos[Day],"&gt;="&amp;DATE($B12,5,1),tblVideos[Day],"&lt;"&amp;DATE($B12,6,1),tblVideos[Channel ID],$T$4))</f>
        <v/>
      </c>
      <c r="H12" s="83">
        <f>IF($G$4="Hours",ROUND(SUMIFS(tblVideos[Length],tblVideos[Day],"&gt;="&amp;DATE($B12,6,1),tblVideos[Day],"&lt;"&amp;DATE($B12,7,1),tblVideos[Channel ID],$T$4)*24,0),COUNTIFS(tblVideos[Day],"&gt;="&amp;DATE($B12,6,1),tblVideos[Day],"&lt;"&amp;DATE($B12,7,1),tblVideos[Channel ID],$T$4))</f>
        <v/>
      </c>
      <c r="I12" s="83">
        <f>IF($G$4="Hours",ROUND(SUMIFS(tblVideos[Length],tblVideos[Day],"&gt;="&amp;DATE($B12,7,1),tblVideos[Day],"&lt;"&amp;DATE($B12,8,1),tblVideos[Channel ID],$T$4)*24,0),COUNTIFS(tblVideos[Day],"&gt;="&amp;DATE($B12,7,1),tblVideos[Day],"&lt;"&amp;DATE($B12,8,1),tblVideos[Channel ID],$T$4))</f>
        <v/>
      </c>
      <c r="J12" s="83">
        <f>IF($G$4="Hours",ROUND(SUMIFS(tblVideos[Length],tblVideos[Day],"&gt;="&amp;DATE($B12,8,1),tblVideos[Day],"&lt;"&amp;DATE($B12,9,1),tblVideos[Channel ID],$T$4)*24,0),COUNTIFS(tblVideos[Day],"&gt;="&amp;DATE($B12,8,1),tblVideos[Day],"&lt;"&amp;DATE($B12,9,1),tblVideos[Channel ID],$T$4))</f>
        <v/>
      </c>
      <c r="K12" s="83">
        <f>IF($G$4="Hours",ROUND(SUMIFS(tblVideos[Length],tblVideos[Day],"&gt;="&amp;DATE($B12,9,1),tblVideos[Day],"&lt;"&amp;DATE($B12,10,1),tblVideos[Channel ID],$T$4)*24,0),COUNTIFS(tblVideos[Day],"&gt;="&amp;DATE($B12,9,1),tblVideos[Day],"&lt;"&amp;DATE($B12,10,1),tblVideos[Channel ID],$T$4))</f>
        <v/>
      </c>
      <c r="L12" s="83">
        <f>IF($G$4="Hours",ROUND(SUMIFS(tblVideos[Length],tblVideos[Day],"&gt;="&amp;DATE($B12,10,1),tblVideos[Day],"&lt;"&amp;DATE($B12,11,1),tblVideos[Channel ID],$T$4)*24,0),COUNTIFS(tblVideos[Day],"&gt;="&amp;DATE($B12,10,1),tblVideos[Day],"&lt;"&amp;DATE($B12,11,1),tblVideos[Channel ID],$T$4))</f>
        <v/>
      </c>
      <c r="M12" s="83">
        <f>IF($G$4="Hours",ROUND(SUMIFS(tblVideos[Length],tblVideos[Day],"&gt;="&amp;DATE($B12,11,1),tblVideos[Day],"&lt;"&amp;DATE($B12,12,1),tblVideos[Channel ID],$T$4)*24,0),COUNTIFS(tblVideos[Day],"&gt;="&amp;DATE($B12,11,1),tblVideos[Day],"&lt;"&amp;DATE($B12,12,1),tblVideos[Channel ID],$T$4))</f>
        <v/>
      </c>
      <c r="N12" s="83">
        <f>IF($G$4="Hours",ROUND(SUMIFS(tblVideos[Length],tblVideos[Day],"&gt;="&amp;DATE($B12,12,1),tblVideos[Day],"&lt;"&amp;DATE($B12,13,1),tblVideos[Channel ID],$T$4)*24,0),COUNTIFS(tblVideos[Day],"&gt;="&amp;DATE($B12,12,1),tblVideos[Day],"&lt;"&amp;DATE($B12,13,1),tblVideos[Channel ID],$T$4))</f>
        <v/>
      </c>
      <c r="O12" s="26">
        <f>SUM(C12:N12)</f>
        <v/>
      </c>
    </row>
    <row r="13">
      <c r="B13" s="82" t="n">
        <v>2017</v>
      </c>
      <c r="C13" s="83">
        <f>IF($G$4="Hours",ROUND(SUMIFS(tblVideos[Length],tblVideos[Day],"&gt;="&amp;DATE($B13,1,1),tblVideos[Day],"&lt;"&amp;DATE($B13,2,1),tblVideos[Channel ID],$T$4)*24,0),COUNTIFS(tblVideos[Day],"&gt;="&amp;DATE($B13,1,1),tblVideos[Day],"&lt;"&amp;DATE($B13,2,1),tblVideos[Channel ID],$T$4))</f>
        <v/>
      </c>
      <c r="D13" s="83">
        <f>IF($G$4="Hours",ROUND(SUMIFS(tblVideos[Length],tblVideos[Day],"&gt;="&amp;DATE($B13,2,1),tblVideos[Day],"&lt;"&amp;DATE($B13,3,1),tblVideos[Channel ID],$T$4)*24,0),COUNTIFS(tblVideos[Day],"&gt;="&amp;DATE($B13,2,1),tblVideos[Day],"&lt;"&amp;DATE($B13,3,1),tblVideos[Channel ID],$T$4))</f>
        <v/>
      </c>
      <c r="E13" s="83">
        <f>IF($G$4="Hours",ROUND(SUMIFS(tblVideos[Length],tblVideos[Day],"&gt;="&amp;DATE($B13,3,1),tblVideos[Day],"&lt;"&amp;DATE($B13,4,1),tblVideos[Channel ID],$T$4)*24,0),COUNTIFS(tblVideos[Day],"&gt;="&amp;DATE($B13,3,1),tblVideos[Day],"&lt;"&amp;DATE($B13,4,1),tblVideos[Channel ID],$T$4))</f>
        <v/>
      </c>
      <c r="F13" s="83">
        <f>IF($G$4="Hours",ROUND(SUMIFS(tblVideos[Length],tblVideos[Day],"&gt;="&amp;DATE($B13,4,1),tblVideos[Day],"&lt;"&amp;DATE($B13,5,1),tblVideos[Channel ID],$T$4)*24,0),COUNTIFS(tblVideos[Day],"&gt;="&amp;DATE($B13,4,1),tblVideos[Day],"&lt;"&amp;DATE($B13,5,1),tblVideos[Channel ID],$T$4))</f>
        <v/>
      </c>
      <c r="G13" s="83">
        <f>IF($G$4="Hours",ROUND(SUMIFS(tblVideos[Length],tblVideos[Day],"&gt;="&amp;DATE($B13,5,1),tblVideos[Day],"&lt;"&amp;DATE($B13,6,1),tblVideos[Channel ID],$T$4)*24,0),COUNTIFS(tblVideos[Day],"&gt;="&amp;DATE($B13,5,1),tblVideos[Day],"&lt;"&amp;DATE($B13,6,1),tblVideos[Channel ID],$T$4))</f>
        <v/>
      </c>
      <c r="H13" s="83">
        <f>IF($G$4="Hours",ROUND(SUMIFS(tblVideos[Length],tblVideos[Day],"&gt;="&amp;DATE($B13,6,1),tblVideos[Day],"&lt;"&amp;DATE($B13,7,1),tblVideos[Channel ID],$T$4)*24,0),COUNTIFS(tblVideos[Day],"&gt;="&amp;DATE($B13,6,1),tblVideos[Day],"&lt;"&amp;DATE($B13,7,1),tblVideos[Channel ID],$T$4))</f>
        <v/>
      </c>
      <c r="I13" s="83">
        <f>IF($G$4="Hours",ROUND(SUMIFS(tblVideos[Length],tblVideos[Day],"&gt;="&amp;DATE($B13,7,1),tblVideos[Day],"&lt;"&amp;DATE($B13,8,1),tblVideos[Channel ID],$T$4)*24,0),COUNTIFS(tblVideos[Day],"&gt;="&amp;DATE($B13,7,1),tblVideos[Day],"&lt;"&amp;DATE($B13,8,1),tblVideos[Channel ID],$T$4))</f>
        <v/>
      </c>
      <c r="J13" s="83">
        <f>IF($G$4="Hours",ROUND(SUMIFS(tblVideos[Length],tblVideos[Day],"&gt;="&amp;DATE($B13,8,1),tblVideos[Day],"&lt;"&amp;DATE($B13,9,1),tblVideos[Channel ID],$T$4)*24,0),COUNTIFS(tblVideos[Day],"&gt;="&amp;DATE($B13,8,1),tblVideos[Day],"&lt;"&amp;DATE($B13,9,1),tblVideos[Channel ID],$T$4))</f>
        <v/>
      </c>
      <c r="K13" s="83">
        <f>IF($G$4="Hours",ROUND(SUMIFS(tblVideos[Length],tblVideos[Day],"&gt;="&amp;DATE($B13,9,1),tblVideos[Day],"&lt;"&amp;DATE($B13,10,1),tblVideos[Channel ID],$T$4)*24,0),COUNTIFS(tblVideos[Day],"&gt;="&amp;DATE($B13,9,1),tblVideos[Day],"&lt;"&amp;DATE($B13,10,1),tblVideos[Channel ID],$T$4))</f>
        <v/>
      </c>
      <c r="L13" s="83">
        <f>IF($G$4="Hours",ROUND(SUMIFS(tblVideos[Length],tblVideos[Day],"&gt;="&amp;DATE($B13,10,1),tblVideos[Day],"&lt;"&amp;DATE($B13,11,1),tblVideos[Channel ID],$T$4)*24,0),COUNTIFS(tblVideos[Day],"&gt;="&amp;DATE($B13,10,1),tblVideos[Day],"&lt;"&amp;DATE($B13,11,1),tblVideos[Channel ID],$T$4))</f>
        <v/>
      </c>
      <c r="M13" s="83">
        <f>IF($G$4="Hours",ROUND(SUMIFS(tblVideos[Length],tblVideos[Day],"&gt;="&amp;DATE($B13,11,1),tblVideos[Day],"&lt;"&amp;DATE($B13,12,1),tblVideos[Channel ID],$T$4)*24,0),COUNTIFS(tblVideos[Day],"&gt;="&amp;DATE($B13,11,1),tblVideos[Day],"&lt;"&amp;DATE($B13,12,1),tblVideos[Channel ID],$T$4))</f>
        <v/>
      </c>
      <c r="N13" s="83">
        <f>IF($G$4="Hours",ROUND(SUMIFS(tblVideos[Length],tblVideos[Day],"&gt;="&amp;DATE($B13,12,1),tblVideos[Day],"&lt;"&amp;DATE($B13,13,1),tblVideos[Channel ID],$T$4)*24,0),COUNTIFS(tblVideos[Day],"&gt;="&amp;DATE($B13,12,1),tblVideos[Day],"&lt;"&amp;DATE($B13,13,1),tblVideos[Channel ID],$T$4))</f>
        <v/>
      </c>
      <c r="O13" s="26">
        <f>SUM(C13:N13)</f>
        <v/>
      </c>
    </row>
    <row r="14">
      <c r="B14" s="82" t="n">
        <v>2018</v>
      </c>
      <c r="C14" s="83">
        <f>IF($G$4="Hours",ROUND(SUMIFS(tblVideos[Length],tblVideos[Day],"&gt;="&amp;DATE($B14,1,1),tblVideos[Day],"&lt;"&amp;DATE($B14,2,1),tblVideos[Channel ID],$T$4)*24,0),COUNTIFS(tblVideos[Day],"&gt;="&amp;DATE($B14,1,1),tblVideos[Day],"&lt;"&amp;DATE($B14,2,1),tblVideos[Channel ID],$T$4))</f>
        <v/>
      </c>
      <c r="D14" s="83">
        <f>IF($G$4="Hours",ROUND(SUMIFS(tblVideos[Length],tblVideos[Day],"&gt;="&amp;DATE($B14,2,1),tblVideos[Day],"&lt;"&amp;DATE($B14,3,1),tblVideos[Channel ID],$T$4)*24,0),COUNTIFS(tblVideos[Day],"&gt;="&amp;DATE($B14,2,1),tblVideos[Day],"&lt;"&amp;DATE($B14,3,1),tblVideos[Channel ID],$T$4))</f>
        <v/>
      </c>
      <c r="E14" s="83">
        <f>IF($G$4="Hours",ROUND(SUMIFS(tblVideos[Length],tblVideos[Day],"&gt;="&amp;DATE($B14,3,1),tblVideos[Day],"&lt;"&amp;DATE($B14,4,1),tblVideos[Channel ID],$T$4)*24,0),COUNTIFS(tblVideos[Day],"&gt;="&amp;DATE($B14,3,1),tblVideos[Day],"&lt;"&amp;DATE($B14,4,1),tblVideos[Channel ID],$T$4))</f>
        <v/>
      </c>
      <c r="F14" s="83">
        <f>IF($G$4="Hours",ROUND(SUMIFS(tblVideos[Length],tblVideos[Day],"&gt;="&amp;DATE($B14,4,1),tblVideos[Day],"&lt;"&amp;DATE($B14,5,1),tblVideos[Channel ID],$T$4)*24,0),COUNTIFS(tblVideos[Day],"&gt;="&amp;DATE($B14,4,1),tblVideos[Day],"&lt;"&amp;DATE($B14,5,1),tblVideos[Channel ID],$T$4))</f>
        <v/>
      </c>
      <c r="G14" s="83">
        <f>IF($G$4="Hours",ROUND(SUMIFS(tblVideos[Length],tblVideos[Day],"&gt;="&amp;DATE($B14,5,1),tblVideos[Day],"&lt;"&amp;DATE($B14,6,1),tblVideos[Channel ID],$T$4)*24,0),COUNTIFS(tblVideos[Day],"&gt;="&amp;DATE($B14,5,1),tblVideos[Day],"&lt;"&amp;DATE($B14,6,1),tblVideos[Channel ID],$T$4))</f>
        <v/>
      </c>
      <c r="H14" s="83">
        <f>IF($G$4="Hours",ROUND(SUMIFS(tblVideos[Length],tblVideos[Day],"&gt;="&amp;DATE($B14,6,1),tblVideos[Day],"&lt;"&amp;DATE($B14,7,1),tblVideos[Channel ID],$T$4)*24,0),COUNTIFS(tblVideos[Day],"&gt;="&amp;DATE($B14,6,1),tblVideos[Day],"&lt;"&amp;DATE($B14,7,1),tblVideos[Channel ID],$T$4))</f>
        <v/>
      </c>
      <c r="I14" s="83">
        <f>IF($G$4="Hours",ROUND(SUMIFS(tblVideos[Length],tblVideos[Day],"&gt;="&amp;DATE($B14,7,1),tblVideos[Day],"&lt;"&amp;DATE($B14,8,1),tblVideos[Channel ID],$T$4)*24,0),COUNTIFS(tblVideos[Day],"&gt;="&amp;DATE($B14,7,1),tblVideos[Day],"&lt;"&amp;DATE($B14,8,1),tblVideos[Channel ID],$T$4))</f>
        <v/>
      </c>
      <c r="J14" s="83">
        <f>IF($G$4="Hours",ROUND(SUMIFS(tblVideos[Length],tblVideos[Day],"&gt;="&amp;DATE($B14,8,1),tblVideos[Day],"&lt;"&amp;DATE($B14,9,1),tblVideos[Channel ID],$T$4)*24,0),COUNTIFS(tblVideos[Day],"&gt;="&amp;DATE($B14,8,1),tblVideos[Day],"&lt;"&amp;DATE($B14,9,1),tblVideos[Channel ID],$T$4))</f>
        <v/>
      </c>
      <c r="K14" s="83">
        <f>IF($G$4="Hours",ROUND(SUMIFS(tblVideos[Length],tblVideos[Day],"&gt;="&amp;DATE($B14,9,1),tblVideos[Day],"&lt;"&amp;DATE($B14,10,1),tblVideos[Channel ID],$T$4)*24,0),COUNTIFS(tblVideos[Day],"&gt;="&amp;DATE($B14,9,1),tblVideos[Day],"&lt;"&amp;DATE($B14,10,1),tblVideos[Channel ID],$T$4))</f>
        <v/>
      </c>
      <c r="L14" s="83">
        <f>IF($G$4="Hours",ROUND(SUMIFS(tblVideos[Length],tblVideos[Day],"&gt;="&amp;DATE($B14,10,1),tblVideos[Day],"&lt;"&amp;DATE($B14,11,1),tblVideos[Channel ID],$T$4)*24,0),COUNTIFS(tblVideos[Day],"&gt;="&amp;DATE($B14,10,1),tblVideos[Day],"&lt;"&amp;DATE($B14,11,1),tblVideos[Channel ID],$T$4))</f>
        <v/>
      </c>
      <c r="M14" s="83">
        <f>IF($G$4="Hours",ROUND(SUMIFS(tblVideos[Length],tblVideos[Day],"&gt;="&amp;DATE($B14,11,1),tblVideos[Day],"&lt;"&amp;DATE($B14,12,1),tblVideos[Channel ID],$T$4)*24,0),COUNTIFS(tblVideos[Day],"&gt;="&amp;DATE($B14,11,1),tblVideos[Day],"&lt;"&amp;DATE($B14,12,1),tblVideos[Channel ID],$T$4))</f>
        <v/>
      </c>
      <c r="N14" s="83">
        <f>IF($G$4="Hours",ROUND(SUMIFS(tblVideos[Length],tblVideos[Day],"&gt;="&amp;DATE($B14,12,1),tblVideos[Day],"&lt;"&amp;DATE($B14,13,1),tblVideos[Channel ID],$T$4)*24,0),COUNTIFS(tblVideos[Day],"&gt;="&amp;DATE($B14,12,1),tblVideos[Day],"&lt;"&amp;DATE($B14,13,1),tblVideos[Channel ID],$T$4))</f>
        <v/>
      </c>
      <c r="O14" s="26">
        <f>SUM(C14:N14)</f>
        <v/>
      </c>
    </row>
    <row r="15">
      <c r="B15" s="82" t="n">
        <v>2019</v>
      </c>
      <c r="C15" s="83">
        <f>IF($G$4="Hours",ROUND(SUMIFS(tblVideos[Length],tblVideos[Day],"&gt;="&amp;DATE($B15,1,1),tblVideos[Day],"&lt;"&amp;DATE($B15,2,1),tblVideos[Channel ID],$T$4)*24,0),COUNTIFS(tblVideos[Day],"&gt;="&amp;DATE($B15,1,1),tblVideos[Day],"&lt;"&amp;DATE($B15,2,1),tblVideos[Channel ID],$T$4))</f>
        <v/>
      </c>
      <c r="D15" s="83">
        <f>IF($G$4="Hours",ROUND(SUMIFS(tblVideos[Length],tblVideos[Day],"&gt;="&amp;DATE($B15,2,1),tblVideos[Day],"&lt;"&amp;DATE($B15,3,1),tblVideos[Channel ID],$T$4)*24,0),COUNTIFS(tblVideos[Day],"&gt;="&amp;DATE($B15,2,1),tblVideos[Day],"&lt;"&amp;DATE($B15,3,1),tblVideos[Channel ID],$T$4))</f>
        <v/>
      </c>
      <c r="E15" s="83">
        <f>IF($G$4="Hours",ROUND(SUMIFS(tblVideos[Length],tblVideos[Day],"&gt;="&amp;DATE($B15,3,1),tblVideos[Day],"&lt;"&amp;DATE($B15,4,1),tblVideos[Channel ID],$T$4)*24,0),COUNTIFS(tblVideos[Day],"&gt;="&amp;DATE($B15,3,1),tblVideos[Day],"&lt;"&amp;DATE($B15,4,1),tblVideos[Channel ID],$T$4))</f>
        <v/>
      </c>
      <c r="F15" s="83">
        <f>IF($G$4="Hours",ROUND(SUMIFS(tblVideos[Length],tblVideos[Day],"&gt;="&amp;DATE($B15,4,1),tblVideos[Day],"&lt;"&amp;DATE($B15,5,1),tblVideos[Channel ID],$T$4)*24,0),COUNTIFS(tblVideos[Day],"&gt;="&amp;DATE($B15,4,1),tblVideos[Day],"&lt;"&amp;DATE($B15,5,1),tblVideos[Channel ID],$T$4))</f>
        <v/>
      </c>
      <c r="G15" s="83">
        <f>IF($G$4="Hours",ROUND(SUMIFS(tblVideos[Length],tblVideos[Day],"&gt;="&amp;DATE($B15,5,1),tblVideos[Day],"&lt;"&amp;DATE($B15,6,1),tblVideos[Channel ID],$T$4)*24,0),COUNTIFS(tblVideos[Day],"&gt;="&amp;DATE($B15,5,1),tblVideos[Day],"&lt;"&amp;DATE($B15,6,1),tblVideos[Channel ID],$T$4))</f>
        <v/>
      </c>
      <c r="H15" s="83">
        <f>IF($G$4="Hours",ROUND(SUMIFS(tblVideos[Length],tblVideos[Day],"&gt;="&amp;DATE($B15,6,1),tblVideos[Day],"&lt;"&amp;DATE($B15,7,1),tblVideos[Channel ID],$T$4)*24,0),COUNTIFS(tblVideos[Day],"&gt;="&amp;DATE($B15,6,1),tblVideos[Day],"&lt;"&amp;DATE($B15,7,1),tblVideos[Channel ID],$T$4))</f>
        <v/>
      </c>
      <c r="I15" s="83">
        <f>IF($G$4="Hours",ROUND(SUMIFS(tblVideos[Length],tblVideos[Day],"&gt;="&amp;DATE($B15,7,1),tblVideos[Day],"&lt;"&amp;DATE($B15,8,1),tblVideos[Channel ID],$T$4)*24,0),COUNTIFS(tblVideos[Day],"&gt;="&amp;DATE($B15,7,1),tblVideos[Day],"&lt;"&amp;DATE($B15,8,1),tblVideos[Channel ID],$T$4))</f>
        <v/>
      </c>
      <c r="J15" s="83">
        <f>IF($G$4="Hours",ROUND(SUMIFS(tblVideos[Length],tblVideos[Day],"&gt;="&amp;DATE($B15,8,1),tblVideos[Day],"&lt;"&amp;DATE($B15,9,1),tblVideos[Channel ID],$T$4)*24,0),COUNTIFS(tblVideos[Day],"&gt;="&amp;DATE($B15,8,1),tblVideos[Day],"&lt;"&amp;DATE($B15,9,1),tblVideos[Channel ID],$T$4))</f>
        <v/>
      </c>
      <c r="K15" s="83">
        <f>IF($G$4="Hours",ROUND(SUMIFS(tblVideos[Length],tblVideos[Day],"&gt;="&amp;DATE($B15,9,1),tblVideos[Day],"&lt;"&amp;DATE($B15,10,1),tblVideos[Channel ID],$T$4)*24,0),COUNTIFS(tblVideos[Day],"&gt;="&amp;DATE($B15,9,1),tblVideos[Day],"&lt;"&amp;DATE($B15,10,1),tblVideos[Channel ID],$T$4))</f>
        <v/>
      </c>
      <c r="L15" s="83">
        <f>IF($G$4="Hours",ROUND(SUMIFS(tblVideos[Length],tblVideos[Day],"&gt;="&amp;DATE($B15,10,1),tblVideos[Day],"&lt;"&amp;DATE($B15,11,1),tblVideos[Channel ID],$T$4)*24,0),COUNTIFS(tblVideos[Day],"&gt;="&amp;DATE($B15,10,1),tblVideos[Day],"&lt;"&amp;DATE($B15,11,1),tblVideos[Channel ID],$T$4))</f>
        <v/>
      </c>
      <c r="M15" s="83">
        <f>IF($G$4="Hours",ROUND(SUMIFS(tblVideos[Length],tblVideos[Day],"&gt;="&amp;DATE($B15,11,1),tblVideos[Day],"&lt;"&amp;DATE($B15,12,1),tblVideos[Channel ID],$T$4)*24,0),COUNTIFS(tblVideos[Day],"&gt;="&amp;DATE($B15,11,1),tblVideos[Day],"&lt;"&amp;DATE($B15,12,1),tblVideos[Channel ID],$T$4))</f>
        <v/>
      </c>
      <c r="N15" s="83">
        <f>IF($G$4="Hours",ROUND(SUMIFS(tblVideos[Length],tblVideos[Day],"&gt;="&amp;DATE($B15,12,1),tblVideos[Day],"&lt;"&amp;DATE($B15,13,1),tblVideos[Channel ID],$T$4)*24,0),COUNTIFS(tblVideos[Day],"&gt;="&amp;DATE($B15,12,1),tblVideos[Day],"&lt;"&amp;DATE($B15,13,1),tblVideos[Channel ID],$T$4))</f>
        <v/>
      </c>
      <c r="O15" s="26">
        <f>SUM(C15:N15)</f>
        <v/>
      </c>
    </row>
    <row r="16">
      <c r="B16" s="82" t="n">
        <v>2020</v>
      </c>
      <c r="C16" s="83">
        <f>IF($G$4="Hours",ROUND(SUMIFS(tblVideos[Length],tblVideos[Day],"&gt;="&amp;DATE($B16,1,1),tblVideos[Day],"&lt;"&amp;DATE($B16,2,1),tblVideos[Channel ID],$T$4)*24,0),COUNTIFS(tblVideos[Day],"&gt;="&amp;DATE($B16,1,1),tblVideos[Day],"&lt;"&amp;DATE($B16,2,1),tblVideos[Channel ID],$T$4))</f>
        <v/>
      </c>
      <c r="D16" s="83">
        <f>IF($G$4="Hours",ROUND(SUMIFS(tblVideos[Length],tblVideos[Day],"&gt;="&amp;DATE($B16,2,1),tblVideos[Day],"&lt;"&amp;DATE($B16,3,1),tblVideos[Channel ID],$T$4)*24,0),COUNTIFS(tblVideos[Day],"&gt;="&amp;DATE($B16,2,1),tblVideos[Day],"&lt;"&amp;DATE($B16,3,1),tblVideos[Channel ID],$T$4))</f>
        <v/>
      </c>
      <c r="E16" s="83">
        <f>IF($G$4="Hours",ROUND(SUMIFS(tblVideos[Length],tblVideos[Day],"&gt;="&amp;DATE($B16,3,1),tblVideos[Day],"&lt;"&amp;DATE($B16,4,1),tblVideos[Channel ID],$T$4)*24,0),COUNTIFS(tblVideos[Day],"&gt;="&amp;DATE($B16,3,1),tblVideos[Day],"&lt;"&amp;DATE($B16,4,1),tblVideos[Channel ID],$T$4))</f>
        <v/>
      </c>
      <c r="F16" s="83">
        <f>IF($G$4="Hours",ROUND(SUMIFS(tblVideos[Length],tblVideos[Day],"&gt;="&amp;DATE($B16,4,1),tblVideos[Day],"&lt;"&amp;DATE($B16,5,1),tblVideos[Channel ID],$T$4)*24,0),COUNTIFS(tblVideos[Day],"&gt;="&amp;DATE($B16,4,1),tblVideos[Day],"&lt;"&amp;DATE($B16,5,1),tblVideos[Channel ID],$T$4))</f>
        <v/>
      </c>
      <c r="G16" s="83">
        <f>IF($G$4="Hours",ROUND(SUMIFS(tblVideos[Length],tblVideos[Day],"&gt;="&amp;DATE($B16,5,1),tblVideos[Day],"&lt;"&amp;DATE($B16,6,1),tblVideos[Channel ID],$T$4)*24,0),COUNTIFS(tblVideos[Day],"&gt;="&amp;DATE($B16,5,1),tblVideos[Day],"&lt;"&amp;DATE($B16,6,1),tblVideos[Channel ID],$T$4))</f>
        <v/>
      </c>
      <c r="H16" s="83">
        <f>IF($G$4="Hours",ROUND(SUMIFS(tblVideos[Length],tblVideos[Day],"&gt;="&amp;DATE($B16,6,1),tblVideos[Day],"&lt;"&amp;DATE($B16,7,1),tblVideos[Channel ID],$T$4)*24,0),COUNTIFS(tblVideos[Day],"&gt;="&amp;DATE($B16,6,1),tblVideos[Day],"&lt;"&amp;DATE($B16,7,1),tblVideos[Channel ID],$T$4))</f>
        <v/>
      </c>
      <c r="I16" s="83">
        <f>IF($G$4="Hours",ROUND(SUMIFS(tblVideos[Length],tblVideos[Day],"&gt;="&amp;DATE($B16,7,1),tblVideos[Day],"&lt;"&amp;DATE($B16,8,1),tblVideos[Channel ID],$T$4)*24,0),COUNTIFS(tblVideos[Day],"&gt;="&amp;DATE($B16,7,1),tblVideos[Day],"&lt;"&amp;DATE($B16,8,1),tblVideos[Channel ID],$T$4))</f>
        <v/>
      </c>
      <c r="J16" s="83">
        <f>IF($G$4="Hours",ROUND(SUMIFS(tblVideos[Length],tblVideos[Day],"&gt;="&amp;DATE($B16,8,1),tblVideos[Day],"&lt;"&amp;DATE($B16,9,1),tblVideos[Channel ID],$T$4)*24,0),COUNTIFS(tblVideos[Day],"&gt;="&amp;DATE($B16,8,1),tblVideos[Day],"&lt;"&amp;DATE($B16,9,1),tblVideos[Channel ID],$T$4))</f>
        <v/>
      </c>
      <c r="K16" s="83">
        <f>IF($G$4="Hours",ROUND(SUMIFS(tblVideos[Length],tblVideos[Day],"&gt;="&amp;DATE($B16,9,1),tblVideos[Day],"&lt;"&amp;DATE($B16,10,1),tblVideos[Channel ID],$T$4)*24,0),COUNTIFS(tblVideos[Day],"&gt;="&amp;DATE($B16,9,1),tblVideos[Day],"&lt;"&amp;DATE($B16,10,1),tblVideos[Channel ID],$T$4))</f>
        <v/>
      </c>
      <c r="L16" s="83">
        <f>IF($G$4="Hours",ROUND(SUMIFS(tblVideos[Length],tblVideos[Day],"&gt;="&amp;DATE($B16,10,1),tblVideos[Day],"&lt;"&amp;DATE($B16,11,1),tblVideos[Channel ID],$T$4)*24,0),COUNTIFS(tblVideos[Day],"&gt;="&amp;DATE($B16,10,1),tblVideos[Day],"&lt;"&amp;DATE($B16,11,1),tblVideos[Channel ID],$T$4))</f>
        <v/>
      </c>
      <c r="M16" s="83">
        <f>IF($G$4="Hours",ROUND(SUMIFS(tblVideos[Length],tblVideos[Day],"&gt;="&amp;DATE($B16,11,1),tblVideos[Day],"&lt;"&amp;DATE($B16,12,1),tblVideos[Channel ID],$T$4)*24,0),COUNTIFS(tblVideos[Day],"&gt;="&amp;DATE($B16,11,1),tblVideos[Day],"&lt;"&amp;DATE($B16,12,1),tblVideos[Channel ID],$T$4))</f>
        <v/>
      </c>
      <c r="N16" s="83">
        <f>IF($G$4="Hours",ROUND(SUMIFS(tblVideos[Length],tblVideos[Day],"&gt;="&amp;DATE($B16,12,1),tblVideos[Day],"&lt;"&amp;DATE($B16,13,1),tblVideos[Channel ID],$T$4)*24,0),COUNTIFS(tblVideos[Day],"&gt;="&amp;DATE($B16,12,1),tblVideos[Day],"&lt;"&amp;DATE($B16,13,1),tblVideos[Channel ID],$T$4))</f>
        <v/>
      </c>
      <c r="O16" s="26">
        <f>SUM(C16:N16)</f>
        <v/>
      </c>
    </row>
    <row r="17">
      <c r="B17" s="82" t="n">
        <v>2021</v>
      </c>
      <c r="C17" s="83">
        <f>IF($G$4="Hours",ROUND(SUMIFS(tblVideos[Length],tblVideos[Day],"&gt;="&amp;DATE($B17,1,1),tblVideos[Day],"&lt;"&amp;DATE($B17,2,1),tblVideos[Channel ID],$T$4)*24,0),COUNTIFS(tblVideos[Day],"&gt;="&amp;DATE($B17,1,1),tblVideos[Day],"&lt;"&amp;DATE($B17,2,1),tblVideos[Channel ID],$T$4))</f>
        <v/>
      </c>
      <c r="D17" s="83">
        <f>IF($G$4="Hours",ROUND(SUMIFS(tblVideos[Length],tblVideos[Day],"&gt;="&amp;DATE($B17,2,1),tblVideos[Day],"&lt;"&amp;DATE($B17,3,1),tblVideos[Channel ID],$T$4)*24,0),COUNTIFS(tblVideos[Day],"&gt;="&amp;DATE($B17,2,1),tblVideos[Day],"&lt;"&amp;DATE($B17,3,1),tblVideos[Channel ID],$T$4))</f>
        <v/>
      </c>
      <c r="E17" s="83">
        <f>IF($G$4="Hours",ROUND(SUMIFS(tblVideos[Length],tblVideos[Day],"&gt;="&amp;DATE($B17,3,1),tblVideos[Day],"&lt;"&amp;DATE($B17,4,1),tblVideos[Channel ID],$T$4)*24,0),COUNTIFS(tblVideos[Day],"&gt;="&amp;DATE($B17,3,1),tblVideos[Day],"&lt;"&amp;DATE($B17,4,1),tblVideos[Channel ID],$T$4))</f>
        <v/>
      </c>
      <c r="F17" s="83">
        <f>IF($G$4="Hours",ROUND(SUMIFS(tblVideos[Length],tblVideos[Day],"&gt;="&amp;DATE($B17,4,1),tblVideos[Day],"&lt;"&amp;DATE($B17,5,1),tblVideos[Channel ID],$T$4)*24,0),COUNTIFS(tblVideos[Day],"&gt;="&amp;DATE($B17,4,1),tblVideos[Day],"&lt;"&amp;DATE($B17,5,1),tblVideos[Channel ID],$T$4))</f>
        <v/>
      </c>
      <c r="G17" s="83">
        <f>IF($G$4="Hours",ROUND(SUMIFS(tblVideos[Length],tblVideos[Day],"&gt;="&amp;DATE($B17,5,1),tblVideos[Day],"&lt;"&amp;DATE($B17,6,1),tblVideos[Channel ID],$T$4)*24,0),COUNTIFS(tblVideos[Day],"&gt;="&amp;DATE($B17,5,1),tblVideos[Day],"&lt;"&amp;DATE($B17,6,1),tblVideos[Channel ID],$T$4))</f>
        <v/>
      </c>
      <c r="H17" s="83">
        <f>IF($G$4="Hours",ROUND(SUMIFS(tblVideos[Length],tblVideos[Day],"&gt;="&amp;DATE($B17,6,1),tblVideos[Day],"&lt;"&amp;DATE($B17,7,1),tblVideos[Channel ID],$T$4)*24,0),COUNTIFS(tblVideos[Day],"&gt;="&amp;DATE($B17,6,1),tblVideos[Day],"&lt;"&amp;DATE($B17,7,1),tblVideos[Channel ID],$T$4))</f>
        <v/>
      </c>
      <c r="I17" s="83">
        <f>IF($G$4="Hours",ROUND(SUMIFS(tblVideos[Length],tblVideos[Day],"&gt;="&amp;DATE($B17,7,1),tblVideos[Day],"&lt;"&amp;DATE($B17,8,1),tblVideos[Channel ID],$T$4)*24,0),COUNTIFS(tblVideos[Day],"&gt;="&amp;DATE($B17,7,1),tblVideos[Day],"&lt;"&amp;DATE($B17,8,1),tblVideos[Channel ID],$T$4))</f>
        <v/>
      </c>
      <c r="J17" s="83">
        <f>IF($G$4="Hours",ROUND(SUMIFS(tblVideos[Length],tblVideos[Day],"&gt;="&amp;DATE($B17,8,1),tblVideos[Day],"&lt;"&amp;DATE($B17,9,1),tblVideos[Channel ID],$T$4)*24,0),COUNTIFS(tblVideos[Day],"&gt;="&amp;DATE($B17,8,1),tblVideos[Day],"&lt;"&amp;DATE($B17,9,1),tblVideos[Channel ID],$T$4))</f>
        <v/>
      </c>
      <c r="K17" s="83">
        <f>IF($G$4="Hours",ROUND(SUMIFS(tblVideos[Length],tblVideos[Day],"&gt;="&amp;DATE($B17,9,1),tblVideos[Day],"&lt;"&amp;DATE($B17,10,1),tblVideos[Channel ID],$T$4)*24,0),COUNTIFS(tblVideos[Day],"&gt;="&amp;DATE($B17,9,1),tblVideos[Day],"&lt;"&amp;DATE($B17,10,1),tblVideos[Channel ID],$T$4))</f>
        <v/>
      </c>
      <c r="L17" s="83">
        <f>IF($G$4="Hours",ROUND(SUMIFS(tblVideos[Length],tblVideos[Day],"&gt;="&amp;DATE($B17,10,1),tblVideos[Day],"&lt;"&amp;DATE($B17,11,1),tblVideos[Channel ID],$T$4)*24,0),COUNTIFS(tblVideos[Day],"&gt;="&amp;DATE($B17,10,1),tblVideos[Day],"&lt;"&amp;DATE($B17,11,1),tblVideos[Channel ID],$T$4))</f>
        <v/>
      </c>
      <c r="M17" s="83">
        <f>IF($G$4="Hours",ROUND(SUMIFS(tblVideos[Length],tblVideos[Day],"&gt;="&amp;DATE($B17,11,1),tblVideos[Day],"&lt;"&amp;DATE($B17,12,1),tblVideos[Channel ID],$T$4)*24,0),COUNTIFS(tblVideos[Day],"&gt;="&amp;DATE($B17,11,1),tblVideos[Day],"&lt;"&amp;DATE($B17,12,1),tblVideos[Channel ID],$T$4))</f>
        <v/>
      </c>
      <c r="N17" s="83">
        <f>IF($G$4="Hours",ROUND(SUMIFS(tblVideos[Length],tblVideos[Day],"&gt;="&amp;DATE($B17,12,1),tblVideos[Day],"&lt;"&amp;DATE($B17,13,1),tblVideos[Channel ID],$T$4)*24,0),COUNTIFS(tblVideos[Day],"&gt;="&amp;DATE($B17,12,1),tblVideos[Day],"&lt;"&amp;DATE($B17,13,1),tblVideos[Channel ID],$T$4))</f>
        <v/>
      </c>
      <c r="O17" s="26">
        <f>SUM(C17:N17)</f>
        <v/>
      </c>
    </row>
    <row r="18">
      <c r="B18" s="82" t="n">
        <v>2022</v>
      </c>
      <c r="C18" s="83">
        <f>IF($G$4="Hours",ROUND(SUMIFS(tblVideos[Length],tblVideos[Day],"&gt;="&amp;DATE($B18,1,1),tblVideos[Day],"&lt;"&amp;DATE($B18,2,1),tblVideos[Channel ID],$T$4)*24,0),COUNTIFS(tblVideos[Day],"&gt;="&amp;DATE($B18,1,1),tblVideos[Day],"&lt;"&amp;DATE($B18,2,1),tblVideos[Channel ID],$T$4))</f>
        <v/>
      </c>
      <c r="D18" s="83">
        <f>IF($G$4="Hours",ROUND(SUMIFS(tblVideos[Length],tblVideos[Day],"&gt;="&amp;DATE($B18,2,1),tblVideos[Day],"&lt;"&amp;DATE($B18,3,1),tblVideos[Channel ID],$T$4)*24,0),COUNTIFS(tblVideos[Day],"&gt;="&amp;DATE($B18,2,1),tblVideos[Day],"&lt;"&amp;DATE($B18,3,1),tblVideos[Channel ID],$T$4))</f>
        <v/>
      </c>
      <c r="E18" s="83">
        <f>IF($G$4="Hours",ROUND(SUMIFS(tblVideos[Length],tblVideos[Day],"&gt;="&amp;DATE($B18,3,1),tblVideos[Day],"&lt;"&amp;DATE($B18,4,1),tblVideos[Channel ID],$T$4)*24,0),COUNTIFS(tblVideos[Day],"&gt;="&amp;DATE($B18,3,1),tblVideos[Day],"&lt;"&amp;DATE($B18,4,1),tblVideos[Channel ID],$T$4))</f>
        <v/>
      </c>
      <c r="F18" s="83">
        <f>IF($G$4="Hours",ROUND(SUMIFS(tblVideos[Length],tblVideos[Day],"&gt;="&amp;DATE($B18,4,1),tblVideos[Day],"&lt;"&amp;DATE($B18,5,1),tblVideos[Channel ID],$T$4)*24,0),COUNTIFS(tblVideos[Day],"&gt;="&amp;DATE($B18,4,1),tblVideos[Day],"&lt;"&amp;DATE($B18,5,1),tblVideos[Channel ID],$T$4))</f>
        <v/>
      </c>
      <c r="G18" s="83">
        <f>IF($G$4="Hours",ROUND(SUMIFS(tblVideos[Length],tblVideos[Day],"&gt;="&amp;DATE($B18,5,1),tblVideos[Day],"&lt;"&amp;DATE($B18,6,1),tblVideos[Channel ID],$T$4)*24,0),COUNTIFS(tblVideos[Day],"&gt;="&amp;DATE($B18,5,1),tblVideos[Day],"&lt;"&amp;DATE($B18,6,1),tblVideos[Channel ID],$T$4))</f>
        <v/>
      </c>
      <c r="H18" s="83">
        <f>IF($G$4="Hours",ROUND(SUMIFS(tblVideos[Length],tblVideos[Day],"&gt;="&amp;DATE($B18,6,1),tblVideos[Day],"&lt;"&amp;DATE($B18,7,1),tblVideos[Channel ID],$T$4)*24,0),COUNTIFS(tblVideos[Day],"&gt;="&amp;DATE($B18,6,1),tblVideos[Day],"&lt;"&amp;DATE($B18,7,1),tblVideos[Channel ID],$T$4))</f>
        <v/>
      </c>
      <c r="I18" s="83">
        <f>IF($G$4="Hours",ROUND(SUMIFS(tblVideos[Length],tblVideos[Day],"&gt;="&amp;DATE($B18,7,1),tblVideos[Day],"&lt;"&amp;DATE($B18,8,1),tblVideos[Channel ID],$T$4)*24,0),COUNTIFS(tblVideos[Day],"&gt;="&amp;DATE($B18,7,1),tblVideos[Day],"&lt;"&amp;DATE($B18,8,1),tblVideos[Channel ID],$T$4))</f>
        <v/>
      </c>
      <c r="J18" s="83">
        <f>IF($G$4="Hours",ROUND(SUMIFS(tblVideos[Length],tblVideos[Day],"&gt;="&amp;DATE($B18,8,1),tblVideos[Day],"&lt;"&amp;DATE($B18,9,1),tblVideos[Channel ID],$T$4)*24,0),COUNTIFS(tblVideos[Day],"&gt;="&amp;DATE($B18,8,1),tblVideos[Day],"&lt;"&amp;DATE($B18,9,1),tblVideos[Channel ID],$T$4))</f>
        <v/>
      </c>
      <c r="K18" s="83">
        <f>IF($G$4="Hours",ROUND(SUMIFS(tblVideos[Length],tblVideos[Day],"&gt;="&amp;DATE($B18,9,1),tblVideos[Day],"&lt;"&amp;DATE($B18,10,1),tblVideos[Channel ID],$T$4)*24,0),COUNTIFS(tblVideos[Day],"&gt;="&amp;DATE($B18,9,1),tblVideos[Day],"&lt;"&amp;DATE($B18,10,1),tblVideos[Channel ID],$T$4))</f>
        <v/>
      </c>
      <c r="L18" s="83">
        <f>IF($G$4="Hours",ROUND(SUMIFS(tblVideos[Length],tblVideos[Day],"&gt;="&amp;DATE($B18,10,1),tblVideos[Day],"&lt;"&amp;DATE($B18,11,1),tblVideos[Channel ID],$T$4)*24,0),COUNTIFS(tblVideos[Day],"&gt;="&amp;DATE($B18,10,1),tblVideos[Day],"&lt;"&amp;DATE($B18,11,1),tblVideos[Channel ID],$T$4))</f>
        <v/>
      </c>
      <c r="M18" s="83">
        <f>IF($G$4="Hours",ROUND(SUMIFS(tblVideos[Length],tblVideos[Day],"&gt;="&amp;DATE($B18,11,1),tblVideos[Day],"&lt;"&amp;DATE($B18,12,1),tblVideos[Channel ID],$T$4)*24,0),COUNTIFS(tblVideos[Day],"&gt;="&amp;DATE($B18,11,1),tblVideos[Day],"&lt;"&amp;DATE($B18,12,1),tblVideos[Channel ID],$T$4))</f>
        <v/>
      </c>
      <c r="N18" s="83">
        <f>IF($G$4="Hours",ROUND(SUMIFS(tblVideos[Length],tblVideos[Day],"&gt;="&amp;DATE($B18,12,1),tblVideos[Day],"&lt;"&amp;DATE($B18,13,1),tblVideos[Channel ID],$T$4)*24,0),COUNTIFS(tblVideos[Day],"&gt;="&amp;DATE($B18,12,1),tblVideos[Day],"&lt;"&amp;DATE($B18,13,1),tblVideos[Channel ID],$T$4))</f>
        <v/>
      </c>
      <c r="O18" s="26">
        <f>SUM(C18:N18)</f>
        <v/>
      </c>
    </row>
    <row r="19">
      <c r="B19" s="82" t="n">
        <v>2023</v>
      </c>
      <c r="C19" s="83">
        <f>IF($G$4="Hours",ROUND(SUMIFS(tblVideos[Length],tblVideos[Day],"&gt;="&amp;DATE($B19,1,1),tblVideos[Day],"&lt;"&amp;DATE($B19,2,1),tblVideos[Channel ID],$T$4)*24,0),COUNTIFS(tblVideos[Day],"&gt;="&amp;DATE($B19,1,1),tblVideos[Day],"&lt;"&amp;DATE($B19,2,1),tblVideos[Channel ID],$T$4))</f>
        <v/>
      </c>
      <c r="D19" s="83">
        <f>IF($G$4="Hours",ROUND(SUMIFS(tblVideos[Length],tblVideos[Day],"&gt;="&amp;DATE($B19,2,1),tblVideos[Day],"&lt;"&amp;DATE($B19,3,1),tblVideos[Channel ID],$T$4)*24,0),COUNTIFS(tblVideos[Day],"&gt;="&amp;DATE($B19,2,1),tblVideos[Day],"&lt;"&amp;DATE($B19,3,1),tblVideos[Channel ID],$T$4))</f>
        <v/>
      </c>
      <c r="E19" s="83">
        <f>IF($G$4="Hours",ROUND(SUMIFS(tblVideos[Length],tblVideos[Day],"&gt;="&amp;DATE($B19,3,1),tblVideos[Day],"&lt;"&amp;DATE($B19,4,1),tblVideos[Channel ID],$T$4)*24,0),COUNTIFS(tblVideos[Day],"&gt;="&amp;DATE($B19,3,1),tblVideos[Day],"&lt;"&amp;DATE($B19,4,1),tblVideos[Channel ID],$T$4))</f>
        <v/>
      </c>
      <c r="F19" s="83">
        <f>IF($G$4="Hours",ROUND(SUMIFS(tblVideos[Length],tblVideos[Day],"&gt;="&amp;DATE($B19,4,1),tblVideos[Day],"&lt;"&amp;DATE($B19,5,1),tblVideos[Channel ID],$T$4)*24,0),COUNTIFS(tblVideos[Day],"&gt;="&amp;DATE($B19,4,1),tblVideos[Day],"&lt;"&amp;DATE($B19,5,1),tblVideos[Channel ID],$T$4))</f>
        <v/>
      </c>
      <c r="G19" s="83">
        <f>IF($G$4="Hours",ROUND(SUMIFS(tblVideos[Length],tblVideos[Day],"&gt;="&amp;DATE($B19,5,1),tblVideos[Day],"&lt;"&amp;DATE($B19,6,1),tblVideos[Channel ID],$T$4)*24,0),COUNTIFS(tblVideos[Day],"&gt;="&amp;DATE($B19,5,1),tblVideos[Day],"&lt;"&amp;DATE($B19,6,1),tblVideos[Channel ID],$T$4))</f>
        <v/>
      </c>
      <c r="H19" s="83">
        <f>IF($G$4="Hours",ROUND(SUMIFS(tblVideos[Length],tblVideos[Day],"&gt;="&amp;DATE($B19,6,1),tblVideos[Day],"&lt;"&amp;DATE($B19,7,1),tblVideos[Channel ID],$T$4)*24,0),COUNTIFS(tblVideos[Day],"&gt;="&amp;DATE($B19,6,1),tblVideos[Day],"&lt;"&amp;DATE($B19,7,1),tblVideos[Channel ID],$T$4))</f>
        <v/>
      </c>
      <c r="I19" s="83">
        <f>IF($G$4="Hours",ROUND(SUMIFS(tblVideos[Length],tblVideos[Day],"&gt;="&amp;DATE($B19,7,1),tblVideos[Day],"&lt;"&amp;DATE($B19,8,1),tblVideos[Channel ID],$T$4)*24,0),COUNTIFS(tblVideos[Day],"&gt;="&amp;DATE($B19,7,1),tblVideos[Day],"&lt;"&amp;DATE($B19,8,1),tblVideos[Channel ID],$T$4))</f>
        <v/>
      </c>
      <c r="J19" s="83">
        <f>IF($G$4="Hours",ROUND(SUMIFS(tblVideos[Length],tblVideos[Day],"&gt;="&amp;DATE($B19,8,1),tblVideos[Day],"&lt;"&amp;DATE($B19,9,1),tblVideos[Channel ID],$T$4)*24,0),COUNTIFS(tblVideos[Day],"&gt;="&amp;DATE($B19,8,1),tblVideos[Day],"&lt;"&amp;DATE($B19,9,1),tblVideos[Channel ID],$T$4))</f>
        <v/>
      </c>
      <c r="K19" s="83">
        <f>IF($G$4="Hours",ROUND(SUMIFS(tblVideos[Length],tblVideos[Day],"&gt;="&amp;DATE($B19,9,1),tblVideos[Day],"&lt;"&amp;DATE($B19,10,1),tblVideos[Channel ID],$T$4)*24,0),COUNTIFS(tblVideos[Day],"&gt;="&amp;DATE($B19,9,1),tblVideos[Day],"&lt;"&amp;DATE($B19,10,1),tblVideos[Channel ID],$T$4))</f>
        <v/>
      </c>
      <c r="L19" s="83">
        <f>IF($G$4="Hours",ROUND(SUMIFS(tblVideos[Length],tblVideos[Day],"&gt;="&amp;DATE($B19,10,1),tblVideos[Day],"&lt;"&amp;DATE($B19,11,1),tblVideos[Channel ID],$T$4)*24,0),COUNTIFS(tblVideos[Day],"&gt;="&amp;DATE($B19,10,1),tblVideos[Day],"&lt;"&amp;DATE($B19,11,1),tblVideos[Channel ID],$T$4))</f>
        <v/>
      </c>
      <c r="M19" s="83">
        <f>IF($G$4="Hours",ROUND(SUMIFS(tblVideos[Length],tblVideos[Day],"&gt;="&amp;DATE($B19,11,1),tblVideos[Day],"&lt;"&amp;DATE($B19,12,1),tblVideos[Channel ID],$T$4)*24,0),COUNTIFS(tblVideos[Day],"&gt;="&amp;DATE($B19,11,1),tblVideos[Day],"&lt;"&amp;DATE($B19,12,1),tblVideos[Channel ID],$T$4))</f>
        <v/>
      </c>
      <c r="N19" s="83">
        <f>IF($G$4="Hours",ROUND(SUMIFS(tblVideos[Length],tblVideos[Day],"&gt;="&amp;DATE($B19,12,1),tblVideos[Day],"&lt;"&amp;DATE($B19,13,1),tblVideos[Channel ID],$T$4)*24,0),COUNTIFS(tblVideos[Day],"&gt;="&amp;DATE($B19,12,1),tblVideos[Day],"&lt;"&amp;DATE($B19,13,1),tblVideos[Channel ID],$T$4))</f>
        <v/>
      </c>
      <c r="O19" s="26">
        <f>SUM(C19:N19)</f>
        <v/>
      </c>
    </row>
    <row r="20">
      <c r="B20" s="82" t="n">
        <v>2024</v>
      </c>
      <c r="C20" s="83">
        <f>IF($G$4="Hours",ROUND(SUMIFS(tblVideos[Length],tblVideos[Day],"&gt;="&amp;DATE($B20,1,1),tblVideos[Day],"&lt;"&amp;DATE($B20,2,1),tblVideos[Channel ID],$T$4)*24,0),COUNTIFS(tblVideos[Day],"&gt;="&amp;DATE($B20,1,1),tblVideos[Day],"&lt;"&amp;DATE($B20,2,1),tblVideos[Channel ID],$T$4))</f>
        <v/>
      </c>
      <c r="D20" s="83">
        <f>IF($G$4="Hours",ROUND(SUMIFS(tblVideos[Length],tblVideos[Day],"&gt;="&amp;DATE($B20,2,1),tblVideos[Day],"&lt;"&amp;DATE($B20,3,1),tblVideos[Channel ID],$T$4)*24,0),COUNTIFS(tblVideos[Day],"&gt;="&amp;DATE($B20,2,1),tblVideos[Day],"&lt;"&amp;DATE($B20,3,1),tblVideos[Channel ID],$T$4))</f>
        <v/>
      </c>
      <c r="E20" s="83">
        <f>IF($G$4="Hours",ROUND(SUMIFS(tblVideos[Length],tblVideos[Day],"&gt;="&amp;DATE($B20,3,1),tblVideos[Day],"&lt;"&amp;DATE($B20,4,1),tblVideos[Channel ID],$T$4)*24,0),COUNTIFS(tblVideos[Day],"&gt;="&amp;DATE($B20,3,1),tblVideos[Day],"&lt;"&amp;DATE($B20,4,1),tblVideos[Channel ID],$T$4))</f>
        <v/>
      </c>
      <c r="F20" s="83">
        <f>IF($G$4="Hours",ROUND(SUMIFS(tblVideos[Length],tblVideos[Day],"&gt;="&amp;DATE($B20,4,1),tblVideos[Day],"&lt;"&amp;DATE($B20,5,1),tblVideos[Channel ID],$T$4)*24,0),COUNTIFS(tblVideos[Day],"&gt;="&amp;DATE($B20,4,1),tblVideos[Day],"&lt;"&amp;DATE($B20,5,1),tblVideos[Channel ID],$T$4))</f>
        <v/>
      </c>
      <c r="G20" s="83">
        <f>IF($G$4="Hours",ROUND(SUMIFS(tblVideos[Length],tblVideos[Day],"&gt;="&amp;DATE($B20,5,1),tblVideos[Day],"&lt;"&amp;DATE($B20,6,1),tblVideos[Channel ID],$T$4)*24,0),COUNTIFS(tblVideos[Day],"&gt;="&amp;DATE($B20,5,1),tblVideos[Day],"&lt;"&amp;DATE($B20,6,1),tblVideos[Channel ID],$T$4))</f>
        <v/>
      </c>
      <c r="H20" s="83">
        <f>IF($G$4="Hours",ROUND(SUMIFS(tblVideos[Length],tblVideos[Day],"&gt;="&amp;DATE($B20,6,1),tblVideos[Day],"&lt;"&amp;DATE($B20,7,1),tblVideos[Channel ID],$T$4)*24,0),COUNTIFS(tblVideos[Day],"&gt;="&amp;DATE($B20,6,1),tblVideos[Day],"&lt;"&amp;DATE($B20,7,1),tblVideos[Channel ID],$T$4))</f>
        <v/>
      </c>
      <c r="I20" s="83">
        <f>IF($G$4="Hours",ROUND(SUMIFS(tblVideos[Length],tblVideos[Day],"&gt;="&amp;DATE($B20,7,1),tblVideos[Day],"&lt;"&amp;DATE($B20,8,1),tblVideos[Channel ID],$T$4)*24,0),COUNTIFS(tblVideos[Day],"&gt;="&amp;DATE($B20,7,1),tblVideos[Day],"&lt;"&amp;DATE($B20,8,1),tblVideos[Channel ID],$T$4))</f>
        <v/>
      </c>
      <c r="J20" s="83">
        <f>IF($G$4="Hours",ROUND(SUMIFS(tblVideos[Length],tblVideos[Day],"&gt;="&amp;DATE($B20,8,1),tblVideos[Day],"&lt;"&amp;DATE($B20,9,1),tblVideos[Channel ID],$T$4)*24,0),COUNTIFS(tblVideos[Day],"&gt;="&amp;DATE($B20,8,1),tblVideos[Day],"&lt;"&amp;DATE($B20,9,1),tblVideos[Channel ID],$T$4))</f>
        <v/>
      </c>
      <c r="K20" s="83">
        <f>IF($G$4="Hours",ROUND(SUMIFS(tblVideos[Length],tblVideos[Day],"&gt;="&amp;DATE($B20,9,1),tblVideos[Day],"&lt;"&amp;DATE($B20,10,1),tblVideos[Channel ID],$T$4)*24,0),COUNTIFS(tblVideos[Day],"&gt;="&amp;DATE($B20,9,1),tblVideos[Day],"&lt;"&amp;DATE($B20,10,1),tblVideos[Channel ID],$T$4))</f>
        <v/>
      </c>
      <c r="L20" s="83">
        <f>IF($G$4="Hours",ROUND(SUMIFS(tblVideos[Length],tblVideos[Day],"&gt;="&amp;DATE($B20,10,1),tblVideos[Day],"&lt;"&amp;DATE($B20,11,1),tblVideos[Channel ID],$T$4)*24,0),COUNTIFS(tblVideos[Day],"&gt;="&amp;DATE($B20,10,1),tblVideos[Day],"&lt;"&amp;DATE($B20,11,1),tblVideos[Channel ID],$T$4))</f>
        <v/>
      </c>
      <c r="M20" s="83">
        <f>IF($G$4="Hours",ROUND(SUMIFS(tblVideos[Length],tblVideos[Day],"&gt;="&amp;DATE($B20,11,1),tblVideos[Day],"&lt;"&amp;DATE($B20,12,1),tblVideos[Channel ID],$T$4)*24,0),COUNTIFS(tblVideos[Day],"&gt;="&amp;DATE($B20,11,1),tblVideos[Day],"&lt;"&amp;DATE($B20,12,1),tblVideos[Channel ID],$T$4))</f>
        <v/>
      </c>
      <c r="N20" s="83">
        <f>IF($G$4="Hours",ROUND(SUMIFS(tblVideos[Length],tblVideos[Day],"&gt;="&amp;DATE($B20,12,1),tblVideos[Day],"&lt;"&amp;DATE($B20,13,1),tblVideos[Channel ID],$T$4)*24,0),COUNTIFS(tblVideos[Day],"&gt;="&amp;DATE($B20,12,1),tblVideos[Day],"&lt;"&amp;DATE($B20,13,1),tblVideos[Channel ID],$T$4))</f>
        <v/>
      </c>
      <c r="O20" s="26">
        <f>SUM(C20:N20)</f>
        <v/>
      </c>
    </row>
    <row r="21">
      <c r="B21" s="82" t="n">
        <v>2025</v>
      </c>
      <c r="C21" s="83">
        <f>IF($G$4="Hours",ROUND(SUMIFS(tblVideos[Length],tblVideos[Day],"&gt;="&amp;DATE($B21,1,1),tblVideos[Day],"&lt;"&amp;DATE($B21,2,1),tblVideos[Channel ID],$T$4)*24,0),COUNTIFS(tblVideos[Day],"&gt;="&amp;DATE($B21,1,1),tblVideos[Day],"&lt;"&amp;DATE($B21,2,1),tblVideos[Channel ID],$T$4))</f>
        <v/>
      </c>
      <c r="D21" s="83">
        <f>IF($G$4="Hours",ROUND(SUMIFS(tblVideos[Length],tblVideos[Day],"&gt;="&amp;DATE($B21,2,1),tblVideos[Day],"&lt;"&amp;DATE($B21,3,1),tblVideos[Channel ID],$T$4)*24,0),COUNTIFS(tblVideos[Day],"&gt;="&amp;DATE($B21,2,1),tblVideos[Day],"&lt;"&amp;DATE($B21,3,1),tblVideos[Channel ID],$T$4))</f>
        <v/>
      </c>
      <c r="E21" s="83">
        <f>IF($G$4="Hours",ROUND(SUMIFS(tblVideos[Length],tblVideos[Day],"&gt;="&amp;DATE($B21,3,1),tblVideos[Day],"&lt;"&amp;DATE($B21,4,1),tblVideos[Channel ID],$T$4)*24,0),COUNTIFS(tblVideos[Day],"&gt;="&amp;DATE($B21,3,1),tblVideos[Day],"&lt;"&amp;DATE($B21,4,1),tblVideos[Channel ID],$T$4))</f>
        <v/>
      </c>
      <c r="F21" s="83">
        <f>IF($G$4="Hours",ROUND(SUMIFS(tblVideos[Length],tblVideos[Day],"&gt;="&amp;DATE($B21,4,1),tblVideos[Day],"&lt;"&amp;DATE($B21,5,1),tblVideos[Channel ID],$T$4)*24,0),COUNTIFS(tblVideos[Day],"&gt;="&amp;DATE($B21,4,1),tblVideos[Day],"&lt;"&amp;DATE($B21,5,1),tblVideos[Channel ID],$T$4))</f>
        <v/>
      </c>
      <c r="G21" s="83">
        <f>IF($G$4="Hours",ROUND(SUMIFS(tblVideos[Length],tblVideos[Day],"&gt;="&amp;DATE($B21,5,1),tblVideos[Day],"&lt;"&amp;DATE($B21,6,1),tblVideos[Channel ID],$T$4)*24,0),COUNTIFS(tblVideos[Day],"&gt;="&amp;DATE($B21,5,1),tblVideos[Day],"&lt;"&amp;DATE($B21,6,1),tblVideos[Channel ID],$T$4))</f>
        <v/>
      </c>
      <c r="H21" s="83">
        <f>IF($G$4="Hours",ROUND(SUMIFS(tblVideos[Length],tblVideos[Day],"&gt;="&amp;DATE($B21,6,1),tblVideos[Day],"&lt;"&amp;DATE($B21,7,1),tblVideos[Channel ID],$T$4)*24,0),COUNTIFS(tblVideos[Day],"&gt;="&amp;DATE($B21,6,1),tblVideos[Day],"&lt;"&amp;DATE($B21,7,1),tblVideos[Channel ID],$T$4))</f>
        <v/>
      </c>
      <c r="I21" s="83">
        <f>IF($G$4="Hours",ROUND(SUMIFS(tblVideos[Length],tblVideos[Day],"&gt;="&amp;DATE($B21,7,1),tblVideos[Day],"&lt;"&amp;DATE($B21,8,1),tblVideos[Channel ID],$T$4)*24,0),COUNTIFS(tblVideos[Day],"&gt;="&amp;DATE($B21,7,1),tblVideos[Day],"&lt;"&amp;DATE($B21,8,1),tblVideos[Channel ID],$T$4))</f>
        <v/>
      </c>
      <c r="J21" s="83">
        <f>IF($G$4="Hours",ROUND(SUMIFS(tblVideos[Length],tblVideos[Day],"&gt;="&amp;DATE($B21,8,1),tblVideos[Day],"&lt;"&amp;DATE($B21,9,1),tblVideos[Channel ID],$T$4)*24,0),COUNTIFS(tblVideos[Day],"&gt;="&amp;DATE($B21,8,1),tblVideos[Day],"&lt;"&amp;DATE($B21,9,1),tblVideos[Channel ID],$T$4))</f>
        <v/>
      </c>
      <c r="K21" s="83">
        <f>IF($G$4="Hours",ROUND(SUMIFS(tblVideos[Length],tblVideos[Day],"&gt;="&amp;DATE($B21,9,1),tblVideos[Day],"&lt;"&amp;DATE($B21,10,1),tblVideos[Channel ID],$T$4)*24,0),COUNTIFS(tblVideos[Day],"&gt;="&amp;DATE($B21,9,1),tblVideos[Day],"&lt;"&amp;DATE($B21,10,1),tblVideos[Channel ID],$T$4))</f>
        <v/>
      </c>
      <c r="L21" s="83">
        <f>IF($G$4="Hours",ROUND(SUMIFS(tblVideos[Length],tblVideos[Day],"&gt;="&amp;DATE($B21,10,1),tblVideos[Day],"&lt;"&amp;DATE($B21,11,1),tblVideos[Channel ID],$T$4)*24,0),COUNTIFS(tblVideos[Day],"&gt;="&amp;DATE($B21,10,1),tblVideos[Day],"&lt;"&amp;DATE($B21,11,1),tblVideos[Channel ID],$T$4))</f>
        <v/>
      </c>
      <c r="M21" s="83">
        <f>IF($G$4="Hours",ROUND(SUMIFS(tblVideos[Length],tblVideos[Day],"&gt;="&amp;DATE($B21,11,1),tblVideos[Day],"&lt;"&amp;DATE($B21,12,1),tblVideos[Channel ID],$T$4)*24,0),COUNTIFS(tblVideos[Day],"&gt;="&amp;DATE($B21,11,1),tblVideos[Day],"&lt;"&amp;DATE($B21,12,1),tblVideos[Channel ID],$T$4))</f>
        <v/>
      </c>
      <c r="N21" s="83">
        <f>IF($G$4="Hours",ROUND(SUMIFS(tblVideos[Length],tblVideos[Day],"&gt;="&amp;DATE($B21,12,1),tblVideos[Day],"&lt;"&amp;DATE($B21,13,1),tblVideos[Channel ID],$T$4)*24,0),COUNTIFS(tblVideos[Day],"&gt;="&amp;DATE($B21,12,1),tblVideos[Day],"&lt;"&amp;DATE($B21,13,1),tblVideos[Channel ID],$T$4))</f>
        <v/>
      </c>
      <c r="O21" s="26">
        <f>SUM(C21:N21)</f>
        <v/>
      </c>
    </row>
    <row r="22">
      <c r="B22" s="82" t="n">
        <v>2026</v>
      </c>
      <c r="C22" s="83">
        <f>IF($G$4="Hours",ROUND(SUMIFS(tblVideos[Length],tblVideos[Day],"&gt;="&amp;DATE($B22,1,1),tblVideos[Day],"&lt;"&amp;DATE($B22,2,1),tblVideos[Channel ID],$T$4)*24,0),COUNTIFS(tblVideos[Day],"&gt;="&amp;DATE($B22,1,1),tblVideos[Day],"&lt;"&amp;DATE($B22,2,1),tblVideos[Channel ID],$T$4))</f>
        <v/>
      </c>
      <c r="D22" s="83">
        <f>IF($G$4="Hours",ROUND(SUMIFS(tblVideos[Length],tblVideos[Day],"&gt;="&amp;DATE($B22,2,1),tblVideos[Day],"&lt;"&amp;DATE($B22,3,1),tblVideos[Channel ID],$T$4)*24,0),COUNTIFS(tblVideos[Day],"&gt;="&amp;DATE($B22,2,1),tblVideos[Day],"&lt;"&amp;DATE($B22,3,1),tblVideos[Channel ID],$T$4))</f>
        <v/>
      </c>
      <c r="E22" s="83">
        <f>IF($G$4="Hours",ROUND(SUMIFS(tblVideos[Length],tblVideos[Day],"&gt;="&amp;DATE($B22,3,1),tblVideos[Day],"&lt;"&amp;DATE($B22,4,1),tblVideos[Channel ID],$T$4)*24,0),COUNTIFS(tblVideos[Day],"&gt;="&amp;DATE($B22,3,1),tblVideos[Day],"&lt;"&amp;DATE($B22,4,1),tblVideos[Channel ID],$T$4))</f>
        <v/>
      </c>
      <c r="F22" s="83">
        <f>IF($G$4="Hours",ROUND(SUMIFS(tblVideos[Length],tblVideos[Day],"&gt;="&amp;DATE($B22,4,1),tblVideos[Day],"&lt;"&amp;DATE($B22,5,1),tblVideos[Channel ID],$T$4)*24,0),COUNTIFS(tblVideos[Day],"&gt;="&amp;DATE($B22,4,1),tblVideos[Day],"&lt;"&amp;DATE($B22,5,1),tblVideos[Channel ID],$T$4))</f>
        <v/>
      </c>
      <c r="G22" s="83">
        <f>IF($G$4="Hours",ROUND(SUMIFS(tblVideos[Length],tblVideos[Day],"&gt;="&amp;DATE($B22,5,1),tblVideos[Day],"&lt;"&amp;DATE($B22,6,1),tblVideos[Channel ID],$T$4)*24,0),COUNTIFS(tblVideos[Day],"&gt;="&amp;DATE($B22,5,1),tblVideos[Day],"&lt;"&amp;DATE($B22,6,1),tblVideos[Channel ID],$T$4))</f>
        <v/>
      </c>
      <c r="H22" s="83">
        <f>IF($G$4="Hours",ROUND(SUMIFS(tblVideos[Length],tblVideos[Day],"&gt;="&amp;DATE($B22,6,1),tblVideos[Day],"&lt;"&amp;DATE($B22,7,1),tblVideos[Channel ID],$T$4)*24,0),COUNTIFS(tblVideos[Day],"&gt;="&amp;DATE($B22,6,1),tblVideos[Day],"&lt;"&amp;DATE($B22,7,1),tblVideos[Channel ID],$T$4))</f>
        <v/>
      </c>
      <c r="I22" s="83">
        <f>IF($G$4="Hours",ROUND(SUMIFS(tblVideos[Length],tblVideos[Day],"&gt;="&amp;DATE($B22,7,1),tblVideos[Day],"&lt;"&amp;DATE($B22,8,1),tblVideos[Channel ID],$T$4)*24,0),COUNTIFS(tblVideos[Day],"&gt;="&amp;DATE($B22,7,1),tblVideos[Day],"&lt;"&amp;DATE($B22,8,1),tblVideos[Channel ID],$T$4))</f>
        <v/>
      </c>
      <c r="J22" s="83">
        <f>IF($G$4="Hours",ROUND(SUMIFS(tblVideos[Length],tblVideos[Day],"&gt;="&amp;DATE($B22,8,1),tblVideos[Day],"&lt;"&amp;DATE($B22,9,1),tblVideos[Channel ID],$T$4)*24,0),COUNTIFS(tblVideos[Day],"&gt;="&amp;DATE($B22,8,1),tblVideos[Day],"&lt;"&amp;DATE($B22,9,1),tblVideos[Channel ID],$T$4))</f>
        <v/>
      </c>
      <c r="K22" s="83">
        <f>IF($G$4="Hours",ROUND(SUMIFS(tblVideos[Length],tblVideos[Day],"&gt;="&amp;DATE($B22,9,1),tblVideos[Day],"&lt;"&amp;DATE($B22,10,1),tblVideos[Channel ID],$T$4)*24,0),COUNTIFS(tblVideos[Day],"&gt;="&amp;DATE($B22,9,1),tblVideos[Day],"&lt;"&amp;DATE($B22,10,1),tblVideos[Channel ID],$T$4))</f>
        <v/>
      </c>
      <c r="L22" s="83">
        <f>IF($G$4="Hours",ROUND(SUMIFS(tblVideos[Length],tblVideos[Day],"&gt;="&amp;DATE($B22,10,1),tblVideos[Day],"&lt;"&amp;DATE($B22,11,1),tblVideos[Channel ID],$T$4)*24,0),COUNTIFS(tblVideos[Day],"&gt;="&amp;DATE($B22,10,1),tblVideos[Day],"&lt;"&amp;DATE($B22,11,1),tblVideos[Channel ID],$T$4))</f>
        <v/>
      </c>
      <c r="M22" s="83">
        <f>IF($G$4="Hours",ROUND(SUMIFS(tblVideos[Length],tblVideos[Day],"&gt;="&amp;DATE($B22,11,1),tblVideos[Day],"&lt;"&amp;DATE($B22,12,1),tblVideos[Channel ID],$T$4)*24,0),COUNTIFS(tblVideos[Day],"&gt;="&amp;DATE($B22,11,1),tblVideos[Day],"&lt;"&amp;DATE($B22,12,1),tblVideos[Channel ID],$T$4))</f>
        <v/>
      </c>
      <c r="N22" s="83">
        <f>IF($G$4="Hours",ROUND(SUMIFS(tblVideos[Length],tblVideos[Day],"&gt;="&amp;DATE($B22,12,1),tblVideos[Day],"&lt;"&amp;DATE($B22,13,1),tblVideos[Channel ID],$T$4)*24,0),COUNTIFS(tblVideos[Day],"&gt;="&amp;DATE($B22,12,1),tblVideos[Day],"&lt;"&amp;DATE($B22,13,1),tblVideos[Channel ID],$T$4))</f>
        <v/>
      </c>
      <c r="O22" s="26">
        <f>SUM(C22:N22)</f>
        <v/>
      </c>
    </row>
    <row r="23">
      <c r="B23" s="84" t="inlineStr">
        <is>
          <t>All years</t>
        </is>
      </c>
      <c r="C23" s="26">
        <f>SUM(C8:C22)</f>
        <v/>
      </c>
      <c r="D23" s="26">
        <f>SUM(D8:D22)</f>
        <v/>
      </c>
      <c r="E23" s="26">
        <f>SUM(E8:E22)</f>
        <v/>
      </c>
      <c r="F23" s="26">
        <f>SUM(F8:F22)</f>
        <v/>
      </c>
      <c r="G23" s="26">
        <f>SUM(G8:G22)</f>
        <v/>
      </c>
      <c r="H23" s="26">
        <f>SUM(H8:H22)</f>
        <v/>
      </c>
      <c r="I23" s="26">
        <f>SUM(I8:I22)</f>
        <v/>
      </c>
      <c r="J23" s="26">
        <f>SUM(J8:J22)</f>
        <v/>
      </c>
      <c r="K23" s="26">
        <f>SUM(K8:K22)</f>
        <v/>
      </c>
      <c r="L23" s="26">
        <f>SUM(L8:L22)</f>
        <v/>
      </c>
      <c r="M23" s="26">
        <f>SUM(M8:M22)</f>
        <v/>
      </c>
      <c r="N23" s="26">
        <f>SUM(N8:N22)</f>
        <v/>
      </c>
      <c r="O23" s="26">
        <f>SUM(O8:O22)</f>
        <v/>
      </c>
    </row>
    <row r="26" ht="20" customHeight="1">
      <c r="B26" s="10">
        <f>"Year view  -  "&amp;$K$4</f>
        <v/>
      </c>
      <c r="C26" s="11" t="n"/>
      <c r="D26" s="11" t="n"/>
      <c r="E26" s="11" t="n"/>
      <c r="F26" s="11" t="n"/>
      <c r="G26" s="11" t="n"/>
      <c r="H26" s="11" t="n"/>
      <c r="I26" s="11" t="n"/>
      <c r="J26" s="11" t="n"/>
      <c r="K26" s="11" t="n"/>
      <c r="L26" s="11" t="n"/>
      <c r="M26" s="11" t="n"/>
      <c r="N26" s="11" t="n"/>
      <c r="O26" s="11" t="n"/>
    </row>
    <row r="27" ht="46" customHeight="1">
      <c r="B27" s="12" t="inlineStr">
        <is>
          <t>Month</t>
        </is>
      </c>
      <c r="C27" s="85">
        <f>Channels!$C$6</f>
        <v/>
      </c>
      <c r="D27" s="86">
        <f>Channels!$C$7</f>
        <v/>
      </c>
      <c r="E27" s="87">
        <f>Channels!$C$8</f>
        <v/>
      </c>
      <c r="F27" s="88">
        <f>Channels!$C$9</f>
        <v/>
      </c>
      <c r="G27" s="89">
        <f>Channels!$C$10</f>
        <v/>
      </c>
      <c r="H27" s="90">
        <f>Channels!$C$11</f>
        <v/>
      </c>
      <c r="I27" s="12" t="inlineStr">
        <is>
          <t>Total</t>
        </is>
      </c>
      <c r="J27" s="12" t="inlineStr">
        <is>
          <t>Time</t>
        </is>
      </c>
    </row>
    <row r="28">
      <c r="B28" s="73" t="inlineStr">
        <is>
          <t>January</t>
        </is>
      </c>
      <c r="C28" s="83">
        <f>COUNTIFS(tblVideos[Day],"&gt;="&amp;DATE($K$4,1,1),tblVideos[Day],"&lt;"&amp;DATE($K$4,2,1),tblVideos[Channel ID],Channels!$E$6)</f>
        <v/>
      </c>
      <c r="D28" s="83">
        <f>COUNTIFS(tblVideos[Day],"&gt;="&amp;DATE($K$4,1,1),tblVideos[Day],"&lt;"&amp;DATE($K$4,2,1),tblVideos[Channel ID],Channels!$E$7)</f>
        <v/>
      </c>
      <c r="E28" s="83">
        <f>COUNTIFS(tblVideos[Day],"&gt;="&amp;DATE($K$4,1,1),tblVideos[Day],"&lt;"&amp;DATE($K$4,2,1),tblVideos[Channel ID],Channels!$E$8)</f>
        <v/>
      </c>
      <c r="F28" s="83">
        <f>COUNTIFS(tblVideos[Day],"&gt;="&amp;DATE($K$4,1,1),tblVideos[Day],"&lt;"&amp;DATE($K$4,2,1),tblVideos[Channel ID],Channels!$E$9)</f>
        <v/>
      </c>
      <c r="G28" s="83">
        <f>COUNTIFS(tblVideos[Day],"&gt;="&amp;DATE($K$4,1,1),tblVideos[Day],"&lt;"&amp;DATE($K$4,2,1),tblVideos[Channel ID],Channels!$E$10)</f>
        <v/>
      </c>
      <c r="H28" s="83">
        <f>COUNTIFS(tblVideos[Day],"&gt;="&amp;DATE($K$4,1,1),tblVideos[Day],"&lt;"&amp;DATE($K$4,2,1),tblVideos[Channel ID],Channels!$E$11)</f>
        <v/>
      </c>
      <c r="I28" s="91">
        <f>SUM(C28:H28)</f>
        <v/>
      </c>
      <c r="J28" s="92">
        <f>SUMIFS(tblVideos[Length],tblVideos[Day],"&gt;="&amp;DATE($K$4,1,1),tblVideos[Day],"&lt;"&amp;DATE($K$4,2,1))</f>
        <v/>
      </c>
    </row>
    <row r="29">
      <c r="B29" s="73" t="inlineStr">
        <is>
          <t>February</t>
        </is>
      </c>
      <c r="C29" s="83">
        <f>COUNTIFS(tblVideos[Day],"&gt;="&amp;DATE($K$4,2,1),tblVideos[Day],"&lt;"&amp;DATE($K$4,3,1),tblVideos[Channel ID],Channels!$E$6)</f>
        <v/>
      </c>
      <c r="D29" s="83">
        <f>COUNTIFS(tblVideos[Day],"&gt;="&amp;DATE($K$4,2,1),tblVideos[Day],"&lt;"&amp;DATE($K$4,3,1),tblVideos[Channel ID],Channels!$E$7)</f>
        <v/>
      </c>
      <c r="E29" s="83">
        <f>COUNTIFS(tblVideos[Day],"&gt;="&amp;DATE($K$4,2,1),tblVideos[Day],"&lt;"&amp;DATE($K$4,3,1),tblVideos[Channel ID],Channels!$E$8)</f>
        <v/>
      </c>
      <c r="F29" s="83">
        <f>COUNTIFS(tblVideos[Day],"&gt;="&amp;DATE($K$4,2,1),tblVideos[Day],"&lt;"&amp;DATE($K$4,3,1),tblVideos[Channel ID],Channels!$E$9)</f>
        <v/>
      </c>
      <c r="G29" s="83">
        <f>COUNTIFS(tblVideos[Day],"&gt;="&amp;DATE($K$4,2,1),tblVideos[Day],"&lt;"&amp;DATE($K$4,3,1),tblVideos[Channel ID],Channels!$E$10)</f>
        <v/>
      </c>
      <c r="H29" s="83">
        <f>COUNTIFS(tblVideos[Day],"&gt;="&amp;DATE($K$4,2,1),tblVideos[Day],"&lt;"&amp;DATE($K$4,3,1),tblVideos[Channel ID],Channels!$E$11)</f>
        <v/>
      </c>
      <c r="I29" s="91">
        <f>SUM(C29:H29)</f>
        <v/>
      </c>
      <c r="J29" s="92">
        <f>SUMIFS(tblVideos[Length],tblVideos[Day],"&gt;="&amp;DATE($K$4,2,1),tblVideos[Day],"&lt;"&amp;DATE($K$4,3,1))</f>
        <v/>
      </c>
    </row>
    <row r="30">
      <c r="B30" s="73" t="inlineStr">
        <is>
          <t>March</t>
        </is>
      </c>
      <c r="C30" s="83">
        <f>COUNTIFS(tblVideos[Day],"&gt;="&amp;DATE($K$4,3,1),tblVideos[Day],"&lt;"&amp;DATE($K$4,4,1),tblVideos[Channel ID],Channels!$E$6)</f>
        <v/>
      </c>
      <c r="D30" s="83">
        <f>COUNTIFS(tblVideos[Day],"&gt;="&amp;DATE($K$4,3,1),tblVideos[Day],"&lt;"&amp;DATE($K$4,4,1),tblVideos[Channel ID],Channels!$E$7)</f>
        <v/>
      </c>
      <c r="E30" s="83">
        <f>COUNTIFS(tblVideos[Day],"&gt;="&amp;DATE($K$4,3,1),tblVideos[Day],"&lt;"&amp;DATE($K$4,4,1),tblVideos[Channel ID],Channels!$E$8)</f>
        <v/>
      </c>
      <c r="F30" s="83">
        <f>COUNTIFS(tblVideos[Day],"&gt;="&amp;DATE($K$4,3,1),tblVideos[Day],"&lt;"&amp;DATE($K$4,4,1),tblVideos[Channel ID],Channels!$E$9)</f>
        <v/>
      </c>
      <c r="G30" s="83">
        <f>COUNTIFS(tblVideos[Day],"&gt;="&amp;DATE($K$4,3,1),tblVideos[Day],"&lt;"&amp;DATE($K$4,4,1),tblVideos[Channel ID],Channels!$E$10)</f>
        <v/>
      </c>
      <c r="H30" s="83">
        <f>COUNTIFS(tblVideos[Day],"&gt;="&amp;DATE($K$4,3,1),tblVideos[Day],"&lt;"&amp;DATE($K$4,4,1),tblVideos[Channel ID],Channels!$E$11)</f>
        <v/>
      </c>
      <c r="I30" s="91">
        <f>SUM(C30:H30)</f>
        <v/>
      </c>
      <c r="J30" s="92">
        <f>SUMIFS(tblVideos[Length],tblVideos[Day],"&gt;="&amp;DATE($K$4,3,1),tblVideos[Day],"&lt;"&amp;DATE($K$4,4,1))</f>
        <v/>
      </c>
    </row>
    <row r="31">
      <c r="B31" s="73" t="inlineStr">
        <is>
          <t>April</t>
        </is>
      </c>
      <c r="C31" s="83">
        <f>COUNTIFS(tblVideos[Day],"&gt;="&amp;DATE($K$4,4,1),tblVideos[Day],"&lt;"&amp;DATE($K$4,5,1),tblVideos[Channel ID],Channels!$E$6)</f>
        <v/>
      </c>
      <c r="D31" s="83">
        <f>COUNTIFS(tblVideos[Day],"&gt;="&amp;DATE($K$4,4,1),tblVideos[Day],"&lt;"&amp;DATE($K$4,5,1),tblVideos[Channel ID],Channels!$E$7)</f>
        <v/>
      </c>
      <c r="E31" s="83">
        <f>COUNTIFS(tblVideos[Day],"&gt;="&amp;DATE($K$4,4,1),tblVideos[Day],"&lt;"&amp;DATE($K$4,5,1),tblVideos[Channel ID],Channels!$E$8)</f>
        <v/>
      </c>
      <c r="F31" s="83">
        <f>COUNTIFS(tblVideos[Day],"&gt;="&amp;DATE($K$4,4,1),tblVideos[Day],"&lt;"&amp;DATE($K$4,5,1),tblVideos[Channel ID],Channels!$E$9)</f>
        <v/>
      </c>
      <c r="G31" s="83">
        <f>COUNTIFS(tblVideos[Day],"&gt;="&amp;DATE($K$4,4,1),tblVideos[Day],"&lt;"&amp;DATE($K$4,5,1),tblVideos[Channel ID],Channels!$E$10)</f>
        <v/>
      </c>
      <c r="H31" s="83">
        <f>COUNTIFS(tblVideos[Day],"&gt;="&amp;DATE($K$4,4,1),tblVideos[Day],"&lt;"&amp;DATE($K$4,5,1),tblVideos[Channel ID],Channels!$E$11)</f>
        <v/>
      </c>
      <c r="I31" s="91">
        <f>SUM(C31:H31)</f>
        <v/>
      </c>
      <c r="J31" s="92">
        <f>SUMIFS(tblVideos[Length],tblVideos[Day],"&gt;="&amp;DATE($K$4,4,1),tblVideos[Day],"&lt;"&amp;DATE($K$4,5,1))</f>
        <v/>
      </c>
    </row>
    <row r="32">
      <c r="B32" s="73" t="inlineStr">
        <is>
          <t>May</t>
        </is>
      </c>
      <c r="C32" s="83">
        <f>COUNTIFS(tblVideos[Day],"&gt;="&amp;DATE($K$4,5,1),tblVideos[Day],"&lt;"&amp;DATE($K$4,6,1),tblVideos[Channel ID],Channels!$E$6)</f>
        <v/>
      </c>
      <c r="D32" s="83">
        <f>COUNTIFS(tblVideos[Day],"&gt;="&amp;DATE($K$4,5,1),tblVideos[Day],"&lt;"&amp;DATE($K$4,6,1),tblVideos[Channel ID],Channels!$E$7)</f>
        <v/>
      </c>
      <c r="E32" s="83">
        <f>COUNTIFS(tblVideos[Day],"&gt;="&amp;DATE($K$4,5,1),tblVideos[Day],"&lt;"&amp;DATE($K$4,6,1),tblVideos[Channel ID],Channels!$E$8)</f>
        <v/>
      </c>
      <c r="F32" s="83">
        <f>COUNTIFS(tblVideos[Day],"&gt;="&amp;DATE($K$4,5,1),tblVideos[Day],"&lt;"&amp;DATE($K$4,6,1),tblVideos[Channel ID],Channels!$E$9)</f>
        <v/>
      </c>
      <c r="G32" s="83">
        <f>COUNTIFS(tblVideos[Day],"&gt;="&amp;DATE($K$4,5,1),tblVideos[Day],"&lt;"&amp;DATE($K$4,6,1),tblVideos[Channel ID],Channels!$E$10)</f>
        <v/>
      </c>
      <c r="H32" s="83">
        <f>COUNTIFS(tblVideos[Day],"&gt;="&amp;DATE($K$4,5,1),tblVideos[Day],"&lt;"&amp;DATE($K$4,6,1),tblVideos[Channel ID],Channels!$E$11)</f>
        <v/>
      </c>
      <c r="I32" s="91">
        <f>SUM(C32:H32)</f>
        <v/>
      </c>
      <c r="J32" s="92">
        <f>SUMIFS(tblVideos[Length],tblVideos[Day],"&gt;="&amp;DATE($K$4,5,1),tblVideos[Day],"&lt;"&amp;DATE($K$4,6,1))</f>
        <v/>
      </c>
    </row>
    <row r="33">
      <c r="B33" s="73" t="inlineStr">
        <is>
          <t>June</t>
        </is>
      </c>
      <c r="C33" s="83">
        <f>COUNTIFS(tblVideos[Day],"&gt;="&amp;DATE($K$4,6,1),tblVideos[Day],"&lt;"&amp;DATE($K$4,7,1),tblVideos[Channel ID],Channels!$E$6)</f>
        <v/>
      </c>
      <c r="D33" s="83">
        <f>COUNTIFS(tblVideos[Day],"&gt;="&amp;DATE($K$4,6,1),tblVideos[Day],"&lt;"&amp;DATE($K$4,7,1),tblVideos[Channel ID],Channels!$E$7)</f>
        <v/>
      </c>
      <c r="E33" s="83">
        <f>COUNTIFS(tblVideos[Day],"&gt;="&amp;DATE($K$4,6,1),tblVideos[Day],"&lt;"&amp;DATE($K$4,7,1),tblVideos[Channel ID],Channels!$E$8)</f>
        <v/>
      </c>
      <c r="F33" s="83">
        <f>COUNTIFS(tblVideos[Day],"&gt;="&amp;DATE($K$4,6,1),tblVideos[Day],"&lt;"&amp;DATE($K$4,7,1),tblVideos[Channel ID],Channels!$E$9)</f>
        <v/>
      </c>
      <c r="G33" s="83">
        <f>COUNTIFS(tblVideos[Day],"&gt;="&amp;DATE($K$4,6,1),tblVideos[Day],"&lt;"&amp;DATE($K$4,7,1),tblVideos[Channel ID],Channels!$E$10)</f>
        <v/>
      </c>
      <c r="H33" s="83">
        <f>COUNTIFS(tblVideos[Day],"&gt;="&amp;DATE($K$4,6,1),tblVideos[Day],"&lt;"&amp;DATE($K$4,7,1),tblVideos[Channel ID],Channels!$E$11)</f>
        <v/>
      </c>
      <c r="I33" s="91">
        <f>SUM(C33:H33)</f>
        <v/>
      </c>
      <c r="J33" s="92">
        <f>SUMIFS(tblVideos[Length],tblVideos[Day],"&gt;="&amp;DATE($K$4,6,1),tblVideos[Day],"&lt;"&amp;DATE($K$4,7,1))</f>
        <v/>
      </c>
    </row>
    <row r="34">
      <c r="B34" s="73" t="inlineStr">
        <is>
          <t>July</t>
        </is>
      </c>
      <c r="C34" s="83">
        <f>COUNTIFS(tblVideos[Day],"&gt;="&amp;DATE($K$4,7,1),tblVideos[Day],"&lt;"&amp;DATE($K$4,8,1),tblVideos[Channel ID],Channels!$E$6)</f>
        <v/>
      </c>
      <c r="D34" s="83">
        <f>COUNTIFS(tblVideos[Day],"&gt;="&amp;DATE($K$4,7,1),tblVideos[Day],"&lt;"&amp;DATE($K$4,8,1),tblVideos[Channel ID],Channels!$E$7)</f>
        <v/>
      </c>
      <c r="E34" s="83">
        <f>COUNTIFS(tblVideos[Day],"&gt;="&amp;DATE($K$4,7,1),tblVideos[Day],"&lt;"&amp;DATE($K$4,8,1),tblVideos[Channel ID],Channels!$E$8)</f>
        <v/>
      </c>
      <c r="F34" s="83">
        <f>COUNTIFS(tblVideos[Day],"&gt;="&amp;DATE($K$4,7,1),tblVideos[Day],"&lt;"&amp;DATE($K$4,8,1),tblVideos[Channel ID],Channels!$E$9)</f>
        <v/>
      </c>
      <c r="G34" s="83">
        <f>COUNTIFS(tblVideos[Day],"&gt;="&amp;DATE($K$4,7,1),tblVideos[Day],"&lt;"&amp;DATE($K$4,8,1),tblVideos[Channel ID],Channels!$E$10)</f>
        <v/>
      </c>
      <c r="H34" s="83">
        <f>COUNTIFS(tblVideos[Day],"&gt;="&amp;DATE($K$4,7,1),tblVideos[Day],"&lt;"&amp;DATE($K$4,8,1),tblVideos[Channel ID],Channels!$E$11)</f>
        <v/>
      </c>
      <c r="I34" s="91">
        <f>SUM(C34:H34)</f>
        <v/>
      </c>
      <c r="J34" s="92">
        <f>SUMIFS(tblVideos[Length],tblVideos[Day],"&gt;="&amp;DATE($K$4,7,1),tblVideos[Day],"&lt;"&amp;DATE($K$4,8,1))</f>
        <v/>
      </c>
    </row>
    <row r="35">
      <c r="B35" s="73" t="inlineStr">
        <is>
          <t>August</t>
        </is>
      </c>
      <c r="C35" s="83">
        <f>COUNTIFS(tblVideos[Day],"&gt;="&amp;DATE($K$4,8,1),tblVideos[Day],"&lt;"&amp;DATE($K$4,9,1),tblVideos[Channel ID],Channels!$E$6)</f>
        <v/>
      </c>
      <c r="D35" s="83">
        <f>COUNTIFS(tblVideos[Day],"&gt;="&amp;DATE($K$4,8,1),tblVideos[Day],"&lt;"&amp;DATE($K$4,9,1),tblVideos[Channel ID],Channels!$E$7)</f>
        <v/>
      </c>
      <c r="E35" s="83">
        <f>COUNTIFS(tblVideos[Day],"&gt;="&amp;DATE($K$4,8,1),tblVideos[Day],"&lt;"&amp;DATE($K$4,9,1),tblVideos[Channel ID],Channels!$E$8)</f>
        <v/>
      </c>
      <c r="F35" s="83">
        <f>COUNTIFS(tblVideos[Day],"&gt;="&amp;DATE($K$4,8,1),tblVideos[Day],"&lt;"&amp;DATE($K$4,9,1),tblVideos[Channel ID],Channels!$E$9)</f>
        <v/>
      </c>
      <c r="G35" s="83">
        <f>COUNTIFS(tblVideos[Day],"&gt;="&amp;DATE($K$4,8,1),tblVideos[Day],"&lt;"&amp;DATE($K$4,9,1),tblVideos[Channel ID],Channels!$E$10)</f>
        <v/>
      </c>
      <c r="H35" s="83">
        <f>COUNTIFS(tblVideos[Day],"&gt;="&amp;DATE($K$4,8,1),tblVideos[Day],"&lt;"&amp;DATE($K$4,9,1),tblVideos[Channel ID],Channels!$E$11)</f>
        <v/>
      </c>
      <c r="I35" s="91">
        <f>SUM(C35:H35)</f>
        <v/>
      </c>
      <c r="J35" s="92">
        <f>SUMIFS(tblVideos[Length],tblVideos[Day],"&gt;="&amp;DATE($K$4,8,1),tblVideos[Day],"&lt;"&amp;DATE($K$4,9,1))</f>
        <v/>
      </c>
    </row>
    <row r="36">
      <c r="B36" s="73" t="inlineStr">
        <is>
          <t>September</t>
        </is>
      </c>
      <c r="C36" s="83">
        <f>COUNTIFS(tblVideos[Day],"&gt;="&amp;DATE($K$4,9,1),tblVideos[Day],"&lt;"&amp;DATE($K$4,10,1),tblVideos[Channel ID],Channels!$E$6)</f>
        <v/>
      </c>
      <c r="D36" s="83">
        <f>COUNTIFS(tblVideos[Day],"&gt;="&amp;DATE($K$4,9,1),tblVideos[Day],"&lt;"&amp;DATE($K$4,10,1),tblVideos[Channel ID],Channels!$E$7)</f>
        <v/>
      </c>
      <c r="E36" s="83">
        <f>COUNTIFS(tblVideos[Day],"&gt;="&amp;DATE($K$4,9,1),tblVideos[Day],"&lt;"&amp;DATE($K$4,10,1),tblVideos[Channel ID],Channels!$E$8)</f>
        <v/>
      </c>
      <c r="F36" s="83">
        <f>COUNTIFS(tblVideos[Day],"&gt;="&amp;DATE($K$4,9,1),tblVideos[Day],"&lt;"&amp;DATE($K$4,10,1),tblVideos[Channel ID],Channels!$E$9)</f>
        <v/>
      </c>
      <c r="G36" s="83">
        <f>COUNTIFS(tblVideos[Day],"&gt;="&amp;DATE($K$4,9,1),tblVideos[Day],"&lt;"&amp;DATE($K$4,10,1),tblVideos[Channel ID],Channels!$E$10)</f>
        <v/>
      </c>
      <c r="H36" s="83">
        <f>COUNTIFS(tblVideos[Day],"&gt;="&amp;DATE($K$4,9,1),tblVideos[Day],"&lt;"&amp;DATE($K$4,10,1),tblVideos[Channel ID],Channels!$E$11)</f>
        <v/>
      </c>
      <c r="I36" s="91">
        <f>SUM(C36:H36)</f>
        <v/>
      </c>
      <c r="J36" s="92">
        <f>SUMIFS(tblVideos[Length],tblVideos[Day],"&gt;="&amp;DATE($K$4,9,1),tblVideos[Day],"&lt;"&amp;DATE($K$4,10,1))</f>
        <v/>
      </c>
    </row>
    <row r="37">
      <c r="B37" s="73" t="inlineStr">
        <is>
          <t>October</t>
        </is>
      </c>
      <c r="C37" s="83">
        <f>COUNTIFS(tblVideos[Day],"&gt;="&amp;DATE($K$4,10,1),tblVideos[Day],"&lt;"&amp;DATE($K$4,11,1),tblVideos[Channel ID],Channels!$E$6)</f>
        <v/>
      </c>
      <c r="D37" s="83">
        <f>COUNTIFS(tblVideos[Day],"&gt;="&amp;DATE($K$4,10,1),tblVideos[Day],"&lt;"&amp;DATE($K$4,11,1),tblVideos[Channel ID],Channels!$E$7)</f>
        <v/>
      </c>
      <c r="E37" s="83">
        <f>COUNTIFS(tblVideos[Day],"&gt;="&amp;DATE($K$4,10,1),tblVideos[Day],"&lt;"&amp;DATE($K$4,11,1),tblVideos[Channel ID],Channels!$E$8)</f>
        <v/>
      </c>
      <c r="F37" s="83">
        <f>COUNTIFS(tblVideos[Day],"&gt;="&amp;DATE($K$4,10,1),tblVideos[Day],"&lt;"&amp;DATE($K$4,11,1),tblVideos[Channel ID],Channels!$E$9)</f>
        <v/>
      </c>
      <c r="G37" s="83">
        <f>COUNTIFS(tblVideos[Day],"&gt;="&amp;DATE($K$4,10,1),tblVideos[Day],"&lt;"&amp;DATE($K$4,11,1),tblVideos[Channel ID],Channels!$E$10)</f>
        <v/>
      </c>
      <c r="H37" s="83">
        <f>COUNTIFS(tblVideos[Day],"&gt;="&amp;DATE($K$4,10,1),tblVideos[Day],"&lt;"&amp;DATE($K$4,11,1),tblVideos[Channel ID],Channels!$E$11)</f>
        <v/>
      </c>
      <c r="I37" s="91">
        <f>SUM(C37:H37)</f>
        <v/>
      </c>
      <c r="J37" s="92">
        <f>SUMIFS(tblVideos[Length],tblVideos[Day],"&gt;="&amp;DATE($K$4,10,1),tblVideos[Day],"&lt;"&amp;DATE($K$4,11,1))</f>
        <v/>
      </c>
    </row>
    <row r="38">
      <c r="B38" s="73" t="inlineStr">
        <is>
          <t>November</t>
        </is>
      </c>
      <c r="C38" s="83">
        <f>COUNTIFS(tblVideos[Day],"&gt;="&amp;DATE($K$4,11,1),tblVideos[Day],"&lt;"&amp;DATE($K$4,12,1),tblVideos[Channel ID],Channels!$E$6)</f>
        <v/>
      </c>
      <c r="D38" s="83">
        <f>COUNTIFS(tblVideos[Day],"&gt;="&amp;DATE($K$4,11,1),tblVideos[Day],"&lt;"&amp;DATE($K$4,12,1),tblVideos[Channel ID],Channels!$E$7)</f>
        <v/>
      </c>
      <c r="E38" s="83">
        <f>COUNTIFS(tblVideos[Day],"&gt;="&amp;DATE($K$4,11,1),tblVideos[Day],"&lt;"&amp;DATE($K$4,12,1),tblVideos[Channel ID],Channels!$E$8)</f>
        <v/>
      </c>
      <c r="F38" s="83">
        <f>COUNTIFS(tblVideos[Day],"&gt;="&amp;DATE($K$4,11,1),tblVideos[Day],"&lt;"&amp;DATE($K$4,12,1),tblVideos[Channel ID],Channels!$E$9)</f>
        <v/>
      </c>
      <c r="G38" s="83">
        <f>COUNTIFS(tblVideos[Day],"&gt;="&amp;DATE($K$4,11,1),tblVideos[Day],"&lt;"&amp;DATE($K$4,12,1),tblVideos[Channel ID],Channels!$E$10)</f>
        <v/>
      </c>
      <c r="H38" s="83">
        <f>COUNTIFS(tblVideos[Day],"&gt;="&amp;DATE($K$4,11,1),tblVideos[Day],"&lt;"&amp;DATE($K$4,12,1),tblVideos[Channel ID],Channels!$E$11)</f>
        <v/>
      </c>
      <c r="I38" s="91">
        <f>SUM(C38:H38)</f>
        <v/>
      </c>
      <c r="J38" s="92">
        <f>SUMIFS(tblVideos[Length],tblVideos[Day],"&gt;="&amp;DATE($K$4,11,1),tblVideos[Day],"&lt;"&amp;DATE($K$4,12,1))</f>
        <v/>
      </c>
    </row>
    <row r="39">
      <c r="B39" s="73" t="inlineStr">
        <is>
          <t>December</t>
        </is>
      </c>
      <c r="C39" s="83">
        <f>COUNTIFS(tblVideos[Day],"&gt;="&amp;DATE($K$4,12,1),tblVideos[Day],"&lt;"&amp;DATE($K$4,13,1),tblVideos[Channel ID],Channels!$E$6)</f>
        <v/>
      </c>
      <c r="D39" s="83">
        <f>COUNTIFS(tblVideos[Day],"&gt;="&amp;DATE($K$4,12,1),tblVideos[Day],"&lt;"&amp;DATE($K$4,13,1),tblVideos[Channel ID],Channels!$E$7)</f>
        <v/>
      </c>
      <c r="E39" s="83">
        <f>COUNTIFS(tblVideos[Day],"&gt;="&amp;DATE($K$4,12,1),tblVideos[Day],"&lt;"&amp;DATE($K$4,13,1),tblVideos[Channel ID],Channels!$E$8)</f>
        <v/>
      </c>
      <c r="F39" s="83">
        <f>COUNTIFS(tblVideos[Day],"&gt;="&amp;DATE($K$4,12,1),tblVideos[Day],"&lt;"&amp;DATE($K$4,13,1),tblVideos[Channel ID],Channels!$E$9)</f>
        <v/>
      </c>
      <c r="G39" s="83">
        <f>COUNTIFS(tblVideos[Day],"&gt;="&amp;DATE($K$4,12,1),tblVideos[Day],"&lt;"&amp;DATE($K$4,13,1),tblVideos[Channel ID],Channels!$E$10)</f>
        <v/>
      </c>
      <c r="H39" s="83">
        <f>COUNTIFS(tblVideos[Day],"&gt;="&amp;DATE($K$4,12,1),tblVideos[Day],"&lt;"&amp;DATE($K$4,13,1),tblVideos[Channel ID],Channels!$E$11)</f>
        <v/>
      </c>
      <c r="I39" s="91">
        <f>SUM(C39:H39)</f>
        <v/>
      </c>
      <c r="J39" s="92">
        <f>SUMIFS(tblVideos[Length],tblVideos[Day],"&gt;="&amp;DATE($K$4,12,1),tblVideos[Day],"&lt;"&amp;DATE($K$4,13,1))</f>
        <v/>
      </c>
    </row>
    <row r="40">
      <c r="B40" s="25" t="inlineStr">
        <is>
          <t>Year total</t>
        </is>
      </c>
      <c r="C40" s="26">
        <f>SUM(C28:C39)</f>
        <v/>
      </c>
      <c r="D40" s="26">
        <f>SUM(D28:D39)</f>
        <v/>
      </c>
      <c r="E40" s="26">
        <f>SUM(E28:E39)</f>
        <v/>
      </c>
      <c r="F40" s="26">
        <f>SUM(F28:F39)</f>
        <v/>
      </c>
      <c r="G40" s="26">
        <f>SUM(G28:G39)</f>
        <v/>
      </c>
      <c r="H40" s="26">
        <f>SUM(H28:H39)</f>
        <v/>
      </c>
      <c r="I40" s="26">
        <f>SUM(I28:I39)</f>
        <v/>
      </c>
      <c r="J40" s="28">
        <f>SUM(J28:J39)</f>
        <v/>
      </c>
    </row>
    <row r="62" ht="20" customHeight="1">
      <c r="B62" s="10" t="inlineStr">
        <is>
          <t>Uploads per year</t>
        </is>
      </c>
      <c r="C62" s="11" t="n"/>
      <c r="D62" s="11" t="n"/>
      <c r="E62" s="11" t="n"/>
      <c r="F62" s="11" t="n"/>
      <c r="G62" s="11" t="n"/>
      <c r="H62" s="11" t="n"/>
      <c r="I62" s="11" t="n"/>
      <c r="J62" s="11" t="n"/>
      <c r="K62" s="11" t="n"/>
      <c r="L62" s="11" t="n"/>
      <c r="M62" s="11" t="n"/>
      <c r="N62" s="11" t="n"/>
      <c r="O62" s="11" t="n"/>
    </row>
    <row r="63" ht="46" customHeight="1">
      <c r="B63" s="12" t="inlineStr">
        <is>
          <t>Year</t>
        </is>
      </c>
      <c r="C63" s="85">
        <f>Channels!$C$6</f>
        <v/>
      </c>
      <c r="D63" s="86">
        <f>Channels!$C$7</f>
        <v/>
      </c>
      <c r="E63" s="87">
        <f>Channels!$C$8</f>
        <v/>
      </c>
      <c r="F63" s="88">
        <f>Channels!$C$9</f>
        <v/>
      </c>
      <c r="G63" s="89">
        <f>Channels!$C$10</f>
        <v/>
      </c>
      <c r="H63" s="90">
        <f>Channels!$C$11</f>
        <v/>
      </c>
      <c r="I63" s="12" t="inlineStr">
        <is>
          <t>Total</t>
        </is>
      </c>
      <c r="J63" s="12" t="inlineStr">
        <is>
          <t>Time uploaded</t>
        </is>
      </c>
      <c r="K63" s="12" t="inlineStr">
        <is>
          <t>Watched (dated)</t>
        </is>
      </c>
      <c r="L63" s="12" t="inlineStr">
        <is>
          <t>Time watched (dated)</t>
        </is>
      </c>
    </row>
    <row r="64">
      <c r="B64" s="82" t="n">
        <v>2012</v>
      </c>
      <c r="C64" s="83">
        <f>COUNTIFS(tblVideos[Day],"&gt;="&amp;DATE($B64,1,1),tblVideos[Day],"&lt;"&amp;DATE($B64+1,1,1),tblVideos[Channel ID],Channels!$E$6)</f>
        <v/>
      </c>
      <c r="D64" s="83">
        <f>COUNTIFS(tblVideos[Day],"&gt;="&amp;DATE($B64,1,1),tblVideos[Day],"&lt;"&amp;DATE($B64+1,1,1),tblVideos[Channel ID],Channels!$E$7)</f>
        <v/>
      </c>
      <c r="E64" s="83">
        <f>COUNTIFS(tblVideos[Day],"&gt;="&amp;DATE($B64,1,1),tblVideos[Day],"&lt;"&amp;DATE($B64+1,1,1),tblVideos[Channel ID],Channels!$E$8)</f>
        <v/>
      </c>
      <c r="F64" s="83">
        <f>COUNTIFS(tblVideos[Day],"&gt;="&amp;DATE($B64,1,1),tblVideos[Day],"&lt;"&amp;DATE($B64+1,1,1),tblVideos[Channel ID],Channels!$E$9)</f>
        <v/>
      </c>
      <c r="G64" s="83">
        <f>COUNTIFS(tblVideos[Day],"&gt;="&amp;DATE($B64,1,1),tblVideos[Day],"&lt;"&amp;DATE($B64+1,1,1),tblVideos[Channel ID],Channels!$E$10)</f>
        <v/>
      </c>
      <c r="H64" s="83">
        <f>COUNTIFS(tblVideos[Day],"&gt;="&amp;DATE($B64,1,1),tblVideos[Day],"&lt;"&amp;DATE($B64+1,1,1),tblVideos[Channel ID],Channels!$E$11)</f>
        <v/>
      </c>
      <c r="I64" s="26">
        <f>SUM(C64:H64)</f>
        <v/>
      </c>
      <c r="J64" s="92">
        <f>SUMIFS(tblVideos[Length],tblVideos[Day],"&gt;="&amp;DATE($B64,1,1),tblVideos[Day],"&lt;"&amp;DATE($B64+1,1,1))</f>
        <v/>
      </c>
      <c r="K64" s="83">
        <f>COUNTIFS(tblVideos[Watched On],"&gt;="&amp;DATE($B64,1,1),tblVideos[Watched On],"&lt;"&amp;DATE($B64+1,1,1),tblVideos[Status],"Watched")</f>
        <v/>
      </c>
      <c r="L64" s="92">
        <f>SUMIFS(tblVideos[Length],tblVideos[Watched On],"&gt;="&amp;DATE($B64,1,1),tblVideos[Watched On],"&lt;"&amp;DATE($B64+1,1,1),tblVideos[Status],"Watched")</f>
        <v/>
      </c>
    </row>
    <row r="65">
      <c r="B65" s="82" t="n">
        <v>2013</v>
      </c>
      <c r="C65" s="83">
        <f>COUNTIFS(tblVideos[Day],"&gt;="&amp;DATE($B65,1,1),tblVideos[Day],"&lt;"&amp;DATE($B65+1,1,1),tblVideos[Channel ID],Channels!$E$6)</f>
        <v/>
      </c>
      <c r="D65" s="83">
        <f>COUNTIFS(tblVideos[Day],"&gt;="&amp;DATE($B65,1,1),tblVideos[Day],"&lt;"&amp;DATE($B65+1,1,1),tblVideos[Channel ID],Channels!$E$7)</f>
        <v/>
      </c>
      <c r="E65" s="83">
        <f>COUNTIFS(tblVideos[Day],"&gt;="&amp;DATE($B65,1,1),tblVideos[Day],"&lt;"&amp;DATE($B65+1,1,1),tblVideos[Channel ID],Channels!$E$8)</f>
        <v/>
      </c>
      <c r="F65" s="83">
        <f>COUNTIFS(tblVideos[Day],"&gt;="&amp;DATE($B65,1,1),tblVideos[Day],"&lt;"&amp;DATE($B65+1,1,1),tblVideos[Channel ID],Channels!$E$9)</f>
        <v/>
      </c>
      <c r="G65" s="83">
        <f>COUNTIFS(tblVideos[Day],"&gt;="&amp;DATE($B65,1,1),tblVideos[Day],"&lt;"&amp;DATE($B65+1,1,1),tblVideos[Channel ID],Channels!$E$10)</f>
        <v/>
      </c>
      <c r="H65" s="83">
        <f>COUNTIFS(tblVideos[Day],"&gt;="&amp;DATE($B65,1,1),tblVideos[Day],"&lt;"&amp;DATE($B65+1,1,1),tblVideos[Channel ID],Channels!$E$11)</f>
        <v/>
      </c>
      <c r="I65" s="26">
        <f>SUM(C65:H65)</f>
        <v/>
      </c>
      <c r="J65" s="92">
        <f>SUMIFS(tblVideos[Length],tblVideos[Day],"&gt;="&amp;DATE($B65,1,1),tblVideos[Day],"&lt;"&amp;DATE($B65+1,1,1))</f>
        <v/>
      </c>
      <c r="K65" s="83">
        <f>COUNTIFS(tblVideos[Watched On],"&gt;="&amp;DATE($B65,1,1),tblVideos[Watched On],"&lt;"&amp;DATE($B65+1,1,1),tblVideos[Status],"Watched")</f>
        <v/>
      </c>
      <c r="L65" s="92">
        <f>SUMIFS(tblVideos[Length],tblVideos[Watched On],"&gt;="&amp;DATE($B65,1,1),tblVideos[Watched On],"&lt;"&amp;DATE($B65+1,1,1),tblVideos[Status],"Watched")</f>
        <v/>
      </c>
    </row>
    <row r="66">
      <c r="B66" s="82" t="n">
        <v>2014</v>
      </c>
      <c r="C66" s="83">
        <f>COUNTIFS(tblVideos[Day],"&gt;="&amp;DATE($B66,1,1),tblVideos[Day],"&lt;"&amp;DATE($B66+1,1,1),tblVideos[Channel ID],Channels!$E$6)</f>
        <v/>
      </c>
      <c r="D66" s="83">
        <f>COUNTIFS(tblVideos[Day],"&gt;="&amp;DATE($B66,1,1),tblVideos[Day],"&lt;"&amp;DATE($B66+1,1,1),tblVideos[Channel ID],Channels!$E$7)</f>
        <v/>
      </c>
      <c r="E66" s="83">
        <f>COUNTIFS(tblVideos[Day],"&gt;="&amp;DATE($B66,1,1),tblVideos[Day],"&lt;"&amp;DATE($B66+1,1,1),tblVideos[Channel ID],Channels!$E$8)</f>
        <v/>
      </c>
      <c r="F66" s="83">
        <f>COUNTIFS(tblVideos[Day],"&gt;="&amp;DATE($B66,1,1),tblVideos[Day],"&lt;"&amp;DATE($B66+1,1,1),tblVideos[Channel ID],Channels!$E$9)</f>
        <v/>
      </c>
      <c r="G66" s="83">
        <f>COUNTIFS(tblVideos[Day],"&gt;="&amp;DATE($B66,1,1),tblVideos[Day],"&lt;"&amp;DATE($B66+1,1,1),tblVideos[Channel ID],Channels!$E$10)</f>
        <v/>
      </c>
      <c r="H66" s="83">
        <f>COUNTIFS(tblVideos[Day],"&gt;="&amp;DATE($B66,1,1),tblVideos[Day],"&lt;"&amp;DATE($B66+1,1,1),tblVideos[Channel ID],Channels!$E$11)</f>
        <v/>
      </c>
      <c r="I66" s="26">
        <f>SUM(C66:H66)</f>
        <v/>
      </c>
      <c r="J66" s="92">
        <f>SUMIFS(tblVideos[Length],tblVideos[Day],"&gt;="&amp;DATE($B66,1,1),tblVideos[Day],"&lt;"&amp;DATE($B66+1,1,1))</f>
        <v/>
      </c>
      <c r="K66" s="83">
        <f>COUNTIFS(tblVideos[Watched On],"&gt;="&amp;DATE($B66,1,1),tblVideos[Watched On],"&lt;"&amp;DATE($B66+1,1,1),tblVideos[Status],"Watched")</f>
        <v/>
      </c>
      <c r="L66" s="92">
        <f>SUMIFS(tblVideos[Length],tblVideos[Watched On],"&gt;="&amp;DATE($B66,1,1),tblVideos[Watched On],"&lt;"&amp;DATE($B66+1,1,1),tblVideos[Status],"Watched")</f>
        <v/>
      </c>
    </row>
    <row r="67">
      <c r="B67" s="82" t="n">
        <v>2015</v>
      </c>
      <c r="C67" s="83">
        <f>COUNTIFS(tblVideos[Day],"&gt;="&amp;DATE($B67,1,1),tblVideos[Day],"&lt;"&amp;DATE($B67+1,1,1),tblVideos[Channel ID],Channels!$E$6)</f>
        <v/>
      </c>
      <c r="D67" s="83">
        <f>COUNTIFS(tblVideos[Day],"&gt;="&amp;DATE($B67,1,1),tblVideos[Day],"&lt;"&amp;DATE($B67+1,1,1),tblVideos[Channel ID],Channels!$E$7)</f>
        <v/>
      </c>
      <c r="E67" s="83">
        <f>COUNTIFS(tblVideos[Day],"&gt;="&amp;DATE($B67,1,1),tblVideos[Day],"&lt;"&amp;DATE($B67+1,1,1),tblVideos[Channel ID],Channels!$E$8)</f>
        <v/>
      </c>
      <c r="F67" s="83">
        <f>COUNTIFS(tblVideos[Day],"&gt;="&amp;DATE($B67,1,1),tblVideos[Day],"&lt;"&amp;DATE($B67+1,1,1),tblVideos[Channel ID],Channels!$E$9)</f>
        <v/>
      </c>
      <c r="G67" s="83">
        <f>COUNTIFS(tblVideos[Day],"&gt;="&amp;DATE($B67,1,1),tblVideos[Day],"&lt;"&amp;DATE($B67+1,1,1),tblVideos[Channel ID],Channels!$E$10)</f>
        <v/>
      </c>
      <c r="H67" s="83">
        <f>COUNTIFS(tblVideos[Day],"&gt;="&amp;DATE($B67,1,1),tblVideos[Day],"&lt;"&amp;DATE($B67+1,1,1),tblVideos[Channel ID],Channels!$E$11)</f>
        <v/>
      </c>
      <c r="I67" s="26">
        <f>SUM(C67:H67)</f>
        <v/>
      </c>
      <c r="J67" s="92">
        <f>SUMIFS(tblVideos[Length],tblVideos[Day],"&gt;="&amp;DATE($B67,1,1),tblVideos[Day],"&lt;"&amp;DATE($B67+1,1,1))</f>
        <v/>
      </c>
      <c r="K67" s="83">
        <f>COUNTIFS(tblVideos[Watched On],"&gt;="&amp;DATE($B67,1,1),tblVideos[Watched On],"&lt;"&amp;DATE($B67+1,1,1),tblVideos[Status],"Watched")</f>
        <v/>
      </c>
      <c r="L67" s="92">
        <f>SUMIFS(tblVideos[Length],tblVideos[Watched On],"&gt;="&amp;DATE($B67,1,1),tblVideos[Watched On],"&lt;"&amp;DATE($B67+1,1,1),tblVideos[Status],"Watched")</f>
        <v/>
      </c>
    </row>
    <row r="68">
      <c r="B68" s="82" t="n">
        <v>2016</v>
      </c>
      <c r="C68" s="83">
        <f>COUNTIFS(tblVideos[Day],"&gt;="&amp;DATE($B68,1,1),tblVideos[Day],"&lt;"&amp;DATE($B68+1,1,1),tblVideos[Channel ID],Channels!$E$6)</f>
        <v/>
      </c>
      <c r="D68" s="83">
        <f>COUNTIFS(tblVideos[Day],"&gt;="&amp;DATE($B68,1,1),tblVideos[Day],"&lt;"&amp;DATE($B68+1,1,1),tblVideos[Channel ID],Channels!$E$7)</f>
        <v/>
      </c>
      <c r="E68" s="83">
        <f>COUNTIFS(tblVideos[Day],"&gt;="&amp;DATE($B68,1,1),tblVideos[Day],"&lt;"&amp;DATE($B68+1,1,1),tblVideos[Channel ID],Channels!$E$8)</f>
        <v/>
      </c>
      <c r="F68" s="83">
        <f>COUNTIFS(tblVideos[Day],"&gt;="&amp;DATE($B68,1,1),tblVideos[Day],"&lt;"&amp;DATE($B68+1,1,1),tblVideos[Channel ID],Channels!$E$9)</f>
        <v/>
      </c>
      <c r="G68" s="83">
        <f>COUNTIFS(tblVideos[Day],"&gt;="&amp;DATE($B68,1,1),tblVideos[Day],"&lt;"&amp;DATE($B68+1,1,1),tblVideos[Channel ID],Channels!$E$10)</f>
        <v/>
      </c>
      <c r="H68" s="83">
        <f>COUNTIFS(tblVideos[Day],"&gt;="&amp;DATE($B68,1,1),tblVideos[Day],"&lt;"&amp;DATE($B68+1,1,1),tblVideos[Channel ID],Channels!$E$11)</f>
        <v/>
      </c>
      <c r="I68" s="26">
        <f>SUM(C68:H68)</f>
        <v/>
      </c>
      <c r="J68" s="92">
        <f>SUMIFS(tblVideos[Length],tblVideos[Day],"&gt;="&amp;DATE($B68,1,1),tblVideos[Day],"&lt;"&amp;DATE($B68+1,1,1))</f>
        <v/>
      </c>
      <c r="K68" s="83">
        <f>COUNTIFS(tblVideos[Watched On],"&gt;="&amp;DATE($B68,1,1),tblVideos[Watched On],"&lt;"&amp;DATE($B68+1,1,1),tblVideos[Status],"Watched")</f>
        <v/>
      </c>
      <c r="L68" s="92">
        <f>SUMIFS(tblVideos[Length],tblVideos[Watched On],"&gt;="&amp;DATE($B68,1,1),tblVideos[Watched On],"&lt;"&amp;DATE($B68+1,1,1),tblVideos[Status],"Watched")</f>
        <v/>
      </c>
    </row>
    <row r="69">
      <c r="B69" s="82" t="n">
        <v>2017</v>
      </c>
      <c r="C69" s="83">
        <f>COUNTIFS(tblVideos[Day],"&gt;="&amp;DATE($B69,1,1),tblVideos[Day],"&lt;"&amp;DATE($B69+1,1,1),tblVideos[Channel ID],Channels!$E$6)</f>
        <v/>
      </c>
      <c r="D69" s="83">
        <f>COUNTIFS(tblVideos[Day],"&gt;="&amp;DATE($B69,1,1),tblVideos[Day],"&lt;"&amp;DATE($B69+1,1,1),tblVideos[Channel ID],Channels!$E$7)</f>
        <v/>
      </c>
      <c r="E69" s="83">
        <f>COUNTIFS(tblVideos[Day],"&gt;="&amp;DATE($B69,1,1),tblVideos[Day],"&lt;"&amp;DATE($B69+1,1,1),tblVideos[Channel ID],Channels!$E$8)</f>
        <v/>
      </c>
      <c r="F69" s="83">
        <f>COUNTIFS(tblVideos[Day],"&gt;="&amp;DATE($B69,1,1),tblVideos[Day],"&lt;"&amp;DATE($B69+1,1,1),tblVideos[Channel ID],Channels!$E$9)</f>
        <v/>
      </c>
      <c r="G69" s="83">
        <f>COUNTIFS(tblVideos[Day],"&gt;="&amp;DATE($B69,1,1),tblVideos[Day],"&lt;"&amp;DATE($B69+1,1,1),tblVideos[Channel ID],Channels!$E$10)</f>
        <v/>
      </c>
      <c r="H69" s="83">
        <f>COUNTIFS(tblVideos[Day],"&gt;="&amp;DATE($B69,1,1),tblVideos[Day],"&lt;"&amp;DATE($B69+1,1,1),tblVideos[Channel ID],Channels!$E$11)</f>
        <v/>
      </c>
      <c r="I69" s="26">
        <f>SUM(C69:H69)</f>
        <v/>
      </c>
      <c r="J69" s="92">
        <f>SUMIFS(tblVideos[Length],tblVideos[Day],"&gt;="&amp;DATE($B69,1,1),tblVideos[Day],"&lt;"&amp;DATE($B69+1,1,1))</f>
        <v/>
      </c>
      <c r="K69" s="83">
        <f>COUNTIFS(tblVideos[Watched On],"&gt;="&amp;DATE($B69,1,1),tblVideos[Watched On],"&lt;"&amp;DATE($B69+1,1,1),tblVideos[Status],"Watched")</f>
        <v/>
      </c>
      <c r="L69" s="92">
        <f>SUMIFS(tblVideos[Length],tblVideos[Watched On],"&gt;="&amp;DATE($B69,1,1),tblVideos[Watched On],"&lt;"&amp;DATE($B69+1,1,1),tblVideos[Status],"Watched")</f>
        <v/>
      </c>
    </row>
    <row r="70">
      <c r="B70" s="82" t="n">
        <v>2018</v>
      </c>
      <c r="C70" s="83">
        <f>COUNTIFS(tblVideos[Day],"&gt;="&amp;DATE($B70,1,1),tblVideos[Day],"&lt;"&amp;DATE($B70+1,1,1),tblVideos[Channel ID],Channels!$E$6)</f>
        <v/>
      </c>
      <c r="D70" s="83">
        <f>COUNTIFS(tblVideos[Day],"&gt;="&amp;DATE($B70,1,1),tblVideos[Day],"&lt;"&amp;DATE($B70+1,1,1),tblVideos[Channel ID],Channels!$E$7)</f>
        <v/>
      </c>
      <c r="E70" s="83">
        <f>COUNTIFS(tblVideos[Day],"&gt;="&amp;DATE($B70,1,1),tblVideos[Day],"&lt;"&amp;DATE($B70+1,1,1),tblVideos[Channel ID],Channels!$E$8)</f>
        <v/>
      </c>
      <c r="F70" s="83">
        <f>COUNTIFS(tblVideos[Day],"&gt;="&amp;DATE($B70,1,1),tblVideos[Day],"&lt;"&amp;DATE($B70+1,1,1),tblVideos[Channel ID],Channels!$E$9)</f>
        <v/>
      </c>
      <c r="G70" s="83">
        <f>COUNTIFS(tblVideos[Day],"&gt;="&amp;DATE($B70,1,1),tblVideos[Day],"&lt;"&amp;DATE($B70+1,1,1),tblVideos[Channel ID],Channels!$E$10)</f>
        <v/>
      </c>
      <c r="H70" s="83">
        <f>COUNTIFS(tblVideos[Day],"&gt;="&amp;DATE($B70,1,1),tblVideos[Day],"&lt;"&amp;DATE($B70+1,1,1),tblVideos[Channel ID],Channels!$E$11)</f>
        <v/>
      </c>
      <c r="I70" s="26">
        <f>SUM(C70:H70)</f>
        <v/>
      </c>
      <c r="J70" s="92">
        <f>SUMIFS(tblVideos[Length],tblVideos[Day],"&gt;="&amp;DATE($B70,1,1),tblVideos[Day],"&lt;"&amp;DATE($B70+1,1,1))</f>
        <v/>
      </c>
      <c r="K70" s="83">
        <f>COUNTIFS(tblVideos[Watched On],"&gt;="&amp;DATE($B70,1,1),tblVideos[Watched On],"&lt;"&amp;DATE($B70+1,1,1),tblVideos[Status],"Watched")</f>
        <v/>
      </c>
      <c r="L70" s="92">
        <f>SUMIFS(tblVideos[Length],tblVideos[Watched On],"&gt;="&amp;DATE($B70,1,1),tblVideos[Watched On],"&lt;"&amp;DATE($B70+1,1,1),tblVideos[Status],"Watched")</f>
        <v/>
      </c>
    </row>
    <row r="71">
      <c r="B71" s="82" t="n">
        <v>2019</v>
      </c>
      <c r="C71" s="83">
        <f>COUNTIFS(tblVideos[Day],"&gt;="&amp;DATE($B71,1,1),tblVideos[Day],"&lt;"&amp;DATE($B71+1,1,1),tblVideos[Channel ID],Channels!$E$6)</f>
        <v/>
      </c>
      <c r="D71" s="83">
        <f>COUNTIFS(tblVideos[Day],"&gt;="&amp;DATE($B71,1,1),tblVideos[Day],"&lt;"&amp;DATE($B71+1,1,1),tblVideos[Channel ID],Channels!$E$7)</f>
        <v/>
      </c>
      <c r="E71" s="83">
        <f>COUNTIFS(tblVideos[Day],"&gt;="&amp;DATE($B71,1,1),tblVideos[Day],"&lt;"&amp;DATE($B71+1,1,1),tblVideos[Channel ID],Channels!$E$8)</f>
        <v/>
      </c>
      <c r="F71" s="83">
        <f>COUNTIFS(tblVideos[Day],"&gt;="&amp;DATE($B71,1,1),tblVideos[Day],"&lt;"&amp;DATE($B71+1,1,1),tblVideos[Channel ID],Channels!$E$9)</f>
        <v/>
      </c>
      <c r="G71" s="83">
        <f>COUNTIFS(tblVideos[Day],"&gt;="&amp;DATE($B71,1,1),tblVideos[Day],"&lt;"&amp;DATE($B71+1,1,1),tblVideos[Channel ID],Channels!$E$10)</f>
        <v/>
      </c>
      <c r="H71" s="83">
        <f>COUNTIFS(tblVideos[Day],"&gt;="&amp;DATE($B71,1,1),tblVideos[Day],"&lt;"&amp;DATE($B71+1,1,1),tblVideos[Channel ID],Channels!$E$11)</f>
        <v/>
      </c>
      <c r="I71" s="26">
        <f>SUM(C71:H71)</f>
        <v/>
      </c>
      <c r="J71" s="92">
        <f>SUMIFS(tblVideos[Length],tblVideos[Day],"&gt;="&amp;DATE($B71,1,1),tblVideos[Day],"&lt;"&amp;DATE($B71+1,1,1))</f>
        <v/>
      </c>
      <c r="K71" s="83">
        <f>COUNTIFS(tblVideos[Watched On],"&gt;="&amp;DATE($B71,1,1),tblVideos[Watched On],"&lt;"&amp;DATE($B71+1,1,1),tblVideos[Status],"Watched")</f>
        <v/>
      </c>
      <c r="L71" s="92">
        <f>SUMIFS(tblVideos[Length],tblVideos[Watched On],"&gt;="&amp;DATE($B71,1,1),tblVideos[Watched On],"&lt;"&amp;DATE($B71+1,1,1),tblVideos[Status],"Watched")</f>
        <v/>
      </c>
    </row>
    <row r="72">
      <c r="B72" s="82" t="n">
        <v>2020</v>
      </c>
      <c r="C72" s="83">
        <f>COUNTIFS(tblVideos[Day],"&gt;="&amp;DATE($B72,1,1),tblVideos[Day],"&lt;"&amp;DATE($B72+1,1,1),tblVideos[Channel ID],Channels!$E$6)</f>
        <v/>
      </c>
      <c r="D72" s="83">
        <f>COUNTIFS(tblVideos[Day],"&gt;="&amp;DATE($B72,1,1),tblVideos[Day],"&lt;"&amp;DATE($B72+1,1,1),tblVideos[Channel ID],Channels!$E$7)</f>
        <v/>
      </c>
      <c r="E72" s="83">
        <f>COUNTIFS(tblVideos[Day],"&gt;="&amp;DATE($B72,1,1),tblVideos[Day],"&lt;"&amp;DATE($B72+1,1,1),tblVideos[Channel ID],Channels!$E$8)</f>
        <v/>
      </c>
      <c r="F72" s="83">
        <f>COUNTIFS(tblVideos[Day],"&gt;="&amp;DATE($B72,1,1),tblVideos[Day],"&lt;"&amp;DATE($B72+1,1,1),tblVideos[Channel ID],Channels!$E$9)</f>
        <v/>
      </c>
      <c r="G72" s="83">
        <f>COUNTIFS(tblVideos[Day],"&gt;="&amp;DATE($B72,1,1),tblVideos[Day],"&lt;"&amp;DATE($B72+1,1,1),tblVideos[Channel ID],Channels!$E$10)</f>
        <v/>
      </c>
      <c r="H72" s="83">
        <f>COUNTIFS(tblVideos[Day],"&gt;="&amp;DATE($B72,1,1),tblVideos[Day],"&lt;"&amp;DATE($B72+1,1,1),tblVideos[Channel ID],Channels!$E$11)</f>
        <v/>
      </c>
      <c r="I72" s="26">
        <f>SUM(C72:H72)</f>
        <v/>
      </c>
      <c r="J72" s="92">
        <f>SUMIFS(tblVideos[Length],tblVideos[Day],"&gt;="&amp;DATE($B72,1,1),tblVideos[Day],"&lt;"&amp;DATE($B72+1,1,1))</f>
        <v/>
      </c>
      <c r="K72" s="83">
        <f>COUNTIFS(tblVideos[Watched On],"&gt;="&amp;DATE($B72,1,1),tblVideos[Watched On],"&lt;"&amp;DATE($B72+1,1,1),tblVideos[Status],"Watched")</f>
        <v/>
      </c>
      <c r="L72" s="92">
        <f>SUMIFS(tblVideos[Length],tblVideos[Watched On],"&gt;="&amp;DATE($B72,1,1),tblVideos[Watched On],"&lt;"&amp;DATE($B72+1,1,1),tblVideos[Status],"Watched")</f>
        <v/>
      </c>
    </row>
    <row r="73">
      <c r="B73" s="82" t="n">
        <v>2021</v>
      </c>
      <c r="C73" s="83">
        <f>COUNTIFS(tblVideos[Day],"&gt;="&amp;DATE($B73,1,1),tblVideos[Day],"&lt;"&amp;DATE($B73+1,1,1),tblVideos[Channel ID],Channels!$E$6)</f>
        <v/>
      </c>
      <c r="D73" s="83">
        <f>COUNTIFS(tblVideos[Day],"&gt;="&amp;DATE($B73,1,1),tblVideos[Day],"&lt;"&amp;DATE($B73+1,1,1),tblVideos[Channel ID],Channels!$E$7)</f>
        <v/>
      </c>
      <c r="E73" s="83">
        <f>COUNTIFS(tblVideos[Day],"&gt;="&amp;DATE($B73,1,1),tblVideos[Day],"&lt;"&amp;DATE($B73+1,1,1),tblVideos[Channel ID],Channels!$E$8)</f>
        <v/>
      </c>
      <c r="F73" s="83">
        <f>COUNTIFS(tblVideos[Day],"&gt;="&amp;DATE($B73,1,1),tblVideos[Day],"&lt;"&amp;DATE($B73+1,1,1),tblVideos[Channel ID],Channels!$E$9)</f>
        <v/>
      </c>
      <c r="G73" s="83">
        <f>COUNTIFS(tblVideos[Day],"&gt;="&amp;DATE($B73,1,1),tblVideos[Day],"&lt;"&amp;DATE($B73+1,1,1),tblVideos[Channel ID],Channels!$E$10)</f>
        <v/>
      </c>
      <c r="H73" s="83">
        <f>COUNTIFS(tblVideos[Day],"&gt;="&amp;DATE($B73,1,1),tblVideos[Day],"&lt;"&amp;DATE($B73+1,1,1),tblVideos[Channel ID],Channels!$E$11)</f>
        <v/>
      </c>
      <c r="I73" s="26">
        <f>SUM(C73:H73)</f>
        <v/>
      </c>
      <c r="J73" s="92">
        <f>SUMIFS(tblVideos[Length],tblVideos[Day],"&gt;="&amp;DATE($B73,1,1),tblVideos[Day],"&lt;"&amp;DATE($B73+1,1,1))</f>
        <v/>
      </c>
      <c r="K73" s="83">
        <f>COUNTIFS(tblVideos[Watched On],"&gt;="&amp;DATE($B73,1,1),tblVideos[Watched On],"&lt;"&amp;DATE($B73+1,1,1),tblVideos[Status],"Watched")</f>
        <v/>
      </c>
      <c r="L73" s="92">
        <f>SUMIFS(tblVideos[Length],tblVideos[Watched On],"&gt;="&amp;DATE($B73,1,1),tblVideos[Watched On],"&lt;"&amp;DATE($B73+1,1,1),tblVideos[Status],"Watched")</f>
        <v/>
      </c>
    </row>
    <row r="74">
      <c r="B74" s="82" t="n">
        <v>2022</v>
      </c>
      <c r="C74" s="83">
        <f>COUNTIFS(tblVideos[Day],"&gt;="&amp;DATE($B74,1,1),tblVideos[Day],"&lt;"&amp;DATE($B74+1,1,1),tblVideos[Channel ID],Channels!$E$6)</f>
        <v/>
      </c>
      <c r="D74" s="83">
        <f>COUNTIFS(tblVideos[Day],"&gt;="&amp;DATE($B74,1,1),tblVideos[Day],"&lt;"&amp;DATE($B74+1,1,1),tblVideos[Channel ID],Channels!$E$7)</f>
        <v/>
      </c>
      <c r="E74" s="83">
        <f>COUNTIFS(tblVideos[Day],"&gt;="&amp;DATE($B74,1,1),tblVideos[Day],"&lt;"&amp;DATE($B74+1,1,1),tblVideos[Channel ID],Channels!$E$8)</f>
        <v/>
      </c>
      <c r="F74" s="83">
        <f>COUNTIFS(tblVideos[Day],"&gt;="&amp;DATE($B74,1,1),tblVideos[Day],"&lt;"&amp;DATE($B74+1,1,1),tblVideos[Channel ID],Channels!$E$9)</f>
        <v/>
      </c>
      <c r="G74" s="83">
        <f>COUNTIFS(tblVideos[Day],"&gt;="&amp;DATE($B74,1,1),tblVideos[Day],"&lt;"&amp;DATE($B74+1,1,1),tblVideos[Channel ID],Channels!$E$10)</f>
        <v/>
      </c>
      <c r="H74" s="83">
        <f>COUNTIFS(tblVideos[Day],"&gt;="&amp;DATE($B74,1,1),tblVideos[Day],"&lt;"&amp;DATE($B74+1,1,1),tblVideos[Channel ID],Channels!$E$11)</f>
        <v/>
      </c>
      <c r="I74" s="26">
        <f>SUM(C74:H74)</f>
        <v/>
      </c>
      <c r="J74" s="92">
        <f>SUMIFS(tblVideos[Length],tblVideos[Day],"&gt;="&amp;DATE($B74,1,1),tblVideos[Day],"&lt;"&amp;DATE($B74+1,1,1))</f>
        <v/>
      </c>
      <c r="K74" s="83">
        <f>COUNTIFS(tblVideos[Watched On],"&gt;="&amp;DATE($B74,1,1),tblVideos[Watched On],"&lt;"&amp;DATE($B74+1,1,1),tblVideos[Status],"Watched")</f>
        <v/>
      </c>
      <c r="L74" s="92">
        <f>SUMIFS(tblVideos[Length],tblVideos[Watched On],"&gt;="&amp;DATE($B74,1,1),tblVideos[Watched On],"&lt;"&amp;DATE($B74+1,1,1),tblVideos[Status],"Watched")</f>
        <v/>
      </c>
    </row>
    <row r="75">
      <c r="B75" s="82" t="n">
        <v>2023</v>
      </c>
      <c r="C75" s="83">
        <f>COUNTIFS(tblVideos[Day],"&gt;="&amp;DATE($B75,1,1),tblVideos[Day],"&lt;"&amp;DATE($B75+1,1,1),tblVideos[Channel ID],Channels!$E$6)</f>
        <v/>
      </c>
      <c r="D75" s="83">
        <f>COUNTIFS(tblVideos[Day],"&gt;="&amp;DATE($B75,1,1),tblVideos[Day],"&lt;"&amp;DATE($B75+1,1,1),tblVideos[Channel ID],Channels!$E$7)</f>
        <v/>
      </c>
      <c r="E75" s="83">
        <f>COUNTIFS(tblVideos[Day],"&gt;="&amp;DATE($B75,1,1),tblVideos[Day],"&lt;"&amp;DATE($B75+1,1,1),tblVideos[Channel ID],Channels!$E$8)</f>
        <v/>
      </c>
      <c r="F75" s="83">
        <f>COUNTIFS(tblVideos[Day],"&gt;="&amp;DATE($B75,1,1),tblVideos[Day],"&lt;"&amp;DATE($B75+1,1,1),tblVideos[Channel ID],Channels!$E$9)</f>
        <v/>
      </c>
      <c r="G75" s="83">
        <f>COUNTIFS(tblVideos[Day],"&gt;="&amp;DATE($B75,1,1),tblVideos[Day],"&lt;"&amp;DATE($B75+1,1,1),tblVideos[Channel ID],Channels!$E$10)</f>
        <v/>
      </c>
      <c r="H75" s="83">
        <f>COUNTIFS(tblVideos[Day],"&gt;="&amp;DATE($B75,1,1),tblVideos[Day],"&lt;"&amp;DATE($B75+1,1,1),tblVideos[Channel ID],Channels!$E$11)</f>
        <v/>
      </c>
      <c r="I75" s="26">
        <f>SUM(C75:H75)</f>
        <v/>
      </c>
      <c r="J75" s="92">
        <f>SUMIFS(tblVideos[Length],tblVideos[Day],"&gt;="&amp;DATE($B75,1,1),tblVideos[Day],"&lt;"&amp;DATE($B75+1,1,1))</f>
        <v/>
      </c>
      <c r="K75" s="83">
        <f>COUNTIFS(tblVideos[Watched On],"&gt;="&amp;DATE($B75,1,1),tblVideos[Watched On],"&lt;"&amp;DATE($B75+1,1,1),tblVideos[Status],"Watched")</f>
        <v/>
      </c>
      <c r="L75" s="92">
        <f>SUMIFS(tblVideos[Length],tblVideos[Watched On],"&gt;="&amp;DATE($B75,1,1),tblVideos[Watched On],"&lt;"&amp;DATE($B75+1,1,1),tblVideos[Status],"Watched")</f>
        <v/>
      </c>
    </row>
    <row r="76">
      <c r="B76" s="82" t="n">
        <v>2024</v>
      </c>
      <c r="C76" s="83">
        <f>COUNTIFS(tblVideos[Day],"&gt;="&amp;DATE($B76,1,1),tblVideos[Day],"&lt;"&amp;DATE($B76+1,1,1),tblVideos[Channel ID],Channels!$E$6)</f>
        <v/>
      </c>
      <c r="D76" s="83">
        <f>COUNTIFS(tblVideos[Day],"&gt;="&amp;DATE($B76,1,1),tblVideos[Day],"&lt;"&amp;DATE($B76+1,1,1),tblVideos[Channel ID],Channels!$E$7)</f>
        <v/>
      </c>
      <c r="E76" s="83">
        <f>COUNTIFS(tblVideos[Day],"&gt;="&amp;DATE($B76,1,1),tblVideos[Day],"&lt;"&amp;DATE($B76+1,1,1),tblVideos[Channel ID],Channels!$E$8)</f>
        <v/>
      </c>
      <c r="F76" s="83">
        <f>COUNTIFS(tblVideos[Day],"&gt;="&amp;DATE($B76,1,1),tblVideos[Day],"&lt;"&amp;DATE($B76+1,1,1),tblVideos[Channel ID],Channels!$E$9)</f>
        <v/>
      </c>
      <c r="G76" s="83">
        <f>COUNTIFS(tblVideos[Day],"&gt;="&amp;DATE($B76,1,1),tblVideos[Day],"&lt;"&amp;DATE($B76+1,1,1),tblVideos[Channel ID],Channels!$E$10)</f>
        <v/>
      </c>
      <c r="H76" s="83">
        <f>COUNTIFS(tblVideos[Day],"&gt;="&amp;DATE($B76,1,1),tblVideos[Day],"&lt;"&amp;DATE($B76+1,1,1),tblVideos[Channel ID],Channels!$E$11)</f>
        <v/>
      </c>
      <c r="I76" s="26">
        <f>SUM(C76:H76)</f>
        <v/>
      </c>
      <c r="J76" s="92">
        <f>SUMIFS(tblVideos[Length],tblVideos[Day],"&gt;="&amp;DATE($B76,1,1),tblVideos[Day],"&lt;"&amp;DATE($B76+1,1,1))</f>
        <v/>
      </c>
      <c r="K76" s="83">
        <f>COUNTIFS(tblVideos[Watched On],"&gt;="&amp;DATE($B76,1,1),tblVideos[Watched On],"&lt;"&amp;DATE($B76+1,1,1),tblVideos[Status],"Watched")</f>
        <v/>
      </c>
      <c r="L76" s="92">
        <f>SUMIFS(tblVideos[Length],tblVideos[Watched On],"&gt;="&amp;DATE($B76,1,1),tblVideos[Watched On],"&lt;"&amp;DATE($B76+1,1,1),tblVideos[Status],"Watched")</f>
        <v/>
      </c>
    </row>
    <row r="77">
      <c r="B77" s="82" t="n">
        <v>2025</v>
      </c>
      <c r="C77" s="83">
        <f>COUNTIFS(tblVideos[Day],"&gt;="&amp;DATE($B77,1,1),tblVideos[Day],"&lt;"&amp;DATE($B77+1,1,1),tblVideos[Channel ID],Channels!$E$6)</f>
        <v/>
      </c>
      <c r="D77" s="83">
        <f>COUNTIFS(tblVideos[Day],"&gt;="&amp;DATE($B77,1,1),tblVideos[Day],"&lt;"&amp;DATE($B77+1,1,1),tblVideos[Channel ID],Channels!$E$7)</f>
        <v/>
      </c>
      <c r="E77" s="83">
        <f>COUNTIFS(tblVideos[Day],"&gt;="&amp;DATE($B77,1,1),tblVideos[Day],"&lt;"&amp;DATE($B77+1,1,1),tblVideos[Channel ID],Channels!$E$8)</f>
        <v/>
      </c>
      <c r="F77" s="83">
        <f>COUNTIFS(tblVideos[Day],"&gt;="&amp;DATE($B77,1,1),tblVideos[Day],"&lt;"&amp;DATE($B77+1,1,1),tblVideos[Channel ID],Channels!$E$9)</f>
        <v/>
      </c>
      <c r="G77" s="83">
        <f>COUNTIFS(tblVideos[Day],"&gt;="&amp;DATE($B77,1,1),tblVideos[Day],"&lt;"&amp;DATE($B77+1,1,1),tblVideos[Channel ID],Channels!$E$10)</f>
        <v/>
      </c>
      <c r="H77" s="83">
        <f>COUNTIFS(tblVideos[Day],"&gt;="&amp;DATE($B77,1,1),tblVideos[Day],"&lt;"&amp;DATE($B77+1,1,1),tblVideos[Channel ID],Channels!$E$11)</f>
        <v/>
      </c>
      <c r="I77" s="26">
        <f>SUM(C77:H77)</f>
        <v/>
      </c>
      <c r="J77" s="92">
        <f>SUMIFS(tblVideos[Length],tblVideos[Day],"&gt;="&amp;DATE($B77,1,1),tblVideos[Day],"&lt;"&amp;DATE($B77+1,1,1))</f>
        <v/>
      </c>
      <c r="K77" s="83">
        <f>COUNTIFS(tblVideos[Watched On],"&gt;="&amp;DATE($B77,1,1),tblVideos[Watched On],"&lt;"&amp;DATE($B77+1,1,1),tblVideos[Status],"Watched")</f>
        <v/>
      </c>
      <c r="L77" s="92">
        <f>SUMIFS(tblVideos[Length],tblVideos[Watched On],"&gt;="&amp;DATE($B77,1,1),tblVideos[Watched On],"&lt;"&amp;DATE($B77+1,1,1),tblVideos[Status],"Watched")</f>
        <v/>
      </c>
    </row>
    <row r="78">
      <c r="B78" s="82" t="n">
        <v>2026</v>
      </c>
      <c r="C78" s="83">
        <f>COUNTIFS(tblVideos[Day],"&gt;="&amp;DATE($B78,1,1),tblVideos[Day],"&lt;"&amp;DATE($B78+1,1,1),tblVideos[Channel ID],Channels!$E$6)</f>
        <v/>
      </c>
      <c r="D78" s="83">
        <f>COUNTIFS(tblVideos[Day],"&gt;="&amp;DATE($B78,1,1),tblVideos[Day],"&lt;"&amp;DATE($B78+1,1,1),tblVideos[Channel ID],Channels!$E$7)</f>
        <v/>
      </c>
      <c r="E78" s="83">
        <f>COUNTIFS(tblVideos[Day],"&gt;="&amp;DATE($B78,1,1),tblVideos[Day],"&lt;"&amp;DATE($B78+1,1,1),tblVideos[Channel ID],Channels!$E$8)</f>
        <v/>
      </c>
      <c r="F78" s="83">
        <f>COUNTIFS(tblVideos[Day],"&gt;="&amp;DATE($B78,1,1),tblVideos[Day],"&lt;"&amp;DATE($B78+1,1,1),tblVideos[Channel ID],Channels!$E$9)</f>
        <v/>
      </c>
      <c r="G78" s="83">
        <f>COUNTIFS(tblVideos[Day],"&gt;="&amp;DATE($B78,1,1),tblVideos[Day],"&lt;"&amp;DATE($B78+1,1,1),tblVideos[Channel ID],Channels!$E$10)</f>
        <v/>
      </c>
      <c r="H78" s="83">
        <f>COUNTIFS(tblVideos[Day],"&gt;="&amp;DATE($B78,1,1),tblVideos[Day],"&lt;"&amp;DATE($B78+1,1,1),tblVideos[Channel ID],Channels!$E$11)</f>
        <v/>
      </c>
      <c r="I78" s="26">
        <f>SUM(C78:H78)</f>
        <v/>
      </c>
      <c r="J78" s="92">
        <f>SUMIFS(tblVideos[Length],tblVideos[Day],"&gt;="&amp;DATE($B78,1,1),tblVideos[Day],"&lt;"&amp;DATE($B78+1,1,1))</f>
        <v/>
      </c>
      <c r="K78" s="83">
        <f>COUNTIFS(tblVideos[Watched On],"&gt;="&amp;DATE($B78,1,1),tblVideos[Watched On],"&lt;"&amp;DATE($B78+1,1,1),tblVideos[Status],"Watched")</f>
        <v/>
      </c>
      <c r="L78" s="92">
        <f>SUMIFS(tblVideos[Length],tblVideos[Watched On],"&gt;="&amp;DATE($B78,1,1),tblVideos[Watched On],"&lt;"&amp;DATE($B78+1,1,1),tblVideos[Status],"Watched")</f>
        <v/>
      </c>
    </row>
    <row r="100" ht="20" customHeight="1">
      <c r="B100" s="10" t="inlineStr">
        <is>
          <t>Month-by-month timeline</t>
        </is>
      </c>
      <c r="C100" s="11" t="n"/>
      <c r="D100" s="11" t="n"/>
      <c r="E100" s="11" t="n"/>
      <c r="F100" s="11" t="n"/>
      <c r="G100" s="11" t="n"/>
      <c r="H100" s="11" t="n"/>
      <c r="I100" s="11" t="n"/>
      <c r="J100" s="11" t="n"/>
      <c r="K100" s="11" t="n"/>
      <c r="L100" s="11" t="n"/>
      <c r="M100" s="11" t="n"/>
      <c r="N100" s="11" t="n"/>
      <c r="O100" s="11" t="n"/>
    </row>
    <row r="143" ht="46" customHeight="1">
      <c r="B143" s="12" t="inlineStr">
        <is>
          <t>Month</t>
        </is>
      </c>
      <c r="C143" s="85">
        <f>Channels!$C$6</f>
        <v/>
      </c>
      <c r="D143" s="86">
        <f>Channels!$C$7</f>
        <v/>
      </c>
      <c r="E143" s="87">
        <f>Channels!$C$8</f>
        <v/>
      </c>
      <c r="F143" s="88">
        <f>Channels!$C$9</f>
        <v/>
      </c>
      <c r="G143" s="89">
        <f>Channels!$C$10</f>
        <v/>
      </c>
      <c r="H143" s="90">
        <f>Channels!$C$11</f>
        <v/>
      </c>
      <c r="I143" s="12" t="inlineStr">
        <is>
          <t>Total</t>
        </is>
      </c>
      <c r="J143" s="12" t="inlineStr">
        <is>
          <t>Time uploaded</t>
        </is>
      </c>
      <c r="K143" s="12" t="inlineStr">
        <is>
          <t>Watched (dated)</t>
        </is>
      </c>
      <c r="L143" s="12" t="inlineStr">
        <is>
          <t>Time watched (dated)</t>
        </is>
      </c>
      <c r="M143" s="12" t="inlineStr">
        <is>
          <t>Activity</t>
        </is>
      </c>
    </row>
    <row r="144">
      <c r="B144" s="93" t="n">
        <v>41030</v>
      </c>
      <c r="C144" s="83">
        <f>COUNTIFS(tblVideos[Day],"&gt;="&amp;$B144,tblVideos[Day],"&lt;"&amp;EDATE($B144,1),tblVideos[Channel ID],Channels!$E$6)</f>
        <v/>
      </c>
      <c r="D144" s="83">
        <f>COUNTIFS(tblVideos[Day],"&gt;="&amp;$B144,tblVideos[Day],"&lt;"&amp;EDATE($B144,1),tblVideos[Channel ID],Channels!$E$7)</f>
        <v/>
      </c>
      <c r="E144" s="83">
        <f>COUNTIFS(tblVideos[Day],"&gt;="&amp;$B144,tblVideos[Day],"&lt;"&amp;EDATE($B144,1),tblVideos[Channel ID],Channels!$E$8)</f>
        <v/>
      </c>
      <c r="F144" s="83">
        <f>COUNTIFS(tblVideos[Day],"&gt;="&amp;$B144,tblVideos[Day],"&lt;"&amp;EDATE($B144,1),tblVideos[Channel ID],Channels!$E$9)</f>
        <v/>
      </c>
      <c r="G144" s="83">
        <f>COUNTIFS(tblVideos[Day],"&gt;="&amp;$B144,tblVideos[Day],"&lt;"&amp;EDATE($B144,1),tblVideos[Channel ID],Channels!$E$10)</f>
        <v/>
      </c>
      <c r="H144" s="83">
        <f>COUNTIFS(tblVideos[Day],"&gt;="&amp;$B144,tblVideos[Day],"&lt;"&amp;EDATE($B144,1),tblVideos[Channel ID],Channels!$E$11)</f>
        <v/>
      </c>
      <c r="I144" s="91">
        <f>SUM(C144:H144)</f>
        <v/>
      </c>
      <c r="J144" s="92">
        <f>SUMIFS(tblVideos[Length],tblVideos[Day],"&gt;="&amp;$B144,tblVideos[Day],"&lt;"&amp;EDATE($B144,1))</f>
        <v/>
      </c>
      <c r="K144" s="83">
        <f>COUNTIFS(tblVideos[Watched On],"&gt;="&amp;$B144,tblVideos[Watched On],"&lt;"&amp;EDATE($B144,1),tblVideos[Status],"Watched")</f>
        <v/>
      </c>
      <c r="L144" s="92">
        <f>SUMIFS(tblVideos[Length],tblVideos[Watched On],"&gt;="&amp;$B144,tblVideos[Watched On],"&lt;"&amp;EDATE($B144,1),tblVideos[Status],"Watched")</f>
        <v/>
      </c>
      <c r="M144" s="94">
        <f>IF(I144=0,"Gap",IF(I144&gt;AVERAGE($I$144:$I$317)+2*STDEV($I$144:$I$317),"High",""))</f>
        <v/>
      </c>
    </row>
    <row r="145">
      <c r="B145" s="93" t="n">
        <v>41061</v>
      </c>
      <c r="C145" s="83">
        <f>COUNTIFS(tblVideos[Day],"&gt;="&amp;$B145,tblVideos[Day],"&lt;"&amp;EDATE($B145,1),tblVideos[Channel ID],Channels!$E$6)</f>
        <v/>
      </c>
      <c r="D145" s="83">
        <f>COUNTIFS(tblVideos[Day],"&gt;="&amp;$B145,tblVideos[Day],"&lt;"&amp;EDATE($B145,1),tblVideos[Channel ID],Channels!$E$7)</f>
        <v/>
      </c>
      <c r="E145" s="83">
        <f>COUNTIFS(tblVideos[Day],"&gt;="&amp;$B145,tblVideos[Day],"&lt;"&amp;EDATE($B145,1),tblVideos[Channel ID],Channels!$E$8)</f>
        <v/>
      </c>
      <c r="F145" s="83">
        <f>COUNTIFS(tblVideos[Day],"&gt;="&amp;$B145,tblVideos[Day],"&lt;"&amp;EDATE($B145,1),tblVideos[Channel ID],Channels!$E$9)</f>
        <v/>
      </c>
      <c r="G145" s="83">
        <f>COUNTIFS(tblVideos[Day],"&gt;="&amp;$B145,tblVideos[Day],"&lt;"&amp;EDATE($B145,1),tblVideos[Channel ID],Channels!$E$10)</f>
        <v/>
      </c>
      <c r="H145" s="83">
        <f>COUNTIFS(tblVideos[Day],"&gt;="&amp;$B145,tblVideos[Day],"&lt;"&amp;EDATE($B145,1),tblVideos[Channel ID],Channels!$E$11)</f>
        <v/>
      </c>
      <c r="I145" s="91">
        <f>SUM(C145:H145)</f>
        <v/>
      </c>
      <c r="J145" s="92">
        <f>SUMIFS(tblVideos[Length],tblVideos[Day],"&gt;="&amp;$B145,tblVideos[Day],"&lt;"&amp;EDATE($B145,1))</f>
        <v/>
      </c>
      <c r="K145" s="83">
        <f>COUNTIFS(tblVideos[Watched On],"&gt;="&amp;$B145,tblVideos[Watched On],"&lt;"&amp;EDATE($B145,1),tblVideos[Status],"Watched")</f>
        <v/>
      </c>
      <c r="L145" s="92">
        <f>SUMIFS(tblVideos[Length],tblVideos[Watched On],"&gt;="&amp;$B145,tblVideos[Watched On],"&lt;"&amp;EDATE($B145,1),tblVideos[Status],"Watched")</f>
        <v/>
      </c>
      <c r="M145" s="94">
        <f>IF(I145=0,"Gap",IF(I145&gt;AVERAGE($I$144:$I$317)+2*STDEV($I$144:$I$317),"High",""))</f>
        <v/>
      </c>
    </row>
    <row r="146">
      <c r="B146" s="93" t="n">
        <v>41091</v>
      </c>
      <c r="C146" s="83">
        <f>COUNTIFS(tblVideos[Day],"&gt;="&amp;$B146,tblVideos[Day],"&lt;"&amp;EDATE($B146,1),tblVideos[Channel ID],Channels!$E$6)</f>
        <v/>
      </c>
      <c r="D146" s="83">
        <f>COUNTIFS(tblVideos[Day],"&gt;="&amp;$B146,tblVideos[Day],"&lt;"&amp;EDATE($B146,1),tblVideos[Channel ID],Channels!$E$7)</f>
        <v/>
      </c>
      <c r="E146" s="83">
        <f>COUNTIFS(tblVideos[Day],"&gt;="&amp;$B146,tblVideos[Day],"&lt;"&amp;EDATE($B146,1),tblVideos[Channel ID],Channels!$E$8)</f>
        <v/>
      </c>
      <c r="F146" s="83">
        <f>COUNTIFS(tblVideos[Day],"&gt;="&amp;$B146,tblVideos[Day],"&lt;"&amp;EDATE($B146,1),tblVideos[Channel ID],Channels!$E$9)</f>
        <v/>
      </c>
      <c r="G146" s="83">
        <f>COUNTIFS(tblVideos[Day],"&gt;="&amp;$B146,tblVideos[Day],"&lt;"&amp;EDATE($B146,1),tblVideos[Channel ID],Channels!$E$10)</f>
        <v/>
      </c>
      <c r="H146" s="83">
        <f>COUNTIFS(tblVideos[Day],"&gt;="&amp;$B146,tblVideos[Day],"&lt;"&amp;EDATE($B146,1),tblVideos[Channel ID],Channels!$E$11)</f>
        <v/>
      </c>
      <c r="I146" s="91">
        <f>SUM(C146:H146)</f>
        <v/>
      </c>
      <c r="J146" s="92">
        <f>SUMIFS(tblVideos[Length],tblVideos[Day],"&gt;="&amp;$B146,tblVideos[Day],"&lt;"&amp;EDATE($B146,1))</f>
        <v/>
      </c>
      <c r="K146" s="83">
        <f>COUNTIFS(tblVideos[Watched On],"&gt;="&amp;$B146,tblVideos[Watched On],"&lt;"&amp;EDATE($B146,1),tblVideos[Status],"Watched")</f>
        <v/>
      </c>
      <c r="L146" s="92">
        <f>SUMIFS(tblVideos[Length],tblVideos[Watched On],"&gt;="&amp;$B146,tblVideos[Watched On],"&lt;"&amp;EDATE($B146,1),tblVideos[Status],"Watched")</f>
        <v/>
      </c>
      <c r="M146" s="94">
        <f>IF(I146=0,"Gap",IF(I146&gt;AVERAGE($I$144:$I$317)+2*STDEV($I$144:$I$317),"High",""))</f>
        <v/>
      </c>
    </row>
    <row r="147">
      <c r="B147" s="93" t="n">
        <v>41122</v>
      </c>
      <c r="C147" s="83">
        <f>COUNTIFS(tblVideos[Day],"&gt;="&amp;$B147,tblVideos[Day],"&lt;"&amp;EDATE($B147,1),tblVideos[Channel ID],Channels!$E$6)</f>
        <v/>
      </c>
      <c r="D147" s="83">
        <f>COUNTIFS(tblVideos[Day],"&gt;="&amp;$B147,tblVideos[Day],"&lt;"&amp;EDATE($B147,1),tblVideos[Channel ID],Channels!$E$7)</f>
        <v/>
      </c>
      <c r="E147" s="83">
        <f>COUNTIFS(tblVideos[Day],"&gt;="&amp;$B147,tblVideos[Day],"&lt;"&amp;EDATE($B147,1),tblVideos[Channel ID],Channels!$E$8)</f>
        <v/>
      </c>
      <c r="F147" s="83">
        <f>COUNTIFS(tblVideos[Day],"&gt;="&amp;$B147,tblVideos[Day],"&lt;"&amp;EDATE($B147,1),tblVideos[Channel ID],Channels!$E$9)</f>
        <v/>
      </c>
      <c r="G147" s="83">
        <f>COUNTIFS(tblVideos[Day],"&gt;="&amp;$B147,tblVideos[Day],"&lt;"&amp;EDATE($B147,1),tblVideos[Channel ID],Channels!$E$10)</f>
        <v/>
      </c>
      <c r="H147" s="83">
        <f>COUNTIFS(tblVideos[Day],"&gt;="&amp;$B147,tblVideos[Day],"&lt;"&amp;EDATE($B147,1),tblVideos[Channel ID],Channels!$E$11)</f>
        <v/>
      </c>
      <c r="I147" s="91">
        <f>SUM(C147:H147)</f>
        <v/>
      </c>
      <c r="J147" s="92">
        <f>SUMIFS(tblVideos[Length],tblVideos[Day],"&gt;="&amp;$B147,tblVideos[Day],"&lt;"&amp;EDATE($B147,1))</f>
        <v/>
      </c>
      <c r="K147" s="83">
        <f>COUNTIFS(tblVideos[Watched On],"&gt;="&amp;$B147,tblVideos[Watched On],"&lt;"&amp;EDATE($B147,1),tblVideos[Status],"Watched")</f>
        <v/>
      </c>
      <c r="L147" s="92">
        <f>SUMIFS(tblVideos[Length],tblVideos[Watched On],"&gt;="&amp;$B147,tblVideos[Watched On],"&lt;"&amp;EDATE($B147,1),tblVideos[Status],"Watched")</f>
        <v/>
      </c>
      <c r="M147" s="94">
        <f>IF(I147=0,"Gap",IF(I147&gt;AVERAGE($I$144:$I$317)+2*STDEV($I$144:$I$317),"High",""))</f>
        <v/>
      </c>
    </row>
    <row r="148">
      <c r="B148" s="93" t="n">
        <v>41153</v>
      </c>
      <c r="C148" s="83">
        <f>COUNTIFS(tblVideos[Day],"&gt;="&amp;$B148,tblVideos[Day],"&lt;"&amp;EDATE($B148,1),tblVideos[Channel ID],Channels!$E$6)</f>
        <v/>
      </c>
      <c r="D148" s="83">
        <f>COUNTIFS(tblVideos[Day],"&gt;="&amp;$B148,tblVideos[Day],"&lt;"&amp;EDATE($B148,1),tblVideos[Channel ID],Channels!$E$7)</f>
        <v/>
      </c>
      <c r="E148" s="83">
        <f>COUNTIFS(tblVideos[Day],"&gt;="&amp;$B148,tblVideos[Day],"&lt;"&amp;EDATE($B148,1),tblVideos[Channel ID],Channels!$E$8)</f>
        <v/>
      </c>
      <c r="F148" s="83">
        <f>COUNTIFS(tblVideos[Day],"&gt;="&amp;$B148,tblVideos[Day],"&lt;"&amp;EDATE($B148,1),tblVideos[Channel ID],Channels!$E$9)</f>
        <v/>
      </c>
      <c r="G148" s="83">
        <f>COUNTIFS(tblVideos[Day],"&gt;="&amp;$B148,tblVideos[Day],"&lt;"&amp;EDATE($B148,1),tblVideos[Channel ID],Channels!$E$10)</f>
        <v/>
      </c>
      <c r="H148" s="83">
        <f>COUNTIFS(tblVideos[Day],"&gt;="&amp;$B148,tblVideos[Day],"&lt;"&amp;EDATE($B148,1),tblVideos[Channel ID],Channels!$E$11)</f>
        <v/>
      </c>
      <c r="I148" s="91">
        <f>SUM(C148:H148)</f>
        <v/>
      </c>
      <c r="J148" s="92">
        <f>SUMIFS(tblVideos[Length],tblVideos[Day],"&gt;="&amp;$B148,tblVideos[Day],"&lt;"&amp;EDATE($B148,1))</f>
        <v/>
      </c>
      <c r="K148" s="83">
        <f>COUNTIFS(tblVideos[Watched On],"&gt;="&amp;$B148,tblVideos[Watched On],"&lt;"&amp;EDATE($B148,1),tblVideos[Status],"Watched")</f>
        <v/>
      </c>
      <c r="L148" s="92">
        <f>SUMIFS(tblVideos[Length],tblVideos[Watched On],"&gt;="&amp;$B148,tblVideos[Watched On],"&lt;"&amp;EDATE($B148,1),tblVideos[Status],"Watched")</f>
        <v/>
      </c>
      <c r="M148" s="94">
        <f>IF(I148=0,"Gap",IF(I148&gt;AVERAGE($I$144:$I$317)+2*STDEV($I$144:$I$317),"High",""))</f>
        <v/>
      </c>
    </row>
    <row r="149">
      <c r="B149" s="93" t="n">
        <v>41183</v>
      </c>
      <c r="C149" s="83">
        <f>COUNTIFS(tblVideos[Day],"&gt;="&amp;$B149,tblVideos[Day],"&lt;"&amp;EDATE($B149,1),tblVideos[Channel ID],Channels!$E$6)</f>
        <v/>
      </c>
      <c r="D149" s="83">
        <f>COUNTIFS(tblVideos[Day],"&gt;="&amp;$B149,tblVideos[Day],"&lt;"&amp;EDATE($B149,1),tblVideos[Channel ID],Channels!$E$7)</f>
        <v/>
      </c>
      <c r="E149" s="83">
        <f>COUNTIFS(tblVideos[Day],"&gt;="&amp;$B149,tblVideos[Day],"&lt;"&amp;EDATE($B149,1),tblVideos[Channel ID],Channels!$E$8)</f>
        <v/>
      </c>
      <c r="F149" s="83">
        <f>COUNTIFS(tblVideos[Day],"&gt;="&amp;$B149,tblVideos[Day],"&lt;"&amp;EDATE($B149,1),tblVideos[Channel ID],Channels!$E$9)</f>
        <v/>
      </c>
      <c r="G149" s="83">
        <f>COUNTIFS(tblVideos[Day],"&gt;="&amp;$B149,tblVideos[Day],"&lt;"&amp;EDATE($B149,1),tblVideos[Channel ID],Channels!$E$10)</f>
        <v/>
      </c>
      <c r="H149" s="83">
        <f>COUNTIFS(tblVideos[Day],"&gt;="&amp;$B149,tblVideos[Day],"&lt;"&amp;EDATE($B149,1),tblVideos[Channel ID],Channels!$E$11)</f>
        <v/>
      </c>
      <c r="I149" s="91">
        <f>SUM(C149:H149)</f>
        <v/>
      </c>
      <c r="J149" s="92">
        <f>SUMIFS(tblVideos[Length],tblVideos[Day],"&gt;="&amp;$B149,tblVideos[Day],"&lt;"&amp;EDATE($B149,1))</f>
        <v/>
      </c>
      <c r="K149" s="83">
        <f>COUNTIFS(tblVideos[Watched On],"&gt;="&amp;$B149,tblVideos[Watched On],"&lt;"&amp;EDATE($B149,1),tblVideos[Status],"Watched")</f>
        <v/>
      </c>
      <c r="L149" s="92">
        <f>SUMIFS(tblVideos[Length],tblVideos[Watched On],"&gt;="&amp;$B149,tblVideos[Watched On],"&lt;"&amp;EDATE($B149,1),tblVideos[Status],"Watched")</f>
        <v/>
      </c>
      <c r="M149" s="94">
        <f>IF(I149=0,"Gap",IF(I149&gt;AVERAGE($I$144:$I$317)+2*STDEV($I$144:$I$317),"High",""))</f>
        <v/>
      </c>
    </row>
    <row r="150">
      <c r="B150" s="93" t="n">
        <v>41214</v>
      </c>
      <c r="C150" s="83">
        <f>COUNTIFS(tblVideos[Day],"&gt;="&amp;$B150,tblVideos[Day],"&lt;"&amp;EDATE($B150,1),tblVideos[Channel ID],Channels!$E$6)</f>
        <v/>
      </c>
      <c r="D150" s="83">
        <f>COUNTIFS(tblVideos[Day],"&gt;="&amp;$B150,tblVideos[Day],"&lt;"&amp;EDATE($B150,1),tblVideos[Channel ID],Channels!$E$7)</f>
        <v/>
      </c>
      <c r="E150" s="83">
        <f>COUNTIFS(tblVideos[Day],"&gt;="&amp;$B150,tblVideos[Day],"&lt;"&amp;EDATE($B150,1),tblVideos[Channel ID],Channels!$E$8)</f>
        <v/>
      </c>
      <c r="F150" s="83">
        <f>COUNTIFS(tblVideos[Day],"&gt;="&amp;$B150,tblVideos[Day],"&lt;"&amp;EDATE($B150,1),tblVideos[Channel ID],Channels!$E$9)</f>
        <v/>
      </c>
      <c r="G150" s="83">
        <f>COUNTIFS(tblVideos[Day],"&gt;="&amp;$B150,tblVideos[Day],"&lt;"&amp;EDATE($B150,1),tblVideos[Channel ID],Channels!$E$10)</f>
        <v/>
      </c>
      <c r="H150" s="83">
        <f>COUNTIFS(tblVideos[Day],"&gt;="&amp;$B150,tblVideos[Day],"&lt;"&amp;EDATE($B150,1),tblVideos[Channel ID],Channels!$E$11)</f>
        <v/>
      </c>
      <c r="I150" s="91">
        <f>SUM(C150:H150)</f>
        <v/>
      </c>
      <c r="J150" s="92">
        <f>SUMIFS(tblVideos[Length],tblVideos[Day],"&gt;="&amp;$B150,tblVideos[Day],"&lt;"&amp;EDATE($B150,1))</f>
        <v/>
      </c>
      <c r="K150" s="83">
        <f>COUNTIFS(tblVideos[Watched On],"&gt;="&amp;$B150,tblVideos[Watched On],"&lt;"&amp;EDATE($B150,1),tblVideos[Status],"Watched")</f>
        <v/>
      </c>
      <c r="L150" s="92">
        <f>SUMIFS(tblVideos[Length],tblVideos[Watched On],"&gt;="&amp;$B150,tblVideos[Watched On],"&lt;"&amp;EDATE($B150,1),tblVideos[Status],"Watched")</f>
        <v/>
      </c>
      <c r="M150" s="94">
        <f>IF(I150=0,"Gap",IF(I150&gt;AVERAGE($I$144:$I$317)+2*STDEV($I$144:$I$317),"High",""))</f>
        <v/>
      </c>
    </row>
    <row r="151">
      <c r="B151" s="93" t="n">
        <v>41244</v>
      </c>
      <c r="C151" s="83">
        <f>COUNTIFS(tblVideos[Day],"&gt;="&amp;$B151,tblVideos[Day],"&lt;"&amp;EDATE($B151,1),tblVideos[Channel ID],Channels!$E$6)</f>
        <v/>
      </c>
      <c r="D151" s="83">
        <f>COUNTIFS(tblVideos[Day],"&gt;="&amp;$B151,tblVideos[Day],"&lt;"&amp;EDATE($B151,1),tblVideos[Channel ID],Channels!$E$7)</f>
        <v/>
      </c>
      <c r="E151" s="83">
        <f>COUNTIFS(tblVideos[Day],"&gt;="&amp;$B151,tblVideos[Day],"&lt;"&amp;EDATE($B151,1),tblVideos[Channel ID],Channels!$E$8)</f>
        <v/>
      </c>
      <c r="F151" s="83">
        <f>COUNTIFS(tblVideos[Day],"&gt;="&amp;$B151,tblVideos[Day],"&lt;"&amp;EDATE($B151,1),tblVideos[Channel ID],Channels!$E$9)</f>
        <v/>
      </c>
      <c r="G151" s="83">
        <f>COUNTIFS(tblVideos[Day],"&gt;="&amp;$B151,tblVideos[Day],"&lt;"&amp;EDATE($B151,1),tblVideos[Channel ID],Channels!$E$10)</f>
        <v/>
      </c>
      <c r="H151" s="83">
        <f>COUNTIFS(tblVideos[Day],"&gt;="&amp;$B151,tblVideos[Day],"&lt;"&amp;EDATE($B151,1),tblVideos[Channel ID],Channels!$E$11)</f>
        <v/>
      </c>
      <c r="I151" s="91">
        <f>SUM(C151:H151)</f>
        <v/>
      </c>
      <c r="J151" s="92">
        <f>SUMIFS(tblVideos[Length],tblVideos[Day],"&gt;="&amp;$B151,tblVideos[Day],"&lt;"&amp;EDATE($B151,1))</f>
        <v/>
      </c>
      <c r="K151" s="83">
        <f>COUNTIFS(tblVideos[Watched On],"&gt;="&amp;$B151,tblVideos[Watched On],"&lt;"&amp;EDATE($B151,1),tblVideos[Status],"Watched")</f>
        <v/>
      </c>
      <c r="L151" s="92">
        <f>SUMIFS(tblVideos[Length],tblVideos[Watched On],"&gt;="&amp;$B151,tblVideos[Watched On],"&lt;"&amp;EDATE($B151,1),tblVideos[Status],"Watched")</f>
        <v/>
      </c>
      <c r="M151" s="94">
        <f>IF(I151=0,"Gap",IF(I151&gt;AVERAGE($I$144:$I$317)+2*STDEV($I$144:$I$317),"High",""))</f>
        <v/>
      </c>
    </row>
    <row r="152">
      <c r="B152" s="93" t="n">
        <v>41275</v>
      </c>
      <c r="C152" s="83">
        <f>COUNTIFS(tblVideos[Day],"&gt;="&amp;$B152,tblVideos[Day],"&lt;"&amp;EDATE($B152,1),tblVideos[Channel ID],Channels!$E$6)</f>
        <v/>
      </c>
      <c r="D152" s="83">
        <f>COUNTIFS(tblVideos[Day],"&gt;="&amp;$B152,tblVideos[Day],"&lt;"&amp;EDATE($B152,1),tblVideos[Channel ID],Channels!$E$7)</f>
        <v/>
      </c>
      <c r="E152" s="83">
        <f>COUNTIFS(tblVideos[Day],"&gt;="&amp;$B152,tblVideos[Day],"&lt;"&amp;EDATE($B152,1),tblVideos[Channel ID],Channels!$E$8)</f>
        <v/>
      </c>
      <c r="F152" s="83">
        <f>COUNTIFS(tblVideos[Day],"&gt;="&amp;$B152,tblVideos[Day],"&lt;"&amp;EDATE($B152,1),tblVideos[Channel ID],Channels!$E$9)</f>
        <v/>
      </c>
      <c r="G152" s="83">
        <f>COUNTIFS(tblVideos[Day],"&gt;="&amp;$B152,tblVideos[Day],"&lt;"&amp;EDATE($B152,1),tblVideos[Channel ID],Channels!$E$10)</f>
        <v/>
      </c>
      <c r="H152" s="83">
        <f>COUNTIFS(tblVideos[Day],"&gt;="&amp;$B152,tblVideos[Day],"&lt;"&amp;EDATE($B152,1),tblVideos[Channel ID],Channels!$E$11)</f>
        <v/>
      </c>
      <c r="I152" s="91">
        <f>SUM(C152:H152)</f>
        <v/>
      </c>
      <c r="J152" s="92">
        <f>SUMIFS(tblVideos[Length],tblVideos[Day],"&gt;="&amp;$B152,tblVideos[Day],"&lt;"&amp;EDATE($B152,1))</f>
        <v/>
      </c>
      <c r="K152" s="83">
        <f>COUNTIFS(tblVideos[Watched On],"&gt;="&amp;$B152,tblVideos[Watched On],"&lt;"&amp;EDATE($B152,1),tblVideos[Status],"Watched")</f>
        <v/>
      </c>
      <c r="L152" s="92">
        <f>SUMIFS(tblVideos[Length],tblVideos[Watched On],"&gt;="&amp;$B152,tblVideos[Watched On],"&lt;"&amp;EDATE($B152,1),tblVideos[Status],"Watched")</f>
        <v/>
      </c>
      <c r="M152" s="94">
        <f>IF(I152=0,"Gap",IF(I152&gt;AVERAGE($I$144:$I$317)+2*STDEV($I$144:$I$317),"High",""))</f>
        <v/>
      </c>
    </row>
    <row r="153">
      <c r="B153" s="93" t="n">
        <v>41306</v>
      </c>
      <c r="C153" s="83">
        <f>COUNTIFS(tblVideos[Day],"&gt;="&amp;$B153,tblVideos[Day],"&lt;"&amp;EDATE($B153,1),tblVideos[Channel ID],Channels!$E$6)</f>
        <v/>
      </c>
      <c r="D153" s="83">
        <f>COUNTIFS(tblVideos[Day],"&gt;="&amp;$B153,tblVideos[Day],"&lt;"&amp;EDATE($B153,1),tblVideos[Channel ID],Channels!$E$7)</f>
        <v/>
      </c>
      <c r="E153" s="83">
        <f>COUNTIFS(tblVideos[Day],"&gt;="&amp;$B153,tblVideos[Day],"&lt;"&amp;EDATE($B153,1),tblVideos[Channel ID],Channels!$E$8)</f>
        <v/>
      </c>
      <c r="F153" s="83">
        <f>COUNTIFS(tblVideos[Day],"&gt;="&amp;$B153,tblVideos[Day],"&lt;"&amp;EDATE($B153,1),tblVideos[Channel ID],Channels!$E$9)</f>
        <v/>
      </c>
      <c r="G153" s="83">
        <f>COUNTIFS(tblVideos[Day],"&gt;="&amp;$B153,tblVideos[Day],"&lt;"&amp;EDATE($B153,1),tblVideos[Channel ID],Channels!$E$10)</f>
        <v/>
      </c>
      <c r="H153" s="83">
        <f>COUNTIFS(tblVideos[Day],"&gt;="&amp;$B153,tblVideos[Day],"&lt;"&amp;EDATE($B153,1),tblVideos[Channel ID],Channels!$E$11)</f>
        <v/>
      </c>
      <c r="I153" s="91">
        <f>SUM(C153:H153)</f>
        <v/>
      </c>
      <c r="J153" s="92">
        <f>SUMIFS(tblVideos[Length],tblVideos[Day],"&gt;="&amp;$B153,tblVideos[Day],"&lt;"&amp;EDATE($B153,1))</f>
        <v/>
      </c>
      <c r="K153" s="83">
        <f>COUNTIFS(tblVideos[Watched On],"&gt;="&amp;$B153,tblVideos[Watched On],"&lt;"&amp;EDATE($B153,1),tblVideos[Status],"Watched")</f>
        <v/>
      </c>
      <c r="L153" s="92">
        <f>SUMIFS(tblVideos[Length],tblVideos[Watched On],"&gt;="&amp;$B153,tblVideos[Watched On],"&lt;"&amp;EDATE($B153,1),tblVideos[Status],"Watched")</f>
        <v/>
      </c>
      <c r="M153" s="94">
        <f>IF(I153=0,"Gap",IF(I153&gt;AVERAGE($I$144:$I$317)+2*STDEV($I$144:$I$317),"High",""))</f>
        <v/>
      </c>
    </row>
    <row r="154">
      <c r="B154" s="93" t="n">
        <v>41334</v>
      </c>
      <c r="C154" s="83">
        <f>COUNTIFS(tblVideos[Day],"&gt;="&amp;$B154,tblVideos[Day],"&lt;"&amp;EDATE($B154,1),tblVideos[Channel ID],Channels!$E$6)</f>
        <v/>
      </c>
      <c r="D154" s="83">
        <f>COUNTIFS(tblVideos[Day],"&gt;="&amp;$B154,tblVideos[Day],"&lt;"&amp;EDATE($B154,1),tblVideos[Channel ID],Channels!$E$7)</f>
        <v/>
      </c>
      <c r="E154" s="83">
        <f>COUNTIFS(tblVideos[Day],"&gt;="&amp;$B154,tblVideos[Day],"&lt;"&amp;EDATE($B154,1),tblVideos[Channel ID],Channels!$E$8)</f>
        <v/>
      </c>
      <c r="F154" s="83">
        <f>COUNTIFS(tblVideos[Day],"&gt;="&amp;$B154,tblVideos[Day],"&lt;"&amp;EDATE($B154,1),tblVideos[Channel ID],Channels!$E$9)</f>
        <v/>
      </c>
      <c r="G154" s="83">
        <f>COUNTIFS(tblVideos[Day],"&gt;="&amp;$B154,tblVideos[Day],"&lt;"&amp;EDATE($B154,1),tblVideos[Channel ID],Channels!$E$10)</f>
        <v/>
      </c>
      <c r="H154" s="83">
        <f>COUNTIFS(tblVideos[Day],"&gt;="&amp;$B154,tblVideos[Day],"&lt;"&amp;EDATE($B154,1),tblVideos[Channel ID],Channels!$E$11)</f>
        <v/>
      </c>
      <c r="I154" s="91">
        <f>SUM(C154:H154)</f>
        <v/>
      </c>
      <c r="J154" s="92">
        <f>SUMIFS(tblVideos[Length],tblVideos[Day],"&gt;="&amp;$B154,tblVideos[Day],"&lt;"&amp;EDATE($B154,1))</f>
        <v/>
      </c>
      <c r="K154" s="83">
        <f>COUNTIFS(tblVideos[Watched On],"&gt;="&amp;$B154,tblVideos[Watched On],"&lt;"&amp;EDATE($B154,1),tblVideos[Status],"Watched")</f>
        <v/>
      </c>
      <c r="L154" s="92">
        <f>SUMIFS(tblVideos[Length],tblVideos[Watched On],"&gt;="&amp;$B154,tblVideos[Watched On],"&lt;"&amp;EDATE($B154,1),tblVideos[Status],"Watched")</f>
        <v/>
      </c>
      <c r="M154" s="94">
        <f>IF(I154=0,"Gap",IF(I154&gt;AVERAGE($I$144:$I$317)+2*STDEV($I$144:$I$317),"High",""))</f>
        <v/>
      </c>
    </row>
    <row r="155">
      <c r="B155" s="93" t="n">
        <v>41365</v>
      </c>
      <c r="C155" s="83">
        <f>COUNTIFS(tblVideos[Day],"&gt;="&amp;$B155,tblVideos[Day],"&lt;"&amp;EDATE($B155,1),tblVideos[Channel ID],Channels!$E$6)</f>
        <v/>
      </c>
      <c r="D155" s="83">
        <f>COUNTIFS(tblVideos[Day],"&gt;="&amp;$B155,tblVideos[Day],"&lt;"&amp;EDATE($B155,1),tblVideos[Channel ID],Channels!$E$7)</f>
        <v/>
      </c>
      <c r="E155" s="83">
        <f>COUNTIFS(tblVideos[Day],"&gt;="&amp;$B155,tblVideos[Day],"&lt;"&amp;EDATE($B155,1),tblVideos[Channel ID],Channels!$E$8)</f>
        <v/>
      </c>
      <c r="F155" s="83">
        <f>COUNTIFS(tblVideos[Day],"&gt;="&amp;$B155,tblVideos[Day],"&lt;"&amp;EDATE($B155,1),tblVideos[Channel ID],Channels!$E$9)</f>
        <v/>
      </c>
      <c r="G155" s="83">
        <f>COUNTIFS(tblVideos[Day],"&gt;="&amp;$B155,tblVideos[Day],"&lt;"&amp;EDATE($B155,1),tblVideos[Channel ID],Channels!$E$10)</f>
        <v/>
      </c>
      <c r="H155" s="83">
        <f>COUNTIFS(tblVideos[Day],"&gt;="&amp;$B155,tblVideos[Day],"&lt;"&amp;EDATE($B155,1),tblVideos[Channel ID],Channels!$E$11)</f>
        <v/>
      </c>
      <c r="I155" s="91">
        <f>SUM(C155:H155)</f>
        <v/>
      </c>
      <c r="J155" s="92">
        <f>SUMIFS(tblVideos[Length],tblVideos[Day],"&gt;="&amp;$B155,tblVideos[Day],"&lt;"&amp;EDATE($B155,1))</f>
        <v/>
      </c>
      <c r="K155" s="83">
        <f>COUNTIFS(tblVideos[Watched On],"&gt;="&amp;$B155,tblVideos[Watched On],"&lt;"&amp;EDATE($B155,1),tblVideos[Status],"Watched")</f>
        <v/>
      </c>
      <c r="L155" s="92">
        <f>SUMIFS(tblVideos[Length],tblVideos[Watched On],"&gt;="&amp;$B155,tblVideos[Watched On],"&lt;"&amp;EDATE($B155,1),tblVideos[Status],"Watched")</f>
        <v/>
      </c>
      <c r="M155" s="94">
        <f>IF(I155=0,"Gap",IF(I155&gt;AVERAGE($I$144:$I$317)+2*STDEV($I$144:$I$317),"High",""))</f>
        <v/>
      </c>
    </row>
    <row r="156">
      <c r="B156" s="93" t="n">
        <v>41395</v>
      </c>
      <c r="C156" s="83">
        <f>COUNTIFS(tblVideos[Day],"&gt;="&amp;$B156,tblVideos[Day],"&lt;"&amp;EDATE($B156,1),tblVideos[Channel ID],Channels!$E$6)</f>
        <v/>
      </c>
      <c r="D156" s="83">
        <f>COUNTIFS(tblVideos[Day],"&gt;="&amp;$B156,tblVideos[Day],"&lt;"&amp;EDATE($B156,1),tblVideos[Channel ID],Channels!$E$7)</f>
        <v/>
      </c>
      <c r="E156" s="83">
        <f>COUNTIFS(tblVideos[Day],"&gt;="&amp;$B156,tblVideos[Day],"&lt;"&amp;EDATE($B156,1),tblVideos[Channel ID],Channels!$E$8)</f>
        <v/>
      </c>
      <c r="F156" s="83">
        <f>COUNTIFS(tblVideos[Day],"&gt;="&amp;$B156,tblVideos[Day],"&lt;"&amp;EDATE($B156,1),tblVideos[Channel ID],Channels!$E$9)</f>
        <v/>
      </c>
      <c r="G156" s="83">
        <f>COUNTIFS(tblVideos[Day],"&gt;="&amp;$B156,tblVideos[Day],"&lt;"&amp;EDATE($B156,1),tblVideos[Channel ID],Channels!$E$10)</f>
        <v/>
      </c>
      <c r="H156" s="83">
        <f>COUNTIFS(tblVideos[Day],"&gt;="&amp;$B156,tblVideos[Day],"&lt;"&amp;EDATE($B156,1),tblVideos[Channel ID],Channels!$E$11)</f>
        <v/>
      </c>
      <c r="I156" s="91">
        <f>SUM(C156:H156)</f>
        <v/>
      </c>
      <c r="J156" s="92">
        <f>SUMIFS(tblVideos[Length],tblVideos[Day],"&gt;="&amp;$B156,tblVideos[Day],"&lt;"&amp;EDATE($B156,1))</f>
        <v/>
      </c>
      <c r="K156" s="83">
        <f>COUNTIFS(tblVideos[Watched On],"&gt;="&amp;$B156,tblVideos[Watched On],"&lt;"&amp;EDATE($B156,1),tblVideos[Status],"Watched")</f>
        <v/>
      </c>
      <c r="L156" s="92">
        <f>SUMIFS(tblVideos[Length],tblVideos[Watched On],"&gt;="&amp;$B156,tblVideos[Watched On],"&lt;"&amp;EDATE($B156,1),tblVideos[Status],"Watched")</f>
        <v/>
      </c>
      <c r="M156" s="94">
        <f>IF(I156=0,"Gap",IF(I156&gt;AVERAGE($I$144:$I$317)+2*STDEV($I$144:$I$317),"High",""))</f>
        <v/>
      </c>
    </row>
    <row r="157">
      <c r="B157" s="93" t="n">
        <v>41426</v>
      </c>
      <c r="C157" s="83">
        <f>COUNTIFS(tblVideos[Day],"&gt;="&amp;$B157,tblVideos[Day],"&lt;"&amp;EDATE($B157,1),tblVideos[Channel ID],Channels!$E$6)</f>
        <v/>
      </c>
      <c r="D157" s="83">
        <f>COUNTIFS(tblVideos[Day],"&gt;="&amp;$B157,tblVideos[Day],"&lt;"&amp;EDATE($B157,1),tblVideos[Channel ID],Channels!$E$7)</f>
        <v/>
      </c>
      <c r="E157" s="83">
        <f>COUNTIFS(tblVideos[Day],"&gt;="&amp;$B157,tblVideos[Day],"&lt;"&amp;EDATE($B157,1),tblVideos[Channel ID],Channels!$E$8)</f>
        <v/>
      </c>
      <c r="F157" s="83">
        <f>COUNTIFS(tblVideos[Day],"&gt;="&amp;$B157,tblVideos[Day],"&lt;"&amp;EDATE($B157,1),tblVideos[Channel ID],Channels!$E$9)</f>
        <v/>
      </c>
      <c r="G157" s="83">
        <f>COUNTIFS(tblVideos[Day],"&gt;="&amp;$B157,tblVideos[Day],"&lt;"&amp;EDATE($B157,1),tblVideos[Channel ID],Channels!$E$10)</f>
        <v/>
      </c>
      <c r="H157" s="83">
        <f>COUNTIFS(tblVideos[Day],"&gt;="&amp;$B157,tblVideos[Day],"&lt;"&amp;EDATE($B157,1),tblVideos[Channel ID],Channels!$E$11)</f>
        <v/>
      </c>
      <c r="I157" s="91">
        <f>SUM(C157:H157)</f>
        <v/>
      </c>
      <c r="J157" s="92">
        <f>SUMIFS(tblVideos[Length],tblVideos[Day],"&gt;="&amp;$B157,tblVideos[Day],"&lt;"&amp;EDATE($B157,1))</f>
        <v/>
      </c>
      <c r="K157" s="83">
        <f>COUNTIFS(tblVideos[Watched On],"&gt;="&amp;$B157,tblVideos[Watched On],"&lt;"&amp;EDATE($B157,1),tblVideos[Status],"Watched")</f>
        <v/>
      </c>
      <c r="L157" s="92">
        <f>SUMIFS(tblVideos[Length],tblVideos[Watched On],"&gt;="&amp;$B157,tblVideos[Watched On],"&lt;"&amp;EDATE($B157,1),tblVideos[Status],"Watched")</f>
        <v/>
      </c>
      <c r="M157" s="94">
        <f>IF(I157=0,"Gap",IF(I157&gt;AVERAGE($I$144:$I$317)+2*STDEV($I$144:$I$317),"High",""))</f>
        <v/>
      </c>
    </row>
    <row r="158">
      <c r="B158" s="93" t="n">
        <v>41456</v>
      </c>
      <c r="C158" s="83">
        <f>COUNTIFS(tblVideos[Day],"&gt;="&amp;$B158,tblVideos[Day],"&lt;"&amp;EDATE($B158,1),tblVideos[Channel ID],Channels!$E$6)</f>
        <v/>
      </c>
      <c r="D158" s="83">
        <f>COUNTIFS(tblVideos[Day],"&gt;="&amp;$B158,tblVideos[Day],"&lt;"&amp;EDATE($B158,1),tblVideos[Channel ID],Channels!$E$7)</f>
        <v/>
      </c>
      <c r="E158" s="83">
        <f>COUNTIFS(tblVideos[Day],"&gt;="&amp;$B158,tblVideos[Day],"&lt;"&amp;EDATE($B158,1),tblVideos[Channel ID],Channels!$E$8)</f>
        <v/>
      </c>
      <c r="F158" s="83">
        <f>COUNTIFS(tblVideos[Day],"&gt;="&amp;$B158,tblVideos[Day],"&lt;"&amp;EDATE($B158,1),tblVideos[Channel ID],Channels!$E$9)</f>
        <v/>
      </c>
      <c r="G158" s="83">
        <f>COUNTIFS(tblVideos[Day],"&gt;="&amp;$B158,tblVideos[Day],"&lt;"&amp;EDATE($B158,1),tblVideos[Channel ID],Channels!$E$10)</f>
        <v/>
      </c>
      <c r="H158" s="83">
        <f>COUNTIFS(tblVideos[Day],"&gt;="&amp;$B158,tblVideos[Day],"&lt;"&amp;EDATE($B158,1),tblVideos[Channel ID],Channels!$E$11)</f>
        <v/>
      </c>
      <c r="I158" s="91">
        <f>SUM(C158:H158)</f>
        <v/>
      </c>
      <c r="J158" s="92">
        <f>SUMIFS(tblVideos[Length],tblVideos[Day],"&gt;="&amp;$B158,tblVideos[Day],"&lt;"&amp;EDATE($B158,1))</f>
        <v/>
      </c>
      <c r="K158" s="83">
        <f>COUNTIFS(tblVideos[Watched On],"&gt;="&amp;$B158,tblVideos[Watched On],"&lt;"&amp;EDATE($B158,1),tblVideos[Status],"Watched")</f>
        <v/>
      </c>
      <c r="L158" s="92">
        <f>SUMIFS(tblVideos[Length],tblVideos[Watched On],"&gt;="&amp;$B158,tblVideos[Watched On],"&lt;"&amp;EDATE($B158,1),tblVideos[Status],"Watched")</f>
        <v/>
      </c>
      <c r="M158" s="94">
        <f>IF(I158=0,"Gap",IF(I158&gt;AVERAGE($I$144:$I$317)+2*STDEV($I$144:$I$317),"High",""))</f>
        <v/>
      </c>
    </row>
    <row r="159">
      <c r="B159" s="93" t="n">
        <v>41487</v>
      </c>
      <c r="C159" s="83">
        <f>COUNTIFS(tblVideos[Day],"&gt;="&amp;$B159,tblVideos[Day],"&lt;"&amp;EDATE($B159,1),tblVideos[Channel ID],Channels!$E$6)</f>
        <v/>
      </c>
      <c r="D159" s="83">
        <f>COUNTIFS(tblVideos[Day],"&gt;="&amp;$B159,tblVideos[Day],"&lt;"&amp;EDATE($B159,1),tblVideos[Channel ID],Channels!$E$7)</f>
        <v/>
      </c>
      <c r="E159" s="83">
        <f>COUNTIFS(tblVideos[Day],"&gt;="&amp;$B159,tblVideos[Day],"&lt;"&amp;EDATE($B159,1),tblVideos[Channel ID],Channels!$E$8)</f>
        <v/>
      </c>
      <c r="F159" s="83">
        <f>COUNTIFS(tblVideos[Day],"&gt;="&amp;$B159,tblVideos[Day],"&lt;"&amp;EDATE($B159,1),tblVideos[Channel ID],Channels!$E$9)</f>
        <v/>
      </c>
      <c r="G159" s="83">
        <f>COUNTIFS(tblVideos[Day],"&gt;="&amp;$B159,tblVideos[Day],"&lt;"&amp;EDATE($B159,1),tblVideos[Channel ID],Channels!$E$10)</f>
        <v/>
      </c>
      <c r="H159" s="83">
        <f>COUNTIFS(tblVideos[Day],"&gt;="&amp;$B159,tblVideos[Day],"&lt;"&amp;EDATE($B159,1),tblVideos[Channel ID],Channels!$E$11)</f>
        <v/>
      </c>
      <c r="I159" s="91">
        <f>SUM(C159:H159)</f>
        <v/>
      </c>
      <c r="J159" s="92">
        <f>SUMIFS(tblVideos[Length],tblVideos[Day],"&gt;="&amp;$B159,tblVideos[Day],"&lt;"&amp;EDATE($B159,1))</f>
        <v/>
      </c>
      <c r="K159" s="83">
        <f>COUNTIFS(tblVideos[Watched On],"&gt;="&amp;$B159,tblVideos[Watched On],"&lt;"&amp;EDATE($B159,1),tblVideos[Status],"Watched")</f>
        <v/>
      </c>
      <c r="L159" s="92">
        <f>SUMIFS(tblVideos[Length],tblVideos[Watched On],"&gt;="&amp;$B159,tblVideos[Watched On],"&lt;"&amp;EDATE($B159,1),tblVideos[Status],"Watched")</f>
        <v/>
      </c>
      <c r="M159" s="94">
        <f>IF(I159=0,"Gap",IF(I159&gt;AVERAGE($I$144:$I$317)+2*STDEV($I$144:$I$317),"High",""))</f>
        <v/>
      </c>
    </row>
    <row r="160">
      <c r="B160" s="93" t="n">
        <v>41518</v>
      </c>
      <c r="C160" s="83">
        <f>COUNTIFS(tblVideos[Day],"&gt;="&amp;$B160,tblVideos[Day],"&lt;"&amp;EDATE($B160,1),tblVideos[Channel ID],Channels!$E$6)</f>
        <v/>
      </c>
      <c r="D160" s="83">
        <f>COUNTIFS(tblVideos[Day],"&gt;="&amp;$B160,tblVideos[Day],"&lt;"&amp;EDATE($B160,1),tblVideos[Channel ID],Channels!$E$7)</f>
        <v/>
      </c>
      <c r="E160" s="83">
        <f>COUNTIFS(tblVideos[Day],"&gt;="&amp;$B160,tblVideos[Day],"&lt;"&amp;EDATE($B160,1),tblVideos[Channel ID],Channels!$E$8)</f>
        <v/>
      </c>
      <c r="F160" s="83">
        <f>COUNTIFS(tblVideos[Day],"&gt;="&amp;$B160,tblVideos[Day],"&lt;"&amp;EDATE($B160,1),tblVideos[Channel ID],Channels!$E$9)</f>
        <v/>
      </c>
      <c r="G160" s="83">
        <f>COUNTIFS(tblVideos[Day],"&gt;="&amp;$B160,tblVideos[Day],"&lt;"&amp;EDATE($B160,1),tblVideos[Channel ID],Channels!$E$10)</f>
        <v/>
      </c>
      <c r="H160" s="83">
        <f>COUNTIFS(tblVideos[Day],"&gt;="&amp;$B160,tblVideos[Day],"&lt;"&amp;EDATE($B160,1),tblVideos[Channel ID],Channels!$E$11)</f>
        <v/>
      </c>
      <c r="I160" s="91">
        <f>SUM(C160:H160)</f>
        <v/>
      </c>
      <c r="J160" s="92">
        <f>SUMIFS(tblVideos[Length],tblVideos[Day],"&gt;="&amp;$B160,tblVideos[Day],"&lt;"&amp;EDATE($B160,1))</f>
        <v/>
      </c>
      <c r="K160" s="83">
        <f>COUNTIFS(tblVideos[Watched On],"&gt;="&amp;$B160,tblVideos[Watched On],"&lt;"&amp;EDATE($B160,1),tblVideos[Status],"Watched")</f>
        <v/>
      </c>
      <c r="L160" s="92">
        <f>SUMIFS(tblVideos[Length],tblVideos[Watched On],"&gt;="&amp;$B160,tblVideos[Watched On],"&lt;"&amp;EDATE($B160,1),tblVideos[Status],"Watched")</f>
        <v/>
      </c>
      <c r="M160" s="94">
        <f>IF(I160=0,"Gap",IF(I160&gt;AVERAGE($I$144:$I$317)+2*STDEV($I$144:$I$317),"High",""))</f>
        <v/>
      </c>
    </row>
    <row r="161">
      <c r="B161" s="93" t="n">
        <v>41548</v>
      </c>
      <c r="C161" s="83">
        <f>COUNTIFS(tblVideos[Day],"&gt;="&amp;$B161,tblVideos[Day],"&lt;"&amp;EDATE($B161,1),tblVideos[Channel ID],Channels!$E$6)</f>
        <v/>
      </c>
      <c r="D161" s="83">
        <f>COUNTIFS(tblVideos[Day],"&gt;="&amp;$B161,tblVideos[Day],"&lt;"&amp;EDATE($B161,1),tblVideos[Channel ID],Channels!$E$7)</f>
        <v/>
      </c>
      <c r="E161" s="83">
        <f>COUNTIFS(tblVideos[Day],"&gt;="&amp;$B161,tblVideos[Day],"&lt;"&amp;EDATE($B161,1),tblVideos[Channel ID],Channels!$E$8)</f>
        <v/>
      </c>
      <c r="F161" s="83">
        <f>COUNTIFS(tblVideos[Day],"&gt;="&amp;$B161,tblVideos[Day],"&lt;"&amp;EDATE($B161,1),tblVideos[Channel ID],Channels!$E$9)</f>
        <v/>
      </c>
      <c r="G161" s="83">
        <f>COUNTIFS(tblVideos[Day],"&gt;="&amp;$B161,tblVideos[Day],"&lt;"&amp;EDATE($B161,1),tblVideos[Channel ID],Channels!$E$10)</f>
        <v/>
      </c>
      <c r="H161" s="83">
        <f>COUNTIFS(tblVideos[Day],"&gt;="&amp;$B161,tblVideos[Day],"&lt;"&amp;EDATE($B161,1),tblVideos[Channel ID],Channels!$E$11)</f>
        <v/>
      </c>
      <c r="I161" s="91">
        <f>SUM(C161:H161)</f>
        <v/>
      </c>
      <c r="J161" s="92">
        <f>SUMIFS(tblVideos[Length],tblVideos[Day],"&gt;="&amp;$B161,tblVideos[Day],"&lt;"&amp;EDATE($B161,1))</f>
        <v/>
      </c>
      <c r="K161" s="83">
        <f>COUNTIFS(tblVideos[Watched On],"&gt;="&amp;$B161,tblVideos[Watched On],"&lt;"&amp;EDATE($B161,1),tblVideos[Status],"Watched")</f>
        <v/>
      </c>
      <c r="L161" s="92">
        <f>SUMIFS(tblVideos[Length],tblVideos[Watched On],"&gt;="&amp;$B161,tblVideos[Watched On],"&lt;"&amp;EDATE($B161,1),tblVideos[Status],"Watched")</f>
        <v/>
      </c>
      <c r="M161" s="94">
        <f>IF(I161=0,"Gap",IF(I161&gt;AVERAGE($I$144:$I$317)+2*STDEV($I$144:$I$317),"High",""))</f>
        <v/>
      </c>
    </row>
    <row r="162">
      <c r="B162" s="93" t="n">
        <v>41579</v>
      </c>
      <c r="C162" s="83">
        <f>COUNTIFS(tblVideos[Day],"&gt;="&amp;$B162,tblVideos[Day],"&lt;"&amp;EDATE($B162,1),tblVideos[Channel ID],Channels!$E$6)</f>
        <v/>
      </c>
      <c r="D162" s="83">
        <f>COUNTIFS(tblVideos[Day],"&gt;="&amp;$B162,tblVideos[Day],"&lt;"&amp;EDATE($B162,1),tblVideos[Channel ID],Channels!$E$7)</f>
        <v/>
      </c>
      <c r="E162" s="83">
        <f>COUNTIFS(tblVideos[Day],"&gt;="&amp;$B162,tblVideos[Day],"&lt;"&amp;EDATE($B162,1),tblVideos[Channel ID],Channels!$E$8)</f>
        <v/>
      </c>
      <c r="F162" s="83">
        <f>COUNTIFS(tblVideos[Day],"&gt;="&amp;$B162,tblVideos[Day],"&lt;"&amp;EDATE($B162,1),tblVideos[Channel ID],Channels!$E$9)</f>
        <v/>
      </c>
      <c r="G162" s="83">
        <f>COUNTIFS(tblVideos[Day],"&gt;="&amp;$B162,tblVideos[Day],"&lt;"&amp;EDATE($B162,1),tblVideos[Channel ID],Channels!$E$10)</f>
        <v/>
      </c>
      <c r="H162" s="83">
        <f>COUNTIFS(tblVideos[Day],"&gt;="&amp;$B162,tblVideos[Day],"&lt;"&amp;EDATE($B162,1),tblVideos[Channel ID],Channels!$E$11)</f>
        <v/>
      </c>
      <c r="I162" s="91">
        <f>SUM(C162:H162)</f>
        <v/>
      </c>
      <c r="J162" s="92">
        <f>SUMIFS(tblVideos[Length],tblVideos[Day],"&gt;="&amp;$B162,tblVideos[Day],"&lt;"&amp;EDATE($B162,1))</f>
        <v/>
      </c>
      <c r="K162" s="83">
        <f>COUNTIFS(tblVideos[Watched On],"&gt;="&amp;$B162,tblVideos[Watched On],"&lt;"&amp;EDATE($B162,1),tblVideos[Status],"Watched")</f>
        <v/>
      </c>
      <c r="L162" s="92">
        <f>SUMIFS(tblVideos[Length],tblVideos[Watched On],"&gt;="&amp;$B162,tblVideos[Watched On],"&lt;"&amp;EDATE($B162,1),tblVideos[Status],"Watched")</f>
        <v/>
      </c>
      <c r="M162" s="94">
        <f>IF(I162=0,"Gap",IF(I162&gt;AVERAGE($I$144:$I$317)+2*STDEV($I$144:$I$317),"High",""))</f>
        <v/>
      </c>
    </row>
    <row r="163">
      <c r="B163" s="93" t="n">
        <v>41609</v>
      </c>
      <c r="C163" s="83">
        <f>COUNTIFS(tblVideos[Day],"&gt;="&amp;$B163,tblVideos[Day],"&lt;"&amp;EDATE($B163,1),tblVideos[Channel ID],Channels!$E$6)</f>
        <v/>
      </c>
      <c r="D163" s="83">
        <f>COUNTIFS(tblVideos[Day],"&gt;="&amp;$B163,tblVideos[Day],"&lt;"&amp;EDATE($B163,1),tblVideos[Channel ID],Channels!$E$7)</f>
        <v/>
      </c>
      <c r="E163" s="83">
        <f>COUNTIFS(tblVideos[Day],"&gt;="&amp;$B163,tblVideos[Day],"&lt;"&amp;EDATE($B163,1),tblVideos[Channel ID],Channels!$E$8)</f>
        <v/>
      </c>
      <c r="F163" s="83">
        <f>COUNTIFS(tblVideos[Day],"&gt;="&amp;$B163,tblVideos[Day],"&lt;"&amp;EDATE($B163,1),tblVideos[Channel ID],Channels!$E$9)</f>
        <v/>
      </c>
      <c r="G163" s="83">
        <f>COUNTIFS(tblVideos[Day],"&gt;="&amp;$B163,tblVideos[Day],"&lt;"&amp;EDATE($B163,1),tblVideos[Channel ID],Channels!$E$10)</f>
        <v/>
      </c>
      <c r="H163" s="83">
        <f>COUNTIFS(tblVideos[Day],"&gt;="&amp;$B163,tblVideos[Day],"&lt;"&amp;EDATE($B163,1),tblVideos[Channel ID],Channels!$E$11)</f>
        <v/>
      </c>
      <c r="I163" s="91">
        <f>SUM(C163:H163)</f>
        <v/>
      </c>
      <c r="J163" s="92">
        <f>SUMIFS(tblVideos[Length],tblVideos[Day],"&gt;="&amp;$B163,tblVideos[Day],"&lt;"&amp;EDATE($B163,1))</f>
        <v/>
      </c>
      <c r="K163" s="83">
        <f>COUNTIFS(tblVideos[Watched On],"&gt;="&amp;$B163,tblVideos[Watched On],"&lt;"&amp;EDATE($B163,1),tblVideos[Status],"Watched")</f>
        <v/>
      </c>
      <c r="L163" s="92">
        <f>SUMIFS(tblVideos[Length],tblVideos[Watched On],"&gt;="&amp;$B163,tblVideos[Watched On],"&lt;"&amp;EDATE($B163,1),tblVideos[Status],"Watched")</f>
        <v/>
      </c>
      <c r="M163" s="94">
        <f>IF(I163=0,"Gap",IF(I163&gt;AVERAGE($I$144:$I$317)+2*STDEV($I$144:$I$317),"High",""))</f>
        <v/>
      </c>
    </row>
    <row r="164">
      <c r="B164" s="93" t="n">
        <v>41640</v>
      </c>
      <c r="C164" s="83">
        <f>COUNTIFS(tblVideos[Day],"&gt;="&amp;$B164,tblVideos[Day],"&lt;"&amp;EDATE($B164,1),tblVideos[Channel ID],Channels!$E$6)</f>
        <v/>
      </c>
      <c r="D164" s="83">
        <f>COUNTIFS(tblVideos[Day],"&gt;="&amp;$B164,tblVideos[Day],"&lt;"&amp;EDATE($B164,1),tblVideos[Channel ID],Channels!$E$7)</f>
        <v/>
      </c>
      <c r="E164" s="83">
        <f>COUNTIFS(tblVideos[Day],"&gt;="&amp;$B164,tblVideos[Day],"&lt;"&amp;EDATE($B164,1),tblVideos[Channel ID],Channels!$E$8)</f>
        <v/>
      </c>
      <c r="F164" s="83">
        <f>COUNTIFS(tblVideos[Day],"&gt;="&amp;$B164,tblVideos[Day],"&lt;"&amp;EDATE($B164,1),tblVideos[Channel ID],Channels!$E$9)</f>
        <v/>
      </c>
      <c r="G164" s="83">
        <f>COUNTIFS(tblVideos[Day],"&gt;="&amp;$B164,tblVideos[Day],"&lt;"&amp;EDATE($B164,1),tblVideos[Channel ID],Channels!$E$10)</f>
        <v/>
      </c>
      <c r="H164" s="83">
        <f>COUNTIFS(tblVideos[Day],"&gt;="&amp;$B164,tblVideos[Day],"&lt;"&amp;EDATE($B164,1),tblVideos[Channel ID],Channels!$E$11)</f>
        <v/>
      </c>
      <c r="I164" s="91">
        <f>SUM(C164:H164)</f>
        <v/>
      </c>
      <c r="J164" s="92">
        <f>SUMIFS(tblVideos[Length],tblVideos[Day],"&gt;="&amp;$B164,tblVideos[Day],"&lt;"&amp;EDATE($B164,1))</f>
        <v/>
      </c>
      <c r="K164" s="83">
        <f>COUNTIFS(tblVideos[Watched On],"&gt;="&amp;$B164,tblVideos[Watched On],"&lt;"&amp;EDATE($B164,1),tblVideos[Status],"Watched")</f>
        <v/>
      </c>
      <c r="L164" s="92">
        <f>SUMIFS(tblVideos[Length],tblVideos[Watched On],"&gt;="&amp;$B164,tblVideos[Watched On],"&lt;"&amp;EDATE($B164,1),tblVideos[Status],"Watched")</f>
        <v/>
      </c>
      <c r="M164" s="94">
        <f>IF(I164=0,"Gap",IF(I164&gt;AVERAGE($I$144:$I$317)+2*STDEV($I$144:$I$317),"High",""))</f>
        <v/>
      </c>
    </row>
    <row r="165">
      <c r="B165" s="93" t="n">
        <v>41671</v>
      </c>
      <c r="C165" s="83">
        <f>COUNTIFS(tblVideos[Day],"&gt;="&amp;$B165,tblVideos[Day],"&lt;"&amp;EDATE($B165,1),tblVideos[Channel ID],Channels!$E$6)</f>
        <v/>
      </c>
      <c r="D165" s="83">
        <f>COUNTIFS(tblVideos[Day],"&gt;="&amp;$B165,tblVideos[Day],"&lt;"&amp;EDATE($B165,1),tblVideos[Channel ID],Channels!$E$7)</f>
        <v/>
      </c>
      <c r="E165" s="83">
        <f>COUNTIFS(tblVideos[Day],"&gt;="&amp;$B165,tblVideos[Day],"&lt;"&amp;EDATE($B165,1),tblVideos[Channel ID],Channels!$E$8)</f>
        <v/>
      </c>
      <c r="F165" s="83">
        <f>COUNTIFS(tblVideos[Day],"&gt;="&amp;$B165,tblVideos[Day],"&lt;"&amp;EDATE($B165,1),tblVideos[Channel ID],Channels!$E$9)</f>
        <v/>
      </c>
      <c r="G165" s="83">
        <f>COUNTIFS(tblVideos[Day],"&gt;="&amp;$B165,tblVideos[Day],"&lt;"&amp;EDATE($B165,1),tblVideos[Channel ID],Channels!$E$10)</f>
        <v/>
      </c>
      <c r="H165" s="83">
        <f>COUNTIFS(tblVideos[Day],"&gt;="&amp;$B165,tblVideos[Day],"&lt;"&amp;EDATE($B165,1),tblVideos[Channel ID],Channels!$E$11)</f>
        <v/>
      </c>
      <c r="I165" s="91">
        <f>SUM(C165:H165)</f>
        <v/>
      </c>
      <c r="J165" s="92">
        <f>SUMIFS(tblVideos[Length],tblVideos[Day],"&gt;="&amp;$B165,tblVideos[Day],"&lt;"&amp;EDATE($B165,1))</f>
        <v/>
      </c>
      <c r="K165" s="83">
        <f>COUNTIFS(tblVideos[Watched On],"&gt;="&amp;$B165,tblVideos[Watched On],"&lt;"&amp;EDATE($B165,1),tblVideos[Status],"Watched")</f>
        <v/>
      </c>
      <c r="L165" s="92">
        <f>SUMIFS(tblVideos[Length],tblVideos[Watched On],"&gt;="&amp;$B165,tblVideos[Watched On],"&lt;"&amp;EDATE($B165,1),tblVideos[Status],"Watched")</f>
        <v/>
      </c>
      <c r="M165" s="94">
        <f>IF(I165=0,"Gap",IF(I165&gt;AVERAGE($I$144:$I$317)+2*STDEV($I$144:$I$317),"High",""))</f>
        <v/>
      </c>
    </row>
    <row r="166">
      <c r="B166" s="93" t="n">
        <v>41699</v>
      </c>
      <c r="C166" s="83">
        <f>COUNTIFS(tblVideos[Day],"&gt;="&amp;$B166,tblVideos[Day],"&lt;"&amp;EDATE($B166,1),tblVideos[Channel ID],Channels!$E$6)</f>
        <v/>
      </c>
      <c r="D166" s="83">
        <f>COUNTIFS(tblVideos[Day],"&gt;="&amp;$B166,tblVideos[Day],"&lt;"&amp;EDATE($B166,1),tblVideos[Channel ID],Channels!$E$7)</f>
        <v/>
      </c>
      <c r="E166" s="83">
        <f>COUNTIFS(tblVideos[Day],"&gt;="&amp;$B166,tblVideos[Day],"&lt;"&amp;EDATE($B166,1),tblVideos[Channel ID],Channels!$E$8)</f>
        <v/>
      </c>
      <c r="F166" s="83">
        <f>COUNTIFS(tblVideos[Day],"&gt;="&amp;$B166,tblVideos[Day],"&lt;"&amp;EDATE($B166,1),tblVideos[Channel ID],Channels!$E$9)</f>
        <v/>
      </c>
      <c r="G166" s="83">
        <f>COUNTIFS(tblVideos[Day],"&gt;="&amp;$B166,tblVideos[Day],"&lt;"&amp;EDATE($B166,1),tblVideos[Channel ID],Channels!$E$10)</f>
        <v/>
      </c>
      <c r="H166" s="83">
        <f>COUNTIFS(tblVideos[Day],"&gt;="&amp;$B166,tblVideos[Day],"&lt;"&amp;EDATE($B166,1),tblVideos[Channel ID],Channels!$E$11)</f>
        <v/>
      </c>
      <c r="I166" s="91">
        <f>SUM(C166:H166)</f>
        <v/>
      </c>
      <c r="J166" s="92">
        <f>SUMIFS(tblVideos[Length],tblVideos[Day],"&gt;="&amp;$B166,tblVideos[Day],"&lt;"&amp;EDATE($B166,1))</f>
        <v/>
      </c>
      <c r="K166" s="83">
        <f>COUNTIFS(tblVideos[Watched On],"&gt;="&amp;$B166,tblVideos[Watched On],"&lt;"&amp;EDATE($B166,1),tblVideos[Status],"Watched")</f>
        <v/>
      </c>
      <c r="L166" s="92">
        <f>SUMIFS(tblVideos[Length],tblVideos[Watched On],"&gt;="&amp;$B166,tblVideos[Watched On],"&lt;"&amp;EDATE($B166,1),tblVideos[Status],"Watched")</f>
        <v/>
      </c>
      <c r="M166" s="94">
        <f>IF(I166=0,"Gap",IF(I166&gt;AVERAGE($I$144:$I$317)+2*STDEV($I$144:$I$317),"High",""))</f>
        <v/>
      </c>
    </row>
    <row r="167">
      <c r="B167" s="93" t="n">
        <v>41730</v>
      </c>
      <c r="C167" s="83">
        <f>COUNTIFS(tblVideos[Day],"&gt;="&amp;$B167,tblVideos[Day],"&lt;"&amp;EDATE($B167,1),tblVideos[Channel ID],Channels!$E$6)</f>
        <v/>
      </c>
      <c r="D167" s="83">
        <f>COUNTIFS(tblVideos[Day],"&gt;="&amp;$B167,tblVideos[Day],"&lt;"&amp;EDATE($B167,1),tblVideos[Channel ID],Channels!$E$7)</f>
        <v/>
      </c>
      <c r="E167" s="83">
        <f>COUNTIFS(tblVideos[Day],"&gt;="&amp;$B167,tblVideos[Day],"&lt;"&amp;EDATE($B167,1),tblVideos[Channel ID],Channels!$E$8)</f>
        <v/>
      </c>
      <c r="F167" s="83">
        <f>COUNTIFS(tblVideos[Day],"&gt;="&amp;$B167,tblVideos[Day],"&lt;"&amp;EDATE($B167,1),tblVideos[Channel ID],Channels!$E$9)</f>
        <v/>
      </c>
      <c r="G167" s="83">
        <f>COUNTIFS(tblVideos[Day],"&gt;="&amp;$B167,tblVideos[Day],"&lt;"&amp;EDATE($B167,1),tblVideos[Channel ID],Channels!$E$10)</f>
        <v/>
      </c>
      <c r="H167" s="83">
        <f>COUNTIFS(tblVideos[Day],"&gt;="&amp;$B167,tblVideos[Day],"&lt;"&amp;EDATE($B167,1),tblVideos[Channel ID],Channels!$E$11)</f>
        <v/>
      </c>
      <c r="I167" s="91">
        <f>SUM(C167:H167)</f>
        <v/>
      </c>
      <c r="J167" s="92">
        <f>SUMIFS(tblVideos[Length],tblVideos[Day],"&gt;="&amp;$B167,tblVideos[Day],"&lt;"&amp;EDATE($B167,1))</f>
        <v/>
      </c>
      <c r="K167" s="83">
        <f>COUNTIFS(tblVideos[Watched On],"&gt;="&amp;$B167,tblVideos[Watched On],"&lt;"&amp;EDATE($B167,1),tblVideos[Status],"Watched")</f>
        <v/>
      </c>
      <c r="L167" s="92">
        <f>SUMIFS(tblVideos[Length],tblVideos[Watched On],"&gt;="&amp;$B167,tblVideos[Watched On],"&lt;"&amp;EDATE($B167,1),tblVideos[Status],"Watched")</f>
        <v/>
      </c>
      <c r="M167" s="94">
        <f>IF(I167=0,"Gap",IF(I167&gt;AVERAGE($I$144:$I$317)+2*STDEV($I$144:$I$317),"High",""))</f>
        <v/>
      </c>
    </row>
    <row r="168">
      <c r="B168" s="93" t="n">
        <v>41760</v>
      </c>
      <c r="C168" s="83">
        <f>COUNTIFS(tblVideos[Day],"&gt;="&amp;$B168,tblVideos[Day],"&lt;"&amp;EDATE($B168,1),tblVideos[Channel ID],Channels!$E$6)</f>
        <v/>
      </c>
      <c r="D168" s="83">
        <f>COUNTIFS(tblVideos[Day],"&gt;="&amp;$B168,tblVideos[Day],"&lt;"&amp;EDATE($B168,1),tblVideos[Channel ID],Channels!$E$7)</f>
        <v/>
      </c>
      <c r="E168" s="83">
        <f>COUNTIFS(tblVideos[Day],"&gt;="&amp;$B168,tblVideos[Day],"&lt;"&amp;EDATE($B168,1),tblVideos[Channel ID],Channels!$E$8)</f>
        <v/>
      </c>
      <c r="F168" s="83">
        <f>COUNTIFS(tblVideos[Day],"&gt;="&amp;$B168,tblVideos[Day],"&lt;"&amp;EDATE($B168,1),tblVideos[Channel ID],Channels!$E$9)</f>
        <v/>
      </c>
      <c r="G168" s="83">
        <f>COUNTIFS(tblVideos[Day],"&gt;="&amp;$B168,tblVideos[Day],"&lt;"&amp;EDATE($B168,1),tblVideos[Channel ID],Channels!$E$10)</f>
        <v/>
      </c>
      <c r="H168" s="83">
        <f>COUNTIFS(tblVideos[Day],"&gt;="&amp;$B168,tblVideos[Day],"&lt;"&amp;EDATE($B168,1),tblVideos[Channel ID],Channels!$E$11)</f>
        <v/>
      </c>
      <c r="I168" s="91">
        <f>SUM(C168:H168)</f>
        <v/>
      </c>
      <c r="J168" s="92">
        <f>SUMIFS(tblVideos[Length],tblVideos[Day],"&gt;="&amp;$B168,tblVideos[Day],"&lt;"&amp;EDATE($B168,1))</f>
        <v/>
      </c>
      <c r="K168" s="83">
        <f>COUNTIFS(tblVideos[Watched On],"&gt;="&amp;$B168,tblVideos[Watched On],"&lt;"&amp;EDATE($B168,1),tblVideos[Status],"Watched")</f>
        <v/>
      </c>
      <c r="L168" s="92">
        <f>SUMIFS(tblVideos[Length],tblVideos[Watched On],"&gt;="&amp;$B168,tblVideos[Watched On],"&lt;"&amp;EDATE($B168,1),tblVideos[Status],"Watched")</f>
        <v/>
      </c>
      <c r="M168" s="94">
        <f>IF(I168=0,"Gap",IF(I168&gt;AVERAGE($I$144:$I$317)+2*STDEV($I$144:$I$317),"High",""))</f>
        <v/>
      </c>
    </row>
    <row r="169">
      <c r="B169" s="93" t="n">
        <v>41791</v>
      </c>
      <c r="C169" s="83">
        <f>COUNTIFS(tblVideos[Day],"&gt;="&amp;$B169,tblVideos[Day],"&lt;"&amp;EDATE($B169,1),tblVideos[Channel ID],Channels!$E$6)</f>
        <v/>
      </c>
      <c r="D169" s="83">
        <f>COUNTIFS(tblVideos[Day],"&gt;="&amp;$B169,tblVideos[Day],"&lt;"&amp;EDATE($B169,1),tblVideos[Channel ID],Channels!$E$7)</f>
        <v/>
      </c>
      <c r="E169" s="83">
        <f>COUNTIFS(tblVideos[Day],"&gt;="&amp;$B169,tblVideos[Day],"&lt;"&amp;EDATE($B169,1),tblVideos[Channel ID],Channels!$E$8)</f>
        <v/>
      </c>
      <c r="F169" s="83">
        <f>COUNTIFS(tblVideos[Day],"&gt;="&amp;$B169,tblVideos[Day],"&lt;"&amp;EDATE($B169,1),tblVideos[Channel ID],Channels!$E$9)</f>
        <v/>
      </c>
      <c r="G169" s="83">
        <f>COUNTIFS(tblVideos[Day],"&gt;="&amp;$B169,tblVideos[Day],"&lt;"&amp;EDATE($B169,1),tblVideos[Channel ID],Channels!$E$10)</f>
        <v/>
      </c>
      <c r="H169" s="83">
        <f>COUNTIFS(tblVideos[Day],"&gt;="&amp;$B169,tblVideos[Day],"&lt;"&amp;EDATE($B169,1),tblVideos[Channel ID],Channels!$E$11)</f>
        <v/>
      </c>
      <c r="I169" s="91">
        <f>SUM(C169:H169)</f>
        <v/>
      </c>
      <c r="J169" s="92">
        <f>SUMIFS(tblVideos[Length],tblVideos[Day],"&gt;="&amp;$B169,tblVideos[Day],"&lt;"&amp;EDATE($B169,1))</f>
        <v/>
      </c>
      <c r="K169" s="83">
        <f>COUNTIFS(tblVideos[Watched On],"&gt;="&amp;$B169,tblVideos[Watched On],"&lt;"&amp;EDATE($B169,1),tblVideos[Status],"Watched")</f>
        <v/>
      </c>
      <c r="L169" s="92">
        <f>SUMIFS(tblVideos[Length],tblVideos[Watched On],"&gt;="&amp;$B169,tblVideos[Watched On],"&lt;"&amp;EDATE($B169,1),tblVideos[Status],"Watched")</f>
        <v/>
      </c>
      <c r="M169" s="94">
        <f>IF(I169=0,"Gap",IF(I169&gt;AVERAGE($I$144:$I$317)+2*STDEV($I$144:$I$317),"High",""))</f>
        <v/>
      </c>
    </row>
    <row r="170">
      <c r="B170" s="93" t="n">
        <v>41821</v>
      </c>
      <c r="C170" s="83">
        <f>COUNTIFS(tblVideos[Day],"&gt;="&amp;$B170,tblVideos[Day],"&lt;"&amp;EDATE($B170,1),tblVideos[Channel ID],Channels!$E$6)</f>
        <v/>
      </c>
      <c r="D170" s="83">
        <f>COUNTIFS(tblVideos[Day],"&gt;="&amp;$B170,tblVideos[Day],"&lt;"&amp;EDATE($B170,1),tblVideos[Channel ID],Channels!$E$7)</f>
        <v/>
      </c>
      <c r="E170" s="83">
        <f>COUNTIFS(tblVideos[Day],"&gt;="&amp;$B170,tblVideos[Day],"&lt;"&amp;EDATE($B170,1),tblVideos[Channel ID],Channels!$E$8)</f>
        <v/>
      </c>
      <c r="F170" s="83">
        <f>COUNTIFS(tblVideos[Day],"&gt;="&amp;$B170,tblVideos[Day],"&lt;"&amp;EDATE($B170,1),tblVideos[Channel ID],Channels!$E$9)</f>
        <v/>
      </c>
      <c r="G170" s="83">
        <f>COUNTIFS(tblVideos[Day],"&gt;="&amp;$B170,tblVideos[Day],"&lt;"&amp;EDATE($B170,1),tblVideos[Channel ID],Channels!$E$10)</f>
        <v/>
      </c>
      <c r="H170" s="83">
        <f>COUNTIFS(tblVideos[Day],"&gt;="&amp;$B170,tblVideos[Day],"&lt;"&amp;EDATE($B170,1),tblVideos[Channel ID],Channels!$E$11)</f>
        <v/>
      </c>
      <c r="I170" s="91">
        <f>SUM(C170:H170)</f>
        <v/>
      </c>
      <c r="J170" s="92">
        <f>SUMIFS(tblVideos[Length],tblVideos[Day],"&gt;="&amp;$B170,tblVideos[Day],"&lt;"&amp;EDATE($B170,1))</f>
        <v/>
      </c>
      <c r="K170" s="83">
        <f>COUNTIFS(tblVideos[Watched On],"&gt;="&amp;$B170,tblVideos[Watched On],"&lt;"&amp;EDATE($B170,1),tblVideos[Status],"Watched")</f>
        <v/>
      </c>
      <c r="L170" s="92">
        <f>SUMIFS(tblVideos[Length],tblVideos[Watched On],"&gt;="&amp;$B170,tblVideos[Watched On],"&lt;"&amp;EDATE($B170,1),tblVideos[Status],"Watched")</f>
        <v/>
      </c>
      <c r="M170" s="94">
        <f>IF(I170=0,"Gap",IF(I170&gt;AVERAGE($I$144:$I$317)+2*STDEV($I$144:$I$317),"High",""))</f>
        <v/>
      </c>
    </row>
    <row r="171">
      <c r="B171" s="93" t="n">
        <v>41852</v>
      </c>
      <c r="C171" s="83">
        <f>COUNTIFS(tblVideos[Day],"&gt;="&amp;$B171,tblVideos[Day],"&lt;"&amp;EDATE($B171,1),tblVideos[Channel ID],Channels!$E$6)</f>
        <v/>
      </c>
      <c r="D171" s="83">
        <f>COUNTIFS(tblVideos[Day],"&gt;="&amp;$B171,tblVideos[Day],"&lt;"&amp;EDATE($B171,1),tblVideos[Channel ID],Channels!$E$7)</f>
        <v/>
      </c>
      <c r="E171" s="83">
        <f>COUNTIFS(tblVideos[Day],"&gt;="&amp;$B171,tblVideos[Day],"&lt;"&amp;EDATE($B171,1),tblVideos[Channel ID],Channels!$E$8)</f>
        <v/>
      </c>
      <c r="F171" s="83">
        <f>COUNTIFS(tblVideos[Day],"&gt;="&amp;$B171,tblVideos[Day],"&lt;"&amp;EDATE($B171,1),tblVideos[Channel ID],Channels!$E$9)</f>
        <v/>
      </c>
      <c r="G171" s="83">
        <f>COUNTIFS(tblVideos[Day],"&gt;="&amp;$B171,tblVideos[Day],"&lt;"&amp;EDATE($B171,1),tblVideos[Channel ID],Channels!$E$10)</f>
        <v/>
      </c>
      <c r="H171" s="83">
        <f>COUNTIFS(tblVideos[Day],"&gt;="&amp;$B171,tblVideos[Day],"&lt;"&amp;EDATE($B171,1),tblVideos[Channel ID],Channels!$E$11)</f>
        <v/>
      </c>
      <c r="I171" s="91">
        <f>SUM(C171:H171)</f>
        <v/>
      </c>
      <c r="J171" s="92">
        <f>SUMIFS(tblVideos[Length],tblVideos[Day],"&gt;="&amp;$B171,tblVideos[Day],"&lt;"&amp;EDATE($B171,1))</f>
        <v/>
      </c>
      <c r="K171" s="83">
        <f>COUNTIFS(tblVideos[Watched On],"&gt;="&amp;$B171,tblVideos[Watched On],"&lt;"&amp;EDATE($B171,1),tblVideos[Status],"Watched")</f>
        <v/>
      </c>
      <c r="L171" s="92">
        <f>SUMIFS(tblVideos[Length],tblVideos[Watched On],"&gt;="&amp;$B171,tblVideos[Watched On],"&lt;"&amp;EDATE($B171,1),tblVideos[Status],"Watched")</f>
        <v/>
      </c>
      <c r="M171" s="94">
        <f>IF(I171=0,"Gap",IF(I171&gt;AVERAGE($I$144:$I$317)+2*STDEV($I$144:$I$317),"High",""))</f>
        <v/>
      </c>
    </row>
    <row r="172">
      <c r="B172" s="93" t="n">
        <v>41883</v>
      </c>
      <c r="C172" s="83">
        <f>COUNTIFS(tblVideos[Day],"&gt;="&amp;$B172,tblVideos[Day],"&lt;"&amp;EDATE($B172,1),tblVideos[Channel ID],Channels!$E$6)</f>
        <v/>
      </c>
      <c r="D172" s="83">
        <f>COUNTIFS(tblVideos[Day],"&gt;="&amp;$B172,tblVideos[Day],"&lt;"&amp;EDATE($B172,1),tblVideos[Channel ID],Channels!$E$7)</f>
        <v/>
      </c>
      <c r="E172" s="83">
        <f>COUNTIFS(tblVideos[Day],"&gt;="&amp;$B172,tblVideos[Day],"&lt;"&amp;EDATE($B172,1),tblVideos[Channel ID],Channels!$E$8)</f>
        <v/>
      </c>
      <c r="F172" s="83">
        <f>COUNTIFS(tblVideos[Day],"&gt;="&amp;$B172,tblVideos[Day],"&lt;"&amp;EDATE($B172,1),tblVideos[Channel ID],Channels!$E$9)</f>
        <v/>
      </c>
      <c r="G172" s="83">
        <f>COUNTIFS(tblVideos[Day],"&gt;="&amp;$B172,tblVideos[Day],"&lt;"&amp;EDATE($B172,1),tblVideos[Channel ID],Channels!$E$10)</f>
        <v/>
      </c>
      <c r="H172" s="83">
        <f>COUNTIFS(tblVideos[Day],"&gt;="&amp;$B172,tblVideos[Day],"&lt;"&amp;EDATE($B172,1),tblVideos[Channel ID],Channels!$E$11)</f>
        <v/>
      </c>
      <c r="I172" s="91">
        <f>SUM(C172:H172)</f>
        <v/>
      </c>
      <c r="J172" s="92">
        <f>SUMIFS(tblVideos[Length],tblVideos[Day],"&gt;="&amp;$B172,tblVideos[Day],"&lt;"&amp;EDATE($B172,1))</f>
        <v/>
      </c>
      <c r="K172" s="83">
        <f>COUNTIFS(tblVideos[Watched On],"&gt;="&amp;$B172,tblVideos[Watched On],"&lt;"&amp;EDATE($B172,1),tblVideos[Status],"Watched")</f>
        <v/>
      </c>
      <c r="L172" s="92">
        <f>SUMIFS(tblVideos[Length],tblVideos[Watched On],"&gt;="&amp;$B172,tblVideos[Watched On],"&lt;"&amp;EDATE($B172,1),tblVideos[Status],"Watched")</f>
        <v/>
      </c>
      <c r="M172" s="94">
        <f>IF(I172=0,"Gap",IF(I172&gt;AVERAGE($I$144:$I$317)+2*STDEV($I$144:$I$317),"High",""))</f>
        <v/>
      </c>
    </row>
    <row r="173">
      <c r="B173" s="93" t="n">
        <v>41913</v>
      </c>
      <c r="C173" s="83">
        <f>COUNTIFS(tblVideos[Day],"&gt;="&amp;$B173,tblVideos[Day],"&lt;"&amp;EDATE($B173,1),tblVideos[Channel ID],Channels!$E$6)</f>
        <v/>
      </c>
      <c r="D173" s="83">
        <f>COUNTIFS(tblVideos[Day],"&gt;="&amp;$B173,tblVideos[Day],"&lt;"&amp;EDATE($B173,1),tblVideos[Channel ID],Channels!$E$7)</f>
        <v/>
      </c>
      <c r="E173" s="83">
        <f>COUNTIFS(tblVideos[Day],"&gt;="&amp;$B173,tblVideos[Day],"&lt;"&amp;EDATE($B173,1),tblVideos[Channel ID],Channels!$E$8)</f>
        <v/>
      </c>
      <c r="F173" s="83">
        <f>COUNTIFS(tblVideos[Day],"&gt;="&amp;$B173,tblVideos[Day],"&lt;"&amp;EDATE($B173,1),tblVideos[Channel ID],Channels!$E$9)</f>
        <v/>
      </c>
      <c r="G173" s="83">
        <f>COUNTIFS(tblVideos[Day],"&gt;="&amp;$B173,tblVideos[Day],"&lt;"&amp;EDATE($B173,1),tblVideos[Channel ID],Channels!$E$10)</f>
        <v/>
      </c>
      <c r="H173" s="83">
        <f>COUNTIFS(tblVideos[Day],"&gt;="&amp;$B173,tblVideos[Day],"&lt;"&amp;EDATE($B173,1),tblVideos[Channel ID],Channels!$E$11)</f>
        <v/>
      </c>
      <c r="I173" s="91">
        <f>SUM(C173:H173)</f>
        <v/>
      </c>
      <c r="J173" s="92">
        <f>SUMIFS(tblVideos[Length],tblVideos[Day],"&gt;="&amp;$B173,tblVideos[Day],"&lt;"&amp;EDATE($B173,1))</f>
        <v/>
      </c>
      <c r="K173" s="83">
        <f>COUNTIFS(tblVideos[Watched On],"&gt;="&amp;$B173,tblVideos[Watched On],"&lt;"&amp;EDATE($B173,1),tblVideos[Status],"Watched")</f>
        <v/>
      </c>
      <c r="L173" s="92">
        <f>SUMIFS(tblVideos[Length],tblVideos[Watched On],"&gt;="&amp;$B173,tblVideos[Watched On],"&lt;"&amp;EDATE($B173,1),tblVideos[Status],"Watched")</f>
        <v/>
      </c>
      <c r="M173" s="94">
        <f>IF(I173=0,"Gap",IF(I173&gt;AVERAGE($I$144:$I$317)+2*STDEV($I$144:$I$317),"High",""))</f>
        <v/>
      </c>
    </row>
    <row r="174">
      <c r="B174" s="93" t="n">
        <v>41944</v>
      </c>
      <c r="C174" s="83">
        <f>COUNTIFS(tblVideos[Day],"&gt;="&amp;$B174,tblVideos[Day],"&lt;"&amp;EDATE($B174,1),tblVideos[Channel ID],Channels!$E$6)</f>
        <v/>
      </c>
      <c r="D174" s="83">
        <f>COUNTIFS(tblVideos[Day],"&gt;="&amp;$B174,tblVideos[Day],"&lt;"&amp;EDATE($B174,1),tblVideos[Channel ID],Channels!$E$7)</f>
        <v/>
      </c>
      <c r="E174" s="83">
        <f>COUNTIFS(tblVideos[Day],"&gt;="&amp;$B174,tblVideos[Day],"&lt;"&amp;EDATE($B174,1),tblVideos[Channel ID],Channels!$E$8)</f>
        <v/>
      </c>
      <c r="F174" s="83">
        <f>COUNTIFS(tblVideos[Day],"&gt;="&amp;$B174,tblVideos[Day],"&lt;"&amp;EDATE($B174,1),tblVideos[Channel ID],Channels!$E$9)</f>
        <v/>
      </c>
      <c r="G174" s="83">
        <f>COUNTIFS(tblVideos[Day],"&gt;="&amp;$B174,tblVideos[Day],"&lt;"&amp;EDATE($B174,1),tblVideos[Channel ID],Channels!$E$10)</f>
        <v/>
      </c>
      <c r="H174" s="83">
        <f>COUNTIFS(tblVideos[Day],"&gt;="&amp;$B174,tblVideos[Day],"&lt;"&amp;EDATE($B174,1),tblVideos[Channel ID],Channels!$E$11)</f>
        <v/>
      </c>
      <c r="I174" s="91">
        <f>SUM(C174:H174)</f>
        <v/>
      </c>
      <c r="J174" s="92">
        <f>SUMIFS(tblVideos[Length],tblVideos[Day],"&gt;="&amp;$B174,tblVideos[Day],"&lt;"&amp;EDATE($B174,1))</f>
        <v/>
      </c>
      <c r="K174" s="83">
        <f>COUNTIFS(tblVideos[Watched On],"&gt;="&amp;$B174,tblVideos[Watched On],"&lt;"&amp;EDATE($B174,1),tblVideos[Status],"Watched")</f>
        <v/>
      </c>
      <c r="L174" s="92">
        <f>SUMIFS(tblVideos[Length],tblVideos[Watched On],"&gt;="&amp;$B174,tblVideos[Watched On],"&lt;"&amp;EDATE($B174,1),tblVideos[Status],"Watched")</f>
        <v/>
      </c>
      <c r="M174" s="94">
        <f>IF(I174=0,"Gap",IF(I174&gt;AVERAGE($I$144:$I$317)+2*STDEV($I$144:$I$317),"High",""))</f>
        <v/>
      </c>
    </row>
    <row r="175">
      <c r="B175" s="93" t="n">
        <v>41974</v>
      </c>
      <c r="C175" s="83">
        <f>COUNTIFS(tblVideos[Day],"&gt;="&amp;$B175,tblVideos[Day],"&lt;"&amp;EDATE($B175,1),tblVideos[Channel ID],Channels!$E$6)</f>
        <v/>
      </c>
      <c r="D175" s="83">
        <f>COUNTIFS(tblVideos[Day],"&gt;="&amp;$B175,tblVideos[Day],"&lt;"&amp;EDATE($B175,1),tblVideos[Channel ID],Channels!$E$7)</f>
        <v/>
      </c>
      <c r="E175" s="83">
        <f>COUNTIFS(tblVideos[Day],"&gt;="&amp;$B175,tblVideos[Day],"&lt;"&amp;EDATE($B175,1),tblVideos[Channel ID],Channels!$E$8)</f>
        <v/>
      </c>
      <c r="F175" s="83">
        <f>COUNTIFS(tblVideos[Day],"&gt;="&amp;$B175,tblVideos[Day],"&lt;"&amp;EDATE($B175,1),tblVideos[Channel ID],Channels!$E$9)</f>
        <v/>
      </c>
      <c r="G175" s="83">
        <f>COUNTIFS(tblVideos[Day],"&gt;="&amp;$B175,tblVideos[Day],"&lt;"&amp;EDATE($B175,1),tblVideos[Channel ID],Channels!$E$10)</f>
        <v/>
      </c>
      <c r="H175" s="83">
        <f>COUNTIFS(tblVideos[Day],"&gt;="&amp;$B175,tblVideos[Day],"&lt;"&amp;EDATE($B175,1),tblVideos[Channel ID],Channels!$E$11)</f>
        <v/>
      </c>
      <c r="I175" s="91">
        <f>SUM(C175:H175)</f>
        <v/>
      </c>
      <c r="J175" s="92">
        <f>SUMIFS(tblVideos[Length],tblVideos[Day],"&gt;="&amp;$B175,tblVideos[Day],"&lt;"&amp;EDATE($B175,1))</f>
        <v/>
      </c>
      <c r="K175" s="83">
        <f>COUNTIFS(tblVideos[Watched On],"&gt;="&amp;$B175,tblVideos[Watched On],"&lt;"&amp;EDATE($B175,1),tblVideos[Status],"Watched")</f>
        <v/>
      </c>
      <c r="L175" s="92">
        <f>SUMIFS(tblVideos[Length],tblVideos[Watched On],"&gt;="&amp;$B175,tblVideos[Watched On],"&lt;"&amp;EDATE($B175,1),tblVideos[Status],"Watched")</f>
        <v/>
      </c>
      <c r="M175" s="94">
        <f>IF(I175=0,"Gap",IF(I175&gt;AVERAGE($I$144:$I$317)+2*STDEV($I$144:$I$317),"High",""))</f>
        <v/>
      </c>
    </row>
    <row r="176">
      <c r="B176" s="93" t="n">
        <v>42005</v>
      </c>
      <c r="C176" s="83">
        <f>COUNTIFS(tblVideos[Day],"&gt;="&amp;$B176,tblVideos[Day],"&lt;"&amp;EDATE($B176,1),tblVideos[Channel ID],Channels!$E$6)</f>
        <v/>
      </c>
      <c r="D176" s="83">
        <f>COUNTIFS(tblVideos[Day],"&gt;="&amp;$B176,tblVideos[Day],"&lt;"&amp;EDATE($B176,1),tblVideos[Channel ID],Channels!$E$7)</f>
        <v/>
      </c>
      <c r="E176" s="83">
        <f>COUNTIFS(tblVideos[Day],"&gt;="&amp;$B176,tblVideos[Day],"&lt;"&amp;EDATE($B176,1),tblVideos[Channel ID],Channels!$E$8)</f>
        <v/>
      </c>
      <c r="F176" s="83">
        <f>COUNTIFS(tblVideos[Day],"&gt;="&amp;$B176,tblVideos[Day],"&lt;"&amp;EDATE($B176,1),tblVideos[Channel ID],Channels!$E$9)</f>
        <v/>
      </c>
      <c r="G176" s="83">
        <f>COUNTIFS(tblVideos[Day],"&gt;="&amp;$B176,tblVideos[Day],"&lt;"&amp;EDATE($B176,1),tblVideos[Channel ID],Channels!$E$10)</f>
        <v/>
      </c>
      <c r="H176" s="83">
        <f>COUNTIFS(tblVideos[Day],"&gt;="&amp;$B176,tblVideos[Day],"&lt;"&amp;EDATE($B176,1),tblVideos[Channel ID],Channels!$E$11)</f>
        <v/>
      </c>
      <c r="I176" s="91">
        <f>SUM(C176:H176)</f>
        <v/>
      </c>
      <c r="J176" s="92">
        <f>SUMIFS(tblVideos[Length],tblVideos[Day],"&gt;="&amp;$B176,tblVideos[Day],"&lt;"&amp;EDATE($B176,1))</f>
        <v/>
      </c>
      <c r="K176" s="83">
        <f>COUNTIFS(tblVideos[Watched On],"&gt;="&amp;$B176,tblVideos[Watched On],"&lt;"&amp;EDATE($B176,1),tblVideos[Status],"Watched")</f>
        <v/>
      </c>
      <c r="L176" s="92">
        <f>SUMIFS(tblVideos[Length],tblVideos[Watched On],"&gt;="&amp;$B176,tblVideos[Watched On],"&lt;"&amp;EDATE($B176,1),tblVideos[Status],"Watched")</f>
        <v/>
      </c>
      <c r="M176" s="94">
        <f>IF(I176=0,"Gap",IF(I176&gt;AVERAGE($I$144:$I$317)+2*STDEV($I$144:$I$317),"High",""))</f>
        <v/>
      </c>
    </row>
    <row r="177">
      <c r="B177" s="93" t="n">
        <v>42036</v>
      </c>
      <c r="C177" s="83">
        <f>COUNTIFS(tblVideos[Day],"&gt;="&amp;$B177,tblVideos[Day],"&lt;"&amp;EDATE($B177,1),tblVideos[Channel ID],Channels!$E$6)</f>
        <v/>
      </c>
      <c r="D177" s="83">
        <f>COUNTIFS(tblVideos[Day],"&gt;="&amp;$B177,tblVideos[Day],"&lt;"&amp;EDATE($B177,1),tblVideos[Channel ID],Channels!$E$7)</f>
        <v/>
      </c>
      <c r="E177" s="83">
        <f>COUNTIFS(tblVideos[Day],"&gt;="&amp;$B177,tblVideos[Day],"&lt;"&amp;EDATE($B177,1),tblVideos[Channel ID],Channels!$E$8)</f>
        <v/>
      </c>
      <c r="F177" s="83">
        <f>COUNTIFS(tblVideos[Day],"&gt;="&amp;$B177,tblVideos[Day],"&lt;"&amp;EDATE($B177,1),tblVideos[Channel ID],Channels!$E$9)</f>
        <v/>
      </c>
      <c r="G177" s="83">
        <f>COUNTIFS(tblVideos[Day],"&gt;="&amp;$B177,tblVideos[Day],"&lt;"&amp;EDATE($B177,1),tblVideos[Channel ID],Channels!$E$10)</f>
        <v/>
      </c>
      <c r="H177" s="83">
        <f>COUNTIFS(tblVideos[Day],"&gt;="&amp;$B177,tblVideos[Day],"&lt;"&amp;EDATE($B177,1),tblVideos[Channel ID],Channels!$E$11)</f>
        <v/>
      </c>
      <c r="I177" s="91">
        <f>SUM(C177:H177)</f>
        <v/>
      </c>
      <c r="J177" s="92">
        <f>SUMIFS(tblVideos[Length],tblVideos[Day],"&gt;="&amp;$B177,tblVideos[Day],"&lt;"&amp;EDATE($B177,1))</f>
        <v/>
      </c>
      <c r="K177" s="83">
        <f>COUNTIFS(tblVideos[Watched On],"&gt;="&amp;$B177,tblVideos[Watched On],"&lt;"&amp;EDATE($B177,1),tblVideos[Status],"Watched")</f>
        <v/>
      </c>
      <c r="L177" s="92">
        <f>SUMIFS(tblVideos[Length],tblVideos[Watched On],"&gt;="&amp;$B177,tblVideos[Watched On],"&lt;"&amp;EDATE($B177,1),tblVideos[Status],"Watched")</f>
        <v/>
      </c>
      <c r="M177" s="94">
        <f>IF(I177=0,"Gap",IF(I177&gt;AVERAGE($I$144:$I$317)+2*STDEV($I$144:$I$317),"High",""))</f>
        <v/>
      </c>
    </row>
    <row r="178">
      <c r="B178" s="93" t="n">
        <v>42064</v>
      </c>
      <c r="C178" s="83">
        <f>COUNTIFS(tblVideos[Day],"&gt;="&amp;$B178,tblVideos[Day],"&lt;"&amp;EDATE($B178,1),tblVideos[Channel ID],Channels!$E$6)</f>
        <v/>
      </c>
      <c r="D178" s="83">
        <f>COUNTIFS(tblVideos[Day],"&gt;="&amp;$B178,tblVideos[Day],"&lt;"&amp;EDATE($B178,1),tblVideos[Channel ID],Channels!$E$7)</f>
        <v/>
      </c>
      <c r="E178" s="83">
        <f>COUNTIFS(tblVideos[Day],"&gt;="&amp;$B178,tblVideos[Day],"&lt;"&amp;EDATE($B178,1),tblVideos[Channel ID],Channels!$E$8)</f>
        <v/>
      </c>
      <c r="F178" s="83">
        <f>COUNTIFS(tblVideos[Day],"&gt;="&amp;$B178,tblVideos[Day],"&lt;"&amp;EDATE($B178,1),tblVideos[Channel ID],Channels!$E$9)</f>
        <v/>
      </c>
      <c r="G178" s="83">
        <f>COUNTIFS(tblVideos[Day],"&gt;="&amp;$B178,tblVideos[Day],"&lt;"&amp;EDATE($B178,1),tblVideos[Channel ID],Channels!$E$10)</f>
        <v/>
      </c>
      <c r="H178" s="83">
        <f>COUNTIFS(tblVideos[Day],"&gt;="&amp;$B178,tblVideos[Day],"&lt;"&amp;EDATE($B178,1),tblVideos[Channel ID],Channels!$E$11)</f>
        <v/>
      </c>
      <c r="I178" s="91">
        <f>SUM(C178:H178)</f>
        <v/>
      </c>
      <c r="J178" s="92">
        <f>SUMIFS(tblVideos[Length],tblVideos[Day],"&gt;="&amp;$B178,tblVideos[Day],"&lt;"&amp;EDATE($B178,1))</f>
        <v/>
      </c>
      <c r="K178" s="83">
        <f>COUNTIFS(tblVideos[Watched On],"&gt;="&amp;$B178,tblVideos[Watched On],"&lt;"&amp;EDATE($B178,1),tblVideos[Status],"Watched")</f>
        <v/>
      </c>
      <c r="L178" s="92">
        <f>SUMIFS(tblVideos[Length],tblVideos[Watched On],"&gt;="&amp;$B178,tblVideos[Watched On],"&lt;"&amp;EDATE($B178,1),tblVideos[Status],"Watched")</f>
        <v/>
      </c>
      <c r="M178" s="94">
        <f>IF(I178=0,"Gap",IF(I178&gt;AVERAGE($I$144:$I$317)+2*STDEV($I$144:$I$317),"High",""))</f>
        <v/>
      </c>
    </row>
    <row r="179">
      <c r="B179" s="93" t="n">
        <v>42095</v>
      </c>
      <c r="C179" s="83">
        <f>COUNTIFS(tblVideos[Day],"&gt;="&amp;$B179,tblVideos[Day],"&lt;"&amp;EDATE($B179,1),tblVideos[Channel ID],Channels!$E$6)</f>
        <v/>
      </c>
      <c r="D179" s="83">
        <f>COUNTIFS(tblVideos[Day],"&gt;="&amp;$B179,tblVideos[Day],"&lt;"&amp;EDATE($B179,1),tblVideos[Channel ID],Channels!$E$7)</f>
        <v/>
      </c>
      <c r="E179" s="83">
        <f>COUNTIFS(tblVideos[Day],"&gt;="&amp;$B179,tblVideos[Day],"&lt;"&amp;EDATE($B179,1),tblVideos[Channel ID],Channels!$E$8)</f>
        <v/>
      </c>
      <c r="F179" s="83">
        <f>COUNTIFS(tblVideos[Day],"&gt;="&amp;$B179,tblVideos[Day],"&lt;"&amp;EDATE($B179,1),tblVideos[Channel ID],Channels!$E$9)</f>
        <v/>
      </c>
      <c r="G179" s="83">
        <f>COUNTIFS(tblVideos[Day],"&gt;="&amp;$B179,tblVideos[Day],"&lt;"&amp;EDATE($B179,1),tblVideos[Channel ID],Channels!$E$10)</f>
        <v/>
      </c>
      <c r="H179" s="83">
        <f>COUNTIFS(tblVideos[Day],"&gt;="&amp;$B179,tblVideos[Day],"&lt;"&amp;EDATE($B179,1),tblVideos[Channel ID],Channels!$E$11)</f>
        <v/>
      </c>
      <c r="I179" s="91">
        <f>SUM(C179:H179)</f>
        <v/>
      </c>
      <c r="J179" s="92">
        <f>SUMIFS(tblVideos[Length],tblVideos[Day],"&gt;="&amp;$B179,tblVideos[Day],"&lt;"&amp;EDATE($B179,1))</f>
        <v/>
      </c>
      <c r="K179" s="83">
        <f>COUNTIFS(tblVideos[Watched On],"&gt;="&amp;$B179,tblVideos[Watched On],"&lt;"&amp;EDATE($B179,1),tblVideos[Status],"Watched")</f>
        <v/>
      </c>
      <c r="L179" s="92">
        <f>SUMIFS(tblVideos[Length],tblVideos[Watched On],"&gt;="&amp;$B179,tblVideos[Watched On],"&lt;"&amp;EDATE($B179,1),tblVideos[Status],"Watched")</f>
        <v/>
      </c>
      <c r="M179" s="94">
        <f>IF(I179=0,"Gap",IF(I179&gt;AVERAGE($I$144:$I$317)+2*STDEV($I$144:$I$317),"High",""))</f>
        <v/>
      </c>
    </row>
    <row r="180">
      <c r="B180" s="93" t="n">
        <v>42125</v>
      </c>
      <c r="C180" s="83">
        <f>COUNTIFS(tblVideos[Day],"&gt;="&amp;$B180,tblVideos[Day],"&lt;"&amp;EDATE($B180,1),tblVideos[Channel ID],Channels!$E$6)</f>
        <v/>
      </c>
      <c r="D180" s="83">
        <f>COUNTIFS(tblVideos[Day],"&gt;="&amp;$B180,tblVideos[Day],"&lt;"&amp;EDATE($B180,1),tblVideos[Channel ID],Channels!$E$7)</f>
        <v/>
      </c>
      <c r="E180" s="83">
        <f>COUNTIFS(tblVideos[Day],"&gt;="&amp;$B180,tblVideos[Day],"&lt;"&amp;EDATE($B180,1),tblVideos[Channel ID],Channels!$E$8)</f>
        <v/>
      </c>
      <c r="F180" s="83">
        <f>COUNTIFS(tblVideos[Day],"&gt;="&amp;$B180,tblVideos[Day],"&lt;"&amp;EDATE($B180,1),tblVideos[Channel ID],Channels!$E$9)</f>
        <v/>
      </c>
      <c r="G180" s="83">
        <f>COUNTIFS(tblVideos[Day],"&gt;="&amp;$B180,tblVideos[Day],"&lt;"&amp;EDATE($B180,1),tblVideos[Channel ID],Channels!$E$10)</f>
        <v/>
      </c>
      <c r="H180" s="83">
        <f>COUNTIFS(tblVideos[Day],"&gt;="&amp;$B180,tblVideos[Day],"&lt;"&amp;EDATE($B180,1),tblVideos[Channel ID],Channels!$E$11)</f>
        <v/>
      </c>
      <c r="I180" s="91">
        <f>SUM(C180:H180)</f>
        <v/>
      </c>
      <c r="J180" s="92">
        <f>SUMIFS(tblVideos[Length],tblVideos[Day],"&gt;="&amp;$B180,tblVideos[Day],"&lt;"&amp;EDATE($B180,1))</f>
        <v/>
      </c>
      <c r="K180" s="83">
        <f>COUNTIFS(tblVideos[Watched On],"&gt;="&amp;$B180,tblVideos[Watched On],"&lt;"&amp;EDATE($B180,1),tblVideos[Status],"Watched")</f>
        <v/>
      </c>
      <c r="L180" s="92">
        <f>SUMIFS(tblVideos[Length],tblVideos[Watched On],"&gt;="&amp;$B180,tblVideos[Watched On],"&lt;"&amp;EDATE($B180,1),tblVideos[Status],"Watched")</f>
        <v/>
      </c>
      <c r="M180" s="94">
        <f>IF(I180=0,"Gap",IF(I180&gt;AVERAGE($I$144:$I$317)+2*STDEV($I$144:$I$317),"High",""))</f>
        <v/>
      </c>
    </row>
    <row r="181">
      <c r="B181" s="93" t="n">
        <v>42156</v>
      </c>
      <c r="C181" s="83">
        <f>COUNTIFS(tblVideos[Day],"&gt;="&amp;$B181,tblVideos[Day],"&lt;"&amp;EDATE($B181,1),tblVideos[Channel ID],Channels!$E$6)</f>
        <v/>
      </c>
      <c r="D181" s="83">
        <f>COUNTIFS(tblVideos[Day],"&gt;="&amp;$B181,tblVideos[Day],"&lt;"&amp;EDATE($B181,1),tblVideos[Channel ID],Channels!$E$7)</f>
        <v/>
      </c>
      <c r="E181" s="83">
        <f>COUNTIFS(tblVideos[Day],"&gt;="&amp;$B181,tblVideos[Day],"&lt;"&amp;EDATE($B181,1),tblVideos[Channel ID],Channels!$E$8)</f>
        <v/>
      </c>
      <c r="F181" s="83">
        <f>COUNTIFS(tblVideos[Day],"&gt;="&amp;$B181,tblVideos[Day],"&lt;"&amp;EDATE($B181,1),tblVideos[Channel ID],Channels!$E$9)</f>
        <v/>
      </c>
      <c r="G181" s="83">
        <f>COUNTIFS(tblVideos[Day],"&gt;="&amp;$B181,tblVideos[Day],"&lt;"&amp;EDATE($B181,1),tblVideos[Channel ID],Channels!$E$10)</f>
        <v/>
      </c>
      <c r="H181" s="83">
        <f>COUNTIFS(tblVideos[Day],"&gt;="&amp;$B181,tblVideos[Day],"&lt;"&amp;EDATE($B181,1),tblVideos[Channel ID],Channels!$E$11)</f>
        <v/>
      </c>
      <c r="I181" s="91">
        <f>SUM(C181:H181)</f>
        <v/>
      </c>
      <c r="J181" s="92">
        <f>SUMIFS(tblVideos[Length],tblVideos[Day],"&gt;="&amp;$B181,tblVideos[Day],"&lt;"&amp;EDATE($B181,1))</f>
        <v/>
      </c>
      <c r="K181" s="83">
        <f>COUNTIFS(tblVideos[Watched On],"&gt;="&amp;$B181,tblVideos[Watched On],"&lt;"&amp;EDATE($B181,1),tblVideos[Status],"Watched")</f>
        <v/>
      </c>
      <c r="L181" s="92">
        <f>SUMIFS(tblVideos[Length],tblVideos[Watched On],"&gt;="&amp;$B181,tblVideos[Watched On],"&lt;"&amp;EDATE($B181,1),tblVideos[Status],"Watched")</f>
        <v/>
      </c>
      <c r="M181" s="94">
        <f>IF(I181=0,"Gap",IF(I181&gt;AVERAGE($I$144:$I$317)+2*STDEV($I$144:$I$317),"High",""))</f>
        <v/>
      </c>
    </row>
    <row r="182">
      <c r="B182" s="93" t="n">
        <v>42186</v>
      </c>
      <c r="C182" s="83">
        <f>COUNTIFS(tblVideos[Day],"&gt;="&amp;$B182,tblVideos[Day],"&lt;"&amp;EDATE($B182,1),tblVideos[Channel ID],Channels!$E$6)</f>
        <v/>
      </c>
      <c r="D182" s="83">
        <f>COUNTIFS(tblVideos[Day],"&gt;="&amp;$B182,tblVideos[Day],"&lt;"&amp;EDATE($B182,1),tblVideos[Channel ID],Channels!$E$7)</f>
        <v/>
      </c>
      <c r="E182" s="83">
        <f>COUNTIFS(tblVideos[Day],"&gt;="&amp;$B182,tblVideos[Day],"&lt;"&amp;EDATE($B182,1),tblVideos[Channel ID],Channels!$E$8)</f>
        <v/>
      </c>
      <c r="F182" s="83">
        <f>COUNTIFS(tblVideos[Day],"&gt;="&amp;$B182,tblVideos[Day],"&lt;"&amp;EDATE($B182,1),tblVideos[Channel ID],Channels!$E$9)</f>
        <v/>
      </c>
      <c r="G182" s="83">
        <f>COUNTIFS(tblVideos[Day],"&gt;="&amp;$B182,tblVideos[Day],"&lt;"&amp;EDATE($B182,1),tblVideos[Channel ID],Channels!$E$10)</f>
        <v/>
      </c>
      <c r="H182" s="83">
        <f>COUNTIFS(tblVideos[Day],"&gt;="&amp;$B182,tblVideos[Day],"&lt;"&amp;EDATE($B182,1),tblVideos[Channel ID],Channels!$E$11)</f>
        <v/>
      </c>
      <c r="I182" s="91">
        <f>SUM(C182:H182)</f>
        <v/>
      </c>
      <c r="J182" s="92">
        <f>SUMIFS(tblVideos[Length],tblVideos[Day],"&gt;="&amp;$B182,tblVideos[Day],"&lt;"&amp;EDATE($B182,1))</f>
        <v/>
      </c>
      <c r="K182" s="83">
        <f>COUNTIFS(tblVideos[Watched On],"&gt;="&amp;$B182,tblVideos[Watched On],"&lt;"&amp;EDATE($B182,1),tblVideos[Status],"Watched")</f>
        <v/>
      </c>
      <c r="L182" s="92">
        <f>SUMIFS(tblVideos[Length],tblVideos[Watched On],"&gt;="&amp;$B182,tblVideos[Watched On],"&lt;"&amp;EDATE($B182,1),tblVideos[Status],"Watched")</f>
        <v/>
      </c>
      <c r="M182" s="94">
        <f>IF(I182=0,"Gap",IF(I182&gt;AVERAGE($I$144:$I$317)+2*STDEV($I$144:$I$317),"High",""))</f>
        <v/>
      </c>
    </row>
    <row r="183">
      <c r="B183" s="93" t="n">
        <v>42217</v>
      </c>
      <c r="C183" s="83">
        <f>COUNTIFS(tblVideos[Day],"&gt;="&amp;$B183,tblVideos[Day],"&lt;"&amp;EDATE($B183,1),tblVideos[Channel ID],Channels!$E$6)</f>
        <v/>
      </c>
      <c r="D183" s="83">
        <f>COUNTIFS(tblVideos[Day],"&gt;="&amp;$B183,tblVideos[Day],"&lt;"&amp;EDATE($B183,1),tblVideos[Channel ID],Channels!$E$7)</f>
        <v/>
      </c>
      <c r="E183" s="83">
        <f>COUNTIFS(tblVideos[Day],"&gt;="&amp;$B183,tblVideos[Day],"&lt;"&amp;EDATE($B183,1),tblVideos[Channel ID],Channels!$E$8)</f>
        <v/>
      </c>
      <c r="F183" s="83">
        <f>COUNTIFS(tblVideos[Day],"&gt;="&amp;$B183,tblVideos[Day],"&lt;"&amp;EDATE($B183,1),tblVideos[Channel ID],Channels!$E$9)</f>
        <v/>
      </c>
      <c r="G183" s="83">
        <f>COUNTIFS(tblVideos[Day],"&gt;="&amp;$B183,tblVideos[Day],"&lt;"&amp;EDATE($B183,1),tblVideos[Channel ID],Channels!$E$10)</f>
        <v/>
      </c>
      <c r="H183" s="83">
        <f>COUNTIFS(tblVideos[Day],"&gt;="&amp;$B183,tblVideos[Day],"&lt;"&amp;EDATE($B183,1),tblVideos[Channel ID],Channels!$E$11)</f>
        <v/>
      </c>
      <c r="I183" s="91">
        <f>SUM(C183:H183)</f>
        <v/>
      </c>
      <c r="J183" s="92">
        <f>SUMIFS(tblVideos[Length],tblVideos[Day],"&gt;="&amp;$B183,tblVideos[Day],"&lt;"&amp;EDATE($B183,1))</f>
        <v/>
      </c>
      <c r="K183" s="83">
        <f>COUNTIFS(tblVideos[Watched On],"&gt;="&amp;$B183,tblVideos[Watched On],"&lt;"&amp;EDATE($B183,1),tblVideos[Status],"Watched")</f>
        <v/>
      </c>
      <c r="L183" s="92">
        <f>SUMIFS(tblVideos[Length],tblVideos[Watched On],"&gt;="&amp;$B183,tblVideos[Watched On],"&lt;"&amp;EDATE($B183,1),tblVideos[Status],"Watched")</f>
        <v/>
      </c>
      <c r="M183" s="94">
        <f>IF(I183=0,"Gap",IF(I183&gt;AVERAGE($I$144:$I$317)+2*STDEV($I$144:$I$317),"High",""))</f>
        <v/>
      </c>
    </row>
    <row r="184">
      <c r="B184" s="93" t="n">
        <v>42248</v>
      </c>
      <c r="C184" s="83">
        <f>COUNTIFS(tblVideos[Day],"&gt;="&amp;$B184,tblVideos[Day],"&lt;"&amp;EDATE($B184,1),tblVideos[Channel ID],Channels!$E$6)</f>
        <v/>
      </c>
      <c r="D184" s="83">
        <f>COUNTIFS(tblVideos[Day],"&gt;="&amp;$B184,tblVideos[Day],"&lt;"&amp;EDATE($B184,1),tblVideos[Channel ID],Channels!$E$7)</f>
        <v/>
      </c>
      <c r="E184" s="83">
        <f>COUNTIFS(tblVideos[Day],"&gt;="&amp;$B184,tblVideos[Day],"&lt;"&amp;EDATE($B184,1),tblVideos[Channel ID],Channels!$E$8)</f>
        <v/>
      </c>
      <c r="F184" s="83">
        <f>COUNTIFS(tblVideos[Day],"&gt;="&amp;$B184,tblVideos[Day],"&lt;"&amp;EDATE($B184,1),tblVideos[Channel ID],Channels!$E$9)</f>
        <v/>
      </c>
      <c r="G184" s="83">
        <f>COUNTIFS(tblVideos[Day],"&gt;="&amp;$B184,tblVideos[Day],"&lt;"&amp;EDATE($B184,1),tblVideos[Channel ID],Channels!$E$10)</f>
        <v/>
      </c>
      <c r="H184" s="83">
        <f>COUNTIFS(tblVideos[Day],"&gt;="&amp;$B184,tblVideos[Day],"&lt;"&amp;EDATE($B184,1),tblVideos[Channel ID],Channels!$E$11)</f>
        <v/>
      </c>
      <c r="I184" s="91">
        <f>SUM(C184:H184)</f>
        <v/>
      </c>
      <c r="J184" s="92">
        <f>SUMIFS(tblVideos[Length],tblVideos[Day],"&gt;="&amp;$B184,tblVideos[Day],"&lt;"&amp;EDATE($B184,1))</f>
        <v/>
      </c>
      <c r="K184" s="83">
        <f>COUNTIFS(tblVideos[Watched On],"&gt;="&amp;$B184,tblVideos[Watched On],"&lt;"&amp;EDATE($B184,1),tblVideos[Status],"Watched")</f>
        <v/>
      </c>
      <c r="L184" s="92">
        <f>SUMIFS(tblVideos[Length],tblVideos[Watched On],"&gt;="&amp;$B184,tblVideos[Watched On],"&lt;"&amp;EDATE($B184,1),tblVideos[Status],"Watched")</f>
        <v/>
      </c>
      <c r="M184" s="94">
        <f>IF(I184=0,"Gap",IF(I184&gt;AVERAGE($I$144:$I$317)+2*STDEV($I$144:$I$317),"High",""))</f>
        <v/>
      </c>
    </row>
    <row r="185">
      <c r="B185" s="93" t="n">
        <v>42278</v>
      </c>
      <c r="C185" s="83">
        <f>COUNTIFS(tblVideos[Day],"&gt;="&amp;$B185,tblVideos[Day],"&lt;"&amp;EDATE($B185,1),tblVideos[Channel ID],Channels!$E$6)</f>
        <v/>
      </c>
      <c r="D185" s="83">
        <f>COUNTIFS(tblVideos[Day],"&gt;="&amp;$B185,tblVideos[Day],"&lt;"&amp;EDATE($B185,1),tblVideos[Channel ID],Channels!$E$7)</f>
        <v/>
      </c>
      <c r="E185" s="83">
        <f>COUNTIFS(tblVideos[Day],"&gt;="&amp;$B185,tblVideos[Day],"&lt;"&amp;EDATE($B185,1),tblVideos[Channel ID],Channels!$E$8)</f>
        <v/>
      </c>
      <c r="F185" s="83">
        <f>COUNTIFS(tblVideos[Day],"&gt;="&amp;$B185,tblVideos[Day],"&lt;"&amp;EDATE($B185,1),tblVideos[Channel ID],Channels!$E$9)</f>
        <v/>
      </c>
      <c r="G185" s="83">
        <f>COUNTIFS(tblVideos[Day],"&gt;="&amp;$B185,tblVideos[Day],"&lt;"&amp;EDATE($B185,1),tblVideos[Channel ID],Channels!$E$10)</f>
        <v/>
      </c>
      <c r="H185" s="83">
        <f>COUNTIFS(tblVideos[Day],"&gt;="&amp;$B185,tblVideos[Day],"&lt;"&amp;EDATE($B185,1),tblVideos[Channel ID],Channels!$E$11)</f>
        <v/>
      </c>
      <c r="I185" s="91">
        <f>SUM(C185:H185)</f>
        <v/>
      </c>
      <c r="J185" s="92">
        <f>SUMIFS(tblVideos[Length],tblVideos[Day],"&gt;="&amp;$B185,tblVideos[Day],"&lt;"&amp;EDATE($B185,1))</f>
        <v/>
      </c>
      <c r="K185" s="83">
        <f>COUNTIFS(tblVideos[Watched On],"&gt;="&amp;$B185,tblVideos[Watched On],"&lt;"&amp;EDATE($B185,1),tblVideos[Status],"Watched")</f>
        <v/>
      </c>
      <c r="L185" s="92">
        <f>SUMIFS(tblVideos[Length],tblVideos[Watched On],"&gt;="&amp;$B185,tblVideos[Watched On],"&lt;"&amp;EDATE($B185,1),tblVideos[Status],"Watched")</f>
        <v/>
      </c>
      <c r="M185" s="94">
        <f>IF(I185=0,"Gap",IF(I185&gt;AVERAGE($I$144:$I$317)+2*STDEV($I$144:$I$317),"High",""))</f>
        <v/>
      </c>
    </row>
    <row r="186">
      <c r="B186" s="93" t="n">
        <v>42309</v>
      </c>
      <c r="C186" s="83">
        <f>COUNTIFS(tblVideos[Day],"&gt;="&amp;$B186,tblVideos[Day],"&lt;"&amp;EDATE($B186,1),tblVideos[Channel ID],Channels!$E$6)</f>
        <v/>
      </c>
      <c r="D186" s="83">
        <f>COUNTIFS(tblVideos[Day],"&gt;="&amp;$B186,tblVideos[Day],"&lt;"&amp;EDATE($B186,1),tblVideos[Channel ID],Channels!$E$7)</f>
        <v/>
      </c>
      <c r="E186" s="83">
        <f>COUNTIFS(tblVideos[Day],"&gt;="&amp;$B186,tblVideos[Day],"&lt;"&amp;EDATE($B186,1),tblVideos[Channel ID],Channels!$E$8)</f>
        <v/>
      </c>
      <c r="F186" s="83">
        <f>COUNTIFS(tblVideos[Day],"&gt;="&amp;$B186,tblVideos[Day],"&lt;"&amp;EDATE($B186,1),tblVideos[Channel ID],Channels!$E$9)</f>
        <v/>
      </c>
      <c r="G186" s="83">
        <f>COUNTIFS(tblVideos[Day],"&gt;="&amp;$B186,tblVideos[Day],"&lt;"&amp;EDATE($B186,1),tblVideos[Channel ID],Channels!$E$10)</f>
        <v/>
      </c>
      <c r="H186" s="83">
        <f>COUNTIFS(tblVideos[Day],"&gt;="&amp;$B186,tblVideos[Day],"&lt;"&amp;EDATE($B186,1),tblVideos[Channel ID],Channels!$E$11)</f>
        <v/>
      </c>
      <c r="I186" s="91">
        <f>SUM(C186:H186)</f>
        <v/>
      </c>
      <c r="J186" s="92">
        <f>SUMIFS(tblVideos[Length],tblVideos[Day],"&gt;="&amp;$B186,tblVideos[Day],"&lt;"&amp;EDATE($B186,1))</f>
        <v/>
      </c>
      <c r="K186" s="83">
        <f>COUNTIFS(tblVideos[Watched On],"&gt;="&amp;$B186,tblVideos[Watched On],"&lt;"&amp;EDATE($B186,1),tblVideos[Status],"Watched")</f>
        <v/>
      </c>
      <c r="L186" s="92">
        <f>SUMIFS(tblVideos[Length],tblVideos[Watched On],"&gt;="&amp;$B186,tblVideos[Watched On],"&lt;"&amp;EDATE($B186,1),tblVideos[Status],"Watched")</f>
        <v/>
      </c>
      <c r="M186" s="94">
        <f>IF(I186=0,"Gap",IF(I186&gt;AVERAGE($I$144:$I$317)+2*STDEV($I$144:$I$317),"High",""))</f>
        <v/>
      </c>
    </row>
    <row r="187">
      <c r="B187" s="93" t="n">
        <v>42339</v>
      </c>
      <c r="C187" s="83">
        <f>COUNTIFS(tblVideos[Day],"&gt;="&amp;$B187,tblVideos[Day],"&lt;"&amp;EDATE($B187,1),tblVideos[Channel ID],Channels!$E$6)</f>
        <v/>
      </c>
      <c r="D187" s="83">
        <f>COUNTIFS(tblVideos[Day],"&gt;="&amp;$B187,tblVideos[Day],"&lt;"&amp;EDATE($B187,1),tblVideos[Channel ID],Channels!$E$7)</f>
        <v/>
      </c>
      <c r="E187" s="83">
        <f>COUNTIFS(tblVideos[Day],"&gt;="&amp;$B187,tblVideos[Day],"&lt;"&amp;EDATE($B187,1),tblVideos[Channel ID],Channels!$E$8)</f>
        <v/>
      </c>
      <c r="F187" s="83">
        <f>COUNTIFS(tblVideos[Day],"&gt;="&amp;$B187,tblVideos[Day],"&lt;"&amp;EDATE($B187,1),tblVideos[Channel ID],Channels!$E$9)</f>
        <v/>
      </c>
      <c r="G187" s="83">
        <f>COUNTIFS(tblVideos[Day],"&gt;="&amp;$B187,tblVideos[Day],"&lt;"&amp;EDATE($B187,1),tblVideos[Channel ID],Channels!$E$10)</f>
        <v/>
      </c>
      <c r="H187" s="83">
        <f>COUNTIFS(tblVideos[Day],"&gt;="&amp;$B187,tblVideos[Day],"&lt;"&amp;EDATE($B187,1),tblVideos[Channel ID],Channels!$E$11)</f>
        <v/>
      </c>
      <c r="I187" s="91">
        <f>SUM(C187:H187)</f>
        <v/>
      </c>
      <c r="J187" s="92">
        <f>SUMIFS(tblVideos[Length],tblVideos[Day],"&gt;="&amp;$B187,tblVideos[Day],"&lt;"&amp;EDATE($B187,1))</f>
        <v/>
      </c>
      <c r="K187" s="83">
        <f>COUNTIFS(tblVideos[Watched On],"&gt;="&amp;$B187,tblVideos[Watched On],"&lt;"&amp;EDATE($B187,1),tblVideos[Status],"Watched")</f>
        <v/>
      </c>
      <c r="L187" s="92">
        <f>SUMIFS(tblVideos[Length],tblVideos[Watched On],"&gt;="&amp;$B187,tblVideos[Watched On],"&lt;"&amp;EDATE($B187,1),tblVideos[Status],"Watched")</f>
        <v/>
      </c>
      <c r="M187" s="94">
        <f>IF(I187=0,"Gap",IF(I187&gt;AVERAGE($I$144:$I$317)+2*STDEV($I$144:$I$317),"High",""))</f>
        <v/>
      </c>
    </row>
    <row r="188">
      <c r="B188" s="93" t="n">
        <v>42370</v>
      </c>
      <c r="C188" s="83">
        <f>COUNTIFS(tblVideos[Day],"&gt;="&amp;$B188,tblVideos[Day],"&lt;"&amp;EDATE($B188,1),tblVideos[Channel ID],Channels!$E$6)</f>
        <v/>
      </c>
      <c r="D188" s="83">
        <f>COUNTIFS(tblVideos[Day],"&gt;="&amp;$B188,tblVideos[Day],"&lt;"&amp;EDATE($B188,1),tblVideos[Channel ID],Channels!$E$7)</f>
        <v/>
      </c>
      <c r="E188" s="83">
        <f>COUNTIFS(tblVideos[Day],"&gt;="&amp;$B188,tblVideos[Day],"&lt;"&amp;EDATE($B188,1),tblVideos[Channel ID],Channels!$E$8)</f>
        <v/>
      </c>
      <c r="F188" s="83">
        <f>COUNTIFS(tblVideos[Day],"&gt;="&amp;$B188,tblVideos[Day],"&lt;"&amp;EDATE($B188,1),tblVideos[Channel ID],Channels!$E$9)</f>
        <v/>
      </c>
      <c r="G188" s="83">
        <f>COUNTIFS(tblVideos[Day],"&gt;="&amp;$B188,tblVideos[Day],"&lt;"&amp;EDATE($B188,1),tblVideos[Channel ID],Channels!$E$10)</f>
        <v/>
      </c>
      <c r="H188" s="83">
        <f>COUNTIFS(tblVideos[Day],"&gt;="&amp;$B188,tblVideos[Day],"&lt;"&amp;EDATE($B188,1),tblVideos[Channel ID],Channels!$E$11)</f>
        <v/>
      </c>
      <c r="I188" s="91">
        <f>SUM(C188:H188)</f>
        <v/>
      </c>
      <c r="J188" s="92">
        <f>SUMIFS(tblVideos[Length],tblVideos[Day],"&gt;="&amp;$B188,tblVideos[Day],"&lt;"&amp;EDATE($B188,1))</f>
        <v/>
      </c>
      <c r="K188" s="83">
        <f>COUNTIFS(tblVideos[Watched On],"&gt;="&amp;$B188,tblVideos[Watched On],"&lt;"&amp;EDATE($B188,1),tblVideos[Status],"Watched")</f>
        <v/>
      </c>
      <c r="L188" s="92">
        <f>SUMIFS(tblVideos[Length],tblVideos[Watched On],"&gt;="&amp;$B188,tblVideos[Watched On],"&lt;"&amp;EDATE($B188,1),tblVideos[Status],"Watched")</f>
        <v/>
      </c>
      <c r="M188" s="94">
        <f>IF(I188=0,"Gap",IF(I188&gt;AVERAGE($I$144:$I$317)+2*STDEV($I$144:$I$317),"High",""))</f>
        <v/>
      </c>
    </row>
    <row r="189">
      <c r="B189" s="93" t="n">
        <v>42401</v>
      </c>
      <c r="C189" s="83">
        <f>COUNTIFS(tblVideos[Day],"&gt;="&amp;$B189,tblVideos[Day],"&lt;"&amp;EDATE($B189,1),tblVideos[Channel ID],Channels!$E$6)</f>
        <v/>
      </c>
      <c r="D189" s="83">
        <f>COUNTIFS(tblVideos[Day],"&gt;="&amp;$B189,tblVideos[Day],"&lt;"&amp;EDATE($B189,1),tblVideos[Channel ID],Channels!$E$7)</f>
        <v/>
      </c>
      <c r="E189" s="83">
        <f>COUNTIFS(tblVideos[Day],"&gt;="&amp;$B189,tblVideos[Day],"&lt;"&amp;EDATE($B189,1),tblVideos[Channel ID],Channels!$E$8)</f>
        <v/>
      </c>
      <c r="F189" s="83">
        <f>COUNTIFS(tblVideos[Day],"&gt;="&amp;$B189,tblVideos[Day],"&lt;"&amp;EDATE($B189,1),tblVideos[Channel ID],Channels!$E$9)</f>
        <v/>
      </c>
      <c r="G189" s="83">
        <f>COUNTIFS(tblVideos[Day],"&gt;="&amp;$B189,tblVideos[Day],"&lt;"&amp;EDATE($B189,1),tblVideos[Channel ID],Channels!$E$10)</f>
        <v/>
      </c>
      <c r="H189" s="83">
        <f>COUNTIFS(tblVideos[Day],"&gt;="&amp;$B189,tblVideos[Day],"&lt;"&amp;EDATE($B189,1),tblVideos[Channel ID],Channels!$E$11)</f>
        <v/>
      </c>
      <c r="I189" s="91">
        <f>SUM(C189:H189)</f>
        <v/>
      </c>
      <c r="J189" s="92">
        <f>SUMIFS(tblVideos[Length],tblVideos[Day],"&gt;="&amp;$B189,tblVideos[Day],"&lt;"&amp;EDATE($B189,1))</f>
        <v/>
      </c>
      <c r="K189" s="83">
        <f>COUNTIFS(tblVideos[Watched On],"&gt;="&amp;$B189,tblVideos[Watched On],"&lt;"&amp;EDATE($B189,1),tblVideos[Status],"Watched")</f>
        <v/>
      </c>
      <c r="L189" s="92">
        <f>SUMIFS(tblVideos[Length],tblVideos[Watched On],"&gt;="&amp;$B189,tblVideos[Watched On],"&lt;"&amp;EDATE($B189,1),tblVideos[Status],"Watched")</f>
        <v/>
      </c>
      <c r="M189" s="94">
        <f>IF(I189=0,"Gap",IF(I189&gt;AVERAGE($I$144:$I$317)+2*STDEV($I$144:$I$317),"High",""))</f>
        <v/>
      </c>
    </row>
    <row r="190">
      <c r="B190" s="93" t="n">
        <v>42430</v>
      </c>
      <c r="C190" s="83">
        <f>COUNTIFS(tblVideos[Day],"&gt;="&amp;$B190,tblVideos[Day],"&lt;"&amp;EDATE($B190,1),tblVideos[Channel ID],Channels!$E$6)</f>
        <v/>
      </c>
      <c r="D190" s="83">
        <f>COUNTIFS(tblVideos[Day],"&gt;="&amp;$B190,tblVideos[Day],"&lt;"&amp;EDATE($B190,1),tblVideos[Channel ID],Channels!$E$7)</f>
        <v/>
      </c>
      <c r="E190" s="83">
        <f>COUNTIFS(tblVideos[Day],"&gt;="&amp;$B190,tblVideos[Day],"&lt;"&amp;EDATE($B190,1),tblVideos[Channel ID],Channels!$E$8)</f>
        <v/>
      </c>
      <c r="F190" s="83">
        <f>COUNTIFS(tblVideos[Day],"&gt;="&amp;$B190,tblVideos[Day],"&lt;"&amp;EDATE($B190,1),tblVideos[Channel ID],Channels!$E$9)</f>
        <v/>
      </c>
      <c r="G190" s="83">
        <f>COUNTIFS(tblVideos[Day],"&gt;="&amp;$B190,tblVideos[Day],"&lt;"&amp;EDATE($B190,1),tblVideos[Channel ID],Channels!$E$10)</f>
        <v/>
      </c>
      <c r="H190" s="83">
        <f>COUNTIFS(tblVideos[Day],"&gt;="&amp;$B190,tblVideos[Day],"&lt;"&amp;EDATE($B190,1),tblVideos[Channel ID],Channels!$E$11)</f>
        <v/>
      </c>
      <c r="I190" s="91">
        <f>SUM(C190:H190)</f>
        <v/>
      </c>
      <c r="J190" s="92">
        <f>SUMIFS(tblVideos[Length],tblVideos[Day],"&gt;="&amp;$B190,tblVideos[Day],"&lt;"&amp;EDATE($B190,1))</f>
        <v/>
      </c>
      <c r="K190" s="83">
        <f>COUNTIFS(tblVideos[Watched On],"&gt;="&amp;$B190,tblVideos[Watched On],"&lt;"&amp;EDATE($B190,1),tblVideos[Status],"Watched")</f>
        <v/>
      </c>
      <c r="L190" s="92">
        <f>SUMIFS(tblVideos[Length],tblVideos[Watched On],"&gt;="&amp;$B190,tblVideos[Watched On],"&lt;"&amp;EDATE($B190,1),tblVideos[Status],"Watched")</f>
        <v/>
      </c>
      <c r="M190" s="94">
        <f>IF(I190=0,"Gap",IF(I190&gt;AVERAGE($I$144:$I$317)+2*STDEV($I$144:$I$317),"High",""))</f>
        <v/>
      </c>
    </row>
    <row r="191">
      <c r="B191" s="93" t="n">
        <v>42461</v>
      </c>
      <c r="C191" s="83">
        <f>COUNTIFS(tblVideos[Day],"&gt;="&amp;$B191,tblVideos[Day],"&lt;"&amp;EDATE($B191,1),tblVideos[Channel ID],Channels!$E$6)</f>
        <v/>
      </c>
      <c r="D191" s="83">
        <f>COUNTIFS(tblVideos[Day],"&gt;="&amp;$B191,tblVideos[Day],"&lt;"&amp;EDATE($B191,1),tblVideos[Channel ID],Channels!$E$7)</f>
        <v/>
      </c>
      <c r="E191" s="83">
        <f>COUNTIFS(tblVideos[Day],"&gt;="&amp;$B191,tblVideos[Day],"&lt;"&amp;EDATE($B191,1),tblVideos[Channel ID],Channels!$E$8)</f>
        <v/>
      </c>
      <c r="F191" s="83">
        <f>COUNTIFS(tblVideos[Day],"&gt;="&amp;$B191,tblVideos[Day],"&lt;"&amp;EDATE($B191,1),tblVideos[Channel ID],Channels!$E$9)</f>
        <v/>
      </c>
      <c r="G191" s="83">
        <f>COUNTIFS(tblVideos[Day],"&gt;="&amp;$B191,tblVideos[Day],"&lt;"&amp;EDATE($B191,1),tblVideos[Channel ID],Channels!$E$10)</f>
        <v/>
      </c>
      <c r="H191" s="83">
        <f>COUNTIFS(tblVideos[Day],"&gt;="&amp;$B191,tblVideos[Day],"&lt;"&amp;EDATE($B191,1),tblVideos[Channel ID],Channels!$E$11)</f>
        <v/>
      </c>
      <c r="I191" s="91">
        <f>SUM(C191:H191)</f>
        <v/>
      </c>
      <c r="J191" s="92">
        <f>SUMIFS(tblVideos[Length],tblVideos[Day],"&gt;="&amp;$B191,tblVideos[Day],"&lt;"&amp;EDATE($B191,1))</f>
        <v/>
      </c>
      <c r="K191" s="83">
        <f>COUNTIFS(tblVideos[Watched On],"&gt;="&amp;$B191,tblVideos[Watched On],"&lt;"&amp;EDATE($B191,1),tblVideos[Status],"Watched")</f>
        <v/>
      </c>
      <c r="L191" s="92">
        <f>SUMIFS(tblVideos[Length],tblVideos[Watched On],"&gt;="&amp;$B191,tblVideos[Watched On],"&lt;"&amp;EDATE($B191,1),tblVideos[Status],"Watched")</f>
        <v/>
      </c>
      <c r="M191" s="94">
        <f>IF(I191=0,"Gap",IF(I191&gt;AVERAGE($I$144:$I$317)+2*STDEV($I$144:$I$317),"High",""))</f>
        <v/>
      </c>
    </row>
    <row r="192">
      <c r="B192" s="93" t="n">
        <v>42491</v>
      </c>
      <c r="C192" s="83">
        <f>COUNTIFS(tblVideos[Day],"&gt;="&amp;$B192,tblVideos[Day],"&lt;"&amp;EDATE($B192,1),tblVideos[Channel ID],Channels!$E$6)</f>
        <v/>
      </c>
      <c r="D192" s="83">
        <f>COUNTIFS(tblVideos[Day],"&gt;="&amp;$B192,tblVideos[Day],"&lt;"&amp;EDATE($B192,1),tblVideos[Channel ID],Channels!$E$7)</f>
        <v/>
      </c>
      <c r="E192" s="83">
        <f>COUNTIFS(tblVideos[Day],"&gt;="&amp;$B192,tblVideos[Day],"&lt;"&amp;EDATE($B192,1),tblVideos[Channel ID],Channels!$E$8)</f>
        <v/>
      </c>
      <c r="F192" s="83">
        <f>COUNTIFS(tblVideos[Day],"&gt;="&amp;$B192,tblVideos[Day],"&lt;"&amp;EDATE($B192,1),tblVideos[Channel ID],Channels!$E$9)</f>
        <v/>
      </c>
      <c r="G192" s="83">
        <f>COUNTIFS(tblVideos[Day],"&gt;="&amp;$B192,tblVideos[Day],"&lt;"&amp;EDATE($B192,1),tblVideos[Channel ID],Channels!$E$10)</f>
        <v/>
      </c>
      <c r="H192" s="83">
        <f>COUNTIFS(tblVideos[Day],"&gt;="&amp;$B192,tblVideos[Day],"&lt;"&amp;EDATE($B192,1),tblVideos[Channel ID],Channels!$E$11)</f>
        <v/>
      </c>
      <c r="I192" s="91">
        <f>SUM(C192:H192)</f>
        <v/>
      </c>
      <c r="J192" s="92">
        <f>SUMIFS(tblVideos[Length],tblVideos[Day],"&gt;="&amp;$B192,tblVideos[Day],"&lt;"&amp;EDATE($B192,1))</f>
        <v/>
      </c>
      <c r="K192" s="83">
        <f>COUNTIFS(tblVideos[Watched On],"&gt;="&amp;$B192,tblVideos[Watched On],"&lt;"&amp;EDATE($B192,1),tblVideos[Status],"Watched")</f>
        <v/>
      </c>
      <c r="L192" s="92">
        <f>SUMIFS(tblVideos[Length],tblVideos[Watched On],"&gt;="&amp;$B192,tblVideos[Watched On],"&lt;"&amp;EDATE($B192,1),tblVideos[Status],"Watched")</f>
        <v/>
      </c>
      <c r="M192" s="94">
        <f>IF(I192=0,"Gap",IF(I192&gt;AVERAGE($I$144:$I$317)+2*STDEV($I$144:$I$317),"High",""))</f>
        <v/>
      </c>
    </row>
    <row r="193">
      <c r="B193" s="93" t="n">
        <v>42522</v>
      </c>
      <c r="C193" s="83">
        <f>COUNTIFS(tblVideos[Day],"&gt;="&amp;$B193,tblVideos[Day],"&lt;"&amp;EDATE($B193,1),tblVideos[Channel ID],Channels!$E$6)</f>
        <v/>
      </c>
      <c r="D193" s="83">
        <f>COUNTIFS(tblVideos[Day],"&gt;="&amp;$B193,tblVideos[Day],"&lt;"&amp;EDATE($B193,1),tblVideos[Channel ID],Channels!$E$7)</f>
        <v/>
      </c>
      <c r="E193" s="83">
        <f>COUNTIFS(tblVideos[Day],"&gt;="&amp;$B193,tblVideos[Day],"&lt;"&amp;EDATE($B193,1),tblVideos[Channel ID],Channels!$E$8)</f>
        <v/>
      </c>
      <c r="F193" s="83">
        <f>COUNTIFS(tblVideos[Day],"&gt;="&amp;$B193,tblVideos[Day],"&lt;"&amp;EDATE($B193,1),tblVideos[Channel ID],Channels!$E$9)</f>
        <v/>
      </c>
      <c r="G193" s="83">
        <f>COUNTIFS(tblVideos[Day],"&gt;="&amp;$B193,tblVideos[Day],"&lt;"&amp;EDATE($B193,1),tblVideos[Channel ID],Channels!$E$10)</f>
        <v/>
      </c>
      <c r="H193" s="83">
        <f>COUNTIFS(tblVideos[Day],"&gt;="&amp;$B193,tblVideos[Day],"&lt;"&amp;EDATE($B193,1),tblVideos[Channel ID],Channels!$E$11)</f>
        <v/>
      </c>
      <c r="I193" s="91">
        <f>SUM(C193:H193)</f>
        <v/>
      </c>
      <c r="J193" s="92">
        <f>SUMIFS(tblVideos[Length],tblVideos[Day],"&gt;="&amp;$B193,tblVideos[Day],"&lt;"&amp;EDATE($B193,1))</f>
        <v/>
      </c>
      <c r="K193" s="83">
        <f>COUNTIFS(tblVideos[Watched On],"&gt;="&amp;$B193,tblVideos[Watched On],"&lt;"&amp;EDATE($B193,1),tblVideos[Status],"Watched")</f>
        <v/>
      </c>
      <c r="L193" s="92">
        <f>SUMIFS(tblVideos[Length],tblVideos[Watched On],"&gt;="&amp;$B193,tblVideos[Watched On],"&lt;"&amp;EDATE($B193,1),tblVideos[Status],"Watched")</f>
        <v/>
      </c>
      <c r="M193" s="94">
        <f>IF(I193=0,"Gap",IF(I193&gt;AVERAGE($I$144:$I$317)+2*STDEV($I$144:$I$317),"High",""))</f>
        <v/>
      </c>
    </row>
    <row r="194">
      <c r="B194" s="93" t="n">
        <v>42552</v>
      </c>
      <c r="C194" s="83">
        <f>COUNTIFS(tblVideos[Day],"&gt;="&amp;$B194,tblVideos[Day],"&lt;"&amp;EDATE($B194,1),tblVideos[Channel ID],Channels!$E$6)</f>
        <v/>
      </c>
      <c r="D194" s="83">
        <f>COUNTIFS(tblVideos[Day],"&gt;="&amp;$B194,tblVideos[Day],"&lt;"&amp;EDATE($B194,1),tblVideos[Channel ID],Channels!$E$7)</f>
        <v/>
      </c>
      <c r="E194" s="83">
        <f>COUNTIFS(tblVideos[Day],"&gt;="&amp;$B194,tblVideos[Day],"&lt;"&amp;EDATE($B194,1),tblVideos[Channel ID],Channels!$E$8)</f>
        <v/>
      </c>
      <c r="F194" s="83">
        <f>COUNTIFS(tblVideos[Day],"&gt;="&amp;$B194,tblVideos[Day],"&lt;"&amp;EDATE($B194,1),tblVideos[Channel ID],Channels!$E$9)</f>
        <v/>
      </c>
      <c r="G194" s="83">
        <f>COUNTIFS(tblVideos[Day],"&gt;="&amp;$B194,tblVideos[Day],"&lt;"&amp;EDATE($B194,1),tblVideos[Channel ID],Channels!$E$10)</f>
        <v/>
      </c>
      <c r="H194" s="83">
        <f>COUNTIFS(tblVideos[Day],"&gt;="&amp;$B194,tblVideos[Day],"&lt;"&amp;EDATE($B194,1),tblVideos[Channel ID],Channels!$E$11)</f>
        <v/>
      </c>
      <c r="I194" s="91">
        <f>SUM(C194:H194)</f>
        <v/>
      </c>
      <c r="J194" s="92">
        <f>SUMIFS(tblVideos[Length],tblVideos[Day],"&gt;="&amp;$B194,tblVideos[Day],"&lt;"&amp;EDATE($B194,1))</f>
        <v/>
      </c>
      <c r="K194" s="83">
        <f>COUNTIFS(tblVideos[Watched On],"&gt;="&amp;$B194,tblVideos[Watched On],"&lt;"&amp;EDATE($B194,1),tblVideos[Status],"Watched")</f>
        <v/>
      </c>
      <c r="L194" s="92">
        <f>SUMIFS(tblVideos[Length],tblVideos[Watched On],"&gt;="&amp;$B194,tblVideos[Watched On],"&lt;"&amp;EDATE($B194,1),tblVideos[Status],"Watched")</f>
        <v/>
      </c>
      <c r="M194" s="94">
        <f>IF(I194=0,"Gap",IF(I194&gt;AVERAGE($I$144:$I$317)+2*STDEV($I$144:$I$317),"High",""))</f>
        <v/>
      </c>
    </row>
    <row r="195">
      <c r="B195" s="93" t="n">
        <v>42583</v>
      </c>
      <c r="C195" s="83">
        <f>COUNTIFS(tblVideos[Day],"&gt;="&amp;$B195,tblVideos[Day],"&lt;"&amp;EDATE($B195,1),tblVideos[Channel ID],Channels!$E$6)</f>
        <v/>
      </c>
      <c r="D195" s="83">
        <f>COUNTIFS(tblVideos[Day],"&gt;="&amp;$B195,tblVideos[Day],"&lt;"&amp;EDATE($B195,1),tblVideos[Channel ID],Channels!$E$7)</f>
        <v/>
      </c>
      <c r="E195" s="83">
        <f>COUNTIFS(tblVideos[Day],"&gt;="&amp;$B195,tblVideos[Day],"&lt;"&amp;EDATE($B195,1),tblVideos[Channel ID],Channels!$E$8)</f>
        <v/>
      </c>
      <c r="F195" s="83">
        <f>COUNTIFS(tblVideos[Day],"&gt;="&amp;$B195,tblVideos[Day],"&lt;"&amp;EDATE($B195,1),tblVideos[Channel ID],Channels!$E$9)</f>
        <v/>
      </c>
      <c r="G195" s="83">
        <f>COUNTIFS(tblVideos[Day],"&gt;="&amp;$B195,tblVideos[Day],"&lt;"&amp;EDATE($B195,1),tblVideos[Channel ID],Channels!$E$10)</f>
        <v/>
      </c>
      <c r="H195" s="83">
        <f>COUNTIFS(tblVideos[Day],"&gt;="&amp;$B195,tblVideos[Day],"&lt;"&amp;EDATE($B195,1),tblVideos[Channel ID],Channels!$E$11)</f>
        <v/>
      </c>
      <c r="I195" s="91">
        <f>SUM(C195:H195)</f>
        <v/>
      </c>
      <c r="J195" s="92">
        <f>SUMIFS(tblVideos[Length],tblVideos[Day],"&gt;="&amp;$B195,tblVideos[Day],"&lt;"&amp;EDATE($B195,1))</f>
        <v/>
      </c>
      <c r="K195" s="83">
        <f>COUNTIFS(tblVideos[Watched On],"&gt;="&amp;$B195,tblVideos[Watched On],"&lt;"&amp;EDATE($B195,1),tblVideos[Status],"Watched")</f>
        <v/>
      </c>
      <c r="L195" s="92">
        <f>SUMIFS(tblVideos[Length],tblVideos[Watched On],"&gt;="&amp;$B195,tblVideos[Watched On],"&lt;"&amp;EDATE($B195,1),tblVideos[Status],"Watched")</f>
        <v/>
      </c>
      <c r="M195" s="94">
        <f>IF(I195=0,"Gap",IF(I195&gt;AVERAGE($I$144:$I$317)+2*STDEV($I$144:$I$317),"High",""))</f>
        <v/>
      </c>
    </row>
    <row r="196">
      <c r="B196" s="93" t="n">
        <v>42614</v>
      </c>
      <c r="C196" s="83">
        <f>COUNTIFS(tblVideos[Day],"&gt;="&amp;$B196,tblVideos[Day],"&lt;"&amp;EDATE($B196,1),tblVideos[Channel ID],Channels!$E$6)</f>
        <v/>
      </c>
      <c r="D196" s="83">
        <f>COUNTIFS(tblVideos[Day],"&gt;="&amp;$B196,tblVideos[Day],"&lt;"&amp;EDATE($B196,1),tblVideos[Channel ID],Channels!$E$7)</f>
        <v/>
      </c>
      <c r="E196" s="83">
        <f>COUNTIFS(tblVideos[Day],"&gt;="&amp;$B196,tblVideos[Day],"&lt;"&amp;EDATE($B196,1),tblVideos[Channel ID],Channels!$E$8)</f>
        <v/>
      </c>
      <c r="F196" s="83">
        <f>COUNTIFS(tblVideos[Day],"&gt;="&amp;$B196,tblVideos[Day],"&lt;"&amp;EDATE($B196,1),tblVideos[Channel ID],Channels!$E$9)</f>
        <v/>
      </c>
      <c r="G196" s="83">
        <f>COUNTIFS(tblVideos[Day],"&gt;="&amp;$B196,tblVideos[Day],"&lt;"&amp;EDATE($B196,1),tblVideos[Channel ID],Channels!$E$10)</f>
        <v/>
      </c>
      <c r="H196" s="83">
        <f>COUNTIFS(tblVideos[Day],"&gt;="&amp;$B196,tblVideos[Day],"&lt;"&amp;EDATE($B196,1),tblVideos[Channel ID],Channels!$E$11)</f>
        <v/>
      </c>
      <c r="I196" s="91">
        <f>SUM(C196:H196)</f>
        <v/>
      </c>
      <c r="J196" s="92">
        <f>SUMIFS(tblVideos[Length],tblVideos[Day],"&gt;="&amp;$B196,tblVideos[Day],"&lt;"&amp;EDATE($B196,1))</f>
        <v/>
      </c>
      <c r="K196" s="83">
        <f>COUNTIFS(tblVideos[Watched On],"&gt;="&amp;$B196,tblVideos[Watched On],"&lt;"&amp;EDATE($B196,1),tblVideos[Status],"Watched")</f>
        <v/>
      </c>
      <c r="L196" s="92">
        <f>SUMIFS(tblVideos[Length],tblVideos[Watched On],"&gt;="&amp;$B196,tblVideos[Watched On],"&lt;"&amp;EDATE($B196,1),tblVideos[Status],"Watched")</f>
        <v/>
      </c>
      <c r="M196" s="94">
        <f>IF(I196=0,"Gap",IF(I196&gt;AVERAGE($I$144:$I$317)+2*STDEV($I$144:$I$317),"High",""))</f>
        <v/>
      </c>
    </row>
    <row r="197">
      <c r="B197" s="93" t="n">
        <v>42644</v>
      </c>
      <c r="C197" s="83">
        <f>COUNTIFS(tblVideos[Day],"&gt;="&amp;$B197,tblVideos[Day],"&lt;"&amp;EDATE($B197,1),tblVideos[Channel ID],Channels!$E$6)</f>
        <v/>
      </c>
      <c r="D197" s="83">
        <f>COUNTIFS(tblVideos[Day],"&gt;="&amp;$B197,tblVideos[Day],"&lt;"&amp;EDATE($B197,1),tblVideos[Channel ID],Channels!$E$7)</f>
        <v/>
      </c>
      <c r="E197" s="83">
        <f>COUNTIFS(tblVideos[Day],"&gt;="&amp;$B197,tblVideos[Day],"&lt;"&amp;EDATE($B197,1),tblVideos[Channel ID],Channels!$E$8)</f>
        <v/>
      </c>
      <c r="F197" s="83">
        <f>COUNTIFS(tblVideos[Day],"&gt;="&amp;$B197,tblVideos[Day],"&lt;"&amp;EDATE($B197,1),tblVideos[Channel ID],Channels!$E$9)</f>
        <v/>
      </c>
      <c r="G197" s="83">
        <f>COUNTIFS(tblVideos[Day],"&gt;="&amp;$B197,tblVideos[Day],"&lt;"&amp;EDATE($B197,1),tblVideos[Channel ID],Channels!$E$10)</f>
        <v/>
      </c>
      <c r="H197" s="83">
        <f>COUNTIFS(tblVideos[Day],"&gt;="&amp;$B197,tblVideos[Day],"&lt;"&amp;EDATE($B197,1),tblVideos[Channel ID],Channels!$E$11)</f>
        <v/>
      </c>
      <c r="I197" s="91">
        <f>SUM(C197:H197)</f>
        <v/>
      </c>
      <c r="J197" s="92">
        <f>SUMIFS(tblVideos[Length],tblVideos[Day],"&gt;="&amp;$B197,tblVideos[Day],"&lt;"&amp;EDATE($B197,1))</f>
        <v/>
      </c>
      <c r="K197" s="83">
        <f>COUNTIFS(tblVideos[Watched On],"&gt;="&amp;$B197,tblVideos[Watched On],"&lt;"&amp;EDATE($B197,1),tblVideos[Status],"Watched")</f>
        <v/>
      </c>
      <c r="L197" s="92">
        <f>SUMIFS(tblVideos[Length],tblVideos[Watched On],"&gt;="&amp;$B197,tblVideos[Watched On],"&lt;"&amp;EDATE($B197,1),tblVideos[Status],"Watched")</f>
        <v/>
      </c>
      <c r="M197" s="94">
        <f>IF(I197=0,"Gap",IF(I197&gt;AVERAGE($I$144:$I$317)+2*STDEV($I$144:$I$317),"High",""))</f>
        <v/>
      </c>
    </row>
    <row r="198">
      <c r="B198" s="93" t="n">
        <v>42675</v>
      </c>
      <c r="C198" s="83">
        <f>COUNTIFS(tblVideos[Day],"&gt;="&amp;$B198,tblVideos[Day],"&lt;"&amp;EDATE($B198,1),tblVideos[Channel ID],Channels!$E$6)</f>
        <v/>
      </c>
      <c r="D198" s="83">
        <f>COUNTIFS(tblVideos[Day],"&gt;="&amp;$B198,tblVideos[Day],"&lt;"&amp;EDATE($B198,1),tblVideos[Channel ID],Channels!$E$7)</f>
        <v/>
      </c>
      <c r="E198" s="83">
        <f>COUNTIFS(tblVideos[Day],"&gt;="&amp;$B198,tblVideos[Day],"&lt;"&amp;EDATE($B198,1),tblVideos[Channel ID],Channels!$E$8)</f>
        <v/>
      </c>
      <c r="F198" s="83">
        <f>COUNTIFS(tblVideos[Day],"&gt;="&amp;$B198,tblVideos[Day],"&lt;"&amp;EDATE($B198,1),tblVideos[Channel ID],Channels!$E$9)</f>
        <v/>
      </c>
      <c r="G198" s="83">
        <f>COUNTIFS(tblVideos[Day],"&gt;="&amp;$B198,tblVideos[Day],"&lt;"&amp;EDATE($B198,1),tblVideos[Channel ID],Channels!$E$10)</f>
        <v/>
      </c>
      <c r="H198" s="83">
        <f>COUNTIFS(tblVideos[Day],"&gt;="&amp;$B198,tblVideos[Day],"&lt;"&amp;EDATE($B198,1),tblVideos[Channel ID],Channels!$E$11)</f>
        <v/>
      </c>
      <c r="I198" s="91">
        <f>SUM(C198:H198)</f>
        <v/>
      </c>
      <c r="J198" s="92">
        <f>SUMIFS(tblVideos[Length],tblVideos[Day],"&gt;="&amp;$B198,tblVideos[Day],"&lt;"&amp;EDATE($B198,1))</f>
        <v/>
      </c>
      <c r="K198" s="83">
        <f>COUNTIFS(tblVideos[Watched On],"&gt;="&amp;$B198,tblVideos[Watched On],"&lt;"&amp;EDATE($B198,1),tblVideos[Status],"Watched")</f>
        <v/>
      </c>
      <c r="L198" s="92">
        <f>SUMIFS(tblVideos[Length],tblVideos[Watched On],"&gt;="&amp;$B198,tblVideos[Watched On],"&lt;"&amp;EDATE($B198,1),tblVideos[Status],"Watched")</f>
        <v/>
      </c>
      <c r="M198" s="94">
        <f>IF(I198=0,"Gap",IF(I198&gt;AVERAGE($I$144:$I$317)+2*STDEV($I$144:$I$317),"High",""))</f>
        <v/>
      </c>
    </row>
    <row r="199">
      <c r="B199" s="93" t="n">
        <v>42705</v>
      </c>
      <c r="C199" s="83">
        <f>COUNTIFS(tblVideos[Day],"&gt;="&amp;$B199,tblVideos[Day],"&lt;"&amp;EDATE($B199,1),tblVideos[Channel ID],Channels!$E$6)</f>
        <v/>
      </c>
      <c r="D199" s="83">
        <f>COUNTIFS(tblVideos[Day],"&gt;="&amp;$B199,tblVideos[Day],"&lt;"&amp;EDATE($B199,1),tblVideos[Channel ID],Channels!$E$7)</f>
        <v/>
      </c>
      <c r="E199" s="83">
        <f>COUNTIFS(tblVideos[Day],"&gt;="&amp;$B199,tblVideos[Day],"&lt;"&amp;EDATE($B199,1),tblVideos[Channel ID],Channels!$E$8)</f>
        <v/>
      </c>
      <c r="F199" s="83">
        <f>COUNTIFS(tblVideos[Day],"&gt;="&amp;$B199,tblVideos[Day],"&lt;"&amp;EDATE($B199,1),tblVideos[Channel ID],Channels!$E$9)</f>
        <v/>
      </c>
      <c r="G199" s="83">
        <f>COUNTIFS(tblVideos[Day],"&gt;="&amp;$B199,tblVideos[Day],"&lt;"&amp;EDATE($B199,1),tblVideos[Channel ID],Channels!$E$10)</f>
        <v/>
      </c>
      <c r="H199" s="83">
        <f>COUNTIFS(tblVideos[Day],"&gt;="&amp;$B199,tblVideos[Day],"&lt;"&amp;EDATE($B199,1),tblVideos[Channel ID],Channels!$E$11)</f>
        <v/>
      </c>
      <c r="I199" s="91">
        <f>SUM(C199:H199)</f>
        <v/>
      </c>
      <c r="J199" s="92">
        <f>SUMIFS(tblVideos[Length],tblVideos[Day],"&gt;="&amp;$B199,tblVideos[Day],"&lt;"&amp;EDATE($B199,1))</f>
        <v/>
      </c>
      <c r="K199" s="83">
        <f>COUNTIFS(tblVideos[Watched On],"&gt;="&amp;$B199,tblVideos[Watched On],"&lt;"&amp;EDATE($B199,1),tblVideos[Status],"Watched")</f>
        <v/>
      </c>
      <c r="L199" s="92">
        <f>SUMIFS(tblVideos[Length],tblVideos[Watched On],"&gt;="&amp;$B199,tblVideos[Watched On],"&lt;"&amp;EDATE($B199,1),tblVideos[Status],"Watched")</f>
        <v/>
      </c>
      <c r="M199" s="94">
        <f>IF(I199=0,"Gap",IF(I199&gt;AVERAGE($I$144:$I$317)+2*STDEV($I$144:$I$317),"High",""))</f>
        <v/>
      </c>
    </row>
    <row r="200">
      <c r="B200" s="93" t="n">
        <v>42736</v>
      </c>
      <c r="C200" s="83">
        <f>COUNTIFS(tblVideos[Day],"&gt;="&amp;$B200,tblVideos[Day],"&lt;"&amp;EDATE($B200,1),tblVideos[Channel ID],Channels!$E$6)</f>
        <v/>
      </c>
      <c r="D200" s="83">
        <f>COUNTIFS(tblVideos[Day],"&gt;="&amp;$B200,tblVideos[Day],"&lt;"&amp;EDATE($B200,1),tblVideos[Channel ID],Channels!$E$7)</f>
        <v/>
      </c>
      <c r="E200" s="83">
        <f>COUNTIFS(tblVideos[Day],"&gt;="&amp;$B200,tblVideos[Day],"&lt;"&amp;EDATE($B200,1),tblVideos[Channel ID],Channels!$E$8)</f>
        <v/>
      </c>
      <c r="F200" s="83">
        <f>COUNTIFS(tblVideos[Day],"&gt;="&amp;$B200,tblVideos[Day],"&lt;"&amp;EDATE($B200,1),tblVideos[Channel ID],Channels!$E$9)</f>
        <v/>
      </c>
      <c r="G200" s="83">
        <f>COUNTIFS(tblVideos[Day],"&gt;="&amp;$B200,tblVideos[Day],"&lt;"&amp;EDATE($B200,1),tblVideos[Channel ID],Channels!$E$10)</f>
        <v/>
      </c>
      <c r="H200" s="83">
        <f>COUNTIFS(tblVideos[Day],"&gt;="&amp;$B200,tblVideos[Day],"&lt;"&amp;EDATE($B200,1),tblVideos[Channel ID],Channels!$E$11)</f>
        <v/>
      </c>
      <c r="I200" s="91">
        <f>SUM(C200:H200)</f>
        <v/>
      </c>
      <c r="J200" s="92">
        <f>SUMIFS(tblVideos[Length],tblVideos[Day],"&gt;="&amp;$B200,tblVideos[Day],"&lt;"&amp;EDATE($B200,1))</f>
        <v/>
      </c>
      <c r="K200" s="83">
        <f>COUNTIFS(tblVideos[Watched On],"&gt;="&amp;$B200,tblVideos[Watched On],"&lt;"&amp;EDATE($B200,1),tblVideos[Status],"Watched")</f>
        <v/>
      </c>
      <c r="L200" s="92">
        <f>SUMIFS(tblVideos[Length],tblVideos[Watched On],"&gt;="&amp;$B200,tblVideos[Watched On],"&lt;"&amp;EDATE($B200,1),tblVideos[Status],"Watched")</f>
        <v/>
      </c>
      <c r="M200" s="94">
        <f>IF(I200=0,"Gap",IF(I200&gt;AVERAGE($I$144:$I$317)+2*STDEV($I$144:$I$317),"High",""))</f>
        <v/>
      </c>
    </row>
    <row r="201">
      <c r="B201" s="93" t="n">
        <v>42767</v>
      </c>
      <c r="C201" s="83">
        <f>COUNTIFS(tblVideos[Day],"&gt;="&amp;$B201,tblVideos[Day],"&lt;"&amp;EDATE($B201,1),tblVideos[Channel ID],Channels!$E$6)</f>
        <v/>
      </c>
      <c r="D201" s="83">
        <f>COUNTIFS(tblVideos[Day],"&gt;="&amp;$B201,tblVideos[Day],"&lt;"&amp;EDATE($B201,1),tblVideos[Channel ID],Channels!$E$7)</f>
        <v/>
      </c>
      <c r="E201" s="83">
        <f>COUNTIFS(tblVideos[Day],"&gt;="&amp;$B201,tblVideos[Day],"&lt;"&amp;EDATE($B201,1),tblVideos[Channel ID],Channels!$E$8)</f>
        <v/>
      </c>
      <c r="F201" s="83">
        <f>COUNTIFS(tblVideos[Day],"&gt;="&amp;$B201,tblVideos[Day],"&lt;"&amp;EDATE($B201,1),tblVideos[Channel ID],Channels!$E$9)</f>
        <v/>
      </c>
      <c r="G201" s="83">
        <f>COUNTIFS(tblVideos[Day],"&gt;="&amp;$B201,tblVideos[Day],"&lt;"&amp;EDATE($B201,1),tblVideos[Channel ID],Channels!$E$10)</f>
        <v/>
      </c>
      <c r="H201" s="83">
        <f>COUNTIFS(tblVideos[Day],"&gt;="&amp;$B201,tblVideos[Day],"&lt;"&amp;EDATE($B201,1),tblVideos[Channel ID],Channels!$E$11)</f>
        <v/>
      </c>
      <c r="I201" s="91">
        <f>SUM(C201:H201)</f>
        <v/>
      </c>
      <c r="J201" s="92">
        <f>SUMIFS(tblVideos[Length],tblVideos[Day],"&gt;="&amp;$B201,tblVideos[Day],"&lt;"&amp;EDATE($B201,1))</f>
        <v/>
      </c>
      <c r="K201" s="83">
        <f>COUNTIFS(tblVideos[Watched On],"&gt;="&amp;$B201,tblVideos[Watched On],"&lt;"&amp;EDATE($B201,1),tblVideos[Status],"Watched")</f>
        <v/>
      </c>
      <c r="L201" s="92">
        <f>SUMIFS(tblVideos[Length],tblVideos[Watched On],"&gt;="&amp;$B201,tblVideos[Watched On],"&lt;"&amp;EDATE($B201,1),tblVideos[Status],"Watched")</f>
        <v/>
      </c>
      <c r="M201" s="94">
        <f>IF(I201=0,"Gap",IF(I201&gt;AVERAGE($I$144:$I$317)+2*STDEV($I$144:$I$317),"High",""))</f>
        <v/>
      </c>
    </row>
    <row r="202">
      <c r="B202" s="93" t="n">
        <v>42795</v>
      </c>
      <c r="C202" s="83">
        <f>COUNTIFS(tblVideos[Day],"&gt;="&amp;$B202,tblVideos[Day],"&lt;"&amp;EDATE($B202,1),tblVideos[Channel ID],Channels!$E$6)</f>
        <v/>
      </c>
      <c r="D202" s="83">
        <f>COUNTIFS(tblVideos[Day],"&gt;="&amp;$B202,tblVideos[Day],"&lt;"&amp;EDATE($B202,1),tblVideos[Channel ID],Channels!$E$7)</f>
        <v/>
      </c>
      <c r="E202" s="83">
        <f>COUNTIFS(tblVideos[Day],"&gt;="&amp;$B202,tblVideos[Day],"&lt;"&amp;EDATE($B202,1),tblVideos[Channel ID],Channels!$E$8)</f>
        <v/>
      </c>
      <c r="F202" s="83">
        <f>COUNTIFS(tblVideos[Day],"&gt;="&amp;$B202,tblVideos[Day],"&lt;"&amp;EDATE($B202,1),tblVideos[Channel ID],Channels!$E$9)</f>
        <v/>
      </c>
      <c r="G202" s="83">
        <f>COUNTIFS(tblVideos[Day],"&gt;="&amp;$B202,tblVideos[Day],"&lt;"&amp;EDATE($B202,1),tblVideos[Channel ID],Channels!$E$10)</f>
        <v/>
      </c>
      <c r="H202" s="83">
        <f>COUNTIFS(tblVideos[Day],"&gt;="&amp;$B202,tblVideos[Day],"&lt;"&amp;EDATE($B202,1),tblVideos[Channel ID],Channels!$E$11)</f>
        <v/>
      </c>
      <c r="I202" s="91">
        <f>SUM(C202:H202)</f>
        <v/>
      </c>
      <c r="J202" s="92">
        <f>SUMIFS(tblVideos[Length],tblVideos[Day],"&gt;="&amp;$B202,tblVideos[Day],"&lt;"&amp;EDATE($B202,1))</f>
        <v/>
      </c>
      <c r="K202" s="83">
        <f>COUNTIFS(tblVideos[Watched On],"&gt;="&amp;$B202,tblVideos[Watched On],"&lt;"&amp;EDATE($B202,1),tblVideos[Status],"Watched")</f>
        <v/>
      </c>
      <c r="L202" s="92">
        <f>SUMIFS(tblVideos[Length],tblVideos[Watched On],"&gt;="&amp;$B202,tblVideos[Watched On],"&lt;"&amp;EDATE($B202,1),tblVideos[Status],"Watched")</f>
        <v/>
      </c>
      <c r="M202" s="94">
        <f>IF(I202=0,"Gap",IF(I202&gt;AVERAGE($I$144:$I$317)+2*STDEV($I$144:$I$317),"High",""))</f>
        <v/>
      </c>
    </row>
    <row r="203">
      <c r="B203" s="93" t="n">
        <v>42826</v>
      </c>
      <c r="C203" s="83">
        <f>COUNTIFS(tblVideos[Day],"&gt;="&amp;$B203,tblVideos[Day],"&lt;"&amp;EDATE($B203,1),tblVideos[Channel ID],Channels!$E$6)</f>
        <v/>
      </c>
      <c r="D203" s="83">
        <f>COUNTIFS(tblVideos[Day],"&gt;="&amp;$B203,tblVideos[Day],"&lt;"&amp;EDATE($B203,1),tblVideos[Channel ID],Channels!$E$7)</f>
        <v/>
      </c>
      <c r="E203" s="83">
        <f>COUNTIFS(tblVideos[Day],"&gt;="&amp;$B203,tblVideos[Day],"&lt;"&amp;EDATE($B203,1),tblVideos[Channel ID],Channels!$E$8)</f>
        <v/>
      </c>
      <c r="F203" s="83">
        <f>COUNTIFS(tblVideos[Day],"&gt;="&amp;$B203,tblVideos[Day],"&lt;"&amp;EDATE($B203,1),tblVideos[Channel ID],Channels!$E$9)</f>
        <v/>
      </c>
      <c r="G203" s="83">
        <f>COUNTIFS(tblVideos[Day],"&gt;="&amp;$B203,tblVideos[Day],"&lt;"&amp;EDATE($B203,1),tblVideos[Channel ID],Channels!$E$10)</f>
        <v/>
      </c>
      <c r="H203" s="83">
        <f>COUNTIFS(tblVideos[Day],"&gt;="&amp;$B203,tblVideos[Day],"&lt;"&amp;EDATE($B203,1),tblVideos[Channel ID],Channels!$E$11)</f>
        <v/>
      </c>
      <c r="I203" s="91">
        <f>SUM(C203:H203)</f>
        <v/>
      </c>
      <c r="J203" s="92">
        <f>SUMIFS(tblVideos[Length],tblVideos[Day],"&gt;="&amp;$B203,tblVideos[Day],"&lt;"&amp;EDATE($B203,1))</f>
        <v/>
      </c>
      <c r="K203" s="83">
        <f>COUNTIFS(tblVideos[Watched On],"&gt;="&amp;$B203,tblVideos[Watched On],"&lt;"&amp;EDATE($B203,1),tblVideos[Status],"Watched")</f>
        <v/>
      </c>
      <c r="L203" s="92">
        <f>SUMIFS(tblVideos[Length],tblVideos[Watched On],"&gt;="&amp;$B203,tblVideos[Watched On],"&lt;"&amp;EDATE($B203,1),tblVideos[Status],"Watched")</f>
        <v/>
      </c>
      <c r="M203" s="94">
        <f>IF(I203=0,"Gap",IF(I203&gt;AVERAGE($I$144:$I$317)+2*STDEV($I$144:$I$317),"High",""))</f>
        <v/>
      </c>
    </row>
    <row r="204">
      <c r="B204" s="93" t="n">
        <v>42856</v>
      </c>
      <c r="C204" s="83">
        <f>COUNTIFS(tblVideos[Day],"&gt;="&amp;$B204,tblVideos[Day],"&lt;"&amp;EDATE($B204,1),tblVideos[Channel ID],Channels!$E$6)</f>
        <v/>
      </c>
      <c r="D204" s="83">
        <f>COUNTIFS(tblVideos[Day],"&gt;="&amp;$B204,tblVideos[Day],"&lt;"&amp;EDATE($B204,1),tblVideos[Channel ID],Channels!$E$7)</f>
        <v/>
      </c>
      <c r="E204" s="83">
        <f>COUNTIFS(tblVideos[Day],"&gt;="&amp;$B204,tblVideos[Day],"&lt;"&amp;EDATE($B204,1),tblVideos[Channel ID],Channels!$E$8)</f>
        <v/>
      </c>
      <c r="F204" s="83">
        <f>COUNTIFS(tblVideos[Day],"&gt;="&amp;$B204,tblVideos[Day],"&lt;"&amp;EDATE($B204,1),tblVideos[Channel ID],Channels!$E$9)</f>
        <v/>
      </c>
      <c r="G204" s="83">
        <f>COUNTIFS(tblVideos[Day],"&gt;="&amp;$B204,tblVideos[Day],"&lt;"&amp;EDATE($B204,1),tblVideos[Channel ID],Channels!$E$10)</f>
        <v/>
      </c>
      <c r="H204" s="83">
        <f>COUNTIFS(tblVideos[Day],"&gt;="&amp;$B204,tblVideos[Day],"&lt;"&amp;EDATE($B204,1),tblVideos[Channel ID],Channels!$E$11)</f>
        <v/>
      </c>
      <c r="I204" s="91">
        <f>SUM(C204:H204)</f>
        <v/>
      </c>
      <c r="J204" s="92">
        <f>SUMIFS(tblVideos[Length],tblVideos[Day],"&gt;="&amp;$B204,tblVideos[Day],"&lt;"&amp;EDATE($B204,1))</f>
        <v/>
      </c>
      <c r="K204" s="83">
        <f>COUNTIFS(tblVideos[Watched On],"&gt;="&amp;$B204,tblVideos[Watched On],"&lt;"&amp;EDATE($B204,1),tblVideos[Status],"Watched")</f>
        <v/>
      </c>
      <c r="L204" s="92">
        <f>SUMIFS(tblVideos[Length],tblVideos[Watched On],"&gt;="&amp;$B204,tblVideos[Watched On],"&lt;"&amp;EDATE($B204,1),tblVideos[Status],"Watched")</f>
        <v/>
      </c>
      <c r="M204" s="94">
        <f>IF(I204=0,"Gap",IF(I204&gt;AVERAGE($I$144:$I$317)+2*STDEV($I$144:$I$317),"High",""))</f>
        <v/>
      </c>
    </row>
    <row r="205">
      <c r="B205" s="93" t="n">
        <v>42887</v>
      </c>
      <c r="C205" s="83">
        <f>COUNTIFS(tblVideos[Day],"&gt;="&amp;$B205,tblVideos[Day],"&lt;"&amp;EDATE($B205,1),tblVideos[Channel ID],Channels!$E$6)</f>
        <v/>
      </c>
      <c r="D205" s="83">
        <f>COUNTIFS(tblVideos[Day],"&gt;="&amp;$B205,tblVideos[Day],"&lt;"&amp;EDATE($B205,1),tblVideos[Channel ID],Channels!$E$7)</f>
        <v/>
      </c>
      <c r="E205" s="83">
        <f>COUNTIFS(tblVideos[Day],"&gt;="&amp;$B205,tblVideos[Day],"&lt;"&amp;EDATE($B205,1),tblVideos[Channel ID],Channels!$E$8)</f>
        <v/>
      </c>
      <c r="F205" s="83">
        <f>COUNTIFS(tblVideos[Day],"&gt;="&amp;$B205,tblVideos[Day],"&lt;"&amp;EDATE($B205,1),tblVideos[Channel ID],Channels!$E$9)</f>
        <v/>
      </c>
      <c r="G205" s="83">
        <f>COUNTIFS(tblVideos[Day],"&gt;="&amp;$B205,tblVideos[Day],"&lt;"&amp;EDATE($B205,1),tblVideos[Channel ID],Channels!$E$10)</f>
        <v/>
      </c>
      <c r="H205" s="83">
        <f>COUNTIFS(tblVideos[Day],"&gt;="&amp;$B205,tblVideos[Day],"&lt;"&amp;EDATE($B205,1),tblVideos[Channel ID],Channels!$E$11)</f>
        <v/>
      </c>
      <c r="I205" s="91">
        <f>SUM(C205:H205)</f>
        <v/>
      </c>
      <c r="J205" s="92">
        <f>SUMIFS(tblVideos[Length],tblVideos[Day],"&gt;="&amp;$B205,tblVideos[Day],"&lt;"&amp;EDATE($B205,1))</f>
        <v/>
      </c>
      <c r="K205" s="83">
        <f>COUNTIFS(tblVideos[Watched On],"&gt;="&amp;$B205,tblVideos[Watched On],"&lt;"&amp;EDATE($B205,1),tblVideos[Status],"Watched")</f>
        <v/>
      </c>
      <c r="L205" s="92">
        <f>SUMIFS(tblVideos[Length],tblVideos[Watched On],"&gt;="&amp;$B205,tblVideos[Watched On],"&lt;"&amp;EDATE($B205,1),tblVideos[Status],"Watched")</f>
        <v/>
      </c>
      <c r="M205" s="94">
        <f>IF(I205=0,"Gap",IF(I205&gt;AVERAGE($I$144:$I$317)+2*STDEV($I$144:$I$317),"High",""))</f>
        <v/>
      </c>
    </row>
    <row r="206">
      <c r="B206" s="93" t="n">
        <v>42917</v>
      </c>
      <c r="C206" s="83">
        <f>COUNTIFS(tblVideos[Day],"&gt;="&amp;$B206,tblVideos[Day],"&lt;"&amp;EDATE($B206,1),tblVideos[Channel ID],Channels!$E$6)</f>
        <v/>
      </c>
      <c r="D206" s="83">
        <f>COUNTIFS(tblVideos[Day],"&gt;="&amp;$B206,tblVideos[Day],"&lt;"&amp;EDATE($B206,1),tblVideos[Channel ID],Channels!$E$7)</f>
        <v/>
      </c>
      <c r="E206" s="83">
        <f>COUNTIFS(tblVideos[Day],"&gt;="&amp;$B206,tblVideos[Day],"&lt;"&amp;EDATE($B206,1),tblVideos[Channel ID],Channels!$E$8)</f>
        <v/>
      </c>
      <c r="F206" s="83">
        <f>COUNTIFS(tblVideos[Day],"&gt;="&amp;$B206,tblVideos[Day],"&lt;"&amp;EDATE($B206,1),tblVideos[Channel ID],Channels!$E$9)</f>
        <v/>
      </c>
      <c r="G206" s="83">
        <f>COUNTIFS(tblVideos[Day],"&gt;="&amp;$B206,tblVideos[Day],"&lt;"&amp;EDATE($B206,1),tblVideos[Channel ID],Channels!$E$10)</f>
        <v/>
      </c>
      <c r="H206" s="83">
        <f>COUNTIFS(tblVideos[Day],"&gt;="&amp;$B206,tblVideos[Day],"&lt;"&amp;EDATE($B206,1),tblVideos[Channel ID],Channels!$E$11)</f>
        <v/>
      </c>
      <c r="I206" s="91">
        <f>SUM(C206:H206)</f>
        <v/>
      </c>
      <c r="J206" s="92">
        <f>SUMIFS(tblVideos[Length],tblVideos[Day],"&gt;="&amp;$B206,tblVideos[Day],"&lt;"&amp;EDATE($B206,1))</f>
        <v/>
      </c>
      <c r="K206" s="83">
        <f>COUNTIFS(tblVideos[Watched On],"&gt;="&amp;$B206,tblVideos[Watched On],"&lt;"&amp;EDATE($B206,1),tblVideos[Status],"Watched")</f>
        <v/>
      </c>
      <c r="L206" s="92">
        <f>SUMIFS(tblVideos[Length],tblVideos[Watched On],"&gt;="&amp;$B206,tblVideos[Watched On],"&lt;"&amp;EDATE($B206,1),tblVideos[Status],"Watched")</f>
        <v/>
      </c>
      <c r="M206" s="94">
        <f>IF(I206=0,"Gap",IF(I206&gt;AVERAGE($I$144:$I$317)+2*STDEV($I$144:$I$317),"High",""))</f>
        <v/>
      </c>
    </row>
    <row r="207">
      <c r="B207" s="93" t="n">
        <v>42948</v>
      </c>
      <c r="C207" s="83">
        <f>COUNTIFS(tblVideos[Day],"&gt;="&amp;$B207,tblVideos[Day],"&lt;"&amp;EDATE($B207,1),tblVideos[Channel ID],Channels!$E$6)</f>
        <v/>
      </c>
      <c r="D207" s="83">
        <f>COUNTIFS(tblVideos[Day],"&gt;="&amp;$B207,tblVideos[Day],"&lt;"&amp;EDATE($B207,1),tblVideos[Channel ID],Channels!$E$7)</f>
        <v/>
      </c>
      <c r="E207" s="83">
        <f>COUNTIFS(tblVideos[Day],"&gt;="&amp;$B207,tblVideos[Day],"&lt;"&amp;EDATE($B207,1),tblVideos[Channel ID],Channels!$E$8)</f>
        <v/>
      </c>
      <c r="F207" s="83">
        <f>COUNTIFS(tblVideos[Day],"&gt;="&amp;$B207,tblVideos[Day],"&lt;"&amp;EDATE($B207,1),tblVideos[Channel ID],Channels!$E$9)</f>
        <v/>
      </c>
      <c r="G207" s="83">
        <f>COUNTIFS(tblVideos[Day],"&gt;="&amp;$B207,tblVideos[Day],"&lt;"&amp;EDATE($B207,1),tblVideos[Channel ID],Channels!$E$10)</f>
        <v/>
      </c>
      <c r="H207" s="83">
        <f>COUNTIFS(tblVideos[Day],"&gt;="&amp;$B207,tblVideos[Day],"&lt;"&amp;EDATE($B207,1),tblVideos[Channel ID],Channels!$E$11)</f>
        <v/>
      </c>
      <c r="I207" s="91">
        <f>SUM(C207:H207)</f>
        <v/>
      </c>
      <c r="J207" s="92">
        <f>SUMIFS(tblVideos[Length],tblVideos[Day],"&gt;="&amp;$B207,tblVideos[Day],"&lt;"&amp;EDATE($B207,1))</f>
        <v/>
      </c>
      <c r="K207" s="83">
        <f>COUNTIFS(tblVideos[Watched On],"&gt;="&amp;$B207,tblVideos[Watched On],"&lt;"&amp;EDATE($B207,1),tblVideos[Status],"Watched")</f>
        <v/>
      </c>
      <c r="L207" s="92">
        <f>SUMIFS(tblVideos[Length],tblVideos[Watched On],"&gt;="&amp;$B207,tblVideos[Watched On],"&lt;"&amp;EDATE($B207,1),tblVideos[Status],"Watched")</f>
        <v/>
      </c>
      <c r="M207" s="94">
        <f>IF(I207=0,"Gap",IF(I207&gt;AVERAGE($I$144:$I$317)+2*STDEV($I$144:$I$317),"High",""))</f>
        <v/>
      </c>
    </row>
    <row r="208">
      <c r="B208" s="93" t="n">
        <v>42979</v>
      </c>
      <c r="C208" s="83">
        <f>COUNTIFS(tblVideos[Day],"&gt;="&amp;$B208,tblVideos[Day],"&lt;"&amp;EDATE($B208,1),tblVideos[Channel ID],Channels!$E$6)</f>
        <v/>
      </c>
      <c r="D208" s="83">
        <f>COUNTIFS(tblVideos[Day],"&gt;="&amp;$B208,tblVideos[Day],"&lt;"&amp;EDATE($B208,1),tblVideos[Channel ID],Channels!$E$7)</f>
        <v/>
      </c>
      <c r="E208" s="83">
        <f>COUNTIFS(tblVideos[Day],"&gt;="&amp;$B208,tblVideos[Day],"&lt;"&amp;EDATE($B208,1),tblVideos[Channel ID],Channels!$E$8)</f>
        <v/>
      </c>
      <c r="F208" s="83">
        <f>COUNTIFS(tblVideos[Day],"&gt;="&amp;$B208,tblVideos[Day],"&lt;"&amp;EDATE($B208,1),tblVideos[Channel ID],Channels!$E$9)</f>
        <v/>
      </c>
      <c r="G208" s="83">
        <f>COUNTIFS(tblVideos[Day],"&gt;="&amp;$B208,tblVideos[Day],"&lt;"&amp;EDATE($B208,1),tblVideos[Channel ID],Channels!$E$10)</f>
        <v/>
      </c>
      <c r="H208" s="83">
        <f>COUNTIFS(tblVideos[Day],"&gt;="&amp;$B208,tblVideos[Day],"&lt;"&amp;EDATE($B208,1),tblVideos[Channel ID],Channels!$E$11)</f>
        <v/>
      </c>
      <c r="I208" s="91">
        <f>SUM(C208:H208)</f>
        <v/>
      </c>
      <c r="J208" s="92">
        <f>SUMIFS(tblVideos[Length],tblVideos[Day],"&gt;="&amp;$B208,tblVideos[Day],"&lt;"&amp;EDATE($B208,1))</f>
        <v/>
      </c>
      <c r="K208" s="83">
        <f>COUNTIFS(tblVideos[Watched On],"&gt;="&amp;$B208,tblVideos[Watched On],"&lt;"&amp;EDATE($B208,1),tblVideos[Status],"Watched")</f>
        <v/>
      </c>
      <c r="L208" s="92">
        <f>SUMIFS(tblVideos[Length],tblVideos[Watched On],"&gt;="&amp;$B208,tblVideos[Watched On],"&lt;"&amp;EDATE($B208,1),tblVideos[Status],"Watched")</f>
        <v/>
      </c>
      <c r="M208" s="94">
        <f>IF(I208=0,"Gap",IF(I208&gt;AVERAGE($I$144:$I$317)+2*STDEV($I$144:$I$317),"High",""))</f>
        <v/>
      </c>
    </row>
    <row r="209">
      <c r="B209" s="93" t="n">
        <v>43009</v>
      </c>
      <c r="C209" s="83">
        <f>COUNTIFS(tblVideos[Day],"&gt;="&amp;$B209,tblVideos[Day],"&lt;"&amp;EDATE($B209,1),tblVideos[Channel ID],Channels!$E$6)</f>
        <v/>
      </c>
      <c r="D209" s="83">
        <f>COUNTIFS(tblVideos[Day],"&gt;="&amp;$B209,tblVideos[Day],"&lt;"&amp;EDATE($B209,1),tblVideos[Channel ID],Channels!$E$7)</f>
        <v/>
      </c>
      <c r="E209" s="83">
        <f>COUNTIFS(tblVideos[Day],"&gt;="&amp;$B209,tblVideos[Day],"&lt;"&amp;EDATE($B209,1),tblVideos[Channel ID],Channels!$E$8)</f>
        <v/>
      </c>
      <c r="F209" s="83">
        <f>COUNTIFS(tblVideos[Day],"&gt;="&amp;$B209,tblVideos[Day],"&lt;"&amp;EDATE($B209,1),tblVideos[Channel ID],Channels!$E$9)</f>
        <v/>
      </c>
      <c r="G209" s="83">
        <f>COUNTIFS(tblVideos[Day],"&gt;="&amp;$B209,tblVideos[Day],"&lt;"&amp;EDATE($B209,1),tblVideos[Channel ID],Channels!$E$10)</f>
        <v/>
      </c>
      <c r="H209" s="83">
        <f>COUNTIFS(tblVideos[Day],"&gt;="&amp;$B209,tblVideos[Day],"&lt;"&amp;EDATE($B209,1),tblVideos[Channel ID],Channels!$E$11)</f>
        <v/>
      </c>
      <c r="I209" s="91">
        <f>SUM(C209:H209)</f>
        <v/>
      </c>
      <c r="J209" s="92">
        <f>SUMIFS(tblVideos[Length],tblVideos[Day],"&gt;="&amp;$B209,tblVideos[Day],"&lt;"&amp;EDATE($B209,1))</f>
        <v/>
      </c>
      <c r="K209" s="83">
        <f>COUNTIFS(tblVideos[Watched On],"&gt;="&amp;$B209,tblVideos[Watched On],"&lt;"&amp;EDATE($B209,1),tblVideos[Status],"Watched")</f>
        <v/>
      </c>
      <c r="L209" s="92">
        <f>SUMIFS(tblVideos[Length],tblVideos[Watched On],"&gt;="&amp;$B209,tblVideos[Watched On],"&lt;"&amp;EDATE($B209,1),tblVideos[Status],"Watched")</f>
        <v/>
      </c>
      <c r="M209" s="94">
        <f>IF(I209=0,"Gap",IF(I209&gt;AVERAGE($I$144:$I$317)+2*STDEV($I$144:$I$317),"High",""))</f>
        <v/>
      </c>
    </row>
    <row r="210">
      <c r="B210" s="93" t="n">
        <v>43040</v>
      </c>
      <c r="C210" s="83">
        <f>COUNTIFS(tblVideos[Day],"&gt;="&amp;$B210,tblVideos[Day],"&lt;"&amp;EDATE($B210,1),tblVideos[Channel ID],Channels!$E$6)</f>
        <v/>
      </c>
      <c r="D210" s="83">
        <f>COUNTIFS(tblVideos[Day],"&gt;="&amp;$B210,tblVideos[Day],"&lt;"&amp;EDATE($B210,1),tblVideos[Channel ID],Channels!$E$7)</f>
        <v/>
      </c>
      <c r="E210" s="83">
        <f>COUNTIFS(tblVideos[Day],"&gt;="&amp;$B210,tblVideos[Day],"&lt;"&amp;EDATE($B210,1),tblVideos[Channel ID],Channels!$E$8)</f>
        <v/>
      </c>
      <c r="F210" s="83">
        <f>COUNTIFS(tblVideos[Day],"&gt;="&amp;$B210,tblVideos[Day],"&lt;"&amp;EDATE($B210,1),tblVideos[Channel ID],Channels!$E$9)</f>
        <v/>
      </c>
      <c r="G210" s="83">
        <f>COUNTIFS(tblVideos[Day],"&gt;="&amp;$B210,tblVideos[Day],"&lt;"&amp;EDATE($B210,1),tblVideos[Channel ID],Channels!$E$10)</f>
        <v/>
      </c>
      <c r="H210" s="83">
        <f>COUNTIFS(tblVideos[Day],"&gt;="&amp;$B210,tblVideos[Day],"&lt;"&amp;EDATE($B210,1),tblVideos[Channel ID],Channels!$E$11)</f>
        <v/>
      </c>
      <c r="I210" s="91">
        <f>SUM(C210:H210)</f>
        <v/>
      </c>
      <c r="J210" s="92">
        <f>SUMIFS(tblVideos[Length],tblVideos[Day],"&gt;="&amp;$B210,tblVideos[Day],"&lt;"&amp;EDATE($B210,1))</f>
        <v/>
      </c>
      <c r="K210" s="83">
        <f>COUNTIFS(tblVideos[Watched On],"&gt;="&amp;$B210,tblVideos[Watched On],"&lt;"&amp;EDATE($B210,1),tblVideos[Status],"Watched")</f>
        <v/>
      </c>
      <c r="L210" s="92">
        <f>SUMIFS(tblVideos[Length],tblVideos[Watched On],"&gt;="&amp;$B210,tblVideos[Watched On],"&lt;"&amp;EDATE($B210,1),tblVideos[Status],"Watched")</f>
        <v/>
      </c>
      <c r="M210" s="94">
        <f>IF(I210=0,"Gap",IF(I210&gt;AVERAGE($I$144:$I$317)+2*STDEV($I$144:$I$317),"High",""))</f>
        <v/>
      </c>
    </row>
    <row r="211">
      <c r="B211" s="93" t="n">
        <v>43070</v>
      </c>
      <c r="C211" s="83">
        <f>COUNTIFS(tblVideos[Day],"&gt;="&amp;$B211,tblVideos[Day],"&lt;"&amp;EDATE($B211,1),tblVideos[Channel ID],Channels!$E$6)</f>
        <v/>
      </c>
      <c r="D211" s="83">
        <f>COUNTIFS(tblVideos[Day],"&gt;="&amp;$B211,tblVideos[Day],"&lt;"&amp;EDATE($B211,1),tblVideos[Channel ID],Channels!$E$7)</f>
        <v/>
      </c>
      <c r="E211" s="83">
        <f>COUNTIFS(tblVideos[Day],"&gt;="&amp;$B211,tblVideos[Day],"&lt;"&amp;EDATE($B211,1),tblVideos[Channel ID],Channels!$E$8)</f>
        <v/>
      </c>
      <c r="F211" s="83">
        <f>COUNTIFS(tblVideos[Day],"&gt;="&amp;$B211,tblVideos[Day],"&lt;"&amp;EDATE($B211,1),tblVideos[Channel ID],Channels!$E$9)</f>
        <v/>
      </c>
      <c r="G211" s="83">
        <f>COUNTIFS(tblVideos[Day],"&gt;="&amp;$B211,tblVideos[Day],"&lt;"&amp;EDATE($B211,1),tblVideos[Channel ID],Channels!$E$10)</f>
        <v/>
      </c>
      <c r="H211" s="83">
        <f>COUNTIFS(tblVideos[Day],"&gt;="&amp;$B211,tblVideos[Day],"&lt;"&amp;EDATE($B211,1),tblVideos[Channel ID],Channels!$E$11)</f>
        <v/>
      </c>
      <c r="I211" s="91">
        <f>SUM(C211:H211)</f>
        <v/>
      </c>
      <c r="J211" s="92">
        <f>SUMIFS(tblVideos[Length],tblVideos[Day],"&gt;="&amp;$B211,tblVideos[Day],"&lt;"&amp;EDATE($B211,1))</f>
        <v/>
      </c>
      <c r="K211" s="83">
        <f>COUNTIFS(tblVideos[Watched On],"&gt;="&amp;$B211,tblVideos[Watched On],"&lt;"&amp;EDATE($B211,1),tblVideos[Status],"Watched")</f>
        <v/>
      </c>
      <c r="L211" s="92">
        <f>SUMIFS(tblVideos[Length],tblVideos[Watched On],"&gt;="&amp;$B211,tblVideos[Watched On],"&lt;"&amp;EDATE($B211,1),tblVideos[Status],"Watched")</f>
        <v/>
      </c>
      <c r="M211" s="94">
        <f>IF(I211=0,"Gap",IF(I211&gt;AVERAGE($I$144:$I$317)+2*STDEV($I$144:$I$317),"High",""))</f>
        <v/>
      </c>
    </row>
    <row r="212">
      <c r="B212" s="93" t="n">
        <v>43101</v>
      </c>
      <c r="C212" s="83">
        <f>COUNTIFS(tblVideos[Day],"&gt;="&amp;$B212,tblVideos[Day],"&lt;"&amp;EDATE($B212,1),tblVideos[Channel ID],Channels!$E$6)</f>
        <v/>
      </c>
      <c r="D212" s="83">
        <f>COUNTIFS(tblVideos[Day],"&gt;="&amp;$B212,tblVideos[Day],"&lt;"&amp;EDATE($B212,1),tblVideos[Channel ID],Channels!$E$7)</f>
        <v/>
      </c>
      <c r="E212" s="83">
        <f>COUNTIFS(tblVideos[Day],"&gt;="&amp;$B212,tblVideos[Day],"&lt;"&amp;EDATE($B212,1),tblVideos[Channel ID],Channels!$E$8)</f>
        <v/>
      </c>
      <c r="F212" s="83">
        <f>COUNTIFS(tblVideos[Day],"&gt;="&amp;$B212,tblVideos[Day],"&lt;"&amp;EDATE($B212,1),tblVideos[Channel ID],Channels!$E$9)</f>
        <v/>
      </c>
      <c r="G212" s="83">
        <f>COUNTIFS(tblVideos[Day],"&gt;="&amp;$B212,tblVideos[Day],"&lt;"&amp;EDATE($B212,1),tblVideos[Channel ID],Channels!$E$10)</f>
        <v/>
      </c>
      <c r="H212" s="83">
        <f>COUNTIFS(tblVideos[Day],"&gt;="&amp;$B212,tblVideos[Day],"&lt;"&amp;EDATE($B212,1),tblVideos[Channel ID],Channels!$E$11)</f>
        <v/>
      </c>
      <c r="I212" s="91">
        <f>SUM(C212:H212)</f>
        <v/>
      </c>
      <c r="J212" s="92">
        <f>SUMIFS(tblVideos[Length],tblVideos[Day],"&gt;="&amp;$B212,tblVideos[Day],"&lt;"&amp;EDATE($B212,1))</f>
        <v/>
      </c>
      <c r="K212" s="83">
        <f>COUNTIFS(tblVideos[Watched On],"&gt;="&amp;$B212,tblVideos[Watched On],"&lt;"&amp;EDATE($B212,1),tblVideos[Status],"Watched")</f>
        <v/>
      </c>
      <c r="L212" s="92">
        <f>SUMIFS(tblVideos[Length],tblVideos[Watched On],"&gt;="&amp;$B212,tblVideos[Watched On],"&lt;"&amp;EDATE($B212,1),tblVideos[Status],"Watched")</f>
        <v/>
      </c>
      <c r="M212" s="94">
        <f>IF(I212=0,"Gap",IF(I212&gt;AVERAGE($I$144:$I$317)+2*STDEV($I$144:$I$317),"High",""))</f>
        <v/>
      </c>
    </row>
    <row r="213">
      <c r="B213" s="93" t="n">
        <v>43132</v>
      </c>
      <c r="C213" s="83">
        <f>COUNTIFS(tblVideos[Day],"&gt;="&amp;$B213,tblVideos[Day],"&lt;"&amp;EDATE($B213,1),tblVideos[Channel ID],Channels!$E$6)</f>
        <v/>
      </c>
      <c r="D213" s="83">
        <f>COUNTIFS(tblVideos[Day],"&gt;="&amp;$B213,tblVideos[Day],"&lt;"&amp;EDATE($B213,1),tblVideos[Channel ID],Channels!$E$7)</f>
        <v/>
      </c>
      <c r="E213" s="83">
        <f>COUNTIFS(tblVideos[Day],"&gt;="&amp;$B213,tblVideos[Day],"&lt;"&amp;EDATE($B213,1),tblVideos[Channel ID],Channels!$E$8)</f>
        <v/>
      </c>
      <c r="F213" s="83">
        <f>COUNTIFS(tblVideos[Day],"&gt;="&amp;$B213,tblVideos[Day],"&lt;"&amp;EDATE($B213,1),tblVideos[Channel ID],Channels!$E$9)</f>
        <v/>
      </c>
      <c r="G213" s="83">
        <f>COUNTIFS(tblVideos[Day],"&gt;="&amp;$B213,tblVideos[Day],"&lt;"&amp;EDATE($B213,1),tblVideos[Channel ID],Channels!$E$10)</f>
        <v/>
      </c>
      <c r="H213" s="83">
        <f>COUNTIFS(tblVideos[Day],"&gt;="&amp;$B213,tblVideos[Day],"&lt;"&amp;EDATE($B213,1),tblVideos[Channel ID],Channels!$E$11)</f>
        <v/>
      </c>
      <c r="I213" s="91">
        <f>SUM(C213:H213)</f>
        <v/>
      </c>
      <c r="J213" s="92">
        <f>SUMIFS(tblVideos[Length],tblVideos[Day],"&gt;="&amp;$B213,tblVideos[Day],"&lt;"&amp;EDATE($B213,1))</f>
        <v/>
      </c>
      <c r="K213" s="83">
        <f>COUNTIFS(tblVideos[Watched On],"&gt;="&amp;$B213,tblVideos[Watched On],"&lt;"&amp;EDATE($B213,1),tblVideos[Status],"Watched")</f>
        <v/>
      </c>
      <c r="L213" s="92">
        <f>SUMIFS(tblVideos[Length],tblVideos[Watched On],"&gt;="&amp;$B213,tblVideos[Watched On],"&lt;"&amp;EDATE($B213,1),tblVideos[Status],"Watched")</f>
        <v/>
      </c>
      <c r="M213" s="94">
        <f>IF(I213=0,"Gap",IF(I213&gt;AVERAGE($I$144:$I$317)+2*STDEV($I$144:$I$317),"High",""))</f>
        <v/>
      </c>
    </row>
    <row r="214">
      <c r="B214" s="93" t="n">
        <v>43160</v>
      </c>
      <c r="C214" s="83">
        <f>COUNTIFS(tblVideos[Day],"&gt;="&amp;$B214,tblVideos[Day],"&lt;"&amp;EDATE($B214,1),tblVideos[Channel ID],Channels!$E$6)</f>
        <v/>
      </c>
      <c r="D214" s="83">
        <f>COUNTIFS(tblVideos[Day],"&gt;="&amp;$B214,tblVideos[Day],"&lt;"&amp;EDATE($B214,1),tblVideos[Channel ID],Channels!$E$7)</f>
        <v/>
      </c>
      <c r="E214" s="83">
        <f>COUNTIFS(tblVideos[Day],"&gt;="&amp;$B214,tblVideos[Day],"&lt;"&amp;EDATE($B214,1),tblVideos[Channel ID],Channels!$E$8)</f>
        <v/>
      </c>
      <c r="F214" s="83">
        <f>COUNTIFS(tblVideos[Day],"&gt;="&amp;$B214,tblVideos[Day],"&lt;"&amp;EDATE($B214,1),tblVideos[Channel ID],Channels!$E$9)</f>
        <v/>
      </c>
      <c r="G214" s="83">
        <f>COUNTIFS(tblVideos[Day],"&gt;="&amp;$B214,tblVideos[Day],"&lt;"&amp;EDATE($B214,1),tblVideos[Channel ID],Channels!$E$10)</f>
        <v/>
      </c>
      <c r="H214" s="83">
        <f>COUNTIFS(tblVideos[Day],"&gt;="&amp;$B214,tblVideos[Day],"&lt;"&amp;EDATE($B214,1),tblVideos[Channel ID],Channels!$E$11)</f>
        <v/>
      </c>
      <c r="I214" s="91">
        <f>SUM(C214:H214)</f>
        <v/>
      </c>
      <c r="J214" s="92">
        <f>SUMIFS(tblVideos[Length],tblVideos[Day],"&gt;="&amp;$B214,tblVideos[Day],"&lt;"&amp;EDATE($B214,1))</f>
        <v/>
      </c>
      <c r="K214" s="83">
        <f>COUNTIFS(tblVideos[Watched On],"&gt;="&amp;$B214,tblVideos[Watched On],"&lt;"&amp;EDATE($B214,1),tblVideos[Status],"Watched")</f>
        <v/>
      </c>
      <c r="L214" s="92">
        <f>SUMIFS(tblVideos[Length],tblVideos[Watched On],"&gt;="&amp;$B214,tblVideos[Watched On],"&lt;"&amp;EDATE($B214,1),tblVideos[Status],"Watched")</f>
        <v/>
      </c>
      <c r="M214" s="94">
        <f>IF(I214=0,"Gap",IF(I214&gt;AVERAGE($I$144:$I$317)+2*STDEV($I$144:$I$317),"High",""))</f>
        <v/>
      </c>
    </row>
    <row r="215">
      <c r="B215" s="93" t="n">
        <v>43191</v>
      </c>
      <c r="C215" s="83">
        <f>COUNTIFS(tblVideos[Day],"&gt;="&amp;$B215,tblVideos[Day],"&lt;"&amp;EDATE($B215,1),tblVideos[Channel ID],Channels!$E$6)</f>
        <v/>
      </c>
      <c r="D215" s="83">
        <f>COUNTIFS(tblVideos[Day],"&gt;="&amp;$B215,tblVideos[Day],"&lt;"&amp;EDATE($B215,1),tblVideos[Channel ID],Channels!$E$7)</f>
        <v/>
      </c>
      <c r="E215" s="83">
        <f>COUNTIFS(tblVideos[Day],"&gt;="&amp;$B215,tblVideos[Day],"&lt;"&amp;EDATE($B215,1),tblVideos[Channel ID],Channels!$E$8)</f>
        <v/>
      </c>
      <c r="F215" s="83">
        <f>COUNTIFS(tblVideos[Day],"&gt;="&amp;$B215,tblVideos[Day],"&lt;"&amp;EDATE($B215,1),tblVideos[Channel ID],Channels!$E$9)</f>
        <v/>
      </c>
      <c r="G215" s="83">
        <f>COUNTIFS(tblVideos[Day],"&gt;="&amp;$B215,tblVideos[Day],"&lt;"&amp;EDATE($B215,1),tblVideos[Channel ID],Channels!$E$10)</f>
        <v/>
      </c>
      <c r="H215" s="83">
        <f>COUNTIFS(tblVideos[Day],"&gt;="&amp;$B215,tblVideos[Day],"&lt;"&amp;EDATE($B215,1),tblVideos[Channel ID],Channels!$E$11)</f>
        <v/>
      </c>
      <c r="I215" s="91">
        <f>SUM(C215:H215)</f>
        <v/>
      </c>
      <c r="J215" s="92">
        <f>SUMIFS(tblVideos[Length],tblVideos[Day],"&gt;="&amp;$B215,tblVideos[Day],"&lt;"&amp;EDATE($B215,1))</f>
        <v/>
      </c>
      <c r="K215" s="83">
        <f>COUNTIFS(tblVideos[Watched On],"&gt;="&amp;$B215,tblVideos[Watched On],"&lt;"&amp;EDATE($B215,1),tblVideos[Status],"Watched")</f>
        <v/>
      </c>
      <c r="L215" s="92">
        <f>SUMIFS(tblVideos[Length],tblVideos[Watched On],"&gt;="&amp;$B215,tblVideos[Watched On],"&lt;"&amp;EDATE($B215,1),tblVideos[Status],"Watched")</f>
        <v/>
      </c>
      <c r="M215" s="94">
        <f>IF(I215=0,"Gap",IF(I215&gt;AVERAGE($I$144:$I$317)+2*STDEV($I$144:$I$317),"High",""))</f>
        <v/>
      </c>
    </row>
    <row r="216">
      <c r="B216" s="93" t="n">
        <v>43221</v>
      </c>
      <c r="C216" s="83">
        <f>COUNTIFS(tblVideos[Day],"&gt;="&amp;$B216,tblVideos[Day],"&lt;"&amp;EDATE($B216,1),tblVideos[Channel ID],Channels!$E$6)</f>
        <v/>
      </c>
      <c r="D216" s="83">
        <f>COUNTIFS(tblVideos[Day],"&gt;="&amp;$B216,tblVideos[Day],"&lt;"&amp;EDATE($B216,1),tblVideos[Channel ID],Channels!$E$7)</f>
        <v/>
      </c>
      <c r="E216" s="83">
        <f>COUNTIFS(tblVideos[Day],"&gt;="&amp;$B216,tblVideos[Day],"&lt;"&amp;EDATE($B216,1),tblVideos[Channel ID],Channels!$E$8)</f>
        <v/>
      </c>
      <c r="F216" s="83">
        <f>COUNTIFS(tblVideos[Day],"&gt;="&amp;$B216,tblVideos[Day],"&lt;"&amp;EDATE($B216,1),tblVideos[Channel ID],Channels!$E$9)</f>
        <v/>
      </c>
      <c r="G216" s="83">
        <f>COUNTIFS(tblVideos[Day],"&gt;="&amp;$B216,tblVideos[Day],"&lt;"&amp;EDATE($B216,1),tblVideos[Channel ID],Channels!$E$10)</f>
        <v/>
      </c>
      <c r="H216" s="83">
        <f>COUNTIFS(tblVideos[Day],"&gt;="&amp;$B216,tblVideos[Day],"&lt;"&amp;EDATE($B216,1),tblVideos[Channel ID],Channels!$E$11)</f>
        <v/>
      </c>
      <c r="I216" s="91">
        <f>SUM(C216:H216)</f>
        <v/>
      </c>
      <c r="J216" s="92">
        <f>SUMIFS(tblVideos[Length],tblVideos[Day],"&gt;="&amp;$B216,tblVideos[Day],"&lt;"&amp;EDATE($B216,1))</f>
        <v/>
      </c>
      <c r="K216" s="83">
        <f>COUNTIFS(tblVideos[Watched On],"&gt;="&amp;$B216,tblVideos[Watched On],"&lt;"&amp;EDATE($B216,1),tblVideos[Status],"Watched")</f>
        <v/>
      </c>
      <c r="L216" s="92">
        <f>SUMIFS(tblVideos[Length],tblVideos[Watched On],"&gt;="&amp;$B216,tblVideos[Watched On],"&lt;"&amp;EDATE($B216,1),tblVideos[Status],"Watched")</f>
        <v/>
      </c>
      <c r="M216" s="94">
        <f>IF(I216=0,"Gap",IF(I216&gt;AVERAGE($I$144:$I$317)+2*STDEV($I$144:$I$317),"High",""))</f>
        <v/>
      </c>
    </row>
    <row r="217">
      <c r="B217" s="93" t="n">
        <v>43252</v>
      </c>
      <c r="C217" s="83">
        <f>COUNTIFS(tblVideos[Day],"&gt;="&amp;$B217,tblVideos[Day],"&lt;"&amp;EDATE($B217,1),tblVideos[Channel ID],Channels!$E$6)</f>
        <v/>
      </c>
      <c r="D217" s="83">
        <f>COUNTIFS(tblVideos[Day],"&gt;="&amp;$B217,tblVideos[Day],"&lt;"&amp;EDATE($B217,1),tblVideos[Channel ID],Channels!$E$7)</f>
        <v/>
      </c>
      <c r="E217" s="83">
        <f>COUNTIFS(tblVideos[Day],"&gt;="&amp;$B217,tblVideos[Day],"&lt;"&amp;EDATE($B217,1),tblVideos[Channel ID],Channels!$E$8)</f>
        <v/>
      </c>
      <c r="F217" s="83">
        <f>COUNTIFS(tblVideos[Day],"&gt;="&amp;$B217,tblVideos[Day],"&lt;"&amp;EDATE($B217,1),tblVideos[Channel ID],Channels!$E$9)</f>
        <v/>
      </c>
      <c r="G217" s="83">
        <f>COUNTIFS(tblVideos[Day],"&gt;="&amp;$B217,tblVideos[Day],"&lt;"&amp;EDATE($B217,1),tblVideos[Channel ID],Channels!$E$10)</f>
        <v/>
      </c>
      <c r="H217" s="83">
        <f>COUNTIFS(tblVideos[Day],"&gt;="&amp;$B217,tblVideos[Day],"&lt;"&amp;EDATE($B217,1),tblVideos[Channel ID],Channels!$E$11)</f>
        <v/>
      </c>
      <c r="I217" s="91">
        <f>SUM(C217:H217)</f>
        <v/>
      </c>
      <c r="J217" s="92">
        <f>SUMIFS(tblVideos[Length],tblVideos[Day],"&gt;="&amp;$B217,tblVideos[Day],"&lt;"&amp;EDATE($B217,1))</f>
        <v/>
      </c>
      <c r="K217" s="83">
        <f>COUNTIFS(tblVideos[Watched On],"&gt;="&amp;$B217,tblVideos[Watched On],"&lt;"&amp;EDATE($B217,1),tblVideos[Status],"Watched")</f>
        <v/>
      </c>
      <c r="L217" s="92">
        <f>SUMIFS(tblVideos[Length],tblVideos[Watched On],"&gt;="&amp;$B217,tblVideos[Watched On],"&lt;"&amp;EDATE($B217,1),tblVideos[Status],"Watched")</f>
        <v/>
      </c>
      <c r="M217" s="94">
        <f>IF(I217=0,"Gap",IF(I217&gt;AVERAGE($I$144:$I$317)+2*STDEV($I$144:$I$317),"High",""))</f>
        <v/>
      </c>
    </row>
    <row r="218">
      <c r="B218" s="93" t="n">
        <v>43282</v>
      </c>
      <c r="C218" s="83">
        <f>COUNTIFS(tblVideos[Day],"&gt;="&amp;$B218,tblVideos[Day],"&lt;"&amp;EDATE($B218,1),tblVideos[Channel ID],Channels!$E$6)</f>
        <v/>
      </c>
      <c r="D218" s="83">
        <f>COUNTIFS(tblVideos[Day],"&gt;="&amp;$B218,tblVideos[Day],"&lt;"&amp;EDATE($B218,1),tblVideos[Channel ID],Channels!$E$7)</f>
        <v/>
      </c>
      <c r="E218" s="83">
        <f>COUNTIFS(tblVideos[Day],"&gt;="&amp;$B218,tblVideos[Day],"&lt;"&amp;EDATE($B218,1),tblVideos[Channel ID],Channels!$E$8)</f>
        <v/>
      </c>
      <c r="F218" s="83">
        <f>COUNTIFS(tblVideos[Day],"&gt;="&amp;$B218,tblVideos[Day],"&lt;"&amp;EDATE($B218,1),tblVideos[Channel ID],Channels!$E$9)</f>
        <v/>
      </c>
      <c r="G218" s="83">
        <f>COUNTIFS(tblVideos[Day],"&gt;="&amp;$B218,tblVideos[Day],"&lt;"&amp;EDATE($B218,1),tblVideos[Channel ID],Channels!$E$10)</f>
        <v/>
      </c>
      <c r="H218" s="83">
        <f>COUNTIFS(tblVideos[Day],"&gt;="&amp;$B218,tblVideos[Day],"&lt;"&amp;EDATE($B218,1),tblVideos[Channel ID],Channels!$E$11)</f>
        <v/>
      </c>
      <c r="I218" s="91">
        <f>SUM(C218:H218)</f>
        <v/>
      </c>
      <c r="J218" s="92">
        <f>SUMIFS(tblVideos[Length],tblVideos[Day],"&gt;="&amp;$B218,tblVideos[Day],"&lt;"&amp;EDATE($B218,1))</f>
        <v/>
      </c>
      <c r="K218" s="83">
        <f>COUNTIFS(tblVideos[Watched On],"&gt;="&amp;$B218,tblVideos[Watched On],"&lt;"&amp;EDATE($B218,1),tblVideos[Status],"Watched")</f>
        <v/>
      </c>
      <c r="L218" s="92">
        <f>SUMIFS(tblVideos[Length],tblVideos[Watched On],"&gt;="&amp;$B218,tblVideos[Watched On],"&lt;"&amp;EDATE($B218,1),tblVideos[Status],"Watched")</f>
        <v/>
      </c>
      <c r="M218" s="94">
        <f>IF(I218=0,"Gap",IF(I218&gt;AVERAGE($I$144:$I$317)+2*STDEV($I$144:$I$317),"High",""))</f>
        <v/>
      </c>
    </row>
    <row r="219">
      <c r="B219" s="93" t="n">
        <v>43313</v>
      </c>
      <c r="C219" s="83">
        <f>COUNTIFS(tblVideos[Day],"&gt;="&amp;$B219,tblVideos[Day],"&lt;"&amp;EDATE($B219,1),tblVideos[Channel ID],Channels!$E$6)</f>
        <v/>
      </c>
      <c r="D219" s="83">
        <f>COUNTIFS(tblVideos[Day],"&gt;="&amp;$B219,tblVideos[Day],"&lt;"&amp;EDATE($B219,1),tblVideos[Channel ID],Channels!$E$7)</f>
        <v/>
      </c>
      <c r="E219" s="83">
        <f>COUNTIFS(tblVideos[Day],"&gt;="&amp;$B219,tblVideos[Day],"&lt;"&amp;EDATE($B219,1),tblVideos[Channel ID],Channels!$E$8)</f>
        <v/>
      </c>
      <c r="F219" s="83">
        <f>COUNTIFS(tblVideos[Day],"&gt;="&amp;$B219,tblVideos[Day],"&lt;"&amp;EDATE($B219,1),tblVideos[Channel ID],Channels!$E$9)</f>
        <v/>
      </c>
      <c r="G219" s="83">
        <f>COUNTIFS(tblVideos[Day],"&gt;="&amp;$B219,tblVideos[Day],"&lt;"&amp;EDATE($B219,1),tblVideos[Channel ID],Channels!$E$10)</f>
        <v/>
      </c>
      <c r="H219" s="83">
        <f>COUNTIFS(tblVideos[Day],"&gt;="&amp;$B219,tblVideos[Day],"&lt;"&amp;EDATE($B219,1),tblVideos[Channel ID],Channels!$E$11)</f>
        <v/>
      </c>
      <c r="I219" s="91">
        <f>SUM(C219:H219)</f>
        <v/>
      </c>
      <c r="J219" s="92">
        <f>SUMIFS(tblVideos[Length],tblVideos[Day],"&gt;="&amp;$B219,tblVideos[Day],"&lt;"&amp;EDATE($B219,1))</f>
        <v/>
      </c>
      <c r="K219" s="83">
        <f>COUNTIFS(tblVideos[Watched On],"&gt;="&amp;$B219,tblVideos[Watched On],"&lt;"&amp;EDATE($B219,1),tblVideos[Status],"Watched")</f>
        <v/>
      </c>
      <c r="L219" s="92">
        <f>SUMIFS(tblVideos[Length],tblVideos[Watched On],"&gt;="&amp;$B219,tblVideos[Watched On],"&lt;"&amp;EDATE($B219,1),tblVideos[Status],"Watched")</f>
        <v/>
      </c>
      <c r="M219" s="94">
        <f>IF(I219=0,"Gap",IF(I219&gt;AVERAGE($I$144:$I$317)+2*STDEV($I$144:$I$317),"High",""))</f>
        <v/>
      </c>
    </row>
    <row r="220">
      <c r="B220" s="93" t="n">
        <v>43344</v>
      </c>
      <c r="C220" s="83">
        <f>COUNTIFS(tblVideos[Day],"&gt;="&amp;$B220,tblVideos[Day],"&lt;"&amp;EDATE($B220,1),tblVideos[Channel ID],Channels!$E$6)</f>
        <v/>
      </c>
      <c r="D220" s="83">
        <f>COUNTIFS(tblVideos[Day],"&gt;="&amp;$B220,tblVideos[Day],"&lt;"&amp;EDATE($B220,1),tblVideos[Channel ID],Channels!$E$7)</f>
        <v/>
      </c>
      <c r="E220" s="83">
        <f>COUNTIFS(tblVideos[Day],"&gt;="&amp;$B220,tblVideos[Day],"&lt;"&amp;EDATE($B220,1),tblVideos[Channel ID],Channels!$E$8)</f>
        <v/>
      </c>
      <c r="F220" s="83">
        <f>COUNTIFS(tblVideos[Day],"&gt;="&amp;$B220,tblVideos[Day],"&lt;"&amp;EDATE($B220,1),tblVideos[Channel ID],Channels!$E$9)</f>
        <v/>
      </c>
      <c r="G220" s="83">
        <f>COUNTIFS(tblVideos[Day],"&gt;="&amp;$B220,tblVideos[Day],"&lt;"&amp;EDATE($B220,1),tblVideos[Channel ID],Channels!$E$10)</f>
        <v/>
      </c>
      <c r="H220" s="83">
        <f>COUNTIFS(tblVideos[Day],"&gt;="&amp;$B220,tblVideos[Day],"&lt;"&amp;EDATE($B220,1),tblVideos[Channel ID],Channels!$E$11)</f>
        <v/>
      </c>
      <c r="I220" s="91">
        <f>SUM(C220:H220)</f>
        <v/>
      </c>
      <c r="J220" s="92">
        <f>SUMIFS(tblVideos[Length],tblVideos[Day],"&gt;="&amp;$B220,tblVideos[Day],"&lt;"&amp;EDATE($B220,1))</f>
        <v/>
      </c>
      <c r="K220" s="83">
        <f>COUNTIFS(tblVideos[Watched On],"&gt;="&amp;$B220,tblVideos[Watched On],"&lt;"&amp;EDATE($B220,1),tblVideos[Status],"Watched")</f>
        <v/>
      </c>
      <c r="L220" s="92">
        <f>SUMIFS(tblVideos[Length],tblVideos[Watched On],"&gt;="&amp;$B220,tblVideos[Watched On],"&lt;"&amp;EDATE($B220,1),tblVideos[Status],"Watched")</f>
        <v/>
      </c>
      <c r="M220" s="94">
        <f>IF(I220=0,"Gap",IF(I220&gt;AVERAGE($I$144:$I$317)+2*STDEV($I$144:$I$317),"High",""))</f>
        <v/>
      </c>
    </row>
    <row r="221">
      <c r="B221" s="93" t="n">
        <v>43374</v>
      </c>
      <c r="C221" s="83">
        <f>COUNTIFS(tblVideos[Day],"&gt;="&amp;$B221,tblVideos[Day],"&lt;"&amp;EDATE($B221,1),tblVideos[Channel ID],Channels!$E$6)</f>
        <v/>
      </c>
      <c r="D221" s="83">
        <f>COUNTIFS(tblVideos[Day],"&gt;="&amp;$B221,tblVideos[Day],"&lt;"&amp;EDATE($B221,1),tblVideos[Channel ID],Channels!$E$7)</f>
        <v/>
      </c>
      <c r="E221" s="83">
        <f>COUNTIFS(tblVideos[Day],"&gt;="&amp;$B221,tblVideos[Day],"&lt;"&amp;EDATE($B221,1),tblVideos[Channel ID],Channels!$E$8)</f>
        <v/>
      </c>
      <c r="F221" s="83">
        <f>COUNTIFS(tblVideos[Day],"&gt;="&amp;$B221,tblVideos[Day],"&lt;"&amp;EDATE($B221,1),tblVideos[Channel ID],Channels!$E$9)</f>
        <v/>
      </c>
      <c r="G221" s="83">
        <f>COUNTIFS(tblVideos[Day],"&gt;="&amp;$B221,tblVideos[Day],"&lt;"&amp;EDATE($B221,1),tblVideos[Channel ID],Channels!$E$10)</f>
        <v/>
      </c>
      <c r="H221" s="83">
        <f>COUNTIFS(tblVideos[Day],"&gt;="&amp;$B221,tblVideos[Day],"&lt;"&amp;EDATE($B221,1),tblVideos[Channel ID],Channels!$E$11)</f>
        <v/>
      </c>
      <c r="I221" s="91">
        <f>SUM(C221:H221)</f>
        <v/>
      </c>
      <c r="J221" s="92">
        <f>SUMIFS(tblVideos[Length],tblVideos[Day],"&gt;="&amp;$B221,tblVideos[Day],"&lt;"&amp;EDATE($B221,1))</f>
        <v/>
      </c>
      <c r="K221" s="83">
        <f>COUNTIFS(tblVideos[Watched On],"&gt;="&amp;$B221,tblVideos[Watched On],"&lt;"&amp;EDATE($B221,1),tblVideos[Status],"Watched")</f>
        <v/>
      </c>
      <c r="L221" s="92">
        <f>SUMIFS(tblVideos[Length],tblVideos[Watched On],"&gt;="&amp;$B221,tblVideos[Watched On],"&lt;"&amp;EDATE($B221,1),tblVideos[Status],"Watched")</f>
        <v/>
      </c>
      <c r="M221" s="94">
        <f>IF(I221=0,"Gap",IF(I221&gt;AVERAGE($I$144:$I$317)+2*STDEV($I$144:$I$317),"High",""))</f>
        <v/>
      </c>
    </row>
    <row r="222">
      <c r="B222" s="93" t="n">
        <v>43405</v>
      </c>
      <c r="C222" s="83">
        <f>COUNTIFS(tblVideos[Day],"&gt;="&amp;$B222,tblVideos[Day],"&lt;"&amp;EDATE($B222,1),tblVideos[Channel ID],Channels!$E$6)</f>
        <v/>
      </c>
      <c r="D222" s="83">
        <f>COUNTIFS(tblVideos[Day],"&gt;="&amp;$B222,tblVideos[Day],"&lt;"&amp;EDATE($B222,1),tblVideos[Channel ID],Channels!$E$7)</f>
        <v/>
      </c>
      <c r="E222" s="83">
        <f>COUNTIFS(tblVideos[Day],"&gt;="&amp;$B222,tblVideos[Day],"&lt;"&amp;EDATE($B222,1),tblVideos[Channel ID],Channels!$E$8)</f>
        <v/>
      </c>
      <c r="F222" s="83">
        <f>COUNTIFS(tblVideos[Day],"&gt;="&amp;$B222,tblVideos[Day],"&lt;"&amp;EDATE($B222,1),tblVideos[Channel ID],Channels!$E$9)</f>
        <v/>
      </c>
      <c r="G222" s="83">
        <f>COUNTIFS(tblVideos[Day],"&gt;="&amp;$B222,tblVideos[Day],"&lt;"&amp;EDATE($B222,1),tblVideos[Channel ID],Channels!$E$10)</f>
        <v/>
      </c>
      <c r="H222" s="83">
        <f>COUNTIFS(tblVideos[Day],"&gt;="&amp;$B222,tblVideos[Day],"&lt;"&amp;EDATE($B222,1),tblVideos[Channel ID],Channels!$E$11)</f>
        <v/>
      </c>
      <c r="I222" s="91">
        <f>SUM(C222:H222)</f>
        <v/>
      </c>
      <c r="J222" s="92">
        <f>SUMIFS(tblVideos[Length],tblVideos[Day],"&gt;="&amp;$B222,tblVideos[Day],"&lt;"&amp;EDATE($B222,1))</f>
        <v/>
      </c>
      <c r="K222" s="83">
        <f>COUNTIFS(tblVideos[Watched On],"&gt;="&amp;$B222,tblVideos[Watched On],"&lt;"&amp;EDATE($B222,1),tblVideos[Status],"Watched")</f>
        <v/>
      </c>
      <c r="L222" s="92">
        <f>SUMIFS(tblVideos[Length],tblVideos[Watched On],"&gt;="&amp;$B222,tblVideos[Watched On],"&lt;"&amp;EDATE($B222,1),tblVideos[Status],"Watched")</f>
        <v/>
      </c>
      <c r="M222" s="94">
        <f>IF(I222=0,"Gap",IF(I222&gt;AVERAGE($I$144:$I$317)+2*STDEV($I$144:$I$317),"High",""))</f>
        <v/>
      </c>
    </row>
    <row r="223">
      <c r="B223" s="93" t="n">
        <v>43435</v>
      </c>
      <c r="C223" s="83">
        <f>COUNTIFS(tblVideos[Day],"&gt;="&amp;$B223,tblVideos[Day],"&lt;"&amp;EDATE($B223,1),tblVideos[Channel ID],Channels!$E$6)</f>
        <v/>
      </c>
      <c r="D223" s="83">
        <f>COUNTIFS(tblVideos[Day],"&gt;="&amp;$B223,tblVideos[Day],"&lt;"&amp;EDATE($B223,1),tblVideos[Channel ID],Channels!$E$7)</f>
        <v/>
      </c>
      <c r="E223" s="83">
        <f>COUNTIFS(tblVideos[Day],"&gt;="&amp;$B223,tblVideos[Day],"&lt;"&amp;EDATE($B223,1),tblVideos[Channel ID],Channels!$E$8)</f>
        <v/>
      </c>
      <c r="F223" s="83">
        <f>COUNTIFS(tblVideos[Day],"&gt;="&amp;$B223,tblVideos[Day],"&lt;"&amp;EDATE($B223,1),tblVideos[Channel ID],Channels!$E$9)</f>
        <v/>
      </c>
      <c r="G223" s="83">
        <f>COUNTIFS(tblVideos[Day],"&gt;="&amp;$B223,tblVideos[Day],"&lt;"&amp;EDATE($B223,1),tblVideos[Channel ID],Channels!$E$10)</f>
        <v/>
      </c>
      <c r="H223" s="83">
        <f>COUNTIFS(tblVideos[Day],"&gt;="&amp;$B223,tblVideos[Day],"&lt;"&amp;EDATE($B223,1),tblVideos[Channel ID],Channels!$E$11)</f>
        <v/>
      </c>
      <c r="I223" s="91">
        <f>SUM(C223:H223)</f>
        <v/>
      </c>
      <c r="J223" s="92">
        <f>SUMIFS(tblVideos[Length],tblVideos[Day],"&gt;="&amp;$B223,tblVideos[Day],"&lt;"&amp;EDATE($B223,1))</f>
        <v/>
      </c>
      <c r="K223" s="83">
        <f>COUNTIFS(tblVideos[Watched On],"&gt;="&amp;$B223,tblVideos[Watched On],"&lt;"&amp;EDATE($B223,1),tblVideos[Status],"Watched")</f>
        <v/>
      </c>
      <c r="L223" s="92">
        <f>SUMIFS(tblVideos[Length],tblVideos[Watched On],"&gt;="&amp;$B223,tblVideos[Watched On],"&lt;"&amp;EDATE($B223,1),tblVideos[Status],"Watched")</f>
        <v/>
      </c>
      <c r="M223" s="94">
        <f>IF(I223=0,"Gap",IF(I223&gt;AVERAGE($I$144:$I$317)+2*STDEV($I$144:$I$317),"High",""))</f>
        <v/>
      </c>
    </row>
    <row r="224">
      <c r="B224" s="93" t="n">
        <v>43466</v>
      </c>
      <c r="C224" s="83">
        <f>COUNTIFS(tblVideos[Day],"&gt;="&amp;$B224,tblVideos[Day],"&lt;"&amp;EDATE($B224,1),tblVideos[Channel ID],Channels!$E$6)</f>
        <v/>
      </c>
      <c r="D224" s="83">
        <f>COUNTIFS(tblVideos[Day],"&gt;="&amp;$B224,tblVideos[Day],"&lt;"&amp;EDATE($B224,1),tblVideos[Channel ID],Channels!$E$7)</f>
        <v/>
      </c>
      <c r="E224" s="83">
        <f>COUNTIFS(tblVideos[Day],"&gt;="&amp;$B224,tblVideos[Day],"&lt;"&amp;EDATE($B224,1),tblVideos[Channel ID],Channels!$E$8)</f>
        <v/>
      </c>
      <c r="F224" s="83">
        <f>COUNTIFS(tblVideos[Day],"&gt;="&amp;$B224,tblVideos[Day],"&lt;"&amp;EDATE($B224,1),tblVideos[Channel ID],Channels!$E$9)</f>
        <v/>
      </c>
      <c r="G224" s="83">
        <f>COUNTIFS(tblVideos[Day],"&gt;="&amp;$B224,tblVideos[Day],"&lt;"&amp;EDATE($B224,1),tblVideos[Channel ID],Channels!$E$10)</f>
        <v/>
      </c>
      <c r="H224" s="83">
        <f>COUNTIFS(tblVideos[Day],"&gt;="&amp;$B224,tblVideos[Day],"&lt;"&amp;EDATE($B224,1),tblVideos[Channel ID],Channels!$E$11)</f>
        <v/>
      </c>
      <c r="I224" s="91">
        <f>SUM(C224:H224)</f>
        <v/>
      </c>
      <c r="J224" s="92">
        <f>SUMIFS(tblVideos[Length],tblVideos[Day],"&gt;="&amp;$B224,tblVideos[Day],"&lt;"&amp;EDATE($B224,1))</f>
        <v/>
      </c>
      <c r="K224" s="83">
        <f>COUNTIFS(tblVideos[Watched On],"&gt;="&amp;$B224,tblVideos[Watched On],"&lt;"&amp;EDATE($B224,1),tblVideos[Status],"Watched")</f>
        <v/>
      </c>
      <c r="L224" s="92">
        <f>SUMIFS(tblVideos[Length],tblVideos[Watched On],"&gt;="&amp;$B224,tblVideos[Watched On],"&lt;"&amp;EDATE($B224,1),tblVideos[Status],"Watched")</f>
        <v/>
      </c>
      <c r="M224" s="94">
        <f>IF(I224=0,"Gap",IF(I224&gt;AVERAGE($I$144:$I$317)+2*STDEV($I$144:$I$317),"High",""))</f>
        <v/>
      </c>
    </row>
    <row r="225">
      <c r="B225" s="93" t="n">
        <v>43497</v>
      </c>
      <c r="C225" s="83">
        <f>COUNTIFS(tblVideos[Day],"&gt;="&amp;$B225,tblVideos[Day],"&lt;"&amp;EDATE($B225,1),tblVideos[Channel ID],Channels!$E$6)</f>
        <v/>
      </c>
      <c r="D225" s="83">
        <f>COUNTIFS(tblVideos[Day],"&gt;="&amp;$B225,tblVideos[Day],"&lt;"&amp;EDATE($B225,1),tblVideos[Channel ID],Channels!$E$7)</f>
        <v/>
      </c>
      <c r="E225" s="83">
        <f>COUNTIFS(tblVideos[Day],"&gt;="&amp;$B225,tblVideos[Day],"&lt;"&amp;EDATE($B225,1),tblVideos[Channel ID],Channels!$E$8)</f>
        <v/>
      </c>
      <c r="F225" s="83">
        <f>COUNTIFS(tblVideos[Day],"&gt;="&amp;$B225,tblVideos[Day],"&lt;"&amp;EDATE($B225,1),tblVideos[Channel ID],Channels!$E$9)</f>
        <v/>
      </c>
      <c r="G225" s="83">
        <f>COUNTIFS(tblVideos[Day],"&gt;="&amp;$B225,tblVideos[Day],"&lt;"&amp;EDATE($B225,1),tblVideos[Channel ID],Channels!$E$10)</f>
        <v/>
      </c>
      <c r="H225" s="83">
        <f>COUNTIFS(tblVideos[Day],"&gt;="&amp;$B225,tblVideos[Day],"&lt;"&amp;EDATE($B225,1),tblVideos[Channel ID],Channels!$E$11)</f>
        <v/>
      </c>
      <c r="I225" s="91">
        <f>SUM(C225:H225)</f>
        <v/>
      </c>
      <c r="J225" s="92">
        <f>SUMIFS(tblVideos[Length],tblVideos[Day],"&gt;="&amp;$B225,tblVideos[Day],"&lt;"&amp;EDATE($B225,1))</f>
        <v/>
      </c>
      <c r="K225" s="83">
        <f>COUNTIFS(tblVideos[Watched On],"&gt;="&amp;$B225,tblVideos[Watched On],"&lt;"&amp;EDATE($B225,1),tblVideos[Status],"Watched")</f>
        <v/>
      </c>
      <c r="L225" s="92">
        <f>SUMIFS(tblVideos[Length],tblVideos[Watched On],"&gt;="&amp;$B225,tblVideos[Watched On],"&lt;"&amp;EDATE($B225,1),tblVideos[Status],"Watched")</f>
        <v/>
      </c>
      <c r="M225" s="94">
        <f>IF(I225=0,"Gap",IF(I225&gt;AVERAGE($I$144:$I$317)+2*STDEV($I$144:$I$317),"High",""))</f>
        <v/>
      </c>
    </row>
    <row r="226">
      <c r="B226" s="93" t="n">
        <v>43525</v>
      </c>
      <c r="C226" s="83">
        <f>COUNTIFS(tblVideos[Day],"&gt;="&amp;$B226,tblVideos[Day],"&lt;"&amp;EDATE($B226,1),tblVideos[Channel ID],Channels!$E$6)</f>
        <v/>
      </c>
      <c r="D226" s="83">
        <f>COUNTIFS(tblVideos[Day],"&gt;="&amp;$B226,tblVideos[Day],"&lt;"&amp;EDATE($B226,1),tblVideos[Channel ID],Channels!$E$7)</f>
        <v/>
      </c>
      <c r="E226" s="83">
        <f>COUNTIFS(tblVideos[Day],"&gt;="&amp;$B226,tblVideos[Day],"&lt;"&amp;EDATE($B226,1),tblVideos[Channel ID],Channels!$E$8)</f>
        <v/>
      </c>
      <c r="F226" s="83">
        <f>COUNTIFS(tblVideos[Day],"&gt;="&amp;$B226,tblVideos[Day],"&lt;"&amp;EDATE($B226,1),tblVideos[Channel ID],Channels!$E$9)</f>
        <v/>
      </c>
      <c r="G226" s="83">
        <f>COUNTIFS(tblVideos[Day],"&gt;="&amp;$B226,tblVideos[Day],"&lt;"&amp;EDATE($B226,1),tblVideos[Channel ID],Channels!$E$10)</f>
        <v/>
      </c>
      <c r="H226" s="83">
        <f>COUNTIFS(tblVideos[Day],"&gt;="&amp;$B226,tblVideos[Day],"&lt;"&amp;EDATE($B226,1),tblVideos[Channel ID],Channels!$E$11)</f>
        <v/>
      </c>
      <c r="I226" s="91">
        <f>SUM(C226:H226)</f>
        <v/>
      </c>
      <c r="J226" s="92">
        <f>SUMIFS(tblVideos[Length],tblVideos[Day],"&gt;="&amp;$B226,tblVideos[Day],"&lt;"&amp;EDATE($B226,1))</f>
        <v/>
      </c>
      <c r="K226" s="83">
        <f>COUNTIFS(tblVideos[Watched On],"&gt;="&amp;$B226,tblVideos[Watched On],"&lt;"&amp;EDATE($B226,1),tblVideos[Status],"Watched")</f>
        <v/>
      </c>
      <c r="L226" s="92">
        <f>SUMIFS(tblVideos[Length],tblVideos[Watched On],"&gt;="&amp;$B226,tblVideos[Watched On],"&lt;"&amp;EDATE($B226,1),tblVideos[Status],"Watched")</f>
        <v/>
      </c>
      <c r="M226" s="94">
        <f>IF(I226=0,"Gap",IF(I226&gt;AVERAGE($I$144:$I$317)+2*STDEV($I$144:$I$317),"High",""))</f>
        <v/>
      </c>
    </row>
    <row r="227">
      <c r="B227" s="93" t="n">
        <v>43556</v>
      </c>
      <c r="C227" s="83">
        <f>COUNTIFS(tblVideos[Day],"&gt;="&amp;$B227,tblVideos[Day],"&lt;"&amp;EDATE($B227,1),tblVideos[Channel ID],Channels!$E$6)</f>
        <v/>
      </c>
      <c r="D227" s="83">
        <f>COUNTIFS(tblVideos[Day],"&gt;="&amp;$B227,tblVideos[Day],"&lt;"&amp;EDATE($B227,1),tblVideos[Channel ID],Channels!$E$7)</f>
        <v/>
      </c>
      <c r="E227" s="83">
        <f>COUNTIFS(tblVideos[Day],"&gt;="&amp;$B227,tblVideos[Day],"&lt;"&amp;EDATE($B227,1),tblVideos[Channel ID],Channels!$E$8)</f>
        <v/>
      </c>
      <c r="F227" s="83">
        <f>COUNTIFS(tblVideos[Day],"&gt;="&amp;$B227,tblVideos[Day],"&lt;"&amp;EDATE($B227,1),tblVideos[Channel ID],Channels!$E$9)</f>
        <v/>
      </c>
      <c r="G227" s="83">
        <f>COUNTIFS(tblVideos[Day],"&gt;="&amp;$B227,tblVideos[Day],"&lt;"&amp;EDATE($B227,1),tblVideos[Channel ID],Channels!$E$10)</f>
        <v/>
      </c>
      <c r="H227" s="83">
        <f>COUNTIFS(tblVideos[Day],"&gt;="&amp;$B227,tblVideos[Day],"&lt;"&amp;EDATE($B227,1),tblVideos[Channel ID],Channels!$E$11)</f>
        <v/>
      </c>
      <c r="I227" s="91">
        <f>SUM(C227:H227)</f>
        <v/>
      </c>
      <c r="J227" s="92">
        <f>SUMIFS(tblVideos[Length],tblVideos[Day],"&gt;="&amp;$B227,tblVideos[Day],"&lt;"&amp;EDATE($B227,1))</f>
        <v/>
      </c>
      <c r="K227" s="83">
        <f>COUNTIFS(tblVideos[Watched On],"&gt;="&amp;$B227,tblVideos[Watched On],"&lt;"&amp;EDATE($B227,1),tblVideos[Status],"Watched")</f>
        <v/>
      </c>
      <c r="L227" s="92">
        <f>SUMIFS(tblVideos[Length],tblVideos[Watched On],"&gt;="&amp;$B227,tblVideos[Watched On],"&lt;"&amp;EDATE($B227,1),tblVideos[Status],"Watched")</f>
        <v/>
      </c>
      <c r="M227" s="94">
        <f>IF(I227=0,"Gap",IF(I227&gt;AVERAGE($I$144:$I$317)+2*STDEV($I$144:$I$317),"High",""))</f>
        <v/>
      </c>
    </row>
    <row r="228">
      <c r="B228" s="93" t="n">
        <v>43586</v>
      </c>
      <c r="C228" s="83">
        <f>COUNTIFS(tblVideos[Day],"&gt;="&amp;$B228,tblVideos[Day],"&lt;"&amp;EDATE($B228,1),tblVideos[Channel ID],Channels!$E$6)</f>
        <v/>
      </c>
      <c r="D228" s="83">
        <f>COUNTIFS(tblVideos[Day],"&gt;="&amp;$B228,tblVideos[Day],"&lt;"&amp;EDATE($B228,1),tblVideos[Channel ID],Channels!$E$7)</f>
        <v/>
      </c>
      <c r="E228" s="83">
        <f>COUNTIFS(tblVideos[Day],"&gt;="&amp;$B228,tblVideos[Day],"&lt;"&amp;EDATE($B228,1),tblVideos[Channel ID],Channels!$E$8)</f>
        <v/>
      </c>
      <c r="F228" s="83">
        <f>COUNTIFS(tblVideos[Day],"&gt;="&amp;$B228,tblVideos[Day],"&lt;"&amp;EDATE($B228,1),tblVideos[Channel ID],Channels!$E$9)</f>
        <v/>
      </c>
      <c r="G228" s="83">
        <f>COUNTIFS(tblVideos[Day],"&gt;="&amp;$B228,tblVideos[Day],"&lt;"&amp;EDATE($B228,1),tblVideos[Channel ID],Channels!$E$10)</f>
        <v/>
      </c>
      <c r="H228" s="83">
        <f>COUNTIFS(tblVideos[Day],"&gt;="&amp;$B228,tblVideos[Day],"&lt;"&amp;EDATE($B228,1),tblVideos[Channel ID],Channels!$E$11)</f>
        <v/>
      </c>
      <c r="I228" s="91">
        <f>SUM(C228:H228)</f>
        <v/>
      </c>
      <c r="J228" s="92">
        <f>SUMIFS(tblVideos[Length],tblVideos[Day],"&gt;="&amp;$B228,tblVideos[Day],"&lt;"&amp;EDATE($B228,1))</f>
        <v/>
      </c>
      <c r="K228" s="83">
        <f>COUNTIFS(tblVideos[Watched On],"&gt;="&amp;$B228,tblVideos[Watched On],"&lt;"&amp;EDATE($B228,1),tblVideos[Status],"Watched")</f>
        <v/>
      </c>
      <c r="L228" s="92">
        <f>SUMIFS(tblVideos[Length],tblVideos[Watched On],"&gt;="&amp;$B228,tblVideos[Watched On],"&lt;"&amp;EDATE($B228,1),tblVideos[Status],"Watched")</f>
        <v/>
      </c>
      <c r="M228" s="94">
        <f>IF(I228=0,"Gap",IF(I228&gt;AVERAGE($I$144:$I$317)+2*STDEV($I$144:$I$317),"High",""))</f>
        <v/>
      </c>
    </row>
    <row r="229">
      <c r="B229" s="93" t="n">
        <v>43617</v>
      </c>
      <c r="C229" s="83">
        <f>COUNTIFS(tblVideos[Day],"&gt;="&amp;$B229,tblVideos[Day],"&lt;"&amp;EDATE($B229,1),tblVideos[Channel ID],Channels!$E$6)</f>
        <v/>
      </c>
      <c r="D229" s="83">
        <f>COUNTIFS(tblVideos[Day],"&gt;="&amp;$B229,tblVideos[Day],"&lt;"&amp;EDATE($B229,1),tblVideos[Channel ID],Channels!$E$7)</f>
        <v/>
      </c>
      <c r="E229" s="83">
        <f>COUNTIFS(tblVideos[Day],"&gt;="&amp;$B229,tblVideos[Day],"&lt;"&amp;EDATE($B229,1),tblVideos[Channel ID],Channels!$E$8)</f>
        <v/>
      </c>
      <c r="F229" s="83">
        <f>COUNTIFS(tblVideos[Day],"&gt;="&amp;$B229,tblVideos[Day],"&lt;"&amp;EDATE($B229,1),tblVideos[Channel ID],Channels!$E$9)</f>
        <v/>
      </c>
      <c r="G229" s="83">
        <f>COUNTIFS(tblVideos[Day],"&gt;="&amp;$B229,tblVideos[Day],"&lt;"&amp;EDATE($B229,1),tblVideos[Channel ID],Channels!$E$10)</f>
        <v/>
      </c>
      <c r="H229" s="83">
        <f>COUNTIFS(tblVideos[Day],"&gt;="&amp;$B229,tblVideos[Day],"&lt;"&amp;EDATE($B229,1),tblVideos[Channel ID],Channels!$E$11)</f>
        <v/>
      </c>
      <c r="I229" s="91">
        <f>SUM(C229:H229)</f>
        <v/>
      </c>
      <c r="J229" s="92">
        <f>SUMIFS(tblVideos[Length],tblVideos[Day],"&gt;="&amp;$B229,tblVideos[Day],"&lt;"&amp;EDATE($B229,1))</f>
        <v/>
      </c>
      <c r="K229" s="83">
        <f>COUNTIFS(tblVideos[Watched On],"&gt;="&amp;$B229,tblVideos[Watched On],"&lt;"&amp;EDATE($B229,1),tblVideos[Status],"Watched")</f>
        <v/>
      </c>
      <c r="L229" s="92">
        <f>SUMIFS(tblVideos[Length],tblVideos[Watched On],"&gt;="&amp;$B229,tblVideos[Watched On],"&lt;"&amp;EDATE($B229,1),tblVideos[Status],"Watched")</f>
        <v/>
      </c>
      <c r="M229" s="94">
        <f>IF(I229=0,"Gap",IF(I229&gt;AVERAGE($I$144:$I$317)+2*STDEV($I$144:$I$317),"High",""))</f>
        <v/>
      </c>
    </row>
    <row r="230">
      <c r="B230" s="93" t="n">
        <v>43647</v>
      </c>
      <c r="C230" s="83">
        <f>COUNTIFS(tblVideos[Day],"&gt;="&amp;$B230,tblVideos[Day],"&lt;"&amp;EDATE($B230,1),tblVideos[Channel ID],Channels!$E$6)</f>
        <v/>
      </c>
      <c r="D230" s="83">
        <f>COUNTIFS(tblVideos[Day],"&gt;="&amp;$B230,tblVideos[Day],"&lt;"&amp;EDATE($B230,1),tblVideos[Channel ID],Channels!$E$7)</f>
        <v/>
      </c>
      <c r="E230" s="83">
        <f>COUNTIFS(tblVideos[Day],"&gt;="&amp;$B230,tblVideos[Day],"&lt;"&amp;EDATE($B230,1),tblVideos[Channel ID],Channels!$E$8)</f>
        <v/>
      </c>
      <c r="F230" s="83">
        <f>COUNTIFS(tblVideos[Day],"&gt;="&amp;$B230,tblVideos[Day],"&lt;"&amp;EDATE($B230,1),tblVideos[Channel ID],Channels!$E$9)</f>
        <v/>
      </c>
      <c r="G230" s="83">
        <f>COUNTIFS(tblVideos[Day],"&gt;="&amp;$B230,tblVideos[Day],"&lt;"&amp;EDATE($B230,1),tblVideos[Channel ID],Channels!$E$10)</f>
        <v/>
      </c>
      <c r="H230" s="83">
        <f>COUNTIFS(tblVideos[Day],"&gt;="&amp;$B230,tblVideos[Day],"&lt;"&amp;EDATE($B230,1),tblVideos[Channel ID],Channels!$E$11)</f>
        <v/>
      </c>
      <c r="I230" s="91">
        <f>SUM(C230:H230)</f>
        <v/>
      </c>
      <c r="J230" s="92">
        <f>SUMIFS(tblVideos[Length],tblVideos[Day],"&gt;="&amp;$B230,tblVideos[Day],"&lt;"&amp;EDATE($B230,1))</f>
        <v/>
      </c>
      <c r="K230" s="83">
        <f>COUNTIFS(tblVideos[Watched On],"&gt;="&amp;$B230,tblVideos[Watched On],"&lt;"&amp;EDATE($B230,1),tblVideos[Status],"Watched")</f>
        <v/>
      </c>
      <c r="L230" s="92">
        <f>SUMIFS(tblVideos[Length],tblVideos[Watched On],"&gt;="&amp;$B230,tblVideos[Watched On],"&lt;"&amp;EDATE($B230,1),tblVideos[Status],"Watched")</f>
        <v/>
      </c>
      <c r="M230" s="94">
        <f>IF(I230=0,"Gap",IF(I230&gt;AVERAGE($I$144:$I$317)+2*STDEV($I$144:$I$317),"High",""))</f>
        <v/>
      </c>
    </row>
    <row r="231">
      <c r="B231" s="93" t="n">
        <v>43678</v>
      </c>
      <c r="C231" s="83">
        <f>COUNTIFS(tblVideos[Day],"&gt;="&amp;$B231,tblVideos[Day],"&lt;"&amp;EDATE($B231,1),tblVideos[Channel ID],Channels!$E$6)</f>
        <v/>
      </c>
      <c r="D231" s="83">
        <f>COUNTIFS(tblVideos[Day],"&gt;="&amp;$B231,tblVideos[Day],"&lt;"&amp;EDATE($B231,1),tblVideos[Channel ID],Channels!$E$7)</f>
        <v/>
      </c>
      <c r="E231" s="83">
        <f>COUNTIFS(tblVideos[Day],"&gt;="&amp;$B231,tblVideos[Day],"&lt;"&amp;EDATE($B231,1),tblVideos[Channel ID],Channels!$E$8)</f>
        <v/>
      </c>
      <c r="F231" s="83">
        <f>COUNTIFS(tblVideos[Day],"&gt;="&amp;$B231,tblVideos[Day],"&lt;"&amp;EDATE($B231,1),tblVideos[Channel ID],Channels!$E$9)</f>
        <v/>
      </c>
      <c r="G231" s="83">
        <f>COUNTIFS(tblVideos[Day],"&gt;="&amp;$B231,tblVideos[Day],"&lt;"&amp;EDATE($B231,1),tblVideos[Channel ID],Channels!$E$10)</f>
        <v/>
      </c>
      <c r="H231" s="83">
        <f>COUNTIFS(tblVideos[Day],"&gt;="&amp;$B231,tblVideos[Day],"&lt;"&amp;EDATE($B231,1),tblVideos[Channel ID],Channels!$E$11)</f>
        <v/>
      </c>
      <c r="I231" s="91">
        <f>SUM(C231:H231)</f>
        <v/>
      </c>
      <c r="J231" s="92">
        <f>SUMIFS(tblVideos[Length],tblVideos[Day],"&gt;="&amp;$B231,tblVideos[Day],"&lt;"&amp;EDATE($B231,1))</f>
        <v/>
      </c>
      <c r="K231" s="83">
        <f>COUNTIFS(tblVideos[Watched On],"&gt;="&amp;$B231,tblVideos[Watched On],"&lt;"&amp;EDATE($B231,1),tblVideos[Status],"Watched")</f>
        <v/>
      </c>
      <c r="L231" s="92">
        <f>SUMIFS(tblVideos[Length],tblVideos[Watched On],"&gt;="&amp;$B231,tblVideos[Watched On],"&lt;"&amp;EDATE($B231,1),tblVideos[Status],"Watched")</f>
        <v/>
      </c>
      <c r="M231" s="94">
        <f>IF(I231=0,"Gap",IF(I231&gt;AVERAGE($I$144:$I$317)+2*STDEV($I$144:$I$317),"High",""))</f>
        <v/>
      </c>
    </row>
    <row r="232">
      <c r="B232" s="93" t="n">
        <v>43709</v>
      </c>
      <c r="C232" s="83">
        <f>COUNTIFS(tblVideos[Day],"&gt;="&amp;$B232,tblVideos[Day],"&lt;"&amp;EDATE($B232,1),tblVideos[Channel ID],Channels!$E$6)</f>
        <v/>
      </c>
      <c r="D232" s="83">
        <f>COUNTIFS(tblVideos[Day],"&gt;="&amp;$B232,tblVideos[Day],"&lt;"&amp;EDATE($B232,1),tblVideos[Channel ID],Channels!$E$7)</f>
        <v/>
      </c>
      <c r="E232" s="83">
        <f>COUNTIFS(tblVideos[Day],"&gt;="&amp;$B232,tblVideos[Day],"&lt;"&amp;EDATE($B232,1),tblVideos[Channel ID],Channels!$E$8)</f>
        <v/>
      </c>
      <c r="F232" s="83">
        <f>COUNTIFS(tblVideos[Day],"&gt;="&amp;$B232,tblVideos[Day],"&lt;"&amp;EDATE($B232,1),tblVideos[Channel ID],Channels!$E$9)</f>
        <v/>
      </c>
      <c r="G232" s="83">
        <f>COUNTIFS(tblVideos[Day],"&gt;="&amp;$B232,tblVideos[Day],"&lt;"&amp;EDATE($B232,1),tblVideos[Channel ID],Channels!$E$10)</f>
        <v/>
      </c>
      <c r="H232" s="83">
        <f>COUNTIFS(tblVideos[Day],"&gt;="&amp;$B232,tblVideos[Day],"&lt;"&amp;EDATE($B232,1),tblVideos[Channel ID],Channels!$E$11)</f>
        <v/>
      </c>
      <c r="I232" s="91">
        <f>SUM(C232:H232)</f>
        <v/>
      </c>
      <c r="J232" s="92">
        <f>SUMIFS(tblVideos[Length],tblVideos[Day],"&gt;="&amp;$B232,tblVideos[Day],"&lt;"&amp;EDATE($B232,1))</f>
        <v/>
      </c>
      <c r="K232" s="83">
        <f>COUNTIFS(tblVideos[Watched On],"&gt;="&amp;$B232,tblVideos[Watched On],"&lt;"&amp;EDATE($B232,1),tblVideos[Status],"Watched")</f>
        <v/>
      </c>
      <c r="L232" s="92">
        <f>SUMIFS(tblVideos[Length],tblVideos[Watched On],"&gt;="&amp;$B232,tblVideos[Watched On],"&lt;"&amp;EDATE($B232,1),tblVideos[Status],"Watched")</f>
        <v/>
      </c>
      <c r="M232" s="94">
        <f>IF(I232=0,"Gap",IF(I232&gt;AVERAGE($I$144:$I$317)+2*STDEV($I$144:$I$317),"High",""))</f>
        <v/>
      </c>
    </row>
    <row r="233">
      <c r="B233" s="93" t="n">
        <v>43739</v>
      </c>
      <c r="C233" s="83">
        <f>COUNTIFS(tblVideos[Day],"&gt;="&amp;$B233,tblVideos[Day],"&lt;"&amp;EDATE($B233,1),tblVideos[Channel ID],Channels!$E$6)</f>
        <v/>
      </c>
      <c r="D233" s="83">
        <f>COUNTIFS(tblVideos[Day],"&gt;="&amp;$B233,tblVideos[Day],"&lt;"&amp;EDATE($B233,1),tblVideos[Channel ID],Channels!$E$7)</f>
        <v/>
      </c>
      <c r="E233" s="83">
        <f>COUNTIFS(tblVideos[Day],"&gt;="&amp;$B233,tblVideos[Day],"&lt;"&amp;EDATE($B233,1),tblVideos[Channel ID],Channels!$E$8)</f>
        <v/>
      </c>
      <c r="F233" s="83">
        <f>COUNTIFS(tblVideos[Day],"&gt;="&amp;$B233,tblVideos[Day],"&lt;"&amp;EDATE($B233,1),tblVideos[Channel ID],Channels!$E$9)</f>
        <v/>
      </c>
      <c r="G233" s="83">
        <f>COUNTIFS(tblVideos[Day],"&gt;="&amp;$B233,tblVideos[Day],"&lt;"&amp;EDATE($B233,1),tblVideos[Channel ID],Channels!$E$10)</f>
        <v/>
      </c>
      <c r="H233" s="83">
        <f>COUNTIFS(tblVideos[Day],"&gt;="&amp;$B233,tblVideos[Day],"&lt;"&amp;EDATE($B233,1),tblVideos[Channel ID],Channels!$E$11)</f>
        <v/>
      </c>
      <c r="I233" s="91">
        <f>SUM(C233:H233)</f>
        <v/>
      </c>
      <c r="J233" s="92">
        <f>SUMIFS(tblVideos[Length],tblVideos[Day],"&gt;="&amp;$B233,tblVideos[Day],"&lt;"&amp;EDATE($B233,1))</f>
        <v/>
      </c>
      <c r="K233" s="83">
        <f>COUNTIFS(tblVideos[Watched On],"&gt;="&amp;$B233,tblVideos[Watched On],"&lt;"&amp;EDATE($B233,1),tblVideos[Status],"Watched")</f>
        <v/>
      </c>
      <c r="L233" s="92">
        <f>SUMIFS(tblVideos[Length],tblVideos[Watched On],"&gt;="&amp;$B233,tblVideos[Watched On],"&lt;"&amp;EDATE($B233,1),tblVideos[Status],"Watched")</f>
        <v/>
      </c>
      <c r="M233" s="94">
        <f>IF(I233=0,"Gap",IF(I233&gt;AVERAGE($I$144:$I$317)+2*STDEV($I$144:$I$317),"High",""))</f>
        <v/>
      </c>
    </row>
    <row r="234">
      <c r="B234" s="93" t="n">
        <v>43770</v>
      </c>
      <c r="C234" s="83">
        <f>COUNTIFS(tblVideos[Day],"&gt;="&amp;$B234,tblVideos[Day],"&lt;"&amp;EDATE($B234,1),tblVideos[Channel ID],Channels!$E$6)</f>
        <v/>
      </c>
      <c r="D234" s="83">
        <f>COUNTIFS(tblVideos[Day],"&gt;="&amp;$B234,tblVideos[Day],"&lt;"&amp;EDATE($B234,1),tblVideos[Channel ID],Channels!$E$7)</f>
        <v/>
      </c>
      <c r="E234" s="83">
        <f>COUNTIFS(tblVideos[Day],"&gt;="&amp;$B234,tblVideos[Day],"&lt;"&amp;EDATE($B234,1),tblVideos[Channel ID],Channels!$E$8)</f>
        <v/>
      </c>
      <c r="F234" s="83">
        <f>COUNTIFS(tblVideos[Day],"&gt;="&amp;$B234,tblVideos[Day],"&lt;"&amp;EDATE($B234,1),tblVideos[Channel ID],Channels!$E$9)</f>
        <v/>
      </c>
      <c r="G234" s="83">
        <f>COUNTIFS(tblVideos[Day],"&gt;="&amp;$B234,tblVideos[Day],"&lt;"&amp;EDATE($B234,1),tblVideos[Channel ID],Channels!$E$10)</f>
        <v/>
      </c>
      <c r="H234" s="83">
        <f>COUNTIFS(tblVideos[Day],"&gt;="&amp;$B234,tblVideos[Day],"&lt;"&amp;EDATE($B234,1),tblVideos[Channel ID],Channels!$E$11)</f>
        <v/>
      </c>
      <c r="I234" s="91">
        <f>SUM(C234:H234)</f>
        <v/>
      </c>
      <c r="J234" s="92">
        <f>SUMIFS(tblVideos[Length],tblVideos[Day],"&gt;="&amp;$B234,tblVideos[Day],"&lt;"&amp;EDATE($B234,1))</f>
        <v/>
      </c>
      <c r="K234" s="83">
        <f>COUNTIFS(tblVideos[Watched On],"&gt;="&amp;$B234,tblVideos[Watched On],"&lt;"&amp;EDATE($B234,1),tblVideos[Status],"Watched")</f>
        <v/>
      </c>
      <c r="L234" s="92">
        <f>SUMIFS(tblVideos[Length],tblVideos[Watched On],"&gt;="&amp;$B234,tblVideos[Watched On],"&lt;"&amp;EDATE($B234,1),tblVideos[Status],"Watched")</f>
        <v/>
      </c>
      <c r="M234" s="94">
        <f>IF(I234=0,"Gap",IF(I234&gt;AVERAGE($I$144:$I$317)+2*STDEV($I$144:$I$317),"High",""))</f>
        <v/>
      </c>
    </row>
    <row r="235">
      <c r="B235" s="93" t="n">
        <v>43800</v>
      </c>
      <c r="C235" s="83">
        <f>COUNTIFS(tblVideos[Day],"&gt;="&amp;$B235,tblVideos[Day],"&lt;"&amp;EDATE($B235,1),tblVideos[Channel ID],Channels!$E$6)</f>
        <v/>
      </c>
      <c r="D235" s="83">
        <f>COUNTIFS(tblVideos[Day],"&gt;="&amp;$B235,tblVideos[Day],"&lt;"&amp;EDATE($B235,1),tblVideos[Channel ID],Channels!$E$7)</f>
        <v/>
      </c>
      <c r="E235" s="83">
        <f>COUNTIFS(tblVideos[Day],"&gt;="&amp;$B235,tblVideos[Day],"&lt;"&amp;EDATE($B235,1),tblVideos[Channel ID],Channels!$E$8)</f>
        <v/>
      </c>
      <c r="F235" s="83">
        <f>COUNTIFS(tblVideos[Day],"&gt;="&amp;$B235,tblVideos[Day],"&lt;"&amp;EDATE($B235,1),tblVideos[Channel ID],Channels!$E$9)</f>
        <v/>
      </c>
      <c r="G235" s="83">
        <f>COUNTIFS(tblVideos[Day],"&gt;="&amp;$B235,tblVideos[Day],"&lt;"&amp;EDATE($B235,1),tblVideos[Channel ID],Channels!$E$10)</f>
        <v/>
      </c>
      <c r="H235" s="83">
        <f>COUNTIFS(tblVideos[Day],"&gt;="&amp;$B235,tblVideos[Day],"&lt;"&amp;EDATE($B235,1),tblVideos[Channel ID],Channels!$E$11)</f>
        <v/>
      </c>
      <c r="I235" s="91">
        <f>SUM(C235:H235)</f>
        <v/>
      </c>
      <c r="J235" s="92">
        <f>SUMIFS(tblVideos[Length],tblVideos[Day],"&gt;="&amp;$B235,tblVideos[Day],"&lt;"&amp;EDATE($B235,1))</f>
        <v/>
      </c>
      <c r="K235" s="83">
        <f>COUNTIFS(tblVideos[Watched On],"&gt;="&amp;$B235,tblVideos[Watched On],"&lt;"&amp;EDATE($B235,1),tblVideos[Status],"Watched")</f>
        <v/>
      </c>
      <c r="L235" s="92">
        <f>SUMIFS(tblVideos[Length],tblVideos[Watched On],"&gt;="&amp;$B235,tblVideos[Watched On],"&lt;"&amp;EDATE($B235,1),tblVideos[Status],"Watched")</f>
        <v/>
      </c>
      <c r="M235" s="94">
        <f>IF(I235=0,"Gap",IF(I235&gt;AVERAGE($I$144:$I$317)+2*STDEV($I$144:$I$317),"High",""))</f>
        <v/>
      </c>
    </row>
    <row r="236">
      <c r="B236" s="93" t="n">
        <v>43831</v>
      </c>
      <c r="C236" s="83">
        <f>COUNTIFS(tblVideos[Day],"&gt;="&amp;$B236,tblVideos[Day],"&lt;"&amp;EDATE($B236,1),tblVideos[Channel ID],Channels!$E$6)</f>
        <v/>
      </c>
      <c r="D236" s="83">
        <f>COUNTIFS(tblVideos[Day],"&gt;="&amp;$B236,tblVideos[Day],"&lt;"&amp;EDATE($B236,1),tblVideos[Channel ID],Channels!$E$7)</f>
        <v/>
      </c>
      <c r="E236" s="83">
        <f>COUNTIFS(tblVideos[Day],"&gt;="&amp;$B236,tblVideos[Day],"&lt;"&amp;EDATE($B236,1),tblVideos[Channel ID],Channels!$E$8)</f>
        <v/>
      </c>
      <c r="F236" s="83">
        <f>COUNTIFS(tblVideos[Day],"&gt;="&amp;$B236,tblVideos[Day],"&lt;"&amp;EDATE($B236,1),tblVideos[Channel ID],Channels!$E$9)</f>
        <v/>
      </c>
      <c r="G236" s="83">
        <f>COUNTIFS(tblVideos[Day],"&gt;="&amp;$B236,tblVideos[Day],"&lt;"&amp;EDATE($B236,1),tblVideos[Channel ID],Channels!$E$10)</f>
        <v/>
      </c>
      <c r="H236" s="83">
        <f>COUNTIFS(tblVideos[Day],"&gt;="&amp;$B236,tblVideos[Day],"&lt;"&amp;EDATE($B236,1),tblVideos[Channel ID],Channels!$E$11)</f>
        <v/>
      </c>
      <c r="I236" s="91">
        <f>SUM(C236:H236)</f>
        <v/>
      </c>
      <c r="J236" s="92">
        <f>SUMIFS(tblVideos[Length],tblVideos[Day],"&gt;="&amp;$B236,tblVideos[Day],"&lt;"&amp;EDATE($B236,1))</f>
        <v/>
      </c>
      <c r="K236" s="83">
        <f>COUNTIFS(tblVideos[Watched On],"&gt;="&amp;$B236,tblVideos[Watched On],"&lt;"&amp;EDATE($B236,1),tblVideos[Status],"Watched")</f>
        <v/>
      </c>
      <c r="L236" s="92">
        <f>SUMIFS(tblVideos[Length],tblVideos[Watched On],"&gt;="&amp;$B236,tblVideos[Watched On],"&lt;"&amp;EDATE($B236,1),tblVideos[Status],"Watched")</f>
        <v/>
      </c>
      <c r="M236" s="94">
        <f>IF(I236=0,"Gap",IF(I236&gt;AVERAGE($I$144:$I$317)+2*STDEV($I$144:$I$317),"High",""))</f>
        <v/>
      </c>
    </row>
    <row r="237">
      <c r="B237" s="93" t="n">
        <v>43862</v>
      </c>
      <c r="C237" s="83">
        <f>COUNTIFS(tblVideos[Day],"&gt;="&amp;$B237,tblVideos[Day],"&lt;"&amp;EDATE($B237,1),tblVideos[Channel ID],Channels!$E$6)</f>
        <v/>
      </c>
      <c r="D237" s="83">
        <f>COUNTIFS(tblVideos[Day],"&gt;="&amp;$B237,tblVideos[Day],"&lt;"&amp;EDATE($B237,1),tblVideos[Channel ID],Channels!$E$7)</f>
        <v/>
      </c>
      <c r="E237" s="83">
        <f>COUNTIFS(tblVideos[Day],"&gt;="&amp;$B237,tblVideos[Day],"&lt;"&amp;EDATE($B237,1),tblVideos[Channel ID],Channels!$E$8)</f>
        <v/>
      </c>
      <c r="F237" s="83">
        <f>COUNTIFS(tblVideos[Day],"&gt;="&amp;$B237,tblVideos[Day],"&lt;"&amp;EDATE($B237,1),tblVideos[Channel ID],Channels!$E$9)</f>
        <v/>
      </c>
      <c r="G237" s="83">
        <f>COUNTIFS(tblVideos[Day],"&gt;="&amp;$B237,tblVideos[Day],"&lt;"&amp;EDATE($B237,1),tblVideos[Channel ID],Channels!$E$10)</f>
        <v/>
      </c>
      <c r="H237" s="83">
        <f>COUNTIFS(tblVideos[Day],"&gt;="&amp;$B237,tblVideos[Day],"&lt;"&amp;EDATE($B237,1),tblVideos[Channel ID],Channels!$E$11)</f>
        <v/>
      </c>
      <c r="I237" s="91">
        <f>SUM(C237:H237)</f>
        <v/>
      </c>
      <c r="J237" s="92">
        <f>SUMIFS(tblVideos[Length],tblVideos[Day],"&gt;="&amp;$B237,tblVideos[Day],"&lt;"&amp;EDATE($B237,1))</f>
        <v/>
      </c>
      <c r="K237" s="83">
        <f>COUNTIFS(tblVideos[Watched On],"&gt;="&amp;$B237,tblVideos[Watched On],"&lt;"&amp;EDATE($B237,1),tblVideos[Status],"Watched")</f>
        <v/>
      </c>
      <c r="L237" s="92">
        <f>SUMIFS(tblVideos[Length],tblVideos[Watched On],"&gt;="&amp;$B237,tblVideos[Watched On],"&lt;"&amp;EDATE($B237,1),tblVideos[Status],"Watched")</f>
        <v/>
      </c>
      <c r="M237" s="94">
        <f>IF(I237=0,"Gap",IF(I237&gt;AVERAGE($I$144:$I$317)+2*STDEV($I$144:$I$317),"High",""))</f>
        <v/>
      </c>
    </row>
    <row r="238">
      <c r="B238" s="93" t="n">
        <v>43891</v>
      </c>
      <c r="C238" s="83">
        <f>COUNTIFS(tblVideos[Day],"&gt;="&amp;$B238,tblVideos[Day],"&lt;"&amp;EDATE($B238,1),tblVideos[Channel ID],Channels!$E$6)</f>
        <v/>
      </c>
      <c r="D238" s="83">
        <f>COUNTIFS(tblVideos[Day],"&gt;="&amp;$B238,tblVideos[Day],"&lt;"&amp;EDATE($B238,1),tblVideos[Channel ID],Channels!$E$7)</f>
        <v/>
      </c>
      <c r="E238" s="83">
        <f>COUNTIFS(tblVideos[Day],"&gt;="&amp;$B238,tblVideos[Day],"&lt;"&amp;EDATE($B238,1),tblVideos[Channel ID],Channels!$E$8)</f>
        <v/>
      </c>
      <c r="F238" s="83">
        <f>COUNTIFS(tblVideos[Day],"&gt;="&amp;$B238,tblVideos[Day],"&lt;"&amp;EDATE($B238,1),tblVideos[Channel ID],Channels!$E$9)</f>
        <v/>
      </c>
      <c r="G238" s="83">
        <f>COUNTIFS(tblVideos[Day],"&gt;="&amp;$B238,tblVideos[Day],"&lt;"&amp;EDATE($B238,1),tblVideos[Channel ID],Channels!$E$10)</f>
        <v/>
      </c>
      <c r="H238" s="83">
        <f>COUNTIFS(tblVideos[Day],"&gt;="&amp;$B238,tblVideos[Day],"&lt;"&amp;EDATE($B238,1),tblVideos[Channel ID],Channels!$E$11)</f>
        <v/>
      </c>
      <c r="I238" s="91">
        <f>SUM(C238:H238)</f>
        <v/>
      </c>
      <c r="J238" s="92">
        <f>SUMIFS(tblVideos[Length],tblVideos[Day],"&gt;="&amp;$B238,tblVideos[Day],"&lt;"&amp;EDATE($B238,1))</f>
        <v/>
      </c>
      <c r="K238" s="83">
        <f>COUNTIFS(tblVideos[Watched On],"&gt;="&amp;$B238,tblVideos[Watched On],"&lt;"&amp;EDATE($B238,1),tblVideos[Status],"Watched")</f>
        <v/>
      </c>
      <c r="L238" s="92">
        <f>SUMIFS(tblVideos[Length],tblVideos[Watched On],"&gt;="&amp;$B238,tblVideos[Watched On],"&lt;"&amp;EDATE($B238,1),tblVideos[Status],"Watched")</f>
        <v/>
      </c>
      <c r="M238" s="94">
        <f>IF(I238=0,"Gap",IF(I238&gt;AVERAGE($I$144:$I$317)+2*STDEV($I$144:$I$317),"High",""))</f>
        <v/>
      </c>
    </row>
    <row r="239">
      <c r="B239" s="93" t="n">
        <v>43922</v>
      </c>
      <c r="C239" s="83">
        <f>COUNTIFS(tblVideos[Day],"&gt;="&amp;$B239,tblVideos[Day],"&lt;"&amp;EDATE($B239,1),tblVideos[Channel ID],Channels!$E$6)</f>
        <v/>
      </c>
      <c r="D239" s="83">
        <f>COUNTIFS(tblVideos[Day],"&gt;="&amp;$B239,tblVideos[Day],"&lt;"&amp;EDATE($B239,1),tblVideos[Channel ID],Channels!$E$7)</f>
        <v/>
      </c>
      <c r="E239" s="83">
        <f>COUNTIFS(tblVideos[Day],"&gt;="&amp;$B239,tblVideos[Day],"&lt;"&amp;EDATE($B239,1),tblVideos[Channel ID],Channels!$E$8)</f>
        <v/>
      </c>
      <c r="F239" s="83">
        <f>COUNTIFS(tblVideos[Day],"&gt;="&amp;$B239,tblVideos[Day],"&lt;"&amp;EDATE($B239,1),tblVideos[Channel ID],Channels!$E$9)</f>
        <v/>
      </c>
      <c r="G239" s="83">
        <f>COUNTIFS(tblVideos[Day],"&gt;="&amp;$B239,tblVideos[Day],"&lt;"&amp;EDATE($B239,1),tblVideos[Channel ID],Channels!$E$10)</f>
        <v/>
      </c>
      <c r="H239" s="83">
        <f>COUNTIFS(tblVideos[Day],"&gt;="&amp;$B239,tblVideos[Day],"&lt;"&amp;EDATE($B239,1),tblVideos[Channel ID],Channels!$E$11)</f>
        <v/>
      </c>
      <c r="I239" s="91">
        <f>SUM(C239:H239)</f>
        <v/>
      </c>
      <c r="J239" s="92">
        <f>SUMIFS(tblVideos[Length],tblVideos[Day],"&gt;="&amp;$B239,tblVideos[Day],"&lt;"&amp;EDATE($B239,1))</f>
        <v/>
      </c>
      <c r="K239" s="83">
        <f>COUNTIFS(tblVideos[Watched On],"&gt;="&amp;$B239,tblVideos[Watched On],"&lt;"&amp;EDATE($B239,1),tblVideos[Status],"Watched")</f>
        <v/>
      </c>
      <c r="L239" s="92">
        <f>SUMIFS(tblVideos[Length],tblVideos[Watched On],"&gt;="&amp;$B239,tblVideos[Watched On],"&lt;"&amp;EDATE($B239,1),tblVideos[Status],"Watched")</f>
        <v/>
      </c>
      <c r="M239" s="94">
        <f>IF(I239=0,"Gap",IF(I239&gt;AVERAGE($I$144:$I$317)+2*STDEV($I$144:$I$317),"High",""))</f>
        <v/>
      </c>
    </row>
    <row r="240">
      <c r="B240" s="93" t="n">
        <v>43952</v>
      </c>
      <c r="C240" s="83">
        <f>COUNTIFS(tblVideos[Day],"&gt;="&amp;$B240,tblVideos[Day],"&lt;"&amp;EDATE($B240,1),tblVideos[Channel ID],Channels!$E$6)</f>
        <v/>
      </c>
      <c r="D240" s="83">
        <f>COUNTIFS(tblVideos[Day],"&gt;="&amp;$B240,tblVideos[Day],"&lt;"&amp;EDATE($B240,1),tblVideos[Channel ID],Channels!$E$7)</f>
        <v/>
      </c>
      <c r="E240" s="83">
        <f>COUNTIFS(tblVideos[Day],"&gt;="&amp;$B240,tblVideos[Day],"&lt;"&amp;EDATE($B240,1),tblVideos[Channel ID],Channels!$E$8)</f>
        <v/>
      </c>
      <c r="F240" s="83">
        <f>COUNTIFS(tblVideos[Day],"&gt;="&amp;$B240,tblVideos[Day],"&lt;"&amp;EDATE($B240,1),tblVideos[Channel ID],Channels!$E$9)</f>
        <v/>
      </c>
      <c r="G240" s="83">
        <f>COUNTIFS(tblVideos[Day],"&gt;="&amp;$B240,tblVideos[Day],"&lt;"&amp;EDATE($B240,1),tblVideos[Channel ID],Channels!$E$10)</f>
        <v/>
      </c>
      <c r="H240" s="83">
        <f>COUNTIFS(tblVideos[Day],"&gt;="&amp;$B240,tblVideos[Day],"&lt;"&amp;EDATE($B240,1),tblVideos[Channel ID],Channels!$E$11)</f>
        <v/>
      </c>
      <c r="I240" s="91">
        <f>SUM(C240:H240)</f>
        <v/>
      </c>
      <c r="J240" s="92">
        <f>SUMIFS(tblVideos[Length],tblVideos[Day],"&gt;="&amp;$B240,tblVideos[Day],"&lt;"&amp;EDATE($B240,1))</f>
        <v/>
      </c>
      <c r="K240" s="83">
        <f>COUNTIFS(tblVideos[Watched On],"&gt;="&amp;$B240,tblVideos[Watched On],"&lt;"&amp;EDATE($B240,1),tblVideos[Status],"Watched")</f>
        <v/>
      </c>
      <c r="L240" s="92">
        <f>SUMIFS(tblVideos[Length],tblVideos[Watched On],"&gt;="&amp;$B240,tblVideos[Watched On],"&lt;"&amp;EDATE($B240,1),tblVideos[Status],"Watched")</f>
        <v/>
      </c>
      <c r="M240" s="94">
        <f>IF(I240=0,"Gap",IF(I240&gt;AVERAGE($I$144:$I$317)+2*STDEV($I$144:$I$317),"High",""))</f>
        <v/>
      </c>
    </row>
    <row r="241">
      <c r="B241" s="93" t="n">
        <v>43983</v>
      </c>
      <c r="C241" s="83">
        <f>COUNTIFS(tblVideos[Day],"&gt;="&amp;$B241,tblVideos[Day],"&lt;"&amp;EDATE($B241,1),tblVideos[Channel ID],Channels!$E$6)</f>
        <v/>
      </c>
      <c r="D241" s="83">
        <f>COUNTIFS(tblVideos[Day],"&gt;="&amp;$B241,tblVideos[Day],"&lt;"&amp;EDATE($B241,1),tblVideos[Channel ID],Channels!$E$7)</f>
        <v/>
      </c>
      <c r="E241" s="83">
        <f>COUNTIFS(tblVideos[Day],"&gt;="&amp;$B241,tblVideos[Day],"&lt;"&amp;EDATE($B241,1),tblVideos[Channel ID],Channels!$E$8)</f>
        <v/>
      </c>
      <c r="F241" s="83">
        <f>COUNTIFS(tblVideos[Day],"&gt;="&amp;$B241,tblVideos[Day],"&lt;"&amp;EDATE($B241,1),tblVideos[Channel ID],Channels!$E$9)</f>
        <v/>
      </c>
      <c r="G241" s="83">
        <f>COUNTIFS(tblVideos[Day],"&gt;="&amp;$B241,tblVideos[Day],"&lt;"&amp;EDATE($B241,1),tblVideos[Channel ID],Channels!$E$10)</f>
        <v/>
      </c>
      <c r="H241" s="83">
        <f>COUNTIFS(tblVideos[Day],"&gt;="&amp;$B241,tblVideos[Day],"&lt;"&amp;EDATE($B241,1),tblVideos[Channel ID],Channels!$E$11)</f>
        <v/>
      </c>
      <c r="I241" s="91">
        <f>SUM(C241:H241)</f>
        <v/>
      </c>
      <c r="J241" s="92">
        <f>SUMIFS(tblVideos[Length],tblVideos[Day],"&gt;="&amp;$B241,tblVideos[Day],"&lt;"&amp;EDATE($B241,1))</f>
        <v/>
      </c>
      <c r="K241" s="83">
        <f>COUNTIFS(tblVideos[Watched On],"&gt;="&amp;$B241,tblVideos[Watched On],"&lt;"&amp;EDATE($B241,1),tblVideos[Status],"Watched")</f>
        <v/>
      </c>
      <c r="L241" s="92">
        <f>SUMIFS(tblVideos[Length],tblVideos[Watched On],"&gt;="&amp;$B241,tblVideos[Watched On],"&lt;"&amp;EDATE($B241,1),tblVideos[Status],"Watched")</f>
        <v/>
      </c>
      <c r="M241" s="94">
        <f>IF(I241=0,"Gap",IF(I241&gt;AVERAGE($I$144:$I$317)+2*STDEV($I$144:$I$317),"High",""))</f>
        <v/>
      </c>
    </row>
    <row r="242">
      <c r="B242" s="93" t="n">
        <v>44013</v>
      </c>
      <c r="C242" s="83">
        <f>COUNTIFS(tblVideos[Day],"&gt;="&amp;$B242,tblVideos[Day],"&lt;"&amp;EDATE($B242,1),tblVideos[Channel ID],Channels!$E$6)</f>
        <v/>
      </c>
      <c r="D242" s="83">
        <f>COUNTIFS(tblVideos[Day],"&gt;="&amp;$B242,tblVideos[Day],"&lt;"&amp;EDATE($B242,1),tblVideos[Channel ID],Channels!$E$7)</f>
        <v/>
      </c>
      <c r="E242" s="83">
        <f>COUNTIFS(tblVideos[Day],"&gt;="&amp;$B242,tblVideos[Day],"&lt;"&amp;EDATE($B242,1),tblVideos[Channel ID],Channels!$E$8)</f>
        <v/>
      </c>
      <c r="F242" s="83">
        <f>COUNTIFS(tblVideos[Day],"&gt;="&amp;$B242,tblVideos[Day],"&lt;"&amp;EDATE($B242,1),tblVideos[Channel ID],Channels!$E$9)</f>
        <v/>
      </c>
      <c r="G242" s="83">
        <f>COUNTIFS(tblVideos[Day],"&gt;="&amp;$B242,tblVideos[Day],"&lt;"&amp;EDATE($B242,1),tblVideos[Channel ID],Channels!$E$10)</f>
        <v/>
      </c>
      <c r="H242" s="83">
        <f>COUNTIFS(tblVideos[Day],"&gt;="&amp;$B242,tblVideos[Day],"&lt;"&amp;EDATE($B242,1),tblVideos[Channel ID],Channels!$E$11)</f>
        <v/>
      </c>
      <c r="I242" s="91">
        <f>SUM(C242:H242)</f>
        <v/>
      </c>
      <c r="J242" s="92">
        <f>SUMIFS(tblVideos[Length],tblVideos[Day],"&gt;="&amp;$B242,tblVideos[Day],"&lt;"&amp;EDATE($B242,1))</f>
        <v/>
      </c>
      <c r="K242" s="83">
        <f>COUNTIFS(tblVideos[Watched On],"&gt;="&amp;$B242,tblVideos[Watched On],"&lt;"&amp;EDATE($B242,1),tblVideos[Status],"Watched")</f>
        <v/>
      </c>
      <c r="L242" s="92">
        <f>SUMIFS(tblVideos[Length],tblVideos[Watched On],"&gt;="&amp;$B242,tblVideos[Watched On],"&lt;"&amp;EDATE($B242,1),tblVideos[Status],"Watched")</f>
        <v/>
      </c>
      <c r="M242" s="94">
        <f>IF(I242=0,"Gap",IF(I242&gt;AVERAGE($I$144:$I$317)+2*STDEV($I$144:$I$317),"High",""))</f>
        <v/>
      </c>
    </row>
    <row r="243">
      <c r="B243" s="93" t="n">
        <v>44044</v>
      </c>
      <c r="C243" s="83">
        <f>COUNTIFS(tblVideos[Day],"&gt;="&amp;$B243,tblVideos[Day],"&lt;"&amp;EDATE($B243,1),tblVideos[Channel ID],Channels!$E$6)</f>
        <v/>
      </c>
      <c r="D243" s="83">
        <f>COUNTIFS(tblVideos[Day],"&gt;="&amp;$B243,tblVideos[Day],"&lt;"&amp;EDATE($B243,1),tblVideos[Channel ID],Channels!$E$7)</f>
        <v/>
      </c>
      <c r="E243" s="83">
        <f>COUNTIFS(tblVideos[Day],"&gt;="&amp;$B243,tblVideos[Day],"&lt;"&amp;EDATE($B243,1),tblVideos[Channel ID],Channels!$E$8)</f>
        <v/>
      </c>
      <c r="F243" s="83">
        <f>COUNTIFS(tblVideos[Day],"&gt;="&amp;$B243,tblVideos[Day],"&lt;"&amp;EDATE($B243,1),tblVideos[Channel ID],Channels!$E$9)</f>
        <v/>
      </c>
      <c r="G243" s="83">
        <f>COUNTIFS(tblVideos[Day],"&gt;="&amp;$B243,tblVideos[Day],"&lt;"&amp;EDATE($B243,1),tblVideos[Channel ID],Channels!$E$10)</f>
        <v/>
      </c>
      <c r="H243" s="83">
        <f>COUNTIFS(tblVideos[Day],"&gt;="&amp;$B243,tblVideos[Day],"&lt;"&amp;EDATE($B243,1),tblVideos[Channel ID],Channels!$E$11)</f>
        <v/>
      </c>
      <c r="I243" s="91">
        <f>SUM(C243:H243)</f>
        <v/>
      </c>
      <c r="J243" s="92">
        <f>SUMIFS(tblVideos[Length],tblVideos[Day],"&gt;="&amp;$B243,tblVideos[Day],"&lt;"&amp;EDATE($B243,1))</f>
        <v/>
      </c>
      <c r="K243" s="83">
        <f>COUNTIFS(tblVideos[Watched On],"&gt;="&amp;$B243,tblVideos[Watched On],"&lt;"&amp;EDATE($B243,1),tblVideos[Status],"Watched")</f>
        <v/>
      </c>
      <c r="L243" s="92">
        <f>SUMIFS(tblVideos[Length],tblVideos[Watched On],"&gt;="&amp;$B243,tblVideos[Watched On],"&lt;"&amp;EDATE($B243,1),tblVideos[Status],"Watched")</f>
        <v/>
      </c>
      <c r="M243" s="94">
        <f>IF(I243=0,"Gap",IF(I243&gt;AVERAGE($I$144:$I$317)+2*STDEV($I$144:$I$317),"High",""))</f>
        <v/>
      </c>
    </row>
    <row r="244">
      <c r="B244" s="93" t="n">
        <v>44075</v>
      </c>
      <c r="C244" s="83">
        <f>COUNTIFS(tblVideos[Day],"&gt;="&amp;$B244,tblVideos[Day],"&lt;"&amp;EDATE($B244,1),tblVideos[Channel ID],Channels!$E$6)</f>
        <v/>
      </c>
      <c r="D244" s="83">
        <f>COUNTIFS(tblVideos[Day],"&gt;="&amp;$B244,tblVideos[Day],"&lt;"&amp;EDATE($B244,1),tblVideos[Channel ID],Channels!$E$7)</f>
        <v/>
      </c>
      <c r="E244" s="83">
        <f>COUNTIFS(tblVideos[Day],"&gt;="&amp;$B244,tblVideos[Day],"&lt;"&amp;EDATE($B244,1),tblVideos[Channel ID],Channels!$E$8)</f>
        <v/>
      </c>
      <c r="F244" s="83">
        <f>COUNTIFS(tblVideos[Day],"&gt;="&amp;$B244,tblVideos[Day],"&lt;"&amp;EDATE($B244,1),tblVideos[Channel ID],Channels!$E$9)</f>
        <v/>
      </c>
      <c r="G244" s="83">
        <f>COUNTIFS(tblVideos[Day],"&gt;="&amp;$B244,tblVideos[Day],"&lt;"&amp;EDATE($B244,1),tblVideos[Channel ID],Channels!$E$10)</f>
        <v/>
      </c>
      <c r="H244" s="83">
        <f>COUNTIFS(tblVideos[Day],"&gt;="&amp;$B244,tblVideos[Day],"&lt;"&amp;EDATE($B244,1),tblVideos[Channel ID],Channels!$E$11)</f>
        <v/>
      </c>
      <c r="I244" s="91">
        <f>SUM(C244:H244)</f>
        <v/>
      </c>
      <c r="J244" s="92">
        <f>SUMIFS(tblVideos[Length],tblVideos[Day],"&gt;="&amp;$B244,tblVideos[Day],"&lt;"&amp;EDATE($B244,1))</f>
        <v/>
      </c>
      <c r="K244" s="83">
        <f>COUNTIFS(tblVideos[Watched On],"&gt;="&amp;$B244,tblVideos[Watched On],"&lt;"&amp;EDATE($B244,1),tblVideos[Status],"Watched")</f>
        <v/>
      </c>
      <c r="L244" s="92">
        <f>SUMIFS(tblVideos[Length],tblVideos[Watched On],"&gt;="&amp;$B244,tblVideos[Watched On],"&lt;"&amp;EDATE($B244,1),tblVideos[Status],"Watched")</f>
        <v/>
      </c>
      <c r="M244" s="94">
        <f>IF(I244=0,"Gap",IF(I244&gt;AVERAGE($I$144:$I$317)+2*STDEV($I$144:$I$317),"High",""))</f>
        <v/>
      </c>
    </row>
    <row r="245">
      <c r="B245" s="93" t="n">
        <v>44105</v>
      </c>
      <c r="C245" s="83">
        <f>COUNTIFS(tblVideos[Day],"&gt;="&amp;$B245,tblVideos[Day],"&lt;"&amp;EDATE($B245,1),tblVideos[Channel ID],Channels!$E$6)</f>
        <v/>
      </c>
      <c r="D245" s="83">
        <f>COUNTIFS(tblVideos[Day],"&gt;="&amp;$B245,tblVideos[Day],"&lt;"&amp;EDATE($B245,1),tblVideos[Channel ID],Channels!$E$7)</f>
        <v/>
      </c>
      <c r="E245" s="83">
        <f>COUNTIFS(tblVideos[Day],"&gt;="&amp;$B245,tblVideos[Day],"&lt;"&amp;EDATE($B245,1),tblVideos[Channel ID],Channels!$E$8)</f>
        <v/>
      </c>
      <c r="F245" s="83">
        <f>COUNTIFS(tblVideos[Day],"&gt;="&amp;$B245,tblVideos[Day],"&lt;"&amp;EDATE($B245,1),tblVideos[Channel ID],Channels!$E$9)</f>
        <v/>
      </c>
      <c r="G245" s="83">
        <f>COUNTIFS(tblVideos[Day],"&gt;="&amp;$B245,tblVideos[Day],"&lt;"&amp;EDATE($B245,1),tblVideos[Channel ID],Channels!$E$10)</f>
        <v/>
      </c>
      <c r="H245" s="83">
        <f>COUNTIFS(tblVideos[Day],"&gt;="&amp;$B245,tblVideos[Day],"&lt;"&amp;EDATE($B245,1),tblVideos[Channel ID],Channels!$E$11)</f>
        <v/>
      </c>
      <c r="I245" s="91">
        <f>SUM(C245:H245)</f>
        <v/>
      </c>
      <c r="J245" s="92">
        <f>SUMIFS(tblVideos[Length],tblVideos[Day],"&gt;="&amp;$B245,tblVideos[Day],"&lt;"&amp;EDATE($B245,1))</f>
        <v/>
      </c>
      <c r="K245" s="83">
        <f>COUNTIFS(tblVideos[Watched On],"&gt;="&amp;$B245,tblVideos[Watched On],"&lt;"&amp;EDATE($B245,1),tblVideos[Status],"Watched")</f>
        <v/>
      </c>
      <c r="L245" s="92">
        <f>SUMIFS(tblVideos[Length],tblVideos[Watched On],"&gt;="&amp;$B245,tblVideos[Watched On],"&lt;"&amp;EDATE($B245,1),tblVideos[Status],"Watched")</f>
        <v/>
      </c>
      <c r="M245" s="94">
        <f>IF(I245=0,"Gap",IF(I245&gt;AVERAGE($I$144:$I$317)+2*STDEV($I$144:$I$317),"High",""))</f>
        <v/>
      </c>
    </row>
    <row r="246">
      <c r="B246" s="93" t="n">
        <v>44136</v>
      </c>
      <c r="C246" s="83">
        <f>COUNTIFS(tblVideos[Day],"&gt;="&amp;$B246,tblVideos[Day],"&lt;"&amp;EDATE($B246,1),tblVideos[Channel ID],Channels!$E$6)</f>
        <v/>
      </c>
      <c r="D246" s="83">
        <f>COUNTIFS(tblVideos[Day],"&gt;="&amp;$B246,tblVideos[Day],"&lt;"&amp;EDATE($B246,1),tblVideos[Channel ID],Channels!$E$7)</f>
        <v/>
      </c>
      <c r="E246" s="83">
        <f>COUNTIFS(tblVideos[Day],"&gt;="&amp;$B246,tblVideos[Day],"&lt;"&amp;EDATE($B246,1),tblVideos[Channel ID],Channels!$E$8)</f>
        <v/>
      </c>
      <c r="F246" s="83">
        <f>COUNTIFS(tblVideos[Day],"&gt;="&amp;$B246,tblVideos[Day],"&lt;"&amp;EDATE($B246,1),tblVideos[Channel ID],Channels!$E$9)</f>
        <v/>
      </c>
      <c r="G246" s="83">
        <f>COUNTIFS(tblVideos[Day],"&gt;="&amp;$B246,tblVideos[Day],"&lt;"&amp;EDATE($B246,1),tblVideos[Channel ID],Channels!$E$10)</f>
        <v/>
      </c>
      <c r="H246" s="83">
        <f>COUNTIFS(tblVideos[Day],"&gt;="&amp;$B246,tblVideos[Day],"&lt;"&amp;EDATE($B246,1),tblVideos[Channel ID],Channels!$E$11)</f>
        <v/>
      </c>
      <c r="I246" s="91">
        <f>SUM(C246:H246)</f>
        <v/>
      </c>
      <c r="J246" s="92">
        <f>SUMIFS(tblVideos[Length],tblVideos[Day],"&gt;="&amp;$B246,tblVideos[Day],"&lt;"&amp;EDATE($B246,1))</f>
        <v/>
      </c>
      <c r="K246" s="83">
        <f>COUNTIFS(tblVideos[Watched On],"&gt;="&amp;$B246,tblVideos[Watched On],"&lt;"&amp;EDATE($B246,1),tblVideos[Status],"Watched")</f>
        <v/>
      </c>
      <c r="L246" s="92">
        <f>SUMIFS(tblVideos[Length],tblVideos[Watched On],"&gt;="&amp;$B246,tblVideos[Watched On],"&lt;"&amp;EDATE($B246,1),tblVideos[Status],"Watched")</f>
        <v/>
      </c>
      <c r="M246" s="94">
        <f>IF(I246=0,"Gap",IF(I246&gt;AVERAGE($I$144:$I$317)+2*STDEV($I$144:$I$317),"High",""))</f>
        <v/>
      </c>
    </row>
    <row r="247">
      <c r="B247" s="93" t="n">
        <v>44166</v>
      </c>
      <c r="C247" s="83">
        <f>COUNTIFS(tblVideos[Day],"&gt;="&amp;$B247,tblVideos[Day],"&lt;"&amp;EDATE($B247,1),tblVideos[Channel ID],Channels!$E$6)</f>
        <v/>
      </c>
      <c r="D247" s="83">
        <f>COUNTIFS(tblVideos[Day],"&gt;="&amp;$B247,tblVideos[Day],"&lt;"&amp;EDATE($B247,1),tblVideos[Channel ID],Channels!$E$7)</f>
        <v/>
      </c>
      <c r="E247" s="83">
        <f>COUNTIFS(tblVideos[Day],"&gt;="&amp;$B247,tblVideos[Day],"&lt;"&amp;EDATE($B247,1),tblVideos[Channel ID],Channels!$E$8)</f>
        <v/>
      </c>
      <c r="F247" s="83">
        <f>COUNTIFS(tblVideos[Day],"&gt;="&amp;$B247,tblVideos[Day],"&lt;"&amp;EDATE($B247,1),tblVideos[Channel ID],Channels!$E$9)</f>
        <v/>
      </c>
      <c r="G247" s="83">
        <f>COUNTIFS(tblVideos[Day],"&gt;="&amp;$B247,tblVideos[Day],"&lt;"&amp;EDATE($B247,1),tblVideos[Channel ID],Channels!$E$10)</f>
        <v/>
      </c>
      <c r="H247" s="83">
        <f>COUNTIFS(tblVideos[Day],"&gt;="&amp;$B247,tblVideos[Day],"&lt;"&amp;EDATE($B247,1),tblVideos[Channel ID],Channels!$E$11)</f>
        <v/>
      </c>
      <c r="I247" s="91">
        <f>SUM(C247:H247)</f>
        <v/>
      </c>
      <c r="J247" s="92">
        <f>SUMIFS(tblVideos[Length],tblVideos[Day],"&gt;="&amp;$B247,tblVideos[Day],"&lt;"&amp;EDATE($B247,1))</f>
        <v/>
      </c>
      <c r="K247" s="83">
        <f>COUNTIFS(tblVideos[Watched On],"&gt;="&amp;$B247,tblVideos[Watched On],"&lt;"&amp;EDATE($B247,1),tblVideos[Status],"Watched")</f>
        <v/>
      </c>
      <c r="L247" s="92">
        <f>SUMIFS(tblVideos[Length],tblVideos[Watched On],"&gt;="&amp;$B247,tblVideos[Watched On],"&lt;"&amp;EDATE($B247,1),tblVideos[Status],"Watched")</f>
        <v/>
      </c>
      <c r="M247" s="94">
        <f>IF(I247=0,"Gap",IF(I247&gt;AVERAGE($I$144:$I$317)+2*STDEV($I$144:$I$317),"High",""))</f>
        <v/>
      </c>
    </row>
    <row r="248">
      <c r="B248" s="93" t="n">
        <v>44197</v>
      </c>
      <c r="C248" s="83">
        <f>COUNTIFS(tblVideos[Day],"&gt;="&amp;$B248,tblVideos[Day],"&lt;"&amp;EDATE($B248,1),tblVideos[Channel ID],Channels!$E$6)</f>
        <v/>
      </c>
      <c r="D248" s="83">
        <f>COUNTIFS(tblVideos[Day],"&gt;="&amp;$B248,tblVideos[Day],"&lt;"&amp;EDATE($B248,1),tblVideos[Channel ID],Channels!$E$7)</f>
        <v/>
      </c>
      <c r="E248" s="83">
        <f>COUNTIFS(tblVideos[Day],"&gt;="&amp;$B248,tblVideos[Day],"&lt;"&amp;EDATE($B248,1),tblVideos[Channel ID],Channels!$E$8)</f>
        <v/>
      </c>
      <c r="F248" s="83">
        <f>COUNTIFS(tblVideos[Day],"&gt;="&amp;$B248,tblVideos[Day],"&lt;"&amp;EDATE($B248,1),tblVideos[Channel ID],Channels!$E$9)</f>
        <v/>
      </c>
      <c r="G248" s="83">
        <f>COUNTIFS(tblVideos[Day],"&gt;="&amp;$B248,tblVideos[Day],"&lt;"&amp;EDATE($B248,1),tblVideos[Channel ID],Channels!$E$10)</f>
        <v/>
      </c>
      <c r="H248" s="83">
        <f>COUNTIFS(tblVideos[Day],"&gt;="&amp;$B248,tblVideos[Day],"&lt;"&amp;EDATE($B248,1),tblVideos[Channel ID],Channels!$E$11)</f>
        <v/>
      </c>
      <c r="I248" s="91">
        <f>SUM(C248:H248)</f>
        <v/>
      </c>
      <c r="J248" s="92">
        <f>SUMIFS(tblVideos[Length],tblVideos[Day],"&gt;="&amp;$B248,tblVideos[Day],"&lt;"&amp;EDATE($B248,1))</f>
        <v/>
      </c>
      <c r="K248" s="83">
        <f>COUNTIFS(tblVideos[Watched On],"&gt;="&amp;$B248,tblVideos[Watched On],"&lt;"&amp;EDATE($B248,1),tblVideos[Status],"Watched")</f>
        <v/>
      </c>
      <c r="L248" s="92">
        <f>SUMIFS(tblVideos[Length],tblVideos[Watched On],"&gt;="&amp;$B248,tblVideos[Watched On],"&lt;"&amp;EDATE($B248,1),tblVideos[Status],"Watched")</f>
        <v/>
      </c>
      <c r="M248" s="94">
        <f>IF(I248=0,"Gap",IF(I248&gt;AVERAGE($I$144:$I$317)+2*STDEV($I$144:$I$317),"High",""))</f>
        <v/>
      </c>
    </row>
    <row r="249">
      <c r="B249" s="93" t="n">
        <v>44228</v>
      </c>
      <c r="C249" s="83">
        <f>COUNTIFS(tblVideos[Day],"&gt;="&amp;$B249,tblVideos[Day],"&lt;"&amp;EDATE($B249,1),tblVideos[Channel ID],Channels!$E$6)</f>
        <v/>
      </c>
      <c r="D249" s="83">
        <f>COUNTIFS(tblVideos[Day],"&gt;="&amp;$B249,tblVideos[Day],"&lt;"&amp;EDATE($B249,1),tblVideos[Channel ID],Channels!$E$7)</f>
        <v/>
      </c>
      <c r="E249" s="83">
        <f>COUNTIFS(tblVideos[Day],"&gt;="&amp;$B249,tblVideos[Day],"&lt;"&amp;EDATE($B249,1),tblVideos[Channel ID],Channels!$E$8)</f>
        <v/>
      </c>
      <c r="F249" s="83">
        <f>COUNTIFS(tblVideos[Day],"&gt;="&amp;$B249,tblVideos[Day],"&lt;"&amp;EDATE($B249,1),tblVideos[Channel ID],Channels!$E$9)</f>
        <v/>
      </c>
      <c r="G249" s="83">
        <f>COUNTIFS(tblVideos[Day],"&gt;="&amp;$B249,tblVideos[Day],"&lt;"&amp;EDATE($B249,1),tblVideos[Channel ID],Channels!$E$10)</f>
        <v/>
      </c>
      <c r="H249" s="83">
        <f>COUNTIFS(tblVideos[Day],"&gt;="&amp;$B249,tblVideos[Day],"&lt;"&amp;EDATE($B249,1),tblVideos[Channel ID],Channels!$E$11)</f>
        <v/>
      </c>
      <c r="I249" s="91">
        <f>SUM(C249:H249)</f>
        <v/>
      </c>
      <c r="J249" s="92">
        <f>SUMIFS(tblVideos[Length],tblVideos[Day],"&gt;="&amp;$B249,tblVideos[Day],"&lt;"&amp;EDATE($B249,1))</f>
        <v/>
      </c>
      <c r="K249" s="83">
        <f>COUNTIFS(tblVideos[Watched On],"&gt;="&amp;$B249,tblVideos[Watched On],"&lt;"&amp;EDATE($B249,1),tblVideos[Status],"Watched")</f>
        <v/>
      </c>
      <c r="L249" s="92">
        <f>SUMIFS(tblVideos[Length],tblVideos[Watched On],"&gt;="&amp;$B249,tblVideos[Watched On],"&lt;"&amp;EDATE($B249,1),tblVideos[Status],"Watched")</f>
        <v/>
      </c>
      <c r="M249" s="94">
        <f>IF(I249=0,"Gap",IF(I249&gt;AVERAGE($I$144:$I$317)+2*STDEV($I$144:$I$317),"High",""))</f>
        <v/>
      </c>
    </row>
    <row r="250">
      <c r="B250" s="93" t="n">
        <v>44256</v>
      </c>
      <c r="C250" s="83">
        <f>COUNTIFS(tblVideos[Day],"&gt;="&amp;$B250,tblVideos[Day],"&lt;"&amp;EDATE($B250,1),tblVideos[Channel ID],Channels!$E$6)</f>
        <v/>
      </c>
      <c r="D250" s="83">
        <f>COUNTIFS(tblVideos[Day],"&gt;="&amp;$B250,tblVideos[Day],"&lt;"&amp;EDATE($B250,1),tblVideos[Channel ID],Channels!$E$7)</f>
        <v/>
      </c>
      <c r="E250" s="83">
        <f>COUNTIFS(tblVideos[Day],"&gt;="&amp;$B250,tblVideos[Day],"&lt;"&amp;EDATE($B250,1),tblVideos[Channel ID],Channels!$E$8)</f>
        <v/>
      </c>
      <c r="F250" s="83">
        <f>COUNTIFS(tblVideos[Day],"&gt;="&amp;$B250,tblVideos[Day],"&lt;"&amp;EDATE($B250,1),tblVideos[Channel ID],Channels!$E$9)</f>
        <v/>
      </c>
      <c r="G250" s="83">
        <f>COUNTIFS(tblVideos[Day],"&gt;="&amp;$B250,tblVideos[Day],"&lt;"&amp;EDATE($B250,1),tblVideos[Channel ID],Channels!$E$10)</f>
        <v/>
      </c>
      <c r="H250" s="83">
        <f>COUNTIFS(tblVideos[Day],"&gt;="&amp;$B250,tblVideos[Day],"&lt;"&amp;EDATE($B250,1),tblVideos[Channel ID],Channels!$E$11)</f>
        <v/>
      </c>
      <c r="I250" s="91">
        <f>SUM(C250:H250)</f>
        <v/>
      </c>
      <c r="J250" s="92">
        <f>SUMIFS(tblVideos[Length],tblVideos[Day],"&gt;="&amp;$B250,tblVideos[Day],"&lt;"&amp;EDATE($B250,1))</f>
        <v/>
      </c>
      <c r="K250" s="83">
        <f>COUNTIFS(tblVideos[Watched On],"&gt;="&amp;$B250,tblVideos[Watched On],"&lt;"&amp;EDATE($B250,1),tblVideos[Status],"Watched")</f>
        <v/>
      </c>
      <c r="L250" s="92">
        <f>SUMIFS(tblVideos[Length],tblVideos[Watched On],"&gt;="&amp;$B250,tblVideos[Watched On],"&lt;"&amp;EDATE($B250,1),tblVideos[Status],"Watched")</f>
        <v/>
      </c>
      <c r="M250" s="94">
        <f>IF(I250=0,"Gap",IF(I250&gt;AVERAGE($I$144:$I$317)+2*STDEV($I$144:$I$317),"High",""))</f>
        <v/>
      </c>
    </row>
    <row r="251">
      <c r="B251" s="93" t="n">
        <v>44287</v>
      </c>
      <c r="C251" s="83">
        <f>COUNTIFS(tblVideos[Day],"&gt;="&amp;$B251,tblVideos[Day],"&lt;"&amp;EDATE($B251,1),tblVideos[Channel ID],Channels!$E$6)</f>
        <v/>
      </c>
      <c r="D251" s="83">
        <f>COUNTIFS(tblVideos[Day],"&gt;="&amp;$B251,tblVideos[Day],"&lt;"&amp;EDATE($B251,1),tblVideos[Channel ID],Channels!$E$7)</f>
        <v/>
      </c>
      <c r="E251" s="83">
        <f>COUNTIFS(tblVideos[Day],"&gt;="&amp;$B251,tblVideos[Day],"&lt;"&amp;EDATE($B251,1),tblVideos[Channel ID],Channels!$E$8)</f>
        <v/>
      </c>
      <c r="F251" s="83">
        <f>COUNTIFS(tblVideos[Day],"&gt;="&amp;$B251,tblVideos[Day],"&lt;"&amp;EDATE($B251,1),tblVideos[Channel ID],Channels!$E$9)</f>
        <v/>
      </c>
      <c r="G251" s="83">
        <f>COUNTIFS(tblVideos[Day],"&gt;="&amp;$B251,tblVideos[Day],"&lt;"&amp;EDATE($B251,1),tblVideos[Channel ID],Channels!$E$10)</f>
        <v/>
      </c>
      <c r="H251" s="83">
        <f>COUNTIFS(tblVideos[Day],"&gt;="&amp;$B251,tblVideos[Day],"&lt;"&amp;EDATE($B251,1),tblVideos[Channel ID],Channels!$E$11)</f>
        <v/>
      </c>
      <c r="I251" s="91">
        <f>SUM(C251:H251)</f>
        <v/>
      </c>
      <c r="J251" s="92">
        <f>SUMIFS(tblVideos[Length],tblVideos[Day],"&gt;="&amp;$B251,tblVideos[Day],"&lt;"&amp;EDATE($B251,1))</f>
        <v/>
      </c>
      <c r="K251" s="83">
        <f>COUNTIFS(tblVideos[Watched On],"&gt;="&amp;$B251,tblVideos[Watched On],"&lt;"&amp;EDATE($B251,1),tblVideos[Status],"Watched")</f>
        <v/>
      </c>
      <c r="L251" s="92">
        <f>SUMIFS(tblVideos[Length],tblVideos[Watched On],"&gt;="&amp;$B251,tblVideos[Watched On],"&lt;"&amp;EDATE($B251,1),tblVideos[Status],"Watched")</f>
        <v/>
      </c>
      <c r="M251" s="94">
        <f>IF(I251=0,"Gap",IF(I251&gt;AVERAGE($I$144:$I$317)+2*STDEV($I$144:$I$317),"High",""))</f>
        <v/>
      </c>
    </row>
    <row r="252">
      <c r="B252" s="93" t="n">
        <v>44317</v>
      </c>
      <c r="C252" s="83">
        <f>COUNTIFS(tblVideos[Day],"&gt;="&amp;$B252,tblVideos[Day],"&lt;"&amp;EDATE($B252,1),tblVideos[Channel ID],Channels!$E$6)</f>
        <v/>
      </c>
      <c r="D252" s="83">
        <f>COUNTIFS(tblVideos[Day],"&gt;="&amp;$B252,tblVideos[Day],"&lt;"&amp;EDATE($B252,1),tblVideos[Channel ID],Channels!$E$7)</f>
        <v/>
      </c>
      <c r="E252" s="83">
        <f>COUNTIFS(tblVideos[Day],"&gt;="&amp;$B252,tblVideos[Day],"&lt;"&amp;EDATE($B252,1),tblVideos[Channel ID],Channels!$E$8)</f>
        <v/>
      </c>
      <c r="F252" s="83">
        <f>COUNTIFS(tblVideos[Day],"&gt;="&amp;$B252,tblVideos[Day],"&lt;"&amp;EDATE($B252,1),tblVideos[Channel ID],Channels!$E$9)</f>
        <v/>
      </c>
      <c r="G252" s="83">
        <f>COUNTIFS(tblVideos[Day],"&gt;="&amp;$B252,tblVideos[Day],"&lt;"&amp;EDATE($B252,1),tblVideos[Channel ID],Channels!$E$10)</f>
        <v/>
      </c>
      <c r="H252" s="83">
        <f>COUNTIFS(tblVideos[Day],"&gt;="&amp;$B252,tblVideos[Day],"&lt;"&amp;EDATE($B252,1),tblVideos[Channel ID],Channels!$E$11)</f>
        <v/>
      </c>
      <c r="I252" s="91">
        <f>SUM(C252:H252)</f>
        <v/>
      </c>
      <c r="J252" s="92">
        <f>SUMIFS(tblVideos[Length],tblVideos[Day],"&gt;="&amp;$B252,tblVideos[Day],"&lt;"&amp;EDATE($B252,1))</f>
        <v/>
      </c>
      <c r="K252" s="83">
        <f>COUNTIFS(tblVideos[Watched On],"&gt;="&amp;$B252,tblVideos[Watched On],"&lt;"&amp;EDATE($B252,1),tblVideos[Status],"Watched")</f>
        <v/>
      </c>
      <c r="L252" s="92">
        <f>SUMIFS(tblVideos[Length],tblVideos[Watched On],"&gt;="&amp;$B252,tblVideos[Watched On],"&lt;"&amp;EDATE($B252,1),tblVideos[Status],"Watched")</f>
        <v/>
      </c>
      <c r="M252" s="94">
        <f>IF(I252=0,"Gap",IF(I252&gt;AVERAGE($I$144:$I$317)+2*STDEV($I$144:$I$317),"High",""))</f>
        <v/>
      </c>
    </row>
    <row r="253">
      <c r="B253" s="93" t="n">
        <v>44348</v>
      </c>
      <c r="C253" s="83">
        <f>COUNTIFS(tblVideos[Day],"&gt;="&amp;$B253,tblVideos[Day],"&lt;"&amp;EDATE($B253,1),tblVideos[Channel ID],Channels!$E$6)</f>
        <v/>
      </c>
      <c r="D253" s="83">
        <f>COUNTIFS(tblVideos[Day],"&gt;="&amp;$B253,tblVideos[Day],"&lt;"&amp;EDATE($B253,1),tblVideos[Channel ID],Channels!$E$7)</f>
        <v/>
      </c>
      <c r="E253" s="83">
        <f>COUNTIFS(tblVideos[Day],"&gt;="&amp;$B253,tblVideos[Day],"&lt;"&amp;EDATE($B253,1),tblVideos[Channel ID],Channels!$E$8)</f>
        <v/>
      </c>
      <c r="F253" s="83">
        <f>COUNTIFS(tblVideos[Day],"&gt;="&amp;$B253,tblVideos[Day],"&lt;"&amp;EDATE($B253,1),tblVideos[Channel ID],Channels!$E$9)</f>
        <v/>
      </c>
      <c r="G253" s="83">
        <f>COUNTIFS(tblVideos[Day],"&gt;="&amp;$B253,tblVideos[Day],"&lt;"&amp;EDATE($B253,1),tblVideos[Channel ID],Channels!$E$10)</f>
        <v/>
      </c>
      <c r="H253" s="83">
        <f>COUNTIFS(tblVideos[Day],"&gt;="&amp;$B253,tblVideos[Day],"&lt;"&amp;EDATE($B253,1),tblVideos[Channel ID],Channels!$E$11)</f>
        <v/>
      </c>
      <c r="I253" s="91">
        <f>SUM(C253:H253)</f>
        <v/>
      </c>
      <c r="J253" s="92">
        <f>SUMIFS(tblVideos[Length],tblVideos[Day],"&gt;="&amp;$B253,tblVideos[Day],"&lt;"&amp;EDATE($B253,1))</f>
        <v/>
      </c>
      <c r="K253" s="83">
        <f>COUNTIFS(tblVideos[Watched On],"&gt;="&amp;$B253,tblVideos[Watched On],"&lt;"&amp;EDATE($B253,1),tblVideos[Status],"Watched")</f>
        <v/>
      </c>
      <c r="L253" s="92">
        <f>SUMIFS(tblVideos[Length],tblVideos[Watched On],"&gt;="&amp;$B253,tblVideos[Watched On],"&lt;"&amp;EDATE($B253,1),tblVideos[Status],"Watched")</f>
        <v/>
      </c>
      <c r="M253" s="94">
        <f>IF(I253=0,"Gap",IF(I253&gt;AVERAGE($I$144:$I$317)+2*STDEV($I$144:$I$317),"High",""))</f>
        <v/>
      </c>
    </row>
    <row r="254">
      <c r="B254" s="93" t="n">
        <v>44378</v>
      </c>
      <c r="C254" s="83">
        <f>COUNTIFS(tblVideos[Day],"&gt;="&amp;$B254,tblVideos[Day],"&lt;"&amp;EDATE($B254,1),tblVideos[Channel ID],Channels!$E$6)</f>
        <v/>
      </c>
      <c r="D254" s="83">
        <f>COUNTIFS(tblVideos[Day],"&gt;="&amp;$B254,tblVideos[Day],"&lt;"&amp;EDATE($B254,1),tblVideos[Channel ID],Channels!$E$7)</f>
        <v/>
      </c>
      <c r="E254" s="83">
        <f>COUNTIFS(tblVideos[Day],"&gt;="&amp;$B254,tblVideos[Day],"&lt;"&amp;EDATE($B254,1),tblVideos[Channel ID],Channels!$E$8)</f>
        <v/>
      </c>
      <c r="F254" s="83">
        <f>COUNTIFS(tblVideos[Day],"&gt;="&amp;$B254,tblVideos[Day],"&lt;"&amp;EDATE($B254,1),tblVideos[Channel ID],Channels!$E$9)</f>
        <v/>
      </c>
      <c r="G254" s="83">
        <f>COUNTIFS(tblVideos[Day],"&gt;="&amp;$B254,tblVideos[Day],"&lt;"&amp;EDATE($B254,1),tblVideos[Channel ID],Channels!$E$10)</f>
        <v/>
      </c>
      <c r="H254" s="83">
        <f>COUNTIFS(tblVideos[Day],"&gt;="&amp;$B254,tblVideos[Day],"&lt;"&amp;EDATE($B254,1),tblVideos[Channel ID],Channels!$E$11)</f>
        <v/>
      </c>
      <c r="I254" s="91">
        <f>SUM(C254:H254)</f>
        <v/>
      </c>
      <c r="J254" s="92">
        <f>SUMIFS(tblVideos[Length],tblVideos[Day],"&gt;="&amp;$B254,tblVideos[Day],"&lt;"&amp;EDATE($B254,1))</f>
        <v/>
      </c>
      <c r="K254" s="83">
        <f>COUNTIFS(tblVideos[Watched On],"&gt;="&amp;$B254,tblVideos[Watched On],"&lt;"&amp;EDATE($B254,1),tblVideos[Status],"Watched")</f>
        <v/>
      </c>
      <c r="L254" s="92">
        <f>SUMIFS(tblVideos[Length],tblVideos[Watched On],"&gt;="&amp;$B254,tblVideos[Watched On],"&lt;"&amp;EDATE($B254,1),tblVideos[Status],"Watched")</f>
        <v/>
      </c>
      <c r="M254" s="94">
        <f>IF(I254=0,"Gap",IF(I254&gt;AVERAGE($I$144:$I$317)+2*STDEV($I$144:$I$317),"High",""))</f>
        <v/>
      </c>
    </row>
    <row r="255">
      <c r="B255" s="93" t="n">
        <v>44409</v>
      </c>
      <c r="C255" s="83">
        <f>COUNTIFS(tblVideos[Day],"&gt;="&amp;$B255,tblVideos[Day],"&lt;"&amp;EDATE($B255,1),tblVideos[Channel ID],Channels!$E$6)</f>
        <v/>
      </c>
      <c r="D255" s="83">
        <f>COUNTIFS(tblVideos[Day],"&gt;="&amp;$B255,tblVideos[Day],"&lt;"&amp;EDATE($B255,1),tblVideos[Channel ID],Channels!$E$7)</f>
        <v/>
      </c>
      <c r="E255" s="83">
        <f>COUNTIFS(tblVideos[Day],"&gt;="&amp;$B255,tblVideos[Day],"&lt;"&amp;EDATE($B255,1),tblVideos[Channel ID],Channels!$E$8)</f>
        <v/>
      </c>
      <c r="F255" s="83">
        <f>COUNTIFS(tblVideos[Day],"&gt;="&amp;$B255,tblVideos[Day],"&lt;"&amp;EDATE($B255,1),tblVideos[Channel ID],Channels!$E$9)</f>
        <v/>
      </c>
      <c r="G255" s="83">
        <f>COUNTIFS(tblVideos[Day],"&gt;="&amp;$B255,tblVideos[Day],"&lt;"&amp;EDATE($B255,1),tblVideos[Channel ID],Channels!$E$10)</f>
        <v/>
      </c>
      <c r="H255" s="83">
        <f>COUNTIFS(tblVideos[Day],"&gt;="&amp;$B255,tblVideos[Day],"&lt;"&amp;EDATE($B255,1),tblVideos[Channel ID],Channels!$E$11)</f>
        <v/>
      </c>
      <c r="I255" s="91">
        <f>SUM(C255:H255)</f>
        <v/>
      </c>
      <c r="J255" s="92">
        <f>SUMIFS(tblVideos[Length],tblVideos[Day],"&gt;="&amp;$B255,tblVideos[Day],"&lt;"&amp;EDATE($B255,1))</f>
        <v/>
      </c>
      <c r="K255" s="83">
        <f>COUNTIFS(tblVideos[Watched On],"&gt;="&amp;$B255,tblVideos[Watched On],"&lt;"&amp;EDATE($B255,1),tblVideos[Status],"Watched")</f>
        <v/>
      </c>
      <c r="L255" s="92">
        <f>SUMIFS(tblVideos[Length],tblVideos[Watched On],"&gt;="&amp;$B255,tblVideos[Watched On],"&lt;"&amp;EDATE($B255,1),tblVideos[Status],"Watched")</f>
        <v/>
      </c>
      <c r="M255" s="94">
        <f>IF(I255=0,"Gap",IF(I255&gt;AVERAGE($I$144:$I$317)+2*STDEV($I$144:$I$317),"High",""))</f>
        <v/>
      </c>
    </row>
    <row r="256">
      <c r="B256" s="93" t="n">
        <v>44440</v>
      </c>
      <c r="C256" s="83">
        <f>COUNTIFS(tblVideos[Day],"&gt;="&amp;$B256,tblVideos[Day],"&lt;"&amp;EDATE($B256,1),tblVideos[Channel ID],Channels!$E$6)</f>
        <v/>
      </c>
      <c r="D256" s="83">
        <f>COUNTIFS(tblVideos[Day],"&gt;="&amp;$B256,tblVideos[Day],"&lt;"&amp;EDATE($B256,1),tblVideos[Channel ID],Channels!$E$7)</f>
        <v/>
      </c>
      <c r="E256" s="83">
        <f>COUNTIFS(tblVideos[Day],"&gt;="&amp;$B256,tblVideos[Day],"&lt;"&amp;EDATE($B256,1),tblVideos[Channel ID],Channels!$E$8)</f>
        <v/>
      </c>
      <c r="F256" s="83">
        <f>COUNTIFS(tblVideos[Day],"&gt;="&amp;$B256,tblVideos[Day],"&lt;"&amp;EDATE($B256,1),tblVideos[Channel ID],Channels!$E$9)</f>
        <v/>
      </c>
      <c r="G256" s="83">
        <f>COUNTIFS(tblVideos[Day],"&gt;="&amp;$B256,tblVideos[Day],"&lt;"&amp;EDATE($B256,1),tblVideos[Channel ID],Channels!$E$10)</f>
        <v/>
      </c>
      <c r="H256" s="83">
        <f>COUNTIFS(tblVideos[Day],"&gt;="&amp;$B256,tblVideos[Day],"&lt;"&amp;EDATE($B256,1),tblVideos[Channel ID],Channels!$E$11)</f>
        <v/>
      </c>
      <c r="I256" s="91">
        <f>SUM(C256:H256)</f>
        <v/>
      </c>
      <c r="J256" s="92">
        <f>SUMIFS(tblVideos[Length],tblVideos[Day],"&gt;="&amp;$B256,tblVideos[Day],"&lt;"&amp;EDATE($B256,1))</f>
        <v/>
      </c>
      <c r="K256" s="83">
        <f>COUNTIFS(tblVideos[Watched On],"&gt;="&amp;$B256,tblVideos[Watched On],"&lt;"&amp;EDATE($B256,1),tblVideos[Status],"Watched")</f>
        <v/>
      </c>
      <c r="L256" s="92">
        <f>SUMIFS(tblVideos[Length],tblVideos[Watched On],"&gt;="&amp;$B256,tblVideos[Watched On],"&lt;"&amp;EDATE($B256,1),tblVideos[Status],"Watched")</f>
        <v/>
      </c>
      <c r="M256" s="94">
        <f>IF(I256=0,"Gap",IF(I256&gt;AVERAGE($I$144:$I$317)+2*STDEV($I$144:$I$317),"High",""))</f>
        <v/>
      </c>
    </row>
    <row r="257">
      <c r="B257" s="93" t="n">
        <v>44470</v>
      </c>
      <c r="C257" s="83">
        <f>COUNTIFS(tblVideos[Day],"&gt;="&amp;$B257,tblVideos[Day],"&lt;"&amp;EDATE($B257,1),tblVideos[Channel ID],Channels!$E$6)</f>
        <v/>
      </c>
      <c r="D257" s="83">
        <f>COUNTIFS(tblVideos[Day],"&gt;="&amp;$B257,tblVideos[Day],"&lt;"&amp;EDATE($B257,1),tblVideos[Channel ID],Channels!$E$7)</f>
        <v/>
      </c>
      <c r="E257" s="83">
        <f>COUNTIFS(tblVideos[Day],"&gt;="&amp;$B257,tblVideos[Day],"&lt;"&amp;EDATE($B257,1),tblVideos[Channel ID],Channels!$E$8)</f>
        <v/>
      </c>
      <c r="F257" s="83">
        <f>COUNTIFS(tblVideos[Day],"&gt;="&amp;$B257,tblVideos[Day],"&lt;"&amp;EDATE($B257,1),tblVideos[Channel ID],Channels!$E$9)</f>
        <v/>
      </c>
      <c r="G257" s="83">
        <f>COUNTIFS(tblVideos[Day],"&gt;="&amp;$B257,tblVideos[Day],"&lt;"&amp;EDATE($B257,1),tblVideos[Channel ID],Channels!$E$10)</f>
        <v/>
      </c>
      <c r="H257" s="83">
        <f>COUNTIFS(tblVideos[Day],"&gt;="&amp;$B257,tblVideos[Day],"&lt;"&amp;EDATE($B257,1),tblVideos[Channel ID],Channels!$E$11)</f>
        <v/>
      </c>
      <c r="I257" s="91">
        <f>SUM(C257:H257)</f>
        <v/>
      </c>
      <c r="J257" s="92">
        <f>SUMIFS(tblVideos[Length],tblVideos[Day],"&gt;="&amp;$B257,tblVideos[Day],"&lt;"&amp;EDATE($B257,1))</f>
        <v/>
      </c>
      <c r="K257" s="83">
        <f>COUNTIFS(tblVideos[Watched On],"&gt;="&amp;$B257,tblVideos[Watched On],"&lt;"&amp;EDATE($B257,1),tblVideos[Status],"Watched")</f>
        <v/>
      </c>
      <c r="L257" s="92">
        <f>SUMIFS(tblVideos[Length],tblVideos[Watched On],"&gt;="&amp;$B257,tblVideos[Watched On],"&lt;"&amp;EDATE($B257,1),tblVideos[Status],"Watched")</f>
        <v/>
      </c>
      <c r="M257" s="94">
        <f>IF(I257=0,"Gap",IF(I257&gt;AVERAGE($I$144:$I$317)+2*STDEV($I$144:$I$317),"High",""))</f>
        <v/>
      </c>
    </row>
    <row r="258">
      <c r="B258" s="93" t="n">
        <v>44501</v>
      </c>
      <c r="C258" s="83">
        <f>COUNTIFS(tblVideos[Day],"&gt;="&amp;$B258,tblVideos[Day],"&lt;"&amp;EDATE($B258,1),tblVideos[Channel ID],Channels!$E$6)</f>
        <v/>
      </c>
      <c r="D258" s="83">
        <f>COUNTIFS(tblVideos[Day],"&gt;="&amp;$B258,tblVideos[Day],"&lt;"&amp;EDATE($B258,1),tblVideos[Channel ID],Channels!$E$7)</f>
        <v/>
      </c>
      <c r="E258" s="83">
        <f>COUNTIFS(tblVideos[Day],"&gt;="&amp;$B258,tblVideos[Day],"&lt;"&amp;EDATE($B258,1),tblVideos[Channel ID],Channels!$E$8)</f>
        <v/>
      </c>
      <c r="F258" s="83">
        <f>COUNTIFS(tblVideos[Day],"&gt;="&amp;$B258,tblVideos[Day],"&lt;"&amp;EDATE($B258,1),tblVideos[Channel ID],Channels!$E$9)</f>
        <v/>
      </c>
      <c r="G258" s="83">
        <f>COUNTIFS(tblVideos[Day],"&gt;="&amp;$B258,tblVideos[Day],"&lt;"&amp;EDATE($B258,1),tblVideos[Channel ID],Channels!$E$10)</f>
        <v/>
      </c>
      <c r="H258" s="83">
        <f>COUNTIFS(tblVideos[Day],"&gt;="&amp;$B258,tblVideos[Day],"&lt;"&amp;EDATE($B258,1),tblVideos[Channel ID],Channels!$E$11)</f>
        <v/>
      </c>
      <c r="I258" s="91">
        <f>SUM(C258:H258)</f>
        <v/>
      </c>
      <c r="J258" s="92">
        <f>SUMIFS(tblVideos[Length],tblVideos[Day],"&gt;="&amp;$B258,tblVideos[Day],"&lt;"&amp;EDATE($B258,1))</f>
        <v/>
      </c>
      <c r="K258" s="83">
        <f>COUNTIFS(tblVideos[Watched On],"&gt;="&amp;$B258,tblVideos[Watched On],"&lt;"&amp;EDATE($B258,1),tblVideos[Status],"Watched")</f>
        <v/>
      </c>
      <c r="L258" s="92">
        <f>SUMIFS(tblVideos[Length],tblVideos[Watched On],"&gt;="&amp;$B258,tblVideos[Watched On],"&lt;"&amp;EDATE($B258,1),tblVideos[Status],"Watched")</f>
        <v/>
      </c>
      <c r="M258" s="94">
        <f>IF(I258=0,"Gap",IF(I258&gt;AVERAGE($I$144:$I$317)+2*STDEV($I$144:$I$317),"High",""))</f>
        <v/>
      </c>
    </row>
    <row r="259">
      <c r="B259" s="93" t="n">
        <v>44531</v>
      </c>
      <c r="C259" s="83">
        <f>COUNTIFS(tblVideos[Day],"&gt;="&amp;$B259,tblVideos[Day],"&lt;"&amp;EDATE($B259,1),tblVideos[Channel ID],Channels!$E$6)</f>
        <v/>
      </c>
      <c r="D259" s="83">
        <f>COUNTIFS(tblVideos[Day],"&gt;="&amp;$B259,tblVideos[Day],"&lt;"&amp;EDATE($B259,1),tblVideos[Channel ID],Channels!$E$7)</f>
        <v/>
      </c>
      <c r="E259" s="83">
        <f>COUNTIFS(tblVideos[Day],"&gt;="&amp;$B259,tblVideos[Day],"&lt;"&amp;EDATE($B259,1),tblVideos[Channel ID],Channels!$E$8)</f>
        <v/>
      </c>
      <c r="F259" s="83">
        <f>COUNTIFS(tblVideos[Day],"&gt;="&amp;$B259,tblVideos[Day],"&lt;"&amp;EDATE($B259,1),tblVideos[Channel ID],Channels!$E$9)</f>
        <v/>
      </c>
      <c r="G259" s="83">
        <f>COUNTIFS(tblVideos[Day],"&gt;="&amp;$B259,tblVideos[Day],"&lt;"&amp;EDATE($B259,1),tblVideos[Channel ID],Channels!$E$10)</f>
        <v/>
      </c>
      <c r="H259" s="83">
        <f>COUNTIFS(tblVideos[Day],"&gt;="&amp;$B259,tblVideos[Day],"&lt;"&amp;EDATE($B259,1),tblVideos[Channel ID],Channels!$E$11)</f>
        <v/>
      </c>
      <c r="I259" s="91">
        <f>SUM(C259:H259)</f>
        <v/>
      </c>
      <c r="J259" s="92">
        <f>SUMIFS(tblVideos[Length],tblVideos[Day],"&gt;="&amp;$B259,tblVideos[Day],"&lt;"&amp;EDATE($B259,1))</f>
        <v/>
      </c>
      <c r="K259" s="83">
        <f>COUNTIFS(tblVideos[Watched On],"&gt;="&amp;$B259,tblVideos[Watched On],"&lt;"&amp;EDATE($B259,1),tblVideos[Status],"Watched")</f>
        <v/>
      </c>
      <c r="L259" s="92">
        <f>SUMIFS(tblVideos[Length],tblVideos[Watched On],"&gt;="&amp;$B259,tblVideos[Watched On],"&lt;"&amp;EDATE($B259,1),tblVideos[Status],"Watched")</f>
        <v/>
      </c>
      <c r="M259" s="94">
        <f>IF(I259=0,"Gap",IF(I259&gt;AVERAGE($I$144:$I$317)+2*STDEV($I$144:$I$317),"High",""))</f>
        <v/>
      </c>
    </row>
    <row r="260">
      <c r="B260" s="93" t="n">
        <v>44562</v>
      </c>
      <c r="C260" s="83">
        <f>COUNTIFS(tblVideos[Day],"&gt;="&amp;$B260,tblVideos[Day],"&lt;"&amp;EDATE($B260,1),tblVideos[Channel ID],Channels!$E$6)</f>
        <v/>
      </c>
      <c r="D260" s="83">
        <f>COUNTIFS(tblVideos[Day],"&gt;="&amp;$B260,tblVideos[Day],"&lt;"&amp;EDATE($B260,1),tblVideos[Channel ID],Channels!$E$7)</f>
        <v/>
      </c>
      <c r="E260" s="83">
        <f>COUNTIFS(tblVideos[Day],"&gt;="&amp;$B260,tblVideos[Day],"&lt;"&amp;EDATE($B260,1),tblVideos[Channel ID],Channels!$E$8)</f>
        <v/>
      </c>
      <c r="F260" s="83">
        <f>COUNTIFS(tblVideos[Day],"&gt;="&amp;$B260,tblVideos[Day],"&lt;"&amp;EDATE($B260,1),tblVideos[Channel ID],Channels!$E$9)</f>
        <v/>
      </c>
      <c r="G260" s="83">
        <f>COUNTIFS(tblVideos[Day],"&gt;="&amp;$B260,tblVideos[Day],"&lt;"&amp;EDATE($B260,1),tblVideos[Channel ID],Channels!$E$10)</f>
        <v/>
      </c>
      <c r="H260" s="83">
        <f>COUNTIFS(tblVideos[Day],"&gt;="&amp;$B260,tblVideos[Day],"&lt;"&amp;EDATE($B260,1),tblVideos[Channel ID],Channels!$E$11)</f>
        <v/>
      </c>
      <c r="I260" s="91">
        <f>SUM(C260:H260)</f>
        <v/>
      </c>
      <c r="J260" s="92">
        <f>SUMIFS(tblVideos[Length],tblVideos[Day],"&gt;="&amp;$B260,tblVideos[Day],"&lt;"&amp;EDATE($B260,1))</f>
        <v/>
      </c>
      <c r="K260" s="83">
        <f>COUNTIFS(tblVideos[Watched On],"&gt;="&amp;$B260,tblVideos[Watched On],"&lt;"&amp;EDATE($B260,1),tblVideos[Status],"Watched")</f>
        <v/>
      </c>
      <c r="L260" s="92">
        <f>SUMIFS(tblVideos[Length],tblVideos[Watched On],"&gt;="&amp;$B260,tblVideos[Watched On],"&lt;"&amp;EDATE($B260,1),tblVideos[Status],"Watched")</f>
        <v/>
      </c>
      <c r="M260" s="94">
        <f>IF(I260=0,"Gap",IF(I260&gt;AVERAGE($I$144:$I$317)+2*STDEV($I$144:$I$317),"High",""))</f>
        <v/>
      </c>
    </row>
    <row r="261">
      <c r="B261" s="93" t="n">
        <v>44593</v>
      </c>
      <c r="C261" s="83">
        <f>COUNTIFS(tblVideos[Day],"&gt;="&amp;$B261,tblVideos[Day],"&lt;"&amp;EDATE($B261,1),tblVideos[Channel ID],Channels!$E$6)</f>
        <v/>
      </c>
      <c r="D261" s="83">
        <f>COUNTIFS(tblVideos[Day],"&gt;="&amp;$B261,tblVideos[Day],"&lt;"&amp;EDATE($B261,1),tblVideos[Channel ID],Channels!$E$7)</f>
        <v/>
      </c>
      <c r="E261" s="83">
        <f>COUNTIFS(tblVideos[Day],"&gt;="&amp;$B261,tblVideos[Day],"&lt;"&amp;EDATE($B261,1),tblVideos[Channel ID],Channels!$E$8)</f>
        <v/>
      </c>
      <c r="F261" s="83">
        <f>COUNTIFS(tblVideos[Day],"&gt;="&amp;$B261,tblVideos[Day],"&lt;"&amp;EDATE($B261,1),tblVideos[Channel ID],Channels!$E$9)</f>
        <v/>
      </c>
      <c r="G261" s="83">
        <f>COUNTIFS(tblVideos[Day],"&gt;="&amp;$B261,tblVideos[Day],"&lt;"&amp;EDATE($B261,1),tblVideos[Channel ID],Channels!$E$10)</f>
        <v/>
      </c>
      <c r="H261" s="83">
        <f>COUNTIFS(tblVideos[Day],"&gt;="&amp;$B261,tblVideos[Day],"&lt;"&amp;EDATE($B261,1),tblVideos[Channel ID],Channels!$E$11)</f>
        <v/>
      </c>
      <c r="I261" s="91">
        <f>SUM(C261:H261)</f>
        <v/>
      </c>
      <c r="J261" s="92">
        <f>SUMIFS(tblVideos[Length],tblVideos[Day],"&gt;="&amp;$B261,tblVideos[Day],"&lt;"&amp;EDATE($B261,1))</f>
        <v/>
      </c>
      <c r="K261" s="83">
        <f>COUNTIFS(tblVideos[Watched On],"&gt;="&amp;$B261,tblVideos[Watched On],"&lt;"&amp;EDATE($B261,1),tblVideos[Status],"Watched")</f>
        <v/>
      </c>
      <c r="L261" s="92">
        <f>SUMIFS(tblVideos[Length],tblVideos[Watched On],"&gt;="&amp;$B261,tblVideos[Watched On],"&lt;"&amp;EDATE($B261,1),tblVideos[Status],"Watched")</f>
        <v/>
      </c>
      <c r="M261" s="94">
        <f>IF(I261=0,"Gap",IF(I261&gt;AVERAGE($I$144:$I$317)+2*STDEV($I$144:$I$317),"High",""))</f>
        <v/>
      </c>
    </row>
    <row r="262">
      <c r="B262" s="93" t="n">
        <v>44621</v>
      </c>
      <c r="C262" s="83">
        <f>COUNTIFS(tblVideos[Day],"&gt;="&amp;$B262,tblVideos[Day],"&lt;"&amp;EDATE($B262,1),tblVideos[Channel ID],Channels!$E$6)</f>
        <v/>
      </c>
      <c r="D262" s="83">
        <f>COUNTIFS(tblVideos[Day],"&gt;="&amp;$B262,tblVideos[Day],"&lt;"&amp;EDATE($B262,1),tblVideos[Channel ID],Channels!$E$7)</f>
        <v/>
      </c>
      <c r="E262" s="83">
        <f>COUNTIFS(tblVideos[Day],"&gt;="&amp;$B262,tblVideos[Day],"&lt;"&amp;EDATE($B262,1),tblVideos[Channel ID],Channels!$E$8)</f>
        <v/>
      </c>
      <c r="F262" s="83">
        <f>COUNTIFS(tblVideos[Day],"&gt;="&amp;$B262,tblVideos[Day],"&lt;"&amp;EDATE($B262,1),tblVideos[Channel ID],Channels!$E$9)</f>
        <v/>
      </c>
      <c r="G262" s="83">
        <f>COUNTIFS(tblVideos[Day],"&gt;="&amp;$B262,tblVideos[Day],"&lt;"&amp;EDATE($B262,1),tblVideos[Channel ID],Channels!$E$10)</f>
        <v/>
      </c>
      <c r="H262" s="83">
        <f>COUNTIFS(tblVideos[Day],"&gt;="&amp;$B262,tblVideos[Day],"&lt;"&amp;EDATE($B262,1),tblVideos[Channel ID],Channels!$E$11)</f>
        <v/>
      </c>
      <c r="I262" s="91">
        <f>SUM(C262:H262)</f>
        <v/>
      </c>
      <c r="J262" s="92">
        <f>SUMIFS(tblVideos[Length],tblVideos[Day],"&gt;="&amp;$B262,tblVideos[Day],"&lt;"&amp;EDATE($B262,1))</f>
        <v/>
      </c>
      <c r="K262" s="83">
        <f>COUNTIFS(tblVideos[Watched On],"&gt;="&amp;$B262,tblVideos[Watched On],"&lt;"&amp;EDATE($B262,1),tblVideos[Status],"Watched")</f>
        <v/>
      </c>
      <c r="L262" s="92">
        <f>SUMIFS(tblVideos[Length],tblVideos[Watched On],"&gt;="&amp;$B262,tblVideos[Watched On],"&lt;"&amp;EDATE($B262,1),tblVideos[Status],"Watched")</f>
        <v/>
      </c>
      <c r="M262" s="94">
        <f>IF(I262=0,"Gap",IF(I262&gt;AVERAGE($I$144:$I$317)+2*STDEV($I$144:$I$317),"High",""))</f>
        <v/>
      </c>
    </row>
    <row r="263">
      <c r="B263" s="93" t="n">
        <v>44652</v>
      </c>
      <c r="C263" s="83">
        <f>COUNTIFS(tblVideos[Day],"&gt;="&amp;$B263,tblVideos[Day],"&lt;"&amp;EDATE($B263,1),tblVideos[Channel ID],Channels!$E$6)</f>
        <v/>
      </c>
      <c r="D263" s="83">
        <f>COUNTIFS(tblVideos[Day],"&gt;="&amp;$B263,tblVideos[Day],"&lt;"&amp;EDATE($B263,1),tblVideos[Channel ID],Channels!$E$7)</f>
        <v/>
      </c>
      <c r="E263" s="83">
        <f>COUNTIFS(tblVideos[Day],"&gt;="&amp;$B263,tblVideos[Day],"&lt;"&amp;EDATE($B263,1),tblVideos[Channel ID],Channels!$E$8)</f>
        <v/>
      </c>
      <c r="F263" s="83">
        <f>COUNTIFS(tblVideos[Day],"&gt;="&amp;$B263,tblVideos[Day],"&lt;"&amp;EDATE($B263,1),tblVideos[Channel ID],Channels!$E$9)</f>
        <v/>
      </c>
      <c r="G263" s="83">
        <f>COUNTIFS(tblVideos[Day],"&gt;="&amp;$B263,tblVideos[Day],"&lt;"&amp;EDATE($B263,1),tblVideos[Channel ID],Channels!$E$10)</f>
        <v/>
      </c>
      <c r="H263" s="83">
        <f>COUNTIFS(tblVideos[Day],"&gt;="&amp;$B263,tblVideos[Day],"&lt;"&amp;EDATE($B263,1),tblVideos[Channel ID],Channels!$E$11)</f>
        <v/>
      </c>
      <c r="I263" s="91">
        <f>SUM(C263:H263)</f>
        <v/>
      </c>
      <c r="J263" s="92">
        <f>SUMIFS(tblVideos[Length],tblVideos[Day],"&gt;="&amp;$B263,tblVideos[Day],"&lt;"&amp;EDATE($B263,1))</f>
        <v/>
      </c>
      <c r="K263" s="83">
        <f>COUNTIFS(tblVideos[Watched On],"&gt;="&amp;$B263,tblVideos[Watched On],"&lt;"&amp;EDATE($B263,1),tblVideos[Status],"Watched")</f>
        <v/>
      </c>
      <c r="L263" s="92">
        <f>SUMIFS(tblVideos[Length],tblVideos[Watched On],"&gt;="&amp;$B263,tblVideos[Watched On],"&lt;"&amp;EDATE($B263,1),tblVideos[Status],"Watched")</f>
        <v/>
      </c>
      <c r="M263" s="94">
        <f>IF(I263=0,"Gap",IF(I263&gt;AVERAGE($I$144:$I$317)+2*STDEV($I$144:$I$317),"High",""))</f>
        <v/>
      </c>
    </row>
    <row r="264">
      <c r="B264" s="93" t="n">
        <v>44682</v>
      </c>
      <c r="C264" s="83">
        <f>COUNTIFS(tblVideos[Day],"&gt;="&amp;$B264,tblVideos[Day],"&lt;"&amp;EDATE($B264,1),tblVideos[Channel ID],Channels!$E$6)</f>
        <v/>
      </c>
      <c r="D264" s="83">
        <f>COUNTIFS(tblVideos[Day],"&gt;="&amp;$B264,tblVideos[Day],"&lt;"&amp;EDATE($B264,1),tblVideos[Channel ID],Channels!$E$7)</f>
        <v/>
      </c>
      <c r="E264" s="83">
        <f>COUNTIFS(tblVideos[Day],"&gt;="&amp;$B264,tblVideos[Day],"&lt;"&amp;EDATE($B264,1),tblVideos[Channel ID],Channels!$E$8)</f>
        <v/>
      </c>
      <c r="F264" s="83">
        <f>COUNTIFS(tblVideos[Day],"&gt;="&amp;$B264,tblVideos[Day],"&lt;"&amp;EDATE($B264,1),tblVideos[Channel ID],Channels!$E$9)</f>
        <v/>
      </c>
      <c r="G264" s="83">
        <f>COUNTIFS(tblVideos[Day],"&gt;="&amp;$B264,tblVideos[Day],"&lt;"&amp;EDATE($B264,1),tblVideos[Channel ID],Channels!$E$10)</f>
        <v/>
      </c>
      <c r="H264" s="83">
        <f>COUNTIFS(tblVideos[Day],"&gt;="&amp;$B264,tblVideos[Day],"&lt;"&amp;EDATE($B264,1),tblVideos[Channel ID],Channels!$E$11)</f>
        <v/>
      </c>
      <c r="I264" s="91">
        <f>SUM(C264:H264)</f>
        <v/>
      </c>
      <c r="J264" s="92">
        <f>SUMIFS(tblVideos[Length],tblVideos[Day],"&gt;="&amp;$B264,tblVideos[Day],"&lt;"&amp;EDATE($B264,1))</f>
        <v/>
      </c>
      <c r="K264" s="83">
        <f>COUNTIFS(tblVideos[Watched On],"&gt;="&amp;$B264,tblVideos[Watched On],"&lt;"&amp;EDATE($B264,1),tblVideos[Status],"Watched")</f>
        <v/>
      </c>
      <c r="L264" s="92">
        <f>SUMIFS(tblVideos[Length],tblVideos[Watched On],"&gt;="&amp;$B264,tblVideos[Watched On],"&lt;"&amp;EDATE($B264,1),tblVideos[Status],"Watched")</f>
        <v/>
      </c>
      <c r="M264" s="94">
        <f>IF(I264=0,"Gap",IF(I264&gt;AVERAGE($I$144:$I$317)+2*STDEV($I$144:$I$317),"High",""))</f>
        <v/>
      </c>
    </row>
    <row r="265">
      <c r="B265" s="93" t="n">
        <v>44713</v>
      </c>
      <c r="C265" s="83">
        <f>COUNTIFS(tblVideos[Day],"&gt;="&amp;$B265,tblVideos[Day],"&lt;"&amp;EDATE($B265,1),tblVideos[Channel ID],Channels!$E$6)</f>
        <v/>
      </c>
      <c r="D265" s="83">
        <f>COUNTIFS(tblVideos[Day],"&gt;="&amp;$B265,tblVideos[Day],"&lt;"&amp;EDATE($B265,1),tblVideos[Channel ID],Channels!$E$7)</f>
        <v/>
      </c>
      <c r="E265" s="83">
        <f>COUNTIFS(tblVideos[Day],"&gt;="&amp;$B265,tblVideos[Day],"&lt;"&amp;EDATE($B265,1),tblVideos[Channel ID],Channels!$E$8)</f>
        <v/>
      </c>
      <c r="F265" s="83">
        <f>COUNTIFS(tblVideos[Day],"&gt;="&amp;$B265,tblVideos[Day],"&lt;"&amp;EDATE($B265,1),tblVideos[Channel ID],Channels!$E$9)</f>
        <v/>
      </c>
      <c r="G265" s="83">
        <f>COUNTIFS(tblVideos[Day],"&gt;="&amp;$B265,tblVideos[Day],"&lt;"&amp;EDATE($B265,1),tblVideos[Channel ID],Channels!$E$10)</f>
        <v/>
      </c>
      <c r="H265" s="83">
        <f>COUNTIFS(tblVideos[Day],"&gt;="&amp;$B265,tblVideos[Day],"&lt;"&amp;EDATE($B265,1),tblVideos[Channel ID],Channels!$E$11)</f>
        <v/>
      </c>
      <c r="I265" s="91">
        <f>SUM(C265:H265)</f>
        <v/>
      </c>
      <c r="J265" s="92">
        <f>SUMIFS(tblVideos[Length],tblVideos[Day],"&gt;="&amp;$B265,tblVideos[Day],"&lt;"&amp;EDATE($B265,1))</f>
        <v/>
      </c>
      <c r="K265" s="83">
        <f>COUNTIFS(tblVideos[Watched On],"&gt;="&amp;$B265,tblVideos[Watched On],"&lt;"&amp;EDATE($B265,1),tblVideos[Status],"Watched")</f>
        <v/>
      </c>
      <c r="L265" s="92">
        <f>SUMIFS(tblVideos[Length],tblVideos[Watched On],"&gt;="&amp;$B265,tblVideos[Watched On],"&lt;"&amp;EDATE($B265,1),tblVideos[Status],"Watched")</f>
        <v/>
      </c>
      <c r="M265" s="94">
        <f>IF(I265=0,"Gap",IF(I265&gt;AVERAGE($I$144:$I$317)+2*STDEV($I$144:$I$317),"High",""))</f>
        <v/>
      </c>
    </row>
    <row r="266">
      <c r="B266" s="93" t="n">
        <v>44743</v>
      </c>
      <c r="C266" s="83">
        <f>COUNTIFS(tblVideos[Day],"&gt;="&amp;$B266,tblVideos[Day],"&lt;"&amp;EDATE($B266,1),tblVideos[Channel ID],Channels!$E$6)</f>
        <v/>
      </c>
      <c r="D266" s="83">
        <f>COUNTIFS(tblVideos[Day],"&gt;="&amp;$B266,tblVideos[Day],"&lt;"&amp;EDATE($B266,1),tblVideos[Channel ID],Channels!$E$7)</f>
        <v/>
      </c>
      <c r="E266" s="83">
        <f>COUNTIFS(tblVideos[Day],"&gt;="&amp;$B266,tblVideos[Day],"&lt;"&amp;EDATE($B266,1),tblVideos[Channel ID],Channels!$E$8)</f>
        <v/>
      </c>
      <c r="F266" s="83">
        <f>COUNTIFS(tblVideos[Day],"&gt;="&amp;$B266,tblVideos[Day],"&lt;"&amp;EDATE($B266,1),tblVideos[Channel ID],Channels!$E$9)</f>
        <v/>
      </c>
      <c r="G266" s="83">
        <f>COUNTIFS(tblVideos[Day],"&gt;="&amp;$B266,tblVideos[Day],"&lt;"&amp;EDATE($B266,1),tblVideos[Channel ID],Channels!$E$10)</f>
        <v/>
      </c>
      <c r="H266" s="83">
        <f>COUNTIFS(tblVideos[Day],"&gt;="&amp;$B266,tblVideos[Day],"&lt;"&amp;EDATE($B266,1),tblVideos[Channel ID],Channels!$E$11)</f>
        <v/>
      </c>
      <c r="I266" s="91">
        <f>SUM(C266:H266)</f>
        <v/>
      </c>
      <c r="J266" s="92">
        <f>SUMIFS(tblVideos[Length],tblVideos[Day],"&gt;="&amp;$B266,tblVideos[Day],"&lt;"&amp;EDATE($B266,1))</f>
        <v/>
      </c>
      <c r="K266" s="83">
        <f>COUNTIFS(tblVideos[Watched On],"&gt;="&amp;$B266,tblVideos[Watched On],"&lt;"&amp;EDATE($B266,1),tblVideos[Status],"Watched")</f>
        <v/>
      </c>
      <c r="L266" s="92">
        <f>SUMIFS(tblVideos[Length],tblVideos[Watched On],"&gt;="&amp;$B266,tblVideos[Watched On],"&lt;"&amp;EDATE($B266,1),tblVideos[Status],"Watched")</f>
        <v/>
      </c>
      <c r="M266" s="94">
        <f>IF(I266=0,"Gap",IF(I266&gt;AVERAGE($I$144:$I$317)+2*STDEV($I$144:$I$317),"High",""))</f>
        <v/>
      </c>
    </row>
    <row r="267">
      <c r="B267" s="93" t="n">
        <v>44774</v>
      </c>
      <c r="C267" s="83">
        <f>COUNTIFS(tblVideos[Day],"&gt;="&amp;$B267,tblVideos[Day],"&lt;"&amp;EDATE($B267,1),tblVideos[Channel ID],Channels!$E$6)</f>
        <v/>
      </c>
      <c r="D267" s="83">
        <f>COUNTIFS(tblVideos[Day],"&gt;="&amp;$B267,tblVideos[Day],"&lt;"&amp;EDATE($B267,1),tblVideos[Channel ID],Channels!$E$7)</f>
        <v/>
      </c>
      <c r="E267" s="83">
        <f>COUNTIFS(tblVideos[Day],"&gt;="&amp;$B267,tblVideos[Day],"&lt;"&amp;EDATE($B267,1),tblVideos[Channel ID],Channels!$E$8)</f>
        <v/>
      </c>
      <c r="F267" s="83">
        <f>COUNTIFS(tblVideos[Day],"&gt;="&amp;$B267,tblVideos[Day],"&lt;"&amp;EDATE($B267,1),tblVideos[Channel ID],Channels!$E$9)</f>
        <v/>
      </c>
      <c r="G267" s="83">
        <f>COUNTIFS(tblVideos[Day],"&gt;="&amp;$B267,tblVideos[Day],"&lt;"&amp;EDATE($B267,1),tblVideos[Channel ID],Channels!$E$10)</f>
        <v/>
      </c>
      <c r="H267" s="83">
        <f>COUNTIFS(tblVideos[Day],"&gt;="&amp;$B267,tblVideos[Day],"&lt;"&amp;EDATE($B267,1),tblVideos[Channel ID],Channels!$E$11)</f>
        <v/>
      </c>
      <c r="I267" s="91">
        <f>SUM(C267:H267)</f>
        <v/>
      </c>
      <c r="J267" s="92">
        <f>SUMIFS(tblVideos[Length],tblVideos[Day],"&gt;="&amp;$B267,tblVideos[Day],"&lt;"&amp;EDATE($B267,1))</f>
        <v/>
      </c>
      <c r="K267" s="83">
        <f>COUNTIFS(tblVideos[Watched On],"&gt;="&amp;$B267,tblVideos[Watched On],"&lt;"&amp;EDATE($B267,1),tblVideos[Status],"Watched")</f>
        <v/>
      </c>
      <c r="L267" s="92">
        <f>SUMIFS(tblVideos[Length],tblVideos[Watched On],"&gt;="&amp;$B267,tblVideos[Watched On],"&lt;"&amp;EDATE($B267,1),tblVideos[Status],"Watched")</f>
        <v/>
      </c>
      <c r="M267" s="94">
        <f>IF(I267=0,"Gap",IF(I267&gt;AVERAGE($I$144:$I$317)+2*STDEV($I$144:$I$317),"High",""))</f>
        <v/>
      </c>
    </row>
    <row r="268">
      <c r="B268" s="93" t="n">
        <v>44805</v>
      </c>
      <c r="C268" s="83">
        <f>COUNTIFS(tblVideos[Day],"&gt;="&amp;$B268,tblVideos[Day],"&lt;"&amp;EDATE($B268,1),tblVideos[Channel ID],Channels!$E$6)</f>
        <v/>
      </c>
      <c r="D268" s="83">
        <f>COUNTIFS(tblVideos[Day],"&gt;="&amp;$B268,tblVideos[Day],"&lt;"&amp;EDATE($B268,1),tblVideos[Channel ID],Channels!$E$7)</f>
        <v/>
      </c>
      <c r="E268" s="83">
        <f>COUNTIFS(tblVideos[Day],"&gt;="&amp;$B268,tblVideos[Day],"&lt;"&amp;EDATE($B268,1),tblVideos[Channel ID],Channels!$E$8)</f>
        <v/>
      </c>
      <c r="F268" s="83">
        <f>COUNTIFS(tblVideos[Day],"&gt;="&amp;$B268,tblVideos[Day],"&lt;"&amp;EDATE($B268,1),tblVideos[Channel ID],Channels!$E$9)</f>
        <v/>
      </c>
      <c r="G268" s="83">
        <f>COUNTIFS(tblVideos[Day],"&gt;="&amp;$B268,tblVideos[Day],"&lt;"&amp;EDATE($B268,1),tblVideos[Channel ID],Channels!$E$10)</f>
        <v/>
      </c>
      <c r="H268" s="83">
        <f>COUNTIFS(tblVideos[Day],"&gt;="&amp;$B268,tblVideos[Day],"&lt;"&amp;EDATE($B268,1),tblVideos[Channel ID],Channels!$E$11)</f>
        <v/>
      </c>
      <c r="I268" s="91">
        <f>SUM(C268:H268)</f>
        <v/>
      </c>
      <c r="J268" s="92">
        <f>SUMIFS(tblVideos[Length],tblVideos[Day],"&gt;="&amp;$B268,tblVideos[Day],"&lt;"&amp;EDATE($B268,1))</f>
        <v/>
      </c>
      <c r="K268" s="83">
        <f>COUNTIFS(tblVideos[Watched On],"&gt;="&amp;$B268,tblVideos[Watched On],"&lt;"&amp;EDATE($B268,1),tblVideos[Status],"Watched")</f>
        <v/>
      </c>
      <c r="L268" s="92">
        <f>SUMIFS(tblVideos[Length],tblVideos[Watched On],"&gt;="&amp;$B268,tblVideos[Watched On],"&lt;"&amp;EDATE($B268,1),tblVideos[Status],"Watched")</f>
        <v/>
      </c>
      <c r="M268" s="94">
        <f>IF(I268=0,"Gap",IF(I268&gt;AVERAGE($I$144:$I$317)+2*STDEV($I$144:$I$317),"High",""))</f>
        <v/>
      </c>
    </row>
    <row r="269">
      <c r="B269" s="93" t="n">
        <v>44835</v>
      </c>
      <c r="C269" s="83">
        <f>COUNTIFS(tblVideos[Day],"&gt;="&amp;$B269,tblVideos[Day],"&lt;"&amp;EDATE($B269,1),tblVideos[Channel ID],Channels!$E$6)</f>
        <v/>
      </c>
      <c r="D269" s="83">
        <f>COUNTIFS(tblVideos[Day],"&gt;="&amp;$B269,tblVideos[Day],"&lt;"&amp;EDATE($B269,1),tblVideos[Channel ID],Channels!$E$7)</f>
        <v/>
      </c>
      <c r="E269" s="83">
        <f>COUNTIFS(tblVideos[Day],"&gt;="&amp;$B269,tblVideos[Day],"&lt;"&amp;EDATE($B269,1),tblVideos[Channel ID],Channels!$E$8)</f>
        <v/>
      </c>
      <c r="F269" s="83">
        <f>COUNTIFS(tblVideos[Day],"&gt;="&amp;$B269,tblVideos[Day],"&lt;"&amp;EDATE($B269,1),tblVideos[Channel ID],Channels!$E$9)</f>
        <v/>
      </c>
      <c r="G269" s="83">
        <f>COUNTIFS(tblVideos[Day],"&gt;="&amp;$B269,tblVideos[Day],"&lt;"&amp;EDATE($B269,1),tblVideos[Channel ID],Channels!$E$10)</f>
        <v/>
      </c>
      <c r="H269" s="83">
        <f>COUNTIFS(tblVideos[Day],"&gt;="&amp;$B269,tblVideos[Day],"&lt;"&amp;EDATE($B269,1),tblVideos[Channel ID],Channels!$E$11)</f>
        <v/>
      </c>
      <c r="I269" s="91">
        <f>SUM(C269:H269)</f>
        <v/>
      </c>
      <c r="J269" s="92">
        <f>SUMIFS(tblVideos[Length],tblVideos[Day],"&gt;="&amp;$B269,tblVideos[Day],"&lt;"&amp;EDATE($B269,1))</f>
        <v/>
      </c>
      <c r="K269" s="83">
        <f>COUNTIFS(tblVideos[Watched On],"&gt;="&amp;$B269,tblVideos[Watched On],"&lt;"&amp;EDATE($B269,1),tblVideos[Status],"Watched")</f>
        <v/>
      </c>
      <c r="L269" s="92">
        <f>SUMIFS(tblVideos[Length],tblVideos[Watched On],"&gt;="&amp;$B269,tblVideos[Watched On],"&lt;"&amp;EDATE($B269,1),tblVideos[Status],"Watched")</f>
        <v/>
      </c>
      <c r="M269" s="94">
        <f>IF(I269=0,"Gap",IF(I269&gt;AVERAGE($I$144:$I$317)+2*STDEV($I$144:$I$317),"High",""))</f>
        <v/>
      </c>
    </row>
    <row r="270">
      <c r="B270" s="93" t="n">
        <v>44866</v>
      </c>
      <c r="C270" s="83">
        <f>COUNTIFS(tblVideos[Day],"&gt;="&amp;$B270,tblVideos[Day],"&lt;"&amp;EDATE($B270,1),tblVideos[Channel ID],Channels!$E$6)</f>
        <v/>
      </c>
      <c r="D270" s="83">
        <f>COUNTIFS(tblVideos[Day],"&gt;="&amp;$B270,tblVideos[Day],"&lt;"&amp;EDATE($B270,1),tblVideos[Channel ID],Channels!$E$7)</f>
        <v/>
      </c>
      <c r="E270" s="83">
        <f>COUNTIFS(tblVideos[Day],"&gt;="&amp;$B270,tblVideos[Day],"&lt;"&amp;EDATE($B270,1),tblVideos[Channel ID],Channels!$E$8)</f>
        <v/>
      </c>
      <c r="F270" s="83">
        <f>COUNTIFS(tblVideos[Day],"&gt;="&amp;$B270,tblVideos[Day],"&lt;"&amp;EDATE($B270,1),tblVideos[Channel ID],Channels!$E$9)</f>
        <v/>
      </c>
      <c r="G270" s="83">
        <f>COUNTIFS(tblVideos[Day],"&gt;="&amp;$B270,tblVideos[Day],"&lt;"&amp;EDATE($B270,1),tblVideos[Channel ID],Channels!$E$10)</f>
        <v/>
      </c>
      <c r="H270" s="83">
        <f>COUNTIFS(tblVideos[Day],"&gt;="&amp;$B270,tblVideos[Day],"&lt;"&amp;EDATE($B270,1),tblVideos[Channel ID],Channels!$E$11)</f>
        <v/>
      </c>
      <c r="I270" s="91">
        <f>SUM(C270:H270)</f>
        <v/>
      </c>
      <c r="J270" s="92">
        <f>SUMIFS(tblVideos[Length],tblVideos[Day],"&gt;="&amp;$B270,tblVideos[Day],"&lt;"&amp;EDATE($B270,1))</f>
        <v/>
      </c>
      <c r="K270" s="83">
        <f>COUNTIFS(tblVideos[Watched On],"&gt;="&amp;$B270,tblVideos[Watched On],"&lt;"&amp;EDATE($B270,1),tblVideos[Status],"Watched")</f>
        <v/>
      </c>
      <c r="L270" s="92">
        <f>SUMIFS(tblVideos[Length],tblVideos[Watched On],"&gt;="&amp;$B270,tblVideos[Watched On],"&lt;"&amp;EDATE($B270,1),tblVideos[Status],"Watched")</f>
        <v/>
      </c>
      <c r="M270" s="94">
        <f>IF(I270=0,"Gap",IF(I270&gt;AVERAGE($I$144:$I$317)+2*STDEV($I$144:$I$317),"High",""))</f>
        <v/>
      </c>
    </row>
    <row r="271">
      <c r="B271" s="93" t="n">
        <v>44896</v>
      </c>
      <c r="C271" s="83">
        <f>COUNTIFS(tblVideos[Day],"&gt;="&amp;$B271,tblVideos[Day],"&lt;"&amp;EDATE($B271,1),tblVideos[Channel ID],Channels!$E$6)</f>
        <v/>
      </c>
      <c r="D271" s="83">
        <f>COUNTIFS(tblVideos[Day],"&gt;="&amp;$B271,tblVideos[Day],"&lt;"&amp;EDATE($B271,1),tblVideos[Channel ID],Channels!$E$7)</f>
        <v/>
      </c>
      <c r="E271" s="83">
        <f>COUNTIFS(tblVideos[Day],"&gt;="&amp;$B271,tblVideos[Day],"&lt;"&amp;EDATE($B271,1),tblVideos[Channel ID],Channels!$E$8)</f>
        <v/>
      </c>
      <c r="F271" s="83">
        <f>COUNTIFS(tblVideos[Day],"&gt;="&amp;$B271,tblVideos[Day],"&lt;"&amp;EDATE($B271,1),tblVideos[Channel ID],Channels!$E$9)</f>
        <v/>
      </c>
      <c r="G271" s="83">
        <f>COUNTIFS(tblVideos[Day],"&gt;="&amp;$B271,tblVideos[Day],"&lt;"&amp;EDATE($B271,1),tblVideos[Channel ID],Channels!$E$10)</f>
        <v/>
      </c>
      <c r="H271" s="83">
        <f>COUNTIFS(tblVideos[Day],"&gt;="&amp;$B271,tblVideos[Day],"&lt;"&amp;EDATE($B271,1),tblVideos[Channel ID],Channels!$E$11)</f>
        <v/>
      </c>
      <c r="I271" s="91">
        <f>SUM(C271:H271)</f>
        <v/>
      </c>
      <c r="J271" s="92">
        <f>SUMIFS(tblVideos[Length],tblVideos[Day],"&gt;="&amp;$B271,tblVideos[Day],"&lt;"&amp;EDATE($B271,1))</f>
        <v/>
      </c>
      <c r="K271" s="83">
        <f>COUNTIFS(tblVideos[Watched On],"&gt;="&amp;$B271,tblVideos[Watched On],"&lt;"&amp;EDATE($B271,1),tblVideos[Status],"Watched")</f>
        <v/>
      </c>
      <c r="L271" s="92">
        <f>SUMIFS(tblVideos[Length],tblVideos[Watched On],"&gt;="&amp;$B271,tblVideos[Watched On],"&lt;"&amp;EDATE($B271,1),tblVideos[Status],"Watched")</f>
        <v/>
      </c>
      <c r="M271" s="94">
        <f>IF(I271=0,"Gap",IF(I271&gt;AVERAGE($I$144:$I$317)+2*STDEV($I$144:$I$317),"High",""))</f>
        <v/>
      </c>
    </row>
    <row r="272">
      <c r="B272" s="93" t="n">
        <v>44927</v>
      </c>
      <c r="C272" s="83">
        <f>COUNTIFS(tblVideos[Day],"&gt;="&amp;$B272,tblVideos[Day],"&lt;"&amp;EDATE($B272,1),tblVideos[Channel ID],Channels!$E$6)</f>
        <v/>
      </c>
      <c r="D272" s="83">
        <f>COUNTIFS(tblVideos[Day],"&gt;="&amp;$B272,tblVideos[Day],"&lt;"&amp;EDATE($B272,1),tblVideos[Channel ID],Channels!$E$7)</f>
        <v/>
      </c>
      <c r="E272" s="83">
        <f>COUNTIFS(tblVideos[Day],"&gt;="&amp;$B272,tblVideos[Day],"&lt;"&amp;EDATE($B272,1),tblVideos[Channel ID],Channels!$E$8)</f>
        <v/>
      </c>
      <c r="F272" s="83">
        <f>COUNTIFS(tblVideos[Day],"&gt;="&amp;$B272,tblVideos[Day],"&lt;"&amp;EDATE($B272,1),tblVideos[Channel ID],Channels!$E$9)</f>
        <v/>
      </c>
      <c r="G272" s="83">
        <f>COUNTIFS(tblVideos[Day],"&gt;="&amp;$B272,tblVideos[Day],"&lt;"&amp;EDATE($B272,1),tblVideos[Channel ID],Channels!$E$10)</f>
        <v/>
      </c>
      <c r="H272" s="83">
        <f>COUNTIFS(tblVideos[Day],"&gt;="&amp;$B272,tblVideos[Day],"&lt;"&amp;EDATE($B272,1),tblVideos[Channel ID],Channels!$E$11)</f>
        <v/>
      </c>
      <c r="I272" s="91">
        <f>SUM(C272:H272)</f>
        <v/>
      </c>
      <c r="J272" s="92">
        <f>SUMIFS(tblVideos[Length],tblVideos[Day],"&gt;="&amp;$B272,tblVideos[Day],"&lt;"&amp;EDATE($B272,1))</f>
        <v/>
      </c>
      <c r="K272" s="83">
        <f>COUNTIFS(tblVideos[Watched On],"&gt;="&amp;$B272,tblVideos[Watched On],"&lt;"&amp;EDATE($B272,1),tblVideos[Status],"Watched")</f>
        <v/>
      </c>
      <c r="L272" s="92">
        <f>SUMIFS(tblVideos[Length],tblVideos[Watched On],"&gt;="&amp;$B272,tblVideos[Watched On],"&lt;"&amp;EDATE($B272,1),tblVideos[Status],"Watched")</f>
        <v/>
      </c>
      <c r="M272" s="94">
        <f>IF(I272=0,"Gap",IF(I272&gt;AVERAGE($I$144:$I$317)+2*STDEV($I$144:$I$317),"High",""))</f>
        <v/>
      </c>
    </row>
    <row r="273">
      <c r="B273" s="93" t="n">
        <v>44958</v>
      </c>
      <c r="C273" s="83">
        <f>COUNTIFS(tblVideos[Day],"&gt;="&amp;$B273,tblVideos[Day],"&lt;"&amp;EDATE($B273,1),tblVideos[Channel ID],Channels!$E$6)</f>
        <v/>
      </c>
      <c r="D273" s="83">
        <f>COUNTIFS(tblVideos[Day],"&gt;="&amp;$B273,tblVideos[Day],"&lt;"&amp;EDATE($B273,1),tblVideos[Channel ID],Channels!$E$7)</f>
        <v/>
      </c>
      <c r="E273" s="83">
        <f>COUNTIFS(tblVideos[Day],"&gt;="&amp;$B273,tblVideos[Day],"&lt;"&amp;EDATE($B273,1),tblVideos[Channel ID],Channels!$E$8)</f>
        <v/>
      </c>
      <c r="F273" s="83">
        <f>COUNTIFS(tblVideos[Day],"&gt;="&amp;$B273,tblVideos[Day],"&lt;"&amp;EDATE($B273,1),tblVideos[Channel ID],Channels!$E$9)</f>
        <v/>
      </c>
      <c r="G273" s="83">
        <f>COUNTIFS(tblVideos[Day],"&gt;="&amp;$B273,tblVideos[Day],"&lt;"&amp;EDATE($B273,1),tblVideos[Channel ID],Channels!$E$10)</f>
        <v/>
      </c>
      <c r="H273" s="83">
        <f>COUNTIFS(tblVideos[Day],"&gt;="&amp;$B273,tblVideos[Day],"&lt;"&amp;EDATE($B273,1),tblVideos[Channel ID],Channels!$E$11)</f>
        <v/>
      </c>
      <c r="I273" s="91">
        <f>SUM(C273:H273)</f>
        <v/>
      </c>
      <c r="J273" s="92">
        <f>SUMIFS(tblVideos[Length],tblVideos[Day],"&gt;="&amp;$B273,tblVideos[Day],"&lt;"&amp;EDATE($B273,1))</f>
        <v/>
      </c>
      <c r="K273" s="83">
        <f>COUNTIFS(tblVideos[Watched On],"&gt;="&amp;$B273,tblVideos[Watched On],"&lt;"&amp;EDATE($B273,1),tblVideos[Status],"Watched")</f>
        <v/>
      </c>
      <c r="L273" s="92">
        <f>SUMIFS(tblVideos[Length],tblVideos[Watched On],"&gt;="&amp;$B273,tblVideos[Watched On],"&lt;"&amp;EDATE($B273,1),tblVideos[Status],"Watched")</f>
        <v/>
      </c>
      <c r="M273" s="94">
        <f>IF(I273=0,"Gap",IF(I273&gt;AVERAGE($I$144:$I$317)+2*STDEV($I$144:$I$317),"High",""))</f>
        <v/>
      </c>
    </row>
    <row r="274">
      <c r="B274" s="93" t="n">
        <v>44986</v>
      </c>
      <c r="C274" s="83">
        <f>COUNTIFS(tblVideos[Day],"&gt;="&amp;$B274,tblVideos[Day],"&lt;"&amp;EDATE($B274,1),tblVideos[Channel ID],Channels!$E$6)</f>
        <v/>
      </c>
      <c r="D274" s="83">
        <f>COUNTIFS(tblVideos[Day],"&gt;="&amp;$B274,tblVideos[Day],"&lt;"&amp;EDATE($B274,1),tblVideos[Channel ID],Channels!$E$7)</f>
        <v/>
      </c>
      <c r="E274" s="83">
        <f>COUNTIFS(tblVideos[Day],"&gt;="&amp;$B274,tblVideos[Day],"&lt;"&amp;EDATE($B274,1),tblVideos[Channel ID],Channels!$E$8)</f>
        <v/>
      </c>
      <c r="F274" s="83">
        <f>COUNTIFS(tblVideos[Day],"&gt;="&amp;$B274,tblVideos[Day],"&lt;"&amp;EDATE($B274,1),tblVideos[Channel ID],Channels!$E$9)</f>
        <v/>
      </c>
      <c r="G274" s="83">
        <f>COUNTIFS(tblVideos[Day],"&gt;="&amp;$B274,tblVideos[Day],"&lt;"&amp;EDATE($B274,1),tblVideos[Channel ID],Channels!$E$10)</f>
        <v/>
      </c>
      <c r="H274" s="83">
        <f>COUNTIFS(tblVideos[Day],"&gt;="&amp;$B274,tblVideos[Day],"&lt;"&amp;EDATE($B274,1),tblVideos[Channel ID],Channels!$E$11)</f>
        <v/>
      </c>
      <c r="I274" s="91">
        <f>SUM(C274:H274)</f>
        <v/>
      </c>
      <c r="J274" s="92">
        <f>SUMIFS(tblVideos[Length],tblVideos[Day],"&gt;="&amp;$B274,tblVideos[Day],"&lt;"&amp;EDATE($B274,1))</f>
        <v/>
      </c>
      <c r="K274" s="83">
        <f>COUNTIFS(tblVideos[Watched On],"&gt;="&amp;$B274,tblVideos[Watched On],"&lt;"&amp;EDATE($B274,1),tblVideos[Status],"Watched")</f>
        <v/>
      </c>
      <c r="L274" s="92">
        <f>SUMIFS(tblVideos[Length],tblVideos[Watched On],"&gt;="&amp;$B274,tblVideos[Watched On],"&lt;"&amp;EDATE($B274,1),tblVideos[Status],"Watched")</f>
        <v/>
      </c>
      <c r="M274" s="94">
        <f>IF(I274=0,"Gap",IF(I274&gt;AVERAGE($I$144:$I$317)+2*STDEV($I$144:$I$317),"High",""))</f>
        <v/>
      </c>
    </row>
    <row r="275">
      <c r="B275" s="93" t="n">
        <v>45017</v>
      </c>
      <c r="C275" s="83">
        <f>COUNTIFS(tblVideos[Day],"&gt;="&amp;$B275,tblVideos[Day],"&lt;"&amp;EDATE($B275,1),tblVideos[Channel ID],Channels!$E$6)</f>
        <v/>
      </c>
      <c r="D275" s="83">
        <f>COUNTIFS(tblVideos[Day],"&gt;="&amp;$B275,tblVideos[Day],"&lt;"&amp;EDATE($B275,1),tblVideos[Channel ID],Channels!$E$7)</f>
        <v/>
      </c>
      <c r="E275" s="83">
        <f>COUNTIFS(tblVideos[Day],"&gt;="&amp;$B275,tblVideos[Day],"&lt;"&amp;EDATE($B275,1),tblVideos[Channel ID],Channels!$E$8)</f>
        <v/>
      </c>
      <c r="F275" s="83">
        <f>COUNTIFS(tblVideos[Day],"&gt;="&amp;$B275,tblVideos[Day],"&lt;"&amp;EDATE($B275,1),tblVideos[Channel ID],Channels!$E$9)</f>
        <v/>
      </c>
      <c r="G275" s="83">
        <f>COUNTIFS(tblVideos[Day],"&gt;="&amp;$B275,tblVideos[Day],"&lt;"&amp;EDATE($B275,1),tblVideos[Channel ID],Channels!$E$10)</f>
        <v/>
      </c>
      <c r="H275" s="83">
        <f>COUNTIFS(tblVideos[Day],"&gt;="&amp;$B275,tblVideos[Day],"&lt;"&amp;EDATE($B275,1),tblVideos[Channel ID],Channels!$E$11)</f>
        <v/>
      </c>
      <c r="I275" s="91">
        <f>SUM(C275:H275)</f>
        <v/>
      </c>
      <c r="J275" s="92">
        <f>SUMIFS(tblVideos[Length],tblVideos[Day],"&gt;="&amp;$B275,tblVideos[Day],"&lt;"&amp;EDATE($B275,1))</f>
        <v/>
      </c>
      <c r="K275" s="83">
        <f>COUNTIFS(tblVideos[Watched On],"&gt;="&amp;$B275,tblVideos[Watched On],"&lt;"&amp;EDATE($B275,1),tblVideos[Status],"Watched")</f>
        <v/>
      </c>
      <c r="L275" s="92">
        <f>SUMIFS(tblVideos[Length],tblVideos[Watched On],"&gt;="&amp;$B275,tblVideos[Watched On],"&lt;"&amp;EDATE($B275,1),tblVideos[Status],"Watched")</f>
        <v/>
      </c>
      <c r="M275" s="94">
        <f>IF(I275=0,"Gap",IF(I275&gt;AVERAGE($I$144:$I$317)+2*STDEV($I$144:$I$317),"High",""))</f>
        <v/>
      </c>
    </row>
    <row r="276">
      <c r="B276" s="93" t="n">
        <v>45047</v>
      </c>
      <c r="C276" s="83">
        <f>COUNTIFS(tblVideos[Day],"&gt;="&amp;$B276,tblVideos[Day],"&lt;"&amp;EDATE($B276,1),tblVideos[Channel ID],Channels!$E$6)</f>
        <v/>
      </c>
      <c r="D276" s="83">
        <f>COUNTIFS(tblVideos[Day],"&gt;="&amp;$B276,tblVideos[Day],"&lt;"&amp;EDATE($B276,1),tblVideos[Channel ID],Channels!$E$7)</f>
        <v/>
      </c>
      <c r="E276" s="83">
        <f>COUNTIFS(tblVideos[Day],"&gt;="&amp;$B276,tblVideos[Day],"&lt;"&amp;EDATE($B276,1),tblVideos[Channel ID],Channels!$E$8)</f>
        <v/>
      </c>
      <c r="F276" s="83">
        <f>COUNTIFS(tblVideos[Day],"&gt;="&amp;$B276,tblVideos[Day],"&lt;"&amp;EDATE($B276,1),tblVideos[Channel ID],Channels!$E$9)</f>
        <v/>
      </c>
      <c r="G276" s="83">
        <f>COUNTIFS(tblVideos[Day],"&gt;="&amp;$B276,tblVideos[Day],"&lt;"&amp;EDATE($B276,1),tblVideos[Channel ID],Channels!$E$10)</f>
        <v/>
      </c>
      <c r="H276" s="83">
        <f>COUNTIFS(tblVideos[Day],"&gt;="&amp;$B276,tblVideos[Day],"&lt;"&amp;EDATE($B276,1),tblVideos[Channel ID],Channels!$E$11)</f>
        <v/>
      </c>
      <c r="I276" s="91">
        <f>SUM(C276:H276)</f>
        <v/>
      </c>
      <c r="J276" s="92">
        <f>SUMIFS(tblVideos[Length],tblVideos[Day],"&gt;="&amp;$B276,tblVideos[Day],"&lt;"&amp;EDATE($B276,1))</f>
        <v/>
      </c>
      <c r="K276" s="83">
        <f>COUNTIFS(tblVideos[Watched On],"&gt;="&amp;$B276,tblVideos[Watched On],"&lt;"&amp;EDATE($B276,1),tblVideos[Status],"Watched")</f>
        <v/>
      </c>
      <c r="L276" s="92">
        <f>SUMIFS(tblVideos[Length],tblVideos[Watched On],"&gt;="&amp;$B276,tblVideos[Watched On],"&lt;"&amp;EDATE($B276,1),tblVideos[Status],"Watched")</f>
        <v/>
      </c>
      <c r="M276" s="94">
        <f>IF(I276=0,"Gap",IF(I276&gt;AVERAGE($I$144:$I$317)+2*STDEV($I$144:$I$317),"High",""))</f>
        <v/>
      </c>
    </row>
    <row r="277">
      <c r="B277" s="93" t="n">
        <v>45078</v>
      </c>
      <c r="C277" s="83">
        <f>COUNTIFS(tblVideos[Day],"&gt;="&amp;$B277,tblVideos[Day],"&lt;"&amp;EDATE($B277,1),tblVideos[Channel ID],Channels!$E$6)</f>
        <v/>
      </c>
      <c r="D277" s="83">
        <f>COUNTIFS(tblVideos[Day],"&gt;="&amp;$B277,tblVideos[Day],"&lt;"&amp;EDATE($B277,1),tblVideos[Channel ID],Channels!$E$7)</f>
        <v/>
      </c>
      <c r="E277" s="83">
        <f>COUNTIFS(tblVideos[Day],"&gt;="&amp;$B277,tblVideos[Day],"&lt;"&amp;EDATE($B277,1),tblVideos[Channel ID],Channels!$E$8)</f>
        <v/>
      </c>
      <c r="F277" s="83">
        <f>COUNTIFS(tblVideos[Day],"&gt;="&amp;$B277,tblVideos[Day],"&lt;"&amp;EDATE($B277,1),tblVideos[Channel ID],Channels!$E$9)</f>
        <v/>
      </c>
      <c r="G277" s="83">
        <f>COUNTIFS(tblVideos[Day],"&gt;="&amp;$B277,tblVideos[Day],"&lt;"&amp;EDATE($B277,1),tblVideos[Channel ID],Channels!$E$10)</f>
        <v/>
      </c>
      <c r="H277" s="83">
        <f>COUNTIFS(tblVideos[Day],"&gt;="&amp;$B277,tblVideos[Day],"&lt;"&amp;EDATE($B277,1),tblVideos[Channel ID],Channels!$E$11)</f>
        <v/>
      </c>
      <c r="I277" s="91">
        <f>SUM(C277:H277)</f>
        <v/>
      </c>
      <c r="J277" s="92">
        <f>SUMIFS(tblVideos[Length],tblVideos[Day],"&gt;="&amp;$B277,tblVideos[Day],"&lt;"&amp;EDATE($B277,1))</f>
        <v/>
      </c>
      <c r="K277" s="83">
        <f>COUNTIFS(tblVideos[Watched On],"&gt;="&amp;$B277,tblVideos[Watched On],"&lt;"&amp;EDATE($B277,1),tblVideos[Status],"Watched")</f>
        <v/>
      </c>
      <c r="L277" s="92">
        <f>SUMIFS(tblVideos[Length],tblVideos[Watched On],"&gt;="&amp;$B277,tblVideos[Watched On],"&lt;"&amp;EDATE($B277,1),tblVideos[Status],"Watched")</f>
        <v/>
      </c>
      <c r="M277" s="94">
        <f>IF(I277=0,"Gap",IF(I277&gt;AVERAGE($I$144:$I$317)+2*STDEV($I$144:$I$317),"High",""))</f>
        <v/>
      </c>
    </row>
    <row r="278">
      <c r="B278" s="93" t="n">
        <v>45108</v>
      </c>
      <c r="C278" s="83">
        <f>COUNTIFS(tblVideos[Day],"&gt;="&amp;$B278,tblVideos[Day],"&lt;"&amp;EDATE($B278,1),tblVideos[Channel ID],Channels!$E$6)</f>
        <v/>
      </c>
      <c r="D278" s="83">
        <f>COUNTIFS(tblVideos[Day],"&gt;="&amp;$B278,tblVideos[Day],"&lt;"&amp;EDATE($B278,1),tblVideos[Channel ID],Channels!$E$7)</f>
        <v/>
      </c>
      <c r="E278" s="83">
        <f>COUNTIFS(tblVideos[Day],"&gt;="&amp;$B278,tblVideos[Day],"&lt;"&amp;EDATE($B278,1),tblVideos[Channel ID],Channels!$E$8)</f>
        <v/>
      </c>
      <c r="F278" s="83">
        <f>COUNTIFS(tblVideos[Day],"&gt;="&amp;$B278,tblVideos[Day],"&lt;"&amp;EDATE($B278,1),tblVideos[Channel ID],Channels!$E$9)</f>
        <v/>
      </c>
      <c r="G278" s="83">
        <f>COUNTIFS(tblVideos[Day],"&gt;="&amp;$B278,tblVideos[Day],"&lt;"&amp;EDATE($B278,1),tblVideos[Channel ID],Channels!$E$10)</f>
        <v/>
      </c>
      <c r="H278" s="83">
        <f>COUNTIFS(tblVideos[Day],"&gt;="&amp;$B278,tblVideos[Day],"&lt;"&amp;EDATE($B278,1),tblVideos[Channel ID],Channels!$E$11)</f>
        <v/>
      </c>
      <c r="I278" s="91">
        <f>SUM(C278:H278)</f>
        <v/>
      </c>
      <c r="J278" s="92">
        <f>SUMIFS(tblVideos[Length],tblVideos[Day],"&gt;="&amp;$B278,tblVideos[Day],"&lt;"&amp;EDATE($B278,1))</f>
        <v/>
      </c>
      <c r="K278" s="83">
        <f>COUNTIFS(tblVideos[Watched On],"&gt;="&amp;$B278,tblVideos[Watched On],"&lt;"&amp;EDATE($B278,1),tblVideos[Status],"Watched")</f>
        <v/>
      </c>
      <c r="L278" s="92">
        <f>SUMIFS(tblVideos[Length],tblVideos[Watched On],"&gt;="&amp;$B278,tblVideos[Watched On],"&lt;"&amp;EDATE($B278,1),tblVideos[Status],"Watched")</f>
        <v/>
      </c>
      <c r="M278" s="94">
        <f>IF(I278=0,"Gap",IF(I278&gt;AVERAGE($I$144:$I$317)+2*STDEV($I$144:$I$317),"High",""))</f>
        <v/>
      </c>
    </row>
    <row r="279">
      <c r="B279" s="93" t="n">
        <v>45139</v>
      </c>
      <c r="C279" s="83">
        <f>COUNTIFS(tblVideos[Day],"&gt;="&amp;$B279,tblVideos[Day],"&lt;"&amp;EDATE($B279,1),tblVideos[Channel ID],Channels!$E$6)</f>
        <v/>
      </c>
      <c r="D279" s="83">
        <f>COUNTIFS(tblVideos[Day],"&gt;="&amp;$B279,tblVideos[Day],"&lt;"&amp;EDATE($B279,1),tblVideos[Channel ID],Channels!$E$7)</f>
        <v/>
      </c>
      <c r="E279" s="83">
        <f>COUNTIFS(tblVideos[Day],"&gt;="&amp;$B279,tblVideos[Day],"&lt;"&amp;EDATE($B279,1),tblVideos[Channel ID],Channels!$E$8)</f>
        <v/>
      </c>
      <c r="F279" s="83">
        <f>COUNTIFS(tblVideos[Day],"&gt;="&amp;$B279,tblVideos[Day],"&lt;"&amp;EDATE($B279,1),tblVideos[Channel ID],Channels!$E$9)</f>
        <v/>
      </c>
      <c r="G279" s="83">
        <f>COUNTIFS(tblVideos[Day],"&gt;="&amp;$B279,tblVideos[Day],"&lt;"&amp;EDATE($B279,1),tblVideos[Channel ID],Channels!$E$10)</f>
        <v/>
      </c>
      <c r="H279" s="83">
        <f>COUNTIFS(tblVideos[Day],"&gt;="&amp;$B279,tblVideos[Day],"&lt;"&amp;EDATE($B279,1),tblVideos[Channel ID],Channels!$E$11)</f>
        <v/>
      </c>
      <c r="I279" s="91">
        <f>SUM(C279:H279)</f>
        <v/>
      </c>
      <c r="J279" s="92">
        <f>SUMIFS(tblVideos[Length],tblVideos[Day],"&gt;="&amp;$B279,tblVideos[Day],"&lt;"&amp;EDATE($B279,1))</f>
        <v/>
      </c>
      <c r="K279" s="83">
        <f>COUNTIFS(tblVideos[Watched On],"&gt;="&amp;$B279,tblVideos[Watched On],"&lt;"&amp;EDATE($B279,1),tblVideos[Status],"Watched")</f>
        <v/>
      </c>
      <c r="L279" s="92">
        <f>SUMIFS(tblVideos[Length],tblVideos[Watched On],"&gt;="&amp;$B279,tblVideos[Watched On],"&lt;"&amp;EDATE($B279,1),tblVideos[Status],"Watched")</f>
        <v/>
      </c>
      <c r="M279" s="94">
        <f>IF(I279=0,"Gap",IF(I279&gt;AVERAGE($I$144:$I$317)+2*STDEV($I$144:$I$317),"High",""))</f>
        <v/>
      </c>
    </row>
    <row r="280">
      <c r="B280" s="93" t="n">
        <v>45170</v>
      </c>
      <c r="C280" s="83">
        <f>COUNTIFS(tblVideos[Day],"&gt;="&amp;$B280,tblVideos[Day],"&lt;"&amp;EDATE($B280,1),tblVideos[Channel ID],Channels!$E$6)</f>
        <v/>
      </c>
      <c r="D280" s="83">
        <f>COUNTIFS(tblVideos[Day],"&gt;="&amp;$B280,tblVideos[Day],"&lt;"&amp;EDATE($B280,1),tblVideos[Channel ID],Channels!$E$7)</f>
        <v/>
      </c>
      <c r="E280" s="83">
        <f>COUNTIFS(tblVideos[Day],"&gt;="&amp;$B280,tblVideos[Day],"&lt;"&amp;EDATE($B280,1),tblVideos[Channel ID],Channels!$E$8)</f>
        <v/>
      </c>
      <c r="F280" s="83">
        <f>COUNTIFS(tblVideos[Day],"&gt;="&amp;$B280,tblVideos[Day],"&lt;"&amp;EDATE($B280,1),tblVideos[Channel ID],Channels!$E$9)</f>
        <v/>
      </c>
      <c r="G280" s="83">
        <f>COUNTIFS(tblVideos[Day],"&gt;="&amp;$B280,tblVideos[Day],"&lt;"&amp;EDATE($B280,1),tblVideos[Channel ID],Channels!$E$10)</f>
        <v/>
      </c>
      <c r="H280" s="83">
        <f>COUNTIFS(tblVideos[Day],"&gt;="&amp;$B280,tblVideos[Day],"&lt;"&amp;EDATE($B280,1),tblVideos[Channel ID],Channels!$E$11)</f>
        <v/>
      </c>
      <c r="I280" s="91">
        <f>SUM(C280:H280)</f>
        <v/>
      </c>
      <c r="J280" s="92">
        <f>SUMIFS(tblVideos[Length],tblVideos[Day],"&gt;="&amp;$B280,tblVideos[Day],"&lt;"&amp;EDATE($B280,1))</f>
        <v/>
      </c>
      <c r="K280" s="83">
        <f>COUNTIFS(tblVideos[Watched On],"&gt;="&amp;$B280,tblVideos[Watched On],"&lt;"&amp;EDATE($B280,1),tblVideos[Status],"Watched")</f>
        <v/>
      </c>
      <c r="L280" s="92">
        <f>SUMIFS(tblVideos[Length],tblVideos[Watched On],"&gt;="&amp;$B280,tblVideos[Watched On],"&lt;"&amp;EDATE($B280,1),tblVideos[Status],"Watched")</f>
        <v/>
      </c>
      <c r="M280" s="94">
        <f>IF(I280=0,"Gap",IF(I280&gt;AVERAGE($I$144:$I$317)+2*STDEV($I$144:$I$317),"High",""))</f>
        <v/>
      </c>
    </row>
    <row r="281">
      <c r="B281" s="93" t="n">
        <v>45200</v>
      </c>
      <c r="C281" s="83">
        <f>COUNTIFS(tblVideos[Day],"&gt;="&amp;$B281,tblVideos[Day],"&lt;"&amp;EDATE($B281,1),tblVideos[Channel ID],Channels!$E$6)</f>
        <v/>
      </c>
      <c r="D281" s="83">
        <f>COUNTIFS(tblVideos[Day],"&gt;="&amp;$B281,tblVideos[Day],"&lt;"&amp;EDATE($B281,1),tblVideos[Channel ID],Channels!$E$7)</f>
        <v/>
      </c>
      <c r="E281" s="83">
        <f>COUNTIFS(tblVideos[Day],"&gt;="&amp;$B281,tblVideos[Day],"&lt;"&amp;EDATE($B281,1),tblVideos[Channel ID],Channels!$E$8)</f>
        <v/>
      </c>
      <c r="F281" s="83">
        <f>COUNTIFS(tblVideos[Day],"&gt;="&amp;$B281,tblVideos[Day],"&lt;"&amp;EDATE($B281,1),tblVideos[Channel ID],Channels!$E$9)</f>
        <v/>
      </c>
      <c r="G281" s="83">
        <f>COUNTIFS(tblVideos[Day],"&gt;="&amp;$B281,tblVideos[Day],"&lt;"&amp;EDATE($B281,1),tblVideos[Channel ID],Channels!$E$10)</f>
        <v/>
      </c>
      <c r="H281" s="83">
        <f>COUNTIFS(tblVideos[Day],"&gt;="&amp;$B281,tblVideos[Day],"&lt;"&amp;EDATE($B281,1),tblVideos[Channel ID],Channels!$E$11)</f>
        <v/>
      </c>
      <c r="I281" s="91">
        <f>SUM(C281:H281)</f>
        <v/>
      </c>
      <c r="J281" s="92">
        <f>SUMIFS(tblVideos[Length],tblVideos[Day],"&gt;="&amp;$B281,tblVideos[Day],"&lt;"&amp;EDATE($B281,1))</f>
        <v/>
      </c>
      <c r="K281" s="83">
        <f>COUNTIFS(tblVideos[Watched On],"&gt;="&amp;$B281,tblVideos[Watched On],"&lt;"&amp;EDATE($B281,1),tblVideos[Status],"Watched")</f>
        <v/>
      </c>
      <c r="L281" s="92">
        <f>SUMIFS(tblVideos[Length],tblVideos[Watched On],"&gt;="&amp;$B281,tblVideos[Watched On],"&lt;"&amp;EDATE($B281,1),tblVideos[Status],"Watched")</f>
        <v/>
      </c>
      <c r="M281" s="94">
        <f>IF(I281=0,"Gap",IF(I281&gt;AVERAGE($I$144:$I$317)+2*STDEV($I$144:$I$317),"High",""))</f>
        <v/>
      </c>
    </row>
    <row r="282">
      <c r="B282" s="93" t="n">
        <v>45231</v>
      </c>
      <c r="C282" s="83">
        <f>COUNTIFS(tblVideos[Day],"&gt;="&amp;$B282,tblVideos[Day],"&lt;"&amp;EDATE($B282,1),tblVideos[Channel ID],Channels!$E$6)</f>
        <v/>
      </c>
      <c r="D282" s="83">
        <f>COUNTIFS(tblVideos[Day],"&gt;="&amp;$B282,tblVideos[Day],"&lt;"&amp;EDATE($B282,1),tblVideos[Channel ID],Channels!$E$7)</f>
        <v/>
      </c>
      <c r="E282" s="83">
        <f>COUNTIFS(tblVideos[Day],"&gt;="&amp;$B282,tblVideos[Day],"&lt;"&amp;EDATE($B282,1),tblVideos[Channel ID],Channels!$E$8)</f>
        <v/>
      </c>
      <c r="F282" s="83">
        <f>COUNTIFS(tblVideos[Day],"&gt;="&amp;$B282,tblVideos[Day],"&lt;"&amp;EDATE($B282,1),tblVideos[Channel ID],Channels!$E$9)</f>
        <v/>
      </c>
      <c r="G282" s="83">
        <f>COUNTIFS(tblVideos[Day],"&gt;="&amp;$B282,tblVideos[Day],"&lt;"&amp;EDATE($B282,1),tblVideos[Channel ID],Channels!$E$10)</f>
        <v/>
      </c>
      <c r="H282" s="83">
        <f>COUNTIFS(tblVideos[Day],"&gt;="&amp;$B282,tblVideos[Day],"&lt;"&amp;EDATE($B282,1),tblVideos[Channel ID],Channels!$E$11)</f>
        <v/>
      </c>
      <c r="I282" s="91">
        <f>SUM(C282:H282)</f>
        <v/>
      </c>
      <c r="J282" s="92">
        <f>SUMIFS(tblVideos[Length],tblVideos[Day],"&gt;="&amp;$B282,tblVideos[Day],"&lt;"&amp;EDATE($B282,1))</f>
        <v/>
      </c>
      <c r="K282" s="83">
        <f>COUNTIFS(tblVideos[Watched On],"&gt;="&amp;$B282,tblVideos[Watched On],"&lt;"&amp;EDATE($B282,1),tblVideos[Status],"Watched")</f>
        <v/>
      </c>
      <c r="L282" s="92">
        <f>SUMIFS(tblVideos[Length],tblVideos[Watched On],"&gt;="&amp;$B282,tblVideos[Watched On],"&lt;"&amp;EDATE($B282,1),tblVideos[Status],"Watched")</f>
        <v/>
      </c>
      <c r="M282" s="94">
        <f>IF(I282=0,"Gap",IF(I282&gt;AVERAGE($I$144:$I$317)+2*STDEV($I$144:$I$317),"High",""))</f>
        <v/>
      </c>
    </row>
    <row r="283">
      <c r="B283" s="93" t="n">
        <v>45261</v>
      </c>
      <c r="C283" s="83">
        <f>COUNTIFS(tblVideos[Day],"&gt;="&amp;$B283,tblVideos[Day],"&lt;"&amp;EDATE($B283,1),tblVideos[Channel ID],Channels!$E$6)</f>
        <v/>
      </c>
      <c r="D283" s="83">
        <f>COUNTIFS(tblVideos[Day],"&gt;="&amp;$B283,tblVideos[Day],"&lt;"&amp;EDATE($B283,1),tblVideos[Channel ID],Channels!$E$7)</f>
        <v/>
      </c>
      <c r="E283" s="83">
        <f>COUNTIFS(tblVideos[Day],"&gt;="&amp;$B283,tblVideos[Day],"&lt;"&amp;EDATE($B283,1),tblVideos[Channel ID],Channels!$E$8)</f>
        <v/>
      </c>
      <c r="F283" s="83">
        <f>COUNTIFS(tblVideos[Day],"&gt;="&amp;$B283,tblVideos[Day],"&lt;"&amp;EDATE($B283,1),tblVideos[Channel ID],Channels!$E$9)</f>
        <v/>
      </c>
      <c r="G283" s="83">
        <f>COUNTIFS(tblVideos[Day],"&gt;="&amp;$B283,tblVideos[Day],"&lt;"&amp;EDATE($B283,1),tblVideos[Channel ID],Channels!$E$10)</f>
        <v/>
      </c>
      <c r="H283" s="83">
        <f>COUNTIFS(tblVideos[Day],"&gt;="&amp;$B283,tblVideos[Day],"&lt;"&amp;EDATE($B283,1),tblVideos[Channel ID],Channels!$E$11)</f>
        <v/>
      </c>
      <c r="I283" s="91">
        <f>SUM(C283:H283)</f>
        <v/>
      </c>
      <c r="J283" s="92">
        <f>SUMIFS(tblVideos[Length],tblVideos[Day],"&gt;="&amp;$B283,tblVideos[Day],"&lt;"&amp;EDATE($B283,1))</f>
        <v/>
      </c>
      <c r="K283" s="83">
        <f>COUNTIFS(tblVideos[Watched On],"&gt;="&amp;$B283,tblVideos[Watched On],"&lt;"&amp;EDATE($B283,1),tblVideos[Status],"Watched")</f>
        <v/>
      </c>
      <c r="L283" s="92">
        <f>SUMIFS(tblVideos[Length],tblVideos[Watched On],"&gt;="&amp;$B283,tblVideos[Watched On],"&lt;"&amp;EDATE($B283,1),tblVideos[Status],"Watched")</f>
        <v/>
      </c>
      <c r="M283" s="94">
        <f>IF(I283=0,"Gap",IF(I283&gt;AVERAGE($I$144:$I$317)+2*STDEV($I$144:$I$317),"High",""))</f>
        <v/>
      </c>
    </row>
    <row r="284">
      <c r="B284" s="93" t="n">
        <v>45292</v>
      </c>
      <c r="C284" s="83">
        <f>COUNTIFS(tblVideos[Day],"&gt;="&amp;$B284,tblVideos[Day],"&lt;"&amp;EDATE($B284,1),tblVideos[Channel ID],Channels!$E$6)</f>
        <v/>
      </c>
      <c r="D284" s="83">
        <f>COUNTIFS(tblVideos[Day],"&gt;="&amp;$B284,tblVideos[Day],"&lt;"&amp;EDATE($B284,1),tblVideos[Channel ID],Channels!$E$7)</f>
        <v/>
      </c>
      <c r="E284" s="83">
        <f>COUNTIFS(tblVideos[Day],"&gt;="&amp;$B284,tblVideos[Day],"&lt;"&amp;EDATE($B284,1),tblVideos[Channel ID],Channels!$E$8)</f>
        <v/>
      </c>
      <c r="F284" s="83">
        <f>COUNTIFS(tblVideos[Day],"&gt;="&amp;$B284,tblVideos[Day],"&lt;"&amp;EDATE($B284,1),tblVideos[Channel ID],Channels!$E$9)</f>
        <v/>
      </c>
      <c r="G284" s="83">
        <f>COUNTIFS(tblVideos[Day],"&gt;="&amp;$B284,tblVideos[Day],"&lt;"&amp;EDATE($B284,1),tblVideos[Channel ID],Channels!$E$10)</f>
        <v/>
      </c>
      <c r="H284" s="83">
        <f>COUNTIFS(tblVideos[Day],"&gt;="&amp;$B284,tblVideos[Day],"&lt;"&amp;EDATE($B284,1),tblVideos[Channel ID],Channels!$E$11)</f>
        <v/>
      </c>
      <c r="I284" s="91">
        <f>SUM(C284:H284)</f>
        <v/>
      </c>
      <c r="J284" s="92">
        <f>SUMIFS(tblVideos[Length],tblVideos[Day],"&gt;="&amp;$B284,tblVideos[Day],"&lt;"&amp;EDATE($B284,1))</f>
        <v/>
      </c>
      <c r="K284" s="83">
        <f>COUNTIFS(tblVideos[Watched On],"&gt;="&amp;$B284,tblVideos[Watched On],"&lt;"&amp;EDATE($B284,1),tblVideos[Status],"Watched")</f>
        <v/>
      </c>
      <c r="L284" s="92">
        <f>SUMIFS(tblVideos[Length],tblVideos[Watched On],"&gt;="&amp;$B284,tblVideos[Watched On],"&lt;"&amp;EDATE($B284,1),tblVideos[Status],"Watched")</f>
        <v/>
      </c>
      <c r="M284" s="94">
        <f>IF(I284=0,"Gap",IF(I284&gt;AVERAGE($I$144:$I$317)+2*STDEV($I$144:$I$317),"High",""))</f>
        <v/>
      </c>
    </row>
    <row r="285">
      <c r="B285" s="93" t="n">
        <v>45323</v>
      </c>
      <c r="C285" s="83">
        <f>COUNTIFS(tblVideos[Day],"&gt;="&amp;$B285,tblVideos[Day],"&lt;"&amp;EDATE($B285,1),tblVideos[Channel ID],Channels!$E$6)</f>
        <v/>
      </c>
      <c r="D285" s="83">
        <f>COUNTIFS(tblVideos[Day],"&gt;="&amp;$B285,tblVideos[Day],"&lt;"&amp;EDATE($B285,1),tblVideos[Channel ID],Channels!$E$7)</f>
        <v/>
      </c>
      <c r="E285" s="83">
        <f>COUNTIFS(tblVideos[Day],"&gt;="&amp;$B285,tblVideos[Day],"&lt;"&amp;EDATE($B285,1),tblVideos[Channel ID],Channels!$E$8)</f>
        <v/>
      </c>
      <c r="F285" s="83">
        <f>COUNTIFS(tblVideos[Day],"&gt;="&amp;$B285,tblVideos[Day],"&lt;"&amp;EDATE($B285,1),tblVideos[Channel ID],Channels!$E$9)</f>
        <v/>
      </c>
      <c r="G285" s="83">
        <f>COUNTIFS(tblVideos[Day],"&gt;="&amp;$B285,tblVideos[Day],"&lt;"&amp;EDATE($B285,1),tblVideos[Channel ID],Channels!$E$10)</f>
        <v/>
      </c>
      <c r="H285" s="83">
        <f>COUNTIFS(tblVideos[Day],"&gt;="&amp;$B285,tblVideos[Day],"&lt;"&amp;EDATE($B285,1),tblVideos[Channel ID],Channels!$E$11)</f>
        <v/>
      </c>
      <c r="I285" s="91">
        <f>SUM(C285:H285)</f>
        <v/>
      </c>
      <c r="J285" s="92">
        <f>SUMIFS(tblVideos[Length],tblVideos[Day],"&gt;="&amp;$B285,tblVideos[Day],"&lt;"&amp;EDATE($B285,1))</f>
        <v/>
      </c>
      <c r="K285" s="83">
        <f>COUNTIFS(tblVideos[Watched On],"&gt;="&amp;$B285,tblVideos[Watched On],"&lt;"&amp;EDATE($B285,1),tblVideos[Status],"Watched")</f>
        <v/>
      </c>
      <c r="L285" s="92">
        <f>SUMIFS(tblVideos[Length],tblVideos[Watched On],"&gt;="&amp;$B285,tblVideos[Watched On],"&lt;"&amp;EDATE($B285,1),tblVideos[Status],"Watched")</f>
        <v/>
      </c>
      <c r="M285" s="94">
        <f>IF(I285=0,"Gap",IF(I285&gt;AVERAGE($I$144:$I$317)+2*STDEV($I$144:$I$317),"High",""))</f>
        <v/>
      </c>
    </row>
    <row r="286">
      <c r="B286" s="93" t="n">
        <v>45352</v>
      </c>
      <c r="C286" s="83">
        <f>COUNTIFS(tblVideos[Day],"&gt;="&amp;$B286,tblVideos[Day],"&lt;"&amp;EDATE($B286,1),tblVideos[Channel ID],Channels!$E$6)</f>
        <v/>
      </c>
      <c r="D286" s="83">
        <f>COUNTIFS(tblVideos[Day],"&gt;="&amp;$B286,tblVideos[Day],"&lt;"&amp;EDATE($B286,1),tblVideos[Channel ID],Channels!$E$7)</f>
        <v/>
      </c>
      <c r="E286" s="83">
        <f>COUNTIFS(tblVideos[Day],"&gt;="&amp;$B286,tblVideos[Day],"&lt;"&amp;EDATE($B286,1),tblVideos[Channel ID],Channels!$E$8)</f>
        <v/>
      </c>
      <c r="F286" s="83">
        <f>COUNTIFS(tblVideos[Day],"&gt;="&amp;$B286,tblVideos[Day],"&lt;"&amp;EDATE($B286,1),tblVideos[Channel ID],Channels!$E$9)</f>
        <v/>
      </c>
      <c r="G286" s="83">
        <f>COUNTIFS(tblVideos[Day],"&gt;="&amp;$B286,tblVideos[Day],"&lt;"&amp;EDATE($B286,1),tblVideos[Channel ID],Channels!$E$10)</f>
        <v/>
      </c>
      <c r="H286" s="83">
        <f>COUNTIFS(tblVideos[Day],"&gt;="&amp;$B286,tblVideos[Day],"&lt;"&amp;EDATE($B286,1),tblVideos[Channel ID],Channels!$E$11)</f>
        <v/>
      </c>
      <c r="I286" s="91">
        <f>SUM(C286:H286)</f>
        <v/>
      </c>
      <c r="J286" s="92">
        <f>SUMIFS(tblVideos[Length],tblVideos[Day],"&gt;="&amp;$B286,tblVideos[Day],"&lt;"&amp;EDATE($B286,1))</f>
        <v/>
      </c>
      <c r="K286" s="83">
        <f>COUNTIFS(tblVideos[Watched On],"&gt;="&amp;$B286,tblVideos[Watched On],"&lt;"&amp;EDATE($B286,1),tblVideos[Status],"Watched")</f>
        <v/>
      </c>
      <c r="L286" s="92">
        <f>SUMIFS(tblVideos[Length],tblVideos[Watched On],"&gt;="&amp;$B286,tblVideos[Watched On],"&lt;"&amp;EDATE($B286,1),tblVideos[Status],"Watched")</f>
        <v/>
      </c>
      <c r="M286" s="94">
        <f>IF(I286=0,"Gap",IF(I286&gt;AVERAGE($I$144:$I$317)+2*STDEV($I$144:$I$317),"High",""))</f>
        <v/>
      </c>
    </row>
    <row r="287">
      <c r="B287" s="93" t="n">
        <v>45383</v>
      </c>
      <c r="C287" s="83">
        <f>COUNTIFS(tblVideos[Day],"&gt;="&amp;$B287,tblVideos[Day],"&lt;"&amp;EDATE($B287,1),tblVideos[Channel ID],Channels!$E$6)</f>
        <v/>
      </c>
      <c r="D287" s="83">
        <f>COUNTIFS(tblVideos[Day],"&gt;="&amp;$B287,tblVideos[Day],"&lt;"&amp;EDATE($B287,1),tblVideos[Channel ID],Channels!$E$7)</f>
        <v/>
      </c>
      <c r="E287" s="83">
        <f>COUNTIFS(tblVideos[Day],"&gt;="&amp;$B287,tblVideos[Day],"&lt;"&amp;EDATE($B287,1),tblVideos[Channel ID],Channels!$E$8)</f>
        <v/>
      </c>
      <c r="F287" s="83">
        <f>COUNTIFS(tblVideos[Day],"&gt;="&amp;$B287,tblVideos[Day],"&lt;"&amp;EDATE($B287,1),tblVideos[Channel ID],Channels!$E$9)</f>
        <v/>
      </c>
      <c r="G287" s="83">
        <f>COUNTIFS(tblVideos[Day],"&gt;="&amp;$B287,tblVideos[Day],"&lt;"&amp;EDATE($B287,1),tblVideos[Channel ID],Channels!$E$10)</f>
        <v/>
      </c>
      <c r="H287" s="83">
        <f>COUNTIFS(tblVideos[Day],"&gt;="&amp;$B287,tblVideos[Day],"&lt;"&amp;EDATE($B287,1),tblVideos[Channel ID],Channels!$E$11)</f>
        <v/>
      </c>
      <c r="I287" s="91">
        <f>SUM(C287:H287)</f>
        <v/>
      </c>
      <c r="J287" s="92">
        <f>SUMIFS(tblVideos[Length],tblVideos[Day],"&gt;="&amp;$B287,tblVideos[Day],"&lt;"&amp;EDATE($B287,1))</f>
        <v/>
      </c>
      <c r="K287" s="83">
        <f>COUNTIFS(tblVideos[Watched On],"&gt;="&amp;$B287,tblVideos[Watched On],"&lt;"&amp;EDATE($B287,1),tblVideos[Status],"Watched")</f>
        <v/>
      </c>
      <c r="L287" s="92">
        <f>SUMIFS(tblVideos[Length],tblVideos[Watched On],"&gt;="&amp;$B287,tblVideos[Watched On],"&lt;"&amp;EDATE($B287,1),tblVideos[Status],"Watched")</f>
        <v/>
      </c>
      <c r="M287" s="94">
        <f>IF(I287=0,"Gap",IF(I287&gt;AVERAGE($I$144:$I$317)+2*STDEV($I$144:$I$317),"High",""))</f>
        <v/>
      </c>
    </row>
    <row r="288">
      <c r="B288" s="93" t="n">
        <v>45413</v>
      </c>
      <c r="C288" s="83">
        <f>COUNTIFS(tblVideos[Day],"&gt;="&amp;$B288,tblVideos[Day],"&lt;"&amp;EDATE($B288,1),tblVideos[Channel ID],Channels!$E$6)</f>
        <v/>
      </c>
      <c r="D288" s="83">
        <f>COUNTIFS(tblVideos[Day],"&gt;="&amp;$B288,tblVideos[Day],"&lt;"&amp;EDATE($B288,1),tblVideos[Channel ID],Channels!$E$7)</f>
        <v/>
      </c>
      <c r="E288" s="83">
        <f>COUNTIFS(tblVideos[Day],"&gt;="&amp;$B288,tblVideos[Day],"&lt;"&amp;EDATE($B288,1),tblVideos[Channel ID],Channels!$E$8)</f>
        <v/>
      </c>
      <c r="F288" s="83">
        <f>COUNTIFS(tblVideos[Day],"&gt;="&amp;$B288,tblVideos[Day],"&lt;"&amp;EDATE($B288,1),tblVideos[Channel ID],Channels!$E$9)</f>
        <v/>
      </c>
      <c r="G288" s="83">
        <f>COUNTIFS(tblVideos[Day],"&gt;="&amp;$B288,tblVideos[Day],"&lt;"&amp;EDATE($B288,1),tblVideos[Channel ID],Channels!$E$10)</f>
        <v/>
      </c>
      <c r="H288" s="83">
        <f>COUNTIFS(tblVideos[Day],"&gt;="&amp;$B288,tblVideos[Day],"&lt;"&amp;EDATE($B288,1),tblVideos[Channel ID],Channels!$E$11)</f>
        <v/>
      </c>
      <c r="I288" s="91">
        <f>SUM(C288:H288)</f>
        <v/>
      </c>
      <c r="J288" s="92">
        <f>SUMIFS(tblVideos[Length],tblVideos[Day],"&gt;="&amp;$B288,tblVideos[Day],"&lt;"&amp;EDATE($B288,1))</f>
        <v/>
      </c>
      <c r="K288" s="83">
        <f>COUNTIFS(tblVideos[Watched On],"&gt;="&amp;$B288,tblVideos[Watched On],"&lt;"&amp;EDATE($B288,1),tblVideos[Status],"Watched")</f>
        <v/>
      </c>
      <c r="L288" s="92">
        <f>SUMIFS(tblVideos[Length],tblVideos[Watched On],"&gt;="&amp;$B288,tblVideos[Watched On],"&lt;"&amp;EDATE($B288,1),tblVideos[Status],"Watched")</f>
        <v/>
      </c>
      <c r="M288" s="94">
        <f>IF(I288=0,"Gap",IF(I288&gt;AVERAGE($I$144:$I$317)+2*STDEV($I$144:$I$317),"High",""))</f>
        <v/>
      </c>
    </row>
    <row r="289">
      <c r="B289" s="93" t="n">
        <v>45444</v>
      </c>
      <c r="C289" s="83">
        <f>COUNTIFS(tblVideos[Day],"&gt;="&amp;$B289,tblVideos[Day],"&lt;"&amp;EDATE($B289,1),tblVideos[Channel ID],Channels!$E$6)</f>
        <v/>
      </c>
      <c r="D289" s="83">
        <f>COUNTIFS(tblVideos[Day],"&gt;="&amp;$B289,tblVideos[Day],"&lt;"&amp;EDATE($B289,1),tblVideos[Channel ID],Channels!$E$7)</f>
        <v/>
      </c>
      <c r="E289" s="83">
        <f>COUNTIFS(tblVideos[Day],"&gt;="&amp;$B289,tblVideos[Day],"&lt;"&amp;EDATE($B289,1),tblVideos[Channel ID],Channels!$E$8)</f>
        <v/>
      </c>
      <c r="F289" s="83">
        <f>COUNTIFS(tblVideos[Day],"&gt;="&amp;$B289,tblVideos[Day],"&lt;"&amp;EDATE($B289,1),tblVideos[Channel ID],Channels!$E$9)</f>
        <v/>
      </c>
      <c r="G289" s="83">
        <f>COUNTIFS(tblVideos[Day],"&gt;="&amp;$B289,tblVideos[Day],"&lt;"&amp;EDATE($B289,1),tblVideos[Channel ID],Channels!$E$10)</f>
        <v/>
      </c>
      <c r="H289" s="83">
        <f>COUNTIFS(tblVideos[Day],"&gt;="&amp;$B289,tblVideos[Day],"&lt;"&amp;EDATE($B289,1),tblVideos[Channel ID],Channels!$E$11)</f>
        <v/>
      </c>
      <c r="I289" s="91">
        <f>SUM(C289:H289)</f>
        <v/>
      </c>
      <c r="J289" s="92">
        <f>SUMIFS(tblVideos[Length],tblVideos[Day],"&gt;="&amp;$B289,tblVideos[Day],"&lt;"&amp;EDATE($B289,1))</f>
        <v/>
      </c>
      <c r="K289" s="83">
        <f>COUNTIFS(tblVideos[Watched On],"&gt;="&amp;$B289,tblVideos[Watched On],"&lt;"&amp;EDATE($B289,1),tblVideos[Status],"Watched")</f>
        <v/>
      </c>
      <c r="L289" s="92">
        <f>SUMIFS(tblVideos[Length],tblVideos[Watched On],"&gt;="&amp;$B289,tblVideos[Watched On],"&lt;"&amp;EDATE($B289,1),tblVideos[Status],"Watched")</f>
        <v/>
      </c>
      <c r="M289" s="94">
        <f>IF(I289=0,"Gap",IF(I289&gt;AVERAGE($I$144:$I$317)+2*STDEV($I$144:$I$317),"High",""))</f>
        <v/>
      </c>
    </row>
    <row r="290">
      <c r="B290" s="93" t="n">
        <v>45474</v>
      </c>
      <c r="C290" s="83">
        <f>COUNTIFS(tblVideos[Day],"&gt;="&amp;$B290,tblVideos[Day],"&lt;"&amp;EDATE($B290,1),tblVideos[Channel ID],Channels!$E$6)</f>
        <v/>
      </c>
      <c r="D290" s="83">
        <f>COUNTIFS(tblVideos[Day],"&gt;="&amp;$B290,tblVideos[Day],"&lt;"&amp;EDATE($B290,1),tblVideos[Channel ID],Channels!$E$7)</f>
        <v/>
      </c>
      <c r="E290" s="83">
        <f>COUNTIFS(tblVideos[Day],"&gt;="&amp;$B290,tblVideos[Day],"&lt;"&amp;EDATE($B290,1),tblVideos[Channel ID],Channels!$E$8)</f>
        <v/>
      </c>
      <c r="F290" s="83">
        <f>COUNTIFS(tblVideos[Day],"&gt;="&amp;$B290,tblVideos[Day],"&lt;"&amp;EDATE($B290,1),tblVideos[Channel ID],Channels!$E$9)</f>
        <v/>
      </c>
      <c r="G290" s="83">
        <f>COUNTIFS(tblVideos[Day],"&gt;="&amp;$B290,tblVideos[Day],"&lt;"&amp;EDATE($B290,1),tblVideos[Channel ID],Channels!$E$10)</f>
        <v/>
      </c>
      <c r="H290" s="83">
        <f>COUNTIFS(tblVideos[Day],"&gt;="&amp;$B290,tblVideos[Day],"&lt;"&amp;EDATE($B290,1),tblVideos[Channel ID],Channels!$E$11)</f>
        <v/>
      </c>
      <c r="I290" s="91">
        <f>SUM(C290:H290)</f>
        <v/>
      </c>
      <c r="J290" s="92">
        <f>SUMIFS(tblVideos[Length],tblVideos[Day],"&gt;="&amp;$B290,tblVideos[Day],"&lt;"&amp;EDATE($B290,1))</f>
        <v/>
      </c>
      <c r="K290" s="83">
        <f>COUNTIFS(tblVideos[Watched On],"&gt;="&amp;$B290,tblVideos[Watched On],"&lt;"&amp;EDATE($B290,1),tblVideos[Status],"Watched")</f>
        <v/>
      </c>
      <c r="L290" s="92">
        <f>SUMIFS(tblVideos[Length],tblVideos[Watched On],"&gt;="&amp;$B290,tblVideos[Watched On],"&lt;"&amp;EDATE($B290,1),tblVideos[Status],"Watched")</f>
        <v/>
      </c>
      <c r="M290" s="94">
        <f>IF(I290=0,"Gap",IF(I290&gt;AVERAGE($I$144:$I$317)+2*STDEV($I$144:$I$317),"High",""))</f>
        <v/>
      </c>
    </row>
    <row r="291">
      <c r="B291" s="93" t="n">
        <v>45505</v>
      </c>
      <c r="C291" s="83">
        <f>COUNTIFS(tblVideos[Day],"&gt;="&amp;$B291,tblVideos[Day],"&lt;"&amp;EDATE($B291,1),tblVideos[Channel ID],Channels!$E$6)</f>
        <v/>
      </c>
      <c r="D291" s="83">
        <f>COUNTIFS(tblVideos[Day],"&gt;="&amp;$B291,tblVideos[Day],"&lt;"&amp;EDATE($B291,1),tblVideos[Channel ID],Channels!$E$7)</f>
        <v/>
      </c>
      <c r="E291" s="83">
        <f>COUNTIFS(tblVideos[Day],"&gt;="&amp;$B291,tblVideos[Day],"&lt;"&amp;EDATE($B291,1),tblVideos[Channel ID],Channels!$E$8)</f>
        <v/>
      </c>
      <c r="F291" s="83">
        <f>COUNTIFS(tblVideos[Day],"&gt;="&amp;$B291,tblVideos[Day],"&lt;"&amp;EDATE($B291,1),tblVideos[Channel ID],Channels!$E$9)</f>
        <v/>
      </c>
      <c r="G291" s="83">
        <f>COUNTIFS(tblVideos[Day],"&gt;="&amp;$B291,tblVideos[Day],"&lt;"&amp;EDATE($B291,1),tblVideos[Channel ID],Channels!$E$10)</f>
        <v/>
      </c>
      <c r="H291" s="83">
        <f>COUNTIFS(tblVideos[Day],"&gt;="&amp;$B291,tblVideos[Day],"&lt;"&amp;EDATE($B291,1),tblVideos[Channel ID],Channels!$E$11)</f>
        <v/>
      </c>
      <c r="I291" s="91">
        <f>SUM(C291:H291)</f>
        <v/>
      </c>
      <c r="J291" s="92">
        <f>SUMIFS(tblVideos[Length],tblVideos[Day],"&gt;="&amp;$B291,tblVideos[Day],"&lt;"&amp;EDATE($B291,1))</f>
        <v/>
      </c>
      <c r="K291" s="83">
        <f>COUNTIFS(tblVideos[Watched On],"&gt;="&amp;$B291,tblVideos[Watched On],"&lt;"&amp;EDATE($B291,1),tblVideos[Status],"Watched")</f>
        <v/>
      </c>
      <c r="L291" s="92">
        <f>SUMIFS(tblVideos[Length],tblVideos[Watched On],"&gt;="&amp;$B291,tblVideos[Watched On],"&lt;"&amp;EDATE($B291,1),tblVideos[Status],"Watched")</f>
        <v/>
      </c>
      <c r="M291" s="94">
        <f>IF(I291=0,"Gap",IF(I291&gt;AVERAGE($I$144:$I$317)+2*STDEV($I$144:$I$317),"High",""))</f>
        <v/>
      </c>
    </row>
    <row r="292">
      <c r="B292" s="93" t="n">
        <v>45536</v>
      </c>
      <c r="C292" s="83">
        <f>COUNTIFS(tblVideos[Day],"&gt;="&amp;$B292,tblVideos[Day],"&lt;"&amp;EDATE($B292,1),tblVideos[Channel ID],Channels!$E$6)</f>
        <v/>
      </c>
      <c r="D292" s="83">
        <f>COUNTIFS(tblVideos[Day],"&gt;="&amp;$B292,tblVideos[Day],"&lt;"&amp;EDATE($B292,1),tblVideos[Channel ID],Channels!$E$7)</f>
        <v/>
      </c>
      <c r="E292" s="83">
        <f>COUNTIFS(tblVideos[Day],"&gt;="&amp;$B292,tblVideos[Day],"&lt;"&amp;EDATE($B292,1),tblVideos[Channel ID],Channels!$E$8)</f>
        <v/>
      </c>
      <c r="F292" s="83">
        <f>COUNTIFS(tblVideos[Day],"&gt;="&amp;$B292,tblVideos[Day],"&lt;"&amp;EDATE($B292,1),tblVideos[Channel ID],Channels!$E$9)</f>
        <v/>
      </c>
      <c r="G292" s="83">
        <f>COUNTIFS(tblVideos[Day],"&gt;="&amp;$B292,tblVideos[Day],"&lt;"&amp;EDATE($B292,1),tblVideos[Channel ID],Channels!$E$10)</f>
        <v/>
      </c>
      <c r="H292" s="83">
        <f>COUNTIFS(tblVideos[Day],"&gt;="&amp;$B292,tblVideos[Day],"&lt;"&amp;EDATE($B292,1),tblVideos[Channel ID],Channels!$E$11)</f>
        <v/>
      </c>
      <c r="I292" s="91">
        <f>SUM(C292:H292)</f>
        <v/>
      </c>
      <c r="J292" s="92">
        <f>SUMIFS(tblVideos[Length],tblVideos[Day],"&gt;="&amp;$B292,tblVideos[Day],"&lt;"&amp;EDATE($B292,1))</f>
        <v/>
      </c>
      <c r="K292" s="83">
        <f>COUNTIFS(tblVideos[Watched On],"&gt;="&amp;$B292,tblVideos[Watched On],"&lt;"&amp;EDATE($B292,1),tblVideos[Status],"Watched")</f>
        <v/>
      </c>
      <c r="L292" s="92">
        <f>SUMIFS(tblVideos[Length],tblVideos[Watched On],"&gt;="&amp;$B292,tblVideos[Watched On],"&lt;"&amp;EDATE($B292,1),tblVideos[Status],"Watched")</f>
        <v/>
      </c>
      <c r="M292" s="94">
        <f>IF(I292=0,"Gap",IF(I292&gt;AVERAGE($I$144:$I$317)+2*STDEV($I$144:$I$317),"High",""))</f>
        <v/>
      </c>
    </row>
    <row r="293">
      <c r="B293" s="93" t="n">
        <v>45566</v>
      </c>
      <c r="C293" s="83">
        <f>COUNTIFS(tblVideos[Day],"&gt;="&amp;$B293,tblVideos[Day],"&lt;"&amp;EDATE($B293,1),tblVideos[Channel ID],Channels!$E$6)</f>
        <v/>
      </c>
      <c r="D293" s="83">
        <f>COUNTIFS(tblVideos[Day],"&gt;="&amp;$B293,tblVideos[Day],"&lt;"&amp;EDATE($B293,1),tblVideos[Channel ID],Channels!$E$7)</f>
        <v/>
      </c>
      <c r="E293" s="83">
        <f>COUNTIFS(tblVideos[Day],"&gt;="&amp;$B293,tblVideos[Day],"&lt;"&amp;EDATE($B293,1),tblVideos[Channel ID],Channels!$E$8)</f>
        <v/>
      </c>
      <c r="F293" s="83">
        <f>COUNTIFS(tblVideos[Day],"&gt;="&amp;$B293,tblVideos[Day],"&lt;"&amp;EDATE($B293,1),tblVideos[Channel ID],Channels!$E$9)</f>
        <v/>
      </c>
      <c r="G293" s="83">
        <f>COUNTIFS(tblVideos[Day],"&gt;="&amp;$B293,tblVideos[Day],"&lt;"&amp;EDATE($B293,1),tblVideos[Channel ID],Channels!$E$10)</f>
        <v/>
      </c>
      <c r="H293" s="83">
        <f>COUNTIFS(tblVideos[Day],"&gt;="&amp;$B293,tblVideos[Day],"&lt;"&amp;EDATE($B293,1),tblVideos[Channel ID],Channels!$E$11)</f>
        <v/>
      </c>
      <c r="I293" s="91">
        <f>SUM(C293:H293)</f>
        <v/>
      </c>
      <c r="J293" s="92">
        <f>SUMIFS(tblVideos[Length],tblVideos[Day],"&gt;="&amp;$B293,tblVideos[Day],"&lt;"&amp;EDATE($B293,1))</f>
        <v/>
      </c>
      <c r="K293" s="83">
        <f>COUNTIFS(tblVideos[Watched On],"&gt;="&amp;$B293,tblVideos[Watched On],"&lt;"&amp;EDATE($B293,1),tblVideos[Status],"Watched")</f>
        <v/>
      </c>
      <c r="L293" s="92">
        <f>SUMIFS(tblVideos[Length],tblVideos[Watched On],"&gt;="&amp;$B293,tblVideos[Watched On],"&lt;"&amp;EDATE($B293,1),tblVideos[Status],"Watched")</f>
        <v/>
      </c>
      <c r="M293" s="94">
        <f>IF(I293=0,"Gap",IF(I293&gt;AVERAGE($I$144:$I$317)+2*STDEV($I$144:$I$317),"High",""))</f>
        <v/>
      </c>
    </row>
    <row r="294">
      <c r="B294" s="93" t="n">
        <v>45597</v>
      </c>
      <c r="C294" s="83">
        <f>COUNTIFS(tblVideos[Day],"&gt;="&amp;$B294,tblVideos[Day],"&lt;"&amp;EDATE($B294,1),tblVideos[Channel ID],Channels!$E$6)</f>
        <v/>
      </c>
      <c r="D294" s="83">
        <f>COUNTIFS(tblVideos[Day],"&gt;="&amp;$B294,tblVideos[Day],"&lt;"&amp;EDATE($B294,1),tblVideos[Channel ID],Channels!$E$7)</f>
        <v/>
      </c>
      <c r="E294" s="83">
        <f>COUNTIFS(tblVideos[Day],"&gt;="&amp;$B294,tblVideos[Day],"&lt;"&amp;EDATE($B294,1),tblVideos[Channel ID],Channels!$E$8)</f>
        <v/>
      </c>
      <c r="F294" s="83">
        <f>COUNTIFS(tblVideos[Day],"&gt;="&amp;$B294,tblVideos[Day],"&lt;"&amp;EDATE($B294,1),tblVideos[Channel ID],Channels!$E$9)</f>
        <v/>
      </c>
      <c r="G294" s="83">
        <f>COUNTIFS(tblVideos[Day],"&gt;="&amp;$B294,tblVideos[Day],"&lt;"&amp;EDATE($B294,1),tblVideos[Channel ID],Channels!$E$10)</f>
        <v/>
      </c>
      <c r="H294" s="83">
        <f>COUNTIFS(tblVideos[Day],"&gt;="&amp;$B294,tblVideos[Day],"&lt;"&amp;EDATE($B294,1),tblVideos[Channel ID],Channels!$E$11)</f>
        <v/>
      </c>
      <c r="I294" s="91">
        <f>SUM(C294:H294)</f>
        <v/>
      </c>
      <c r="J294" s="92">
        <f>SUMIFS(tblVideos[Length],tblVideos[Day],"&gt;="&amp;$B294,tblVideos[Day],"&lt;"&amp;EDATE($B294,1))</f>
        <v/>
      </c>
      <c r="K294" s="83">
        <f>COUNTIFS(tblVideos[Watched On],"&gt;="&amp;$B294,tblVideos[Watched On],"&lt;"&amp;EDATE($B294,1),tblVideos[Status],"Watched")</f>
        <v/>
      </c>
      <c r="L294" s="92">
        <f>SUMIFS(tblVideos[Length],tblVideos[Watched On],"&gt;="&amp;$B294,tblVideos[Watched On],"&lt;"&amp;EDATE($B294,1),tblVideos[Status],"Watched")</f>
        <v/>
      </c>
      <c r="M294" s="94">
        <f>IF(I294=0,"Gap",IF(I294&gt;AVERAGE($I$144:$I$317)+2*STDEV($I$144:$I$317),"High",""))</f>
        <v/>
      </c>
    </row>
    <row r="295">
      <c r="B295" s="93" t="n">
        <v>45627</v>
      </c>
      <c r="C295" s="83">
        <f>COUNTIFS(tblVideos[Day],"&gt;="&amp;$B295,tblVideos[Day],"&lt;"&amp;EDATE($B295,1),tblVideos[Channel ID],Channels!$E$6)</f>
        <v/>
      </c>
      <c r="D295" s="83">
        <f>COUNTIFS(tblVideos[Day],"&gt;="&amp;$B295,tblVideos[Day],"&lt;"&amp;EDATE($B295,1),tblVideos[Channel ID],Channels!$E$7)</f>
        <v/>
      </c>
      <c r="E295" s="83">
        <f>COUNTIFS(tblVideos[Day],"&gt;="&amp;$B295,tblVideos[Day],"&lt;"&amp;EDATE($B295,1),tblVideos[Channel ID],Channels!$E$8)</f>
        <v/>
      </c>
      <c r="F295" s="83">
        <f>COUNTIFS(tblVideos[Day],"&gt;="&amp;$B295,tblVideos[Day],"&lt;"&amp;EDATE($B295,1),tblVideos[Channel ID],Channels!$E$9)</f>
        <v/>
      </c>
      <c r="G295" s="83">
        <f>COUNTIFS(tblVideos[Day],"&gt;="&amp;$B295,tblVideos[Day],"&lt;"&amp;EDATE($B295,1),tblVideos[Channel ID],Channels!$E$10)</f>
        <v/>
      </c>
      <c r="H295" s="83">
        <f>COUNTIFS(tblVideos[Day],"&gt;="&amp;$B295,tblVideos[Day],"&lt;"&amp;EDATE($B295,1),tblVideos[Channel ID],Channels!$E$11)</f>
        <v/>
      </c>
      <c r="I295" s="91">
        <f>SUM(C295:H295)</f>
        <v/>
      </c>
      <c r="J295" s="92">
        <f>SUMIFS(tblVideos[Length],tblVideos[Day],"&gt;="&amp;$B295,tblVideos[Day],"&lt;"&amp;EDATE($B295,1))</f>
        <v/>
      </c>
      <c r="K295" s="83">
        <f>COUNTIFS(tblVideos[Watched On],"&gt;="&amp;$B295,tblVideos[Watched On],"&lt;"&amp;EDATE($B295,1),tblVideos[Status],"Watched")</f>
        <v/>
      </c>
      <c r="L295" s="92">
        <f>SUMIFS(tblVideos[Length],tblVideos[Watched On],"&gt;="&amp;$B295,tblVideos[Watched On],"&lt;"&amp;EDATE($B295,1),tblVideos[Status],"Watched")</f>
        <v/>
      </c>
      <c r="M295" s="94">
        <f>IF(I295=0,"Gap",IF(I295&gt;AVERAGE($I$144:$I$317)+2*STDEV($I$144:$I$317),"High",""))</f>
        <v/>
      </c>
    </row>
    <row r="296">
      <c r="B296" s="93" t="n">
        <v>45658</v>
      </c>
      <c r="C296" s="83">
        <f>COUNTIFS(tblVideos[Day],"&gt;="&amp;$B296,tblVideos[Day],"&lt;"&amp;EDATE($B296,1),tblVideos[Channel ID],Channels!$E$6)</f>
        <v/>
      </c>
      <c r="D296" s="83">
        <f>COUNTIFS(tblVideos[Day],"&gt;="&amp;$B296,tblVideos[Day],"&lt;"&amp;EDATE($B296,1),tblVideos[Channel ID],Channels!$E$7)</f>
        <v/>
      </c>
      <c r="E296" s="83">
        <f>COUNTIFS(tblVideos[Day],"&gt;="&amp;$B296,tblVideos[Day],"&lt;"&amp;EDATE($B296,1),tblVideos[Channel ID],Channels!$E$8)</f>
        <v/>
      </c>
      <c r="F296" s="83">
        <f>COUNTIFS(tblVideos[Day],"&gt;="&amp;$B296,tblVideos[Day],"&lt;"&amp;EDATE($B296,1),tblVideos[Channel ID],Channels!$E$9)</f>
        <v/>
      </c>
      <c r="G296" s="83">
        <f>COUNTIFS(tblVideos[Day],"&gt;="&amp;$B296,tblVideos[Day],"&lt;"&amp;EDATE($B296,1),tblVideos[Channel ID],Channels!$E$10)</f>
        <v/>
      </c>
      <c r="H296" s="83">
        <f>COUNTIFS(tblVideos[Day],"&gt;="&amp;$B296,tblVideos[Day],"&lt;"&amp;EDATE($B296,1),tblVideos[Channel ID],Channels!$E$11)</f>
        <v/>
      </c>
      <c r="I296" s="91">
        <f>SUM(C296:H296)</f>
        <v/>
      </c>
      <c r="J296" s="92">
        <f>SUMIFS(tblVideos[Length],tblVideos[Day],"&gt;="&amp;$B296,tblVideos[Day],"&lt;"&amp;EDATE($B296,1))</f>
        <v/>
      </c>
      <c r="K296" s="83">
        <f>COUNTIFS(tblVideos[Watched On],"&gt;="&amp;$B296,tblVideos[Watched On],"&lt;"&amp;EDATE($B296,1),tblVideos[Status],"Watched")</f>
        <v/>
      </c>
      <c r="L296" s="92">
        <f>SUMIFS(tblVideos[Length],tblVideos[Watched On],"&gt;="&amp;$B296,tblVideos[Watched On],"&lt;"&amp;EDATE($B296,1),tblVideos[Status],"Watched")</f>
        <v/>
      </c>
      <c r="M296" s="94">
        <f>IF(I296=0,"Gap",IF(I296&gt;AVERAGE($I$144:$I$317)+2*STDEV($I$144:$I$317),"High",""))</f>
        <v/>
      </c>
    </row>
    <row r="297">
      <c r="B297" s="93" t="n">
        <v>45689</v>
      </c>
      <c r="C297" s="83">
        <f>COUNTIFS(tblVideos[Day],"&gt;="&amp;$B297,tblVideos[Day],"&lt;"&amp;EDATE($B297,1),tblVideos[Channel ID],Channels!$E$6)</f>
        <v/>
      </c>
      <c r="D297" s="83">
        <f>COUNTIFS(tblVideos[Day],"&gt;="&amp;$B297,tblVideos[Day],"&lt;"&amp;EDATE($B297,1),tblVideos[Channel ID],Channels!$E$7)</f>
        <v/>
      </c>
      <c r="E297" s="83">
        <f>COUNTIFS(tblVideos[Day],"&gt;="&amp;$B297,tblVideos[Day],"&lt;"&amp;EDATE($B297,1),tblVideos[Channel ID],Channels!$E$8)</f>
        <v/>
      </c>
      <c r="F297" s="83">
        <f>COUNTIFS(tblVideos[Day],"&gt;="&amp;$B297,tblVideos[Day],"&lt;"&amp;EDATE($B297,1),tblVideos[Channel ID],Channels!$E$9)</f>
        <v/>
      </c>
      <c r="G297" s="83">
        <f>COUNTIFS(tblVideos[Day],"&gt;="&amp;$B297,tblVideos[Day],"&lt;"&amp;EDATE($B297,1),tblVideos[Channel ID],Channels!$E$10)</f>
        <v/>
      </c>
      <c r="H297" s="83">
        <f>COUNTIFS(tblVideos[Day],"&gt;="&amp;$B297,tblVideos[Day],"&lt;"&amp;EDATE($B297,1),tblVideos[Channel ID],Channels!$E$11)</f>
        <v/>
      </c>
      <c r="I297" s="91">
        <f>SUM(C297:H297)</f>
        <v/>
      </c>
      <c r="J297" s="92">
        <f>SUMIFS(tblVideos[Length],tblVideos[Day],"&gt;="&amp;$B297,tblVideos[Day],"&lt;"&amp;EDATE($B297,1))</f>
        <v/>
      </c>
      <c r="K297" s="83">
        <f>COUNTIFS(tblVideos[Watched On],"&gt;="&amp;$B297,tblVideos[Watched On],"&lt;"&amp;EDATE($B297,1),tblVideos[Status],"Watched")</f>
        <v/>
      </c>
      <c r="L297" s="92">
        <f>SUMIFS(tblVideos[Length],tblVideos[Watched On],"&gt;="&amp;$B297,tblVideos[Watched On],"&lt;"&amp;EDATE($B297,1),tblVideos[Status],"Watched")</f>
        <v/>
      </c>
      <c r="M297" s="94">
        <f>IF(I297=0,"Gap",IF(I297&gt;AVERAGE($I$144:$I$317)+2*STDEV($I$144:$I$317),"High",""))</f>
        <v/>
      </c>
    </row>
    <row r="298">
      <c r="B298" s="93" t="n">
        <v>45717</v>
      </c>
      <c r="C298" s="83">
        <f>COUNTIFS(tblVideos[Day],"&gt;="&amp;$B298,tblVideos[Day],"&lt;"&amp;EDATE($B298,1),tblVideos[Channel ID],Channels!$E$6)</f>
        <v/>
      </c>
      <c r="D298" s="83">
        <f>COUNTIFS(tblVideos[Day],"&gt;="&amp;$B298,tblVideos[Day],"&lt;"&amp;EDATE($B298,1),tblVideos[Channel ID],Channels!$E$7)</f>
        <v/>
      </c>
      <c r="E298" s="83">
        <f>COUNTIFS(tblVideos[Day],"&gt;="&amp;$B298,tblVideos[Day],"&lt;"&amp;EDATE($B298,1),tblVideos[Channel ID],Channels!$E$8)</f>
        <v/>
      </c>
      <c r="F298" s="83">
        <f>COUNTIFS(tblVideos[Day],"&gt;="&amp;$B298,tblVideos[Day],"&lt;"&amp;EDATE($B298,1),tblVideos[Channel ID],Channels!$E$9)</f>
        <v/>
      </c>
      <c r="G298" s="83">
        <f>COUNTIFS(tblVideos[Day],"&gt;="&amp;$B298,tblVideos[Day],"&lt;"&amp;EDATE($B298,1),tblVideos[Channel ID],Channels!$E$10)</f>
        <v/>
      </c>
      <c r="H298" s="83">
        <f>COUNTIFS(tblVideos[Day],"&gt;="&amp;$B298,tblVideos[Day],"&lt;"&amp;EDATE($B298,1),tblVideos[Channel ID],Channels!$E$11)</f>
        <v/>
      </c>
      <c r="I298" s="91">
        <f>SUM(C298:H298)</f>
        <v/>
      </c>
      <c r="J298" s="92">
        <f>SUMIFS(tblVideos[Length],tblVideos[Day],"&gt;="&amp;$B298,tblVideos[Day],"&lt;"&amp;EDATE($B298,1))</f>
        <v/>
      </c>
      <c r="K298" s="83">
        <f>COUNTIFS(tblVideos[Watched On],"&gt;="&amp;$B298,tblVideos[Watched On],"&lt;"&amp;EDATE($B298,1),tblVideos[Status],"Watched")</f>
        <v/>
      </c>
      <c r="L298" s="92">
        <f>SUMIFS(tblVideos[Length],tblVideos[Watched On],"&gt;="&amp;$B298,tblVideos[Watched On],"&lt;"&amp;EDATE($B298,1),tblVideos[Status],"Watched")</f>
        <v/>
      </c>
      <c r="M298" s="94">
        <f>IF(I298=0,"Gap",IF(I298&gt;AVERAGE($I$144:$I$317)+2*STDEV($I$144:$I$317),"High",""))</f>
        <v/>
      </c>
    </row>
    <row r="299">
      <c r="B299" s="93" t="n">
        <v>45748</v>
      </c>
      <c r="C299" s="83">
        <f>COUNTIFS(tblVideos[Day],"&gt;="&amp;$B299,tblVideos[Day],"&lt;"&amp;EDATE($B299,1),tblVideos[Channel ID],Channels!$E$6)</f>
        <v/>
      </c>
      <c r="D299" s="83">
        <f>COUNTIFS(tblVideos[Day],"&gt;="&amp;$B299,tblVideos[Day],"&lt;"&amp;EDATE($B299,1),tblVideos[Channel ID],Channels!$E$7)</f>
        <v/>
      </c>
      <c r="E299" s="83">
        <f>COUNTIFS(tblVideos[Day],"&gt;="&amp;$B299,tblVideos[Day],"&lt;"&amp;EDATE($B299,1),tblVideos[Channel ID],Channels!$E$8)</f>
        <v/>
      </c>
      <c r="F299" s="83">
        <f>COUNTIFS(tblVideos[Day],"&gt;="&amp;$B299,tblVideos[Day],"&lt;"&amp;EDATE($B299,1),tblVideos[Channel ID],Channels!$E$9)</f>
        <v/>
      </c>
      <c r="G299" s="83">
        <f>COUNTIFS(tblVideos[Day],"&gt;="&amp;$B299,tblVideos[Day],"&lt;"&amp;EDATE($B299,1),tblVideos[Channel ID],Channels!$E$10)</f>
        <v/>
      </c>
      <c r="H299" s="83">
        <f>COUNTIFS(tblVideos[Day],"&gt;="&amp;$B299,tblVideos[Day],"&lt;"&amp;EDATE($B299,1),tblVideos[Channel ID],Channels!$E$11)</f>
        <v/>
      </c>
      <c r="I299" s="91">
        <f>SUM(C299:H299)</f>
        <v/>
      </c>
      <c r="J299" s="92">
        <f>SUMIFS(tblVideos[Length],tblVideos[Day],"&gt;="&amp;$B299,tblVideos[Day],"&lt;"&amp;EDATE($B299,1))</f>
        <v/>
      </c>
      <c r="K299" s="83">
        <f>COUNTIFS(tblVideos[Watched On],"&gt;="&amp;$B299,tblVideos[Watched On],"&lt;"&amp;EDATE($B299,1),tblVideos[Status],"Watched")</f>
        <v/>
      </c>
      <c r="L299" s="92">
        <f>SUMIFS(tblVideos[Length],tblVideos[Watched On],"&gt;="&amp;$B299,tblVideos[Watched On],"&lt;"&amp;EDATE($B299,1),tblVideos[Status],"Watched")</f>
        <v/>
      </c>
      <c r="M299" s="94">
        <f>IF(I299=0,"Gap",IF(I299&gt;AVERAGE($I$144:$I$317)+2*STDEV($I$144:$I$317),"High",""))</f>
        <v/>
      </c>
    </row>
    <row r="300">
      <c r="B300" s="93" t="n">
        <v>45778</v>
      </c>
      <c r="C300" s="83">
        <f>COUNTIFS(tblVideos[Day],"&gt;="&amp;$B300,tblVideos[Day],"&lt;"&amp;EDATE($B300,1),tblVideos[Channel ID],Channels!$E$6)</f>
        <v/>
      </c>
      <c r="D300" s="83">
        <f>COUNTIFS(tblVideos[Day],"&gt;="&amp;$B300,tblVideos[Day],"&lt;"&amp;EDATE($B300,1),tblVideos[Channel ID],Channels!$E$7)</f>
        <v/>
      </c>
      <c r="E300" s="83">
        <f>COUNTIFS(tblVideos[Day],"&gt;="&amp;$B300,tblVideos[Day],"&lt;"&amp;EDATE($B300,1),tblVideos[Channel ID],Channels!$E$8)</f>
        <v/>
      </c>
      <c r="F300" s="83">
        <f>COUNTIFS(tblVideos[Day],"&gt;="&amp;$B300,tblVideos[Day],"&lt;"&amp;EDATE($B300,1),tblVideos[Channel ID],Channels!$E$9)</f>
        <v/>
      </c>
      <c r="G300" s="83">
        <f>COUNTIFS(tblVideos[Day],"&gt;="&amp;$B300,tblVideos[Day],"&lt;"&amp;EDATE($B300,1),tblVideos[Channel ID],Channels!$E$10)</f>
        <v/>
      </c>
      <c r="H300" s="83">
        <f>COUNTIFS(tblVideos[Day],"&gt;="&amp;$B300,tblVideos[Day],"&lt;"&amp;EDATE($B300,1),tblVideos[Channel ID],Channels!$E$11)</f>
        <v/>
      </c>
      <c r="I300" s="91">
        <f>SUM(C300:H300)</f>
        <v/>
      </c>
      <c r="J300" s="92">
        <f>SUMIFS(tblVideos[Length],tblVideos[Day],"&gt;="&amp;$B300,tblVideos[Day],"&lt;"&amp;EDATE($B300,1))</f>
        <v/>
      </c>
      <c r="K300" s="83">
        <f>COUNTIFS(tblVideos[Watched On],"&gt;="&amp;$B300,tblVideos[Watched On],"&lt;"&amp;EDATE($B300,1),tblVideos[Status],"Watched")</f>
        <v/>
      </c>
      <c r="L300" s="92">
        <f>SUMIFS(tblVideos[Length],tblVideos[Watched On],"&gt;="&amp;$B300,tblVideos[Watched On],"&lt;"&amp;EDATE($B300,1),tblVideos[Status],"Watched")</f>
        <v/>
      </c>
      <c r="M300" s="94">
        <f>IF(I300=0,"Gap",IF(I300&gt;AVERAGE($I$144:$I$317)+2*STDEV($I$144:$I$317),"High",""))</f>
        <v/>
      </c>
    </row>
    <row r="301">
      <c r="B301" s="93" t="n">
        <v>45809</v>
      </c>
      <c r="C301" s="83">
        <f>COUNTIFS(tblVideos[Day],"&gt;="&amp;$B301,tblVideos[Day],"&lt;"&amp;EDATE($B301,1),tblVideos[Channel ID],Channels!$E$6)</f>
        <v/>
      </c>
      <c r="D301" s="83">
        <f>COUNTIFS(tblVideos[Day],"&gt;="&amp;$B301,tblVideos[Day],"&lt;"&amp;EDATE($B301,1),tblVideos[Channel ID],Channels!$E$7)</f>
        <v/>
      </c>
      <c r="E301" s="83">
        <f>COUNTIFS(tblVideos[Day],"&gt;="&amp;$B301,tblVideos[Day],"&lt;"&amp;EDATE($B301,1),tblVideos[Channel ID],Channels!$E$8)</f>
        <v/>
      </c>
      <c r="F301" s="83">
        <f>COUNTIFS(tblVideos[Day],"&gt;="&amp;$B301,tblVideos[Day],"&lt;"&amp;EDATE($B301,1),tblVideos[Channel ID],Channels!$E$9)</f>
        <v/>
      </c>
      <c r="G301" s="83">
        <f>COUNTIFS(tblVideos[Day],"&gt;="&amp;$B301,tblVideos[Day],"&lt;"&amp;EDATE($B301,1),tblVideos[Channel ID],Channels!$E$10)</f>
        <v/>
      </c>
      <c r="H301" s="83">
        <f>COUNTIFS(tblVideos[Day],"&gt;="&amp;$B301,tblVideos[Day],"&lt;"&amp;EDATE($B301,1),tblVideos[Channel ID],Channels!$E$11)</f>
        <v/>
      </c>
      <c r="I301" s="91">
        <f>SUM(C301:H301)</f>
        <v/>
      </c>
      <c r="J301" s="92">
        <f>SUMIFS(tblVideos[Length],tblVideos[Day],"&gt;="&amp;$B301,tblVideos[Day],"&lt;"&amp;EDATE($B301,1))</f>
        <v/>
      </c>
      <c r="K301" s="83">
        <f>COUNTIFS(tblVideos[Watched On],"&gt;="&amp;$B301,tblVideos[Watched On],"&lt;"&amp;EDATE($B301,1),tblVideos[Status],"Watched")</f>
        <v/>
      </c>
      <c r="L301" s="92">
        <f>SUMIFS(tblVideos[Length],tblVideos[Watched On],"&gt;="&amp;$B301,tblVideos[Watched On],"&lt;"&amp;EDATE($B301,1),tblVideos[Status],"Watched")</f>
        <v/>
      </c>
      <c r="M301" s="94">
        <f>IF(I301=0,"Gap",IF(I301&gt;AVERAGE($I$144:$I$317)+2*STDEV($I$144:$I$317),"High",""))</f>
        <v/>
      </c>
    </row>
    <row r="302">
      <c r="B302" s="93" t="n">
        <v>45839</v>
      </c>
      <c r="C302" s="83">
        <f>COUNTIFS(tblVideos[Day],"&gt;="&amp;$B302,tblVideos[Day],"&lt;"&amp;EDATE($B302,1),tblVideos[Channel ID],Channels!$E$6)</f>
        <v/>
      </c>
      <c r="D302" s="83">
        <f>COUNTIFS(tblVideos[Day],"&gt;="&amp;$B302,tblVideos[Day],"&lt;"&amp;EDATE($B302,1),tblVideos[Channel ID],Channels!$E$7)</f>
        <v/>
      </c>
      <c r="E302" s="83">
        <f>COUNTIFS(tblVideos[Day],"&gt;="&amp;$B302,tblVideos[Day],"&lt;"&amp;EDATE($B302,1),tblVideos[Channel ID],Channels!$E$8)</f>
        <v/>
      </c>
      <c r="F302" s="83">
        <f>COUNTIFS(tblVideos[Day],"&gt;="&amp;$B302,tblVideos[Day],"&lt;"&amp;EDATE($B302,1),tblVideos[Channel ID],Channels!$E$9)</f>
        <v/>
      </c>
      <c r="G302" s="83">
        <f>COUNTIFS(tblVideos[Day],"&gt;="&amp;$B302,tblVideos[Day],"&lt;"&amp;EDATE($B302,1),tblVideos[Channel ID],Channels!$E$10)</f>
        <v/>
      </c>
      <c r="H302" s="83">
        <f>COUNTIFS(tblVideos[Day],"&gt;="&amp;$B302,tblVideos[Day],"&lt;"&amp;EDATE($B302,1),tblVideos[Channel ID],Channels!$E$11)</f>
        <v/>
      </c>
      <c r="I302" s="91">
        <f>SUM(C302:H302)</f>
        <v/>
      </c>
      <c r="J302" s="92">
        <f>SUMIFS(tblVideos[Length],tblVideos[Day],"&gt;="&amp;$B302,tblVideos[Day],"&lt;"&amp;EDATE($B302,1))</f>
        <v/>
      </c>
      <c r="K302" s="83">
        <f>COUNTIFS(tblVideos[Watched On],"&gt;="&amp;$B302,tblVideos[Watched On],"&lt;"&amp;EDATE($B302,1),tblVideos[Status],"Watched")</f>
        <v/>
      </c>
      <c r="L302" s="92">
        <f>SUMIFS(tblVideos[Length],tblVideos[Watched On],"&gt;="&amp;$B302,tblVideos[Watched On],"&lt;"&amp;EDATE($B302,1),tblVideos[Status],"Watched")</f>
        <v/>
      </c>
      <c r="M302" s="94">
        <f>IF(I302=0,"Gap",IF(I302&gt;AVERAGE($I$144:$I$317)+2*STDEV($I$144:$I$317),"High",""))</f>
        <v/>
      </c>
    </row>
    <row r="303">
      <c r="B303" s="93" t="n">
        <v>45870</v>
      </c>
      <c r="C303" s="83">
        <f>COUNTIFS(tblVideos[Day],"&gt;="&amp;$B303,tblVideos[Day],"&lt;"&amp;EDATE($B303,1),tblVideos[Channel ID],Channels!$E$6)</f>
        <v/>
      </c>
      <c r="D303" s="83">
        <f>COUNTIFS(tblVideos[Day],"&gt;="&amp;$B303,tblVideos[Day],"&lt;"&amp;EDATE($B303,1),tblVideos[Channel ID],Channels!$E$7)</f>
        <v/>
      </c>
      <c r="E303" s="83">
        <f>COUNTIFS(tblVideos[Day],"&gt;="&amp;$B303,tblVideos[Day],"&lt;"&amp;EDATE($B303,1),tblVideos[Channel ID],Channels!$E$8)</f>
        <v/>
      </c>
      <c r="F303" s="83">
        <f>COUNTIFS(tblVideos[Day],"&gt;="&amp;$B303,tblVideos[Day],"&lt;"&amp;EDATE($B303,1),tblVideos[Channel ID],Channels!$E$9)</f>
        <v/>
      </c>
      <c r="G303" s="83">
        <f>COUNTIFS(tblVideos[Day],"&gt;="&amp;$B303,tblVideos[Day],"&lt;"&amp;EDATE($B303,1),tblVideos[Channel ID],Channels!$E$10)</f>
        <v/>
      </c>
      <c r="H303" s="83">
        <f>COUNTIFS(tblVideos[Day],"&gt;="&amp;$B303,tblVideos[Day],"&lt;"&amp;EDATE($B303,1),tblVideos[Channel ID],Channels!$E$11)</f>
        <v/>
      </c>
      <c r="I303" s="91">
        <f>SUM(C303:H303)</f>
        <v/>
      </c>
      <c r="J303" s="92">
        <f>SUMIFS(tblVideos[Length],tblVideos[Day],"&gt;="&amp;$B303,tblVideos[Day],"&lt;"&amp;EDATE($B303,1))</f>
        <v/>
      </c>
      <c r="K303" s="83">
        <f>COUNTIFS(tblVideos[Watched On],"&gt;="&amp;$B303,tblVideos[Watched On],"&lt;"&amp;EDATE($B303,1),tblVideos[Status],"Watched")</f>
        <v/>
      </c>
      <c r="L303" s="92">
        <f>SUMIFS(tblVideos[Length],tblVideos[Watched On],"&gt;="&amp;$B303,tblVideos[Watched On],"&lt;"&amp;EDATE($B303,1),tblVideos[Status],"Watched")</f>
        <v/>
      </c>
      <c r="M303" s="94">
        <f>IF(I303=0,"Gap",IF(I303&gt;AVERAGE($I$144:$I$317)+2*STDEV($I$144:$I$317),"High",""))</f>
        <v/>
      </c>
    </row>
    <row r="304">
      <c r="B304" s="93" t="n">
        <v>45901</v>
      </c>
      <c r="C304" s="83">
        <f>COUNTIFS(tblVideos[Day],"&gt;="&amp;$B304,tblVideos[Day],"&lt;"&amp;EDATE($B304,1),tblVideos[Channel ID],Channels!$E$6)</f>
        <v/>
      </c>
      <c r="D304" s="83">
        <f>COUNTIFS(tblVideos[Day],"&gt;="&amp;$B304,tblVideos[Day],"&lt;"&amp;EDATE($B304,1),tblVideos[Channel ID],Channels!$E$7)</f>
        <v/>
      </c>
      <c r="E304" s="83">
        <f>COUNTIFS(tblVideos[Day],"&gt;="&amp;$B304,tblVideos[Day],"&lt;"&amp;EDATE($B304,1),tblVideos[Channel ID],Channels!$E$8)</f>
        <v/>
      </c>
      <c r="F304" s="83">
        <f>COUNTIFS(tblVideos[Day],"&gt;="&amp;$B304,tblVideos[Day],"&lt;"&amp;EDATE($B304,1),tblVideos[Channel ID],Channels!$E$9)</f>
        <v/>
      </c>
      <c r="G304" s="83">
        <f>COUNTIFS(tblVideos[Day],"&gt;="&amp;$B304,tblVideos[Day],"&lt;"&amp;EDATE($B304,1),tblVideos[Channel ID],Channels!$E$10)</f>
        <v/>
      </c>
      <c r="H304" s="83">
        <f>COUNTIFS(tblVideos[Day],"&gt;="&amp;$B304,tblVideos[Day],"&lt;"&amp;EDATE($B304,1),tblVideos[Channel ID],Channels!$E$11)</f>
        <v/>
      </c>
      <c r="I304" s="91">
        <f>SUM(C304:H304)</f>
        <v/>
      </c>
      <c r="J304" s="92">
        <f>SUMIFS(tblVideos[Length],tblVideos[Day],"&gt;="&amp;$B304,tblVideos[Day],"&lt;"&amp;EDATE($B304,1))</f>
        <v/>
      </c>
      <c r="K304" s="83">
        <f>COUNTIFS(tblVideos[Watched On],"&gt;="&amp;$B304,tblVideos[Watched On],"&lt;"&amp;EDATE($B304,1),tblVideos[Status],"Watched")</f>
        <v/>
      </c>
      <c r="L304" s="92">
        <f>SUMIFS(tblVideos[Length],tblVideos[Watched On],"&gt;="&amp;$B304,tblVideos[Watched On],"&lt;"&amp;EDATE($B304,1),tblVideos[Status],"Watched")</f>
        <v/>
      </c>
      <c r="M304" s="94">
        <f>IF(I304=0,"Gap",IF(I304&gt;AVERAGE($I$144:$I$317)+2*STDEV($I$144:$I$317),"High",""))</f>
        <v/>
      </c>
    </row>
    <row r="305">
      <c r="B305" s="93" t="n">
        <v>45931</v>
      </c>
      <c r="C305" s="83">
        <f>COUNTIFS(tblVideos[Day],"&gt;="&amp;$B305,tblVideos[Day],"&lt;"&amp;EDATE($B305,1),tblVideos[Channel ID],Channels!$E$6)</f>
        <v/>
      </c>
      <c r="D305" s="83">
        <f>COUNTIFS(tblVideos[Day],"&gt;="&amp;$B305,tblVideos[Day],"&lt;"&amp;EDATE($B305,1),tblVideos[Channel ID],Channels!$E$7)</f>
        <v/>
      </c>
      <c r="E305" s="83">
        <f>COUNTIFS(tblVideos[Day],"&gt;="&amp;$B305,tblVideos[Day],"&lt;"&amp;EDATE($B305,1),tblVideos[Channel ID],Channels!$E$8)</f>
        <v/>
      </c>
      <c r="F305" s="83">
        <f>COUNTIFS(tblVideos[Day],"&gt;="&amp;$B305,tblVideos[Day],"&lt;"&amp;EDATE($B305,1),tblVideos[Channel ID],Channels!$E$9)</f>
        <v/>
      </c>
      <c r="G305" s="83">
        <f>COUNTIFS(tblVideos[Day],"&gt;="&amp;$B305,tblVideos[Day],"&lt;"&amp;EDATE($B305,1),tblVideos[Channel ID],Channels!$E$10)</f>
        <v/>
      </c>
      <c r="H305" s="83">
        <f>COUNTIFS(tblVideos[Day],"&gt;="&amp;$B305,tblVideos[Day],"&lt;"&amp;EDATE($B305,1),tblVideos[Channel ID],Channels!$E$11)</f>
        <v/>
      </c>
      <c r="I305" s="91">
        <f>SUM(C305:H305)</f>
        <v/>
      </c>
      <c r="J305" s="92">
        <f>SUMIFS(tblVideos[Length],tblVideos[Day],"&gt;="&amp;$B305,tblVideos[Day],"&lt;"&amp;EDATE($B305,1))</f>
        <v/>
      </c>
      <c r="K305" s="83">
        <f>COUNTIFS(tblVideos[Watched On],"&gt;="&amp;$B305,tblVideos[Watched On],"&lt;"&amp;EDATE($B305,1),tblVideos[Status],"Watched")</f>
        <v/>
      </c>
      <c r="L305" s="92">
        <f>SUMIFS(tblVideos[Length],tblVideos[Watched On],"&gt;="&amp;$B305,tblVideos[Watched On],"&lt;"&amp;EDATE($B305,1),tblVideos[Status],"Watched")</f>
        <v/>
      </c>
      <c r="M305" s="94">
        <f>IF(I305=0,"Gap",IF(I305&gt;AVERAGE($I$144:$I$317)+2*STDEV($I$144:$I$317),"High",""))</f>
        <v/>
      </c>
    </row>
    <row r="306">
      <c r="B306" s="93" t="n">
        <v>45962</v>
      </c>
      <c r="C306" s="83">
        <f>COUNTIFS(tblVideos[Day],"&gt;="&amp;$B306,tblVideos[Day],"&lt;"&amp;EDATE($B306,1),tblVideos[Channel ID],Channels!$E$6)</f>
        <v/>
      </c>
      <c r="D306" s="83">
        <f>COUNTIFS(tblVideos[Day],"&gt;="&amp;$B306,tblVideos[Day],"&lt;"&amp;EDATE($B306,1),tblVideos[Channel ID],Channels!$E$7)</f>
        <v/>
      </c>
      <c r="E306" s="83">
        <f>COUNTIFS(tblVideos[Day],"&gt;="&amp;$B306,tblVideos[Day],"&lt;"&amp;EDATE($B306,1),tblVideos[Channel ID],Channels!$E$8)</f>
        <v/>
      </c>
      <c r="F306" s="83">
        <f>COUNTIFS(tblVideos[Day],"&gt;="&amp;$B306,tblVideos[Day],"&lt;"&amp;EDATE($B306,1),tblVideos[Channel ID],Channels!$E$9)</f>
        <v/>
      </c>
      <c r="G306" s="83">
        <f>COUNTIFS(tblVideos[Day],"&gt;="&amp;$B306,tblVideos[Day],"&lt;"&amp;EDATE($B306,1),tblVideos[Channel ID],Channels!$E$10)</f>
        <v/>
      </c>
      <c r="H306" s="83">
        <f>COUNTIFS(tblVideos[Day],"&gt;="&amp;$B306,tblVideos[Day],"&lt;"&amp;EDATE($B306,1),tblVideos[Channel ID],Channels!$E$11)</f>
        <v/>
      </c>
      <c r="I306" s="91">
        <f>SUM(C306:H306)</f>
        <v/>
      </c>
      <c r="J306" s="92">
        <f>SUMIFS(tblVideos[Length],tblVideos[Day],"&gt;="&amp;$B306,tblVideos[Day],"&lt;"&amp;EDATE($B306,1))</f>
        <v/>
      </c>
      <c r="K306" s="83">
        <f>COUNTIFS(tblVideos[Watched On],"&gt;="&amp;$B306,tblVideos[Watched On],"&lt;"&amp;EDATE($B306,1),tblVideos[Status],"Watched")</f>
        <v/>
      </c>
      <c r="L306" s="92">
        <f>SUMIFS(tblVideos[Length],tblVideos[Watched On],"&gt;="&amp;$B306,tblVideos[Watched On],"&lt;"&amp;EDATE($B306,1),tblVideos[Status],"Watched")</f>
        <v/>
      </c>
      <c r="M306" s="94">
        <f>IF(I306=0,"Gap",IF(I306&gt;AVERAGE($I$144:$I$317)+2*STDEV($I$144:$I$317),"High",""))</f>
        <v/>
      </c>
    </row>
    <row r="307">
      <c r="B307" s="93" t="n">
        <v>45992</v>
      </c>
      <c r="C307" s="83">
        <f>COUNTIFS(tblVideos[Day],"&gt;="&amp;$B307,tblVideos[Day],"&lt;"&amp;EDATE($B307,1),tblVideos[Channel ID],Channels!$E$6)</f>
        <v/>
      </c>
      <c r="D307" s="83">
        <f>COUNTIFS(tblVideos[Day],"&gt;="&amp;$B307,tblVideos[Day],"&lt;"&amp;EDATE($B307,1),tblVideos[Channel ID],Channels!$E$7)</f>
        <v/>
      </c>
      <c r="E307" s="83">
        <f>COUNTIFS(tblVideos[Day],"&gt;="&amp;$B307,tblVideos[Day],"&lt;"&amp;EDATE($B307,1),tblVideos[Channel ID],Channels!$E$8)</f>
        <v/>
      </c>
      <c r="F307" s="83">
        <f>COUNTIFS(tblVideos[Day],"&gt;="&amp;$B307,tblVideos[Day],"&lt;"&amp;EDATE($B307,1),tblVideos[Channel ID],Channels!$E$9)</f>
        <v/>
      </c>
      <c r="G307" s="83">
        <f>COUNTIFS(tblVideos[Day],"&gt;="&amp;$B307,tblVideos[Day],"&lt;"&amp;EDATE($B307,1),tblVideos[Channel ID],Channels!$E$10)</f>
        <v/>
      </c>
      <c r="H307" s="83">
        <f>COUNTIFS(tblVideos[Day],"&gt;="&amp;$B307,tblVideos[Day],"&lt;"&amp;EDATE($B307,1),tblVideos[Channel ID],Channels!$E$11)</f>
        <v/>
      </c>
      <c r="I307" s="91">
        <f>SUM(C307:H307)</f>
        <v/>
      </c>
      <c r="J307" s="92">
        <f>SUMIFS(tblVideos[Length],tblVideos[Day],"&gt;="&amp;$B307,tblVideos[Day],"&lt;"&amp;EDATE($B307,1))</f>
        <v/>
      </c>
      <c r="K307" s="83">
        <f>COUNTIFS(tblVideos[Watched On],"&gt;="&amp;$B307,tblVideos[Watched On],"&lt;"&amp;EDATE($B307,1),tblVideos[Status],"Watched")</f>
        <v/>
      </c>
      <c r="L307" s="92">
        <f>SUMIFS(tblVideos[Length],tblVideos[Watched On],"&gt;="&amp;$B307,tblVideos[Watched On],"&lt;"&amp;EDATE($B307,1),tblVideos[Status],"Watched")</f>
        <v/>
      </c>
      <c r="M307" s="94">
        <f>IF(I307=0,"Gap",IF(I307&gt;AVERAGE($I$144:$I$317)+2*STDEV($I$144:$I$317),"High",""))</f>
        <v/>
      </c>
    </row>
    <row r="308">
      <c r="B308" s="93" t="n">
        <v>46023</v>
      </c>
      <c r="C308" s="83">
        <f>COUNTIFS(tblVideos[Day],"&gt;="&amp;$B308,tblVideos[Day],"&lt;"&amp;EDATE($B308,1),tblVideos[Channel ID],Channels!$E$6)</f>
        <v/>
      </c>
      <c r="D308" s="83">
        <f>COUNTIFS(tblVideos[Day],"&gt;="&amp;$B308,tblVideos[Day],"&lt;"&amp;EDATE($B308,1),tblVideos[Channel ID],Channels!$E$7)</f>
        <v/>
      </c>
      <c r="E308" s="83">
        <f>COUNTIFS(tblVideos[Day],"&gt;="&amp;$B308,tblVideos[Day],"&lt;"&amp;EDATE($B308,1),tblVideos[Channel ID],Channels!$E$8)</f>
        <v/>
      </c>
      <c r="F308" s="83">
        <f>COUNTIFS(tblVideos[Day],"&gt;="&amp;$B308,tblVideos[Day],"&lt;"&amp;EDATE($B308,1),tblVideos[Channel ID],Channels!$E$9)</f>
        <v/>
      </c>
      <c r="G308" s="83">
        <f>COUNTIFS(tblVideos[Day],"&gt;="&amp;$B308,tblVideos[Day],"&lt;"&amp;EDATE($B308,1),tblVideos[Channel ID],Channels!$E$10)</f>
        <v/>
      </c>
      <c r="H308" s="83">
        <f>COUNTIFS(tblVideos[Day],"&gt;="&amp;$B308,tblVideos[Day],"&lt;"&amp;EDATE($B308,1),tblVideos[Channel ID],Channels!$E$11)</f>
        <v/>
      </c>
      <c r="I308" s="91">
        <f>SUM(C308:H308)</f>
        <v/>
      </c>
      <c r="J308" s="92">
        <f>SUMIFS(tblVideos[Length],tblVideos[Day],"&gt;="&amp;$B308,tblVideos[Day],"&lt;"&amp;EDATE($B308,1))</f>
        <v/>
      </c>
      <c r="K308" s="83">
        <f>COUNTIFS(tblVideos[Watched On],"&gt;="&amp;$B308,tblVideos[Watched On],"&lt;"&amp;EDATE($B308,1),tblVideos[Status],"Watched")</f>
        <v/>
      </c>
      <c r="L308" s="92">
        <f>SUMIFS(tblVideos[Length],tblVideos[Watched On],"&gt;="&amp;$B308,tblVideos[Watched On],"&lt;"&amp;EDATE($B308,1),tblVideos[Status],"Watched")</f>
        <v/>
      </c>
      <c r="M308" s="94">
        <f>IF(I308=0,"Gap",IF(I308&gt;AVERAGE($I$144:$I$317)+2*STDEV($I$144:$I$317),"High",""))</f>
        <v/>
      </c>
    </row>
    <row r="309">
      <c r="B309" s="93" t="n">
        <v>46054</v>
      </c>
      <c r="C309" s="83">
        <f>COUNTIFS(tblVideos[Day],"&gt;="&amp;$B309,tblVideos[Day],"&lt;"&amp;EDATE($B309,1),tblVideos[Channel ID],Channels!$E$6)</f>
        <v/>
      </c>
      <c r="D309" s="83">
        <f>COUNTIFS(tblVideos[Day],"&gt;="&amp;$B309,tblVideos[Day],"&lt;"&amp;EDATE($B309,1),tblVideos[Channel ID],Channels!$E$7)</f>
        <v/>
      </c>
      <c r="E309" s="83">
        <f>COUNTIFS(tblVideos[Day],"&gt;="&amp;$B309,tblVideos[Day],"&lt;"&amp;EDATE($B309,1),tblVideos[Channel ID],Channels!$E$8)</f>
        <v/>
      </c>
      <c r="F309" s="83">
        <f>COUNTIFS(tblVideos[Day],"&gt;="&amp;$B309,tblVideos[Day],"&lt;"&amp;EDATE($B309,1),tblVideos[Channel ID],Channels!$E$9)</f>
        <v/>
      </c>
      <c r="G309" s="83">
        <f>COUNTIFS(tblVideos[Day],"&gt;="&amp;$B309,tblVideos[Day],"&lt;"&amp;EDATE($B309,1),tblVideos[Channel ID],Channels!$E$10)</f>
        <v/>
      </c>
      <c r="H309" s="83">
        <f>COUNTIFS(tblVideos[Day],"&gt;="&amp;$B309,tblVideos[Day],"&lt;"&amp;EDATE($B309,1),tblVideos[Channel ID],Channels!$E$11)</f>
        <v/>
      </c>
      <c r="I309" s="91">
        <f>SUM(C309:H309)</f>
        <v/>
      </c>
      <c r="J309" s="92">
        <f>SUMIFS(tblVideos[Length],tblVideos[Day],"&gt;="&amp;$B309,tblVideos[Day],"&lt;"&amp;EDATE($B309,1))</f>
        <v/>
      </c>
      <c r="K309" s="83">
        <f>COUNTIFS(tblVideos[Watched On],"&gt;="&amp;$B309,tblVideos[Watched On],"&lt;"&amp;EDATE($B309,1),tblVideos[Status],"Watched")</f>
        <v/>
      </c>
      <c r="L309" s="92">
        <f>SUMIFS(tblVideos[Length],tblVideos[Watched On],"&gt;="&amp;$B309,tblVideos[Watched On],"&lt;"&amp;EDATE($B309,1),tblVideos[Status],"Watched")</f>
        <v/>
      </c>
      <c r="M309" s="94">
        <f>IF(I309=0,"Gap",IF(I309&gt;AVERAGE($I$144:$I$317)+2*STDEV($I$144:$I$317),"High",""))</f>
        <v/>
      </c>
    </row>
    <row r="310">
      <c r="B310" s="93" t="n">
        <v>46082</v>
      </c>
      <c r="C310" s="83">
        <f>COUNTIFS(tblVideos[Day],"&gt;="&amp;$B310,tblVideos[Day],"&lt;"&amp;EDATE($B310,1),tblVideos[Channel ID],Channels!$E$6)</f>
        <v/>
      </c>
      <c r="D310" s="83">
        <f>COUNTIFS(tblVideos[Day],"&gt;="&amp;$B310,tblVideos[Day],"&lt;"&amp;EDATE($B310,1),tblVideos[Channel ID],Channels!$E$7)</f>
        <v/>
      </c>
      <c r="E310" s="83">
        <f>COUNTIFS(tblVideos[Day],"&gt;="&amp;$B310,tblVideos[Day],"&lt;"&amp;EDATE($B310,1),tblVideos[Channel ID],Channels!$E$8)</f>
        <v/>
      </c>
      <c r="F310" s="83">
        <f>COUNTIFS(tblVideos[Day],"&gt;="&amp;$B310,tblVideos[Day],"&lt;"&amp;EDATE($B310,1),tblVideos[Channel ID],Channels!$E$9)</f>
        <v/>
      </c>
      <c r="G310" s="83">
        <f>COUNTIFS(tblVideos[Day],"&gt;="&amp;$B310,tblVideos[Day],"&lt;"&amp;EDATE($B310,1),tblVideos[Channel ID],Channels!$E$10)</f>
        <v/>
      </c>
      <c r="H310" s="83">
        <f>COUNTIFS(tblVideos[Day],"&gt;="&amp;$B310,tblVideos[Day],"&lt;"&amp;EDATE($B310,1),tblVideos[Channel ID],Channels!$E$11)</f>
        <v/>
      </c>
      <c r="I310" s="91">
        <f>SUM(C310:H310)</f>
        <v/>
      </c>
      <c r="J310" s="92">
        <f>SUMIFS(tblVideos[Length],tblVideos[Day],"&gt;="&amp;$B310,tblVideos[Day],"&lt;"&amp;EDATE($B310,1))</f>
        <v/>
      </c>
      <c r="K310" s="83">
        <f>COUNTIFS(tblVideos[Watched On],"&gt;="&amp;$B310,tblVideos[Watched On],"&lt;"&amp;EDATE($B310,1),tblVideos[Status],"Watched")</f>
        <v/>
      </c>
      <c r="L310" s="92">
        <f>SUMIFS(tblVideos[Length],tblVideos[Watched On],"&gt;="&amp;$B310,tblVideos[Watched On],"&lt;"&amp;EDATE($B310,1),tblVideos[Status],"Watched")</f>
        <v/>
      </c>
      <c r="M310" s="94">
        <f>IF(I310=0,"Gap",IF(I310&gt;AVERAGE($I$144:$I$317)+2*STDEV($I$144:$I$317),"High",""))</f>
        <v/>
      </c>
    </row>
    <row r="311">
      <c r="B311" s="93" t="n">
        <v>46113</v>
      </c>
      <c r="C311" s="83">
        <f>COUNTIFS(tblVideos[Day],"&gt;="&amp;$B311,tblVideos[Day],"&lt;"&amp;EDATE($B311,1),tblVideos[Channel ID],Channels!$E$6)</f>
        <v/>
      </c>
      <c r="D311" s="83">
        <f>COUNTIFS(tblVideos[Day],"&gt;="&amp;$B311,tblVideos[Day],"&lt;"&amp;EDATE($B311,1),tblVideos[Channel ID],Channels!$E$7)</f>
        <v/>
      </c>
      <c r="E311" s="83">
        <f>COUNTIFS(tblVideos[Day],"&gt;="&amp;$B311,tblVideos[Day],"&lt;"&amp;EDATE($B311,1),tblVideos[Channel ID],Channels!$E$8)</f>
        <v/>
      </c>
      <c r="F311" s="83">
        <f>COUNTIFS(tblVideos[Day],"&gt;="&amp;$B311,tblVideos[Day],"&lt;"&amp;EDATE($B311,1),tblVideos[Channel ID],Channels!$E$9)</f>
        <v/>
      </c>
      <c r="G311" s="83">
        <f>COUNTIFS(tblVideos[Day],"&gt;="&amp;$B311,tblVideos[Day],"&lt;"&amp;EDATE($B311,1),tblVideos[Channel ID],Channels!$E$10)</f>
        <v/>
      </c>
      <c r="H311" s="83">
        <f>COUNTIFS(tblVideos[Day],"&gt;="&amp;$B311,tblVideos[Day],"&lt;"&amp;EDATE($B311,1),tblVideos[Channel ID],Channels!$E$11)</f>
        <v/>
      </c>
      <c r="I311" s="91">
        <f>SUM(C311:H311)</f>
        <v/>
      </c>
      <c r="J311" s="92">
        <f>SUMIFS(tblVideos[Length],tblVideos[Day],"&gt;="&amp;$B311,tblVideos[Day],"&lt;"&amp;EDATE($B311,1))</f>
        <v/>
      </c>
      <c r="K311" s="83">
        <f>COUNTIFS(tblVideos[Watched On],"&gt;="&amp;$B311,tblVideos[Watched On],"&lt;"&amp;EDATE($B311,1),tblVideos[Status],"Watched")</f>
        <v/>
      </c>
      <c r="L311" s="92">
        <f>SUMIFS(tblVideos[Length],tblVideos[Watched On],"&gt;="&amp;$B311,tblVideos[Watched On],"&lt;"&amp;EDATE($B311,1),tblVideos[Status],"Watched")</f>
        <v/>
      </c>
      <c r="M311" s="94">
        <f>IF(I311=0,"Gap",IF(I311&gt;AVERAGE($I$144:$I$317)+2*STDEV($I$144:$I$317),"High",""))</f>
        <v/>
      </c>
    </row>
    <row r="312">
      <c r="B312" s="93" t="n">
        <v>46143</v>
      </c>
      <c r="C312" s="83">
        <f>COUNTIFS(tblVideos[Day],"&gt;="&amp;$B312,tblVideos[Day],"&lt;"&amp;EDATE($B312,1),tblVideos[Channel ID],Channels!$E$6)</f>
        <v/>
      </c>
      <c r="D312" s="83">
        <f>COUNTIFS(tblVideos[Day],"&gt;="&amp;$B312,tblVideos[Day],"&lt;"&amp;EDATE($B312,1),tblVideos[Channel ID],Channels!$E$7)</f>
        <v/>
      </c>
      <c r="E312" s="83">
        <f>COUNTIFS(tblVideos[Day],"&gt;="&amp;$B312,tblVideos[Day],"&lt;"&amp;EDATE($B312,1),tblVideos[Channel ID],Channels!$E$8)</f>
        <v/>
      </c>
      <c r="F312" s="83">
        <f>COUNTIFS(tblVideos[Day],"&gt;="&amp;$B312,tblVideos[Day],"&lt;"&amp;EDATE($B312,1),tblVideos[Channel ID],Channels!$E$9)</f>
        <v/>
      </c>
      <c r="G312" s="83">
        <f>COUNTIFS(tblVideos[Day],"&gt;="&amp;$B312,tblVideos[Day],"&lt;"&amp;EDATE($B312,1),tblVideos[Channel ID],Channels!$E$10)</f>
        <v/>
      </c>
      <c r="H312" s="83">
        <f>COUNTIFS(tblVideos[Day],"&gt;="&amp;$B312,tblVideos[Day],"&lt;"&amp;EDATE($B312,1),tblVideos[Channel ID],Channels!$E$11)</f>
        <v/>
      </c>
      <c r="I312" s="91">
        <f>SUM(C312:H312)</f>
        <v/>
      </c>
      <c r="J312" s="92">
        <f>SUMIFS(tblVideos[Length],tblVideos[Day],"&gt;="&amp;$B312,tblVideos[Day],"&lt;"&amp;EDATE($B312,1))</f>
        <v/>
      </c>
      <c r="K312" s="83">
        <f>COUNTIFS(tblVideos[Watched On],"&gt;="&amp;$B312,tblVideos[Watched On],"&lt;"&amp;EDATE($B312,1),tblVideos[Status],"Watched")</f>
        <v/>
      </c>
      <c r="L312" s="92">
        <f>SUMIFS(tblVideos[Length],tblVideos[Watched On],"&gt;="&amp;$B312,tblVideos[Watched On],"&lt;"&amp;EDATE($B312,1),tblVideos[Status],"Watched")</f>
        <v/>
      </c>
      <c r="M312" s="94">
        <f>IF(I312=0,"Gap",IF(I312&gt;AVERAGE($I$144:$I$317)+2*STDEV($I$144:$I$317),"High",""))</f>
        <v/>
      </c>
    </row>
    <row r="313">
      <c r="B313" s="93" t="n">
        <v>46174</v>
      </c>
      <c r="C313" s="83">
        <f>COUNTIFS(tblVideos[Day],"&gt;="&amp;$B313,tblVideos[Day],"&lt;"&amp;EDATE($B313,1),tblVideos[Channel ID],Channels!$E$6)</f>
        <v/>
      </c>
      <c r="D313" s="83">
        <f>COUNTIFS(tblVideos[Day],"&gt;="&amp;$B313,tblVideos[Day],"&lt;"&amp;EDATE($B313,1),tblVideos[Channel ID],Channels!$E$7)</f>
        <v/>
      </c>
      <c r="E313" s="83">
        <f>COUNTIFS(tblVideos[Day],"&gt;="&amp;$B313,tblVideos[Day],"&lt;"&amp;EDATE($B313,1),tblVideos[Channel ID],Channels!$E$8)</f>
        <v/>
      </c>
      <c r="F313" s="83">
        <f>COUNTIFS(tblVideos[Day],"&gt;="&amp;$B313,tblVideos[Day],"&lt;"&amp;EDATE($B313,1),tblVideos[Channel ID],Channels!$E$9)</f>
        <v/>
      </c>
      <c r="G313" s="83">
        <f>COUNTIFS(tblVideos[Day],"&gt;="&amp;$B313,tblVideos[Day],"&lt;"&amp;EDATE($B313,1),tblVideos[Channel ID],Channels!$E$10)</f>
        <v/>
      </c>
      <c r="H313" s="83">
        <f>COUNTIFS(tblVideos[Day],"&gt;="&amp;$B313,tblVideos[Day],"&lt;"&amp;EDATE($B313,1),tblVideos[Channel ID],Channels!$E$11)</f>
        <v/>
      </c>
      <c r="I313" s="91">
        <f>SUM(C313:H313)</f>
        <v/>
      </c>
      <c r="J313" s="92">
        <f>SUMIFS(tblVideos[Length],tblVideos[Day],"&gt;="&amp;$B313,tblVideos[Day],"&lt;"&amp;EDATE($B313,1))</f>
        <v/>
      </c>
      <c r="K313" s="83">
        <f>COUNTIFS(tblVideos[Watched On],"&gt;="&amp;$B313,tblVideos[Watched On],"&lt;"&amp;EDATE($B313,1),tblVideos[Status],"Watched")</f>
        <v/>
      </c>
      <c r="L313" s="92">
        <f>SUMIFS(tblVideos[Length],tblVideos[Watched On],"&gt;="&amp;$B313,tblVideos[Watched On],"&lt;"&amp;EDATE($B313,1),tblVideos[Status],"Watched")</f>
        <v/>
      </c>
      <c r="M313" s="94">
        <f>IF(I313=0,"Gap",IF(I313&gt;AVERAGE($I$144:$I$317)+2*STDEV($I$144:$I$317),"High",""))</f>
        <v/>
      </c>
    </row>
    <row r="314">
      <c r="B314" s="93" t="n">
        <v>46204</v>
      </c>
      <c r="C314" s="83">
        <f>COUNTIFS(tblVideos[Day],"&gt;="&amp;$B314,tblVideos[Day],"&lt;"&amp;EDATE($B314,1),tblVideos[Channel ID],Channels!$E$6)</f>
        <v/>
      </c>
      <c r="D314" s="83">
        <f>COUNTIFS(tblVideos[Day],"&gt;="&amp;$B314,tblVideos[Day],"&lt;"&amp;EDATE($B314,1),tblVideos[Channel ID],Channels!$E$7)</f>
        <v/>
      </c>
      <c r="E314" s="83">
        <f>COUNTIFS(tblVideos[Day],"&gt;="&amp;$B314,tblVideos[Day],"&lt;"&amp;EDATE($B314,1),tblVideos[Channel ID],Channels!$E$8)</f>
        <v/>
      </c>
      <c r="F314" s="83">
        <f>COUNTIFS(tblVideos[Day],"&gt;="&amp;$B314,tblVideos[Day],"&lt;"&amp;EDATE($B314,1),tblVideos[Channel ID],Channels!$E$9)</f>
        <v/>
      </c>
      <c r="G314" s="83">
        <f>COUNTIFS(tblVideos[Day],"&gt;="&amp;$B314,tblVideos[Day],"&lt;"&amp;EDATE($B314,1),tblVideos[Channel ID],Channels!$E$10)</f>
        <v/>
      </c>
      <c r="H314" s="83">
        <f>COUNTIFS(tblVideos[Day],"&gt;="&amp;$B314,tblVideos[Day],"&lt;"&amp;EDATE($B314,1),tblVideos[Channel ID],Channels!$E$11)</f>
        <v/>
      </c>
      <c r="I314" s="91">
        <f>SUM(C314:H314)</f>
        <v/>
      </c>
      <c r="J314" s="92">
        <f>SUMIFS(tblVideos[Length],tblVideos[Day],"&gt;="&amp;$B314,tblVideos[Day],"&lt;"&amp;EDATE($B314,1))</f>
        <v/>
      </c>
      <c r="K314" s="83">
        <f>COUNTIFS(tblVideos[Watched On],"&gt;="&amp;$B314,tblVideos[Watched On],"&lt;"&amp;EDATE($B314,1),tblVideos[Status],"Watched")</f>
        <v/>
      </c>
      <c r="L314" s="92">
        <f>SUMIFS(tblVideos[Length],tblVideos[Watched On],"&gt;="&amp;$B314,tblVideos[Watched On],"&lt;"&amp;EDATE($B314,1),tblVideos[Status],"Watched")</f>
        <v/>
      </c>
      <c r="M314" s="94">
        <f>IF(I314=0,"Gap",IF(I314&gt;AVERAGE($I$144:$I$317)+2*STDEV($I$144:$I$317),"High",""))</f>
        <v/>
      </c>
    </row>
    <row r="315">
      <c r="B315" s="93" t="n">
        <v>46235</v>
      </c>
      <c r="C315" s="83">
        <f>COUNTIFS(tblVideos[Day],"&gt;="&amp;$B315,tblVideos[Day],"&lt;"&amp;EDATE($B315,1),tblVideos[Channel ID],Channels!$E$6)</f>
        <v/>
      </c>
      <c r="D315" s="83">
        <f>COUNTIFS(tblVideos[Day],"&gt;="&amp;$B315,tblVideos[Day],"&lt;"&amp;EDATE($B315,1),tblVideos[Channel ID],Channels!$E$7)</f>
        <v/>
      </c>
      <c r="E315" s="83">
        <f>COUNTIFS(tblVideos[Day],"&gt;="&amp;$B315,tblVideos[Day],"&lt;"&amp;EDATE($B315,1),tblVideos[Channel ID],Channels!$E$8)</f>
        <v/>
      </c>
      <c r="F315" s="83">
        <f>COUNTIFS(tblVideos[Day],"&gt;="&amp;$B315,tblVideos[Day],"&lt;"&amp;EDATE($B315,1),tblVideos[Channel ID],Channels!$E$9)</f>
        <v/>
      </c>
      <c r="G315" s="83">
        <f>COUNTIFS(tblVideos[Day],"&gt;="&amp;$B315,tblVideos[Day],"&lt;"&amp;EDATE($B315,1),tblVideos[Channel ID],Channels!$E$10)</f>
        <v/>
      </c>
      <c r="H315" s="83">
        <f>COUNTIFS(tblVideos[Day],"&gt;="&amp;$B315,tblVideos[Day],"&lt;"&amp;EDATE($B315,1),tblVideos[Channel ID],Channels!$E$11)</f>
        <v/>
      </c>
      <c r="I315" s="91">
        <f>SUM(C315:H315)</f>
        <v/>
      </c>
      <c r="J315" s="92">
        <f>SUMIFS(tblVideos[Length],tblVideos[Day],"&gt;="&amp;$B315,tblVideos[Day],"&lt;"&amp;EDATE($B315,1))</f>
        <v/>
      </c>
      <c r="K315" s="83">
        <f>COUNTIFS(tblVideos[Watched On],"&gt;="&amp;$B315,tblVideos[Watched On],"&lt;"&amp;EDATE($B315,1),tblVideos[Status],"Watched")</f>
        <v/>
      </c>
      <c r="L315" s="92">
        <f>SUMIFS(tblVideos[Length],tblVideos[Watched On],"&gt;="&amp;$B315,tblVideos[Watched On],"&lt;"&amp;EDATE($B315,1),tblVideos[Status],"Watched")</f>
        <v/>
      </c>
      <c r="M315" s="94">
        <f>IF(I315=0,"Gap",IF(I315&gt;AVERAGE($I$144:$I$317)+2*STDEV($I$144:$I$317),"High",""))</f>
        <v/>
      </c>
    </row>
    <row r="316">
      <c r="B316" s="93" t="n">
        <v>46266</v>
      </c>
      <c r="C316" s="83">
        <f>COUNTIFS(tblVideos[Day],"&gt;="&amp;$B316,tblVideos[Day],"&lt;"&amp;EDATE($B316,1),tblVideos[Channel ID],Channels!$E$6)</f>
        <v/>
      </c>
      <c r="D316" s="83">
        <f>COUNTIFS(tblVideos[Day],"&gt;="&amp;$B316,tblVideos[Day],"&lt;"&amp;EDATE($B316,1),tblVideos[Channel ID],Channels!$E$7)</f>
        <v/>
      </c>
      <c r="E316" s="83">
        <f>COUNTIFS(tblVideos[Day],"&gt;="&amp;$B316,tblVideos[Day],"&lt;"&amp;EDATE($B316,1),tblVideos[Channel ID],Channels!$E$8)</f>
        <v/>
      </c>
      <c r="F316" s="83">
        <f>COUNTIFS(tblVideos[Day],"&gt;="&amp;$B316,tblVideos[Day],"&lt;"&amp;EDATE($B316,1),tblVideos[Channel ID],Channels!$E$9)</f>
        <v/>
      </c>
      <c r="G316" s="83">
        <f>COUNTIFS(tblVideos[Day],"&gt;="&amp;$B316,tblVideos[Day],"&lt;"&amp;EDATE($B316,1),tblVideos[Channel ID],Channels!$E$10)</f>
        <v/>
      </c>
      <c r="H316" s="83">
        <f>COUNTIFS(tblVideos[Day],"&gt;="&amp;$B316,tblVideos[Day],"&lt;"&amp;EDATE($B316,1),tblVideos[Channel ID],Channels!$E$11)</f>
        <v/>
      </c>
      <c r="I316" s="91">
        <f>SUM(C316:H316)</f>
        <v/>
      </c>
      <c r="J316" s="92">
        <f>SUMIFS(tblVideos[Length],tblVideos[Day],"&gt;="&amp;$B316,tblVideos[Day],"&lt;"&amp;EDATE($B316,1))</f>
        <v/>
      </c>
      <c r="K316" s="83">
        <f>COUNTIFS(tblVideos[Watched On],"&gt;="&amp;$B316,tblVideos[Watched On],"&lt;"&amp;EDATE($B316,1),tblVideos[Status],"Watched")</f>
        <v/>
      </c>
      <c r="L316" s="92">
        <f>SUMIFS(tblVideos[Length],tblVideos[Watched On],"&gt;="&amp;$B316,tblVideos[Watched On],"&lt;"&amp;EDATE($B316,1),tblVideos[Status],"Watched")</f>
        <v/>
      </c>
      <c r="M316" s="94">
        <f>IF(I316=0,"Gap",IF(I316&gt;AVERAGE($I$144:$I$317)+2*STDEV($I$144:$I$317),"High",""))</f>
        <v/>
      </c>
    </row>
    <row r="317">
      <c r="B317" s="93" t="n">
        <v>46296</v>
      </c>
      <c r="C317" s="83">
        <f>COUNTIFS(tblVideos[Day],"&gt;="&amp;$B317,tblVideos[Day],"&lt;"&amp;EDATE($B317,1),tblVideos[Channel ID],Channels!$E$6)</f>
        <v/>
      </c>
      <c r="D317" s="83">
        <f>COUNTIFS(tblVideos[Day],"&gt;="&amp;$B317,tblVideos[Day],"&lt;"&amp;EDATE($B317,1),tblVideos[Channel ID],Channels!$E$7)</f>
        <v/>
      </c>
      <c r="E317" s="83">
        <f>COUNTIFS(tblVideos[Day],"&gt;="&amp;$B317,tblVideos[Day],"&lt;"&amp;EDATE($B317,1),tblVideos[Channel ID],Channels!$E$8)</f>
        <v/>
      </c>
      <c r="F317" s="83">
        <f>COUNTIFS(tblVideos[Day],"&gt;="&amp;$B317,tblVideos[Day],"&lt;"&amp;EDATE($B317,1),tblVideos[Channel ID],Channels!$E$9)</f>
        <v/>
      </c>
      <c r="G317" s="83">
        <f>COUNTIFS(tblVideos[Day],"&gt;="&amp;$B317,tblVideos[Day],"&lt;"&amp;EDATE($B317,1),tblVideos[Channel ID],Channels!$E$10)</f>
        <v/>
      </c>
      <c r="H317" s="83">
        <f>COUNTIFS(tblVideos[Day],"&gt;="&amp;$B317,tblVideos[Day],"&lt;"&amp;EDATE($B317,1),tblVideos[Channel ID],Channels!$E$11)</f>
        <v/>
      </c>
      <c r="I317" s="91">
        <f>SUM(C317:H317)</f>
        <v/>
      </c>
      <c r="J317" s="92">
        <f>SUMIFS(tblVideos[Length],tblVideos[Day],"&gt;="&amp;$B317,tblVideos[Day],"&lt;"&amp;EDATE($B317,1))</f>
        <v/>
      </c>
      <c r="K317" s="83">
        <f>COUNTIFS(tblVideos[Watched On],"&gt;="&amp;$B317,tblVideos[Watched On],"&lt;"&amp;EDATE($B317,1),tblVideos[Status],"Watched")</f>
        <v/>
      </c>
      <c r="L317" s="92">
        <f>SUMIFS(tblVideos[Length],tblVideos[Watched On],"&gt;="&amp;$B317,tblVideos[Watched On],"&lt;"&amp;EDATE($B317,1),tblVideos[Status],"Watched")</f>
        <v/>
      </c>
      <c r="M317" s="94">
        <f>IF(I317=0,"Gap",IF(I317&gt;AVERAGE($I$144:$I$317)+2*STDEV($I$144:$I$317),"High",""))</f>
        <v/>
      </c>
    </row>
  </sheetData>
  <sheetProtection selectLockedCells="0" selectUnlockedCells="0" sheet="1" objects="0" insertRows="1" insertHyperlinks="1" autoFilter="1" scenarios="0" formatColumns="1" deleteColumns="1" insertColumns="1" pivotTables="1" deleteRows="1" formatCells="1" formatRows="1" sort="1"/>
  <mergeCells count="3">
    <mergeCell ref="K4:L4"/>
    <mergeCell ref="C4:E4"/>
    <mergeCell ref="G4:H4"/>
  </mergeCells>
  <conditionalFormatting sqref="C8:N22">
    <cfRule type="colorScale" priority="1">
      <colorScale>
        <cfvo type="num" val="0"/>
        <cfvo type="max"/>
        <color rgb="00FFFFFF"/>
        <color rgb="000F7B8A"/>
      </colorScale>
    </cfRule>
  </conditionalFormatting>
  <conditionalFormatting sqref="M144:M317">
    <cfRule type="cellIs" priority="2" operator="equal" dxfId="36">
      <formula>"High"</formula>
    </cfRule>
    <cfRule type="cellIs" priority="3" operator="equal" dxfId="37">
      <formula>"Gap"</formula>
    </cfRule>
  </conditionalFormatting>
  <dataValidations count="3">
    <dataValidation sqref="C4" showDropDown="0" showInputMessage="0" showErrorMessage="1" allowBlank="0" type="list">
      <formula1>=ChannelList</formula1>
    </dataValidation>
    <dataValidation sqref="G4" showDropDown="0" showInputMessage="0" showErrorMessage="1" allowBlank="0" type="list">
      <formula1>"Videos,Hours"</formula1>
    </dataValidation>
    <dataValidation sqref="K4" showDropDown="0" showInputMessage="0" showErrorMessage="1" allowBlank="0" type="list">
      <formula1>=YearList</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E9E6B"/>
    <outlinePr summaryBelow="1" summaryRight="1"/>
    <pageSetUpPr fitToPage="1"/>
  </sheetPr>
  <dimension ref="B1:Q46"/>
  <sheetViews>
    <sheetView showGridLines="0" workbookViewId="0">
      <pane ySplit="4" topLeftCell="A5" activePane="bottomLeft" state="frozen"/>
      <selection pane="bottomLeft" activeCell="A1" sqref="A1"/>
    </sheetView>
  </sheetViews>
  <sheetFormatPr baseColWidth="8" defaultRowHeight="15"/>
  <cols>
    <col width="2" customWidth="1" min="1" max="1"/>
    <col width="4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row r="2" ht="30" customHeight="1">
      <c r="B2" s="55" t="inlineStr">
        <is>
          <t>Stats</t>
        </is>
      </c>
    </row>
    <row r="4">
      <c r="B4" s="35">
        <f>HYPERLINK("#'Dashboard'!A1","◄ Dashboard")</f>
        <v/>
      </c>
    </row>
    <row r="6" ht="20" customHeight="1">
      <c r="B6" s="10" t="inlineStr">
        <is>
          <t>Library progress</t>
        </is>
      </c>
      <c r="C6" s="11" t="n"/>
      <c r="D6" s="11" t="n"/>
      <c r="E6" s="11" t="n"/>
      <c r="F6" s="11" t="n"/>
      <c r="G6" s="11" t="n"/>
      <c r="H6" s="11" t="n"/>
      <c r="I6" s="11" t="n"/>
      <c r="J6" s="11" t="n"/>
      <c r="K6" s="11" t="n"/>
      <c r="L6" s="11" t="n"/>
      <c r="M6" s="11" t="n"/>
      <c r="N6" s="11" t="n"/>
    </row>
    <row r="7" ht="36" customHeight="1">
      <c r="B7" s="12" t="inlineStr">
        <is>
          <t>Channel</t>
        </is>
      </c>
      <c r="C7" s="12" t="inlineStr">
        <is>
          <t>Videos</t>
        </is>
      </c>
      <c r="D7" s="12" t="inlineStr">
        <is>
          <t>Watched</t>
        </is>
      </c>
      <c r="E7" s="12" t="inlineStr">
        <is>
          <t>Watch Later</t>
        </is>
      </c>
      <c r="F7" s="12" t="inlineStr">
        <is>
          <t>Unwatched</t>
        </is>
      </c>
      <c r="G7" s="12" t="inlineStr">
        <is>
          <t>Skipped</t>
        </is>
      </c>
      <c r="H7" s="12" t="inlineStr">
        <is>
          <t>% Watched</t>
        </is>
      </c>
      <c r="I7" s="12" t="inlineStr">
        <is>
          <t>Runtime</t>
        </is>
      </c>
      <c r="J7" s="12" t="inlineStr">
        <is>
          <t>Time watched</t>
        </is>
      </c>
      <c r="K7" s="12" t="inlineStr">
        <is>
          <t>Time remaining</t>
        </is>
      </c>
      <c r="L7" s="12" t="inlineStr">
        <is>
          <t>% Runtime Watched</t>
        </is>
      </c>
      <c r="M7" s="12" t="inlineStr">
        <is>
          <t>Average length</t>
        </is>
      </c>
      <c r="N7" s="12" t="inlineStr">
        <is>
          <t>Median length</t>
        </is>
      </c>
    </row>
    <row r="8">
      <c r="B8" s="15">
        <f>Channels!$C$6</f>
        <v/>
      </c>
      <c r="C8" s="16">
        <f>COUNTIFS(tblVideos[Channel ID],Channels!$E$6)</f>
        <v/>
      </c>
      <c r="D8" s="16">
        <f>COUNTIFS(tblVideos[Channel ID],Channels!$E$6,tblVideos[Status],"Watched")</f>
        <v/>
      </c>
      <c r="E8" s="16">
        <f>COUNTIFS(tblVideos[Channel ID],Channels!$E$6,tblVideos[Status],"Watch Later")</f>
        <v/>
      </c>
      <c r="F8" s="16">
        <f>COUNTIFS(tblVideos[Channel ID],Channels!$E$6,tblVideos[Status],"Unwatched")</f>
        <v/>
      </c>
      <c r="G8" s="16">
        <f>COUNTIFS(tblVideos[Channel ID],Channels!$E$6,tblVideos[Status],"Skipped")</f>
        <v/>
      </c>
      <c r="H8" s="17">
        <f>IFERROR(D8/(C8-G8),0)</f>
        <v/>
      </c>
      <c r="I8" s="18">
        <f>SUMIFS(tblVideos[Length],tblVideos[Channel ID],Channels!$E$6)</f>
        <v/>
      </c>
      <c r="J8" s="18">
        <f>SUMIFS(tblVideos[Length],tblVideos[Channel ID],Channels!$E$6,tblVideos[Status],"Watched")</f>
        <v/>
      </c>
      <c r="K8" s="18">
        <f>(SUMIFS(tblVideos[Length],tblVideos[Channel ID],Channels!$E$6,tblVideos[Status],"Unwatched")+SUMIFS(tblVideos[Length],tblVideos[Channel ID],Channels!$E$6,tblVideos[Status],"Watch Later"))</f>
        <v/>
      </c>
      <c r="L8" s="17">
        <f>IFERROR(J8/(I8-SUMIFS(tblVideos[Length],tblVideos[Channel ID],Channels!$E$6,tblVideos[Status],"Skipped")),0)</f>
        <v/>
      </c>
      <c r="M8" s="30">
        <f>IFERROR(AVERAGEIFS(tblVideos[Length],tblVideos[Channel ID],Channels!$E$6),0)</f>
        <v/>
      </c>
      <c r="N8" s="95">
        <f t="array" ref="N8">IFERROR(MEDIAN(IF(tblVideos[Channel ID]=Channels!$E$6,tblVideos[Length])),0)</f>
        <v/>
      </c>
    </row>
    <row r="9">
      <c r="B9" s="20">
        <f>Channels!$C$7</f>
        <v/>
      </c>
      <c r="C9" s="16">
        <f>COUNTIFS(tblVideos[Channel ID],Channels!$E$7)</f>
        <v/>
      </c>
      <c r="D9" s="16">
        <f>COUNTIFS(tblVideos[Channel ID],Channels!$E$7,tblVideos[Status],"Watched")</f>
        <v/>
      </c>
      <c r="E9" s="16">
        <f>COUNTIFS(tblVideos[Channel ID],Channels!$E$7,tblVideos[Status],"Watch Later")</f>
        <v/>
      </c>
      <c r="F9" s="16">
        <f>COUNTIFS(tblVideos[Channel ID],Channels!$E$7,tblVideos[Status],"Unwatched")</f>
        <v/>
      </c>
      <c r="G9" s="16">
        <f>COUNTIFS(tblVideos[Channel ID],Channels!$E$7,tblVideos[Status],"Skipped")</f>
        <v/>
      </c>
      <c r="H9" s="17">
        <f>IFERROR(D9/(C9-G9),0)</f>
        <v/>
      </c>
      <c r="I9" s="18">
        <f>SUMIFS(tblVideos[Length],tblVideos[Channel ID],Channels!$E$7)</f>
        <v/>
      </c>
      <c r="J9" s="18">
        <f>SUMIFS(tblVideos[Length],tblVideos[Channel ID],Channels!$E$7,tblVideos[Status],"Watched")</f>
        <v/>
      </c>
      <c r="K9" s="18">
        <f>(SUMIFS(tblVideos[Length],tblVideos[Channel ID],Channels!$E$7,tblVideos[Status],"Unwatched")+SUMIFS(tblVideos[Length],tblVideos[Channel ID],Channels!$E$7,tblVideos[Status],"Watch Later"))</f>
        <v/>
      </c>
      <c r="L9" s="17">
        <f>IFERROR(J9/(I9-SUMIFS(tblVideos[Length],tblVideos[Channel ID],Channels!$E$7,tblVideos[Status],"Skipped")),0)</f>
        <v/>
      </c>
      <c r="M9" s="30">
        <f>IFERROR(AVERAGEIFS(tblVideos[Length],tblVideos[Channel ID],Channels!$E$7),0)</f>
        <v/>
      </c>
      <c r="N9" s="95">
        <f t="array" ref="N9">IFERROR(MEDIAN(IF(tblVideos[Channel ID]=Channels!$E$7,tblVideos[Length])),0)</f>
        <v/>
      </c>
    </row>
    <row r="10">
      <c r="B10" s="21">
        <f>Channels!$C$8</f>
        <v/>
      </c>
      <c r="C10" s="16">
        <f>COUNTIFS(tblVideos[Channel ID],Channels!$E$8)</f>
        <v/>
      </c>
      <c r="D10" s="16">
        <f>COUNTIFS(tblVideos[Channel ID],Channels!$E$8,tblVideos[Status],"Watched")</f>
        <v/>
      </c>
      <c r="E10" s="16">
        <f>COUNTIFS(tblVideos[Channel ID],Channels!$E$8,tblVideos[Status],"Watch Later")</f>
        <v/>
      </c>
      <c r="F10" s="16">
        <f>COUNTIFS(tblVideos[Channel ID],Channels!$E$8,tblVideos[Status],"Unwatched")</f>
        <v/>
      </c>
      <c r="G10" s="16">
        <f>COUNTIFS(tblVideos[Channel ID],Channels!$E$8,tblVideos[Status],"Skipped")</f>
        <v/>
      </c>
      <c r="H10" s="17">
        <f>IFERROR(D10/(C10-G10),0)</f>
        <v/>
      </c>
      <c r="I10" s="18">
        <f>SUMIFS(tblVideos[Length],tblVideos[Channel ID],Channels!$E$8)</f>
        <v/>
      </c>
      <c r="J10" s="18">
        <f>SUMIFS(tblVideos[Length],tblVideos[Channel ID],Channels!$E$8,tblVideos[Status],"Watched")</f>
        <v/>
      </c>
      <c r="K10" s="18">
        <f>(SUMIFS(tblVideos[Length],tblVideos[Channel ID],Channels!$E$8,tblVideos[Status],"Unwatched")+SUMIFS(tblVideos[Length],tblVideos[Channel ID],Channels!$E$8,tblVideos[Status],"Watch Later"))</f>
        <v/>
      </c>
      <c r="L10" s="17">
        <f>IFERROR(J10/(I10-SUMIFS(tblVideos[Length],tblVideos[Channel ID],Channels!$E$8,tblVideos[Status],"Skipped")),0)</f>
        <v/>
      </c>
      <c r="M10" s="30">
        <f>IFERROR(AVERAGEIFS(tblVideos[Length],tblVideos[Channel ID],Channels!$E$8),0)</f>
        <v/>
      </c>
      <c r="N10" s="95">
        <f t="array" ref="N10">IFERROR(MEDIAN(IF(tblVideos[Channel ID]=Channels!$E$8,tblVideos[Length])),0)</f>
        <v/>
      </c>
    </row>
    <row r="11">
      <c r="B11" s="22">
        <f>Channels!$C$9</f>
        <v/>
      </c>
      <c r="C11" s="16">
        <f>COUNTIFS(tblVideos[Channel ID],Channels!$E$9)</f>
        <v/>
      </c>
      <c r="D11" s="16">
        <f>COUNTIFS(tblVideos[Channel ID],Channels!$E$9,tblVideos[Status],"Watched")</f>
        <v/>
      </c>
      <c r="E11" s="16">
        <f>COUNTIFS(tblVideos[Channel ID],Channels!$E$9,tblVideos[Status],"Watch Later")</f>
        <v/>
      </c>
      <c r="F11" s="16">
        <f>COUNTIFS(tblVideos[Channel ID],Channels!$E$9,tblVideos[Status],"Unwatched")</f>
        <v/>
      </c>
      <c r="G11" s="16">
        <f>COUNTIFS(tblVideos[Channel ID],Channels!$E$9,tblVideos[Status],"Skipped")</f>
        <v/>
      </c>
      <c r="H11" s="17">
        <f>IFERROR(D11/(C11-G11),0)</f>
        <v/>
      </c>
      <c r="I11" s="18">
        <f>SUMIFS(tblVideos[Length],tblVideos[Channel ID],Channels!$E$9)</f>
        <v/>
      </c>
      <c r="J11" s="18">
        <f>SUMIFS(tblVideos[Length],tblVideos[Channel ID],Channels!$E$9,tblVideos[Status],"Watched")</f>
        <v/>
      </c>
      <c r="K11" s="18">
        <f>(SUMIFS(tblVideos[Length],tblVideos[Channel ID],Channels!$E$9,tblVideos[Status],"Unwatched")+SUMIFS(tblVideos[Length],tblVideos[Channel ID],Channels!$E$9,tblVideos[Status],"Watch Later"))</f>
        <v/>
      </c>
      <c r="L11" s="17">
        <f>IFERROR(J11/(I11-SUMIFS(tblVideos[Length],tblVideos[Channel ID],Channels!$E$9,tblVideos[Status],"Skipped")),0)</f>
        <v/>
      </c>
      <c r="M11" s="30">
        <f>IFERROR(AVERAGEIFS(tblVideos[Length],tblVideos[Channel ID],Channels!$E$9),0)</f>
        <v/>
      </c>
      <c r="N11" s="95">
        <f t="array" ref="N11">IFERROR(MEDIAN(IF(tblVideos[Channel ID]=Channels!$E$9,tblVideos[Length])),0)</f>
        <v/>
      </c>
    </row>
    <row r="12">
      <c r="B12" s="23">
        <f>Channels!$C$10</f>
        <v/>
      </c>
      <c r="C12" s="16">
        <f>COUNTIFS(tblVideos[Channel ID],Channels!$E$10)</f>
        <v/>
      </c>
      <c r="D12" s="16">
        <f>COUNTIFS(tblVideos[Channel ID],Channels!$E$10,tblVideos[Status],"Watched")</f>
        <v/>
      </c>
      <c r="E12" s="16">
        <f>COUNTIFS(tblVideos[Channel ID],Channels!$E$10,tblVideos[Status],"Watch Later")</f>
        <v/>
      </c>
      <c r="F12" s="16">
        <f>COUNTIFS(tblVideos[Channel ID],Channels!$E$10,tblVideos[Status],"Unwatched")</f>
        <v/>
      </c>
      <c r="G12" s="16">
        <f>COUNTIFS(tblVideos[Channel ID],Channels!$E$10,tblVideos[Status],"Skipped")</f>
        <v/>
      </c>
      <c r="H12" s="17">
        <f>IFERROR(D12/(C12-G12),0)</f>
        <v/>
      </c>
      <c r="I12" s="18">
        <f>SUMIFS(tblVideos[Length],tblVideos[Channel ID],Channels!$E$10)</f>
        <v/>
      </c>
      <c r="J12" s="18">
        <f>SUMIFS(tblVideos[Length],tblVideos[Channel ID],Channels!$E$10,tblVideos[Status],"Watched")</f>
        <v/>
      </c>
      <c r="K12" s="18">
        <f>(SUMIFS(tblVideos[Length],tblVideos[Channel ID],Channels!$E$10,tblVideos[Status],"Unwatched")+SUMIFS(tblVideos[Length],tblVideos[Channel ID],Channels!$E$10,tblVideos[Status],"Watch Later"))</f>
        <v/>
      </c>
      <c r="L12" s="17">
        <f>IFERROR(J12/(I12-SUMIFS(tblVideos[Length],tblVideos[Channel ID],Channels!$E$10,tblVideos[Status],"Skipped")),0)</f>
        <v/>
      </c>
      <c r="M12" s="30">
        <f>IFERROR(AVERAGEIFS(tblVideos[Length],tblVideos[Channel ID],Channels!$E$10),0)</f>
        <v/>
      </c>
      <c r="N12" s="95">
        <f t="array" ref="N12">IFERROR(MEDIAN(IF(tblVideos[Channel ID]=Channels!$E$10,tblVideos[Length])),0)</f>
        <v/>
      </c>
    </row>
    <row r="13">
      <c r="B13" s="24">
        <f>Channels!$C$11</f>
        <v/>
      </c>
      <c r="C13" s="16">
        <f>COUNTIFS(tblVideos[Channel ID],Channels!$E$11)</f>
        <v/>
      </c>
      <c r="D13" s="16">
        <f>COUNTIFS(tblVideos[Channel ID],Channels!$E$11,tblVideos[Status],"Watched")</f>
        <v/>
      </c>
      <c r="E13" s="16">
        <f>COUNTIFS(tblVideos[Channel ID],Channels!$E$11,tblVideos[Status],"Watch Later")</f>
        <v/>
      </c>
      <c r="F13" s="16">
        <f>COUNTIFS(tblVideos[Channel ID],Channels!$E$11,tblVideos[Status],"Unwatched")</f>
        <v/>
      </c>
      <c r="G13" s="16">
        <f>COUNTIFS(tblVideos[Channel ID],Channels!$E$11,tblVideos[Status],"Skipped")</f>
        <v/>
      </c>
      <c r="H13" s="17">
        <f>IFERROR(D13/(C13-G13),0)</f>
        <v/>
      </c>
      <c r="I13" s="18">
        <f>SUMIFS(tblVideos[Length],tblVideos[Channel ID],Channels!$E$11)</f>
        <v/>
      </c>
      <c r="J13" s="18">
        <f>SUMIFS(tblVideos[Length],tblVideos[Channel ID],Channels!$E$11,tblVideos[Status],"Watched")</f>
        <v/>
      </c>
      <c r="K13" s="18">
        <f>(SUMIFS(tblVideos[Length],tblVideos[Channel ID],Channels!$E$11,tblVideos[Status],"Unwatched")+SUMIFS(tblVideos[Length],tblVideos[Channel ID],Channels!$E$11,tblVideos[Status],"Watch Later"))</f>
        <v/>
      </c>
      <c r="L13" s="17">
        <f>IFERROR(J13/(I13-SUMIFS(tblVideos[Length],tblVideos[Channel ID],Channels!$E$11,tblVideos[Status],"Skipped")),0)</f>
        <v/>
      </c>
      <c r="M13" s="30">
        <f>IFERROR(AVERAGEIFS(tblVideos[Length],tblVideos[Channel ID],Channels!$E$11),0)</f>
        <v/>
      </c>
      <c r="N13" s="95">
        <f t="array" ref="N13">IFERROR(MEDIAN(IF(tblVideos[Channel ID]=Channels!$E$11,tblVideos[Length])),0)</f>
        <v/>
      </c>
    </row>
    <row r="14">
      <c r="B14" s="25" t="inlineStr">
        <is>
          <t>All channels</t>
        </is>
      </c>
      <c r="C14" s="26">
        <f>SUM(C8:C13)</f>
        <v/>
      </c>
      <c r="D14" s="26">
        <f>SUM(D8:D13)</f>
        <v/>
      </c>
      <c r="E14" s="26">
        <f>SUM(E8:E13)</f>
        <v/>
      </c>
      <c r="F14" s="26">
        <f>SUM(F8:F13)</f>
        <v/>
      </c>
      <c r="G14" s="26">
        <f>SUM(G8:G13)</f>
        <v/>
      </c>
      <c r="H14" s="27">
        <f>IFERROR(D14/(C14-G14),0)</f>
        <v/>
      </c>
      <c r="I14" s="28">
        <f>SUM(I8:I13)</f>
        <v/>
      </c>
      <c r="J14" s="28">
        <f>SUM(J8:J13)</f>
        <v/>
      </c>
      <c r="K14" s="28">
        <f>SUM(K8:K13)</f>
        <v/>
      </c>
      <c r="L14" s="27">
        <f>IFERROR(J14/(I14-SUMIFS(tblVideos[Length],tblVideos[Status],"Skipped")),0)</f>
        <v/>
      </c>
      <c r="M14" s="96">
        <f>IFERROR(AVERAGE(tblVideos[Length]),0)</f>
        <v/>
      </c>
      <c r="N14" s="96">
        <f>IFERROR(MEDIAN(tblVideos[Length]),0)</f>
        <v/>
      </c>
    </row>
    <row r="15">
      <c r="B15" s="97" t="inlineStr">
        <is>
          <t>% Watched = Watched / (Videos - Skipped).  Remaining = Unwatched + Watch Later.</t>
        </is>
      </c>
    </row>
    <row r="18" ht="20" customHeight="1">
      <c r="B18" s="10" t="inlineStr">
        <is>
          <t>Upload profile</t>
        </is>
      </c>
      <c r="C18" s="11" t="n"/>
      <c r="D18" s="11" t="n"/>
      <c r="E18" s="11" t="n"/>
      <c r="F18" s="11" t="n"/>
      <c r="G18" s="11" t="n"/>
      <c r="H18" s="11" t="n"/>
      <c r="I18" s="11" t="n"/>
      <c r="J18" s="11" t="n"/>
      <c r="K18" s="11" t="n"/>
      <c r="L18" s="11" t="n"/>
      <c r="M18" s="11" t="n"/>
      <c r="N18" s="11" t="n"/>
      <c r="O18" s="11" t="n"/>
      <c r="P18" s="11" t="n"/>
      <c r="Q18" s="11" t="n"/>
    </row>
    <row r="19" ht="36" customHeight="1">
      <c r="B19" s="12" t="inlineStr">
        <is>
          <t>Channel</t>
        </is>
      </c>
      <c r="C19" s="12" t="inlineStr">
        <is>
          <t>First upload</t>
        </is>
      </c>
      <c r="D19" s="12" t="inlineStr">
        <is>
          <t>Latest upload</t>
        </is>
      </c>
      <c r="E19" s="12" t="inlineStr">
        <is>
          <t>Active span (yrs)</t>
        </is>
      </c>
      <c r="F19" s="12" t="inlineStr">
        <is>
          <t>Videos / month</t>
        </is>
      </c>
      <c r="G19" s="12" t="inlineStr">
        <is>
          <t>Avg days between</t>
        </is>
      </c>
      <c r="H19" s="12" t="inlineStr">
        <is>
          <t>Busiest year</t>
        </is>
      </c>
      <c r="I19" s="12" t="inlineStr">
        <is>
          <t>Videos that year</t>
        </is>
      </c>
      <c r="J19" s="12" t="inlineStr">
        <is>
          <t>Longest</t>
        </is>
      </c>
      <c r="K19" s="12" t="inlineStr">
        <is>
          <t>Shortest (&gt;0)</t>
        </is>
      </c>
      <c r="L19" s="12" t="inlineStr">
        <is>
          <t>Total views</t>
        </is>
      </c>
      <c r="M19" s="12" t="inlineStr">
        <is>
          <t>Avg views / video</t>
        </is>
      </c>
      <c r="N19" s="12" t="inlineStr">
        <is>
          <t>Most viewed video</t>
        </is>
      </c>
      <c r="O19" s="13" t="n"/>
      <c r="P19" s="13" t="n"/>
      <c r="Q19" s="14" t="n"/>
    </row>
    <row r="20">
      <c r="B20" s="15">
        <f>Channels!$C$6</f>
        <v/>
      </c>
      <c r="C20" s="98">
        <f>IF(C8=0,"",_xlfn.MINIFS(tblVideos[Day],tblVideos[Channel ID],Channels!$E$6))</f>
        <v/>
      </c>
      <c r="D20" s="98">
        <f>IF(C8=0,"",_xlfn.MAXIFS(tblVideos[Day],tblVideos[Channel ID],Channels!$E$6))</f>
        <v/>
      </c>
      <c r="E20" s="99">
        <f>IF(C8=0,"",(D20-C20)/365.25)</f>
        <v/>
      </c>
      <c r="F20" s="99">
        <f>IF(C8=0,"",C8/MAX(1,(D20-C20)/30.4375))</f>
        <v/>
      </c>
      <c r="G20" s="99">
        <f>IF(C8&lt;2,"",(D20-C20)/(C8-1))</f>
        <v/>
      </c>
      <c r="H20" s="100">
        <f>IF(C8=0,"",INDEX(History!$B$64:$B$78,MATCH(MAX(History!$C$64:$C$78),History!$C$64:$C$78,0)))</f>
        <v/>
      </c>
      <c r="I20" s="16">
        <f>MAX(History!$C$64:$C$78)</f>
        <v/>
      </c>
      <c r="J20" s="30">
        <f>IF(C8=0,"",_xlfn.MAXIFS(tblVideos[Length],tblVideos[Channel ID],Channels!$E$6))</f>
        <v/>
      </c>
      <c r="K20" s="30">
        <f>IF(C8=0,"",_xlfn.MINIFS(tblVideos[Length],tblVideos[Channel ID],Channels!$E$6,tblVideos[Length],"&gt;0"))</f>
        <v/>
      </c>
      <c r="L20" s="16">
        <f>SUMIFS(tblVideos[Views],tblVideos[Channel ID],Channels!$E$6)</f>
        <v/>
      </c>
      <c r="M20" s="16">
        <f>IFERROR(L20/C8,0)</f>
        <v/>
      </c>
      <c r="N20" s="101">
        <f>IF(C8=0,"",IFERROR(INDEX(tblVideos[Title],MATCH(_xlfn.MAXIFS(tblVideos[Seq],tblVideos[Channel ID],Channels!$E$6,tblVideos[Views],_xlfn.MAXIFS(tblVideos[Views],tblVideos[Channel ID],Channels!$E$6)),tblVideos[Seq],0)),""))</f>
        <v/>
      </c>
      <c r="O20" s="13" t="n"/>
      <c r="P20" s="13" t="n"/>
      <c r="Q20" s="14" t="n"/>
    </row>
    <row r="21">
      <c r="B21" s="20">
        <f>Channels!$C$7</f>
        <v/>
      </c>
      <c r="C21" s="98">
        <f>IF(C9=0,"",_xlfn.MINIFS(tblVideos[Day],tblVideos[Channel ID],Channels!$E$7))</f>
        <v/>
      </c>
      <c r="D21" s="98">
        <f>IF(C9=0,"",_xlfn.MAXIFS(tblVideos[Day],tblVideos[Channel ID],Channels!$E$7))</f>
        <v/>
      </c>
      <c r="E21" s="99">
        <f>IF(C9=0,"",(D21-C21)/365.25)</f>
        <v/>
      </c>
      <c r="F21" s="99">
        <f>IF(C9=0,"",C9/MAX(1,(D21-C21)/30.4375))</f>
        <v/>
      </c>
      <c r="G21" s="99">
        <f>IF(C9&lt;2,"",(D21-C21)/(C9-1))</f>
        <v/>
      </c>
      <c r="H21" s="100">
        <f>IF(C9=0,"",INDEX(History!$B$64:$B$78,MATCH(MAX(History!$D$64:$D$78),History!$D$64:$D$78,0)))</f>
        <v/>
      </c>
      <c r="I21" s="16">
        <f>MAX(History!$D$64:$D$78)</f>
        <v/>
      </c>
      <c r="J21" s="30">
        <f>IF(C9=0,"",_xlfn.MAXIFS(tblVideos[Length],tblVideos[Channel ID],Channels!$E$7))</f>
        <v/>
      </c>
      <c r="K21" s="30">
        <f>IF(C9=0,"",_xlfn.MINIFS(tblVideos[Length],tblVideos[Channel ID],Channels!$E$7,tblVideos[Length],"&gt;0"))</f>
        <v/>
      </c>
      <c r="L21" s="16">
        <f>SUMIFS(tblVideos[Views],tblVideos[Channel ID],Channels!$E$7)</f>
        <v/>
      </c>
      <c r="M21" s="16">
        <f>IFERROR(L21/C9,0)</f>
        <v/>
      </c>
      <c r="N21" s="101">
        <f>IF(C9=0,"",IFERROR(INDEX(tblVideos[Title],MATCH(_xlfn.MAXIFS(tblVideos[Seq],tblVideos[Channel ID],Channels!$E$7,tblVideos[Views],_xlfn.MAXIFS(tblVideos[Views],tblVideos[Channel ID],Channels!$E$7)),tblVideos[Seq],0)),""))</f>
        <v/>
      </c>
      <c r="O21" s="13" t="n"/>
      <c r="P21" s="13" t="n"/>
      <c r="Q21" s="14" t="n"/>
    </row>
    <row r="22">
      <c r="B22" s="21">
        <f>Channels!$C$8</f>
        <v/>
      </c>
      <c r="C22" s="98">
        <f>IF(C10=0,"",_xlfn.MINIFS(tblVideos[Day],tblVideos[Channel ID],Channels!$E$8))</f>
        <v/>
      </c>
      <c r="D22" s="98">
        <f>IF(C10=0,"",_xlfn.MAXIFS(tblVideos[Day],tblVideos[Channel ID],Channels!$E$8))</f>
        <v/>
      </c>
      <c r="E22" s="99">
        <f>IF(C10=0,"",(D22-C22)/365.25)</f>
        <v/>
      </c>
      <c r="F22" s="99">
        <f>IF(C10=0,"",C10/MAX(1,(D22-C22)/30.4375))</f>
        <v/>
      </c>
      <c r="G22" s="99">
        <f>IF(C10&lt;2,"",(D22-C22)/(C10-1))</f>
        <v/>
      </c>
      <c r="H22" s="100">
        <f>IF(C10=0,"",INDEX(History!$B$64:$B$78,MATCH(MAX(History!$E$64:$E$78),History!$E$64:$E$78,0)))</f>
        <v/>
      </c>
      <c r="I22" s="16">
        <f>MAX(History!$E$64:$E$78)</f>
        <v/>
      </c>
      <c r="J22" s="30">
        <f>IF(C10=0,"",_xlfn.MAXIFS(tblVideos[Length],tblVideos[Channel ID],Channels!$E$8))</f>
        <v/>
      </c>
      <c r="K22" s="30">
        <f>IF(C10=0,"",_xlfn.MINIFS(tblVideos[Length],tblVideos[Channel ID],Channels!$E$8,tblVideos[Length],"&gt;0"))</f>
        <v/>
      </c>
      <c r="L22" s="16">
        <f>SUMIFS(tblVideos[Views],tblVideos[Channel ID],Channels!$E$8)</f>
        <v/>
      </c>
      <c r="M22" s="16">
        <f>IFERROR(L22/C10,0)</f>
        <v/>
      </c>
      <c r="N22" s="101">
        <f>IF(C10=0,"",IFERROR(INDEX(tblVideos[Title],MATCH(_xlfn.MAXIFS(tblVideos[Seq],tblVideos[Channel ID],Channels!$E$8,tblVideos[Views],_xlfn.MAXIFS(tblVideos[Views],tblVideos[Channel ID],Channels!$E$8)),tblVideos[Seq],0)),""))</f>
        <v/>
      </c>
      <c r="O22" s="13" t="n"/>
      <c r="P22" s="13" t="n"/>
      <c r="Q22" s="14" t="n"/>
    </row>
    <row r="23">
      <c r="B23" s="22">
        <f>Channels!$C$9</f>
        <v/>
      </c>
      <c r="C23" s="98">
        <f>IF(C11=0,"",_xlfn.MINIFS(tblVideos[Day],tblVideos[Channel ID],Channels!$E$9))</f>
        <v/>
      </c>
      <c r="D23" s="98">
        <f>IF(C11=0,"",_xlfn.MAXIFS(tblVideos[Day],tblVideos[Channel ID],Channels!$E$9))</f>
        <v/>
      </c>
      <c r="E23" s="99">
        <f>IF(C11=0,"",(D23-C23)/365.25)</f>
        <v/>
      </c>
      <c r="F23" s="99">
        <f>IF(C11=0,"",C11/MAX(1,(D23-C23)/30.4375))</f>
        <v/>
      </c>
      <c r="G23" s="99">
        <f>IF(C11&lt;2,"",(D23-C23)/(C11-1))</f>
        <v/>
      </c>
      <c r="H23" s="100">
        <f>IF(C11=0,"",INDEX(History!$B$64:$B$78,MATCH(MAX(History!$F$64:$F$78),History!$F$64:$F$78,0)))</f>
        <v/>
      </c>
      <c r="I23" s="16">
        <f>MAX(History!$F$64:$F$78)</f>
        <v/>
      </c>
      <c r="J23" s="30">
        <f>IF(C11=0,"",_xlfn.MAXIFS(tblVideos[Length],tblVideos[Channel ID],Channels!$E$9))</f>
        <v/>
      </c>
      <c r="K23" s="30">
        <f>IF(C11=0,"",_xlfn.MINIFS(tblVideos[Length],tblVideos[Channel ID],Channels!$E$9,tblVideos[Length],"&gt;0"))</f>
        <v/>
      </c>
      <c r="L23" s="16">
        <f>SUMIFS(tblVideos[Views],tblVideos[Channel ID],Channels!$E$9)</f>
        <v/>
      </c>
      <c r="M23" s="16">
        <f>IFERROR(L23/C11,0)</f>
        <v/>
      </c>
      <c r="N23" s="101">
        <f>IF(C11=0,"",IFERROR(INDEX(tblVideos[Title],MATCH(_xlfn.MAXIFS(tblVideos[Seq],tblVideos[Channel ID],Channels!$E$9,tblVideos[Views],_xlfn.MAXIFS(tblVideos[Views],tblVideos[Channel ID],Channels!$E$9)),tblVideos[Seq],0)),""))</f>
        <v/>
      </c>
      <c r="O23" s="13" t="n"/>
      <c r="P23" s="13" t="n"/>
      <c r="Q23" s="14" t="n"/>
    </row>
    <row r="24">
      <c r="B24" s="23">
        <f>Channels!$C$10</f>
        <v/>
      </c>
      <c r="C24" s="98">
        <f>IF(C12=0,"",_xlfn.MINIFS(tblVideos[Day],tblVideos[Channel ID],Channels!$E$10))</f>
        <v/>
      </c>
      <c r="D24" s="98">
        <f>IF(C12=0,"",_xlfn.MAXIFS(tblVideos[Day],tblVideos[Channel ID],Channels!$E$10))</f>
        <v/>
      </c>
      <c r="E24" s="99">
        <f>IF(C12=0,"",(D24-C24)/365.25)</f>
        <v/>
      </c>
      <c r="F24" s="99">
        <f>IF(C12=0,"",C12/MAX(1,(D24-C24)/30.4375))</f>
        <v/>
      </c>
      <c r="G24" s="99">
        <f>IF(C12&lt;2,"",(D24-C24)/(C12-1))</f>
        <v/>
      </c>
      <c r="H24" s="100">
        <f>IF(C12=0,"",INDEX(History!$B$64:$B$78,MATCH(MAX(History!$G$64:$G$78),History!$G$64:$G$78,0)))</f>
        <v/>
      </c>
      <c r="I24" s="16">
        <f>MAX(History!$G$64:$G$78)</f>
        <v/>
      </c>
      <c r="J24" s="30">
        <f>IF(C12=0,"",_xlfn.MAXIFS(tblVideos[Length],tblVideos[Channel ID],Channels!$E$10))</f>
        <v/>
      </c>
      <c r="K24" s="30">
        <f>IF(C12=0,"",_xlfn.MINIFS(tblVideos[Length],tblVideos[Channel ID],Channels!$E$10,tblVideos[Length],"&gt;0"))</f>
        <v/>
      </c>
      <c r="L24" s="16">
        <f>SUMIFS(tblVideos[Views],tblVideos[Channel ID],Channels!$E$10)</f>
        <v/>
      </c>
      <c r="M24" s="16">
        <f>IFERROR(L24/C12,0)</f>
        <v/>
      </c>
      <c r="N24" s="101">
        <f>IF(C12=0,"",IFERROR(INDEX(tblVideos[Title],MATCH(_xlfn.MAXIFS(tblVideos[Seq],tblVideos[Channel ID],Channels!$E$10,tblVideos[Views],_xlfn.MAXIFS(tblVideos[Views],tblVideos[Channel ID],Channels!$E$10)),tblVideos[Seq],0)),""))</f>
        <v/>
      </c>
      <c r="O24" s="13" t="n"/>
      <c r="P24" s="13" t="n"/>
      <c r="Q24" s="14" t="n"/>
    </row>
    <row r="25">
      <c r="B25" s="24">
        <f>Channels!$C$11</f>
        <v/>
      </c>
      <c r="C25" s="98">
        <f>IF(C13=0,"",_xlfn.MINIFS(tblVideos[Day],tblVideos[Channel ID],Channels!$E$11))</f>
        <v/>
      </c>
      <c r="D25" s="98">
        <f>IF(C13=0,"",_xlfn.MAXIFS(tblVideos[Day],tblVideos[Channel ID],Channels!$E$11))</f>
        <v/>
      </c>
      <c r="E25" s="99">
        <f>IF(C13=0,"",(D25-C25)/365.25)</f>
        <v/>
      </c>
      <c r="F25" s="99">
        <f>IF(C13=0,"",C13/MAX(1,(D25-C25)/30.4375))</f>
        <v/>
      </c>
      <c r="G25" s="99">
        <f>IF(C13&lt;2,"",(D25-C25)/(C13-1))</f>
        <v/>
      </c>
      <c r="H25" s="100">
        <f>IF(C13=0,"",INDEX(History!$B$64:$B$78,MATCH(MAX(History!$H$64:$H$78),History!$H$64:$H$78,0)))</f>
        <v/>
      </c>
      <c r="I25" s="16">
        <f>MAX(History!$H$64:$H$78)</f>
        <v/>
      </c>
      <c r="J25" s="30">
        <f>IF(C13=0,"",_xlfn.MAXIFS(tblVideos[Length],tblVideos[Channel ID],Channels!$E$11))</f>
        <v/>
      </c>
      <c r="K25" s="30">
        <f>IF(C13=0,"",_xlfn.MINIFS(tblVideos[Length],tblVideos[Channel ID],Channels!$E$11,tblVideos[Length],"&gt;0"))</f>
        <v/>
      </c>
      <c r="L25" s="16">
        <f>SUMIFS(tblVideos[Views],tblVideos[Channel ID],Channels!$E$11)</f>
        <v/>
      </c>
      <c r="M25" s="16">
        <f>IFERROR(L25/C13,0)</f>
        <v/>
      </c>
      <c r="N25" s="101">
        <f>IF(C13=0,"",IFERROR(INDEX(tblVideos[Title],MATCH(_xlfn.MAXIFS(tblVideos[Seq],tblVideos[Channel ID],Channels!$E$11,tblVideos[Views],_xlfn.MAXIFS(tblVideos[Views],tblVideos[Channel ID],Channels!$E$11)),tblVideos[Seq],0)),""))</f>
        <v/>
      </c>
      <c r="O25" s="13" t="n"/>
      <c r="P25" s="13" t="n"/>
      <c r="Q25" s="14" t="n"/>
    </row>
    <row r="26">
      <c r="B26" s="25" t="inlineStr">
        <is>
          <t>All channels</t>
        </is>
      </c>
      <c r="C26" s="102">
        <f>MIN(tblVideos[Day])</f>
        <v/>
      </c>
      <c r="D26" s="102">
        <f>MAX(tblVideos[Day])</f>
        <v/>
      </c>
      <c r="E26" s="103">
        <f>(D26-C26)/365.25</f>
        <v/>
      </c>
      <c r="F26" s="103">
        <f>C14/MAX(1,(D26-C26)/30.4375)</f>
        <v/>
      </c>
      <c r="G26" s="103">
        <f>(D26-C26)/MAX(1,C14-1)</f>
        <v/>
      </c>
      <c r="H26" s="104">
        <f>INDEX(History!$B$64:$B$78,MATCH(MAX(History!$I$64:$I$78),History!$I$64:$I$78,0))</f>
        <v/>
      </c>
      <c r="I26" s="105">
        <f>MAX(History!$I$64:$I$78)</f>
        <v/>
      </c>
      <c r="J26" s="106">
        <f>MAX(tblVideos[Length])</f>
        <v/>
      </c>
      <c r="K26" s="106">
        <f>IFERROR(_xlfn.MINIFS(tblVideos[Length],tblVideos[Length],"&gt;0"),"")</f>
        <v/>
      </c>
      <c r="L26" s="105">
        <f>SUM(tblVideos[Views])</f>
        <v/>
      </c>
      <c r="M26" s="105">
        <f>IFERROR(L26/C14,0)</f>
        <v/>
      </c>
      <c r="N26" s="107">
        <f>IFERROR(INDEX(tblVideos[Title],MATCH(MAX(tblVideos[Views]),tblVideos[Views],0)),"")</f>
        <v/>
      </c>
      <c r="O26" s="13" t="n"/>
      <c r="P26" s="13" t="n"/>
      <c r="Q26" s="14" t="n"/>
    </row>
    <row r="27">
      <c r="B27" s="97" t="inlineStr">
        <is>
          <t>Views accumulate with age, so older videos are not directly comparable to recent ones.</t>
        </is>
      </c>
    </row>
    <row r="30" ht="20" customHeight="1">
      <c r="B30" s="10" t="inlineStr">
        <is>
          <t>Pace: uploading vs. watching</t>
        </is>
      </c>
      <c r="C30" s="11" t="n"/>
      <c r="D30" s="11" t="n"/>
      <c r="E30" s="11" t="n"/>
      <c r="F30" s="11" t="n"/>
      <c r="G30" s="11" t="n"/>
      <c r="H30" s="11" t="n"/>
      <c r="I30" s="11" t="n"/>
      <c r="J30" s="11" t="n"/>
      <c r="K30" s="11" t="n"/>
      <c r="L30" s="11" t="n"/>
      <c r="M30" s="11" t="n"/>
      <c r="N30" s="11" t="n"/>
    </row>
    <row r="31" ht="22" customHeight="1">
      <c r="B31" s="12" t="inlineStr"/>
      <c r="C31" s="12" t="inlineStr">
        <is>
          <t>Last 30 days</t>
        </is>
      </c>
      <c r="D31" s="12" t="inlineStr">
        <is>
          <t>Last 90 days</t>
        </is>
      </c>
      <c r="E31" s="12" t="inlineStr">
        <is>
          <t>Last 365 days</t>
        </is>
      </c>
    </row>
    <row r="32">
      <c r="B32" s="73" t="inlineStr">
        <is>
          <t>Videos uploaded</t>
        </is>
      </c>
      <c r="C32" s="16">
        <f>COUNTIFS(tblVideos[Day],"&gt;"&amp;TODAY()-30)</f>
        <v/>
      </c>
      <c r="D32" s="16">
        <f>COUNTIFS(tblVideos[Day],"&gt;"&amp;TODAY()-90)</f>
        <v/>
      </c>
      <c r="E32" s="16">
        <f>COUNTIFS(tblVideos[Day],"&gt;"&amp;TODAY()-365)</f>
        <v/>
      </c>
    </row>
    <row r="33">
      <c r="B33" s="73" t="inlineStr">
        <is>
          <t>Time uploaded</t>
        </is>
      </c>
      <c r="C33" s="18">
        <f>SUMIFS(tblVideos[Length],tblVideos[Day],"&gt;"&amp;TODAY()-30)</f>
        <v/>
      </c>
      <c r="D33" s="18">
        <f>SUMIFS(tblVideos[Length],tblVideos[Day],"&gt;"&amp;TODAY()-90)</f>
        <v/>
      </c>
      <c r="E33" s="18">
        <f>SUMIFS(tblVideos[Length],tblVideos[Day],"&gt;"&amp;TODAY()-365)</f>
        <v/>
      </c>
    </row>
    <row r="34">
      <c r="B34" s="73" t="inlineStr">
        <is>
          <t>Videos watched *</t>
        </is>
      </c>
      <c r="C34" s="16">
        <f>COUNTIFS(tblVideos[Watched On],"&gt;"&amp;TODAY()-30,tblVideos[Status],"Watched")</f>
        <v/>
      </c>
      <c r="D34" s="16">
        <f>COUNTIFS(tblVideos[Watched On],"&gt;"&amp;TODAY()-90,tblVideos[Status],"Watched")</f>
        <v/>
      </c>
      <c r="E34" s="16">
        <f>COUNTIFS(tblVideos[Watched On],"&gt;"&amp;TODAY()-365,tblVideos[Status],"Watched")</f>
        <v/>
      </c>
    </row>
    <row r="35">
      <c r="B35" s="73" t="inlineStr">
        <is>
          <t>Time watched *</t>
        </is>
      </c>
      <c r="C35" s="18">
        <f>SUMIFS(tblVideos[Length],tblVideos[Watched On],"&gt;"&amp;TODAY()-30,tblVideos[Status],"Watched")</f>
        <v/>
      </c>
      <c r="D35" s="18">
        <f>SUMIFS(tblVideos[Length],tblVideos[Watched On],"&gt;"&amp;TODAY()-90,tblVideos[Status],"Watched")</f>
        <v/>
      </c>
      <c r="E35" s="18">
        <f>SUMIFS(tblVideos[Length],tblVideos[Watched On],"&gt;"&amp;TODAY()-365,tblVideos[Status],"Watched")</f>
        <v/>
      </c>
    </row>
    <row r="36">
      <c r="B36" s="73" t="inlineStr">
        <is>
          <t>Backlog change (videos)</t>
        </is>
      </c>
      <c r="C36" s="108">
        <f>C32-C34</f>
        <v/>
      </c>
      <c r="D36" s="108">
        <f>D32-D34</f>
        <v/>
      </c>
      <c r="E36" s="108">
        <f>E32-E34</f>
        <v/>
      </c>
    </row>
    <row r="37">
      <c r="B37" s="73" t="inlineStr">
        <is>
          <t>Backlog change (time)</t>
        </is>
      </c>
      <c r="C37" s="109">
        <f>ROUND((C33-C35)*24,0)</f>
        <v/>
      </c>
      <c r="D37" s="109">
        <f>ROUND((D33-D35)*24,0)</f>
        <v/>
      </c>
      <c r="E37" s="109">
        <f>ROUND((E33-E35)*24,0)</f>
        <v/>
      </c>
    </row>
    <row r="38">
      <c r="B38" s="73" t="inlineStr">
        <is>
          <t>Estimated days to clear backlog</t>
        </is>
      </c>
      <c r="C38" s="16">
        <f>IF(D35/90-D33/90&lt;=0,"Backlog is growing",K14/(D35/90-D33/90))</f>
        <v/>
      </c>
      <c r="D38" s="14" t="n"/>
      <c r="F38" s="97" t="inlineStr">
        <is>
          <t>Uses the last-90-day watch rate minus the upload rate.</t>
        </is>
      </c>
    </row>
    <row r="39">
      <c r="B39" s="97" t="inlineStr">
        <is>
          <t>* Counts only videos with a 'Watched On' date.</t>
        </is>
      </c>
    </row>
    <row r="42" ht="20" customHeight="1">
      <c r="B42" s="10" t="inlineStr">
        <is>
          <t>Records</t>
        </is>
      </c>
      <c r="C42" s="11" t="n"/>
      <c r="D42" s="11" t="n"/>
      <c r="E42" s="11" t="n"/>
      <c r="F42" s="11" t="n"/>
      <c r="G42" s="11" t="n"/>
      <c r="H42" s="11" t="n"/>
      <c r="I42" s="11" t="n"/>
      <c r="J42" s="11" t="n"/>
      <c r="K42" s="11" t="n"/>
      <c r="L42" s="11" t="n"/>
      <c r="M42" s="11" t="n"/>
      <c r="N42" s="11" t="n"/>
    </row>
    <row r="43">
      <c r="B43" s="73" t="inlineStr">
        <is>
          <t>Longest video</t>
        </is>
      </c>
      <c r="C43" s="30">
        <f>MAX(tblVideos[Length])</f>
        <v/>
      </c>
      <c r="D43" s="110">
        <f>INDEX(tblVideos[Title],MATCH(MAX(tblVideos[Length]),tblVideos[Length],0))</f>
        <v/>
      </c>
    </row>
    <row r="44">
      <c r="B44" s="73" t="inlineStr">
        <is>
          <t>Shortest video (&gt;0)</t>
        </is>
      </c>
      <c r="C44" s="30">
        <f>IFERROR(_xlfn.MINIFS(tblVideos[Length],tblVideos[Length],"&gt;0"),"")</f>
        <v/>
      </c>
      <c r="D44" s="110">
        <f>IFERROR(INDEX(tblVideos[Title],MATCH(C44,tblVideos[Length],0)),"")</f>
        <v/>
      </c>
    </row>
    <row r="45">
      <c r="B45" s="73" t="inlineStr">
        <is>
          <t>Most viewed video</t>
        </is>
      </c>
      <c r="C45" s="16">
        <f>MAX(tblVideos[Views])</f>
        <v/>
      </c>
      <c r="D45" s="110">
        <f>INDEX(tblVideos[Title],MATCH(MAX(tblVideos[Views]),tblVideos[Views],0))</f>
        <v/>
      </c>
    </row>
    <row r="46">
      <c r="B46" s="73" t="inlineStr">
        <is>
          <t>Busiest month (videos)</t>
        </is>
      </c>
      <c r="C46" s="16">
        <f>MAX(History!$I$144:$I$317)</f>
        <v/>
      </c>
      <c r="D46" s="110">
        <f>TEXT(INDEX(History!$B$144:$B$317,MATCH(C46,History!$I$144:$I$317,0)),"mmmm yyyy")</f>
        <v/>
      </c>
    </row>
  </sheetData>
  <sheetProtection selectLockedCells="0" selectUnlockedCells="0" sheet="1" objects="0" insertRows="1" insertHyperlinks="1" autoFilter="1" scenarios="0" formatColumns="1" deleteColumns="1" insertColumns="1" pivotTables="1" deleteRows="1" formatCells="1" formatRows="1" sort="1"/>
  <mergeCells count="9">
    <mergeCell ref="N23:Q23"/>
    <mergeCell ref="N22:Q22"/>
    <mergeCell ref="C38:D38"/>
    <mergeCell ref="N26:Q26"/>
    <mergeCell ref="N21:Q21"/>
    <mergeCell ref="N20:Q20"/>
    <mergeCell ref="N24:Q24"/>
    <mergeCell ref="N25:Q25"/>
    <mergeCell ref="N19:Q19"/>
  </mergeCells>
  <conditionalFormatting sqref="H8:H14">
    <cfRule type="dataBar" priority="1">
      <dataBar>
        <cfvo type="num" val="0"/>
        <cfvo type="num" val="1"/>
        <color rgb="002E9E6B"/>
      </dataBar>
    </cfRule>
  </conditionalFormatting>
  <conditionalFormatting sqref="C36:E37">
    <cfRule type="cellIs" priority="2" operator="greaterThan" dxfId="6">
      <formula>0</formula>
    </cfRule>
    <cfRule type="cellIs" priority="3" operator="lessThan" dxfId="38">
      <formula>0</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B7791F"/>
    <outlinePr summaryBelow="1" summaryRight="1"/>
    <pageSetUpPr fitToPage="1"/>
  </sheetPr>
  <dimension ref="A2:L20"/>
  <sheetViews>
    <sheetView showGridLines="0" workbookViewId="0">
      <pane ySplit="5" topLeftCell="A6" activePane="bottomLeft" state="frozen"/>
      <selection pane="bottomLeft" activeCell="A1" sqref="A1"/>
    </sheetView>
  </sheetViews>
  <sheetFormatPr baseColWidth="8" defaultRowHeight="15"/>
  <cols>
    <col width="7" customWidth="1" min="1" max="1"/>
    <col width="9" customWidth="1" min="2" max="2"/>
    <col width="28" customWidth="1" min="3" max="3"/>
    <col width="44" customWidth="1" min="4" max="4"/>
    <col width="28" customWidth="1" min="5" max="5"/>
    <col width="17" customWidth="1" min="6" max="6"/>
    <col width="26" customWidth="1" min="7" max="7"/>
    <col width="10" customWidth="1" min="8" max="8"/>
    <col width="10" customWidth="1" min="9" max="9"/>
    <col width="10" customWidth="1" min="10" max="10"/>
    <col width="15" customWidth="1" min="11" max="11"/>
    <col width="18" customWidth="1" min="12" max="12"/>
    <col width="13" customWidth="1" min="13" max="13"/>
  </cols>
  <sheetData>
    <row r="2" ht="30" customHeight="1">
      <c r="B2" s="55" t="inlineStr">
        <is>
          <t>Channels</t>
        </is>
      </c>
    </row>
    <row r="3">
      <c r="B3" s="2" t="inlineStr">
        <is>
          <t>Add a channel: type its @handle or URL in a new row below the table, then run the updater. Set 'Watched Through' to treat everything up to that date as already watched.</t>
        </is>
      </c>
    </row>
    <row r="4">
      <c r="B4" s="35">
        <f>HYPERLINK("#'Dashboard'!A1","◄ Dashboard")</f>
        <v/>
      </c>
    </row>
    <row r="5" ht="32" customHeight="1">
      <c r="A5" s="12" t="inlineStr">
        <is>
          <t>Color</t>
        </is>
      </c>
      <c r="B5" s="12" t="inlineStr">
        <is>
          <t>Enabled</t>
        </is>
      </c>
      <c r="C5" s="12" t="inlineStr">
        <is>
          <t>Display Name</t>
        </is>
      </c>
      <c r="D5" s="12" t="inlineStr">
        <is>
          <t>Handle or URL</t>
        </is>
      </c>
      <c r="E5" s="12" t="inlineStr">
        <is>
          <t>Channel ID</t>
        </is>
      </c>
      <c r="F5" s="12" t="inlineStr">
        <is>
          <t>Watched Through</t>
        </is>
      </c>
      <c r="G5" s="12" t="inlineStr">
        <is>
          <t>YouTube Title</t>
        </is>
      </c>
      <c r="H5" s="12" t="inlineStr">
        <is>
          <t>Videos</t>
        </is>
      </c>
      <c r="I5" s="12" t="inlineStr">
        <is>
          <t>Watched</t>
        </is>
      </c>
      <c r="J5" s="12" t="inlineStr">
        <is>
          <t>Backlog</t>
        </is>
      </c>
      <c r="K5" s="12" t="inlineStr">
        <is>
          <t>Latest Upload</t>
        </is>
      </c>
      <c r="L5" s="12" t="inlineStr">
        <is>
          <t>Last Refresh</t>
        </is>
      </c>
    </row>
    <row r="6">
      <c r="A6" s="111" t="inlineStr"/>
      <c r="B6" s="112" t="inlineStr">
        <is>
          <t>Yes</t>
        </is>
      </c>
      <c r="C6" s="73" t="inlineStr">
        <is>
          <t>Super Carlin Brothers</t>
        </is>
      </c>
      <c r="D6" s="32" t="inlineStr">
        <is>
          <t>https://www.youtube.com/@SuperCarlinBrothers</t>
        </is>
      </c>
      <c r="E6" s="113" t="inlineStr">
        <is>
          <t>UCKZo4N0lVPccBkSiuyVh4yg</t>
        </is>
      </c>
      <c r="F6" s="114" t="n"/>
      <c r="G6" s="113" t="inlineStr">
        <is>
          <t>SuperCarlinBrothers</t>
        </is>
      </c>
      <c r="H6" s="16">
        <f>COUNTIFS(tblVideos[Channel ID],E6)</f>
        <v/>
      </c>
      <c r="I6" s="16">
        <f>COUNTIFS(tblVideos[Channel ID],E6,tblVideos[Status],"Watched")</f>
        <v/>
      </c>
      <c r="J6" s="16">
        <f>COUNTIFS(tblVideos[Channel ID],E6,tblVideos[Status],"Unwatched")+COUNTIFS(tblVideos[Channel ID],E6,tblVideos[Status],"Watch Later")</f>
        <v/>
      </c>
      <c r="K6" s="98">
        <f>IF(H6=0,"",_xlfn.MAXIFS(tblVideos[Day],tblVideos[Channel ID],E6))</f>
        <v/>
      </c>
      <c r="L6" s="115" t="n">
        <v>46304.13543981482</v>
      </c>
    </row>
    <row r="7">
      <c r="A7" s="116" t="inlineStr"/>
      <c r="B7" s="112" t="inlineStr">
        <is>
          <t>Yes</t>
        </is>
      </c>
      <c r="C7" s="73" t="inlineStr">
        <is>
          <t>Super Carlin Gaming</t>
        </is>
      </c>
      <c r="D7" s="32" t="inlineStr">
        <is>
          <t>https://www.youtube.com/SuperCarlinGaming</t>
        </is>
      </c>
      <c r="E7" s="113" t="inlineStr">
        <is>
          <t>UCor_9jRnNNZVzTuQ92PKsaQ</t>
        </is>
      </c>
      <c r="F7" s="114" t="n"/>
      <c r="G7" s="113" t="inlineStr">
        <is>
          <t>Super Carlin Gaming</t>
        </is>
      </c>
      <c r="H7" s="16">
        <f>COUNTIFS(tblVideos[Channel ID],E7)</f>
        <v/>
      </c>
      <c r="I7" s="16">
        <f>COUNTIFS(tblVideos[Channel ID],E7,tblVideos[Status],"Watched")</f>
        <v/>
      </c>
      <c r="J7" s="16">
        <f>COUNTIFS(tblVideos[Channel ID],E7,tblVideos[Status],"Unwatched")+COUNTIFS(tblVideos[Channel ID],E7,tblVideos[Status],"Watch Later")</f>
        <v/>
      </c>
      <c r="K7" s="98">
        <f>IF(H7=0,"",_xlfn.MAXIFS(tblVideos[Day],tblVideos[Channel ID],E7))</f>
        <v/>
      </c>
      <c r="L7" s="115" t="n">
        <v>46304.13543981482</v>
      </c>
    </row>
    <row r="8">
      <c r="A8" s="117" t="inlineStr"/>
      <c r="B8" s="112" t="inlineStr">
        <is>
          <t>Yes</t>
        </is>
      </c>
      <c r="C8" s="73" t="inlineStr">
        <is>
          <t>Jonathan Carlin</t>
        </is>
      </c>
      <c r="D8" s="32" t="inlineStr">
        <is>
          <t>https://www.youtube.com/@JonathanCarlin</t>
        </is>
      </c>
      <c r="E8" s="113" t="inlineStr">
        <is>
          <t>UCYPKFe86e6nm4TVUYKLsFUQ</t>
        </is>
      </c>
      <c r="F8" s="114" t="n"/>
      <c r="G8" s="113" t="inlineStr">
        <is>
          <t>Jonathan Carlin</t>
        </is>
      </c>
      <c r="H8" s="16">
        <f>COUNTIFS(tblVideos[Channel ID],E8)</f>
        <v/>
      </c>
      <c r="I8" s="16">
        <f>COUNTIFS(tblVideos[Channel ID],E8,tblVideos[Status],"Watched")</f>
        <v/>
      </c>
      <c r="J8" s="16">
        <f>COUNTIFS(tblVideos[Channel ID],E8,tblVideos[Status],"Unwatched")+COUNTIFS(tblVideos[Channel ID],E8,tblVideos[Status],"Watch Later")</f>
        <v/>
      </c>
      <c r="K8" s="98">
        <f>IF(H8=0,"",_xlfn.MAXIFS(tblVideos[Day],tblVideos[Channel ID],E8))</f>
        <v/>
      </c>
      <c r="L8" s="115" t="n">
        <v>46304.13543981482</v>
      </c>
    </row>
    <row r="9">
      <c r="A9" s="118" t="inlineStr"/>
      <c r="B9" s="112" t="inlineStr">
        <is>
          <t>Yes</t>
        </is>
      </c>
      <c r="C9" s="73" t="inlineStr">
        <is>
          <t>Through The Griffin Door</t>
        </is>
      </c>
      <c r="D9" s="32" t="inlineStr">
        <is>
          <t>https://www.youtube.com/@ThroughTheGriffinDoor</t>
        </is>
      </c>
      <c r="E9" s="113" t="inlineStr">
        <is>
          <t>UCEscP6ETYXWSSvsNrDHekMQ</t>
        </is>
      </c>
      <c r="F9" s="114" t="n"/>
      <c r="G9" s="113" t="inlineStr">
        <is>
          <t>Through The Griffin Door</t>
        </is>
      </c>
      <c r="H9" s="16">
        <f>COUNTIFS(tblVideos[Channel ID],E9)</f>
        <v/>
      </c>
      <c r="I9" s="16">
        <f>COUNTIFS(tblVideos[Channel ID],E9,tblVideos[Status],"Watched")</f>
        <v/>
      </c>
      <c r="J9" s="16">
        <f>COUNTIFS(tblVideos[Channel ID],E9,tblVideos[Status],"Unwatched")+COUNTIFS(tblVideos[Channel ID],E9,tblVideos[Status],"Watch Later")</f>
        <v/>
      </c>
      <c r="K9" s="98">
        <f>IF(H9=0,"",_xlfn.MAXIFS(tblVideos[Day],tblVideos[Channel ID],E9))</f>
        <v/>
      </c>
      <c r="L9" s="115" t="n">
        <v>46304.13543981482</v>
      </c>
    </row>
    <row r="10">
      <c r="A10" s="119" t="inlineStr"/>
      <c r="B10" s="112" t="inlineStr">
        <is>
          <t>Yes</t>
        </is>
      </c>
      <c r="C10" s="73" t="inlineStr">
        <is>
          <t>Popcorn Culture</t>
        </is>
      </c>
      <c r="D10" s="32" t="inlineStr">
        <is>
          <t>https://www.youtube.com/@APOPcast</t>
        </is>
      </c>
      <c r="E10" s="113" t="inlineStr">
        <is>
          <t>UCHfIbq9thHPC8yrKjAdJgDA</t>
        </is>
      </c>
      <c r="F10" s="114" t="n"/>
      <c r="G10" s="113" t="inlineStr">
        <is>
          <t>Popcorn Culture</t>
        </is>
      </c>
      <c r="H10" s="16">
        <f>COUNTIFS(tblVideos[Channel ID],E10)</f>
        <v/>
      </c>
      <c r="I10" s="16">
        <f>COUNTIFS(tblVideos[Channel ID],E10,tblVideos[Status],"Watched")</f>
        <v/>
      </c>
      <c r="J10" s="16">
        <f>COUNTIFS(tblVideos[Channel ID],E10,tblVideos[Status],"Unwatched")+COUNTIFS(tblVideos[Channel ID],E10,tblVideos[Status],"Watch Later")</f>
        <v/>
      </c>
      <c r="K10" s="98">
        <f>IF(H10=0,"",_xlfn.MAXIFS(tblVideos[Day],tblVideos[Channel ID],E10))</f>
        <v/>
      </c>
      <c r="L10" s="115" t="n">
        <v>46304.13543981482</v>
      </c>
    </row>
    <row r="11">
      <c r="A11" s="120" t="inlineStr"/>
      <c r="B11" s="112" t="inlineStr">
        <is>
          <t>Yes</t>
        </is>
      </c>
      <c r="C11" s="73" t="inlineStr">
        <is>
          <t>With the Carlins</t>
        </is>
      </c>
      <c r="D11" s="32" t="inlineStr">
        <is>
          <t>https://www.youtube.com/@withthecarlins9970</t>
        </is>
      </c>
      <c r="E11" s="113" t="inlineStr">
        <is>
          <t>UCVBTjN9WJU5Ac8yU7b2K-5g</t>
        </is>
      </c>
      <c r="F11" s="114" t="n"/>
      <c r="G11" s="113" t="inlineStr">
        <is>
          <t>With the Carlins</t>
        </is>
      </c>
      <c r="H11" s="16">
        <f>COUNTIFS(tblVideos[Channel ID],E11)</f>
        <v/>
      </c>
      <c r="I11" s="16">
        <f>COUNTIFS(tblVideos[Channel ID],E11,tblVideos[Status],"Watched")</f>
        <v/>
      </c>
      <c r="J11" s="16">
        <f>COUNTIFS(tblVideos[Channel ID],E11,tblVideos[Status],"Unwatched")+COUNTIFS(tblVideos[Channel ID],E11,tblVideos[Status],"Watch Later")</f>
        <v/>
      </c>
      <c r="K11" s="98">
        <f>IF(H11=0,"",_xlfn.MAXIFS(tblVideos[Day],tblVideos[Channel ID],E11))</f>
        <v/>
      </c>
      <c r="L11" s="115" t="n">
        <v>46304.13543981482</v>
      </c>
    </row>
    <row r="14">
      <c r="A14" s="121" t="inlineStr">
        <is>
          <t>How these columns work</t>
        </is>
      </c>
    </row>
    <row r="15">
      <c r="A15" s="122" t="inlineStr">
        <is>
          <t>• Enabled - 'No' stops the updater fetching that channel (its existing videos stay in the library).</t>
        </is>
      </c>
    </row>
    <row r="16">
      <c r="A16" s="122" t="inlineStr">
        <is>
          <t>• Display Name - what you see everywhere in the workbook. Rename freely; run the updater to refresh labels in the Library.</t>
        </is>
      </c>
    </row>
    <row r="17">
      <c r="A17" s="122" t="inlineStr">
        <is>
          <t>• Handle or URL / Channel ID - give either. If Channel ID is blank, the updater looks it up for you.</t>
        </is>
      </c>
    </row>
    <row r="18">
      <c r="A18" s="122" t="inlineStr">
        <is>
          <t>• Watched Through - handy for catching up: every video on or before this date counts as Watched (unless you override it in Library &gt; Mark).</t>
        </is>
      </c>
    </row>
    <row r="19">
      <c r="A19" s="122" t="inlineStr">
        <is>
          <t>• YouTube Title - the channel's real name on YouTube, filled by the updater so you can confirm the right channel was matched.</t>
        </is>
      </c>
    </row>
    <row r="20">
      <c r="A20" s="122" t="inlineStr">
        <is>
          <t>• Colors follow row order. Please don't sort this table by hand.</t>
        </is>
      </c>
    </row>
  </sheetData>
  <dataValidations count="2">
    <dataValidation sqref="B6:B45" showDropDown="0" showInputMessage="0" showErrorMessage="0" allowBlank="1" type="list">
      <formula1>"Yes,No"</formula1>
    </dataValidation>
    <dataValidation sqref="F6:F45" showDropDown="0" showInputMessage="0" showErrorMessage="0" allowBlank="1" errorTitle="Date needed" error="Enter a date such as 2019-12-31." type="date" operator="greaterThan">
      <formula1>36526</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B7791F"/>
    <outlinePr summaryBelow="1" summaryRight="1"/>
    <pageSetUpPr/>
  </sheetPr>
  <dimension ref="A1:AB3267"/>
  <sheetViews>
    <sheetView workbookViewId="0">
      <pane ySplit="5" topLeftCell="A6" activePane="bottomLeft" state="frozen"/>
      <selection pane="bottomLeft" activeCell="A1" sqref="A1"/>
    </sheetView>
  </sheetViews>
  <sheetFormatPr baseColWidth="8" defaultRowHeight="15"/>
  <cols>
    <col width="16" customWidth="1" min="25" max="25"/>
    <col width="16" customWidth="1" min="26" max="26"/>
    <col width="16" customWidth="1" min="27" max="27"/>
    <col width="40" customWidth="1" min="28" max="28"/>
  </cols>
  <sheetData>
    <row r="1">
      <c r="A1" s="61" t="inlineStr">
        <is>
          <t>STEP 1 - Paste your OLD Library here.  In your old workbook open the Library sheet, click the small square at the very top-left (select all), press Ctrl+C. Come back here, click cell A1, then Paste Special &gt; Values.</t>
        </is>
      </c>
      <c r="Y1" s="123">
        <f>"CARRY OVER  -  "&amp;COUNT(Y6:Y3267)&amp;" of 3262 videos matched with your old file"</f>
        <v/>
      </c>
    </row>
    <row r="2">
      <c r="A2" s="2" t="inlineStr">
        <is>
          <t>(This note disappears when you paste - that's expected. Both files must come from this site / this tool so the columns line up.)</t>
        </is>
      </c>
      <c r="Y2" s="121" t="inlineStr">
        <is>
          <t>STEP 2 - Copy columns Z:AA (from row 6 down). In the Library sheet click cell C6, then Paste Special &gt; Values.  (Clear any Library filters first.)</t>
        </is>
      </c>
    </row>
    <row r="3">
      <c r="Y3" s="121" t="inlineStr">
        <is>
          <t>STEP 3 - Copy column AB (Notes). In the Library sheet click cell L6, then Paste Special &gt; Values.</t>
        </is>
      </c>
    </row>
    <row r="4">
      <c r="Y4" s="121" t="inlineStr">
        <is>
          <t>STEP 4 - On the Channels sheet, re-enter your 'Watched Through' dates. Done - you can delete this sheet.</t>
        </is>
      </c>
    </row>
    <row r="5" ht="30" customHeight="1">
      <c r="Y5" s="37" t="inlineStr">
        <is>
          <t>Matched row in old file</t>
        </is>
      </c>
      <c r="Z5" s="37" t="inlineStr">
        <is>
          <t>Mark  (-&gt; Library C)</t>
        </is>
      </c>
      <c r="AA5" s="37" t="inlineStr">
        <is>
          <t>Watched On  (-&gt; Library D)</t>
        </is>
      </c>
      <c r="AB5" s="37" t="inlineStr">
        <is>
          <t>Notes  (-&gt; Library L)</t>
        </is>
      </c>
    </row>
    <row r="6">
      <c r="Y6" s="47">
        <f>IFERROR(MATCH(Library!M6,$M$6:$M$40000,0),"")</f>
        <v/>
      </c>
      <c r="Z6">
        <f>IF($Y6="","",INDEX($C$6:$C$40000,$Y6)&amp;"")</f>
        <v/>
      </c>
      <c r="AA6" s="59">
        <f>IF($Y6="","",IF(INDEX($D$6:$D$40000,$Y6)="","",INDEX($D$6:$D$40000,$Y6)))</f>
        <v/>
      </c>
      <c r="AB6">
        <f>IF($Y6="","",INDEX($L$6:$L$40000,$Y6)&amp;"")</f>
        <v/>
      </c>
    </row>
    <row r="7">
      <c r="Y7" s="47">
        <f>IFERROR(MATCH(Library!M7,$M$6:$M$40000,0),"")</f>
        <v/>
      </c>
      <c r="Z7">
        <f>IF($Y7="","",INDEX($C$6:$C$40000,$Y7)&amp;"")</f>
        <v/>
      </c>
      <c r="AA7" s="59">
        <f>IF($Y7="","",IF(INDEX($D$6:$D$40000,$Y7)="","",INDEX($D$6:$D$40000,$Y7)))</f>
        <v/>
      </c>
      <c r="AB7">
        <f>IF($Y7="","",INDEX($L$6:$L$40000,$Y7)&amp;"")</f>
        <v/>
      </c>
    </row>
    <row r="8">
      <c r="Y8" s="47">
        <f>IFERROR(MATCH(Library!M8,$M$6:$M$40000,0),"")</f>
        <v/>
      </c>
      <c r="Z8">
        <f>IF($Y8="","",INDEX($C$6:$C$40000,$Y8)&amp;"")</f>
        <v/>
      </c>
      <c r="AA8" s="59">
        <f>IF($Y8="","",IF(INDEX($D$6:$D$40000,$Y8)="","",INDEX($D$6:$D$40000,$Y8)))</f>
        <v/>
      </c>
      <c r="AB8">
        <f>IF($Y8="","",INDEX($L$6:$L$40000,$Y8)&amp;"")</f>
        <v/>
      </c>
    </row>
    <row r="9">
      <c r="Y9" s="47">
        <f>IFERROR(MATCH(Library!M9,$M$6:$M$40000,0),"")</f>
        <v/>
      </c>
      <c r="Z9">
        <f>IF($Y9="","",INDEX($C$6:$C$40000,$Y9)&amp;"")</f>
        <v/>
      </c>
      <c r="AA9" s="59">
        <f>IF($Y9="","",IF(INDEX($D$6:$D$40000,$Y9)="","",INDEX($D$6:$D$40000,$Y9)))</f>
        <v/>
      </c>
      <c r="AB9">
        <f>IF($Y9="","",INDEX($L$6:$L$40000,$Y9)&amp;"")</f>
        <v/>
      </c>
    </row>
    <row r="10">
      <c r="Y10" s="47">
        <f>IFERROR(MATCH(Library!M10,$M$6:$M$40000,0),"")</f>
        <v/>
      </c>
      <c r="Z10">
        <f>IF($Y10="","",INDEX($C$6:$C$40000,$Y10)&amp;"")</f>
        <v/>
      </c>
      <c r="AA10" s="59">
        <f>IF($Y10="","",IF(INDEX($D$6:$D$40000,$Y10)="","",INDEX($D$6:$D$40000,$Y10)))</f>
        <v/>
      </c>
      <c r="AB10">
        <f>IF($Y10="","",INDEX($L$6:$L$40000,$Y10)&amp;"")</f>
        <v/>
      </c>
    </row>
    <row r="11">
      <c r="Y11" s="47">
        <f>IFERROR(MATCH(Library!M11,$M$6:$M$40000,0),"")</f>
        <v/>
      </c>
      <c r="Z11">
        <f>IF($Y11="","",INDEX($C$6:$C$40000,$Y11)&amp;"")</f>
        <v/>
      </c>
      <c r="AA11" s="59">
        <f>IF($Y11="","",IF(INDEX($D$6:$D$40000,$Y11)="","",INDEX($D$6:$D$40000,$Y11)))</f>
        <v/>
      </c>
      <c r="AB11">
        <f>IF($Y11="","",INDEX($L$6:$L$40000,$Y11)&amp;"")</f>
        <v/>
      </c>
    </row>
    <row r="12">
      <c r="Y12" s="47">
        <f>IFERROR(MATCH(Library!M12,$M$6:$M$40000,0),"")</f>
        <v/>
      </c>
      <c r="Z12">
        <f>IF($Y12="","",INDEX($C$6:$C$40000,$Y12)&amp;"")</f>
        <v/>
      </c>
      <c r="AA12" s="59">
        <f>IF($Y12="","",IF(INDEX($D$6:$D$40000,$Y12)="","",INDEX($D$6:$D$40000,$Y12)))</f>
        <v/>
      </c>
      <c r="AB12">
        <f>IF($Y12="","",INDEX($L$6:$L$40000,$Y12)&amp;"")</f>
        <v/>
      </c>
    </row>
    <row r="13">
      <c r="Y13" s="47">
        <f>IFERROR(MATCH(Library!M13,$M$6:$M$40000,0),"")</f>
        <v/>
      </c>
      <c r="Z13">
        <f>IF($Y13="","",INDEX($C$6:$C$40000,$Y13)&amp;"")</f>
        <v/>
      </c>
      <c r="AA13" s="59">
        <f>IF($Y13="","",IF(INDEX($D$6:$D$40000,$Y13)="","",INDEX($D$6:$D$40000,$Y13)))</f>
        <v/>
      </c>
      <c r="AB13">
        <f>IF($Y13="","",INDEX($L$6:$L$40000,$Y13)&amp;"")</f>
        <v/>
      </c>
    </row>
    <row r="14">
      <c r="Y14" s="47">
        <f>IFERROR(MATCH(Library!M14,$M$6:$M$40000,0),"")</f>
        <v/>
      </c>
      <c r="Z14">
        <f>IF($Y14="","",INDEX($C$6:$C$40000,$Y14)&amp;"")</f>
        <v/>
      </c>
      <c r="AA14" s="59">
        <f>IF($Y14="","",IF(INDEX($D$6:$D$40000,$Y14)="","",INDEX($D$6:$D$40000,$Y14)))</f>
        <v/>
      </c>
      <c r="AB14">
        <f>IF($Y14="","",INDEX($L$6:$L$40000,$Y14)&amp;"")</f>
        <v/>
      </c>
    </row>
    <row r="15">
      <c r="Y15" s="47">
        <f>IFERROR(MATCH(Library!M15,$M$6:$M$40000,0),"")</f>
        <v/>
      </c>
      <c r="Z15">
        <f>IF($Y15="","",INDEX($C$6:$C$40000,$Y15)&amp;"")</f>
        <v/>
      </c>
      <c r="AA15" s="59">
        <f>IF($Y15="","",IF(INDEX($D$6:$D$40000,$Y15)="","",INDEX($D$6:$D$40000,$Y15)))</f>
        <v/>
      </c>
      <c r="AB15">
        <f>IF($Y15="","",INDEX($L$6:$L$40000,$Y15)&amp;"")</f>
        <v/>
      </c>
    </row>
    <row r="16">
      <c r="Y16" s="47">
        <f>IFERROR(MATCH(Library!M16,$M$6:$M$40000,0),"")</f>
        <v/>
      </c>
      <c r="Z16">
        <f>IF($Y16="","",INDEX($C$6:$C$40000,$Y16)&amp;"")</f>
        <v/>
      </c>
      <c r="AA16" s="59">
        <f>IF($Y16="","",IF(INDEX($D$6:$D$40000,$Y16)="","",INDEX($D$6:$D$40000,$Y16)))</f>
        <v/>
      </c>
      <c r="AB16">
        <f>IF($Y16="","",INDEX($L$6:$L$40000,$Y16)&amp;"")</f>
        <v/>
      </c>
    </row>
    <row r="17">
      <c r="Y17" s="47">
        <f>IFERROR(MATCH(Library!M17,$M$6:$M$40000,0),"")</f>
        <v/>
      </c>
      <c r="Z17">
        <f>IF($Y17="","",INDEX($C$6:$C$40000,$Y17)&amp;"")</f>
        <v/>
      </c>
      <c r="AA17" s="59">
        <f>IF($Y17="","",IF(INDEX($D$6:$D$40000,$Y17)="","",INDEX($D$6:$D$40000,$Y17)))</f>
        <v/>
      </c>
      <c r="AB17">
        <f>IF($Y17="","",INDEX($L$6:$L$40000,$Y17)&amp;"")</f>
        <v/>
      </c>
    </row>
    <row r="18">
      <c r="Y18" s="47">
        <f>IFERROR(MATCH(Library!M18,$M$6:$M$40000,0),"")</f>
        <v/>
      </c>
      <c r="Z18">
        <f>IF($Y18="","",INDEX($C$6:$C$40000,$Y18)&amp;"")</f>
        <v/>
      </c>
      <c r="AA18" s="59">
        <f>IF($Y18="","",IF(INDEX($D$6:$D$40000,$Y18)="","",INDEX($D$6:$D$40000,$Y18)))</f>
        <v/>
      </c>
      <c r="AB18">
        <f>IF($Y18="","",INDEX($L$6:$L$40000,$Y18)&amp;"")</f>
        <v/>
      </c>
    </row>
    <row r="19">
      <c r="Y19" s="47">
        <f>IFERROR(MATCH(Library!M19,$M$6:$M$40000,0),"")</f>
        <v/>
      </c>
      <c r="Z19">
        <f>IF($Y19="","",INDEX($C$6:$C$40000,$Y19)&amp;"")</f>
        <v/>
      </c>
      <c r="AA19" s="59">
        <f>IF($Y19="","",IF(INDEX($D$6:$D$40000,$Y19)="","",INDEX($D$6:$D$40000,$Y19)))</f>
        <v/>
      </c>
      <c r="AB19">
        <f>IF($Y19="","",INDEX($L$6:$L$40000,$Y19)&amp;"")</f>
        <v/>
      </c>
    </row>
    <row r="20">
      <c r="Y20" s="47">
        <f>IFERROR(MATCH(Library!M20,$M$6:$M$40000,0),"")</f>
        <v/>
      </c>
      <c r="Z20">
        <f>IF($Y20="","",INDEX($C$6:$C$40000,$Y20)&amp;"")</f>
        <v/>
      </c>
      <c r="AA20" s="59">
        <f>IF($Y20="","",IF(INDEX($D$6:$D$40000,$Y20)="","",INDEX($D$6:$D$40000,$Y20)))</f>
        <v/>
      </c>
      <c r="AB20">
        <f>IF($Y20="","",INDEX($L$6:$L$40000,$Y20)&amp;"")</f>
        <v/>
      </c>
    </row>
    <row r="21">
      <c r="Y21" s="47">
        <f>IFERROR(MATCH(Library!M21,$M$6:$M$40000,0),"")</f>
        <v/>
      </c>
      <c r="Z21">
        <f>IF($Y21="","",INDEX($C$6:$C$40000,$Y21)&amp;"")</f>
        <v/>
      </c>
      <c r="AA21" s="59">
        <f>IF($Y21="","",IF(INDEX($D$6:$D$40000,$Y21)="","",INDEX($D$6:$D$40000,$Y21)))</f>
        <v/>
      </c>
      <c r="AB21">
        <f>IF($Y21="","",INDEX($L$6:$L$40000,$Y21)&amp;"")</f>
        <v/>
      </c>
    </row>
    <row r="22">
      <c r="Y22" s="47">
        <f>IFERROR(MATCH(Library!M22,$M$6:$M$40000,0),"")</f>
        <v/>
      </c>
      <c r="Z22">
        <f>IF($Y22="","",INDEX($C$6:$C$40000,$Y22)&amp;"")</f>
        <v/>
      </c>
      <c r="AA22" s="59">
        <f>IF($Y22="","",IF(INDEX($D$6:$D$40000,$Y22)="","",INDEX($D$6:$D$40000,$Y22)))</f>
        <v/>
      </c>
      <c r="AB22">
        <f>IF($Y22="","",INDEX($L$6:$L$40000,$Y22)&amp;"")</f>
        <v/>
      </c>
    </row>
    <row r="23">
      <c r="Y23" s="47">
        <f>IFERROR(MATCH(Library!M23,$M$6:$M$40000,0),"")</f>
        <v/>
      </c>
      <c r="Z23">
        <f>IF($Y23="","",INDEX($C$6:$C$40000,$Y23)&amp;"")</f>
        <v/>
      </c>
      <c r="AA23" s="59">
        <f>IF($Y23="","",IF(INDEX($D$6:$D$40000,$Y23)="","",INDEX($D$6:$D$40000,$Y23)))</f>
        <v/>
      </c>
      <c r="AB23">
        <f>IF($Y23="","",INDEX($L$6:$L$40000,$Y23)&amp;"")</f>
        <v/>
      </c>
    </row>
    <row r="24">
      <c r="Y24" s="47">
        <f>IFERROR(MATCH(Library!M24,$M$6:$M$40000,0),"")</f>
        <v/>
      </c>
      <c r="Z24">
        <f>IF($Y24="","",INDEX($C$6:$C$40000,$Y24)&amp;"")</f>
        <v/>
      </c>
      <c r="AA24" s="59">
        <f>IF($Y24="","",IF(INDEX($D$6:$D$40000,$Y24)="","",INDEX($D$6:$D$40000,$Y24)))</f>
        <v/>
      </c>
      <c r="AB24">
        <f>IF($Y24="","",INDEX($L$6:$L$40000,$Y24)&amp;"")</f>
        <v/>
      </c>
    </row>
    <row r="25">
      <c r="Y25" s="47">
        <f>IFERROR(MATCH(Library!M25,$M$6:$M$40000,0),"")</f>
        <v/>
      </c>
      <c r="Z25">
        <f>IF($Y25="","",INDEX($C$6:$C$40000,$Y25)&amp;"")</f>
        <v/>
      </c>
      <c r="AA25" s="59">
        <f>IF($Y25="","",IF(INDEX($D$6:$D$40000,$Y25)="","",INDEX($D$6:$D$40000,$Y25)))</f>
        <v/>
      </c>
      <c r="AB25">
        <f>IF($Y25="","",INDEX($L$6:$L$40000,$Y25)&amp;"")</f>
        <v/>
      </c>
    </row>
    <row r="26">
      <c r="Y26" s="47">
        <f>IFERROR(MATCH(Library!M26,$M$6:$M$40000,0),"")</f>
        <v/>
      </c>
      <c r="Z26">
        <f>IF($Y26="","",INDEX($C$6:$C$40000,$Y26)&amp;"")</f>
        <v/>
      </c>
      <c r="AA26" s="59">
        <f>IF($Y26="","",IF(INDEX($D$6:$D$40000,$Y26)="","",INDEX($D$6:$D$40000,$Y26)))</f>
        <v/>
      </c>
      <c r="AB26">
        <f>IF($Y26="","",INDEX($L$6:$L$40000,$Y26)&amp;"")</f>
        <v/>
      </c>
    </row>
    <row r="27">
      <c r="Y27" s="47">
        <f>IFERROR(MATCH(Library!M27,$M$6:$M$40000,0),"")</f>
        <v/>
      </c>
      <c r="Z27">
        <f>IF($Y27="","",INDEX($C$6:$C$40000,$Y27)&amp;"")</f>
        <v/>
      </c>
      <c r="AA27" s="59">
        <f>IF($Y27="","",IF(INDEX($D$6:$D$40000,$Y27)="","",INDEX($D$6:$D$40000,$Y27)))</f>
        <v/>
      </c>
      <c r="AB27">
        <f>IF($Y27="","",INDEX($L$6:$L$40000,$Y27)&amp;"")</f>
        <v/>
      </c>
    </row>
    <row r="28">
      <c r="Y28" s="47">
        <f>IFERROR(MATCH(Library!M28,$M$6:$M$40000,0),"")</f>
        <v/>
      </c>
      <c r="Z28">
        <f>IF($Y28="","",INDEX($C$6:$C$40000,$Y28)&amp;"")</f>
        <v/>
      </c>
      <c r="AA28" s="59">
        <f>IF($Y28="","",IF(INDEX($D$6:$D$40000,$Y28)="","",INDEX($D$6:$D$40000,$Y28)))</f>
        <v/>
      </c>
      <c r="AB28">
        <f>IF($Y28="","",INDEX($L$6:$L$40000,$Y28)&amp;"")</f>
        <v/>
      </c>
    </row>
    <row r="29">
      <c r="Y29" s="47">
        <f>IFERROR(MATCH(Library!M29,$M$6:$M$40000,0),"")</f>
        <v/>
      </c>
      <c r="Z29">
        <f>IF($Y29="","",INDEX($C$6:$C$40000,$Y29)&amp;"")</f>
        <v/>
      </c>
      <c r="AA29" s="59">
        <f>IF($Y29="","",IF(INDEX($D$6:$D$40000,$Y29)="","",INDEX($D$6:$D$40000,$Y29)))</f>
        <v/>
      </c>
      <c r="AB29">
        <f>IF($Y29="","",INDEX($L$6:$L$40000,$Y29)&amp;"")</f>
        <v/>
      </c>
    </row>
    <row r="30">
      <c r="Y30" s="47">
        <f>IFERROR(MATCH(Library!M30,$M$6:$M$40000,0),"")</f>
        <v/>
      </c>
      <c r="Z30">
        <f>IF($Y30="","",INDEX($C$6:$C$40000,$Y30)&amp;"")</f>
        <v/>
      </c>
      <c r="AA30" s="59">
        <f>IF($Y30="","",IF(INDEX($D$6:$D$40000,$Y30)="","",INDEX($D$6:$D$40000,$Y30)))</f>
        <v/>
      </c>
      <c r="AB30">
        <f>IF($Y30="","",INDEX($L$6:$L$40000,$Y30)&amp;"")</f>
        <v/>
      </c>
    </row>
    <row r="31">
      <c r="Y31" s="47">
        <f>IFERROR(MATCH(Library!M31,$M$6:$M$40000,0),"")</f>
        <v/>
      </c>
      <c r="Z31">
        <f>IF($Y31="","",INDEX($C$6:$C$40000,$Y31)&amp;"")</f>
        <v/>
      </c>
      <c r="AA31" s="59">
        <f>IF($Y31="","",IF(INDEX($D$6:$D$40000,$Y31)="","",INDEX($D$6:$D$40000,$Y31)))</f>
        <v/>
      </c>
      <c r="AB31">
        <f>IF($Y31="","",INDEX($L$6:$L$40000,$Y31)&amp;"")</f>
        <v/>
      </c>
    </row>
    <row r="32">
      <c r="Y32" s="47">
        <f>IFERROR(MATCH(Library!M32,$M$6:$M$40000,0),"")</f>
        <v/>
      </c>
      <c r="Z32">
        <f>IF($Y32="","",INDEX($C$6:$C$40000,$Y32)&amp;"")</f>
        <v/>
      </c>
      <c r="AA32" s="59">
        <f>IF($Y32="","",IF(INDEX($D$6:$D$40000,$Y32)="","",INDEX($D$6:$D$40000,$Y32)))</f>
        <v/>
      </c>
      <c r="AB32">
        <f>IF($Y32="","",INDEX($L$6:$L$40000,$Y32)&amp;"")</f>
        <v/>
      </c>
    </row>
    <row r="33">
      <c r="Y33" s="47">
        <f>IFERROR(MATCH(Library!M33,$M$6:$M$40000,0),"")</f>
        <v/>
      </c>
      <c r="Z33">
        <f>IF($Y33="","",INDEX($C$6:$C$40000,$Y33)&amp;"")</f>
        <v/>
      </c>
      <c r="AA33" s="59">
        <f>IF($Y33="","",IF(INDEX($D$6:$D$40000,$Y33)="","",INDEX($D$6:$D$40000,$Y33)))</f>
        <v/>
      </c>
      <c r="AB33">
        <f>IF($Y33="","",INDEX($L$6:$L$40000,$Y33)&amp;"")</f>
        <v/>
      </c>
    </row>
    <row r="34">
      <c r="Y34" s="47">
        <f>IFERROR(MATCH(Library!M34,$M$6:$M$40000,0),"")</f>
        <v/>
      </c>
      <c r="Z34">
        <f>IF($Y34="","",INDEX($C$6:$C$40000,$Y34)&amp;"")</f>
        <v/>
      </c>
      <c r="AA34" s="59">
        <f>IF($Y34="","",IF(INDEX($D$6:$D$40000,$Y34)="","",INDEX($D$6:$D$40000,$Y34)))</f>
        <v/>
      </c>
      <c r="AB34">
        <f>IF($Y34="","",INDEX($L$6:$L$40000,$Y34)&amp;"")</f>
        <v/>
      </c>
    </row>
    <row r="35">
      <c r="Y35" s="47">
        <f>IFERROR(MATCH(Library!M35,$M$6:$M$40000,0),"")</f>
        <v/>
      </c>
      <c r="Z35">
        <f>IF($Y35="","",INDEX($C$6:$C$40000,$Y35)&amp;"")</f>
        <v/>
      </c>
      <c r="AA35" s="59">
        <f>IF($Y35="","",IF(INDEX($D$6:$D$40000,$Y35)="","",INDEX($D$6:$D$40000,$Y35)))</f>
        <v/>
      </c>
      <c r="AB35">
        <f>IF($Y35="","",INDEX($L$6:$L$40000,$Y35)&amp;"")</f>
        <v/>
      </c>
    </row>
    <row r="36">
      <c r="Y36" s="47">
        <f>IFERROR(MATCH(Library!M36,$M$6:$M$40000,0),"")</f>
        <v/>
      </c>
      <c r="Z36">
        <f>IF($Y36="","",INDEX($C$6:$C$40000,$Y36)&amp;"")</f>
        <v/>
      </c>
      <c r="AA36" s="59">
        <f>IF($Y36="","",IF(INDEX($D$6:$D$40000,$Y36)="","",INDEX($D$6:$D$40000,$Y36)))</f>
        <v/>
      </c>
      <c r="AB36">
        <f>IF($Y36="","",INDEX($L$6:$L$40000,$Y36)&amp;"")</f>
        <v/>
      </c>
    </row>
    <row r="37">
      <c r="Y37" s="47">
        <f>IFERROR(MATCH(Library!M37,$M$6:$M$40000,0),"")</f>
        <v/>
      </c>
      <c r="Z37">
        <f>IF($Y37="","",INDEX($C$6:$C$40000,$Y37)&amp;"")</f>
        <v/>
      </c>
      <c r="AA37" s="59">
        <f>IF($Y37="","",IF(INDEX($D$6:$D$40000,$Y37)="","",INDEX($D$6:$D$40000,$Y37)))</f>
        <v/>
      </c>
      <c r="AB37">
        <f>IF($Y37="","",INDEX($L$6:$L$40000,$Y37)&amp;"")</f>
        <v/>
      </c>
    </row>
    <row r="38">
      <c r="Y38" s="47">
        <f>IFERROR(MATCH(Library!M38,$M$6:$M$40000,0),"")</f>
        <v/>
      </c>
      <c r="Z38">
        <f>IF($Y38="","",INDEX($C$6:$C$40000,$Y38)&amp;"")</f>
        <v/>
      </c>
      <c r="AA38" s="59">
        <f>IF($Y38="","",IF(INDEX($D$6:$D$40000,$Y38)="","",INDEX($D$6:$D$40000,$Y38)))</f>
        <v/>
      </c>
      <c r="AB38">
        <f>IF($Y38="","",INDEX($L$6:$L$40000,$Y38)&amp;"")</f>
        <v/>
      </c>
    </row>
    <row r="39">
      <c r="Y39" s="47">
        <f>IFERROR(MATCH(Library!M39,$M$6:$M$40000,0),"")</f>
        <v/>
      </c>
      <c r="Z39">
        <f>IF($Y39="","",INDEX($C$6:$C$40000,$Y39)&amp;"")</f>
        <v/>
      </c>
      <c r="AA39" s="59">
        <f>IF($Y39="","",IF(INDEX($D$6:$D$40000,$Y39)="","",INDEX($D$6:$D$40000,$Y39)))</f>
        <v/>
      </c>
      <c r="AB39">
        <f>IF($Y39="","",INDEX($L$6:$L$40000,$Y39)&amp;"")</f>
        <v/>
      </c>
    </row>
    <row r="40">
      <c r="Y40" s="47">
        <f>IFERROR(MATCH(Library!M40,$M$6:$M$40000,0),"")</f>
        <v/>
      </c>
      <c r="Z40">
        <f>IF($Y40="","",INDEX($C$6:$C$40000,$Y40)&amp;"")</f>
        <v/>
      </c>
      <c r="AA40" s="59">
        <f>IF($Y40="","",IF(INDEX($D$6:$D$40000,$Y40)="","",INDEX($D$6:$D$40000,$Y40)))</f>
        <v/>
      </c>
      <c r="AB40">
        <f>IF($Y40="","",INDEX($L$6:$L$40000,$Y40)&amp;"")</f>
        <v/>
      </c>
    </row>
    <row r="41">
      <c r="Y41" s="47">
        <f>IFERROR(MATCH(Library!M41,$M$6:$M$40000,0),"")</f>
        <v/>
      </c>
      <c r="Z41">
        <f>IF($Y41="","",INDEX($C$6:$C$40000,$Y41)&amp;"")</f>
        <v/>
      </c>
      <c r="AA41" s="59">
        <f>IF($Y41="","",IF(INDEX($D$6:$D$40000,$Y41)="","",INDEX($D$6:$D$40000,$Y41)))</f>
        <v/>
      </c>
      <c r="AB41">
        <f>IF($Y41="","",INDEX($L$6:$L$40000,$Y41)&amp;"")</f>
        <v/>
      </c>
    </row>
    <row r="42">
      <c r="Y42" s="47">
        <f>IFERROR(MATCH(Library!M42,$M$6:$M$40000,0),"")</f>
        <v/>
      </c>
      <c r="Z42">
        <f>IF($Y42="","",INDEX($C$6:$C$40000,$Y42)&amp;"")</f>
        <v/>
      </c>
      <c r="AA42" s="59">
        <f>IF($Y42="","",IF(INDEX($D$6:$D$40000,$Y42)="","",INDEX($D$6:$D$40000,$Y42)))</f>
        <v/>
      </c>
      <c r="AB42">
        <f>IF($Y42="","",INDEX($L$6:$L$40000,$Y42)&amp;"")</f>
        <v/>
      </c>
    </row>
    <row r="43">
      <c r="Y43" s="47">
        <f>IFERROR(MATCH(Library!M43,$M$6:$M$40000,0),"")</f>
        <v/>
      </c>
      <c r="Z43">
        <f>IF($Y43="","",INDEX($C$6:$C$40000,$Y43)&amp;"")</f>
        <v/>
      </c>
      <c r="AA43" s="59">
        <f>IF($Y43="","",IF(INDEX($D$6:$D$40000,$Y43)="","",INDEX($D$6:$D$40000,$Y43)))</f>
        <v/>
      </c>
      <c r="AB43">
        <f>IF($Y43="","",INDEX($L$6:$L$40000,$Y43)&amp;"")</f>
        <v/>
      </c>
    </row>
    <row r="44">
      <c r="Y44" s="47">
        <f>IFERROR(MATCH(Library!M44,$M$6:$M$40000,0),"")</f>
        <v/>
      </c>
      <c r="Z44">
        <f>IF($Y44="","",INDEX($C$6:$C$40000,$Y44)&amp;"")</f>
        <v/>
      </c>
      <c r="AA44" s="59">
        <f>IF($Y44="","",IF(INDEX($D$6:$D$40000,$Y44)="","",INDEX($D$6:$D$40000,$Y44)))</f>
        <v/>
      </c>
      <c r="AB44">
        <f>IF($Y44="","",INDEX($L$6:$L$40000,$Y44)&amp;"")</f>
        <v/>
      </c>
    </row>
    <row r="45">
      <c r="Y45" s="47">
        <f>IFERROR(MATCH(Library!M45,$M$6:$M$40000,0),"")</f>
        <v/>
      </c>
      <c r="Z45">
        <f>IF($Y45="","",INDEX($C$6:$C$40000,$Y45)&amp;"")</f>
        <v/>
      </c>
      <c r="AA45" s="59">
        <f>IF($Y45="","",IF(INDEX($D$6:$D$40000,$Y45)="","",INDEX($D$6:$D$40000,$Y45)))</f>
        <v/>
      </c>
      <c r="AB45">
        <f>IF($Y45="","",INDEX($L$6:$L$40000,$Y45)&amp;"")</f>
        <v/>
      </c>
    </row>
    <row r="46">
      <c r="Y46" s="47">
        <f>IFERROR(MATCH(Library!M46,$M$6:$M$40000,0),"")</f>
        <v/>
      </c>
      <c r="Z46">
        <f>IF($Y46="","",INDEX($C$6:$C$40000,$Y46)&amp;"")</f>
        <v/>
      </c>
      <c r="AA46" s="59">
        <f>IF($Y46="","",IF(INDEX($D$6:$D$40000,$Y46)="","",INDEX($D$6:$D$40000,$Y46)))</f>
        <v/>
      </c>
      <c r="AB46">
        <f>IF($Y46="","",INDEX($L$6:$L$40000,$Y46)&amp;"")</f>
        <v/>
      </c>
    </row>
    <row r="47">
      <c r="Y47" s="47">
        <f>IFERROR(MATCH(Library!M47,$M$6:$M$40000,0),"")</f>
        <v/>
      </c>
      <c r="Z47">
        <f>IF($Y47="","",INDEX($C$6:$C$40000,$Y47)&amp;"")</f>
        <v/>
      </c>
      <c r="AA47" s="59">
        <f>IF($Y47="","",IF(INDEX($D$6:$D$40000,$Y47)="","",INDEX($D$6:$D$40000,$Y47)))</f>
        <v/>
      </c>
      <c r="AB47">
        <f>IF($Y47="","",INDEX($L$6:$L$40000,$Y47)&amp;"")</f>
        <v/>
      </c>
    </row>
    <row r="48">
      <c r="Y48" s="47">
        <f>IFERROR(MATCH(Library!M48,$M$6:$M$40000,0),"")</f>
        <v/>
      </c>
      <c r="Z48">
        <f>IF($Y48="","",INDEX($C$6:$C$40000,$Y48)&amp;"")</f>
        <v/>
      </c>
      <c r="AA48" s="59">
        <f>IF($Y48="","",IF(INDEX($D$6:$D$40000,$Y48)="","",INDEX($D$6:$D$40000,$Y48)))</f>
        <v/>
      </c>
      <c r="AB48">
        <f>IF($Y48="","",INDEX($L$6:$L$40000,$Y48)&amp;"")</f>
        <v/>
      </c>
    </row>
    <row r="49">
      <c r="Y49" s="47">
        <f>IFERROR(MATCH(Library!M49,$M$6:$M$40000,0),"")</f>
        <v/>
      </c>
      <c r="Z49">
        <f>IF($Y49="","",INDEX($C$6:$C$40000,$Y49)&amp;"")</f>
        <v/>
      </c>
      <c r="AA49" s="59">
        <f>IF($Y49="","",IF(INDEX($D$6:$D$40000,$Y49)="","",INDEX($D$6:$D$40000,$Y49)))</f>
        <v/>
      </c>
      <c r="AB49">
        <f>IF($Y49="","",INDEX($L$6:$L$40000,$Y49)&amp;"")</f>
        <v/>
      </c>
    </row>
    <row r="50">
      <c r="Y50" s="47">
        <f>IFERROR(MATCH(Library!M50,$M$6:$M$40000,0),"")</f>
        <v/>
      </c>
      <c r="Z50">
        <f>IF($Y50="","",INDEX($C$6:$C$40000,$Y50)&amp;"")</f>
        <v/>
      </c>
      <c r="AA50" s="59">
        <f>IF($Y50="","",IF(INDEX($D$6:$D$40000,$Y50)="","",INDEX($D$6:$D$40000,$Y50)))</f>
        <v/>
      </c>
      <c r="AB50">
        <f>IF($Y50="","",INDEX($L$6:$L$40000,$Y50)&amp;"")</f>
        <v/>
      </c>
    </row>
    <row r="51">
      <c r="Y51" s="47">
        <f>IFERROR(MATCH(Library!M51,$M$6:$M$40000,0),"")</f>
        <v/>
      </c>
      <c r="Z51">
        <f>IF($Y51="","",INDEX($C$6:$C$40000,$Y51)&amp;"")</f>
        <v/>
      </c>
      <c r="AA51" s="59">
        <f>IF($Y51="","",IF(INDEX($D$6:$D$40000,$Y51)="","",INDEX($D$6:$D$40000,$Y51)))</f>
        <v/>
      </c>
      <c r="AB51">
        <f>IF($Y51="","",INDEX($L$6:$L$40000,$Y51)&amp;"")</f>
        <v/>
      </c>
    </row>
    <row r="52">
      <c r="Y52" s="47">
        <f>IFERROR(MATCH(Library!M52,$M$6:$M$40000,0),"")</f>
        <v/>
      </c>
      <c r="Z52">
        <f>IF($Y52="","",INDEX($C$6:$C$40000,$Y52)&amp;"")</f>
        <v/>
      </c>
      <c r="AA52" s="59">
        <f>IF($Y52="","",IF(INDEX($D$6:$D$40000,$Y52)="","",INDEX($D$6:$D$40000,$Y52)))</f>
        <v/>
      </c>
      <c r="AB52">
        <f>IF($Y52="","",INDEX($L$6:$L$40000,$Y52)&amp;"")</f>
        <v/>
      </c>
    </row>
    <row r="53">
      <c r="Y53" s="47">
        <f>IFERROR(MATCH(Library!M53,$M$6:$M$40000,0),"")</f>
        <v/>
      </c>
      <c r="Z53">
        <f>IF($Y53="","",INDEX($C$6:$C$40000,$Y53)&amp;"")</f>
        <v/>
      </c>
      <c r="AA53" s="59">
        <f>IF($Y53="","",IF(INDEX($D$6:$D$40000,$Y53)="","",INDEX($D$6:$D$40000,$Y53)))</f>
        <v/>
      </c>
      <c r="AB53">
        <f>IF($Y53="","",INDEX($L$6:$L$40000,$Y53)&amp;"")</f>
        <v/>
      </c>
    </row>
    <row r="54">
      <c r="Y54" s="47">
        <f>IFERROR(MATCH(Library!M54,$M$6:$M$40000,0),"")</f>
        <v/>
      </c>
      <c r="Z54">
        <f>IF($Y54="","",INDEX($C$6:$C$40000,$Y54)&amp;"")</f>
        <v/>
      </c>
      <c r="AA54" s="59">
        <f>IF($Y54="","",IF(INDEX($D$6:$D$40000,$Y54)="","",INDEX($D$6:$D$40000,$Y54)))</f>
        <v/>
      </c>
      <c r="AB54">
        <f>IF($Y54="","",INDEX($L$6:$L$40000,$Y54)&amp;"")</f>
        <v/>
      </c>
    </row>
    <row r="55">
      <c r="Y55" s="47">
        <f>IFERROR(MATCH(Library!M55,$M$6:$M$40000,0),"")</f>
        <v/>
      </c>
      <c r="Z55">
        <f>IF($Y55="","",INDEX($C$6:$C$40000,$Y55)&amp;"")</f>
        <v/>
      </c>
      <c r="AA55" s="59">
        <f>IF($Y55="","",IF(INDEX($D$6:$D$40000,$Y55)="","",INDEX($D$6:$D$40000,$Y55)))</f>
        <v/>
      </c>
      <c r="AB55">
        <f>IF($Y55="","",INDEX($L$6:$L$40000,$Y55)&amp;"")</f>
        <v/>
      </c>
    </row>
    <row r="56">
      <c r="Y56" s="47">
        <f>IFERROR(MATCH(Library!M56,$M$6:$M$40000,0),"")</f>
        <v/>
      </c>
      <c r="Z56">
        <f>IF($Y56="","",INDEX($C$6:$C$40000,$Y56)&amp;"")</f>
        <v/>
      </c>
      <c r="AA56" s="59">
        <f>IF($Y56="","",IF(INDEX($D$6:$D$40000,$Y56)="","",INDEX($D$6:$D$40000,$Y56)))</f>
        <v/>
      </c>
      <c r="AB56">
        <f>IF($Y56="","",INDEX($L$6:$L$40000,$Y56)&amp;"")</f>
        <v/>
      </c>
    </row>
    <row r="57">
      <c r="Y57" s="47">
        <f>IFERROR(MATCH(Library!M57,$M$6:$M$40000,0),"")</f>
        <v/>
      </c>
      <c r="Z57">
        <f>IF($Y57="","",INDEX($C$6:$C$40000,$Y57)&amp;"")</f>
        <v/>
      </c>
      <c r="AA57" s="59">
        <f>IF($Y57="","",IF(INDEX($D$6:$D$40000,$Y57)="","",INDEX($D$6:$D$40000,$Y57)))</f>
        <v/>
      </c>
      <c r="AB57">
        <f>IF($Y57="","",INDEX($L$6:$L$40000,$Y57)&amp;"")</f>
        <v/>
      </c>
    </row>
    <row r="58">
      <c r="Y58" s="47">
        <f>IFERROR(MATCH(Library!M58,$M$6:$M$40000,0),"")</f>
        <v/>
      </c>
      <c r="Z58">
        <f>IF($Y58="","",INDEX($C$6:$C$40000,$Y58)&amp;"")</f>
        <v/>
      </c>
      <c r="AA58" s="59">
        <f>IF($Y58="","",IF(INDEX($D$6:$D$40000,$Y58)="","",INDEX($D$6:$D$40000,$Y58)))</f>
        <v/>
      </c>
      <c r="AB58">
        <f>IF($Y58="","",INDEX($L$6:$L$40000,$Y58)&amp;"")</f>
        <v/>
      </c>
    </row>
    <row r="59">
      <c r="Y59" s="47">
        <f>IFERROR(MATCH(Library!M59,$M$6:$M$40000,0),"")</f>
        <v/>
      </c>
      <c r="Z59">
        <f>IF($Y59="","",INDEX($C$6:$C$40000,$Y59)&amp;"")</f>
        <v/>
      </c>
      <c r="AA59" s="59">
        <f>IF($Y59="","",IF(INDEX($D$6:$D$40000,$Y59)="","",INDEX($D$6:$D$40000,$Y59)))</f>
        <v/>
      </c>
      <c r="AB59">
        <f>IF($Y59="","",INDEX($L$6:$L$40000,$Y59)&amp;"")</f>
        <v/>
      </c>
    </row>
    <row r="60">
      <c r="Y60" s="47">
        <f>IFERROR(MATCH(Library!M60,$M$6:$M$40000,0),"")</f>
        <v/>
      </c>
      <c r="Z60">
        <f>IF($Y60="","",INDEX($C$6:$C$40000,$Y60)&amp;"")</f>
        <v/>
      </c>
      <c r="AA60" s="59">
        <f>IF($Y60="","",IF(INDEX($D$6:$D$40000,$Y60)="","",INDEX($D$6:$D$40000,$Y60)))</f>
        <v/>
      </c>
      <c r="AB60">
        <f>IF($Y60="","",INDEX($L$6:$L$40000,$Y60)&amp;"")</f>
        <v/>
      </c>
    </row>
    <row r="61">
      <c r="Y61" s="47">
        <f>IFERROR(MATCH(Library!M61,$M$6:$M$40000,0),"")</f>
        <v/>
      </c>
      <c r="Z61">
        <f>IF($Y61="","",INDEX($C$6:$C$40000,$Y61)&amp;"")</f>
        <v/>
      </c>
      <c r="AA61" s="59">
        <f>IF($Y61="","",IF(INDEX($D$6:$D$40000,$Y61)="","",INDEX($D$6:$D$40000,$Y61)))</f>
        <v/>
      </c>
      <c r="AB61">
        <f>IF($Y61="","",INDEX($L$6:$L$40000,$Y61)&amp;"")</f>
        <v/>
      </c>
    </row>
    <row r="62">
      <c r="Y62" s="47">
        <f>IFERROR(MATCH(Library!M62,$M$6:$M$40000,0),"")</f>
        <v/>
      </c>
      <c r="Z62">
        <f>IF($Y62="","",INDEX($C$6:$C$40000,$Y62)&amp;"")</f>
        <v/>
      </c>
      <c r="AA62" s="59">
        <f>IF($Y62="","",IF(INDEX($D$6:$D$40000,$Y62)="","",INDEX($D$6:$D$40000,$Y62)))</f>
        <v/>
      </c>
      <c r="AB62">
        <f>IF($Y62="","",INDEX($L$6:$L$40000,$Y62)&amp;"")</f>
        <v/>
      </c>
    </row>
    <row r="63">
      <c r="Y63" s="47">
        <f>IFERROR(MATCH(Library!M63,$M$6:$M$40000,0),"")</f>
        <v/>
      </c>
      <c r="Z63">
        <f>IF($Y63="","",INDEX($C$6:$C$40000,$Y63)&amp;"")</f>
        <v/>
      </c>
      <c r="AA63" s="59">
        <f>IF($Y63="","",IF(INDEX($D$6:$D$40000,$Y63)="","",INDEX($D$6:$D$40000,$Y63)))</f>
        <v/>
      </c>
      <c r="AB63">
        <f>IF($Y63="","",INDEX($L$6:$L$40000,$Y63)&amp;"")</f>
        <v/>
      </c>
    </row>
    <row r="64">
      <c r="Y64" s="47">
        <f>IFERROR(MATCH(Library!M64,$M$6:$M$40000,0),"")</f>
        <v/>
      </c>
      <c r="Z64">
        <f>IF($Y64="","",INDEX($C$6:$C$40000,$Y64)&amp;"")</f>
        <v/>
      </c>
      <c r="AA64" s="59">
        <f>IF($Y64="","",IF(INDEX($D$6:$D$40000,$Y64)="","",INDEX($D$6:$D$40000,$Y64)))</f>
        <v/>
      </c>
      <c r="AB64">
        <f>IF($Y64="","",INDEX($L$6:$L$40000,$Y64)&amp;"")</f>
        <v/>
      </c>
    </row>
    <row r="65">
      <c r="Y65" s="47">
        <f>IFERROR(MATCH(Library!M65,$M$6:$M$40000,0),"")</f>
        <v/>
      </c>
      <c r="Z65">
        <f>IF($Y65="","",INDEX($C$6:$C$40000,$Y65)&amp;"")</f>
        <v/>
      </c>
      <c r="AA65" s="59">
        <f>IF($Y65="","",IF(INDEX($D$6:$D$40000,$Y65)="","",INDEX($D$6:$D$40000,$Y65)))</f>
        <v/>
      </c>
      <c r="AB65">
        <f>IF($Y65="","",INDEX($L$6:$L$40000,$Y65)&amp;"")</f>
        <v/>
      </c>
    </row>
    <row r="66">
      <c r="Y66" s="47">
        <f>IFERROR(MATCH(Library!M66,$M$6:$M$40000,0),"")</f>
        <v/>
      </c>
      <c r="Z66">
        <f>IF($Y66="","",INDEX($C$6:$C$40000,$Y66)&amp;"")</f>
        <v/>
      </c>
      <c r="AA66" s="59">
        <f>IF($Y66="","",IF(INDEX($D$6:$D$40000,$Y66)="","",INDEX($D$6:$D$40000,$Y66)))</f>
        <v/>
      </c>
      <c r="AB66">
        <f>IF($Y66="","",INDEX($L$6:$L$40000,$Y66)&amp;"")</f>
        <v/>
      </c>
    </row>
    <row r="67">
      <c r="Y67" s="47">
        <f>IFERROR(MATCH(Library!M67,$M$6:$M$40000,0),"")</f>
        <v/>
      </c>
      <c r="Z67">
        <f>IF($Y67="","",INDEX($C$6:$C$40000,$Y67)&amp;"")</f>
        <v/>
      </c>
      <c r="AA67" s="59">
        <f>IF($Y67="","",IF(INDEX($D$6:$D$40000,$Y67)="","",INDEX($D$6:$D$40000,$Y67)))</f>
        <v/>
      </c>
      <c r="AB67">
        <f>IF($Y67="","",INDEX($L$6:$L$40000,$Y67)&amp;"")</f>
        <v/>
      </c>
    </row>
    <row r="68">
      <c r="Y68" s="47">
        <f>IFERROR(MATCH(Library!M68,$M$6:$M$40000,0),"")</f>
        <v/>
      </c>
      <c r="Z68">
        <f>IF($Y68="","",INDEX($C$6:$C$40000,$Y68)&amp;"")</f>
        <v/>
      </c>
      <c r="AA68" s="59">
        <f>IF($Y68="","",IF(INDEX($D$6:$D$40000,$Y68)="","",INDEX($D$6:$D$40000,$Y68)))</f>
        <v/>
      </c>
      <c r="AB68">
        <f>IF($Y68="","",INDEX($L$6:$L$40000,$Y68)&amp;"")</f>
        <v/>
      </c>
    </row>
    <row r="69">
      <c r="Y69" s="47">
        <f>IFERROR(MATCH(Library!M69,$M$6:$M$40000,0),"")</f>
        <v/>
      </c>
      <c r="Z69">
        <f>IF($Y69="","",INDEX($C$6:$C$40000,$Y69)&amp;"")</f>
        <v/>
      </c>
      <c r="AA69" s="59">
        <f>IF($Y69="","",IF(INDEX($D$6:$D$40000,$Y69)="","",INDEX($D$6:$D$40000,$Y69)))</f>
        <v/>
      </c>
      <c r="AB69">
        <f>IF($Y69="","",INDEX($L$6:$L$40000,$Y69)&amp;"")</f>
        <v/>
      </c>
    </row>
    <row r="70">
      <c r="Y70" s="47">
        <f>IFERROR(MATCH(Library!M70,$M$6:$M$40000,0),"")</f>
        <v/>
      </c>
      <c r="Z70">
        <f>IF($Y70="","",INDEX($C$6:$C$40000,$Y70)&amp;"")</f>
        <v/>
      </c>
      <c r="AA70" s="59">
        <f>IF($Y70="","",IF(INDEX($D$6:$D$40000,$Y70)="","",INDEX($D$6:$D$40000,$Y70)))</f>
        <v/>
      </c>
      <c r="AB70">
        <f>IF($Y70="","",INDEX($L$6:$L$40000,$Y70)&amp;"")</f>
        <v/>
      </c>
    </row>
    <row r="71">
      <c r="Y71" s="47">
        <f>IFERROR(MATCH(Library!M71,$M$6:$M$40000,0),"")</f>
        <v/>
      </c>
      <c r="Z71">
        <f>IF($Y71="","",INDEX($C$6:$C$40000,$Y71)&amp;"")</f>
        <v/>
      </c>
      <c r="AA71" s="59">
        <f>IF($Y71="","",IF(INDEX($D$6:$D$40000,$Y71)="","",INDEX($D$6:$D$40000,$Y71)))</f>
        <v/>
      </c>
      <c r="AB71">
        <f>IF($Y71="","",INDEX($L$6:$L$40000,$Y71)&amp;"")</f>
        <v/>
      </c>
    </row>
    <row r="72">
      <c r="Y72" s="47">
        <f>IFERROR(MATCH(Library!M72,$M$6:$M$40000,0),"")</f>
        <v/>
      </c>
      <c r="Z72">
        <f>IF($Y72="","",INDEX($C$6:$C$40000,$Y72)&amp;"")</f>
        <v/>
      </c>
      <c r="AA72" s="59">
        <f>IF($Y72="","",IF(INDEX($D$6:$D$40000,$Y72)="","",INDEX($D$6:$D$40000,$Y72)))</f>
        <v/>
      </c>
      <c r="AB72">
        <f>IF($Y72="","",INDEX($L$6:$L$40000,$Y72)&amp;"")</f>
        <v/>
      </c>
    </row>
    <row r="73">
      <c r="Y73" s="47">
        <f>IFERROR(MATCH(Library!M73,$M$6:$M$40000,0),"")</f>
        <v/>
      </c>
      <c r="Z73">
        <f>IF($Y73="","",INDEX($C$6:$C$40000,$Y73)&amp;"")</f>
        <v/>
      </c>
      <c r="AA73" s="59">
        <f>IF($Y73="","",IF(INDEX($D$6:$D$40000,$Y73)="","",INDEX($D$6:$D$40000,$Y73)))</f>
        <v/>
      </c>
      <c r="AB73">
        <f>IF($Y73="","",INDEX($L$6:$L$40000,$Y73)&amp;"")</f>
        <v/>
      </c>
    </row>
    <row r="74">
      <c r="Y74" s="47">
        <f>IFERROR(MATCH(Library!M74,$M$6:$M$40000,0),"")</f>
        <v/>
      </c>
      <c r="Z74">
        <f>IF($Y74="","",INDEX($C$6:$C$40000,$Y74)&amp;"")</f>
        <v/>
      </c>
      <c r="AA74" s="59">
        <f>IF($Y74="","",IF(INDEX($D$6:$D$40000,$Y74)="","",INDEX($D$6:$D$40000,$Y74)))</f>
        <v/>
      </c>
      <c r="AB74">
        <f>IF($Y74="","",INDEX($L$6:$L$40000,$Y74)&amp;"")</f>
        <v/>
      </c>
    </row>
    <row r="75">
      <c r="Y75" s="47">
        <f>IFERROR(MATCH(Library!M75,$M$6:$M$40000,0),"")</f>
        <v/>
      </c>
      <c r="Z75">
        <f>IF($Y75="","",INDEX($C$6:$C$40000,$Y75)&amp;"")</f>
        <v/>
      </c>
      <c r="AA75" s="59">
        <f>IF($Y75="","",IF(INDEX($D$6:$D$40000,$Y75)="","",INDEX($D$6:$D$40000,$Y75)))</f>
        <v/>
      </c>
      <c r="AB75">
        <f>IF($Y75="","",INDEX($L$6:$L$40000,$Y75)&amp;"")</f>
        <v/>
      </c>
    </row>
    <row r="76">
      <c r="Y76" s="47">
        <f>IFERROR(MATCH(Library!M76,$M$6:$M$40000,0),"")</f>
        <v/>
      </c>
      <c r="Z76">
        <f>IF($Y76="","",INDEX($C$6:$C$40000,$Y76)&amp;"")</f>
        <v/>
      </c>
      <c r="AA76" s="59">
        <f>IF($Y76="","",IF(INDEX($D$6:$D$40000,$Y76)="","",INDEX($D$6:$D$40000,$Y76)))</f>
        <v/>
      </c>
      <c r="AB76">
        <f>IF($Y76="","",INDEX($L$6:$L$40000,$Y76)&amp;"")</f>
        <v/>
      </c>
    </row>
    <row r="77">
      <c r="Y77" s="47">
        <f>IFERROR(MATCH(Library!M77,$M$6:$M$40000,0),"")</f>
        <v/>
      </c>
      <c r="Z77">
        <f>IF($Y77="","",INDEX($C$6:$C$40000,$Y77)&amp;"")</f>
        <v/>
      </c>
      <c r="AA77" s="59">
        <f>IF($Y77="","",IF(INDEX($D$6:$D$40000,$Y77)="","",INDEX($D$6:$D$40000,$Y77)))</f>
        <v/>
      </c>
      <c r="AB77">
        <f>IF($Y77="","",INDEX($L$6:$L$40000,$Y77)&amp;"")</f>
        <v/>
      </c>
    </row>
    <row r="78">
      <c r="Y78" s="47">
        <f>IFERROR(MATCH(Library!M78,$M$6:$M$40000,0),"")</f>
        <v/>
      </c>
      <c r="Z78">
        <f>IF($Y78="","",INDEX($C$6:$C$40000,$Y78)&amp;"")</f>
        <v/>
      </c>
      <c r="AA78" s="59">
        <f>IF($Y78="","",IF(INDEX($D$6:$D$40000,$Y78)="","",INDEX($D$6:$D$40000,$Y78)))</f>
        <v/>
      </c>
      <c r="AB78">
        <f>IF($Y78="","",INDEX($L$6:$L$40000,$Y78)&amp;"")</f>
        <v/>
      </c>
    </row>
    <row r="79">
      <c r="Y79" s="47">
        <f>IFERROR(MATCH(Library!M79,$M$6:$M$40000,0),"")</f>
        <v/>
      </c>
      <c r="Z79">
        <f>IF($Y79="","",INDEX($C$6:$C$40000,$Y79)&amp;"")</f>
        <v/>
      </c>
      <c r="AA79" s="59">
        <f>IF($Y79="","",IF(INDEX($D$6:$D$40000,$Y79)="","",INDEX($D$6:$D$40000,$Y79)))</f>
        <v/>
      </c>
      <c r="AB79">
        <f>IF($Y79="","",INDEX($L$6:$L$40000,$Y79)&amp;"")</f>
        <v/>
      </c>
    </row>
    <row r="80">
      <c r="Y80" s="47">
        <f>IFERROR(MATCH(Library!M80,$M$6:$M$40000,0),"")</f>
        <v/>
      </c>
      <c r="Z80">
        <f>IF($Y80="","",INDEX($C$6:$C$40000,$Y80)&amp;"")</f>
        <v/>
      </c>
      <c r="AA80" s="59">
        <f>IF($Y80="","",IF(INDEX($D$6:$D$40000,$Y80)="","",INDEX($D$6:$D$40000,$Y80)))</f>
        <v/>
      </c>
      <c r="AB80">
        <f>IF($Y80="","",INDEX($L$6:$L$40000,$Y80)&amp;"")</f>
        <v/>
      </c>
    </row>
    <row r="81">
      <c r="Y81" s="47">
        <f>IFERROR(MATCH(Library!M81,$M$6:$M$40000,0),"")</f>
        <v/>
      </c>
      <c r="Z81">
        <f>IF($Y81="","",INDEX($C$6:$C$40000,$Y81)&amp;"")</f>
        <v/>
      </c>
      <c r="AA81" s="59">
        <f>IF($Y81="","",IF(INDEX($D$6:$D$40000,$Y81)="","",INDEX($D$6:$D$40000,$Y81)))</f>
        <v/>
      </c>
      <c r="AB81">
        <f>IF($Y81="","",INDEX($L$6:$L$40000,$Y81)&amp;"")</f>
        <v/>
      </c>
    </row>
    <row r="82">
      <c r="Y82" s="47">
        <f>IFERROR(MATCH(Library!M82,$M$6:$M$40000,0),"")</f>
        <v/>
      </c>
      <c r="Z82">
        <f>IF($Y82="","",INDEX($C$6:$C$40000,$Y82)&amp;"")</f>
        <v/>
      </c>
      <c r="AA82" s="59">
        <f>IF($Y82="","",IF(INDEX($D$6:$D$40000,$Y82)="","",INDEX($D$6:$D$40000,$Y82)))</f>
        <v/>
      </c>
      <c r="AB82">
        <f>IF($Y82="","",INDEX($L$6:$L$40000,$Y82)&amp;"")</f>
        <v/>
      </c>
    </row>
    <row r="83">
      <c r="Y83" s="47">
        <f>IFERROR(MATCH(Library!M83,$M$6:$M$40000,0),"")</f>
        <v/>
      </c>
      <c r="Z83">
        <f>IF($Y83="","",INDEX($C$6:$C$40000,$Y83)&amp;"")</f>
        <v/>
      </c>
      <c r="AA83" s="59">
        <f>IF($Y83="","",IF(INDEX($D$6:$D$40000,$Y83)="","",INDEX($D$6:$D$40000,$Y83)))</f>
        <v/>
      </c>
      <c r="AB83">
        <f>IF($Y83="","",INDEX($L$6:$L$40000,$Y83)&amp;"")</f>
        <v/>
      </c>
    </row>
    <row r="84">
      <c r="Y84" s="47">
        <f>IFERROR(MATCH(Library!M84,$M$6:$M$40000,0),"")</f>
        <v/>
      </c>
      <c r="Z84">
        <f>IF($Y84="","",INDEX($C$6:$C$40000,$Y84)&amp;"")</f>
        <v/>
      </c>
      <c r="AA84" s="59">
        <f>IF($Y84="","",IF(INDEX($D$6:$D$40000,$Y84)="","",INDEX($D$6:$D$40000,$Y84)))</f>
        <v/>
      </c>
      <c r="AB84">
        <f>IF($Y84="","",INDEX($L$6:$L$40000,$Y84)&amp;"")</f>
        <v/>
      </c>
    </row>
    <row r="85">
      <c r="Y85" s="47">
        <f>IFERROR(MATCH(Library!M85,$M$6:$M$40000,0),"")</f>
        <v/>
      </c>
      <c r="Z85">
        <f>IF($Y85="","",INDEX($C$6:$C$40000,$Y85)&amp;"")</f>
        <v/>
      </c>
      <c r="AA85" s="59">
        <f>IF($Y85="","",IF(INDEX($D$6:$D$40000,$Y85)="","",INDEX($D$6:$D$40000,$Y85)))</f>
        <v/>
      </c>
      <c r="AB85">
        <f>IF($Y85="","",INDEX($L$6:$L$40000,$Y85)&amp;"")</f>
        <v/>
      </c>
    </row>
    <row r="86">
      <c r="Y86" s="47">
        <f>IFERROR(MATCH(Library!M86,$M$6:$M$40000,0),"")</f>
        <v/>
      </c>
      <c r="Z86">
        <f>IF($Y86="","",INDEX($C$6:$C$40000,$Y86)&amp;"")</f>
        <v/>
      </c>
      <c r="AA86" s="59">
        <f>IF($Y86="","",IF(INDEX($D$6:$D$40000,$Y86)="","",INDEX($D$6:$D$40000,$Y86)))</f>
        <v/>
      </c>
      <c r="AB86">
        <f>IF($Y86="","",INDEX($L$6:$L$40000,$Y86)&amp;"")</f>
        <v/>
      </c>
    </row>
    <row r="87">
      <c r="Y87" s="47">
        <f>IFERROR(MATCH(Library!M87,$M$6:$M$40000,0),"")</f>
        <v/>
      </c>
      <c r="Z87">
        <f>IF($Y87="","",INDEX($C$6:$C$40000,$Y87)&amp;"")</f>
        <v/>
      </c>
      <c r="AA87" s="59">
        <f>IF($Y87="","",IF(INDEX($D$6:$D$40000,$Y87)="","",INDEX($D$6:$D$40000,$Y87)))</f>
        <v/>
      </c>
      <c r="AB87">
        <f>IF($Y87="","",INDEX($L$6:$L$40000,$Y87)&amp;"")</f>
        <v/>
      </c>
    </row>
    <row r="88">
      <c r="Y88" s="47">
        <f>IFERROR(MATCH(Library!M88,$M$6:$M$40000,0),"")</f>
        <v/>
      </c>
      <c r="Z88">
        <f>IF($Y88="","",INDEX($C$6:$C$40000,$Y88)&amp;"")</f>
        <v/>
      </c>
      <c r="AA88" s="59">
        <f>IF($Y88="","",IF(INDEX($D$6:$D$40000,$Y88)="","",INDEX($D$6:$D$40000,$Y88)))</f>
        <v/>
      </c>
      <c r="AB88">
        <f>IF($Y88="","",INDEX($L$6:$L$40000,$Y88)&amp;"")</f>
        <v/>
      </c>
    </row>
    <row r="89">
      <c r="Y89" s="47">
        <f>IFERROR(MATCH(Library!M89,$M$6:$M$40000,0),"")</f>
        <v/>
      </c>
      <c r="Z89">
        <f>IF($Y89="","",INDEX($C$6:$C$40000,$Y89)&amp;"")</f>
        <v/>
      </c>
      <c r="AA89" s="59">
        <f>IF($Y89="","",IF(INDEX($D$6:$D$40000,$Y89)="","",INDEX($D$6:$D$40000,$Y89)))</f>
        <v/>
      </c>
      <c r="AB89">
        <f>IF($Y89="","",INDEX($L$6:$L$40000,$Y89)&amp;"")</f>
        <v/>
      </c>
    </row>
    <row r="90">
      <c r="Y90" s="47">
        <f>IFERROR(MATCH(Library!M90,$M$6:$M$40000,0),"")</f>
        <v/>
      </c>
      <c r="Z90">
        <f>IF($Y90="","",INDEX($C$6:$C$40000,$Y90)&amp;"")</f>
        <v/>
      </c>
      <c r="AA90" s="59">
        <f>IF($Y90="","",IF(INDEX($D$6:$D$40000,$Y90)="","",INDEX($D$6:$D$40000,$Y90)))</f>
        <v/>
      </c>
      <c r="AB90">
        <f>IF($Y90="","",INDEX($L$6:$L$40000,$Y90)&amp;"")</f>
        <v/>
      </c>
    </row>
    <row r="91">
      <c r="Y91" s="47">
        <f>IFERROR(MATCH(Library!M91,$M$6:$M$40000,0),"")</f>
        <v/>
      </c>
      <c r="Z91">
        <f>IF($Y91="","",INDEX($C$6:$C$40000,$Y91)&amp;"")</f>
        <v/>
      </c>
      <c r="AA91" s="59">
        <f>IF($Y91="","",IF(INDEX($D$6:$D$40000,$Y91)="","",INDEX($D$6:$D$40000,$Y91)))</f>
        <v/>
      </c>
      <c r="AB91">
        <f>IF($Y91="","",INDEX($L$6:$L$40000,$Y91)&amp;"")</f>
        <v/>
      </c>
    </row>
    <row r="92">
      <c r="Y92" s="47">
        <f>IFERROR(MATCH(Library!M92,$M$6:$M$40000,0),"")</f>
        <v/>
      </c>
      <c r="Z92">
        <f>IF($Y92="","",INDEX($C$6:$C$40000,$Y92)&amp;"")</f>
        <v/>
      </c>
      <c r="AA92" s="59">
        <f>IF($Y92="","",IF(INDEX($D$6:$D$40000,$Y92)="","",INDEX($D$6:$D$40000,$Y92)))</f>
        <v/>
      </c>
      <c r="AB92">
        <f>IF($Y92="","",INDEX($L$6:$L$40000,$Y92)&amp;"")</f>
        <v/>
      </c>
    </row>
    <row r="93">
      <c r="Y93" s="47">
        <f>IFERROR(MATCH(Library!M93,$M$6:$M$40000,0),"")</f>
        <v/>
      </c>
      <c r="Z93">
        <f>IF($Y93="","",INDEX($C$6:$C$40000,$Y93)&amp;"")</f>
        <v/>
      </c>
      <c r="AA93" s="59">
        <f>IF($Y93="","",IF(INDEX($D$6:$D$40000,$Y93)="","",INDEX($D$6:$D$40000,$Y93)))</f>
        <v/>
      </c>
      <c r="AB93">
        <f>IF($Y93="","",INDEX($L$6:$L$40000,$Y93)&amp;"")</f>
        <v/>
      </c>
    </row>
    <row r="94">
      <c r="Y94" s="47">
        <f>IFERROR(MATCH(Library!M94,$M$6:$M$40000,0),"")</f>
        <v/>
      </c>
      <c r="Z94">
        <f>IF($Y94="","",INDEX($C$6:$C$40000,$Y94)&amp;"")</f>
        <v/>
      </c>
      <c r="AA94" s="59">
        <f>IF($Y94="","",IF(INDEX($D$6:$D$40000,$Y94)="","",INDEX($D$6:$D$40000,$Y94)))</f>
        <v/>
      </c>
      <c r="AB94">
        <f>IF($Y94="","",INDEX($L$6:$L$40000,$Y94)&amp;"")</f>
        <v/>
      </c>
    </row>
    <row r="95">
      <c r="Y95" s="47">
        <f>IFERROR(MATCH(Library!M95,$M$6:$M$40000,0),"")</f>
        <v/>
      </c>
      <c r="Z95">
        <f>IF($Y95="","",INDEX($C$6:$C$40000,$Y95)&amp;"")</f>
        <v/>
      </c>
      <c r="AA95" s="59">
        <f>IF($Y95="","",IF(INDEX($D$6:$D$40000,$Y95)="","",INDEX($D$6:$D$40000,$Y95)))</f>
        <v/>
      </c>
      <c r="AB95">
        <f>IF($Y95="","",INDEX($L$6:$L$40000,$Y95)&amp;"")</f>
        <v/>
      </c>
    </row>
    <row r="96">
      <c r="Y96" s="47">
        <f>IFERROR(MATCH(Library!M96,$M$6:$M$40000,0),"")</f>
        <v/>
      </c>
      <c r="Z96">
        <f>IF($Y96="","",INDEX($C$6:$C$40000,$Y96)&amp;"")</f>
        <v/>
      </c>
      <c r="AA96" s="59">
        <f>IF($Y96="","",IF(INDEX($D$6:$D$40000,$Y96)="","",INDEX($D$6:$D$40000,$Y96)))</f>
        <v/>
      </c>
      <c r="AB96">
        <f>IF($Y96="","",INDEX($L$6:$L$40000,$Y96)&amp;"")</f>
        <v/>
      </c>
    </row>
    <row r="97">
      <c r="Y97" s="47">
        <f>IFERROR(MATCH(Library!M97,$M$6:$M$40000,0),"")</f>
        <v/>
      </c>
      <c r="Z97">
        <f>IF($Y97="","",INDEX($C$6:$C$40000,$Y97)&amp;"")</f>
        <v/>
      </c>
      <c r="AA97" s="59">
        <f>IF($Y97="","",IF(INDEX($D$6:$D$40000,$Y97)="","",INDEX($D$6:$D$40000,$Y97)))</f>
        <v/>
      </c>
      <c r="AB97">
        <f>IF($Y97="","",INDEX($L$6:$L$40000,$Y97)&amp;"")</f>
        <v/>
      </c>
    </row>
    <row r="98">
      <c r="Y98" s="47">
        <f>IFERROR(MATCH(Library!M98,$M$6:$M$40000,0),"")</f>
        <v/>
      </c>
      <c r="Z98">
        <f>IF($Y98="","",INDEX($C$6:$C$40000,$Y98)&amp;"")</f>
        <v/>
      </c>
      <c r="AA98" s="59">
        <f>IF($Y98="","",IF(INDEX($D$6:$D$40000,$Y98)="","",INDEX($D$6:$D$40000,$Y98)))</f>
        <v/>
      </c>
      <c r="AB98">
        <f>IF($Y98="","",INDEX($L$6:$L$40000,$Y98)&amp;"")</f>
        <v/>
      </c>
    </row>
    <row r="99">
      <c r="Y99" s="47">
        <f>IFERROR(MATCH(Library!M99,$M$6:$M$40000,0),"")</f>
        <v/>
      </c>
      <c r="Z99">
        <f>IF($Y99="","",INDEX($C$6:$C$40000,$Y99)&amp;"")</f>
        <v/>
      </c>
      <c r="AA99" s="59">
        <f>IF($Y99="","",IF(INDEX($D$6:$D$40000,$Y99)="","",INDEX($D$6:$D$40000,$Y99)))</f>
        <v/>
      </c>
      <c r="AB99">
        <f>IF($Y99="","",INDEX($L$6:$L$40000,$Y99)&amp;"")</f>
        <v/>
      </c>
    </row>
    <row r="100">
      <c r="Y100" s="47">
        <f>IFERROR(MATCH(Library!M100,$M$6:$M$40000,0),"")</f>
        <v/>
      </c>
      <c r="Z100">
        <f>IF($Y100="","",INDEX($C$6:$C$40000,$Y100)&amp;"")</f>
        <v/>
      </c>
      <c r="AA100" s="59">
        <f>IF($Y100="","",IF(INDEX($D$6:$D$40000,$Y100)="","",INDEX($D$6:$D$40000,$Y100)))</f>
        <v/>
      </c>
      <c r="AB100">
        <f>IF($Y100="","",INDEX($L$6:$L$40000,$Y100)&amp;"")</f>
        <v/>
      </c>
    </row>
    <row r="101">
      <c r="Y101" s="47">
        <f>IFERROR(MATCH(Library!M101,$M$6:$M$40000,0),"")</f>
        <v/>
      </c>
      <c r="Z101">
        <f>IF($Y101="","",INDEX($C$6:$C$40000,$Y101)&amp;"")</f>
        <v/>
      </c>
      <c r="AA101" s="59">
        <f>IF($Y101="","",IF(INDEX($D$6:$D$40000,$Y101)="","",INDEX($D$6:$D$40000,$Y101)))</f>
        <v/>
      </c>
      <c r="AB101">
        <f>IF($Y101="","",INDEX($L$6:$L$40000,$Y101)&amp;"")</f>
        <v/>
      </c>
    </row>
    <row r="102">
      <c r="Y102" s="47">
        <f>IFERROR(MATCH(Library!M102,$M$6:$M$40000,0),"")</f>
        <v/>
      </c>
      <c r="Z102">
        <f>IF($Y102="","",INDEX($C$6:$C$40000,$Y102)&amp;"")</f>
        <v/>
      </c>
      <c r="AA102" s="59">
        <f>IF($Y102="","",IF(INDEX($D$6:$D$40000,$Y102)="","",INDEX($D$6:$D$40000,$Y102)))</f>
        <v/>
      </c>
      <c r="AB102">
        <f>IF($Y102="","",INDEX($L$6:$L$40000,$Y102)&amp;"")</f>
        <v/>
      </c>
    </row>
    <row r="103">
      <c r="Y103" s="47">
        <f>IFERROR(MATCH(Library!M103,$M$6:$M$40000,0),"")</f>
        <v/>
      </c>
      <c r="Z103">
        <f>IF($Y103="","",INDEX($C$6:$C$40000,$Y103)&amp;"")</f>
        <v/>
      </c>
      <c r="AA103" s="59">
        <f>IF($Y103="","",IF(INDEX($D$6:$D$40000,$Y103)="","",INDEX($D$6:$D$40000,$Y103)))</f>
        <v/>
      </c>
      <c r="AB103">
        <f>IF($Y103="","",INDEX($L$6:$L$40000,$Y103)&amp;"")</f>
        <v/>
      </c>
    </row>
    <row r="104">
      <c r="Y104" s="47">
        <f>IFERROR(MATCH(Library!M104,$M$6:$M$40000,0),"")</f>
        <v/>
      </c>
      <c r="Z104">
        <f>IF($Y104="","",INDEX($C$6:$C$40000,$Y104)&amp;"")</f>
        <v/>
      </c>
      <c r="AA104" s="59">
        <f>IF($Y104="","",IF(INDEX($D$6:$D$40000,$Y104)="","",INDEX($D$6:$D$40000,$Y104)))</f>
        <v/>
      </c>
      <c r="AB104">
        <f>IF($Y104="","",INDEX($L$6:$L$40000,$Y104)&amp;"")</f>
        <v/>
      </c>
    </row>
    <row r="105">
      <c r="Y105" s="47">
        <f>IFERROR(MATCH(Library!M105,$M$6:$M$40000,0),"")</f>
        <v/>
      </c>
      <c r="Z105">
        <f>IF($Y105="","",INDEX($C$6:$C$40000,$Y105)&amp;"")</f>
        <v/>
      </c>
      <c r="AA105" s="59">
        <f>IF($Y105="","",IF(INDEX($D$6:$D$40000,$Y105)="","",INDEX($D$6:$D$40000,$Y105)))</f>
        <v/>
      </c>
      <c r="AB105">
        <f>IF($Y105="","",INDEX($L$6:$L$40000,$Y105)&amp;"")</f>
        <v/>
      </c>
    </row>
    <row r="106">
      <c r="Y106" s="47">
        <f>IFERROR(MATCH(Library!M106,$M$6:$M$40000,0),"")</f>
        <v/>
      </c>
      <c r="Z106">
        <f>IF($Y106="","",INDEX($C$6:$C$40000,$Y106)&amp;"")</f>
        <v/>
      </c>
      <c r="AA106" s="59">
        <f>IF($Y106="","",IF(INDEX($D$6:$D$40000,$Y106)="","",INDEX($D$6:$D$40000,$Y106)))</f>
        <v/>
      </c>
      <c r="AB106">
        <f>IF($Y106="","",INDEX($L$6:$L$40000,$Y106)&amp;"")</f>
        <v/>
      </c>
    </row>
    <row r="107">
      <c r="Y107" s="47">
        <f>IFERROR(MATCH(Library!M107,$M$6:$M$40000,0),"")</f>
        <v/>
      </c>
      <c r="Z107">
        <f>IF($Y107="","",INDEX($C$6:$C$40000,$Y107)&amp;"")</f>
        <v/>
      </c>
      <c r="AA107" s="59">
        <f>IF($Y107="","",IF(INDEX($D$6:$D$40000,$Y107)="","",INDEX($D$6:$D$40000,$Y107)))</f>
        <v/>
      </c>
      <c r="AB107">
        <f>IF($Y107="","",INDEX($L$6:$L$40000,$Y107)&amp;"")</f>
        <v/>
      </c>
    </row>
    <row r="108">
      <c r="Y108" s="47">
        <f>IFERROR(MATCH(Library!M108,$M$6:$M$40000,0),"")</f>
        <v/>
      </c>
      <c r="Z108">
        <f>IF($Y108="","",INDEX($C$6:$C$40000,$Y108)&amp;"")</f>
        <v/>
      </c>
      <c r="AA108" s="59">
        <f>IF($Y108="","",IF(INDEX($D$6:$D$40000,$Y108)="","",INDEX($D$6:$D$40000,$Y108)))</f>
        <v/>
      </c>
      <c r="AB108">
        <f>IF($Y108="","",INDEX($L$6:$L$40000,$Y108)&amp;"")</f>
        <v/>
      </c>
    </row>
    <row r="109">
      <c r="Y109" s="47">
        <f>IFERROR(MATCH(Library!M109,$M$6:$M$40000,0),"")</f>
        <v/>
      </c>
      <c r="Z109">
        <f>IF($Y109="","",INDEX($C$6:$C$40000,$Y109)&amp;"")</f>
        <v/>
      </c>
      <c r="AA109" s="59">
        <f>IF($Y109="","",IF(INDEX($D$6:$D$40000,$Y109)="","",INDEX($D$6:$D$40000,$Y109)))</f>
        <v/>
      </c>
      <c r="AB109">
        <f>IF($Y109="","",INDEX($L$6:$L$40000,$Y109)&amp;"")</f>
        <v/>
      </c>
    </row>
    <row r="110">
      <c r="Y110" s="47">
        <f>IFERROR(MATCH(Library!M110,$M$6:$M$40000,0),"")</f>
        <v/>
      </c>
      <c r="Z110">
        <f>IF($Y110="","",INDEX($C$6:$C$40000,$Y110)&amp;"")</f>
        <v/>
      </c>
      <c r="AA110" s="59">
        <f>IF($Y110="","",IF(INDEX($D$6:$D$40000,$Y110)="","",INDEX($D$6:$D$40000,$Y110)))</f>
        <v/>
      </c>
      <c r="AB110">
        <f>IF($Y110="","",INDEX($L$6:$L$40000,$Y110)&amp;"")</f>
        <v/>
      </c>
    </row>
    <row r="111">
      <c r="Y111" s="47">
        <f>IFERROR(MATCH(Library!M111,$M$6:$M$40000,0),"")</f>
        <v/>
      </c>
      <c r="Z111">
        <f>IF($Y111="","",INDEX($C$6:$C$40000,$Y111)&amp;"")</f>
        <v/>
      </c>
      <c r="AA111" s="59">
        <f>IF($Y111="","",IF(INDEX($D$6:$D$40000,$Y111)="","",INDEX($D$6:$D$40000,$Y111)))</f>
        <v/>
      </c>
      <c r="AB111">
        <f>IF($Y111="","",INDEX($L$6:$L$40000,$Y111)&amp;"")</f>
        <v/>
      </c>
    </row>
    <row r="112">
      <c r="Y112" s="47">
        <f>IFERROR(MATCH(Library!M112,$M$6:$M$40000,0),"")</f>
        <v/>
      </c>
      <c r="Z112">
        <f>IF($Y112="","",INDEX($C$6:$C$40000,$Y112)&amp;"")</f>
        <v/>
      </c>
      <c r="AA112" s="59">
        <f>IF($Y112="","",IF(INDEX($D$6:$D$40000,$Y112)="","",INDEX($D$6:$D$40000,$Y112)))</f>
        <v/>
      </c>
      <c r="AB112">
        <f>IF($Y112="","",INDEX($L$6:$L$40000,$Y112)&amp;"")</f>
        <v/>
      </c>
    </row>
    <row r="113">
      <c r="Y113" s="47">
        <f>IFERROR(MATCH(Library!M113,$M$6:$M$40000,0),"")</f>
        <v/>
      </c>
      <c r="Z113">
        <f>IF($Y113="","",INDEX($C$6:$C$40000,$Y113)&amp;"")</f>
        <v/>
      </c>
      <c r="AA113" s="59">
        <f>IF($Y113="","",IF(INDEX($D$6:$D$40000,$Y113)="","",INDEX($D$6:$D$40000,$Y113)))</f>
        <v/>
      </c>
      <c r="AB113">
        <f>IF($Y113="","",INDEX($L$6:$L$40000,$Y113)&amp;"")</f>
        <v/>
      </c>
    </row>
    <row r="114">
      <c r="Y114" s="47">
        <f>IFERROR(MATCH(Library!M114,$M$6:$M$40000,0),"")</f>
        <v/>
      </c>
      <c r="Z114">
        <f>IF($Y114="","",INDEX($C$6:$C$40000,$Y114)&amp;"")</f>
        <v/>
      </c>
      <c r="AA114" s="59">
        <f>IF($Y114="","",IF(INDEX($D$6:$D$40000,$Y114)="","",INDEX($D$6:$D$40000,$Y114)))</f>
        <v/>
      </c>
      <c r="AB114">
        <f>IF($Y114="","",INDEX($L$6:$L$40000,$Y114)&amp;"")</f>
        <v/>
      </c>
    </row>
    <row r="115">
      <c r="Y115" s="47">
        <f>IFERROR(MATCH(Library!M115,$M$6:$M$40000,0),"")</f>
        <v/>
      </c>
      <c r="Z115">
        <f>IF($Y115="","",INDEX($C$6:$C$40000,$Y115)&amp;"")</f>
        <v/>
      </c>
      <c r="AA115" s="59">
        <f>IF($Y115="","",IF(INDEX($D$6:$D$40000,$Y115)="","",INDEX($D$6:$D$40000,$Y115)))</f>
        <v/>
      </c>
      <c r="AB115">
        <f>IF($Y115="","",INDEX($L$6:$L$40000,$Y115)&amp;"")</f>
        <v/>
      </c>
    </row>
    <row r="116">
      <c r="Y116" s="47">
        <f>IFERROR(MATCH(Library!M116,$M$6:$M$40000,0),"")</f>
        <v/>
      </c>
      <c r="Z116">
        <f>IF($Y116="","",INDEX($C$6:$C$40000,$Y116)&amp;"")</f>
        <v/>
      </c>
      <c r="AA116" s="59">
        <f>IF($Y116="","",IF(INDEX($D$6:$D$40000,$Y116)="","",INDEX($D$6:$D$40000,$Y116)))</f>
        <v/>
      </c>
      <c r="AB116">
        <f>IF($Y116="","",INDEX($L$6:$L$40000,$Y116)&amp;"")</f>
        <v/>
      </c>
    </row>
    <row r="117">
      <c r="Y117" s="47">
        <f>IFERROR(MATCH(Library!M117,$M$6:$M$40000,0),"")</f>
        <v/>
      </c>
      <c r="Z117">
        <f>IF($Y117="","",INDEX($C$6:$C$40000,$Y117)&amp;"")</f>
        <v/>
      </c>
      <c r="AA117" s="59">
        <f>IF($Y117="","",IF(INDEX($D$6:$D$40000,$Y117)="","",INDEX($D$6:$D$40000,$Y117)))</f>
        <v/>
      </c>
      <c r="AB117">
        <f>IF($Y117="","",INDEX($L$6:$L$40000,$Y117)&amp;"")</f>
        <v/>
      </c>
    </row>
    <row r="118">
      <c r="Y118" s="47">
        <f>IFERROR(MATCH(Library!M118,$M$6:$M$40000,0),"")</f>
        <v/>
      </c>
      <c r="Z118">
        <f>IF($Y118="","",INDEX($C$6:$C$40000,$Y118)&amp;"")</f>
        <v/>
      </c>
      <c r="AA118" s="59">
        <f>IF($Y118="","",IF(INDEX($D$6:$D$40000,$Y118)="","",INDEX($D$6:$D$40000,$Y118)))</f>
        <v/>
      </c>
      <c r="AB118">
        <f>IF($Y118="","",INDEX($L$6:$L$40000,$Y118)&amp;"")</f>
        <v/>
      </c>
    </row>
    <row r="119">
      <c r="Y119" s="47">
        <f>IFERROR(MATCH(Library!M119,$M$6:$M$40000,0),"")</f>
        <v/>
      </c>
      <c r="Z119">
        <f>IF($Y119="","",INDEX($C$6:$C$40000,$Y119)&amp;"")</f>
        <v/>
      </c>
      <c r="AA119" s="59">
        <f>IF($Y119="","",IF(INDEX($D$6:$D$40000,$Y119)="","",INDEX($D$6:$D$40000,$Y119)))</f>
        <v/>
      </c>
      <c r="AB119">
        <f>IF($Y119="","",INDEX($L$6:$L$40000,$Y119)&amp;"")</f>
        <v/>
      </c>
    </row>
    <row r="120">
      <c r="Y120" s="47">
        <f>IFERROR(MATCH(Library!M120,$M$6:$M$40000,0),"")</f>
        <v/>
      </c>
      <c r="Z120">
        <f>IF($Y120="","",INDEX($C$6:$C$40000,$Y120)&amp;"")</f>
        <v/>
      </c>
      <c r="AA120" s="59">
        <f>IF($Y120="","",IF(INDEX($D$6:$D$40000,$Y120)="","",INDEX($D$6:$D$40000,$Y120)))</f>
        <v/>
      </c>
      <c r="AB120">
        <f>IF($Y120="","",INDEX($L$6:$L$40000,$Y120)&amp;"")</f>
        <v/>
      </c>
    </row>
    <row r="121">
      <c r="Y121" s="47">
        <f>IFERROR(MATCH(Library!M121,$M$6:$M$40000,0),"")</f>
        <v/>
      </c>
      <c r="Z121">
        <f>IF($Y121="","",INDEX($C$6:$C$40000,$Y121)&amp;"")</f>
        <v/>
      </c>
      <c r="AA121" s="59">
        <f>IF($Y121="","",IF(INDEX($D$6:$D$40000,$Y121)="","",INDEX($D$6:$D$40000,$Y121)))</f>
        <v/>
      </c>
      <c r="AB121">
        <f>IF($Y121="","",INDEX($L$6:$L$40000,$Y121)&amp;"")</f>
        <v/>
      </c>
    </row>
    <row r="122">
      <c r="Y122" s="47">
        <f>IFERROR(MATCH(Library!M122,$M$6:$M$40000,0),"")</f>
        <v/>
      </c>
      <c r="Z122">
        <f>IF($Y122="","",INDEX($C$6:$C$40000,$Y122)&amp;"")</f>
        <v/>
      </c>
      <c r="AA122" s="59">
        <f>IF($Y122="","",IF(INDEX($D$6:$D$40000,$Y122)="","",INDEX($D$6:$D$40000,$Y122)))</f>
        <v/>
      </c>
      <c r="AB122">
        <f>IF($Y122="","",INDEX($L$6:$L$40000,$Y122)&amp;"")</f>
        <v/>
      </c>
    </row>
    <row r="123">
      <c r="Y123" s="47">
        <f>IFERROR(MATCH(Library!M123,$M$6:$M$40000,0),"")</f>
        <v/>
      </c>
      <c r="Z123">
        <f>IF($Y123="","",INDEX($C$6:$C$40000,$Y123)&amp;"")</f>
        <v/>
      </c>
      <c r="AA123" s="59">
        <f>IF($Y123="","",IF(INDEX($D$6:$D$40000,$Y123)="","",INDEX($D$6:$D$40000,$Y123)))</f>
        <v/>
      </c>
      <c r="AB123">
        <f>IF($Y123="","",INDEX($L$6:$L$40000,$Y123)&amp;"")</f>
        <v/>
      </c>
    </row>
    <row r="124">
      <c r="Y124" s="47">
        <f>IFERROR(MATCH(Library!M124,$M$6:$M$40000,0),"")</f>
        <v/>
      </c>
      <c r="Z124">
        <f>IF($Y124="","",INDEX($C$6:$C$40000,$Y124)&amp;"")</f>
        <v/>
      </c>
      <c r="AA124" s="59">
        <f>IF($Y124="","",IF(INDEX($D$6:$D$40000,$Y124)="","",INDEX($D$6:$D$40000,$Y124)))</f>
        <v/>
      </c>
      <c r="AB124">
        <f>IF($Y124="","",INDEX($L$6:$L$40000,$Y124)&amp;"")</f>
        <v/>
      </c>
    </row>
    <row r="125">
      <c r="Y125" s="47">
        <f>IFERROR(MATCH(Library!M125,$M$6:$M$40000,0),"")</f>
        <v/>
      </c>
      <c r="Z125">
        <f>IF($Y125="","",INDEX($C$6:$C$40000,$Y125)&amp;"")</f>
        <v/>
      </c>
      <c r="AA125" s="59">
        <f>IF($Y125="","",IF(INDEX($D$6:$D$40000,$Y125)="","",INDEX($D$6:$D$40000,$Y125)))</f>
        <v/>
      </c>
      <c r="AB125">
        <f>IF($Y125="","",INDEX($L$6:$L$40000,$Y125)&amp;"")</f>
        <v/>
      </c>
    </row>
    <row r="126">
      <c r="Y126" s="47">
        <f>IFERROR(MATCH(Library!M126,$M$6:$M$40000,0),"")</f>
        <v/>
      </c>
      <c r="Z126">
        <f>IF($Y126="","",INDEX($C$6:$C$40000,$Y126)&amp;"")</f>
        <v/>
      </c>
      <c r="AA126" s="59">
        <f>IF($Y126="","",IF(INDEX($D$6:$D$40000,$Y126)="","",INDEX($D$6:$D$40000,$Y126)))</f>
        <v/>
      </c>
      <c r="AB126">
        <f>IF($Y126="","",INDEX($L$6:$L$40000,$Y126)&amp;"")</f>
        <v/>
      </c>
    </row>
    <row r="127">
      <c r="Y127" s="47">
        <f>IFERROR(MATCH(Library!M127,$M$6:$M$40000,0),"")</f>
        <v/>
      </c>
      <c r="Z127">
        <f>IF($Y127="","",INDEX($C$6:$C$40000,$Y127)&amp;"")</f>
        <v/>
      </c>
      <c r="AA127" s="59">
        <f>IF($Y127="","",IF(INDEX($D$6:$D$40000,$Y127)="","",INDEX($D$6:$D$40000,$Y127)))</f>
        <v/>
      </c>
      <c r="AB127">
        <f>IF($Y127="","",INDEX($L$6:$L$40000,$Y127)&amp;"")</f>
        <v/>
      </c>
    </row>
    <row r="128">
      <c r="Y128" s="47">
        <f>IFERROR(MATCH(Library!M128,$M$6:$M$40000,0),"")</f>
        <v/>
      </c>
      <c r="Z128">
        <f>IF($Y128="","",INDEX($C$6:$C$40000,$Y128)&amp;"")</f>
        <v/>
      </c>
      <c r="AA128" s="59">
        <f>IF($Y128="","",IF(INDEX($D$6:$D$40000,$Y128)="","",INDEX($D$6:$D$40000,$Y128)))</f>
        <v/>
      </c>
      <c r="AB128">
        <f>IF($Y128="","",INDEX($L$6:$L$40000,$Y128)&amp;"")</f>
        <v/>
      </c>
    </row>
    <row r="129">
      <c r="Y129" s="47">
        <f>IFERROR(MATCH(Library!M129,$M$6:$M$40000,0),"")</f>
        <v/>
      </c>
      <c r="Z129">
        <f>IF($Y129="","",INDEX($C$6:$C$40000,$Y129)&amp;"")</f>
        <v/>
      </c>
      <c r="AA129" s="59">
        <f>IF($Y129="","",IF(INDEX($D$6:$D$40000,$Y129)="","",INDEX($D$6:$D$40000,$Y129)))</f>
        <v/>
      </c>
      <c r="AB129">
        <f>IF($Y129="","",INDEX($L$6:$L$40000,$Y129)&amp;"")</f>
        <v/>
      </c>
    </row>
    <row r="130">
      <c r="Y130" s="47">
        <f>IFERROR(MATCH(Library!M130,$M$6:$M$40000,0),"")</f>
        <v/>
      </c>
      <c r="Z130">
        <f>IF($Y130="","",INDEX($C$6:$C$40000,$Y130)&amp;"")</f>
        <v/>
      </c>
      <c r="AA130" s="59">
        <f>IF($Y130="","",IF(INDEX($D$6:$D$40000,$Y130)="","",INDEX($D$6:$D$40000,$Y130)))</f>
        <v/>
      </c>
      <c r="AB130">
        <f>IF($Y130="","",INDEX($L$6:$L$40000,$Y130)&amp;"")</f>
        <v/>
      </c>
    </row>
    <row r="131">
      <c r="Y131" s="47">
        <f>IFERROR(MATCH(Library!M131,$M$6:$M$40000,0),"")</f>
        <v/>
      </c>
      <c r="Z131">
        <f>IF($Y131="","",INDEX($C$6:$C$40000,$Y131)&amp;"")</f>
        <v/>
      </c>
      <c r="AA131" s="59">
        <f>IF($Y131="","",IF(INDEX($D$6:$D$40000,$Y131)="","",INDEX($D$6:$D$40000,$Y131)))</f>
        <v/>
      </c>
      <c r="AB131">
        <f>IF($Y131="","",INDEX($L$6:$L$40000,$Y131)&amp;"")</f>
        <v/>
      </c>
    </row>
    <row r="132">
      <c r="Y132" s="47">
        <f>IFERROR(MATCH(Library!M132,$M$6:$M$40000,0),"")</f>
        <v/>
      </c>
      <c r="Z132">
        <f>IF($Y132="","",INDEX($C$6:$C$40000,$Y132)&amp;"")</f>
        <v/>
      </c>
      <c r="AA132" s="59">
        <f>IF($Y132="","",IF(INDEX($D$6:$D$40000,$Y132)="","",INDEX($D$6:$D$40000,$Y132)))</f>
        <v/>
      </c>
      <c r="AB132">
        <f>IF($Y132="","",INDEX($L$6:$L$40000,$Y132)&amp;"")</f>
        <v/>
      </c>
    </row>
    <row r="133">
      <c r="Y133" s="47">
        <f>IFERROR(MATCH(Library!M133,$M$6:$M$40000,0),"")</f>
        <v/>
      </c>
      <c r="Z133">
        <f>IF($Y133="","",INDEX($C$6:$C$40000,$Y133)&amp;"")</f>
        <v/>
      </c>
      <c r="AA133" s="59">
        <f>IF($Y133="","",IF(INDEX($D$6:$D$40000,$Y133)="","",INDEX($D$6:$D$40000,$Y133)))</f>
        <v/>
      </c>
      <c r="AB133">
        <f>IF($Y133="","",INDEX($L$6:$L$40000,$Y133)&amp;"")</f>
        <v/>
      </c>
    </row>
    <row r="134">
      <c r="Y134" s="47">
        <f>IFERROR(MATCH(Library!M134,$M$6:$M$40000,0),"")</f>
        <v/>
      </c>
      <c r="Z134">
        <f>IF($Y134="","",INDEX($C$6:$C$40000,$Y134)&amp;"")</f>
        <v/>
      </c>
      <c r="AA134" s="59">
        <f>IF($Y134="","",IF(INDEX($D$6:$D$40000,$Y134)="","",INDEX($D$6:$D$40000,$Y134)))</f>
        <v/>
      </c>
      <c r="AB134">
        <f>IF($Y134="","",INDEX($L$6:$L$40000,$Y134)&amp;"")</f>
        <v/>
      </c>
    </row>
    <row r="135">
      <c r="Y135" s="47">
        <f>IFERROR(MATCH(Library!M135,$M$6:$M$40000,0),"")</f>
        <v/>
      </c>
      <c r="Z135">
        <f>IF($Y135="","",INDEX($C$6:$C$40000,$Y135)&amp;"")</f>
        <v/>
      </c>
      <c r="AA135" s="59">
        <f>IF($Y135="","",IF(INDEX($D$6:$D$40000,$Y135)="","",INDEX($D$6:$D$40000,$Y135)))</f>
        <v/>
      </c>
      <c r="AB135">
        <f>IF($Y135="","",INDEX($L$6:$L$40000,$Y135)&amp;"")</f>
        <v/>
      </c>
    </row>
    <row r="136">
      <c r="Y136" s="47">
        <f>IFERROR(MATCH(Library!M136,$M$6:$M$40000,0),"")</f>
        <v/>
      </c>
      <c r="Z136">
        <f>IF($Y136="","",INDEX($C$6:$C$40000,$Y136)&amp;"")</f>
        <v/>
      </c>
      <c r="AA136" s="59">
        <f>IF($Y136="","",IF(INDEX($D$6:$D$40000,$Y136)="","",INDEX($D$6:$D$40000,$Y136)))</f>
        <v/>
      </c>
      <c r="AB136">
        <f>IF($Y136="","",INDEX($L$6:$L$40000,$Y136)&amp;"")</f>
        <v/>
      </c>
    </row>
    <row r="137">
      <c r="Y137" s="47">
        <f>IFERROR(MATCH(Library!M137,$M$6:$M$40000,0),"")</f>
        <v/>
      </c>
      <c r="Z137">
        <f>IF($Y137="","",INDEX($C$6:$C$40000,$Y137)&amp;"")</f>
        <v/>
      </c>
      <c r="AA137" s="59">
        <f>IF($Y137="","",IF(INDEX($D$6:$D$40000,$Y137)="","",INDEX($D$6:$D$40000,$Y137)))</f>
        <v/>
      </c>
      <c r="AB137">
        <f>IF($Y137="","",INDEX($L$6:$L$40000,$Y137)&amp;"")</f>
        <v/>
      </c>
    </row>
    <row r="138">
      <c r="Y138" s="47">
        <f>IFERROR(MATCH(Library!M138,$M$6:$M$40000,0),"")</f>
        <v/>
      </c>
      <c r="Z138">
        <f>IF($Y138="","",INDEX($C$6:$C$40000,$Y138)&amp;"")</f>
        <v/>
      </c>
      <c r="AA138" s="59">
        <f>IF($Y138="","",IF(INDEX($D$6:$D$40000,$Y138)="","",INDEX($D$6:$D$40000,$Y138)))</f>
        <v/>
      </c>
      <c r="AB138">
        <f>IF($Y138="","",INDEX($L$6:$L$40000,$Y138)&amp;"")</f>
        <v/>
      </c>
    </row>
    <row r="139">
      <c r="Y139" s="47">
        <f>IFERROR(MATCH(Library!M139,$M$6:$M$40000,0),"")</f>
        <v/>
      </c>
      <c r="Z139">
        <f>IF($Y139="","",INDEX($C$6:$C$40000,$Y139)&amp;"")</f>
        <v/>
      </c>
      <c r="AA139" s="59">
        <f>IF($Y139="","",IF(INDEX($D$6:$D$40000,$Y139)="","",INDEX($D$6:$D$40000,$Y139)))</f>
        <v/>
      </c>
      <c r="AB139">
        <f>IF($Y139="","",INDEX($L$6:$L$40000,$Y139)&amp;"")</f>
        <v/>
      </c>
    </row>
    <row r="140">
      <c r="Y140" s="47">
        <f>IFERROR(MATCH(Library!M140,$M$6:$M$40000,0),"")</f>
        <v/>
      </c>
      <c r="Z140">
        <f>IF($Y140="","",INDEX($C$6:$C$40000,$Y140)&amp;"")</f>
        <v/>
      </c>
      <c r="AA140" s="59">
        <f>IF($Y140="","",IF(INDEX($D$6:$D$40000,$Y140)="","",INDEX($D$6:$D$40000,$Y140)))</f>
        <v/>
      </c>
      <c r="AB140">
        <f>IF($Y140="","",INDEX($L$6:$L$40000,$Y140)&amp;"")</f>
        <v/>
      </c>
    </row>
    <row r="141">
      <c r="Y141" s="47">
        <f>IFERROR(MATCH(Library!M141,$M$6:$M$40000,0),"")</f>
        <v/>
      </c>
      <c r="Z141">
        <f>IF($Y141="","",INDEX($C$6:$C$40000,$Y141)&amp;"")</f>
        <v/>
      </c>
      <c r="AA141" s="59">
        <f>IF($Y141="","",IF(INDEX($D$6:$D$40000,$Y141)="","",INDEX($D$6:$D$40000,$Y141)))</f>
        <v/>
      </c>
      <c r="AB141">
        <f>IF($Y141="","",INDEX($L$6:$L$40000,$Y141)&amp;"")</f>
        <v/>
      </c>
    </row>
    <row r="142">
      <c r="Y142" s="47">
        <f>IFERROR(MATCH(Library!M142,$M$6:$M$40000,0),"")</f>
        <v/>
      </c>
      <c r="Z142">
        <f>IF($Y142="","",INDEX($C$6:$C$40000,$Y142)&amp;"")</f>
        <v/>
      </c>
      <c r="AA142" s="59">
        <f>IF($Y142="","",IF(INDEX($D$6:$D$40000,$Y142)="","",INDEX($D$6:$D$40000,$Y142)))</f>
        <v/>
      </c>
      <c r="AB142">
        <f>IF($Y142="","",INDEX($L$6:$L$40000,$Y142)&amp;"")</f>
        <v/>
      </c>
    </row>
    <row r="143">
      <c r="Y143" s="47">
        <f>IFERROR(MATCH(Library!M143,$M$6:$M$40000,0),"")</f>
        <v/>
      </c>
      <c r="Z143">
        <f>IF($Y143="","",INDEX($C$6:$C$40000,$Y143)&amp;"")</f>
        <v/>
      </c>
      <c r="AA143" s="59">
        <f>IF($Y143="","",IF(INDEX($D$6:$D$40000,$Y143)="","",INDEX($D$6:$D$40000,$Y143)))</f>
        <v/>
      </c>
      <c r="AB143">
        <f>IF($Y143="","",INDEX($L$6:$L$40000,$Y143)&amp;"")</f>
        <v/>
      </c>
    </row>
    <row r="144">
      <c r="Y144" s="47">
        <f>IFERROR(MATCH(Library!M144,$M$6:$M$40000,0),"")</f>
        <v/>
      </c>
      <c r="Z144">
        <f>IF($Y144="","",INDEX($C$6:$C$40000,$Y144)&amp;"")</f>
        <v/>
      </c>
      <c r="AA144" s="59">
        <f>IF($Y144="","",IF(INDEX($D$6:$D$40000,$Y144)="","",INDEX($D$6:$D$40000,$Y144)))</f>
        <v/>
      </c>
      <c r="AB144">
        <f>IF($Y144="","",INDEX($L$6:$L$40000,$Y144)&amp;"")</f>
        <v/>
      </c>
    </row>
    <row r="145">
      <c r="Y145" s="47">
        <f>IFERROR(MATCH(Library!M145,$M$6:$M$40000,0),"")</f>
        <v/>
      </c>
      <c r="Z145">
        <f>IF($Y145="","",INDEX($C$6:$C$40000,$Y145)&amp;"")</f>
        <v/>
      </c>
      <c r="AA145" s="59">
        <f>IF($Y145="","",IF(INDEX($D$6:$D$40000,$Y145)="","",INDEX($D$6:$D$40000,$Y145)))</f>
        <v/>
      </c>
      <c r="AB145">
        <f>IF($Y145="","",INDEX($L$6:$L$40000,$Y145)&amp;"")</f>
        <v/>
      </c>
    </row>
    <row r="146">
      <c r="Y146" s="47">
        <f>IFERROR(MATCH(Library!M146,$M$6:$M$40000,0),"")</f>
        <v/>
      </c>
      <c r="Z146">
        <f>IF($Y146="","",INDEX($C$6:$C$40000,$Y146)&amp;"")</f>
        <v/>
      </c>
      <c r="AA146" s="59">
        <f>IF($Y146="","",IF(INDEX($D$6:$D$40000,$Y146)="","",INDEX($D$6:$D$40000,$Y146)))</f>
        <v/>
      </c>
      <c r="AB146">
        <f>IF($Y146="","",INDEX($L$6:$L$40000,$Y146)&amp;"")</f>
        <v/>
      </c>
    </row>
    <row r="147">
      <c r="Y147" s="47">
        <f>IFERROR(MATCH(Library!M147,$M$6:$M$40000,0),"")</f>
        <v/>
      </c>
      <c r="Z147">
        <f>IF($Y147="","",INDEX($C$6:$C$40000,$Y147)&amp;"")</f>
        <v/>
      </c>
      <c r="AA147" s="59">
        <f>IF($Y147="","",IF(INDEX($D$6:$D$40000,$Y147)="","",INDEX($D$6:$D$40000,$Y147)))</f>
        <v/>
      </c>
      <c r="AB147">
        <f>IF($Y147="","",INDEX($L$6:$L$40000,$Y147)&amp;"")</f>
        <v/>
      </c>
    </row>
    <row r="148">
      <c r="Y148" s="47">
        <f>IFERROR(MATCH(Library!M148,$M$6:$M$40000,0),"")</f>
        <v/>
      </c>
      <c r="Z148">
        <f>IF($Y148="","",INDEX($C$6:$C$40000,$Y148)&amp;"")</f>
        <v/>
      </c>
      <c r="AA148" s="59">
        <f>IF($Y148="","",IF(INDEX($D$6:$D$40000,$Y148)="","",INDEX($D$6:$D$40000,$Y148)))</f>
        <v/>
      </c>
      <c r="AB148">
        <f>IF($Y148="","",INDEX($L$6:$L$40000,$Y148)&amp;"")</f>
        <v/>
      </c>
    </row>
    <row r="149">
      <c r="Y149" s="47">
        <f>IFERROR(MATCH(Library!M149,$M$6:$M$40000,0),"")</f>
        <v/>
      </c>
      <c r="Z149">
        <f>IF($Y149="","",INDEX($C$6:$C$40000,$Y149)&amp;"")</f>
        <v/>
      </c>
      <c r="AA149" s="59">
        <f>IF($Y149="","",IF(INDEX($D$6:$D$40000,$Y149)="","",INDEX($D$6:$D$40000,$Y149)))</f>
        <v/>
      </c>
      <c r="AB149">
        <f>IF($Y149="","",INDEX($L$6:$L$40000,$Y149)&amp;"")</f>
        <v/>
      </c>
    </row>
    <row r="150">
      <c r="Y150" s="47">
        <f>IFERROR(MATCH(Library!M150,$M$6:$M$40000,0),"")</f>
        <v/>
      </c>
      <c r="Z150">
        <f>IF($Y150="","",INDEX($C$6:$C$40000,$Y150)&amp;"")</f>
        <v/>
      </c>
      <c r="AA150" s="59">
        <f>IF($Y150="","",IF(INDEX($D$6:$D$40000,$Y150)="","",INDEX($D$6:$D$40000,$Y150)))</f>
        <v/>
      </c>
      <c r="AB150">
        <f>IF($Y150="","",INDEX($L$6:$L$40000,$Y150)&amp;"")</f>
        <v/>
      </c>
    </row>
    <row r="151">
      <c r="Y151" s="47">
        <f>IFERROR(MATCH(Library!M151,$M$6:$M$40000,0),"")</f>
        <v/>
      </c>
      <c r="Z151">
        <f>IF($Y151="","",INDEX($C$6:$C$40000,$Y151)&amp;"")</f>
        <v/>
      </c>
      <c r="AA151" s="59">
        <f>IF($Y151="","",IF(INDEX($D$6:$D$40000,$Y151)="","",INDEX($D$6:$D$40000,$Y151)))</f>
        <v/>
      </c>
      <c r="AB151">
        <f>IF($Y151="","",INDEX($L$6:$L$40000,$Y151)&amp;"")</f>
        <v/>
      </c>
    </row>
    <row r="152">
      <c r="Y152" s="47">
        <f>IFERROR(MATCH(Library!M152,$M$6:$M$40000,0),"")</f>
        <v/>
      </c>
      <c r="Z152">
        <f>IF($Y152="","",INDEX($C$6:$C$40000,$Y152)&amp;"")</f>
        <v/>
      </c>
      <c r="AA152" s="59">
        <f>IF($Y152="","",IF(INDEX($D$6:$D$40000,$Y152)="","",INDEX($D$6:$D$40000,$Y152)))</f>
        <v/>
      </c>
      <c r="AB152">
        <f>IF($Y152="","",INDEX($L$6:$L$40000,$Y152)&amp;"")</f>
        <v/>
      </c>
    </row>
    <row r="153">
      <c r="Y153" s="47">
        <f>IFERROR(MATCH(Library!M153,$M$6:$M$40000,0),"")</f>
        <v/>
      </c>
      <c r="Z153">
        <f>IF($Y153="","",INDEX($C$6:$C$40000,$Y153)&amp;"")</f>
        <v/>
      </c>
      <c r="AA153" s="59">
        <f>IF($Y153="","",IF(INDEX($D$6:$D$40000,$Y153)="","",INDEX($D$6:$D$40000,$Y153)))</f>
        <v/>
      </c>
      <c r="AB153">
        <f>IF($Y153="","",INDEX($L$6:$L$40000,$Y153)&amp;"")</f>
        <v/>
      </c>
    </row>
    <row r="154">
      <c r="Y154" s="47">
        <f>IFERROR(MATCH(Library!M154,$M$6:$M$40000,0),"")</f>
        <v/>
      </c>
      <c r="Z154">
        <f>IF($Y154="","",INDEX($C$6:$C$40000,$Y154)&amp;"")</f>
        <v/>
      </c>
      <c r="AA154" s="59">
        <f>IF($Y154="","",IF(INDEX($D$6:$D$40000,$Y154)="","",INDEX($D$6:$D$40000,$Y154)))</f>
        <v/>
      </c>
      <c r="AB154">
        <f>IF($Y154="","",INDEX($L$6:$L$40000,$Y154)&amp;"")</f>
        <v/>
      </c>
    </row>
    <row r="155">
      <c r="Y155" s="47">
        <f>IFERROR(MATCH(Library!M155,$M$6:$M$40000,0),"")</f>
        <v/>
      </c>
      <c r="Z155">
        <f>IF($Y155="","",INDEX($C$6:$C$40000,$Y155)&amp;"")</f>
        <v/>
      </c>
      <c r="AA155" s="59">
        <f>IF($Y155="","",IF(INDEX($D$6:$D$40000,$Y155)="","",INDEX($D$6:$D$40000,$Y155)))</f>
        <v/>
      </c>
      <c r="AB155">
        <f>IF($Y155="","",INDEX($L$6:$L$40000,$Y155)&amp;"")</f>
        <v/>
      </c>
    </row>
    <row r="156">
      <c r="Y156" s="47">
        <f>IFERROR(MATCH(Library!M156,$M$6:$M$40000,0),"")</f>
        <v/>
      </c>
      <c r="Z156">
        <f>IF($Y156="","",INDEX($C$6:$C$40000,$Y156)&amp;"")</f>
        <v/>
      </c>
      <c r="AA156" s="59">
        <f>IF($Y156="","",IF(INDEX($D$6:$D$40000,$Y156)="","",INDEX($D$6:$D$40000,$Y156)))</f>
        <v/>
      </c>
      <c r="AB156">
        <f>IF($Y156="","",INDEX($L$6:$L$40000,$Y156)&amp;"")</f>
        <v/>
      </c>
    </row>
    <row r="157">
      <c r="Y157" s="47">
        <f>IFERROR(MATCH(Library!M157,$M$6:$M$40000,0),"")</f>
        <v/>
      </c>
      <c r="Z157">
        <f>IF($Y157="","",INDEX($C$6:$C$40000,$Y157)&amp;"")</f>
        <v/>
      </c>
      <c r="AA157" s="59">
        <f>IF($Y157="","",IF(INDEX($D$6:$D$40000,$Y157)="","",INDEX($D$6:$D$40000,$Y157)))</f>
        <v/>
      </c>
      <c r="AB157">
        <f>IF($Y157="","",INDEX($L$6:$L$40000,$Y157)&amp;"")</f>
        <v/>
      </c>
    </row>
    <row r="158">
      <c r="Y158" s="47">
        <f>IFERROR(MATCH(Library!M158,$M$6:$M$40000,0),"")</f>
        <v/>
      </c>
      <c r="Z158">
        <f>IF($Y158="","",INDEX($C$6:$C$40000,$Y158)&amp;"")</f>
        <v/>
      </c>
      <c r="AA158" s="59">
        <f>IF($Y158="","",IF(INDEX($D$6:$D$40000,$Y158)="","",INDEX($D$6:$D$40000,$Y158)))</f>
        <v/>
      </c>
      <c r="AB158">
        <f>IF($Y158="","",INDEX($L$6:$L$40000,$Y158)&amp;"")</f>
        <v/>
      </c>
    </row>
    <row r="159">
      <c r="Y159" s="47">
        <f>IFERROR(MATCH(Library!M159,$M$6:$M$40000,0),"")</f>
        <v/>
      </c>
      <c r="Z159">
        <f>IF($Y159="","",INDEX($C$6:$C$40000,$Y159)&amp;"")</f>
        <v/>
      </c>
      <c r="AA159" s="59">
        <f>IF($Y159="","",IF(INDEX($D$6:$D$40000,$Y159)="","",INDEX($D$6:$D$40000,$Y159)))</f>
        <v/>
      </c>
      <c r="AB159">
        <f>IF($Y159="","",INDEX($L$6:$L$40000,$Y159)&amp;"")</f>
        <v/>
      </c>
    </row>
    <row r="160">
      <c r="Y160" s="47">
        <f>IFERROR(MATCH(Library!M160,$M$6:$M$40000,0),"")</f>
        <v/>
      </c>
      <c r="Z160">
        <f>IF($Y160="","",INDEX($C$6:$C$40000,$Y160)&amp;"")</f>
        <v/>
      </c>
      <c r="AA160" s="59">
        <f>IF($Y160="","",IF(INDEX($D$6:$D$40000,$Y160)="","",INDEX($D$6:$D$40000,$Y160)))</f>
        <v/>
      </c>
      <c r="AB160">
        <f>IF($Y160="","",INDEX($L$6:$L$40000,$Y160)&amp;"")</f>
        <v/>
      </c>
    </row>
    <row r="161">
      <c r="Y161" s="47">
        <f>IFERROR(MATCH(Library!M161,$M$6:$M$40000,0),"")</f>
        <v/>
      </c>
      <c r="Z161">
        <f>IF($Y161="","",INDEX($C$6:$C$40000,$Y161)&amp;"")</f>
        <v/>
      </c>
      <c r="AA161" s="59">
        <f>IF($Y161="","",IF(INDEX($D$6:$D$40000,$Y161)="","",INDEX($D$6:$D$40000,$Y161)))</f>
        <v/>
      </c>
      <c r="AB161">
        <f>IF($Y161="","",INDEX($L$6:$L$40000,$Y161)&amp;"")</f>
        <v/>
      </c>
    </row>
    <row r="162">
      <c r="Y162" s="47">
        <f>IFERROR(MATCH(Library!M162,$M$6:$M$40000,0),"")</f>
        <v/>
      </c>
      <c r="Z162">
        <f>IF($Y162="","",INDEX($C$6:$C$40000,$Y162)&amp;"")</f>
        <v/>
      </c>
      <c r="AA162" s="59">
        <f>IF($Y162="","",IF(INDEX($D$6:$D$40000,$Y162)="","",INDEX($D$6:$D$40000,$Y162)))</f>
        <v/>
      </c>
      <c r="AB162">
        <f>IF($Y162="","",INDEX($L$6:$L$40000,$Y162)&amp;"")</f>
        <v/>
      </c>
    </row>
    <row r="163">
      <c r="Y163" s="47">
        <f>IFERROR(MATCH(Library!M163,$M$6:$M$40000,0),"")</f>
        <v/>
      </c>
      <c r="Z163">
        <f>IF($Y163="","",INDEX($C$6:$C$40000,$Y163)&amp;"")</f>
        <v/>
      </c>
      <c r="AA163" s="59">
        <f>IF($Y163="","",IF(INDEX($D$6:$D$40000,$Y163)="","",INDEX($D$6:$D$40000,$Y163)))</f>
        <v/>
      </c>
      <c r="AB163">
        <f>IF($Y163="","",INDEX($L$6:$L$40000,$Y163)&amp;"")</f>
        <v/>
      </c>
    </row>
    <row r="164">
      <c r="Y164" s="47">
        <f>IFERROR(MATCH(Library!M164,$M$6:$M$40000,0),"")</f>
        <v/>
      </c>
      <c r="Z164">
        <f>IF($Y164="","",INDEX($C$6:$C$40000,$Y164)&amp;"")</f>
        <v/>
      </c>
      <c r="AA164" s="59">
        <f>IF($Y164="","",IF(INDEX($D$6:$D$40000,$Y164)="","",INDEX($D$6:$D$40000,$Y164)))</f>
        <v/>
      </c>
      <c r="AB164">
        <f>IF($Y164="","",INDEX($L$6:$L$40000,$Y164)&amp;"")</f>
        <v/>
      </c>
    </row>
    <row r="165">
      <c r="Y165" s="47">
        <f>IFERROR(MATCH(Library!M165,$M$6:$M$40000,0),"")</f>
        <v/>
      </c>
      <c r="Z165">
        <f>IF($Y165="","",INDEX($C$6:$C$40000,$Y165)&amp;"")</f>
        <v/>
      </c>
      <c r="AA165" s="59">
        <f>IF($Y165="","",IF(INDEX($D$6:$D$40000,$Y165)="","",INDEX($D$6:$D$40000,$Y165)))</f>
        <v/>
      </c>
      <c r="AB165">
        <f>IF($Y165="","",INDEX($L$6:$L$40000,$Y165)&amp;"")</f>
        <v/>
      </c>
    </row>
    <row r="166">
      <c r="Y166" s="47">
        <f>IFERROR(MATCH(Library!M166,$M$6:$M$40000,0),"")</f>
        <v/>
      </c>
      <c r="Z166">
        <f>IF($Y166="","",INDEX($C$6:$C$40000,$Y166)&amp;"")</f>
        <v/>
      </c>
      <c r="AA166" s="59">
        <f>IF($Y166="","",IF(INDEX($D$6:$D$40000,$Y166)="","",INDEX($D$6:$D$40000,$Y166)))</f>
        <v/>
      </c>
      <c r="AB166">
        <f>IF($Y166="","",INDEX($L$6:$L$40000,$Y166)&amp;"")</f>
        <v/>
      </c>
    </row>
    <row r="167">
      <c r="Y167" s="47">
        <f>IFERROR(MATCH(Library!M167,$M$6:$M$40000,0),"")</f>
        <v/>
      </c>
      <c r="Z167">
        <f>IF($Y167="","",INDEX($C$6:$C$40000,$Y167)&amp;"")</f>
        <v/>
      </c>
      <c r="AA167" s="59">
        <f>IF($Y167="","",IF(INDEX($D$6:$D$40000,$Y167)="","",INDEX($D$6:$D$40000,$Y167)))</f>
        <v/>
      </c>
      <c r="AB167">
        <f>IF($Y167="","",INDEX($L$6:$L$40000,$Y167)&amp;"")</f>
        <v/>
      </c>
    </row>
    <row r="168">
      <c r="Y168" s="47">
        <f>IFERROR(MATCH(Library!M168,$M$6:$M$40000,0),"")</f>
        <v/>
      </c>
      <c r="Z168">
        <f>IF($Y168="","",INDEX($C$6:$C$40000,$Y168)&amp;"")</f>
        <v/>
      </c>
      <c r="AA168" s="59">
        <f>IF($Y168="","",IF(INDEX($D$6:$D$40000,$Y168)="","",INDEX($D$6:$D$40000,$Y168)))</f>
        <v/>
      </c>
      <c r="AB168">
        <f>IF($Y168="","",INDEX($L$6:$L$40000,$Y168)&amp;"")</f>
        <v/>
      </c>
    </row>
    <row r="169">
      <c r="Y169" s="47">
        <f>IFERROR(MATCH(Library!M169,$M$6:$M$40000,0),"")</f>
        <v/>
      </c>
      <c r="Z169">
        <f>IF($Y169="","",INDEX($C$6:$C$40000,$Y169)&amp;"")</f>
        <v/>
      </c>
      <c r="AA169" s="59">
        <f>IF($Y169="","",IF(INDEX($D$6:$D$40000,$Y169)="","",INDEX($D$6:$D$40000,$Y169)))</f>
        <v/>
      </c>
      <c r="AB169">
        <f>IF($Y169="","",INDEX($L$6:$L$40000,$Y169)&amp;"")</f>
        <v/>
      </c>
    </row>
    <row r="170">
      <c r="Y170" s="47">
        <f>IFERROR(MATCH(Library!M170,$M$6:$M$40000,0),"")</f>
        <v/>
      </c>
      <c r="Z170">
        <f>IF($Y170="","",INDEX($C$6:$C$40000,$Y170)&amp;"")</f>
        <v/>
      </c>
      <c r="AA170" s="59">
        <f>IF($Y170="","",IF(INDEX($D$6:$D$40000,$Y170)="","",INDEX($D$6:$D$40000,$Y170)))</f>
        <v/>
      </c>
      <c r="AB170">
        <f>IF($Y170="","",INDEX($L$6:$L$40000,$Y170)&amp;"")</f>
        <v/>
      </c>
    </row>
    <row r="171">
      <c r="Y171" s="47">
        <f>IFERROR(MATCH(Library!M171,$M$6:$M$40000,0),"")</f>
        <v/>
      </c>
      <c r="Z171">
        <f>IF($Y171="","",INDEX($C$6:$C$40000,$Y171)&amp;"")</f>
        <v/>
      </c>
      <c r="AA171" s="59">
        <f>IF($Y171="","",IF(INDEX($D$6:$D$40000,$Y171)="","",INDEX($D$6:$D$40000,$Y171)))</f>
        <v/>
      </c>
      <c r="AB171">
        <f>IF($Y171="","",INDEX($L$6:$L$40000,$Y171)&amp;"")</f>
        <v/>
      </c>
    </row>
    <row r="172">
      <c r="Y172" s="47">
        <f>IFERROR(MATCH(Library!M172,$M$6:$M$40000,0),"")</f>
        <v/>
      </c>
      <c r="Z172">
        <f>IF($Y172="","",INDEX($C$6:$C$40000,$Y172)&amp;"")</f>
        <v/>
      </c>
      <c r="AA172" s="59">
        <f>IF($Y172="","",IF(INDEX($D$6:$D$40000,$Y172)="","",INDEX($D$6:$D$40000,$Y172)))</f>
        <v/>
      </c>
      <c r="AB172">
        <f>IF($Y172="","",INDEX($L$6:$L$40000,$Y172)&amp;"")</f>
        <v/>
      </c>
    </row>
    <row r="173">
      <c r="Y173" s="47">
        <f>IFERROR(MATCH(Library!M173,$M$6:$M$40000,0),"")</f>
        <v/>
      </c>
      <c r="Z173">
        <f>IF($Y173="","",INDEX($C$6:$C$40000,$Y173)&amp;"")</f>
        <v/>
      </c>
      <c r="AA173" s="59">
        <f>IF($Y173="","",IF(INDEX($D$6:$D$40000,$Y173)="","",INDEX($D$6:$D$40000,$Y173)))</f>
        <v/>
      </c>
      <c r="AB173">
        <f>IF($Y173="","",INDEX($L$6:$L$40000,$Y173)&amp;"")</f>
        <v/>
      </c>
    </row>
    <row r="174">
      <c r="Y174" s="47">
        <f>IFERROR(MATCH(Library!M174,$M$6:$M$40000,0),"")</f>
        <v/>
      </c>
      <c r="Z174">
        <f>IF($Y174="","",INDEX($C$6:$C$40000,$Y174)&amp;"")</f>
        <v/>
      </c>
      <c r="AA174" s="59">
        <f>IF($Y174="","",IF(INDEX($D$6:$D$40000,$Y174)="","",INDEX($D$6:$D$40000,$Y174)))</f>
        <v/>
      </c>
      <c r="AB174">
        <f>IF($Y174="","",INDEX($L$6:$L$40000,$Y174)&amp;"")</f>
        <v/>
      </c>
    </row>
    <row r="175">
      <c r="Y175" s="47">
        <f>IFERROR(MATCH(Library!M175,$M$6:$M$40000,0),"")</f>
        <v/>
      </c>
      <c r="Z175">
        <f>IF($Y175="","",INDEX($C$6:$C$40000,$Y175)&amp;"")</f>
        <v/>
      </c>
      <c r="AA175" s="59">
        <f>IF($Y175="","",IF(INDEX($D$6:$D$40000,$Y175)="","",INDEX($D$6:$D$40000,$Y175)))</f>
        <v/>
      </c>
      <c r="AB175">
        <f>IF($Y175="","",INDEX($L$6:$L$40000,$Y175)&amp;"")</f>
        <v/>
      </c>
    </row>
    <row r="176">
      <c r="Y176" s="47">
        <f>IFERROR(MATCH(Library!M176,$M$6:$M$40000,0),"")</f>
        <v/>
      </c>
      <c r="Z176">
        <f>IF($Y176="","",INDEX($C$6:$C$40000,$Y176)&amp;"")</f>
        <v/>
      </c>
      <c r="AA176" s="59">
        <f>IF($Y176="","",IF(INDEX($D$6:$D$40000,$Y176)="","",INDEX($D$6:$D$40000,$Y176)))</f>
        <v/>
      </c>
      <c r="AB176">
        <f>IF($Y176="","",INDEX($L$6:$L$40000,$Y176)&amp;"")</f>
        <v/>
      </c>
    </row>
    <row r="177">
      <c r="Y177" s="47">
        <f>IFERROR(MATCH(Library!M177,$M$6:$M$40000,0),"")</f>
        <v/>
      </c>
      <c r="Z177">
        <f>IF($Y177="","",INDEX($C$6:$C$40000,$Y177)&amp;"")</f>
        <v/>
      </c>
      <c r="AA177" s="59">
        <f>IF($Y177="","",IF(INDEX($D$6:$D$40000,$Y177)="","",INDEX($D$6:$D$40000,$Y177)))</f>
        <v/>
      </c>
      <c r="AB177">
        <f>IF($Y177="","",INDEX($L$6:$L$40000,$Y177)&amp;"")</f>
        <v/>
      </c>
    </row>
    <row r="178">
      <c r="Y178" s="47">
        <f>IFERROR(MATCH(Library!M178,$M$6:$M$40000,0),"")</f>
        <v/>
      </c>
      <c r="Z178">
        <f>IF($Y178="","",INDEX($C$6:$C$40000,$Y178)&amp;"")</f>
        <v/>
      </c>
      <c r="AA178" s="59">
        <f>IF($Y178="","",IF(INDEX($D$6:$D$40000,$Y178)="","",INDEX($D$6:$D$40000,$Y178)))</f>
        <v/>
      </c>
      <c r="AB178">
        <f>IF($Y178="","",INDEX($L$6:$L$40000,$Y178)&amp;"")</f>
        <v/>
      </c>
    </row>
    <row r="179">
      <c r="Y179" s="47">
        <f>IFERROR(MATCH(Library!M179,$M$6:$M$40000,0),"")</f>
        <v/>
      </c>
      <c r="Z179">
        <f>IF($Y179="","",INDEX($C$6:$C$40000,$Y179)&amp;"")</f>
        <v/>
      </c>
      <c r="AA179" s="59">
        <f>IF($Y179="","",IF(INDEX($D$6:$D$40000,$Y179)="","",INDEX($D$6:$D$40000,$Y179)))</f>
        <v/>
      </c>
      <c r="AB179">
        <f>IF($Y179="","",INDEX($L$6:$L$40000,$Y179)&amp;"")</f>
        <v/>
      </c>
    </row>
    <row r="180">
      <c r="Y180" s="47">
        <f>IFERROR(MATCH(Library!M180,$M$6:$M$40000,0),"")</f>
        <v/>
      </c>
      <c r="Z180">
        <f>IF($Y180="","",INDEX($C$6:$C$40000,$Y180)&amp;"")</f>
        <v/>
      </c>
      <c r="AA180" s="59">
        <f>IF($Y180="","",IF(INDEX($D$6:$D$40000,$Y180)="","",INDEX($D$6:$D$40000,$Y180)))</f>
        <v/>
      </c>
      <c r="AB180">
        <f>IF($Y180="","",INDEX($L$6:$L$40000,$Y180)&amp;"")</f>
        <v/>
      </c>
    </row>
    <row r="181">
      <c r="Y181" s="47">
        <f>IFERROR(MATCH(Library!M181,$M$6:$M$40000,0),"")</f>
        <v/>
      </c>
      <c r="Z181">
        <f>IF($Y181="","",INDEX($C$6:$C$40000,$Y181)&amp;"")</f>
        <v/>
      </c>
      <c r="AA181" s="59">
        <f>IF($Y181="","",IF(INDEX($D$6:$D$40000,$Y181)="","",INDEX($D$6:$D$40000,$Y181)))</f>
        <v/>
      </c>
      <c r="AB181">
        <f>IF($Y181="","",INDEX($L$6:$L$40000,$Y181)&amp;"")</f>
        <v/>
      </c>
    </row>
    <row r="182">
      <c r="Y182" s="47">
        <f>IFERROR(MATCH(Library!M182,$M$6:$M$40000,0),"")</f>
        <v/>
      </c>
      <c r="Z182">
        <f>IF($Y182="","",INDEX($C$6:$C$40000,$Y182)&amp;"")</f>
        <v/>
      </c>
      <c r="AA182" s="59">
        <f>IF($Y182="","",IF(INDEX($D$6:$D$40000,$Y182)="","",INDEX($D$6:$D$40000,$Y182)))</f>
        <v/>
      </c>
      <c r="AB182">
        <f>IF($Y182="","",INDEX($L$6:$L$40000,$Y182)&amp;"")</f>
        <v/>
      </c>
    </row>
    <row r="183">
      <c r="Y183" s="47">
        <f>IFERROR(MATCH(Library!M183,$M$6:$M$40000,0),"")</f>
        <v/>
      </c>
      <c r="Z183">
        <f>IF($Y183="","",INDEX($C$6:$C$40000,$Y183)&amp;"")</f>
        <v/>
      </c>
      <c r="AA183" s="59">
        <f>IF($Y183="","",IF(INDEX($D$6:$D$40000,$Y183)="","",INDEX($D$6:$D$40000,$Y183)))</f>
        <v/>
      </c>
      <c r="AB183">
        <f>IF($Y183="","",INDEX($L$6:$L$40000,$Y183)&amp;"")</f>
        <v/>
      </c>
    </row>
    <row r="184">
      <c r="Y184" s="47">
        <f>IFERROR(MATCH(Library!M184,$M$6:$M$40000,0),"")</f>
        <v/>
      </c>
      <c r="Z184">
        <f>IF($Y184="","",INDEX($C$6:$C$40000,$Y184)&amp;"")</f>
        <v/>
      </c>
      <c r="AA184" s="59">
        <f>IF($Y184="","",IF(INDEX($D$6:$D$40000,$Y184)="","",INDEX($D$6:$D$40000,$Y184)))</f>
        <v/>
      </c>
      <c r="AB184">
        <f>IF($Y184="","",INDEX($L$6:$L$40000,$Y184)&amp;"")</f>
        <v/>
      </c>
    </row>
    <row r="185">
      <c r="Y185" s="47">
        <f>IFERROR(MATCH(Library!M185,$M$6:$M$40000,0),"")</f>
        <v/>
      </c>
      <c r="Z185">
        <f>IF($Y185="","",INDEX($C$6:$C$40000,$Y185)&amp;"")</f>
        <v/>
      </c>
      <c r="AA185" s="59">
        <f>IF($Y185="","",IF(INDEX($D$6:$D$40000,$Y185)="","",INDEX($D$6:$D$40000,$Y185)))</f>
        <v/>
      </c>
      <c r="AB185">
        <f>IF($Y185="","",INDEX($L$6:$L$40000,$Y185)&amp;"")</f>
        <v/>
      </c>
    </row>
    <row r="186">
      <c r="Y186" s="47">
        <f>IFERROR(MATCH(Library!M186,$M$6:$M$40000,0),"")</f>
        <v/>
      </c>
      <c r="Z186">
        <f>IF($Y186="","",INDEX($C$6:$C$40000,$Y186)&amp;"")</f>
        <v/>
      </c>
      <c r="AA186" s="59">
        <f>IF($Y186="","",IF(INDEX($D$6:$D$40000,$Y186)="","",INDEX($D$6:$D$40000,$Y186)))</f>
        <v/>
      </c>
      <c r="AB186">
        <f>IF($Y186="","",INDEX($L$6:$L$40000,$Y186)&amp;"")</f>
        <v/>
      </c>
    </row>
    <row r="187">
      <c r="Y187" s="47">
        <f>IFERROR(MATCH(Library!M187,$M$6:$M$40000,0),"")</f>
        <v/>
      </c>
      <c r="Z187">
        <f>IF($Y187="","",INDEX($C$6:$C$40000,$Y187)&amp;"")</f>
        <v/>
      </c>
      <c r="AA187" s="59">
        <f>IF($Y187="","",IF(INDEX($D$6:$D$40000,$Y187)="","",INDEX($D$6:$D$40000,$Y187)))</f>
        <v/>
      </c>
      <c r="AB187">
        <f>IF($Y187="","",INDEX($L$6:$L$40000,$Y187)&amp;"")</f>
        <v/>
      </c>
    </row>
    <row r="188">
      <c r="Y188" s="47">
        <f>IFERROR(MATCH(Library!M188,$M$6:$M$40000,0),"")</f>
        <v/>
      </c>
      <c r="Z188">
        <f>IF($Y188="","",INDEX($C$6:$C$40000,$Y188)&amp;"")</f>
        <v/>
      </c>
      <c r="AA188" s="59">
        <f>IF($Y188="","",IF(INDEX($D$6:$D$40000,$Y188)="","",INDEX($D$6:$D$40000,$Y188)))</f>
        <v/>
      </c>
      <c r="AB188">
        <f>IF($Y188="","",INDEX($L$6:$L$40000,$Y188)&amp;"")</f>
        <v/>
      </c>
    </row>
    <row r="189">
      <c r="Y189" s="47">
        <f>IFERROR(MATCH(Library!M189,$M$6:$M$40000,0),"")</f>
        <v/>
      </c>
      <c r="Z189">
        <f>IF($Y189="","",INDEX($C$6:$C$40000,$Y189)&amp;"")</f>
        <v/>
      </c>
      <c r="AA189" s="59">
        <f>IF($Y189="","",IF(INDEX($D$6:$D$40000,$Y189)="","",INDEX($D$6:$D$40000,$Y189)))</f>
        <v/>
      </c>
      <c r="AB189">
        <f>IF($Y189="","",INDEX($L$6:$L$40000,$Y189)&amp;"")</f>
        <v/>
      </c>
    </row>
    <row r="190">
      <c r="Y190" s="47">
        <f>IFERROR(MATCH(Library!M190,$M$6:$M$40000,0),"")</f>
        <v/>
      </c>
      <c r="Z190">
        <f>IF($Y190="","",INDEX($C$6:$C$40000,$Y190)&amp;"")</f>
        <v/>
      </c>
      <c r="AA190" s="59">
        <f>IF($Y190="","",IF(INDEX($D$6:$D$40000,$Y190)="","",INDEX($D$6:$D$40000,$Y190)))</f>
        <v/>
      </c>
      <c r="AB190">
        <f>IF($Y190="","",INDEX($L$6:$L$40000,$Y190)&amp;"")</f>
        <v/>
      </c>
    </row>
    <row r="191">
      <c r="Y191" s="47">
        <f>IFERROR(MATCH(Library!M191,$M$6:$M$40000,0),"")</f>
        <v/>
      </c>
      <c r="Z191">
        <f>IF($Y191="","",INDEX($C$6:$C$40000,$Y191)&amp;"")</f>
        <v/>
      </c>
      <c r="AA191" s="59">
        <f>IF($Y191="","",IF(INDEX($D$6:$D$40000,$Y191)="","",INDEX($D$6:$D$40000,$Y191)))</f>
        <v/>
      </c>
      <c r="AB191">
        <f>IF($Y191="","",INDEX($L$6:$L$40000,$Y191)&amp;"")</f>
        <v/>
      </c>
    </row>
    <row r="192">
      <c r="Y192" s="47">
        <f>IFERROR(MATCH(Library!M192,$M$6:$M$40000,0),"")</f>
        <v/>
      </c>
      <c r="Z192">
        <f>IF($Y192="","",INDEX($C$6:$C$40000,$Y192)&amp;"")</f>
        <v/>
      </c>
      <c r="AA192" s="59">
        <f>IF($Y192="","",IF(INDEX($D$6:$D$40000,$Y192)="","",INDEX($D$6:$D$40000,$Y192)))</f>
        <v/>
      </c>
      <c r="AB192">
        <f>IF($Y192="","",INDEX($L$6:$L$40000,$Y192)&amp;"")</f>
        <v/>
      </c>
    </row>
    <row r="193">
      <c r="Y193" s="47">
        <f>IFERROR(MATCH(Library!M193,$M$6:$M$40000,0),"")</f>
        <v/>
      </c>
      <c r="Z193">
        <f>IF($Y193="","",INDEX($C$6:$C$40000,$Y193)&amp;"")</f>
        <v/>
      </c>
      <c r="AA193" s="59">
        <f>IF($Y193="","",IF(INDEX($D$6:$D$40000,$Y193)="","",INDEX($D$6:$D$40000,$Y193)))</f>
        <v/>
      </c>
      <c r="AB193">
        <f>IF($Y193="","",INDEX($L$6:$L$40000,$Y193)&amp;"")</f>
        <v/>
      </c>
    </row>
    <row r="194">
      <c r="Y194" s="47">
        <f>IFERROR(MATCH(Library!M194,$M$6:$M$40000,0),"")</f>
        <v/>
      </c>
      <c r="Z194">
        <f>IF($Y194="","",INDEX($C$6:$C$40000,$Y194)&amp;"")</f>
        <v/>
      </c>
      <c r="AA194" s="59">
        <f>IF($Y194="","",IF(INDEX($D$6:$D$40000,$Y194)="","",INDEX($D$6:$D$40000,$Y194)))</f>
        <v/>
      </c>
      <c r="AB194">
        <f>IF($Y194="","",INDEX($L$6:$L$40000,$Y194)&amp;"")</f>
        <v/>
      </c>
    </row>
    <row r="195">
      <c r="Y195" s="47">
        <f>IFERROR(MATCH(Library!M195,$M$6:$M$40000,0),"")</f>
        <v/>
      </c>
      <c r="Z195">
        <f>IF($Y195="","",INDEX($C$6:$C$40000,$Y195)&amp;"")</f>
        <v/>
      </c>
      <c r="AA195" s="59">
        <f>IF($Y195="","",IF(INDEX($D$6:$D$40000,$Y195)="","",INDEX($D$6:$D$40000,$Y195)))</f>
        <v/>
      </c>
      <c r="AB195">
        <f>IF($Y195="","",INDEX($L$6:$L$40000,$Y195)&amp;"")</f>
        <v/>
      </c>
    </row>
    <row r="196">
      <c r="Y196" s="47">
        <f>IFERROR(MATCH(Library!M196,$M$6:$M$40000,0),"")</f>
        <v/>
      </c>
      <c r="Z196">
        <f>IF($Y196="","",INDEX($C$6:$C$40000,$Y196)&amp;"")</f>
        <v/>
      </c>
      <c r="AA196" s="59">
        <f>IF($Y196="","",IF(INDEX($D$6:$D$40000,$Y196)="","",INDEX($D$6:$D$40000,$Y196)))</f>
        <v/>
      </c>
      <c r="AB196">
        <f>IF($Y196="","",INDEX($L$6:$L$40000,$Y196)&amp;"")</f>
        <v/>
      </c>
    </row>
    <row r="197">
      <c r="Y197" s="47">
        <f>IFERROR(MATCH(Library!M197,$M$6:$M$40000,0),"")</f>
        <v/>
      </c>
      <c r="Z197">
        <f>IF($Y197="","",INDEX($C$6:$C$40000,$Y197)&amp;"")</f>
        <v/>
      </c>
      <c r="AA197" s="59">
        <f>IF($Y197="","",IF(INDEX($D$6:$D$40000,$Y197)="","",INDEX($D$6:$D$40000,$Y197)))</f>
        <v/>
      </c>
      <c r="AB197">
        <f>IF($Y197="","",INDEX($L$6:$L$40000,$Y197)&amp;"")</f>
        <v/>
      </c>
    </row>
    <row r="198">
      <c r="Y198" s="47">
        <f>IFERROR(MATCH(Library!M198,$M$6:$M$40000,0),"")</f>
        <v/>
      </c>
      <c r="Z198">
        <f>IF($Y198="","",INDEX($C$6:$C$40000,$Y198)&amp;"")</f>
        <v/>
      </c>
      <c r="AA198" s="59">
        <f>IF($Y198="","",IF(INDEX($D$6:$D$40000,$Y198)="","",INDEX($D$6:$D$40000,$Y198)))</f>
        <v/>
      </c>
      <c r="AB198">
        <f>IF($Y198="","",INDEX($L$6:$L$40000,$Y198)&amp;"")</f>
        <v/>
      </c>
    </row>
    <row r="199">
      <c r="Y199" s="47">
        <f>IFERROR(MATCH(Library!M199,$M$6:$M$40000,0),"")</f>
        <v/>
      </c>
      <c r="Z199">
        <f>IF($Y199="","",INDEX($C$6:$C$40000,$Y199)&amp;"")</f>
        <v/>
      </c>
      <c r="AA199" s="59">
        <f>IF($Y199="","",IF(INDEX($D$6:$D$40000,$Y199)="","",INDEX($D$6:$D$40000,$Y199)))</f>
        <v/>
      </c>
      <c r="AB199">
        <f>IF($Y199="","",INDEX($L$6:$L$40000,$Y199)&amp;"")</f>
        <v/>
      </c>
    </row>
    <row r="200">
      <c r="Y200" s="47">
        <f>IFERROR(MATCH(Library!M200,$M$6:$M$40000,0),"")</f>
        <v/>
      </c>
      <c r="Z200">
        <f>IF($Y200="","",INDEX($C$6:$C$40000,$Y200)&amp;"")</f>
        <v/>
      </c>
      <c r="AA200" s="59">
        <f>IF($Y200="","",IF(INDEX($D$6:$D$40000,$Y200)="","",INDEX($D$6:$D$40000,$Y200)))</f>
        <v/>
      </c>
      <c r="AB200">
        <f>IF($Y200="","",INDEX($L$6:$L$40000,$Y200)&amp;"")</f>
        <v/>
      </c>
    </row>
    <row r="201">
      <c r="Y201" s="47">
        <f>IFERROR(MATCH(Library!M201,$M$6:$M$40000,0),"")</f>
        <v/>
      </c>
      <c r="Z201">
        <f>IF($Y201="","",INDEX($C$6:$C$40000,$Y201)&amp;"")</f>
        <v/>
      </c>
      <c r="AA201" s="59">
        <f>IF($Y201="","",IF(INDEX($D$6:$D$40000,$Y201)="","",INDEX($D$6:$D$40000,$Y201)))</f>
        <v/>
      </c>
      <c r="AB201">
        <f>IF($Y201="","",INDEX($L$6:$L$40000,$Y201)&amp;"")</f>
        <v/>
      </c>
    </row>
    <row r="202">
      <c r="Y202" s="47">
        <f>IFERROR(MATCH(Library!M202,$M$6:$M$40000,0),"")</f>
        <v/>
      </c>
      <c r="Z202">
        <f>IF($Y202="","",INDEX($C$6:$C$40000,$Y202)&amp;"")</f>
        <v/>
      </c>
      <c r="AA202" s="59">
        <f>IF($Y202="","",IF(INDEX($D$6:$D$40000,$Y202)="","",INDEX($D$6:$D$40000,$Y202)))</f>
        <v/>
      </c>
      <c r="AB202">
        <f>IF($Y202="","",INDEX($L$6:$L$40000,$Y202)&amp;"")</f>
        <v/>
      </c>
    </row>
    <row r="203">
      <c r="Y203" s="47">
        <f>IFERROR(MATCH(Library!M203,$M$6:$M$40000,0),"")</f>
        <v/>
      </c>
      <c r="Z203">
        <f>IF($Y203="","",INDEX($C$6:$C$40000,$Y203)&amp;"")</f>
        <v/>
      </c>
      <c r="AA203" s="59">
        <f>IF($Y203="","",IF(INDEX($D$6:$D$40000,$Y203)="","",INDEX($D$6:$D$40000,$Y203)))</f>
        <v/>
      </c>
      <c r="AB203">
        <f>IF($Y203="","",INDEX($L$6:$L$40000,$Y203)&amp;"")</f>
        <v/>
      </c>
    </row>
    <row r="204">
      <c r="Y204" s="47">
        <f>IFERROR(MATCH(Library!M204,$M$6:$M$40000,0),"")</f>
        <v/>
      </c>
      <c r="Z204">
        <f>IF($Y204="","",INDEX($C$6:$C$40000,$Y204)&amp;"")</f>
        <v/>
      </c>
      <c r="AA204" s="59">
        <f>IF($Y204="","",IF(INDEX($D$6:$D$40000,$Y204)="","",INDEX($D$6:$D$40000,$Y204)))</f>
        <v/>
      </c>
      <c r="AB204">
        <f>IF($Y204="","",INDEX($L$6:$L$40000,$Y204)&amp;"")</f>
        <v/>
      </c>
    </row>
    <row r="205">
      <c r="Y205" s="47">
        <f>IFERROR(MATCH(Library!M205,$M$6:$M$40000,0),"")</f>
        <v/>
      </c>
      <c r="Z205">
        <f>IF($Y205="","",INDEX($C$6:$C$40000,$Y205)&amp;"")</f>
        <v/>
      </c>
      <c r="AA205" s="59">
        <f>IF($Y205="","",IF(INDEX($D$6:$D$40000,$Y205)="","",INDEX($D$6:$D$40000,$Y205)))</f>
        <v/>
      </c>
      <c r="AB205">
        <f>IF($Y205="","",INDEX($L$6:$L$40000,$Y205)&amp;"")</f>
        <v/>
      </c>
    </row>
    <row r="206">
      <c r="Y206" s="47">
        <f>IFERROR(MATCH(Library!M206,$M$6:$M$40000,0),"")</f>
        <v/>
      </c>
      <c r="Z206">
        <f>IF($Y206="","",INDEX($C$6:$C$40000,$Y206)&amp;"")</f>
        <v/>
      </c>
      <c r="AA206" s="59">
        <f>IF($Y206="","",IF(INDEX($D$6:$D$40000,$Y206)="","",INDEX($D$6:$D$40000,$Y206)))</f>
        <v/>
      </c>
      <c r="AB206">
        <f>IF($Y206="","",INDEX($L$6:$L$40000,$Y206)&amp;"")</f>
        <v/>
      </c>
    </row>
    <row r="207">
      <c r="Y207" s="47">
        <f>IFERROR(MATCH(Library!M207,$M$6:$M$40000,0),"")</f>
        <v/>
      </c>
      <c r="Z207">
        <f>IF($Y207="","",INDEX($C$6:$C$40000,$Y207)&amp;"")</f>
        <v/>
      </c>
      <c r="AA207" s="59">
        <f>IF($Y207="","",IF(INDEX($D$6:$D$40000,$Y207)="","",INDEX($D$6:$D$40000,$Y207)))</f>
        <v/>
      </c>
      <c r="AB207">
        <f>IF($Y207="","",INDEX($L$6:$L$40000,$Y207)&amp;"")</f>
        <v/>
      </c>
    </row>
    <row r="208">
      <c r="Y208" s="47">
        <f>IFERROR(MATCH(Library!M208,$M$6:$M$40000,0),"")</f>
        <v/>
      </c>
      <c r="Z208">
        <f>IF($Y208="","",INDEX($C$6:$C$40000,$Y208)&amp;"")</f>
        <v/>
      </c>
      <c r="AA208" s="59">
        <f>IF($Y208="","",IF(INDEX($D$6:$D$40000,$Y208)="","",INDEX($D$6:$D$40000,$Y208)))</f>
        <v/>
      </c>
      <c r="AB208">
        <f>IF($Y208="","",INDEX($L$6:$L$40000,$Y208)&amp;"")</f>
        <v/>
      </c>
    </row>
    <row r="209">
      <c r="Y209" s="47">
        <f>IFERROR(MATCH(Library!M209,$M$6:$M$40000,0),"")</f>
        <v/>
      </c>
      <c r="Z209">
        <f>IF($Y209="","",INDEX($C$6:$C$40000,$Y209)&amp;"")</f>
        <v/>
      </c>
      <c r="AA209" s="59">
        <f>IF($Y209="","",IF(INDEX($D$6:$D$40000,$Y209)="","",INDEX($D$6:$D$40000,$Y209)))</f>
        <v/>
      </c>
      <c r="AB209">
        <f>IF($Y209="","",INDEX($L$6:$L$40000,$Y209)&amp;"")</f>
        <v/>
      </c>
    </row>
    <row r="210">
      <c r="Y210" s="47">
        <f>IFERROR(MATCH(Library!M210,$M$6:$M$40000,0),"")</f>
        <v/>
      </c>
      <c r="Z210">
        <f>IF($Y210="","",INDEX($C$6:$C$40000,$Y210)&amp;"")</f>
        <v/>
      </c>
      <c r="AA210" s="59">
        <f>IF($Y210="","",IF(INDEX($D$6:$D$40000,$Y210)="","",INDEX($D$6:$D$40000,$Y210)))</f>
        <v/>
      </c>
      <c r="AB210">
        <f>IF($Y210="","",INDEX($L$6:$L$40000,$Y210)&amp;"")</f>
        <v/>
      </c>
    </row>
    <row r="211">
      <c r="Y211" s="47">
        <f>IFERROR(MATCH(Library!M211,$M$6:$M$40000,0),"")</f>
        <v/>
      </c>
      <c r="Z211">
        <f>IF($Y211="","",INDEX($C$6:$C$40000,$Y211)&amp;"")</f>
        <v/>
      </c>
      <c r="AA211" s="59">
        <f>IF($Y211="","",IF(INDEX($D$6:$D$40000,$Y211)="","",INDEX($D$6:$D$40000,$Y211)))</f>
        <v/>
      </c>
      <c r="AB211">
        <f>IF($Y211="","",INDEX($L$6:$L$40000,$Y211)&amp;"")</f>
        <v/>
      </c>
    </row>
    <row r="212">
      <c r="Y212" s="47">
        <f>IFERROR(MATCH(Library!M212,$M$6:$M$40000,0),"")</f>
        <v/>
      </c>
      <c r="Z212">
        <f>IF($Y212="","",INDEX($C$6:$C$40000,$Y212)&amp;"")</f>
        <v/>
      </c>
      <c r="AA212" s="59">
        <f>IF($Y212="","",IF(INDEX($D$6:$D$40000,$Y212)="","",INDEX($D$6:$D$40000,$Y212)))</f>
        <v/>
      </c>
      <c r="AB212">
        <f>IF($Y212="","",INDEX($L$6:$L$40000,$Y212)&amp;"")</f>
        <v/>
      </c>
    </row>
    <row r="213">
      <c r="Y213" s="47">
        <f>IFERROR(MATCH(Library!M213,$M$6:$M$40000,0),"")</f>
        <v/>
      </c>
      <c r="Z213">
        <f>IF($Y213="","",INDEX($C$6:$C$40000,$Y213)&amp;"")</f>
        <v/>
      </c>
      <c r="AA213" s="59">
        <f>IF($Y213="","",IF(INDEX($D$6:$D$40000,$Y213)="","",INDEX($D$6:$D$40000,$Y213)))</f>
        <v/>
      </c>
      <c r="AB213">
        <f>IF($Y213="","",INDEX($L$6:$L$40000,$Y213)&amp;"")</f>
        <v/>
      </c>
    </row>
    <row r="214">
      <c r="Y214" s="47">
        <f>IFERROR(MATCH(Library!M214,$M$6:$M$40000,0),"")</f>
        <v/>
      </c>
      <c r="Z214">
        <f>IF($Y214="","",INDEX($C$6:$C$40000,$Y214)&amp;"")</f>
        <v/>
      </c>
      <c r="AA214" s="59">
        <f>IF($Y214="","",IF(INDEX($D$6:$D$40000,$Y214)="","",INDEX($D$6:$D$40000,$Y214)))</f>
        <v/>
      </c>
      <c r="AB214">
        <f>IF($Y214="","",INDEX($L$6:$L$40000,$Y214)&amp;"")</f>
        <v/>
      </c>
    </row>
    <row r="215">
      <c r="Y215" s="47">
        <f>IFERROR(MATCH(Library!M215,$M$6:$M$40000,0),"")</f>
        <v/>
      </c>
      <c r="Z215">
        <f>IF($Y215="","",INDEX($C$6:$C$40000,$Y215)&amp;"")</f>
        <v/>
      </c>
      <c r="AA215" s="59">
        <f>IF($Y215="","",IF(INDEX($D$6:$D$40000,$Y215)="","",INDEX($D$6:$D$40000,$Y215)))</f>
        <v/>
      </c>
      <c r="AB215">
        <f>IF($Y215="","",INDEX($L$6:$L$40000,$Y215)&amp;"")</f>
        <v/>
      </c>
    </row>
    <row r="216">
      <c r="Y216" s="47">
        <f>IFERROR(MATCH(Library!M216,$M$6:$M$40000,0),"")</f>
        <v/>
      </c>
      <c r="Z216">
        <f>IF($Y216="","",INDEX($C$6:$C$40000,$Y216)&amp;"")</f>
        <v/>
      </c>
      <c r="AA216" s="59">
        <f>IF($Y216="","",IF(INDEX($D$6:$D$40000,$Y216)="","",INDEX($D$6:$D$40000,$Y216)))</f>
        <v/>
      </c>
      <c r="AB216">
        <f>IF($Y216="","",INDEX($L$6:$L$40000,$Y216)&amp;"")</f>
        <v/>
      </c>
    </row>
    <row r="217">
      <c r="Y217" s="47">
        <f>IFERROR(MATCH(Library!M217,$M$6:$M$40000,0),"")</f>
        <v/>
      </c>
      <c r="Z217">
        <f>IF($Y217="","",INDEX($C$6:$C$40000,$Y217)&amp;"")</f>
        <v/>
      </c>
      <c r="AA217" s="59">
        <f>IF($Y217="","",IF(INDEX($D$6:$D$40000,$Y217)="","",INDEX($D$6:$D$40000,$Y217)))</f>
        <v/>
      </c>
      <c r="AB217">
        <f>IF($Y217="","",INDEX($L$6:$L$40000,$Y217)&amp;"")</f>
        <v/>
      </c>
    </row>
    <row r="218">
      <c r="Y218" s="47">
        <f>IFERROR(MATCH(Library!M218,$M$6:$M$40000,0),"")</f>
        <v/>
      </c>
      <c r="Z218">
        <f>IF($Y218="","",INDEX($C$6:$C$40000,$Y218)&amp;"")</f>
        <v/>
      </c>
      <c r="AA218" s="59">
        <f>IF($Y218="","",IF(INDEX($D$6:$D$40000,$Y218)="","",INDEX($D$6:$D$40000,$Y218)))</f>
        <v/>
      </c>
      <c r="AB218">
        <f>IF($Y218="","",INDEX($L$6:$L$40000,$Y218)&amp;"")</f>
        <v/>
      </c>
    </row>
    <row r="219">
      <c r="Y219" s="47">
        <f>IFERROR(MATCH(Library!M219,$M$6:$M$40000,0),"")</f>
        <v/>
      </c>
      <c r="Z219">
        <f>IF($Y219="","",INDEX($C$6:$C$40000,$Y219)&amp;"")</f>
        <v/>
      </c>
      <c r="AA219" s="59">
        <f>IF($Y219="","",IF(INDEX($D$6:$D$40000,$Y219)="","",INDEX($D$6:$D$40000,$Y219)))</f>
        <v/>
      </c>
      <c r="AB219">
        <f>IF($Y219="","",INDEX($L$6:$L$40000,$Y219)&amp;"")</f>
        <v/>
      </c>
    </row>
    <row r="220">
      <c r="Y220" s="47">
        <f>IFERROR(MATCH(Library!M220,$M$6:$M$40000,0),"")</f>
        <v/>
      </c>
      <c r="Z220">
        <f>IF($Y220="","",INDEX($C$6:$C$40000,$Y220)&amp;"")</f>
        <v/>
      </c>
      <c r="AA220" s="59">
        <f>IF($Y220="","",IF(INDEX($D$6:$D$40000,$Y220)="","",INDEX($D$6:$D$40000,$Y220)))</f>
        <v/>
      </c>
      <c r="AB220">
        <f>IF($Y220="","",INDEX($L$6:$L$40000,$Y220)&amp;"")</f>
        <v/>
      </c>
    </row>
    <row r="221">
      <c r="Y221" s="47">
        <f>IFERROR(MATCH(Library!M221,$M$6:$M$40000,0),"")</f>
        <v/>
      </c>
      <c r="Z221">
        <f>IF($Y221="","",INDEX($C$6:$C$40000,$Y221)&amp;"")</f>
        <v/>
      </c>
      <c r="AA221" s="59">
        <f>IF($Y221="","",IF(INDEX($D$6:$D$40000,$Y221)="","",INDEX($D$6:$D$40000,$Y221)))</f>
        <v/>
      </c>
      <c r="AB221">
        <f>IF($Y221="","",INDEX($L$6:$L$40000,$Y221)&amp;"")</f>
        <v/>
      </c>
    </row>
    <row r="222">
      <c r="Y222" s="47">
        <f>IFERROR(MATCH(Library!M222,$M$6:$M$40000,0),"")</f>
        <v/>
      </c>
      <c r="Z222">
        <f>IF($Y222="","",INDEX($C$6:$C$40000,$Y222)&amp;"")</f>
        <v/>
      </c>
      <c r="AA222" s="59">
        <f>IF($Y222="","",IF(INDEX($D$6:$D$40000,$Y222)="","",INDEX($D$6:$D$40000,$Y222)))</f>
        <v/>
      </c>
      <c r="AB222">
        <f>IF($Y222="","",INDEX($L$6:$L$40000,$Y222)&amp;"")</f>
        <v/>
      </c>
    </row>
    <row r="223">
      <c r="Y223" s="47">
        <f>IFERROR(MATCH(Library!M223,$M$6:$M$40000,0),"")</f>
        <v/>
      </c>
      <c r="Z223">
        <f>IF($Y223="","",INDEX($C$6:$C$40000,$Y223)&amp;"")</f>
        <v/>
      </c>
      <c r="AA223" s="59">
        <f>IF($Y223="","",IF(INDEX($D$6:$D$40000,$Y223)="","",INDEX($D$6:$D$40000,$Y223)))</f>
        <v/>
      </c>
      <c r="AB223">
        <f>IF($Y223="","",INDEX($L$6:$L$40000,$Y223)&amp;"")</f>
        <v/>
      </c>
    </row>
    <row r="224">
      <c r="Y224" s="47">
        <f>IFERROR(MATCH(Library!M224,$M$6:$M$40000,0),"")</f>
        <v/>
      </c>
      <c r="Z224">
        <f>IF($Y224="","",INDEX($C$6:$C$40000,$Y224)&amp;"")</f>
        <v/>
      </c>
      <c r="AA224" s="59">
        <f>IF($Y224="","",IF(INDEX($D$6:$D$40000,$Y224)="","",INDEX($D$6:$D$40000,$Y224)))</f>
        <v/>
      </c>
      <c r="AB224">
        <f>IF($Y224="","",INDEX($L$6:$L$40000,$Y224)&amp;"")</f>
        <v/>
      </c>
    </row>
    <row r="225">
      <c r="Y225" s="47">
        <f>IFERROR(MATCH(Library!M225,$M$6:$M$40000,0),"")</f>
        <v/>
      </c>
      <c r="Z225">
        <f>IF($Y225="","",INDEX($C$6:$C$40000,$Y225)&amp;"")</f>
        <v/>
      </c>
      <c r="AA225" s="59">
        <f>IF($Y225="","",IF(INDEX($D$6:$D$40000,$Y225)="","",INDEX($D$6:$D$40000,$Y225)))</f>
        <v/>
      </c>
      <c r="AB225">
        <f>IF($Y225="","",INDEX($L$6:$L$40000,$Y225)&amp;"")</f>
        <v/>
      </c>
    </row>
    <row r="226">
      <c r="Y226" s="47">
        <f>IFERROR(MATCH(Library!M226,$M$6:$M$40000,0),"")</f>
        <v/>
      </c>
      <c r="Z226">
        <f>IF($Y226="","",INDEX($C$6:$C$40000,$Y226)&amp;"")</f>
        <v/>
      </c>
      <c r="AA226" s="59">
        <f>IF($Y226="","",IF(INDEX($D$6:$D$40000,$Y226)="","",INDEX($D$6:$D$40000,$Y226)))</f>
        <v/>
      </c>
      <c r="AB226">
        <f>IF($Y226="","",INDEX($L$6:$L$40000,$Y226)&amp;"")</f>
        <v/>
      </c>
    </row>
    <row r="227">
      <c r="Y227" s="47">
        <f>IFERROR(MATCH(Library!M227,$M$6:$M$40000,0),"")</f>
        <v/>
      </c>
      <c r="Z227">
        <f>IF($Y227="","",INDEX($C$6:$C$40000,$Y227)&amp;"")</f>
        <v/>
      </c>
      <c r="AA227" s="59">
        <f>IF($Y227="","",IF(INDEX($D$6:$D$40000,$Y227)="","",INDEX($D$6:$D$40000,$Y227)))</f>
        <v/>
      </c>
      <c r="AB227">
        <f>IF($Y227="","",INDEX($L$6:$L$40000,$Y227)&amp;"")</f>
        <v/>
      </c>
    </row>
    <row r="228">
      <c r="Y228" s="47">
        <f>IFERROR(MATCH(Library!M228,$M$6:$M$40000,0),"")</f>
        <v/>
      </c>
      <c r="Z228">
        <f>IF($Y228="","",INDEX($C$6:$C$40000,$Y228)&amp;"")</f>
        <v/>
      </c>
      <c r="AA228" s="59">
        <f>IF($Y228="","",IF(INDEX($D$6:$D$40000,$Y228)="","",INDEX($D$6:$D$40000,$Y228)))</f>
        <v/>
      </c>
      <c r="AB228">
        <f>IF($Y228="","",INDEX($L$6:$L$40000,$Y228)&amp;"")</f>
        <v/>
      </c>
    </row>
    <row r="229">
      <c r="Y229" s="47">
        <f>IFERROR(MATCH(Library!M229,$M$6:$M$40000,0),"")</f>
        <v/>
      </c>
      <c r="Z229">
        <f>IF($Y229="","",INDEX($C$6:$C$40000,$Y229)&amp;"")</f>
        <v/>
      </c>
      <c r="AA229" s="59">
        <f>IF($Y229="","",IF(INDEX($D$6:$D$40000,$Y229)="","",INDEX($D$6:$D$40000,$Y229)))</f>
        <v/>
      </c>
      <c r="AB229">
        <f>IF($Y229="","",INDEX($L$6:$L$40000,$Y229)&amp;"")</f>
        <v/>
      </c>
    </row>
    <row r="230">
      <c r="Y230" s="47">
        <f>IFERROR(MATCH(Library!M230,$M$6:$M$40000,0),"")</f>
        <v/>
      </c>
      <c r="Z230">
        <f>IF($Y230="","",INDEX($C$6:$C$40000,$Y230)&amp;"")</f>
        <v/>
      </c>
      <c r="AA230" s="59">
        <f>IF($Y230="","",IF(INDEX($D$6:$D$40000,$Y230)="","",INDEX($D$6:$D$40000,$Y230)))</f>
        <v/>
      </c>
      <c r="AB230">
        <f>IF($Y230="","",INDEX($L$6:$L$40000,$Y230)&amp;"")</f>
        <v/>
      </c>
    </row>
    <row r="231">
      <c r="Y231" s="47">
        <f>IFERROR(MATCH(Library!M231,$M$6:$M$40000,0),"")</f>
        <v/>
      </c>
      <c r="Z231">
        <f>IF($Y231="","",INDEX($C$6:$C$40000,$Y231)&amp;"")</f>
        <v/>
      </c>
      <c r="AA231" s="59">
        <f>IF($Y231="","",IF(INDEX($D$6:$D$40000,$Y231)="","",INDEX($D$6:$D$40000,$Y231)))</f>
        <v/>
      </c>
      <c r="AB231">
        <f>IF($Y231="","",INDEX($L$6:$L$40000,$Y231)&amp;"")</f>
        <v/>
      </c>
    </row>
    <row r="232">
      <c r="Y232" s="47">
        <f>IFERROR(MATCH(Library!M232,$M$6:$M$40000,0),"")</f>
        <v/>
      </c>
      <c r="Z232">
        <f>IF($Y232="","",INDEX($C$6:$C$40000,$Y232)&amp;"")</f>
        <v/>
      </c>
      <c r="AA232" s="59">
        <f>IF($Y232="","",IF(INDEX($D$6:$D$40000,$Y232)="","",INDEX($D$6:$D$40000,$Y232)))</f>
        <v/>
      </c>
      <c r="AB232">
        <f>IF($Y232="","",INDEX($L$6:$L$40000,$Y232)&amp;"")</f>
        <v/>
      </c>
    </row>
    <row r="233">
      <c r="Y233" s="47">
        <f>IFERROR(MATCH(Library!M233,$M$6:$M$40000,0),"")</f>
        <v/>
      </c>
      <c r="Z233">
        <f>IF($Y233="","",INDEX($C$6:$C$40000,$Y233)&amp;"")</f>
        <v/>
      </c>
      <c r="AA233" s="59">
        <f>IF($Y233="","",IF(INDEX($D$6:$D$40000,$Y233)="","",INDEX($D$6:$D$40000,$Y233)))</f>
        <v/>
      </c>
      <c r="AB233">
        <f>IF($Y233="","",INDEX($L$6:$L$40000,$Y233)&amp;"")</f>
        <v/>
      </c>
    </row>
    <row r="234">
      <c r="Y234" s="47">
        <f>IFERROR(MATCH(Library!M234,$M$6:$M$40000,0),"")</f>
        <v/>
      </c>
      <c r="Z234">
        <f>IF($Y234="","",INDEX($C$6:$C$40000,$Y234)&amp;"")</f>
        <v/>
      </c>
      <c r="AA234" s="59">
        <f>IF($Y234="","",IF(INDEX($D$6:$D$40000,$Y234)="","",INDEX($D$6:$D$40000,$Y234)))</f>
        <v/>
      </c>
      <c r="AB234">
        <f>IF($Y234="","",INDEX($L$6:$L$40000,$Y234)&amp;"")</f>
        <v/>
      </c>
    </row>
    <row r="235">
      <c r="Y235" s="47">
        <f>IFERROR(MATCH(Library!M235,$M$6:$M$40000,0),"")</f>
        <v/>
      </c>
      <c r="Z235">
        <f>IF($Y235="","",INDEX($C$6:$C$40000,$Y235)&amp;"")</f>
        <v/>
      </c>
      <c r="AA235" s="59">
        <f>IF($Y235="","",IF(INDEX($D$6:$D$40000,$Y235)="","",INDEX($D$6:$D$40000,$Y235)))</f>
        <v/>
      </c>
      <c r="AB235">
        <f>IF($Y235="","",INDEX($L$6:$L$40000,$Y235)&amp;"")</f>
        <v/>
      </c>
    </row>
    <row r="236">
      <c r="Y236" s="47">
        <f>IFERROR(MATCH(Library!M236,$M$6:$M$40000,0),"")</f>
        <v/>
      </c>
      <c r="Z236">
        <f>IF($Y236="","",INDEX($C$6:$C$40000,$Y236)&amp;"")</f>
        <v/>
      </c>
      <c r="AA236" s="59">
        <f>IF($Y236="","",IF(INDEX($D$6:$D$40000,$Y236)="","",INDEX($D$6:$D$40000,$Y236)))</f>
        <v/>
      </c>
      <c r="AB236">
        <f>IF($Y236="","",INDEX($L$6:$L$40000,$Y236)&amp;"")</f>
        <v/>
      </c>
    </row>
    <row r="237">
      <c r="Y237" s="47">
        <f>IFERROR(MATCH(Library!M237,$M$6:$M$40000,0),"")</f>
        <v/>
      </c>
      <c r="Z237">
        <f>IF($Y237="","",INDEX($C$6:$C$40000,$Y237)&amp;"")</f>
        <v/>
      </c>
      <c r="AA237" s="59">
        <f>IF($Y237="","",IF(INDEX($D$6:$D$40000,$Y237)="","",INDEX($D$6:$D$40000,$Y237)))</f>
        <v/>
      </c>
      <c r="AB237">
        <f>IF($Y237="","",INDEX($L$6:$L$40000,$Y237)&amp;"")</f>
        <v/>
      </c>
    </row>
    <row r="238">
      <c r="Y238" s="47">
        <f>IFERROR(MATCH(Library!M238,$M$6:$M$40000,0),"")</f>
        <v/>
      </c>
      <c r="Z238">
        <f>IF($Y238="","",INDEX($C$6:$C$40000,$Y238)&amp;"")</f>
        <v/>
      </c>
      <c r="AA238" s="59">
        <f>IF($Y238="","",IF(INDEX($D$6:$D$40000,$Y238)="","",INDEX($D$6:$D$40000,$Y238)))</f>
        <v/>
      </c>
      <c r="AB238">
        <f>IF($Y238="","",INDEX($L$6:$L$40000,$Y238)&amp;"")</f>
        <v/>
      </c>
    </row>
    <row r="239">
      <c r="Y239" s="47">
        <f>IFERROR(MATCH(Library!M239,$M$6:$M$40000,0),"")</f>
        <v/>
      </c>
      <c r="Z239">
        <f>IF($Y239="","",INDEX($C$6:$C$40000,$Y239)&amp;"")</f>
        <v/>
      </c>
      <c r="AA239" s="59">
        <f>IF($Y239="","",IF(INDEX($D$6:$D$40000,$Y239)="","",INDEX($D$6:$D$40000,$Y239)))</f>
        <v/>
      </c>
      <c r="AB239">
        <f>IF($Y239="","",INDEX($L$6:$L$40000,$Y239)&amp;"")</f>
        <v/>
      </c>
    </row>
    <row r="240">
      <c r="Y240" s="47">
        <f>IFERROR(MATCH(Library!M240,$M$6:$M$40000,0),"")</f>
        <v/>
      </c>
      <c r="Z240">
        <f>IF($Y240="","",INDEX($C$6:$C$40000,$Y240)&amp;"")</f>
        <v/>
      </c>
      <c r="AA240" s="59">
        <f>IF($Y240="","",IF(INDEX($D$6:$D$40000,$Y240)="","",INDEX($D$6:$D$40000,$Y240)))</f>
        <v/>
      </c>
      <c r="AB240">
        <f>IF($Y240="","",INDEX($L$6:$L$40000,$Y240)&amp;"")</f>
        <v/>
      </c>
    </row>
    <row r="241">
      <c r="Y241" s="47">
        <f>IFERROR(MATCH(Library!M241,$M$6:$M$40000,0),"")</f>
        <v/>
      </c>
      <c r="Z241">
        <f>IF($Y241="","",INDEX($C$6:$C$40000,$Y241)&amp;"")</f>
        <v/>
      </c>
      <c r="AA241" s="59">
        <f>IF($Y241="","",IF(INDEX($D$6:$D$40000,$Y241)="","",INDEX($D$6:$D$40000,$Y241)))</f>
        <v/>
      </c>
      <c r="AB241">
        <f>IF($Y241="","",INDEX($L$6:$L$40000,$Y241)&amp;"")</f>
        <v/>
      </c>
    </row>
    <row r="242">
      <c r="Y242" s="47">
        <f>IFERROR(MATCH(Library!M242,$M$6:$M$40000,0),"")</f>
        <v/>
      </c>
      <c r="Z242">
        <f>IF($Y242="","",INDEX($C$6:$C$40000,$Y242)&amp;"")</f>
        <v/>
      </c>
      <c r="AA242" s="59">
        <f>IF($Y242="","",IF(INDEX($D$6:$D$40000,$Y242)="","",INDEX($D$6:$D$40000,$Y242)))</f>
        <v/>
      </c>
      <c r="AB242">
        <f>IF($Y242="","",INDEX($L$6:$L$40000,$Y242)&amp;"")</f>
        <v/>
      </c>
    </row>
    <row r="243">
      <c r="Y243" s="47">
        <f>IFERROR(MATCH(Library!M243,$M$6:$M$40000,0),"")</f>
        <v/>
      </c>
      <c r="Z243">
        <f>IF($Y243="","",INDEX($C$6:$C$40000,$Y243)&amp;"")</f>
        <v/>
      </c>
      <c r="AA243" s="59">
        <f>IF($Y243="","",IF(INDEX($D$6:$D$40000,$Y243)="","",INDEX($D$6:$D$40000,$Y243)))</f>
        <v/>
      </c>
      <c r="AB243">
        <f>IF($Y243="","",INDEX($L$6:$L$40000,$Y243)&amp;"")</f>
        <v/>
      </c>
    </row>
    <row r="244">
      <c r="Y244" s="47">
        <f>IFERROR(MATCH(Library!M244,$M$6:$M$40000,0),"")</f>
        <v/>
      </c>
      <c r="Z244">
        <f>IF($Y244="","",INDEX($C$6:$C$40000,$Y244)&amp;"")</f>
        <v/>
      </c>
      <c r="AA244" s="59">
        <f>IF($Y244="","",IF(INDEX($D$6:$D$40000,$Y244)="","",INDEX($D$6:$D$40000,$Y244)))</f>
        <v/>
      </c>
      <c r="AB244">
        <f>IF($Y244="","",INDEX($L$6:$L$40000,$Y244)&amp;"")</f>
        <v/>
      </c>
    </row>
    <row r="245">
      <c r="Y245" s="47">
        <f>IFERROR(MATCH(Library!M245,$M$6:$M$40000,0),"")</f>
        <v/>
      </c>
      <c r="Z245">
        <f>IF($Y245="","",INDEX($C$6:$C$40000,$Y245)&amp;"")</f>
        <v/>
      </c>
      <c r="AA245" s="59">
        <f>IF($Y245="","",IF(INDEX($D$6:$D$40000,$Y245)="","",INDEX($D$6:$D$40000,$Y245)))</f>
        <v/>
      </c>
      <c r="AB245">
        <f>IF($Y245="","",INDEX($L$6:$L$40000,$Y245)&amp;"")</f>
        <v/>
      </c>
    </row>
    <row r="246">
      <c r="Y246" s="47">
        <f>IFERROR(MATCH(Library!M246,$M$6:$M$40000,0),"")</f>
        <v/>
      </c>
      <c r="Z246">
        <f>IF($Y246="","",INDEX($C$6:$C$40000,$Y246)&amp;"")</f>
        <v/>
      </c>
      <c r="AA246" s="59">
        <f>IF($Y246="","",IF(INDEX($D$6:$D$40000,$Y246)="","",INDEX($D$6:$D$40000,$Y246)))</f>
        <v/>
      </c>
      <c r="AB246">
        <f>IF($Y246="","",INDEX($L$6:$L$40000,$Y246)&amp;"")</f>
        <v/>
      </c>
    </row>
    <row r="247">
      <c r="Y247" s="47">
        <f>IFERROR(MATCH(Library!M247,$M$6:$M$40000,0),"")</f>
        <v/>
      </c>
      <c r="Z247">
        <f>IF($Y247="","",INDEX($C$6:$C$40000,$Y247)&amp;"")</f>
        <v/>
      </c>
      <c r="AA247" s="59">
        <f>IF($Y247="","",IF(INDEX($D$6:$D$40000,$Y247)="","",INDEX($D$6:$D$40000,$Y247)))</f>
        <v/>
      </c>
      <c r="AB247">
        <f>IF($Y247="","",INDEX($L$6:$L$40000,$Y247)&amp;"")</f>
        <v/>
      </c>
    </row>
    <row r="248">
      <c r="Y248" s="47">
        <f>IFERROR(MATCH(Library!M248,$M$6:$M$40000,0),"")</f>
        <v/>
      </c>
      <c r="Z248">
        <f>IF($Y248="","",INDEX($C$6:$C$40000,$Y248)&amp;"")</f>
        <v/>
      </c>
      <c r="AA248" s="59">
        <f>IF($Y248="","",IF(INDEX($D$6:$D$40000,$Y248)="","",INDEX($D$6:$D$40000,$Y248)))</f>
        <v/>
      </c>
      <c r="AB248">
        <f>IF($Y248="","",INDEX($L$6:$L$40000,$Y248)&amp;"")</f>
        <v/>
      </c>
    </row>
    <row r="249">
      <c r="Y249" s="47">
        <f>IFERROR(MATCH(Library!M249,$M$6:$M$40000,0),"")</f>
        <v/>
      </c>
      <c r="Z249">
        <f>IF($Y249="","",INDEX($C$6:$C$40000,$Y249)&amp;"")</f>
        <v/>
      </c>
      <c r="AA249" s="59">
        <f>IF($Y249="","",IF(INDEX($D$6:$D$40000,$Y249)="","",INDEX($D$6:$D$40000,$Y249)))</f>
        <v/>
      </c>
      <c r="AB249">
        <f>IF($Y249="","",INDEX($L$6:$L$40000,$Y249)&amp;"")</f>
        <v/>
      </c>
    </row>
    <row r="250">
      <c r="Y250" s="47">
        <f>IFERROR(MATCH(Library!M250,$M$6:$M$40000,0),"")</f>
        <v/>
      </c>
      <c r="Z250">
        <f>IF($Y250="","",INDEX($C$6:$C$40000,$Y250)&amp;"")</f>
        <v/>
      </c>
      <c r="AA250" s="59">
        <f>IF($Y250="","",IF(INDEX($D$6:$D$40000,$Y250)="","",INDEX($D$6:$D$40000,$Y250)))</f>
        <v/>
      </c>
      <c r="AB250">
        <f>IF($Y250="","",INDEX($L$6:$L$40000,$Y250)&amp;"")</f>
        <v/>
      </c>
    </row>
    <row r="251">
      <c r="Y251" s="47">
        <f>IFERROR(MATCH(Library!M251,$M$6:$M$40000,0),"")</f>
        <v/>
      </c>
      <c r="Z251">
        <f>IF($Y251="","",INDEX($C$6:$C$40000,$Y251)&amp;"")</f>
        <v/>
      </c>
      <c r="AA251" s="59">
        <f>IF($Y251="","",IF(INDEX($D$6:$D$40000,$Y251)="","",INDEX($D$6:$D$40000,$Y251)))</f>
        <v/>
      </c>
      <c r="AB251">
        <f>IF($Y251="","",INDEX($L$6:$L$40000,$Y251)&amp;"")</f>
        <v/>
      </c>
    </row>
    <row r="252">
      <c r="Y252" s="47">
        <f>IFERROR(MATCH(Library!M252,$M$6:$M$40000,0),"")</f>
        <v/>
      </c>
      <c r="Z252">
        <f>IF($Y252="","",INDEX($C$6:$C$40000,$Y252)&amp;"")</f>
        <v/>
      </c>
      <c r="AA252" s="59">
        <f>IF($Y252="","",IF(INDEX($D$6:$D$40000,$Y252)="","",INDEX($D$6:$D$40000,$Y252)))</f>
        <v/>
      </c>
      <c r="AB252">
        <f>IF($Y252="","",INDEX($L$6:$L$40000,$Y252)&amp;"")</f>
        <v/>
      </c>
    </row>
    <row r="253">
      <c r="Y253" s="47">
        <f>IFERROR(MATCH(Library!M253,$M$6:$M$40000,0),"")</f>
        <v/>
      </c>
      <c r="Z253">
        <f>IF($Y253="","",INDEX($C$6:$C$40000,$Y253)&amp;"")</f>
        <v/>
      </c>
      <c r="AA253" s="59">
        <f>IF($Y253="","",IF(INDEX($D$6:$D$40000,$Y253)="","",INDEX($D$6:$D$40000,$Y253)))</f>
        <v/>
      </c>
      <c r="AB253">
        <f>IF($Y253="","",INDEX($L$6:$L$40000,$Y253)&amp;"")</f>
        <v/>
      </c>
    </row>
    <row r="254">
      <c r="Y254" s="47">
        <f>IFERROR(MATCH(Library!M254,$M$6:$M$40000,0),"")</f>
        <v/>
      </c>
      <c r="Z254">
        <f>IF($Y254="","",INDEX($C$6:$C$40000,$Y254)&amp;"")</f>
        <v/>
      </c>
      <c r="AA254" s="59">
        <f>IF($Y254="","",IF(INDEX($D$6:$D$40000,$Y254)="","",INDEX($D$6:$D$40000,$Y254)))</f>
        <v/>
      </c>
      <c r="AB254">
        <f>IF($Y254="","",INDEX($L$6:$L$40000,$Y254)&amp;"")</f>
        <v/>
      </c>
    </row>
    <row r="255">
      <c r="Y255" s="47">
        <f>IFERROR(MATCH(Library!M255,$M$6:$M$40000,0),"")</f>
        <v/>
      </c>
      <c r="Z255">
        <f>IF($Y255="","",INDEX($C$6:$C$40000,$Y255)&amp;"")</f>
        <v/>
      </c>
      <c r="AA255" s="59">
        <f>IF($Y255="","",IF(INDEX($D$6:$D$40000,$Y255)="","",INDEX($D$6:$D$40000,$Y255)))</f>
        <v/>
      </c>
      <c r="AB255">
        <f>IF($Y255="","",INDEX($L$6:$L$40000,$Y255)&amp;"")</f>
        <v/>
      </c>
    </row>
    <row r="256">
      <c r="Y256" s="47">
        <f>IFERROR(MATCH(Library!M256,$M$6:$M$40000,0),"")</f>
        <v/>
      </c>
      <c r="Z256">
        <f>IF($Y256="","",INDEX($C$6:$C$40000,$Y256)&amp;"")</f>
        <v/>
      </c>
      <c r="AA256" s="59">
        <f>IF($Y256="","",IF(INDEX($D$6:$D$40000,$Y256)="","",INDEX($D$6:$D$40000,$Y256)))</f>
        <v/>
      </c>
      <c r="AB256">
        <f>IF($Y256="","",INDEX($L$6:$L$40000,$Y256)&amp;"")</f>
        <v/>
      </c>
    </row>
    <row r="257">
      <c r="Y257" s="47">
        <f>IFERROR(MATCH(Library!M257,$M$6:$M$40000,0),"")</f>
        <v/>
      </c>
      <c r="Z257">
        <f>IF($Y257="","",INDEX($C$6:$C$40000,$Y257)&amp;"")</f>
        <v/>
      </c>
      <c r="AA257" s="59">
        <f>IF($Y257="","",IF(INDEX($D$6:$D$40000,$Y257)="","",INDEX($D$6:$D$40000,$Y257)))</f>
        <v/>
      </c>
      <c r="AB257">
        <f>IF($Y257="","",INDEX($L$6:$L$40000,$Y257)&amp;"")</f>
        <v/>
      </c>
    </row>
    <row r="258">
      <c r="Y258" s="47">
        <f>IFERROR(MATCH(Library!M258,$M$6:$M$40000,0),"")</f>
        <v/>
      </c>
      <c r="Z258">
        <f>IF($Y258="","",INDEX($C$6:$C$40000,$Y258)&amp;"")</f>
        <v/>
      </c>
      <c r="AA258" s="59">
        <f>IF($Y258="","",IF(INDEX($D$6:$D$40000,$Y258)="","",INDEX($D$6:$D$40000,$Y258)))</f>
        <v/>
      </c>
      <c r="AB258">
        <f>IF($Y258="","",INDEX($L$6:$L$40000,$Y258)&amp;"")</f>
        <v/>
      </c>
    </row>
    <row r="259">
      <c r="Y259" s="47">
        <f>IFERROR(MATCH(Library!M259,$M$6:$M$40000,0),"")</f>
        <v/>
      </c>
      <c r="Z259">
        <f>IF($Y259="","",INDEX($C$6:$C$40000,$Y259)&amp;"")</f>
        <v/>
      </c>
      <c r="AA259" s="59">
        <f>IF($Y259="","",IF(INDEX($D$6:$D$40000,$Y259)="","",INDEX($D$6:$D$40000,$Y259)))</f>
        <v/>
      </c>
      <c r="AB259">
        <f>IF($Y259="","",INDEX($L$6:$L$40000,$Y259)&amp;"")</f>
        <v/>
      </c>
    </row>
    <row r="260">
      <c r="Y260" s="47">
        <f>IFERROR(MATCH(Library!M260,$M$6:$M$40000,0),"")</f>
        <v/>
      </c>
      <c r="Z260">
        <f>IF($Y260="","",INDEX($C$6:$C$40000,$Y260)&amp;"")</f>
        <v/>
      </c>
      <c r="AA260" s="59">
        <f>IF($Y260="","",IF(INDEX($D$6:$D$40000,$Y260)="","",INDEX($D$6:$D$40000,$Y260)))</f>
        <v/>
      </c>
      <c r="AB260">
        <f>IF($Y260="","",INDEX($L$6:$L$40000,$Y260)&amp;"")</f>
        <v/>
      </c>
    </row>
    <row r="261">
      <c r="Y261" s="47">
        <f>IFERROR(MATCH(Library!M261,$M$6:$M$40000,0),"")</f>
        <v/>
      </c>
      <c r="Z261">
        <f>IF($Y261="","",INDEX($C$6:$C$40000,$Y261)&amp;"")</f>
        <v/>
      </c>
      <c r="AA261" s="59">
        <f>IF($Y261="","",IF(INDEX($D$6:$D$40000,$Y261)="","",INDEX($D$6:$D$40000,$Y261)))</f>
        <v/>
      </c>
      <c r="AB261">
        <f>IF($Y261="","",INDEX($L$6:$L$40000,$Y261)&amp;"")</f>
        <v/>
      </c>
    </row>
    <row r="262">
      <c r="Y262" s="47">
        <f>IFERROR(MATCH(Library!M262,$M$6:$M$40000,0),"")</f>
        <v/>
      </c>
      <c r="Z262">
        <f>IF($Y262="","",INDEX($C$6:$C$40000,$Y262)&amp;"")</f>
        <v/>
      </c>
      <c r="AA262" s="59">
        <f>IF($Y262="","",IF(INDEX($D$6:$D$40000,$Y262)="","",INDEX($D$6:$D$40000,$Y262)))</f>
        <v/>
      </c>
      <c r="AB262">
        <f>IF($Y262="","",INDEX($L$6:$L$40000,$Y262)&amp;"")</f>
        <v/>
      </c>
    </row>
    <row r="263">
      <c r="Y263" s="47">
        <f>IFERROR(MATCH(Library!M263,$M$6:$M$40000,0),"")</f>
        <v/>
      </c>
      <c r="Z263">
        <f>IF($Y263="","",INDEX($C$6:$C$40000,$Y263)&amp;"")</f>
        <v/>
      </c>
      <c r="AA263" s="59">
        <f>IF($Y263="","",IF(INDEX($D$6:$D$40000,$Y263)="","",INDEX($D$6:$D$40000,$Y263)))</f>
        <v/>
      </c>
      <c r="AB263">
        <f>IF($Y263="","",INDEX($L$6:$L$40000,$Y263)&amp;"")</f>
        <v/>
      </c>
    </row>
    <row r="264">
      <c r="Y264" s="47">
        <f>IFERROR(MATCH(Library!M264,$M$6:$M$40000,0),"")</f>
        <v/>
      </c>
      <c r="Z264">
        <f>IF($Y264="","",INDEX($C$6:$C$40000,$Y264)&amp;"")</f>
        <v/>
      </c>
      <c r="AA264" s="59">
        <f>IF($Y264="","",IF(INDEX($D$6:$D$40000,$Y264)="","",INDEX($D$6:$D$40000,$Y264)))</f>
        <v/>
      </c>
      <c r="AB264">
        <f>IF($Y264="","",INDEX($L$6:$L$40000,$Y264)&amp;"")</f>
        <v/>
      </c>
    </row>
    <row r="265">
      <c r="Y265" s="47">
        <f>IFERROR(MATCH(Library!M265,$M$6:$M$40000,0),"")</f>
        <v/>
      </c>
      <c r="Z265">
        <f>IF($Y265="","",INDEX($C$6:$C$40000,$Y265)&amp;"")</f>
        <v/>
      </c>
      <c r="AA265" s="59">
        <f>IF($Y265="","",IF(INDEX($D$6:$D$40000,$Y265)="","",INDEX($D$6:$D$40000,$Y265)))</f>
        <v/>
      </c>
      <c r="AB265">
        <f>IF($Y265="","",INDEX($L$6:$L$40000,$Y265)&amp;"")</f>
        <v/>
      </c>
    </row>
    <row r="266">
      <c r="Y266" s="47">
        <f>IFERROR(MATCH(Library!M266,$M$6:$M$40000,0),"")</f>
        <v/>
      </c>
      <c r="Z266">
        <f>IF($Y266="","",INDEX($C$6:$C$40000,$Y266)&amp;"")</f>
        <v/>
      </c>
      <c r="AA266" s="59">
        <f>IF($Y266="","",IF(INDEX($D$6:$D$40000,$Y266)="","",INDEX($D$6:$D$40000,$Y266)))</f>
        <v/>
      </c>
      <c r="AB266">
        <f>IF($Y266="","",INDEX($L$6:$L$40000,$Y266)&amp;"")</f>
        <v/>
      </c>
    </row>
    <row r="267">
      <c r="Y267" s="47">
        <f>IFERROR(MATCH(Library!M267,$M$6:$M$40000,0),"")</f>
        <v/>
      </c>
      <c r="Z267">
        <f>IF($Y267="","",INDEX($C$6:$C$40000,$Y267)&amp;"")</f>
        <v/>
      </c>
      <c r="AA267" s="59">
        <f>IF($Y267="","",IF(INDEX($D$6:$D$40000,$Y267)="","",INDEX($D$6:$D$40000,$Y267)))</f>
        <v/>
      </c>
      <c r="AB267">
        <f>IF($Y267="","",INDEX($L$6:$L$40000,$Y267)&amp;"")</f>
        <v/>
      </c>
    </row>
    <row r="268">
      <c r="Y268" s="47">
        <f>IFERROR(MATCH(Library!M268,$M$6:$M$40000,0),"")</f>
        <v/>
      </c>
      <c r="Z268">
        <f>IF($Y268="","",INDEX($C$6:$C$40000,$Y268)&amp;"")</f>
        <v/>
      </c>
      <c r="AA268" s="59">
        <f>IF($Y268="","",IF(INDEX($D$6:$D$40000,$Y268)="","",INDEX($D$6:$D$40000,$Y268)))</f>
        <v/>
      </c>
      <c r="AB268">
        <f>IF($Y268="","",INDEX($L$6:$L$40000,$Y268)&amp;"")</f>
        <v/>
      </c>
    </row>
    <row r="269">
      <c r="Y269" s="47">
        <f>IFERROR(MATCH(Library!M269,$M$6:$M$40000,0),"")</f>
        <v/>
      </c>
      <c r="Z269">
        <f>IF($Y269="","",INDEX($C$6:$C$40000,$Y269)&amp;"")</f>
        <v/>
      </c>
      <c r="AA269" s="59">
        <f>IF($Y269="","",IF(INDEX($D$6:$D$40000,$Y269)="","",INDEX($D$6:$D$40000,$Y269)))</f>
        <v/>
      </c>
      <c r="AB269">
        <f>IF($Y269="","",INDEX($L$6:$L$40000,$Y269)&amp;"")</f>
        <v/>
      </c>
    </row>
    <row r="270">
      <c r="Y270" s="47">
        <f>IFERROR(MATCH(Library!M270,$M$6:$M$40000,0),"")</f>
        <v/>
      </c>
      <c r="Z270">
        <f>IF($Y270="","",INDEX($C$6:$C$40000,$Y270)&amp;"")</f>
        <v/>
      </c>
      <c r="AA270" s="59">
        <f>IF($Y270="","",IF(INDEX($D$6:$D$40000,$Y270)="","",INDEX($D$6:$D$40000,$Y270)))</f>
        <v/>
      </c>
      <c r="AB270">
        <f>IF($Y270="","",INDEX($L$6:$L$40000,$Y270)&amp;"")</f>
        <v/>
      </c>
    </row>
    <row r="271">
      <c r="Y271" s="47">
        <f>IFERROR(MATCH(Library!M271,$M$6:$M$40000,0),"")</f>
        <v/>
      </c>
      <c r="Z271">
        <f>IF($Y271="","",INDEX($C$6:$C$40000,$Y271)&amp;"")</f>
        <v/>
      </c>
      <c r="AA271" s="59">
        <f>IF($Y271="","",IF(INDEX($D$6:$D$40000,$Y271)="","",INDEX($D$6:$D$40000,$Y271)))</f>
        <v/>
      </c>
      <c r="AB271">
        <f>IF($Y271="","",INDEX($L$6:$L$40000,$Y271)&amp;"")</f>
        <v/>
      </c>
    </row>
    <row r="272">
      <c r="Y272" s="47">
        <f>IFERROR(MATCH(Library!M272,$M$6:$M$40000,0),"")</f>
        <v/>
      </c>
      <c r="Z272">
        <f>IF($Y272="","",INDEX($C$6:$C$40000,$Y272)&amp;"")</f>
        <v/>
      </c>
      <c r="AA272" s="59">
        <f>IF($Y272="","",IF(INDEX($D$6:$D$40000,$Y272)="","",INDEX($D$6:$D$40000,$Y272)))</f>
        <v/>
      </c>
      <c r="AB272">
        <f>IF($Y272="","",INDEX($L$6:$L$40000,$Y272)&amp;"")</f>
        <v/>
      </c>
    </row>
    <row r="273">
      <c r="Y273" s="47">
        <f>IFERROR(MATCH(Library!M273,$M$6:$M$40000,0),"")</f>
        <v/>
      </c>
      <c r="Z273">
        <f>IF($Y273="","",INDEX($C$6:$C$40000,$Y273)&amp;"")</f>
        <v/>
      </c>
      <c r="AA273" s="59">
        <f>IF($Y273="","",IF(INDEX($D$6:$D$40000,$Y273)="","",INDEX($D$6:$D$40000,$Y273)))</f>
        <v/>
      </c>
      <c r="AB273">
        <f>IF($Y273="","",INDEX($L$6:$L$40000,$Y273)&amp;"")</f>
        <v/>
      </c>
    </row>
    <row r="274">
      <c r="Y274" s="47">
        <f>IFERROR(MATCH(Library!M274,$M$6:$M$40000,0),"")</f>
        <v/>
      </c>
      <c r="Z274">
        <f>IF($Y274="","",INDEX($C$6:$C$40000,$Y274)&amp;"")</f>
        <v/>
      </c>
      <c r="AA274" s="59">
        <f>IF($Y274="","",IF(INDEX($D$6:$D$40000,$Y274)="","",INDEX($D$6:$D$40000,$Y274)))</f>
        <v/>
      </c>
      <c r="AB274">
        <f>IF($Y274="","",INDEX($L$6:$L$40000,$Y274)&amp;"")</f>
        <v/>
      </c>
    </row>
    <row r="275">
      <c r="Y275" s="47">
        <f>IFERROR(MATCH(Library!M275,$M$6:$M$40000,0),"")</f>
        <v/>
      </c>
      <c r="Z275">
        <f>IF($Y275="","",INDEX($C$6:$C$40000,$Y275)&amp;"")</f>
        <v/>
      </c>
      <c r="AA275" s="59">
        <f>IF($Y275="","",IF(INDEX($D$6:$D$40000,$Y275)="","",INDEX($D$6:$D$40000,$Y275)))</f>
        <v/>
      </c>
      <c r="AB275">
        <f>IF($Y275="","",INDEX($L$6:$L$40000,$Y275)&amp;"")</f>
        <v/>
      </c>
    </row>
    <row r="276">
      <c r="Y276" s="47">
        <f>IFERROR(MATCH(Library!M276,$M$6:$M$40000,0),"")</f>
        <v/>
      </c>
      <c r="Z276">
        <f>IF($Y276="","",INDEX($C$6:$C$40000,$Y276)&amp;"")</f>
        <v/>
      </c>
      <c r="AA276" s="59">
        <f>IF($Y276="","",IF(INDEX($D$6:$D$40000,$Y276)="","",INDEX($D$6:$D$40000,$Y276)))</f>
        <v/>
      </c>
      <c r="AB276">
        <f>IF($Y276="","",INDEX($L$6:$L$40000,$Y276)&amp;"")</f>
        <v/>
      </c>
    </row>
    <row r="277">
      <c r="Y277" s="47">
        <f>IFERROR(MATCH(Library!M277,$M$6:$M$40000,0),"")</f>
        <v/>
      </c>
      <c r="Z277">
        <f>IF($Y277="","",INDEX($C$6:$C$40000,$Y277)&amp;"")</f>
        <v/>
      </c>
      <c r="AA277" s="59">
        <f>IF($Y277="","",IF(INDEX($D$6:$D$40000,$Y277)="","",INDEX($D$6:$D$40000,$Y277)))</f>
        <v/>
      </c>
      <c r="AB277">
        <f>IF($Y277="","",INDEX($L$6:$L$40000,$Y277)&amp;"")</f>
        <v/>
      </c>
    </row>
    <row r="278">
      <c r="Y278" s="47">
        <f>IFERROR(MATCH(Library!M278,$M$6:$M$40000,0),"")</f>
        <v/>
      </c>
      <c r="Z278">
        <f>IF($Y278="","",INDEX($C$6:$C$40000,$Y278)&amp;"")</f>
        <v/>
      </c>
      <c r="AA278" s="59">
        <f>IF($Y278="","",IF(INDEX($D$6:$D$40000,$Y278)="","",INDEX($D$6:$D$40000,$Y278)))</f>
        <v/>
      </c>
      <c r="AB278">
        <f>IF($Y278="","",INDEX($L$6:$L$40000,$Y278)&amp;"")</f>
        <v/>
      </c>
    </row>
    <row r="279">
      <c r="Y279" s="47">
        <f>IFERROR(MATCH(Library!M279,$M$6:$M$40000,0),"")</f>
        <v/>
      </c>
      <c r="Z279">
        <f>IF($Y279="","",INDEX($C$6:$C$40000,$Y279)&amp;"")</f>
        <v/>
      </c>
      <c r="AA279" s="59">
        <f>IF($Y279="","",IF(INDEX($D$6:$D$40000,$Y279)="","",INDEX($D$6:$D$40000,$Y279)))</f>
        <v/>
      </c>
      <c r="AB279">
        <f>IF($Y279="","",INDEX($L$6:$L$40000,$Y279)&amp;"")</f>
        <v/>
      </c>
    </row>
    <row r="280">
      <c r="Y280" s="47">
        <f>IFERROR(MATCH(Library!M280,$M$6:$M$40000,0),"")</f>
        <v/>
      </c>
      <c r="Z280">
        <f>IF($Y280="","",INDEX($C$6:$C$40000,$Y280)&amp;"")</f>
        <v/>
      </c>
      <c r="AA280" s="59">
        <f>IF($Y280="","",IF(INDEX($D$6:$D$40000,$Y280)="","",INDEX($D$6:$D$40000,$Y280)))</f>
        <v/>
      </c>
      <c r="AB280">
        <f>IF($Y280="","",INDEX($L$6:$L$40000,$Y280)&amp;"")</f>
        <v/>
      </c>
    </row>
    <row r="281">
      <c r="Y281" s="47">
        <f>IFERROR(MATCH(Library!M281,$M$6:$M$40000,0),"")</f>
        <v/>
      </c>
      <c r="Z281">
        <f>IF($Y281="","",INDEX($C$6:$C$40000,$Y281)&amp;"")</f>
        <v/>
      </c>
      <c r="AA281" s="59">
        <f>IF($Y281="","",IF(INDEX($D$6:$D$40000,$Y281)="","",INDEX($D$6:$D$40000,$Y281)))</f>
        <v/>
      </c>
      <c r="AB281">
        <f>IF($Y281="","",INDEX($L$6:$L$40000,$Y281)&amp;"")</f>
        <v/>
      </c>
    </row>
    <row r="282">
      <c r="Y282" s="47">
        <f>IFERROR(MATCH(Library!M282,$M$6:$M$40000,0),"")</f>
        <v/>
      </c>
      <c r="Z282">
        <f>IF($Y282="","",INDEX($C$6:$C$40000,$Y282)&amp;"")</f>
        <v/>
      </c>
      <c r="AA282" s="59">
        <f>IF($Y282="","",IF(INDEX($D$6:$D$40000,$Y282)="","",INDEX($D$6:$D$40000,$Y282)))</f>
        <v/>
      </c>
      <c r="AB282">
        <f>IF($Y282="","",INDEX($L$6:$L$40000,$Y282)&amp;"")</f>
        <v/>
      </c>
    </row>
    <row r="283">
      <c r="Y283" s="47">
        <f>IFERROR(MATCH(Library!M283,$M$6:$M$40000,0),"")</f>
        <v/>
      </c>
      <c r="Z283">
        <f>IF($Y283="","",INDEX($C$6:$C$40000,$Y283)&amp;"")</f>
        <v/>
      </c>
      <c r="AA283" s="59">
        <f>IF($Y283="","",IF(INDEX($D$6:$D$40000,$Y283)="","",INDEX($D$6:$D$40000,$Y283)))</f>
        <v/>
      </c>
      <c r="AB283">
        <f>IF($Y283="","",INDEX($L$6:$L$40000,$Y283)&amp;"")</f>
        <v/>
      </c>
    </row>
    <row r="284">
      <c r="Y284" s="47">
        <f>IFERROR(MATCH(Library!M284,$M$6:$M$40000,0),"")</f>
        <v/>
      </c>
      <c r="Z284">
        <f>IF($Y284="","",INDEX($C$6:$C$40000,$Y284)&amp;"")</f>
        <v/>
      </c>
      <c r="AA284" s="59">
        <f>IF($Y284="","",IF(INDEX($D$6:$D$40000,$Y284)="","",INDEX($D$6:$D$40000,$Y284)))</f>
        <v/>
      </c>
      <c r="AB284">
        <f>IF($Y284="","",INDEX($L$6:$L$40000,$Y284)&amp;"")</f>
        <v/>
      </c>
    </row>
    <row r="285">
      <c r="Y285" s="47">
        <f>IFERROR(MATCH(Library!M285,$M$6:$M$40000,0),"")</f>
        <v/>
      </c>
      <c r="Z285">
        <f>IF($Y285="","",INDEX($C$6:$C$40000,$Y285)&amp;"")</f>
        <v/>
      </c>
      <c r="AA285" s="59">
        <f>IF($Y285="","",IF(INDEX($D$6:$D$40000,$Y285)="","",INDEX($D$6:$D$40000,$Y285)))</f>
        <v/>
      </c>
      <c r="AB285">
        <f>IF($Y285="","",INDEX($L$6:$L$40000,$Y285)&amp;"")</f>
        <v/>
      </c>
    </row>
    <row r="286">
      <c r="Y286" s="47">
        <f>IFERROR(MATCH(Library!M286,$M$6:$M$40000,0),"")</f>
        <v/>
      </c>
      <c r="Z286">
        <f>IF($Y286="","",INDEX($C$6:$C$40000,$Y286)&amp;"")</f>
        <v/>
      </c>
      <c r="AA286" s="59">
        <f>IF($Y286="","",IF(INDEX($D$6:$D$40000,$Y286)="","",INDEX($D$6:$D$40000,$Y286)))</f>
        <v/>
      </c>
      <c r="AB286">
        <f>IF($Y286="","",INDEX($L$6:$L$40000,$Y286)&amp;"")</f>
        <v/>
      </c>
    </row>
    <row r="287">
      <c r="Y287" s="47">
        <f>IFERROR(MATCH(Library!M287,$M$6:$M$40000,0),"")</f>
        <v/>
      </c>
      <c r="Z287">
        <f>IF($Y287="","",INDEX($C$6:$C$40000,$Y287)&amp;"")</f>
        <v/>
      </c>
      <c r="AA287" s="59">
        <f>IF($Y287="","",IF(INDEX($D$6:$D$40000,$Y287)="","",INDEX($D$6:$D$40000,$Y287)))</f>
        <v/>
      </c>
      <c r="AB287">
        <f>IF($Y287="","",INDEX($L$6:$L$40000,$Y287)&amp;"")</f>
        <v/>
      </c>
    </row>
    <row r="288">
      <c r="Y288" s="47">
        <f>IFERROR(MATCH(Library!M288,$M$6:$M$40000,0),"")</f>
        <v/>
      </c>
      <c r="Z288">
        <f>IF($Y288="","",INDEX($C$6:$C$40000,$Y288)&amp;"")</f>
        <v/>
      </c>
      <c r="AA288" s="59">
        <f>IF($Y288="","",IF(INDEX($D$6:$D$40000,$Y288)="","",INDEX($D$6:$D$40000,$Y288)))</f>
        <v/>
      </c>
      <c r="AB288">
        <f>IF($Y288="","",INDEX($L$6:$L$40000,$Y288)&amp;"")</f>
        <v/>
      </c>
    </row>
    <row r="289">
      <c r="Y289" s="47">
        <f>IFERROR(MATCH(Library!M289,$M$6:$M$40000,0),"")</f>
        <v/>
      </c>
      <c r="Z289">
        <f>IF($Y289="","",INDEX($C$6:$C$40000,$Y289)&amp;"")</f>
        <v/>
      </c>
      <c r="AA289" s="59">
        <f>IF($Y289="","",IF(INDEX($D$6:$D$40000,$Y289)="","",INDEX($D$6:$D$40000,$Y289)))</f>
        <v/>
      </c>
      <c r="AB289">
        <f>IF($Y289="","",INDEX($L$6:$L$40000,$Y289)&amp;"")</f>
        <v/>
      </c>
    </row>
    <row r="290">
      <c r="Y290" s="47">
        <f>IFERROR(MATCH(Library!M290,$M$6:$M$40000,0),"")</f>
        <v/>
      </c>
      <c r="Z290">
        <f>IF($Y290="","",INDEX($C$6:$C$40000,$Y290)&amp;"")</f>
        <v/>
      </c>
      <c r="AA290" s="59">
        <f>IF($Y290="","",IF(INDEX($D$6:$D$40000,$Y290)="","",INDEX($D$6:$D$40000,$Y290)))</f>
        <v/>
      </c>
      <c r="AB290">
        <f>IF($Y290="","",INDEX($L$6:$L$40000,$Y290)&amp;"")</f>
        <v/>
      </c>
    </row>
    <row r="291">
      <c r="Y291" s="47">
        <f>IFERROR(MATCH(Library!M291,$M$6:$M$40000,0),"")</f>
        <v/>
      </c>
      <c r="Z291">
        <f>IF($Y291="","",INDEX($C$6:$C$40000,$Y291)&amp;"")</f>
        <v/>
      </c>
      <c r="AA291" s="59">
        <f>IF($Y291="","",IF(INDEX($D$6:$D$40000,$Y291)="","",INDEX($D$6:$D$40000,$Y291)))</f>
        <v/>
      </c>
      <c r="AB291">
        <f>IF($Y291="","",INDEX($L$6:$L$40000,$Y291)&amp;"")</f>
        <v/>
      </c>
    </row>
    <row r="292">
      <c r="Y292" s="47">
        <f>IFERROR(MATCH(Library!M292,$M$6:$M$40000,0),"")</f>
        <v/>
      </c>
      <c r="Z292">
        <f>IF($Y292="","",INDEX($C$6:$C$40000,$Y292)&amp;"")</f>
        <v/>
      </c>
      <c r="AA292" s="59">
        <f>IF($Y292="","",IF(INDEX($D$6:$D$40000,$Y292)="","",INDEX($D$6:$D$40000,$Y292)))</f>
        <v/>
      </c>
      <c r="AB292">
        <f>IF($Y292="","",INDEX($L$6:$L$40000,$Y292)&amp;"")</f>
        <v/>
      </c>
    </row>
    <row r="293">
      <c r="Y293" s="47">
        <f>IFERROR(MATCH(Library!M293,$M$6:$M$40000,0),"")</f>
        <v/>
      </c>
      <c r="Z293">
        <f>IF($Y293="","",INDEX($C$6:$C$40000,$Y293)&amp;"")</f>
        <v/>
      </c>
      <c r="AA293" s="59">
        <f>IF($Y293="","",IF(INDEX($D$6:$D$40000,$Y293)="","",INDEX($D$6:$D$40000,$Y293)))</f>
        <v/>
      </c>
      <c r="AB293">
        <f>IF($Y293="","",INDEX($L$6:$L$40000,$Y293)&amp;"")</f>
        <v/>
      </c>
    </row>
    <row r="294">
      <c r="Y294" s="47">
        <f>IFERROR(MATCH(Library!M294,$M$6:$M$40000,0),"")</f>
        <v/>
      </c>
      <c r="Z294">
        <f>IF($Y294="","",INDEX($C$6:$C$40000,$Y294)&amp;"")</f>
        <v/>
      </c>
      <c r="AA294" s="59">
        <f>IF($Y294="","",IF(INDEX($D$6:$D$40000,$Y294)="","",INDEX($D$6:$D$40000,$Y294)))</f>
        <v/>
      </c>
      <c r="AB294">
        <f>IF($Y294="","",INDEX($L$6:$L$40000,$Y294)&amp;"")</f>
        <v/>
      </c>
    </row>
    <row r="295">
      <c r="Y295" s="47">
        <f>IFERROR(MATCH(Library!M295,$M$6:$M$40000,0),"")</f>
        <v/>
      </c>
      <c r="Z295">
        <f>IF($Y295="","",INDEX($C$6:$C$40000,$Y295)&amp;"")</f>
        <v/>
      </c>
      <c r="AA295" s="59">
        <f>IF($Y295="","",IF(INDEX($D$6:$D$40000,$Y295)="","",INDEX($D$6:$D$40000,$Y295)))</f>
        <v/>
      </c>
      <c r="AB295">
        <f>IF($Y295="","",INDEX($L$6:$L$40000,$Y295)&amp;"")</f>
        <v/>
      </c>
    </row>
    <row r="296">
      <c r="Y296" s="47">
        <f>IFERROR(MATCH(Library!M296,$M$6:$M$40000,0),"")</f>
        <v/>
      </c>
      <c r="Z296">
        <f>IF($Y296="","",INDEX($C$6:$C$40000,$Y296)&amp;"")</f>
        <v/>
      </c>
      <c r="AA296" s="59">
        <f>IF($Y296="","",IF(INDEX($D$6:$D$40000,$Y296)="","",INDEX($D$6:$D$40000,$Y296)))</f>
        <v/>
      </c>
      <c r="AB296">
        <f>IF($Y296="","",INDEX($L$6:$L$40000,$Y296)&amp;"")</f>
        <v/>
      </c>
    </row>
    <row r="297">
      <c r="Y297" s="47">
        <f>IFERROR(MATCH(Library!M297,$M$6:$M$40000,0),"")</f>
        <v/>
      </c>
      <c r="Z297">
        <f>IF($Y297="","",INDEX($C$6:$C$40000,$Y297)&amp;"")</f>
        <v/>
      </c>
      <c r="AA297" s="59">
        <f>IF($Y297="","",IF(INDEX($D$6:$D$40000,$Y297)="","",INDEX($D$6:$D$40000,$Y297)))</f>
        <v/>
      </c>
      <c r="AB297">
        <f>IF($Y297="","",INDEX($L$6:$L$40000,$Y297)&amp;"")</f>
        <v/>
      </c>
    </row>
    <row r="298">
      <c r="Y298" s="47">
        <f>IFERROR(MATCH(Library!M298,$M$6:$M$40000,0),"")</f>
        <v/>
      </c>
      <c r="Z298">
        <f>IF($Y298="","",INDEX($C$6:$C$40000,$Y298)&amp;"")</f>
        <v/>
      </c>
      <c r="AA298" s="59">
        <f>IF($Y298="","",IF(INDEX($D$6:$D$40000,$Y298)="","",INDEX($D$6:$D$40000,$Y298)))</f>
        <v/>
      </c>
      <c r="AB298">
        <f>IF($Y298="","",INDEX($L$6:$L$40000,$Y298)&amp;"")</f>
        <v/>
      </c>
    </row>
    <row r="299">
      <c r="Y299" s="47">
        <f>IFERROR(MATCH(Library!M299,$M$6:$M$40000,0),"")</f>
        <v/>
      </c>
      <c r="Z299">
        <f>IF($Y299="","",INDEX($C$6:$C$40000,$Y299)&amp;"")</f>
        <v/>
      </c>
      <c r="AA299" s="59">
        <f>IF($Y299="","",IF(INDEX($D$6:$D$40000,$Y299)="","",INDEX($D$6:$D$40000,$Y299)))</f>
        <v/>
      </c>
      <c r="AB299">
        <f>IF($Y299="","",INDEX($L$6:$L$40000,$Y299)&amp;"")</f>
        <v/>
      </c>
    </row>
    <row r="300">
      <c r="Y300" s="47">
        <f>IFERROR(MATCH(Library!M300,$M$6:$M$40000,0),"")</f>
        <v/>
      </c>
      <c r="Z300">
        <f>IF($Y300="","",INDEX($C$6:$C$40000,$Y300)&amp;"")</f>
        <v/>
      </c>
      <c r="AA300" s="59">
        <f>IF($Y300="","",IF(INDEX($D$6:$D$40000,$Y300)="","",INDEX($D$6:$D$40000,$Y300)))</f>
        <v/>
      </c>
      <c r="AB300">
        <f>IF($Y300="","",INDEX($L$6:$L$40000,$Y300)&amp;"")</f>
        <v/>
      </c>
    </row>
    <row r="301">
      <c r="Y301" s="47">
        <f>IFERROR(MATCH(Library!M301,$M$6:$M$40000,0),"")</f>
        <v/>
      </c>
      <c r="Z301">
        <f>IF($Y301="","",INDEX($C$6:$C$40000,$Y301)&amp;"")</f>
        <v/>
      </c>
      <c r="AA301" s="59">
        <f>IF($Y301="","",IF(INDEX($D$6:$D$40000,$Y301)="","",INDEX($D$6:$D$40000,$Y301)))</f>
        <v/>
      </c>
      <c r="AB301">
        <f>IF($Y301="","",INDEX($L$6:$L$40000,$Y301)&amp;"")</f>
        <v/>
      </c>
    </row>
    <row r="302">
      <c r="Y302" s="47">
        <f>IFERROR(MATCH(Library!M302,$M$6:$M$40000,0),"")</f>
        <v/>
      </c>
      <c r="Z302">
        <f>IF($Y302="","",INDEX($C$6:$C$40000,$Y302)&amp;"")</f>
        <v/>
      </c>
      <c r="AA302" s="59">
        <f>IF($Y302="","",IF(INDEX($D$6:$D$40000,$Y302)="","",INDEX($D$6:$D$40000,$Y302)))</f>
        <v/>
      </c>
      <c r="AB302">
        <f>IF($Y302="","",INDEX($L$6:$L$40000,$Y302)&amp;"")</f>
        <v/>
      </c>
    </row>
    <row r="303">
      <c r="Y303" s="47">
        <f>IFERROR(MATCH(Library!M303,$M$6:$M$40000,0),"")</f>
        <v/>
      </c>
      <c r="Z303">
        <f>IF($Y303="","",INDEX($C$6:$C$40000,$Y303)&amp;"")</f>
        <v/>
      </c>
      <c r="AA303" s="59">
        <f>IF($Y303="","",IF(INDEX($D$6:$D$40000,$Y303)="","",INDEX($D$6:$D$40000,$Y303)))</f>
        <v/>
      </c>
      <c r="AB303">
        <f>IF($Y303="","",INDEX($L$6:$L$40000,$Y303)&amp;"")</f>
        <v/>
      </c>
    </row>
    <row r="304">
      <c r="Y304" s="47">
        <f>IFERROR(MATCH(Library!M304,$M$6:$M$40000,0),"")</f>
        <v/>
      </c>
      <c r="Z304">
        <f>IF($Y304="","",INDEX($C$6:$C$40000,$Y304)&amp;"")</f>
        <v/>
      </c>
      <c r="AA304" s="59">
        <f>IF($Y304="","",IF(INDEX($D$6:$D$40000,$Y304)="","",INDEX($D$6:$D$40000,$Y304)))</f>
        <v/>
      </c>
      <c r="AB304">
        <f>IF($Y304="","",INDEX($L$6:$L$40000,$Y304)&amp;"")</f>
        <v/>
      </c>
    </row>
    <row r="305">
      <c r="Y305" s="47">
        <f>IFERROR(MATCH(Library!M305,$M$6:$M$40000,0),"")</f>
        <v/>
      </c>
      <c r="Z305">
        <f>IF($Y305="","",INDEX($C$6:$C$40000,$Y305)&amp;"")</f>
        <v/>
      </c>
      <c r="AA305" s="59">
        <f>IF($Y305="","",IF(INDEX($D$6:$D$40000,$Y305)="","",INDEX($D$6:$D$40000,$Y305)))</f>
        <v/>
      </c>
      <c r="AB305">
        <f>IF($Y305="","",INDEX($L$6:$L$40000,$Y305)&amp;"")</f>
        <v/>
      </c>
    </row>
    <row r="306">
      <c r="Y306" s="47">
        <f>IFERROR(MATCH(Library!M306,$M$6:$M$40000,0),"")</f>
        <v/>
      </c>
      <c r="Z306">
        <f>IF($Y306="","",INDEX($C$6:$C$40000,$Y306)&amp;"")</f>
        <v/>
      </c>
      <c r="AA306" s="59">
        <f>IF($Y306="","",IF(INDEX($D$6:$D$40000,$Y306)="","",INDEX($D$6:$D$40000,$Y306)))</f>
        <v/>
      </c>
      <c r="AB306">
        <f>IF($Y306="","",INDEX($L$6:$L$40000,$Y306)&amp;"")</f>
        <v/>
      </c>
    </row>
    <row r="307">
      <c r="Y307" s="47">
        <f>IFERROR(MATCH(Library!M307,$M$6:$M$40000,0),"")</f>
        <v/>
      </c>
      <c r="Z307">
        <f>IF($Y307="","",INDEX($C$6:$C$40000,$Y307)&amp;"")</f>
        <v/>
      </c>
      <c r="AA307" s="59">
        <f>IF($Y307="","",IF(INDEX($D$6:$D$40000,$Y307)="","",INDEX($D$6:$D$40000,$Y307)))</f>
        <v/>
      </c>
      <c r="AB307">
        <f>IF($Y307="","",INDEX($L$6:$L$40000,$Y307)&amp;"")</f>
        <v/>
      </c>
    </row>
    <row r="308">
      <c r="Y308" s="47">
        <f>IFERROR(MATCH(Library!M308,$M$6:$M$40000,0),"")</f>
        <v/>
      </c>
      <c r="Z308">
        <f>IF($Y308="","",INDEX($C$6:$C$40000,$Y308)&amp;"")</f>
        <v/>
      </c>
      <c r="AA308" s="59">
        <f>IF($Y308="","",IF(INDEX($D$6:$D$40000,$Y308)="","",INDEX($D$6:$D$40000,$Y308)))</f>
        <v/>
      </c>
      <c r="AB308">
        <f>IF($Y308="","",INDEX($L$6:$L$40000,$Y308)&amp;"")</f>
        <v/>
      </c>
    </row>
    <row r="309">
      <c r="Y309" s="47">
        <f>IFERROR(MATCH(Library!M309,$M$6:$M$40000,0),"")</f>
        <v/>
      </c>
      <c r="Z309">
        <f>IF($Y309="","",INDEX($C$6:$C$40000,$Y309)&amp;"")</f>
        <v/>
      </c>
      <c r="AA309" s="59">
        <f>IF($Y309="","",IF(INDEX($D$6:$D$40000,$Y309)="","",INDEX($D$6:$D$40000,$Y309)))</f>
        <v/>
      </c>
      <c r="AB309">
        <f>IF($Y309="","",INDEX($L$6:$L$40000,$Y309)&amp;"")</f>
        <v/>
      </c>
    </row>
    <row r="310">
      <c r="Y310" s="47">
        <f>IFERROR(MATCH(Library!M310,$M$6:$M$40000,0),"")</f>
        <v/>
      </c>
      <c r="Z310">
        <f>IF($Y310="","",INDEX($C$6:$C$40000,$Y310)&amp;"")</f>
        <v/>
      </c>
      <c r="AA310" s="59">
        <f>IF($Y310="","",IF(INDEX($D$6:$D$40000,$Y310)="","",INDEX($D$6:$D$40000,$Y310)))</f>
        <v/>
      </c>
      <c r="AB310">
        <f>IF($Y310="","",INDEX($L$6:$L$40000,$Y310)&amp;"")</f>
        <v/>
      </c>
    </row>
    <row r="311">
      <c r="Y311" s="47">
        <f>IFERROR(MATCH(Library!M311,$M$6:$M$40000,0),"")</f>
        <v/>
      </c>
      <c r="Z311">
        <f>IF($Y311="","",INDEX($C$6:$C$40000,$Y311)&amp;"")</f>
        <v/>
      </c>
      <c r="AA311" s="59">
        <f>IF($Y311="","",IF(INDEX($D$6:$D$40000,$Y311)="","",INDEX($D$6:$D$40000,$Y311)))</f>
        <v/>
      </c>
      <c r="AB311">
        <f>IF($Y311="","",INDEX($L$6:$L$40000,$Y311)&amp;"")</f>
        <v/>
      </c>
    </row>
    <row r="312">
      <c r="Y312" s="47">
        <f>IFERROR(MATCH(Library!M312,$M$6:$M$40000,0),"")</f>
        <v/>
      </c>
      <c r="Z312">
        <f>IF($Y312="","",INDEX($C$6:$C$40000,$Y312)&amp;"")</f>
        <v/>
      </c>
      <c r="AA312" s="59">
        <f>IF($Y312="","",IF(INDEX($D$6:$D$40000,$Y312)="","",INDEX($D$6:$D$40000,$Y312)))</f>
        <v/>
      </c>
      <c r="AB312">
        <f>IF($Y312="","",INDEX($L$6:$L$40000,$Y312)&amp;"")</f>
        <v/>
      </c>
    </row>
    <row r="313">
      <c r="Y313" s="47">
        <f>IFERROR(MATCH(Library!M313,$M$6:$M$40000,0),"")</f>
        <v/>
      </c>
      <c r="Z313">
        <f>IF($Y313="","",INDEX($C$6:$C$40000,$Y313)&amp;"")</f>
        <v/>
      </c>
      <c r="AA313" s="59">
        <f>IF($Y313="","",IF(INDEX($D$6:$D$40000,$Y313)="","",INDEX($D$6:$D$40000,$Y313)))</f>
        <v/>
      </c>
      <c r="AB313">
        <f>IF($Y313="","",INDEX($L$6:$L$40000,$Y313)&amp;"")</f>
        <v/>
      </c>
    </row>
    <row r="314">
      <c r="Y314" s="47">
        <f>IFERROR(MATCH(Library!M314,$M$6:$M$40000,0),"")</f>
        <v/>
      </c>
      <c r="Z314">
        <f>IF($Y314="","",INDEX($C$6:$C$40000,$Y314)&amp;"")</f>
        <v/>
      </c>
      <c r="AA314" s="59">
        <f>IF($Y314="","",IF(INDEX($D$6:$D$40000,$Y314)="","",INDEX($D$6:$D$40000,$Y314)))</f>
        <v/>
      </c>
      <c r="AB314">
        <f>IF($Y314="","",INDEX($L$6:$L$40000,$Y314)&amp;"")</f>
        <v/>
      </c>
    </row>
    <row r="315">
      <c r="Y315" s="47">
        <f>IFERROR(MATCH(Library!M315,$M$6:$M$40000,0),"")</f>
        <v/>
      </c>
      <c r="Z315">
        <f>IF($Y315="","",INDEX($C$6:$C$40000,$Y315)&amp;"")</f>
        <v/>
      </c>
      <c r="AA315" s="59">
        <f>IF($Y315="","",IF(INDEX($D$6:$D$40000,$Y315)="","",INDEX($D$6:$D$40000,$Y315)))</f>
        <v/>
      </c>
      <c r="AB315">
        <f>IF($Y315="","",INDEX($L$6:$L$40000,$Y315)&amp;"")</f>
        <v/>
      </c>
    </row>
    <row r="316">
      <c r="Y316" s="47">
        <f>IFERROR(MATCH(Library!M316,$M$6:$M$40000,0),"")</f>
        <v/>
      </c>
      <c r="Z316">
        <f>IF($Y316="","",INDEX($C$6:$C$40000,$Y316)&amp;"")</f>
        <v/>
      </c>
      <c r="AA316" s="59">
        <f>IF($Y316="","",IF(INDEX($D$6:$D$40000,$Y316)="","",INDEX($D$6:$D$40000,$Y316)))</f>
        <v/>
      </c>
      <c r="AB316">
        <f>IF($Y316="","",INDEX($L$6:$L$40000,$Y316)&amp;"")</f>
        <v/>
      </c>
    </row>
    <row r="317">
      <c r="Y317" s="47">
        <f>IFERROR(MATCH(Library!M317,$M$6:$M$40000,0),"")</f>
        <v/>
      </c>
      <c r="Z317">
        <f>IF($Y317="","",INDEX($C$6:$C$40000,$Y317)&amp;"")</f>
        <v/>
      </c>
      <c r="AA317" s="59">
        <f>IF($Y317="","",IF(INDEX($D$6:$D$40000,$Y317)="","",INDEX($D$6:$D$40000,$Y317)))</f>
        <v/>
      </c>
      <c r="AB317">
        <f>IF($Y317="","",INDEX($L$6:$L$40000,$Y317)&amp;"")</f>
        <v/>
      </c>
    </row>
    <row r="318">
      <c r="Y318" s="47">
        <f>IFERROR(MATCH(Library!M318,$M$6:$M$40000,0),"")</f>
        <v/>
      </c>
      <c r="Z318">
        <f>IF($Y318="","",INDEX($C$6:$C$40000,$Y318)&amp;"")</f>
        <v/>
      </c>
      <c r="AA318" s="59">
        <f>IF($Y318="","",IF(INDEX($D$6:$D$40000,$Y318)="","",INDEX($D$6:$D$40000,$Y318)))</f>
        <v/>
      </c>
      <c r="AB318">
        <f>IF($Y318="","",INDEX($L$6:$L$40000,$Y318)&amp;"")</f>
        <v/>
      </c>
    </row>
    <row r="319">
      <c r="Y319" s="47">
        <f>IFERROR(MATCH(Library!M319,$M$6:$M$40000,0),"")</f>
        <v/>
      </c>
      <c r="Z319">
        <f>IF($Y319="","",INDEX($C$6:$C$40000,$Y319)&amp;"")</f>
        <v/>
      </c>
      <c r="AA319" s="59">
        <f>IF($Y319="","",IF(INDEX($D$6:$D$40000,$Y319)="","",INDEX($D$6:$D$40000,$Y319)))</f>
        <v/>
      </c>
      <c r="AB319">
        <f>IF($Y319="","",INDEX($L$6:$L$40000,$Y319)&amp;"")</f>
        <v/>
      </c>
    </row>
    <row r="320">
      <c r="Y320" s="47">
        <f>IFERROR(MATCH(Library!M320,$M$6:$M$40000,0),"")</f>
        <v/>
      </c>
      <c r="Z320">
        <f>IF($Y320="","",INDEX($C$6:$C$40000,$Y320)&amp;"")</f>
        <v/>
      </c>
      <c r="AA320" s="59">
        <f>IF($Y320="","",IF(INDEX($D$6:$D$40000,$Y320)="","",INDEX($D$6:$D$40000,$Y320)))</f>
        <v/>
      </c>
      <c r="AB320">
        <f>IF($Y320="","",INDEX($L$6:$L$40000,$Y320)&amp;"")</f>
        <v/>
      </c>
    </row>
    <row r="321">
      <c r="Y321" s="47">
        <f>IFERROR(MATCH(Library!M321,$M$6:$M$40000,0),"")</f>
        <v/>
      </c>
      <c r="Z321">
        <f>IF($Y321="","",INDEX($C$6:$C$40000,$Y321)&amp;"")</f>
        <v/>
      </c>
      <c r="AA321" s="59">
        <f>IF($Y321="","",IF(INDEX($D$6:$D$40000,$Y321)="","",INDEX($D$6:$D$40000,$Y321)))</f>
        <v/>
      </c>
      <c r="AB321">
        <f>IF($Y321="","",INDEX($L$6:$L$40000,$Y321)&amp;"")</f>
        <v/>
      </c>
    </row>
    <row r="322">
      <c r="Y322" s="47">
        <f>IFERROR(MATCH(Library!M322,$M$6:$M$40000,0),"")</f>
        <v/>
      </c>
      <c r="Z322">
        <f>IF($Y322="","",INDEX($C$6:$C$40000,$Y322)&amp;"")</f>
        <v/>
      </c>
      <c r="AA322" s="59">
        <f>IF($Y322="","",IF(INDEX($D$6:$D$40000,$Y322)="","",INDEX($D$6:$D$40000,$Y322)))</f>
        <v/>
      </c>
      <c r="AB322">
        <f>IF($Y322="","",INDEX($L$6:$L$40000,$Y322)&amp;"")</f>
        <v/>
      </c>
    </row>
    <row r="323">
      <c r="Y323" s="47">
        <f>IFERROR(MATCH(Library!M323,$M$6:$M$40000,0),"")</f>
        <v/>
      </c>
      <c r="Z323">
        <f>IF($Y323="","",INDEX($C$6:$C$40000,$Y323)&amp;"")</f>
        <v/>
      </c>
      <c r="AA323" s="59">
        <f>IF($Y323="","",IF(INDEX($D$6:$D$40000,$Y323)="","",INDEX($D$6:$D$40000,$Y323)))</f>
        <v/>
      </c>
      <c r="AB323">
        <f>IF($Y323="","",INDEX($L$6:$L$40000,$Y323)&amp;"")</f>
        <v/>
      </c>
    </row>
    <row r="324">
      <c r="Y324" s="47">
        <f>IFERROR(MATCH(Library!M324,$M$6:$M$40000,0),"")</f>
        <v/>
      </c>
      <c r="Z324">
        <f>IF($Y324="","",INDEX($C$6:$C$40000,$Y324)&amp;"")</f>
        <v/>
      </c>
      <c r="AA324" s="59">
        <f>IF($Y324="","",IF(INDEX($D$6:$D$40000,$Y324)="","",INDEX($D$6:$D$40000,$Y324)))</f>
        <v/>
      </c>
      <c r="AB324">
        <f>IF($Y324="","",INDEX($L$6:$L$40000,$Y324)&amp;"")</f>
        <v/>
      </c>
    </row>
    <row r="325">
      <c r="Y325" s="47">
        <f>IFERROR(MATCH(Library!M325,$M$6:$M$40000,0),"")</f>
        <v/>
      </c>
      <c r="Z325">
        <f>IF($Y325="","",INDEX($C$6:$C$40000,$Y325)&amp;"")</f>
        <v/>
      </c>
      <c r="AA325" s="59">
        <f>IF($Y325="","",IF(INDEX($D$6:$D$40000,$Y325)="","",INDEX($D$6:$D$40000,$Y325)))</f>
        <v/>
      </c>
      <c r="AB325">
        <f>IF($Y325="","",INDEX($L$6:$L$40000,$Y325)&amp;"")</f>
        <v/>
      </c>
    </row>
    <row r="326">
      <c r="Y326" s="47">
        <f>IFERROR(MATCH(Library!M326,$M$6:$M$40000,0),"")</f>
        <v/>
      </c>
      <c r="Z326">
        <f>IF($Y326="","",INDEX($C$6:$C$40000,$Y326)&amp;"")</f>
        <v/>
      </c>
      <c r="AA326" s="59">
        <f>IF($Y326="","",IF(INDEX($D$6:$D$40000,$Y326)="","",INDEX($D$6:$D$40000,$Y326)))</f>
        <v/>
      </c>
      <c r="AB326">
        <f>IF($Y326="","",INDEX($L$6:$L$40000,$Y326)&amp;"")</f>
        <v/>
      </c>
    </row>
    <row r="327">
      <c r="Y327" s="47">
        <f>IFERROR(MATCH(Library!M327,$M$6:$M$40000,0),"")</f>
        <v/>
      </c>
      <c r="Z327">
        <f>IF($Y327="","",INDEX($C$6:$C$40000,$Y327)&amp;"")</f>
        <v/>
      </c>
      <c r="AA327" s="59">
        <f>IF($Y327="","",IF(INDEX($D$6:$D$40000,$Y327)="","",INDEX($D$6:$D$40000,$Y327)))</f>
        <v/>
      </c>
      <c r="AB327">
        <f>IF($Y327="","",INDEX($L$6:$L$40000,$Y327)&amp;"")</f>
        <v/>
      </c>
    </row>
    <row r="328">
      <c r="Y328" s="47">
        <f>IFERROR(MATCH(Library!M328,$M$6:$M$40000,0),"")</f>
        <v/>
      </c>
      <c r="Z328">
        <f>IF($Y328="","",INDEX($C$6:$C$40000,$Y328)&amp;"")</f>
        <v/>
      </c>
      <c r="AA328" s="59">
        <f>IF($Y328="","",IF(INDEX($D$6:$D$40000,$Y328)="","",INDEX($D$6:$D$40000,$Y328)))</f>
        <v/>
      </c>
      <c r="AB328">
        <f>IF($Y328="","",INDEX($L$6:$L$40000,$Y328)&amp;"")</f>
        <v/>
      </c>
    </row>
    <row r="329">
      <c r="Y329" s="47">
        <f>IFERROR(MATCH(Library!M329,$M$6:$M$40000,0),"")</f>
        <v/>
      </c>
      <c r="Z329">
        <f>IF($Y329="","",INDEX($C$6:$C$40000,$Y329)&amp;"")</f>
        <v/>
      </c>
      <c r="AA329" s="59">
        <f>IF($Y329="","",IF(INDEX($D$6:$D$40000,$Y329)="","",INDEX($D$6:$D$40000,$Y329)))</f>
        <v/>
      </c>
      <c r="AB329">
        <f>IF($Y329="","",INDEX($L$6:$L$40000,$Y329)&amp;"")</f>
        <v/>
      </c>
    </row>
    <row r="330">
      <c r="Y330" s="47">
        <f>IFERROR(MATCH(Library!M330,$M$6:$M$40000,0),"")</f>
        <v/>
      </c>
      <c r="Z330">
        <f>IF($Y330="","",INDEX($C$6:$C$40000,$Y330)&amp;"")</f>
        <v/>
      </c>
      <c r="AA330" s="59">
        <f>IF($Y330="","",IF(INDEX($D$6:$D$40000,$Y330)="","",INDEX($D$6:$D$40000,$Y330)))</f>
        <v/>
      </c>
      <c r="AB330">
        <f>IF($Y330="","",INDEX($L$6:$L$40000,$Y330)&amp;"")</f>
        <v/>
      </c>
    </row>
    <row r="331">
      <c r="Y331" s="47">
        <f>IFERROR(MATCH(Library!M331,$M$6:$M$40000,0),"")</f>
        <v/>
      </c>
      <c r="Z331">
        <f>IF($Y331="","",INDEX($C$6:$C$40000,$Y331)&amp;"")</f>
        <v/>
      </c>
      <c r="AA331" s="59">
        <f>IF($Y331="","",IF(INDEX($D$6:$D$40000,$Y331)="","",INDEX($D$6:$D$40000,$Y331)))</f>
        <v/>
      </c>
      <c r="AB331">
        <f>IF($Y331="","",INDEX($L$6:$L$40000,$Y331)&amp;"")</f>
        <v/>
      </c>
    </row>
    <row r="332">
      <c r="Y332" s="47">
        <f>IFERROR(MATCH(Library!M332,$M$6:$M$40000,0),"")</f>
        <v/>
      </c>
      <c r="Z332">
        <f>IF($Y332="","",INDEX($C$6:$C$40000,$Y332)&amp;"")</f>
        <v/>
      </c>
      <c r="AA332" s="59">
        <f>IF($Y332="","",IF(INDEX($D$6:$D$40000,$Y332)="","",INDEX($D$6:$D$40000,$Y332)))</f>
        <v/>
      </c>
      <c r="AB332">
        <f>IF($Y332="","",INDEX($L$6:$L$40000,$Y332)&amp;"")</f>
        <v/>
      </c>
    </row>
    <row r="333">
      <c r="Y333" s="47">
        <f>IFERROR(MATCH(Library!M333,$M$6:$M$40000,0),"")</f>
        <v/>
      </c>
      <c r="Z333">
        <f>IF($Y333="","",INDEX($C$6:$C$40000,$Y333)&amp;"")</f>
        <v/>
      </c>
      <c r="AA333" s="59">
        <f>IF($Y333="","",IF(INDEX($D$6:$D$40000,$Y333)="","",INDEX($D$6:$D$40000,$Y333)))</f>
        <v/>
      </c>
      <c r="AB333">
        <f>IF($Y333="","",INDEX($L$6:$L$40000,$Y333)&amp;"")</f>
        <v/>
      </c>
    </row>
    <row r="334">
      <c r="Y334" s="47">
        <f>IFERROR(MATCH(Library!M334,$M$6:$M$40000,0),"")</f>
        <v/>
      </c>
      <c r="Z334">
        <f>IF($Y334="","",INDEX($C$6:$C$40000,$Y334)&amp;"")</f>
        <v/>
      </c>
      <c r="AA334" s="59">
        <f>IF($Y334="","",IF(INDEX($D$6:$D$40000,$Y334)="","",INDEX($D$6:$D$40000,$Y334)))</f>
        <v/>
      </c>
      <c r="AB334">
        <f>IF($Y334="","",INDEX($L$6:$L$40000,$Y334)&amp;"")</f>
        <v/>
      </c>
    </row>
    <row r="335">
      <c r="Y335" s="47">
        <f>IFERROR(MATCH(Library!M335,$M$6:$M$40000,0),"")</f>
        <v/>
      </c>
      <c r="Z335">
        <f>IF($Y335="","",INDEX($C$6:$C$40000,$Y335)&amp;"")</f>
        <v/>
      </c>
      <c r="AA335" s="59">
        <f>IF($Y335="","",IF(INDEX($D$6:$D$40000,$Y335)="","",INDEX($D$6:$D$40000,$Y335)))</f>
        <v/>
      </c>
      <c r="AB335">
        <f>IF($Y335="","",INDEX($L$6:$L$40000,$Y335)&amp;"")</f>
        <v/>
      </c>
    </row>
    <row r="336">
      <c r="Y336" s="47">
        <f>IFERROR(MATCH(Library!M336,$M$6:$M$40000,0),"")</f>
        <v/>
      </c>
      <c r="Z336">
        <f>IF($Y336="","",INDEX($C$6:$C$40000,$Y336)&amp;"")</f>
        <v/>
      </c>
      <c r="AA336" s="59">
        <f>IF($Y336="","",IF(INDEX($D$6:$D$40000,$Y336)="","",INDEX($D$6:$D$40000,$Y336)))</f>
        <v/>
      </c>
      <c r="AB336">
        <f>IF($Y336="","",INDEX($L$6:$L$40000,$Y336)&amp;"")</f>
        <v/>
      </c>
    </row>
    <row r="337">
      <c r="Y337" s="47">
        <f>IFERROR(MATCH(Library!M337,$M$6:$M$40000,0),"")</f>
        <v/>
      </c>
      <c r="Z337">
        <f>IF($Y337="","",INDEX($C$6:$C$40000,$Y337)&amp;"")</f>
        <v/>
      </c>
      <c r="AA337" s="59">
        <f>IF($Y337="","",IF(INDEX($D$6:$D$40000,$Y337)="","",INDEX($D$6:$D$40000,$Y337)))</f>
        <v/>
      </c>
      <c r="AB337">
        <f>IF($Y337="","",INDEX($L$6:$L$40000,$Y337)&amp;"")</f>
        <v/>
      </c>
    </row>
    <row r="338">
      <c r="Y338" s="47">
        <f>IFERROR(MATCH(Library!M338,$M$6:$M$40000,0),"")</f>
        <v/>
      </c>
      <c r="Z338">
        <f>IF($Y338="","",INDEX($C$6:$C$40000,$Y338)&amp;"")</f>
        <v/>
      </c>
      <c r="AA338" s="59">
        <f>IF($Y338="","",IF(INDEX($D$6:$D$40000,$Y338)="","",INDEX($D$6:$D$40000,$Y338)))</f>
        <v/>
      </c>
      <c r="AB338">
        <f>IF($Y338="","",INDEX($L$6:$L$40000,$Y338)&amp;"")</f>
        <v/>
      </c>
    </row>
    <row r="339">
      <c r="Y339" s="47">
        <f>IFERROR(MATCH(Library!M339,$M$6:$M$40000,0),"")</f>
        <v/>
      </c>
      <c r="Z339">
        <f>IF($Y339="","",INDEX($C$6:$C$40000,$Y339)&amp;"")</f>
        <v/>
      </c>
      <c r="AA339" s="59">
        <f>IF($Y339="","",IF(INDEX($D$6:$D$40000,$Y339)="","",INDEX($D$6:$D$40000,$Y339)))</f>
        <v/>
      </c>
      <c r="AB339">
        <f>IF($Y339="","",INDEX($L$6:$L$40000,$Y339)&amp;"")</f>
        <v/>
      </c>
    </row>
    <row r="340">
      <c r="Y340" s="47">
        <f>IFERROR(MATCH(Library!M340,$M$6:$M$40000,0),"")</f>
        <v/>
      </c>
      <c r="Z340">
        <f>IF($Y340="","",INDEX($C$6:$C$40000,$Y340)&amp;"")</f>
        <v/>
      </c>
      <c r="AA340" s="59">
        <f>IF($Y340="","",IF(INDEX($D$6:$D$40000,$Y340)="","",INDEX($D$6:$D$40000,$Y340)))</f>
        <v/>
      </c>
      <c r="AB340">
        <f>IF($Y340="","",INDEX($L$6:$L$40000,$Y340)&amp;"")</f>
        <v/>
      </c>
    </row>
    <row r="341">
      <c r="Y341" s="47">
        <f>IFERROR(MATCH(Library!M341,$M$6:$M$40000,0),"")</f>
        <v/>
      </c>
      <c r="Z341">
        <f>IF($Y341="","",INDEX($C$6:$C$40000,$Y341)&amp;"")</f>
        <v/>
      </c>
      <c r="AA341" s="59">
        <f>IF($Y341="","",IF(INDEX($D$6:$D$40000,$Y341)="","",INDEX($D$6:$D$40000,$Y341)))</f>
        <v/>
      </c>
      <c r="AB341">
        <f>IF($Y341="","",INDEX($L$6:$L$40000,$Y341)&amp;"")</f>
        <v/>
      </c>
    </row>
    <row r="342">
      <c r="Y342" s="47">
        <f>IFERROR(MATCH(Library!M342,$M$6:$M$40000,0),"")</f>
        <v/>
      </c>
      <c r="Z342">
        <f>IF($Y342="","",INDEX($C$6:$C$40000,$Y342)&amp;"")</f>
        <v/>
      </c>
      <c r="AA342" s="59">
        <f>IF($Y342="","",IF(INDEX($D$6:$D$40000,$Y342)="","",INDEX($D$6:$D$40000,$Y342)))</f>
        <v/>
      </c>
      <c r="AB342">
        <f>IF($Y342="","",INDEX($L$6:$L$40000,$Y342)&amp;"")</f>
        <v/>
      </c>
    </row>
    <row r="343">
      <c r="Y343" s="47">
        <f>IFERROR(MATCH(Library!M343,$M$6:$M$40000,0),"")</f>
        <v/>
      </c>
      <c r="Z343">
        <f>IF($Y343="","",INDEX($C$6:$C$40000,$Y343)&amp;"")</f>
        <v/>
      </c>
      <c r="AA343" s="59">
        <f>IF($Y343="","",IF(INDEX($D$6:$D$40000,$Y343)="","",INDEX($D$6:$D$40000,$Y343)))</f>
        <v/>
      </c>
      <c r="AB343">
        <f>IF($Y343="","",INDEX($L$6:$L$40000,$Y343)&amp;"")</f>
        <v/>
      </c>
    </row>
    <row r="344">
      <c r="Y344" s="47">
        <f>IFERROR(MATCH(Library!M344,$M$6:$M$40000,0),"")</f>
        <v/>
      </c>
      <c r="Z344">
        <f>IF($Y344="","",INDEX($C$6:$C$40000,$Y344)&amp;"")</f>
        <v/>
      </c>
      <c r="AA344" s="59">
        <f>IF($Y344="","",IF(INDEX($D$6:$D$40000,$Y344)="","",INDEX($D$6:$D$40000,$Y344)))</f>
        <v/>
      </c>
      <c r="AB344">
        <f>IF($Y344="","",INDEX($L$6:$L$40000,$Y344)&amp;"")</f>
        <v/>
      </c>
    </row>
    <row r="345">
      <c r="Y345" s="47">
        <f>IFERROR(MATCH(Library!M345,$M$6:$M$40000,0),"")</f>
        <v/>
      </c>
      <c r="Z345">
        <f>IF($Y345="","",INDEX($C$6:$C$40000,$Y345)&amp;"")</f>
        <v/>
      </c>
      <c r="AA345" s="59">
        <f>IF($Y345="","",IF(INDEX($D$6:$D$40000,$Y345)="","",INDEX($D$6:$D$40000,$Y345)))</f>
        <v/>
      </c>
      <c r="AB345">
        <f>IF($Y345="","",INDEX($L$6:$L$40000,$Y345)&amp;"")</f>
        <v/>
      </c>
    </row>
    <row r="346">
      <c r="Y346" s="47">
        <f>IFERROR(MATCH(Library!M346,$M$6:$M$40000,0),"")</f>
        <v/>
      </c>
      <c r="Z346">
        <f>IF($Y346="","",INDEX($C$6:$C$40000,$Y346)&amp;"")</f>
        <v/>
      </c>
      <c r="AA346" s="59">
        <f>IF($Y346="","",IF(INDEX($D$6:$D$40000,$Y346)="","",INDEX($D$6:$D$40000,$Y346)))</f>
        <v/>
      </c>
      <c r="AB346">
        <f>IF($Y346="","",INDEX($L$6:$L$40000,$Y346)&amp;"")</f>
        <v/>
      </c>
    </row>
    <row r="347">
      <c r="Y347" s="47">
        <f>IFERROR(MATCH(Library!M347,$M$6:$M$40000,0),"")</f>
        <v/>
      </c>
      <c r="Z347">
        <f>IF($Y347="","",INDEX($C$6:$C$40000,$Y347)&amp;"")</f>
        <v/>
      </c>
      <c r="AA347" s="59">
        <f>IF($Y347="","",IF(INDEX($D$6:$D$40000,$Y347)="","",INDEX($D$6:$D$40000,$Y347)))</f>
        <v/>
      </c>
      <c r="AB347">
        <f>IF($Y347="","",INDEX($L$6:$L$40000,$Y347)&amp;"")</f>
        <v/>
      </c>
    </row>
    <row r="348">
      <c r="Y348" s="47">
        <f>IFERROR(MATCH(Library!M348,$M$6:$M$40000,0),"")</f>
        <v/>
      </c>
      <c r="Z348">
        <f>IF($Y348="","",INDEX($C$6:$C$40000,$Y348)&amp;"")</f>
        <v/>
      </c>
      <c r="AA348" s="59">
        <f>IF($Y348="","",IF(INDEX($D$6:$D$40000,$Y348)="","",INDEX($D$6:$D$40000,$Y348)))</f>
        <v/>
      </c>
      <c r="AB348">
        <f>IF($Y348="","",INDEX($L$6:$L$40000,$Y348)&amp;"")</f>
        <v/>
      </c>
    </row>
    <row r="349">
      <c r="Y349" s="47">
        <f>IFERROR(MATCH(Library!M349,$M$6:$M$40000,0),"")</f>
        <v/>
      </c>
      <c r="Z349">
        <f>IF($Y349="","",INDEX($C$6:$C$40000,$Y349)&amp;"")</f>
        <v/>
      </c>
      <c r="AA349" s="59">
        <f>IF($Y349="","",IF(INDEX($D$6:$D$40000,$Y349)="","",INDEX($D$6:$D$40000,$Y349)))</f>
        <v/>
      </c>
      <c r="AB349">
        <f>IF($Y349="","",INDEX($L$6:$L$40000,$Y349)&amp;"")</f>
        <v/>
      </c>
    </row>
    <row r="350">
      <c r="Y350" s="47">
        <f>IFERROR(MATCH(Library!M350,$M$6:$M$40000,0),"")</f>
        <v/>
      </c>
      <c r="Z350">
        <f>IF($Y350="","",INDEX($C$6:$C$40000,$Y350)&amp;"")</f>
        <v/>
      </c>
      <c r="AA350" s="59">
        <f>IF($Y350="","",IF(INDEX($D$6:$D$40000,$Y350)="","",INDEX($D$6:$D$40000,$Y350)))</f>
        <v/>
      </c>
      <c r="AB350">
        <f>IF($Y350="","",INDEX($L$6:$L$40000,$Y350)&amp;"")</f>
        <v/>
      </c>
    </row>
    <row r="351">
      <c r="Y351" s="47">
        <f>IFERROR(MATCH(Library!M351,$M$6:$M$40000,0),"")</f>
        <v/>
      </c>
      <c r="Z351">
        <f>IF($Y351="","",INDEX($C$6:$C$40000,$Y351)&amp;"")</f>
        <v/>
      </c>
      <c r="AA351" s="59">
        <f>IF($Y351="","",IF(INDEX($D$6:$D$40000,$Y351)="","",INDEX($D$6:$D$40000,$Y351)))</f>
        <v/>
      </c>
      <c r="AB351">
        <f>IF($Y351="","",INDEX($L$6:$L$40000,$Y351)&amp;"")</f>
        <v/>
      </c>
    </row>
    <row r="352">
      <c r="Y352" s="47">
        <f>IFERROR(MATCH(Library!M352,$M$6:$M$40000,0),"")</f>
        <v/>
      </c>
      <c r="Z352">
        <f>IF($Y352="","",INDEX($C$6:$C$40000,$Y352)&amp;"")</f>
        <v/>
      </c>
      <c r="AA352" s="59">
        <f>IF($Y352="","",IF(INDEX($D$6:$D$40000,$Y352)="","",INDEX($D$6:$D$40000,$Y352)))</f>
        <v/>
      </c>
      <c r="AB352">
        <f>IF($Y352="","",INDEX($L$6:$L$40000,$Y352)&amp;"")</f>
        <v/>
      </c>
    </row>
    <row r="353">
      <c r="Y353" s="47">
        <f>IFERROR(MATCH(Library!M353,$M$6:$M$40000,0),"")</f>
        <v/>
      </c>
      <c r="Z353">
        <f>IF($Y353="","",INDEX($C$6:$C$40000,$Y353)&amp;"")</f>
        <v/>
      </c>
      <c r="AA353" s="59">
        <f>IF($Y353="","",IF(INDEX($D$6:$D$40000,$Y353)="","",INDEX($D$6:$D$40000,$Y353)))</f>
        <v/>
      </c>
      <c r="AB353">
        <f>IF($Y353="","",INDEX($L$6:$L$40000,$Y353)&amp;"")</f>
        <v/>
      </c>
    </row>
    <row r="354">
      <c r="Y354" s="47">
        <f>IFERROR(MATCH(Library!M354,$M$6:$M$40000,0),"")</f>
        <v/>
      </c>
      <c r="Z354">
        <f>IF($Y354="","",INDEX($C$6:$C$40000,$Y354)&amp;"")</f>
        <v/>
      </c>
      <c r="AA354" s="59">
        <f>IF($Y354="","",IF(INDEX($D$6:$D$40000,$Y354)="","",INDEX($D$6:$D$40000,$Y354)))</f>
        <v/>
      </c>
      <c r="AB354">
        <f>IF($Y354="","",INDEX($L$6:$L$40000,$Y354)&amp;"")</f>
        <v/>
      </c>
    </row>
    <row r="355">
      <c r="Y355" s="47">
        <f>IFERROR(MATCH(Library!M355,$M$6:$M$40000,0),"")</f>
        <v/>
      </c>
      <c r="Z355">
        <f>IF($Y355="","",INDEX($C$6:$C$40000,$Y355)&amp;"")</f>
        <v/>
      </c>
      <c r="AA355" s="59">
        <f>IF($Y355="","",IF(INDEX($D$6:$D$40000,$Y355)="","",INDEX($D$6:$D$40000,$Y355)))</f>
        <v/>
      </c>
      <c r="AB355">
        <f>IF($Y355="","",INDEX($L$6:$L$40000,$Y355)&amp;"")</f>
        <v/>
      </c>
    </row>
    <row r="356">
      <c r="Y356" s="47">
        <f>IFERROR(MATCH(Library!M356,$M$6:$M$40000,0),"")</f>
        <v/>
      </c>
      <c r="Z356">
        <f>IF($Y356="","",INDEX($C$6:$C$40000,$Y356)&amp;"")</f>
        <v/>
      </c>
      <c r="AA356" s="59">
        <f>IF($Y356="","",IF(INDEX($D$6:$D$40000,$Y356)="","",INDEX($D$6:$D$40000,$Y356)))</f>
        <v/>
      </c>
      <c r="AB356">
        <f>IF($Y356="","",INDEX($L$6:$L$40000,$Y356)&amp;"")</f>
        <v/>
      </c>
    </row>
    <row r="357">
      <c r="Y357" s="47">
        <f>IFERROR(MATCH(Library!M357,$M$6:$M$40000,0),"")</f>
        <v/>
      </c>
      <c r="Z357">
        <f>IF($Y357="","",INDEX($C$6:$C$40000,$Y357)&amp;"")</f>
        <v/>
      </c>
      <c r="AA357" s="59">
        <f>IF($Y357="","",IF(INDEX($D$6:$D$40000,$Y357)="","",INDEX($D$6:$D$40000,$Y357)))</f>
        <v/>
      </c>
      <c r="AB357">
        <f>IF($Y357="","",INDEX($L$6:$L$40000,$Y357)&amp;"")</f>
        <v/>
      </c>
    </row>
    <row r="358">
      <c r="Y358" s="47">
        <f>IFERROR(MATCH(Library!M358,$M$6:$M$40000,0),"")</f>
        <v/>
      </c>
      <c r="Z358">
        <f>IF($Y358="","",INDEX($C$6:$C$40000,$Y358)&amp;"")</f>
        <v/>
      </c>
      <c r="AA358" s="59">
        <f>IF($Y358="","",IF(INDEX($D$6:$D$40000,$Y358)="","",INDEX($D$6:$D$40000,$Y358)))</f>
        <v/>
      </c>
      <c r="AB358">
        <f>IF($Y358="","",INDEX($L$6:$L$40000,$Y358)&amp;"")</f>
        <v/>
      </c>
    </row>
    <row r="359">
      <c r="Y359" s="47">
        <f>IFERROR(MATCH(Library!M359,$M$6:$M$40000,0),"")</f>
        <v/>
      </c>
      <c r="Z359">
        <f>IF($Y359="","",INDEX($C$6:$C$40000,$Y359)&amp;"")</f>
        <v/>
      </c>
      <c r="AA359" s="59">
        <f>IF($Y359="","",IF(INDEX($D$6:$D$40000,$Y359)="","",INDEX($D$6:$D$40000,$Y359)))</f>
        <v/>
      </c>
      <c r="AB359">
        <f>IF($Y359="","",INDEX($L$6:$L$40000,$Y359)&amp;"")</f>
        <v/>
      </c>
    </row>
    <row r="360">
      <c r="Y360" s="47">
        <f>IFERROR(MATCH(Library!M360,$M$6:$M$40000,0),"")</f>
        <v/>
      </c>
      <c r="Z360">
        <f>IF($Y360="","",INDEX($C$6:$C$40000,$Y360)&amp;"")</f>
        <v/>
      </c>
      <c r="AA360" s="59">
        <f>IF($Y360="","",IF(INDEX($D$6:$D$40000,$Y360)="","",INDEX($D$6:$D$40000,$Y360)))</f>
        <v/>
      </c>
      <c r="AB360">
        <f>IF($Y360="","",INDEX($L$6:$L$40000,$Y360)&amp;"")</f>
        <v/>
      </c>
    </row>
    <row r="361">
      <c r="Y361" s="47">
        <f>IFERROR(MATCH(Library!M361,$M$6:$M$40000,0),"")</f>
        <v/>
      </c>
      <c r="Z361">
        <f>IF($Y361="","",INDEX($C$6:$C$40000,$Y361)&amp;"")</f>
        <v/>
      </c>
      <c r="AA361" s="59">
        <f>IF($Y361="","",IF(INDEX($D$6:$D$40000,$Y361)="","",INDEX($D$6:$D$40000,$Y361)))</f>
        <v/>
      </c>
      <c r="AB361">
        <f>IF($Y361="","",INDEX($L$6:$L$40000,$Y361)&amp;"")</f>
        <v/>
      </c>
    </row>
    <row r="362">
      <c r="Y362" s="47">
        <f>IFERROR(MATCH(Library!M362,$M$6:$M$40000,0),"")</f>
        <v/>
      </c>
      <c r="Z362">
        <f>IF($Y362="","",INDEX($C$6:$C$40000,$Y362)&amp;"")</f>
        <v/>
      </c>
      <c r="AA362" s="59">
        <f>IF($Y362="","",IF(INDEX($D$6:$D$40000,$Y362)="","",INDEX($D$6:$D$40000,$Y362)))</f>
        <v/>
      </c>
      <c r="AB362">
        <f>IF($Y362="","",INDEX($L$6:$L$40000,$Y362)&amp;"")</f>
        <v/>
      </c>
    </row>
    <row r="363">
      <c r="Y363" s="47">
        <f>IFERROR(MATCH(Library!M363,$M$6:$M$40000,0),"")</f>
        <v/>
      </c>
      <c r="Z363">
        <f>IF($Y363="","",INDEX($C$6:$C$40000,$Y363)&amp;"")</f>
        <v/>
      </c>
      <c r="AA363" s="59">
        <f>IF($Y363="","",IF(INDEX($D$6:$D$40000,$Y363)="","",INDEX($D$6:$D$40000,$Y363)))</f>
        <v/>
      </c>
      <c r="AB363">
        <f>IF($Y363="","",INDEX($L$6:$L$40000,$Y363)&amp;"")</f>
        <v/>
      </c>
    </row>
    <row r="364">
      <c r="Y364" s="47">
        <f>IFERROR(MATCH(Library!M364,$M$6:$M$40000,0),"")</f>
        <v/>
      </c>
      <c r="Z364">
        <f>IF($Y364="","",INDEX($C$6:$C$40000,$Y364)&amp;"")</f>
        <v/>
      </c>
      <c r="AA364" s="59">
        <f>IF($Y364="","",IF(INDEX($D$6:$D$40000,$Y364)="","",INDEX($D$6:$D$40000,$Y364)))</f>
        <v/>
      </c>
      <c r="AB364">
        <f>IF($Y364="","",INDEX($L$6:$L$40000,$Y364)&amp;"")</f>
        <v/>
      </c>
    </row>
    <row r="365">
      <c r="Y365" s="47">
        <f>IFERROR(MATCH(Library!M365,$M$6:$M$40000,0),"")</f>
        <v/>
      </c>
      <c r="Z365">
        <f>IF($Y365="","",INDEX($C$6:$C$40000,$Y365)&amp;"")</f>
        <v/>
      </c>
      <c r="AA365" s="59">
        <f>IF($Y365="","",IF(INDEX($D$6:$D$40000,$Y365)="","",INDEX($D$6:$D$40000,$Y365)))</f>
        <v/>
      </c>
      <c r="AB365">
        <f>IF($Y365="","",INDEX($L$6:$L$40000,$Y365)&amp;"")</f>
        <v/>
      </c>
    </row>
    <row r="366">
      <c r="Y366" s="47">
        <f>IFERROR(MATCH(Library!M366,$M$6:$M$40000,0),"")</f>
        <v/>
      </c>
      <c r="Z366">
        <f>IF($Y366="","",INDEX($C$6:$C$40000,$Y366)&amp;"")</f>
        <v/>
      </c>
      <c r="AA366" s="59">
        <f>IF($Y366="","",IF(INDEX($D$6:$D$40000,$Y366)="","",INDEX($D$6:$D$40000,$Y366)))</f>
        <v/>
      </c>
      <c r="AB366">
        <f>IF($Y366="","",INDEX($L$6:$L$40000,$Y366)&amp;"")</f>
        <v/>
      </c>
    </row>
    <row r="367">
      <c r="Y367" s="47">
        <f>IFERROR(MATCH(Library!M367,$M$6:$M$40000,0),"")</f>
        <v/>
      </c>
      <c r="Z367">
        <f>IF($Y367="","",INDEX($C$6:$C$40000,$Y367)&amp;"")</f>
        <v/>
      </c>
      <c r="AA367" s="59">
        <f>IF($Y367="","",IF(INDEX($D$6:$D$40000,$Y367)="","",INDEX($D$6:$D$40000,$Y367)))</f>
        <v/>
      </c>
      <c r="AB367">
        <f>IF($Y367="","",INDEX($L$6:$L$40000,$Y367)&amp;"")</f>
        <v/>
      </c>
    </row>
    <row r="368">
      <c r="Y368" s="47">
        <f>IFERROR(MATCH(Library!M368,$M$6:$M$40000,0),"")</f>
        <v/>
      </c>
      <c r="Z368">
        <f>IF($Y368="","",INDEX($C$6:$C$40000,$Y368)&amp;"")</f>
        <v/>
      </c>
      <c r="AA368" s="59">
        <f>IF($Y368="","",IF(INDEX($D$6:$D$40000,$Y368)="","",INDEX($D$6:$D$40000,$Y368)))</f>
        <v/>
      </c>
      <c r="AB368">
        <f>IF($Y368="","",INDEX($L$6:$L$40000,$Y368)&amp;"")</f>
        <v/>
      </c>
    </row>
    <row r="369">
      <c r="Y369" s="47">
        <f>IFERROR(MATCH(Library!M369,$M$6:$M$40000,0),"")</f>
        <v/>
      </c>
      <c r="Z369">
        <f>IF($Y369="","",INDEX($C$6:$C$40000,$Y369)&amp;"")</f>
        <v/>
      </c>
      <c r="AA369" s="59">
        <f>IF($Y369="","",IF(INDEX($D$6:$D$40000,$Y369)="","",INDEX($D$6:$D$40000,$Y369)))</f>
        <v/>
      </c>
      <c r="AB369">
        <f>IF($Y369="","",INDEX($L$6:$L$40000,$Y369)&amp;"")</f>
        <v/>
      </c>
    </row>
    <row r="370">
      <c r="Y370" s="47">
        <f>IFERROR(MATCH(Library!M370,$M$6:$M$40000,0),"")</f>
        <v/>
      </c>
      <c r="Z370">
        <f>IF($Y370="","",INDEX($C$6:$C$40000,$Y370)&amp;"")</f>
        <v/>
      </c>
      <c r="AA370" s="59">
        <f>IF($Y370="","",IF(INDEX($D$6:$D$40000,$Y370)="","",INDEX($D$6:$D$40000,$Y370)))</f>
        <v/>
      </c>
      <c r="AB370">
        <f>IF($Y370="","",INDEX($L$6:$L$40000,$Y370)&amp;"")</f>
        <v/>
      </c>
    </row>
    <row r="371">
      <c r="Y371" s="47">
        <f>IFERROR(MATCH(Library!M371,$M$6:$M$40000,0),"")</f>
        <v/>
      </c>
      <c r="Z371">
        <f>IF($Y371="","",INDEX($C$6:$C$40000,$Y371)&amp;"")</f>
        <v/>
      </c>
      <c r="AA371" s="59">
        <f>IF($Y371="","",IF(INDEX($D$6:$D$40000,$Y371)="","",INDEX($D$6:$D$40000,$Y371)))</f>
        <v/>
      </c>
      <c r="AB371">
        <f>IF($Y371="","",INDEX($L$6:$L$40000,$Y371)&amp;"")</f>
        <v/>
      </c>
    </row>
    <row r="372">
      <c r="Y372" s="47">
        <f>IFERROR(MATCH(Library!M372,$M$6:$M$40000,0),"")</f>
        <v/>
      </c>
      <c r="Z372">
        <f>IF($Y372="","",INDEX($C$6:$C$40000,$Y372)&amp;"")</f>
        <v/>
      </c>
      <c r="AA372" s="59">
        <f>IF($Y372="","",IF(INDEX($D$6:$D$40000,$Y372)="","",INDEX($D$6:$D$40000,$Y372)))</f>
        <v/>
      </c>
      <c r="AB372">
        <f>IF($Y372="","",INDEX($L$6:$L$40000,$Y372)&amp;"")</f>
        <v/>
      </c>
    </row>
    <row r="373">
      <c r="Y373" s="47">
        <f>IFERROR(MATCH(Library!M373,$M$6:$M$40000,0),"")</f>
        <v/>
      </c>
      <c r="Z373">
        <f>IF($Y373="","",INDEX($C$6:$C$40000,$Y373)&amp;"")</f>
        <v/>
      </c>
      <c r="AA373" s="59">
        <f>IF($Y373="","",IF(INDEX($D$6:$D$40000,$Y373)="","",INDEX($D$6:$D$40000,$Y373)))</f>
        <v/>
      </c>
      <c r="AB373">
        <f>IF($Y373="","",INDEX($L$6:$L$40000,$Y373)&amp;"")</f>
        <v/>
      </c>
    </row>
    <row r="374">
      <c r="Y374" s="47">
        <f>IFERROR(MATCH(Library!M374,$M$6:$M$40000,0),"")</f>
        <v/>
      </c>
      <c r="Z374">
        <f>IF($Y374="","",INDEX($C$6:$C$40000,$Y374)&amp;"")</f>
        <v/>
      </c>
      <c r="AA374" s="59">
        <f>IF($Y374="","",IF(INDEX($D$6:$D$40000,$Y374)="","",INDEX($D$6:$D$40000,$Y374)))</f>
        <v/>
      </c>
      <c r="AB374">
        <f>IF($Y374="","",INDEX($L$6:$L$40000,$Y374)&amp;"")</f>
        <v/>
      </c>
    </row>
    <row r="375">
      <c r="Y375" s="47">
        <f>IFERROR(MATCH(Library!M375,$M$6:$M$40000,0),"")</f>
        <v/>
      </c>
      <c r="Z375">
        <f>IF($Y375="","",INDEX($C$6:$C$40000,$Y375)&amp;"")</f>
        <v/>
      </c>
      <c r="AA375" s="59">
        <f>IF($Y375="","",IF(INDEX($D$6:$D$40000,$Y375)="","",INDEX($D$6:$D$40000,$Y375)))</f>
        <v/>
      </c>
      <c r="AB375">
        <f>IF($Y375="","",INDEX($L$6:$L$40000,$Y375)&amp;"")</f>
        <v/>
      </c>
    </row>
    <row r="376">
      <c r="Y376" s="47">
        <f>IFERROR(MATCH(Library!M376,$M$6:$M$40000,0),"")</f>
        <v/>
      </c>
      <c r="Z376">
        <f>IF($Y376="","",INDEX($C$6:$C$40000,$Y376)&amp;"")</f>
        <v/>
      </c>
      <c r="AA376" s="59">
        <f>IF($Y376="","",IF(INDEX($D$6:$D$40000,$Y376)="","",INDEX($D$6:$D$40000,$Y376)))</f>
        <v/>
      </c>
      <c r="AB376">
        <f>IF($Y376="","",INDEX($L$6:$L$40000,$Y376)&amp;"")</f>
        <v/>
      </c>
    </row>
    <row r="377">
      <c r="Y377" s="47">
        <f>IFERROR(MATCH(Library!M377,$M$6:$M$40000,0),"")</f>
        <v/>
      </c>
      <c r="Z377">
        <f>IF($Y377="","",INDEX($C$6:$C$40000,$Y377)&amp;"")</f>
        <v/>
      </c>
      <c r="AA377" s="59">
        <f>IF($Y377="","",IF(INDEX($D$6:$D$40000,$Y377)="","",INDEX($D$6:$D$40000,$Y377)))</f>
        <v/>
      </c>
      <c r="AB377">
        <f>IF($Y377="","",INDEX($L$6:$L$40000,$Y377)&amp;"")</f>
        <v/>
      </c>
    </row>
    <row r="378">
      <c r="Y378" s="47">
        <f>IFERROR(MATCH(Library!M378,$M$6:$M$40000,0),"")</f>
        <v/>
      </c>
      <c r="Z378">
        <f>IF($Y378="","",INDEX($C$6:$C$40000,$Y378)&amp;"")</f>
        <v/>
      </c>
      <c r="AA378" s="59">
        <f>IF($Y378="","",IF(INDEX($D$6:$D$40000,$Y378)="","",INDEX($D$6:$D$40000,$Y378)))</f>
        <v/>
      </c>
      <c r="AB378">
        <f>IF($Y378="","",INDEX($L$6:$L$40000,$Y378)&amp;"")</f>
        <v/>
      </c>
    </row>
    <row r="379">
      <c r="Y379" s="47">
        <f>IFERROR(MATCH(Library!M379,$M$6:$M$40000,0),"")</f>
        <v/>
      </c>
      <c r="Z379">
        <f>IF($Y379="","",INDEX($C$6:$C$40000,$Y379)&amp;"")</f>
        <v/>
      </c>
      <c r="AA379" s="59">
        <f>IF($Y379="","",IF(INDEX($D$6:$D$40000,$Y379)="","",INDEX($D$6:$D$40000,$Y379)))</f>
        <v/>
      </c>
      <c r="AB379">
        <f>IF($Y379="","",INDEX($L$6:$L$40000,$Y379)&amp;"")</f>
        <v/>
      </c>
    </row>
    <row r="380">
      <c r="Y380" s="47">
        <f>IFERROR(MATCH(Library!M380,$M$6:$M$40000,0),"")</f>
        <v/>
      </c>
      <c r="Z380">
        <f>IF($Y380="","",INDEX($C$6:$C$40000,$Y380)&amp;"")</f>
        <v/>
      </c>
      <c r="AA380" s="59">
        <f>IF($Y380="","",IF(INDEX($D$6:$D$40000,$Y380)="","",INDEX($D$6:$D$40000,$Y380)))</f>
        <v/>
      </c>
      <c r="AB380">
        <f>IF($Y380="","",INDEX($L$6:$L$40000,$Y380)&amp;"")</f>
        <v/>
      </c>
    </row>
    <row r="381">
      <c r="Y381" s="47">
        <f>IFERROR(MATCH(Library!M381,$M$6:$M$40000,0),"")</f>
        <v/>
      </c>
      <c r="Z381">
        <f>IF($Y381="","",INDEX($C$6:$C$40000,$Y381)&amp;"")</f>
        <v/>
      </c>
      <c r="AA381" s="59">
        <f>IF($Y381="","",IF(INDEX($D$6:$D$40000,$Y381)="","",INDEX($D$6:$D$40000,$Y381)))</f>
        <v/>
      </c>
      <c r="AB381">
        <f>IF($Y381="","",INDEX($L$6:$L$40000,$Y381)&amp;"")</f>
        <v/>
      </c>
    </row>
    <row r="382">
      <c r="Y382" s="47">
        <f>IFERROR(MATCH(Library!M382,$M$6:$M$40000,0),"")</f>
        <v/>
      </c>
      <c r="Z382">
        <f>IF($Y382="","",INDEX($C$6:$C$40000,$Y382)&amp;"")</f>
        <v/>
      </c>
      <c r="AA382" s="59">
        <f>IF($Y382="","",IF(INDEX($D$6:$D$40000,$Y382)="","",INDEX($D$6:$D$40000,$Y382)))</f>
        <v/>
      </c>
      <c r="AB382">
        <f>IF($Y382="","",INDEX($L$6:$L$40000,$Y382)&amp;"")</f>
        <v/>
      </c>
    </row>
    <row r="383">
      <c r="Y383" s="47">
        <f>IFERROR(MATCH(Library!M383,$M$6:$M$40000,0),"")</f>
        <v/>
      </c>
      <c r="Z383">
        <f>IF($Y383="","",INDEX($C$6:$C$40000,$Y383)&amp;"")</f>
        <v/>
      </c>
      <c r="AA383" s="59">
        <f>IF($Y383="","",IF(INDEX($D$6:$D$40000,$Y383)="","",INDEX($D$6:$D$40000,$Y383)))</f>
        <v/>
      </c>
      <c r="AB383">
        <f>IF($Y383="","",INDEX($L$6:$L$40000,$Y383)&amp;"")</f>
        <v/>
      </c>
    </row>
    <row r="384">
      <c r="Y384" s="47">
        <f>IFERROR(MATCH(Library!M384,$M$6:$M$40000,0),"")</f>
        <v/>
      </c>
      <c r="Z384">
        <f>IF($Y384="","",INDEX($C$6:$C$40000,$Y384)&amp;"")</f>
        <v/>
      </c>
      <c r="AA384" s="59">
        <f>IF($Y384="","",IF(INDEX($D$6:$D$40000,$Y384)="","",INDEX($D$6:$D$40000,$Y384)))</f>
        <v/>
      </c>
      <c r="AB384">
        <f>IF($Y384="","",INDEX($L$6:$L$40000,$Y384)&amp;"")</f>
        <v/>
      </c>
    </row>
    <row r="385">
      <c r="Y385" s="47">
        <f>IFERROR(MATCH(Library!M385,$M$6:$M$40000,0),"")</f>
        <v/>
      </c>
      <c r="Z385">
        <f>IF($Y385="","",INDEX($C$6:$C$40000,$Y385)&amp;"")</f>
        <v/>
      </c>
      <c r="AA385" s="59">
        <f>IF($Y385="","",IF(INDEX($D$6:$D$40000,$Y385)="","",INDEX($D$6:$D$40000,$Y385)))</f>
        <v/>
      </c>
      <c r="AB385">
        <f>IF($Y385="","",INDEX($L$6:$L$40000,$Y385)&amp;"")</f>
        <v/>
      </c>
    </row>
    <row r="386">
      <c r="Y386" s="47">
        <f>IFERROR(MATCH(Library!M386,$M$6:$M$40000,0),"")</f>
        <v/>
      </c>
      <c r="Z386">
        <f>IF($Y386="","",INDEX($C$6:$C$40000,$Y386)&amp;"")</f>
        <v/>
      </c>
      <c r="AA386" s="59">
        <f>IF($Y386="","",IF(INDEX($D$6:$D$40000,$Y386)="","",INDEX($D$6:$D$40000,$Y386)))</f>
        <v/>
      </c>
      <c r="AB386">
        <f>IF($Y386="","",INDEX($L$6:$L$40000,$Y386)&amp;"")</f>
        <v/>
      </c>
    </row>
    <row r="387">
      <c r="Y387" s="47">
        <f>IFERROR(MATCH(Library!M387,$M$6:$M$40000,0),"")</f>
        <v/>
      </c>
      <c r="Z387">
        <f>IF($Y387="","",INDEX($C$6:$C$40000,$Y387)&amp;"")</f>
        <v/>
      </c>
      <c r="AA387" s="59">
        <f>IF($Y387="","",IF(INDEX($D$6:$D$40000,$Y387)="","",INDEX($D$6:$D$40000,$Y387)))</f>
        <v/>
      </c>
      <c r="AB387">
        <f>IF($Y387="","",INDEX($L$6:$L$40000,$Y387)&amp;"")</f>
        <v/>
      </c>
    </row>
    <row r="388">
      <c r="Y388" s="47">
        <f>IFERROR(MATCH(Library!M388,$M$6:$M$40000,0),"")</f>
        <v/>
      </c>
      <c r="Z388">
        <f>IF($Y388="","",INDEX($C$6:$C$40000,$Y388)&amp;"")</f>
        <v/>
      </c>
      <c r="AA388" s="59">
        <f>IF($Y388="","",IF(INDEX($D$6:$D$40000,$Y388)="","",INDEX($D$6:$D$40000,$Y388)))</f>
        <v/>
      </c>
      <c r="AB388">
        <f>IF($Y388="","",INDEX($L$6:$L$40000,$Y388)&amp;"")</f>
        <v/>
      </c>
    </row>
    <row r="389">
      <c r="Y389" s="47">
        <f>IFERROR(MATCH(Library!M389,$M$6:$M$40000,0),"")</f>
        <v/>
      </c>
      <c r="Z389">
        <f>IF($Y389="","",INDEX($C$6:$C$40000,$Y389)&amp;"")</f>
        <v/>
      </c>
      <c r="AA389" s="59">
        <f>IF($Y389="","",IF(INDEX($D$6:$D$40000,$Y389)="","",INDEX($D$6:$D$40000,$Y389)))</f>
        <v/>
      </c>
      <c r="AB389">
        <f>IF($Y389="","",INDEX($L$6:$L$40000,$Y389)&amp;"")</f>
        <v/>
      </c>
    </row>
    <row r="390">
      <c r="Y390" s="47">
        <f>IFERROR(MATCH(Library!M390,$M$6:$M$40000,0),"")</f>
        <v/>
      </c>
      <c r="Z390">
        <f>IF($Y390="","",INDEX($C$6:$C$40000,$Y390)&amp;"")</f>
        <v/>
      </c>
      <c r="AA390" s="59">
        <f>IF($Y390="","",IF(INDEX($D$6:$D$40000,$Y390)="","",INDEX($D$6:$D$40000,$Y390)))</f>
        <v/>
      </c>
      <c r="AB390">
        <f>IF($Y390="","",INDEX($L$6:$L$40000,$Y390)&amp;"")</f>
        <v/>
      </c>
    </row>
    <row r="391">
      <c r="Y391" s="47">
        <f>IFERROR(MATCH(Library!M391,$M$6:$M$40000,0),"")</f>
        <v/>
      </c>
      <c r="Z391">
        <f>IF($Y391="","",INDEX($C$6:$C$40000,$Y391)&amp;"")</f>
        <v/>
      </c>
      <c r="AA391" s="59">
        <f>IF($Y391="","",IF(INDEX($D$6:$D$40000,$Y391)="","",INDEX($D$6:$D$40000,$Y391)))</f>
        <v/>
      </c>
      <c r="AB391">
        <f>IF($Y391="","",INDEX($L$6:$L$40000,$Y391)&amp;"")</f>
        <v/>
      </c>
    </row>
    <row r="392">
      <c r="Y392" s="47">
        <f>IFERROR(MATCH(Library!M392,$M$6:$M$40000,0),"")</f>
        <v/>
      </c>
      <c r="Z392">
        <f>IF($Y392="","",INDEX($C$6:$C$40000,$Y392)&amp;"")</f>
        <v/>
      </c>
      <c r="AA392" s="59">
        <f>IF($Y392="","",IF(INDEX($D$6:$D$40000,$Y392)="","",INDEX($D$6:$D$40000,$Y392)))</f>
        <v/>
      </c>
      <c r="AB392">
        <f>IF($Y392="","",INDEX($L$6:$L$40000,$Y392)&amp;"")</f>
        <v/>
      </c>
    </row>
    <row r="393">
      <c r="Y393" s="47">
        <f>IFERROR(MATCH(Library!M393,$M$6:$M$40000,0),"")</f>
        <v/>
      </c>
      <c r="Z393">
        <f>IF($Y393="","",INDEX($C$6:$C$40000,$Y393)&amp;"")</f>
        <v/>
      </c>
      <c r="AA393" s="59">
        <f>IF($Y393="","",IF(INDEX($D$6:$D$40000,$Y393)="","",INDEX($D$6:$D$40000,$Y393)))</f>
        <v/>
      </c>
      <c r="AB393">
        <f>IF($Y393="","",INDEX($L$6:$L$40000,$Y393)&amp;"")</f>
        <v/>
      </c>
    </row>
    <row r="394">
      <c r="Y394" s="47">
        <f>IFERROR(MATCH(Library!M394,$M$6:$M$40000,0),"")</f>
        <v/>
      </c>
      <c r="Z394">
        <f>IF($Y394="","",INDEX($C$6:$C$40000,$Y394)&amp;"")</f>
        <v/>
      </c>
      <c r="AA394" s="59">
        <f>IF($Y394="","",IF(INDEX($D$6:$D$40000,$Y394)="","",INDEX($D$6:$D$40000,$Y394)))</f>
        <v/>
      </c>
      <c r="AB394">
        <f>IF($Y394="","",INDEX($L$6:$L$40000,$Y394)&amp;"")</f>
        <v/>
      </c>
    </row>
    <row r="395">
      <c r="Y395" s="47">
        <f>IFERROR(MATCH(Library!M395,$M$6:$M$40000,0),"")</f>
        <v/>
      </c>
      <c r="Z395">
        <f>IF($Y395="","",INDEX($C$6:$C$40000,$Y395)&amp;"")</f>
        <v/>
      </c>
      <c r="AA395" s="59">
        <f>IF($Y395="","",IF(INDEX($D$6:$D$40000,$Y395)="","",INDEX($D$6:$D$40000,$Y395)))</f>
        <v/>
      </c>
      <c r="AB395">
        <f>IF($Y395="","",INDEX($L$6:$L$40000,$Y395)&amp;"")</f>
        <v/>
      </c>
    </row>
    <row r="396">
      <c r="Y396" s="47">
        <f>IFERROR(MATCH(Library!M396,$M$6:$M$40000,0),"")</f>
        <v/>
      </c>
      <c r="Z396">
        <f>IF($Y396="","",INDEX($C$6:$C$40000,$Y396)&amp;"")</f>
        <v/>
      </c>
      <c r="AA396" s="59">
        <f>IF($Y396="","",IF(INDEX($D$6:$D$40000,$Y396)="","",INDEX($D$6:$D$40000,$Y396)))</f>
        <v/>
      </c>
      <c r="AB396">
        <f>IF($Y396="","",INDEX($L$6:$L$40000,$Y396)&amp;"")</f>
        <v/>
      </c>
    </row>
    <row r="397">
      <c r="Y397" s="47">
        <f>IFERROR(MATCH(Library!M397,$M$6:$M$40000,0),"")</f>
        <v/>
      </c>
      <c r="Z397">
        <f>IF($Y397="","",INDEX($C$6:$C$40000,$Y397)&amp;"")</f>
        <v/>
      </c>
      <c r="AA397" s="59">
        <f>IF($Y397="","",IF(INDEX($D$6:$D$40000,$Y397)="","",INDEX($D$6:$D$40000,$Y397)))</f>
        <v/>
      </c>
      <c r="AB397">
        <f>IF($Y397="","",INDEX($L$6:$L$40000,$Y397)&amp;"")</f>
        <v/>
      </c>
    </row>
    <row r="398">
      <c r="Y398" s="47">
        <f>IFERROR(MATCH(Library!M398,$M$6:$M$40000,0),"")</f>
        <v/>
      </c>
      <c r="Z398">
        <f>IF($Y398="","",INDEX($C$6:$C$40000,$Y398)&amp;"")</f>
        <v/>
      </c>
      <c r="AA398" s="59">
        <f>IF($Y398="","",IF(INDEX($D$6:$D$40000,$Y398)="","",INDEX($D$6:$D$40000,$Y398)))</f>
        <v/>
      </c>
      <c r="AB398">
        <f>IF($Y398="","",INDEX($L$6:$L$40000,$Y398)&amp;"")</f>
        <v/>
      </c>
    </row>
    <row r="399">
      <c r="Y399" s="47">
        <f>IFERROR(MATCH(Library!M399,$M$6:$M$40000,0),"")</f>
        <v/>
      </c>
      <c r="Z399">
        <f>IF($Y399="","",INDEX($C$6:$C$40000,$Y399)&amp;"")</f>
        <v/>
      </c>
      <c r="AA399" s="59">
        <f>IF($Y399="","",IF(INDEX($D$6:$D$40000,$Y399)="","",INDEX($D$6:$D$40000,$Y399)))</f>
        <v/>
      </c>
      <c r="AB399">
        <f>IF($Y399="","",INDEX($L$6:$L$40000,$Y399)&amp;"")</f>
        <v/>
      </c>
    </row>
    <row r="400">
      <c r="Y400" s="47">
        <f>IFERROR(MATCH(Library!M400,$M$6:$M$40000,0),"")</f>
        <v/>
      </c>
      <c r="Z400">
        <f>IF($Y400="","",INDEX($C$6:$C$40000,$Y400)&amp;"")</f>
        <v/>
      </c>
      <c r="AA400" s="59">
        <f>IF($Y400="","",IF(INDEX($D$6:$D$40000,$Y400)="","",INDEX($D$6:$D$40000,$Y400)))</f>
        <v/>
      </c>
      <c r="AB400">
        <f>IF($Y400="","",INDEX($L$6:$L$40000,$Y400)&amp;"")</f>
        <v/>
      </c>
    </row>
    <row r="401">
      <c r="Y401" s="47">
        <f>IFERROR(MATCH(Library!M401,$M$6:$M$40000,0),"")</f>
        <v/>
      </c>
      <c r="Z401">
        <f>IF($Y401="","",INDEX($C$6:$C$40000,$Y401)&amp;"")</f>
        <v/>
      </c>
      <c r="AA401" s="59">
        <f>IF($Y401="","",IF(INDEX($D$6:$D$40000,$Y401)="","",INDEX($D$6:$D$40000,$Y401)))</f>
        <v/>
      </c>
      <c r="AB401">
        <f>IF($Y401="","",INDEX($L$6:$L$40000,$Y401)&amp;"")</f>
        <v/>
      </c>
    </row>
    <row r="402">
      <c r="Y402" s="47">
        <f>IFERROR(MATCH(Library!M402,$M$6:$M$40000,0),"")</f>
        <v/>
      </c>
      <c r="Z402">
        <f>IF($Y402="","",INDEX($C$6:$C$40000,$Y402)&amp;"")</f>
        <v/>
      </c>
      <c r="AA402" s="59">
        <f>IF($Y402="","",IF(INDEX($D$6:$D$40000,$Y402)="","",INDEX($D$6:$D$40000,$Y402)))</f>
        <v/>
      </c>
      <c r="AB402">
        <f>IF($Y402="","",INDEX($L$6:$L$40000,$Y402)&amp;"")</f>
        <v/>
      </c>
    </row>
    <row r="403">
      <c r="Y403" s="47">
        <f>IFERROR(MATCH(Library!M403,$M$6:$M$40000,0),"")</f>
        <v/>
      </c>
      <c r="Z403">
        <f>IF($Y403="","",INDEX($C$6:$C$40000,$Y403)&amp;"")</f>
        <v/>
      </c>
      <c r="AA403" s="59">
        <f>IF($Y403="","",IF(INDEX($D$6:$D$40000,$Y403)="","",INDEX($D$6:$D$40000,$Y403)))</f>
        <v/>
      </c>
      <c r="AB403">
        <f>IF($Y403="","",INDEX($L$6:$L$40000,$Y403)&amp;"")</f>
        <v/>
      </c>
    </row>
    <row r="404">
      <c r="Y404" s="47">
        <f>IFERROR(MATCH(Library!M404,$M$6:$M$40000,0),"")</f>
        <v/>
      </c>
      <c r="Z404">
        <f>IF($Y404="","",INDEX($C$6:$C$40000,$Y404)&amp;"")</f>
        <v/>
      </c>
      <c r="AA404" s="59">
        <f>IF($Y404="","",IF(INDEX($D$6:$D$40000,$Y404)="","",INDEX($D$6:$D$40000,$Y404)))</f>
        <v/>
      </c>
      <c r="AB404">
        <f>IF($Y404="","",INDEX($L$6:$L$40000,$Y404)&amp;"")</f>
        <v/>
      </c>
    </row>
    <row r="405">
      <c r="Y405" s="47">
        <f>IFERROR(MATCH(Library!M405,$M$6:$M$40000,0),"")</f>
        <v/>
      </c>
      <c r="Z405">
        <f>IF($Y405="","",INDEX($C$6:$C$40000,$Y405)&amp;"")</f>
        <v/>
      </c>
      <c r="AA405" s="59">
        <f>IF($Y405="","",IF(INDEX($D$6:$D$40000,$Y405)="","",INDEX($D$6:$D$40000,$Y405)))</f>
        <v/>
      </c>
      <c r="AB405">
        <f>IF($Y405="","",INDEX($L$6:$L$40000,$Y405)&amp;"")</f>
        <v/>
      </c>
    </row>
    <row r="406">
      <c r="Y406" s="47">
        <f>IFERROR(MATCH(Library!M406,$M$6:$M$40000,0),"")</f>
        <v/>
      </c>
      <c r="Z406">
        <f>IF($Y406="","",INDEX($C$6:$C$40000,$Y406)&amp;"")</f>
        <v/>
      </c>
      <c r="AA406" s="59">
        <f>IF($Y406="","",IF(INDEX($D$6:$D$40000,$Y406)="","",INDEX($D$6:$D$40000,$Y406)))</f>
        <v/>
      </c>
      <c r="AB406">
        <f>IF($Y406="","",INDEX($L$6:$L$40000,$Y406)&amp;"")</f>
        <v/>
      </c>
    </row>
    <row r="407">
      <c r="Y407" s="47">
        <f>IFERROR(MATCH(Library!M407,$M$6:$M$40000,0),"")</f>
        <v/>
      </c>
      <c r="Z407">
        <f>IF($Y407="","",INDEX($C$6:$C$40000,$Y407)&amp;"")</f>
        <v/>
      </c>
      <c r="AA407" s="59">
        <f>IF($Y407="","",IF(INDEX($D$6:$D$40000,$Y407)="","",INDEX($D$6:$D$40000,$Y407)))</f>
        <v/>
      </c>
      <c r="AB407">
        <f>IF($Y407="","",INDEX($L$6:$L$40000,$Y407)&amp;"")</f>
        <v/>
      </c>
    </row>
    <row r="408">
      <c r="Y408" s="47">
        <f>IFERROR(MATCH(Library!M408,$M$6:$M$40000,0),"")</f>
        <v/>
      </c>
      <c r="Z408">
        <f>IF($Y408="","",INDEX($C$6:$C$40000,$Y408)&amp;"")</f>
        <v/>
      </c>
      <c r="AA408" s="59">
        <f>IF($Y408="","",IF(INDEX($D$6:$D$40000,$Y408)="","",INDEX($D$6:$D$40000,$Y408)))</f>
        <v/>
      </c>
      <c r="AB408">
        <f>IF($Y408="","",INDEX($L$6:$L$40000,$Y408)&amp;"")</f>
        <v/>
      </c>
    </row>
    <row r="409">
      <c r="Y409" s="47">
        <f>IFERROR(MATCH(Library!M409,$M$6:$M$40000,0),"")</f>
        <v/>
      </c>
      <c r="Z409">
        <f>IF($Y409="","",INDEX($C$6:$C$40000,$Y409)&amp;"")</f>
        <v/>
      </c>
      <c r="AA409" s="59">
        <f>IF($Y409="","",IF(INDEX($D$6:$D$40000,$Y409)="","",INDEX($D$6:$D$40000,$Y409)))</f>
        <v/>
      </c>
      <c r="AB409">
        <f>IF($Y409="","",INDEX($L$6:$L$40000,$Y409)&amp;"")</f>
        <v/>
      </c>
    </row>
    <row r="410">
      <c r="Y410" s="47">
        <f>IFERROR(MATCH(Library!M410,$M$6:$M$40000,0),"")</f>
        <v/>
      </c>
      <c r="Z410">
        <f>IF($Y410="","",INDEX($C$6:$C$40000,$Y410)&amp;"")</f>
        <v/>
      </c>
      <c r="AA410" s="59">
        <f>IF($Y410="","",IF(INDEX($D$6:$D$40000,$Y410)="","",INDEX($D$6:$D$40000,$Y410)))</f>
        <v/>
      </c>
      <c r="AB410">
        <f>IF($Y410="","",INDEX($L$6:$L$40000,$Y410)&amp;"")</f>
        <v/>
      </c>
    </row>
    <row r="411">
      <c r="Y411" s="47">
        <f>IFERROR(MATCH(Library!M411,$M$6:$M$40000,0),"")</f>
        <v/>
      </c>
      <c r="Z411">
        <f>IF($Y411="","",INDEX($C$6:$C$40000,$Y411)&amp;"")</f>
        <v/>
      </c>
      <c r="AA411" s="59">
        <f>IF($Y411="","",IF(INDEX($D$6:$D$40000,$Y411)="","",INDEX($D$6:$D$40000,$Y411)))</f>
        <v/>
      </c>
      <c r="AB411">
        <f>IF($Y411="","",INDEX($L$6:$L$40000,$Y411)&amp;"")</f>
        <v/>
      </c>
    </row>
    <row r="412">
      <c r="Y412" s="47">
        <f>IFERROR(MATCH(Library!M412,$M$6:$M$40000,0),"")</f>
        <v/>
      </c>
      <c r="Z412">
        <f>IF($Y412="","",INDEX($C$6:$C$40000,$Y412)&amp;"")</f>
        <v/>
      </c>
      <c r="AA412" s="59">
        <f>IF($Y412="","",IF(INDEX($D$6:$D$40000,$Y412)="","",INDEX($D$6:$D$40000,$Y412)))</f>
        <v/>
      </c>
      <c r="AB412">
        <f>IF($Y412="","",INDEX($L$6:$L$40000,$Y412)&amp;"")</f>
        <v/>
      </c>
    </row>
    <row r="413">
      <c r="Y413" s="47">
        <f>IFERROR(MATCH(Library!M413,$M$6:$M$40000,0),"")</f>
        <v/>
      </c>
      <c r="Z413">
        <f>IF($Y413="","",INDEX($C$6:$C$40000,$Y413)&amp;"")</f>
        <v/>
      </c>
      <c r="AA413" s="59">
        <f>IF($Y413="","",IF(INDEX($D$6:$D$40000,$Y413)="","",INDEX($D$6:$D$40000,$Y413)))</f>
        <v/>
      </c>
      <c r="AB413">
        <f>IF($Y413="","",INDEX($L$6:$L$40000,$Y413)&amp;"")</f>
        <v/>
      </c>
    </row>
    <row r="414">
      <c r="Y414" s="47">
        <f>IFERROR(MATCH(Library!M414,$M$6:$M$40000,0),"")</f>
        <v/>
      </c>
      <c r="Z414">
        <f>IF($Y414="","",INDEX($C$6:$C$40000,$Y414)&amp;"")</f>
        <v/>
      </c>
      <c r="AA414" s="59">
        <f>IF($Y414="","",IF(INDEX($D$6:$D$40000,$Y414)="","",INDEX($D$6:$D$40000,$Y414)))</f>
        <v/>
      </c>
      <c r="AB414">
        <f>IF($Y414="","",INDEX($L$6:$L$40000,$Y414)&amp;"")</f>
        <v/>
      </c>
    </row>
    <row r="415">
      <c r="Y415" s="47">
        <f>IFERROR(MATCH(Library!M415,$M$6:$M$40000,0),"")</f>
        <v/>
      </c>
      <c r="Z415">
        <f>IF($Y415="","",INDEX($C$6:$C$40000,$Y415)&amp;"")</f>
        <v/>
      </c>
      <c r="AA415" s="59">
        <f>IF($Y415="","",IF(INDEX($D$6:$D$40000,$Y415)="","",INDEX($D$6:$D$40000,$Y415)))</f>
        <v/>
      </c>
      <c r="AB415">
        <f>IF($Y415="","",INDEX($L$6:$L$40000,$Y415)&amp;"")</f>
        <v/>
      </c>
    </row>
    <row r="416">
      <c r="Y416" s="47">
        <f>IFERROR(MATCH(Library!M416,$M$6:$M$40000,0),"")</f>
        <v/>
      </c>
      <c r="Z416">
        <f>IF($Y416="","",INDEX($C$6:$C$40000,$Y416)&amp;"")</f>
        <v/>
      </c>
      <c r="AA416" s="59">
        <f>IF($Y416="","",IF(INDEX($D$6:$D$40000,$Y416)="","",INDEX($D$6:$D$40000,$Y416)))</f>
        <v/>
      </c>
      <c r="AB416">
        <f>IF($Y416="","",INDEX($L$6:$L$40000,$Y416)&amp;"")</f>
        <v/>
      </c>
    </row>
    <row r="417">
      <c r="Y417" s="47">
        <f>IFERROR(MATCH(Library!M417,$M$6:$M$40000,0),"")</f>
        <v/>
      </c>
      <c r="Z417">
        <f>IF($Y417="","",INDEX($C$6:$C$40000,$Y417)&amp;"")</f>
        <v/>
      </c>
      <c r="AA417" s="59">
        <f>IF($Y417="","",IF(INDEX($D$6:$D$40000,$Y417)="","",INDEX($D$6:$D$40000,$Y417)))</f>
        <v/>
      </c>
      <c r="AB417">
        <f>IF($Y417="","",INDEX($L$6:$L$40000,$Y417)&amp;"")</f>
        <v/>
      </c>
    </row>
    <row r="418">
      <c r="Y418" s="47">
        <f>IFERROR(MATCH(Library!M418,$M$6:$M$40000,0),"")</f>
        <v/>
      </c>
      <c r="Z418">
        <f>IF($Y418="","",INDEX($C$6:$C$40000,$Y418)&amp;"")</f>
        <v/>
      </c>
      <c r="AA418" s="59">
        <f>IF($Y418="","",IF(INDEX($D$6:$D$40000,$Y418)="","",INDEX($D$6:$D$40000,$Y418)))</f>
        <v/>
      </c>
      <c r="AB418">
        <f>IF($Y418="","",INDEX($L$6:$L$40000,$Y418)&amp;"")</f>
        <v/>
      </c>
    </row>
    <row r="419">
      <c r="Y419" s="47">
        <f>IFERROR(MATCH(Library!M419,$M$6:$M$40000,0),"")</f>
        <v/>
      </c>
      <c r="Z419">
        <f>IF($Y419="","",INDEX($C$6:$C$40000,$Y419)&amp;"")</f>
        <v/>
      </c>
      <c r="AA419" s="59">
        <f>IF($Y419="","",IF(INDEX($D$6:$D$40000,$Y419)="","",INDEX($D$6:$D$40000,$Y419)))</f>
        <v/>
      </c>
      <c r="AB419">
        <f>IF($Y419="","",INDEX($L$6:$L$40000,$Y419)&amp;"")</f>
        <v/>
      </c>
    </row>
    <row r="420">
      <c r="Y420" s="47">
        <f>IFERROR(MATCH(Library!M420,$M$6:$M$40000,0),"")</f>
        <v/>
      </c>
      <c r="Z420">
        <f>IF($Y420="","",INDEX($C$6:$C$40000,$Y420)&amp;"")</f>
        <v/>
      </c>
      <c r="AA420" s="59">
        <f>IF($Y420="","",IF(INDEX($D$6:$D$40000,$Y420)="","",INDEX($D$6:$D$40000,$Y420)))</f>
        <v/>
      </c>
      <c r="AB420">
        <f>IF($Y420="","",INDEX($L$6:$L$40000,$Y420)&amp;"")</f>
        <v/>
      </c>
    </row>
    <row r="421">
      <c r="Y421" s="47">
        <f>IFERROR(MATCH(Library!M421,$M$6:$M$40000,0),"")</f>
        <v/>
      </c>
      <c r="Z421">
        <f>IF($Y421="","",INDEX($C$6:$C$40000,$Y421)&amp;"")</f>
        <v/>
      </c>
      <c r="AA421" s="59">
        <f>IF($Y421="","",IF(INDEX($D$6:$D$40000,$Y421)="","",INDEX($D$6:$D$40000,$Y421)))</f>
        <v/>
      </c>
      <c r="AB421">
        <f>IF($Y421="","",INDEX($L$6:$L$40000,$Y421)&amp;"")</f>
        <v/>
      </c>
    </row>
    <row r="422">
      <c r="Y422" s="47">
        <f>IFERROR(MATCH(Library!M422,$M$6:$M$40000,0),"")</f>
        <v/>
      </c>
      <c r="Z422">
        <f>IF($Y422="","",INDEX($C$6:$C$40000,$Y422)&amp;"")</f>
        <v/>
      </c>
      <c r="AA422" s="59">
        <f>IF($Y422="","",IF(INDEX($D$6:$D$40000,$Y422)="","",INDEX($D$6:$D$40000,$Y422)))</f>
        <v/>
      </c>
      <c r="AB422">
        <f>IF($Y422="","",INDEX($L$6:$L$40000,$Y422)&amp;"")</f>
        <v/>
      </c>
    </row>
    <row r="423">
      <c r="Y423" s="47">
        <f>IFERROR(MATCH(Library!M423,$M$6:$M$40000,0),"")</f>
        <v/>
      </c>
      <c r="Z423">
        <f>IF($Y423="","",INDEX($C$6:$C$40000,$Y423)&amp;"")</f>
        <v/>
      </c>
      <c r="AA423" s="59">
        <f>IF($Y423="","",IF(INDEX($D$6:$D$40000,$Y423)="","",INDEX($D$6:$D$40000,$Y423)))</f>
        <v/>
      </c>
      <c r="AB423">
        <f>IF($Y423="","",INDEX($L$6:$L$40000,$Y423)&amp;"")</f>
        <v/>
      </c>
    </row>
    <row r="424">
      <c r="Y424" s="47">
        <f>IFERROR(MATCH(Library!M424,$M$6:$M$40000,0),"")</f>
        <v/>
      </c>
      <c r="Z424">
        <f>IF($Y424="","",INDEX($C$6:$C$40000,$Y424)&amp;"")</f>
        <v/>
      </c>
      <c r="AA424" s="59">
        <f>IF($Y424="","",IF(INDEX($D$6:$D$40000,$Y424)="","",INDEX($D$6:$D$40000,$Y424)))</f>
        <v/>
      </c>
      <c r="AB424">
        <f>IF($Y424="","",INDEX($L$6:$L$40000,$Y424)&amp;"")</f>
        <v/>
      </c>
    </row>
    <row r="425">
      <c r="Y425" s="47">
        <f>IFERROR(MATCH(Library!M425,$M$6:$M$40000,0),"")</f>
        <v/>
      </c>
      <c r="Z425">
        <f>IF($Y425="","",INDEX($C$6:$C$40000,$Y425)&amp;"")</f>
        <v/>
      </c>
      <c r="AA425" s="59">
        <f>IF($Y425="","",IF(INDEX($D$6:$D$40000,$Y425)="","",INDEX($D$6:$D$40000,$Y425)))</f>
        <v/>
      </c>
      <c r="AB425">
        <f>IF($Y425="","",INDEX($L$6:$L$40000,$Y425)&amp;"")</f>
        <v/>
      </c>
    </row>
    <row r="426">
      <c r="Y426" s="47">
        <f>IFERROR(MATCH(Library!M426,$M$6:$M$40000,0),"")</f>
        <v/>
      </c>
      <c r="Z426">
        <f>IF($Y426="","",INDEX($C$6:$C$40000,$Y426)&amp;"")</f>
        <v/>
      </c>
      <c r="AA426" s="59">
        <f>IF($Y426="","",IF(INDEX($D$6:$D$40000,$Y426)="","",INDEX($D$6:$D$40000,$Y426)))</f>
        <v/>
      </c>
      <c r="AB426">
        <f>IF($Y426="","",INDEX($L$6:$L$40000,$Y426)&amp;"")</f>
        <v/>
      </c>
    </row>
    <row r="427">
      <c r="Y427" s="47">
        <f>IFERROR(MATCH(Library!M427,$M$6:$M$40000,0),"")</f>
        <v/>
      </c>
      <c r="Z427">
        <f>IF($Y427="","",INDEX($C$6:$C$40000,$Y427)&amp;"")</f>
        <v/>
      </c>
      <c r="AA427" s="59">
        <f>IF($Y427="","",IF(INDEX($D$6:$D$40000,$Y427)="","",INDEX($D$6:$D$40000,$Y427)))</f>
        <v/>
      </c>
      <c r="AB427">
        <f>IF($Y427="","",INDEX($L$6:$L$40000,$Y427)&amp;"")</f>
        <v/>
      </c>
    </row>
    <row r="428">
      <c r="Y428" s="47">
        <f>IFERROR(MATCH(Library!M428,$M$6:$M$40000,0),"")</f>
        <v/>
      </c>
      <c r="Z428">
        <f>IF($Y428="","",INDEX($C$6:$C$40000,$Y428)&amp;"")</f>
        <v/>
      </c>
      <c r="AA428" s="59">
        <f>IF($Y428="","",IF(INDEX($D$6:$D$40000,$Y428)="","",INDEX($D$6:$D$40000,$Y428)))</f>
        <v/>
      </c>
      <c r="AB428">
        <f>IF($Y428="","",INDEX($L$6:$L$40000,$Y428)&amp;"")</f>
        <v/>
      </c>
    </row>
    <row r="429">
      <c r="Y429" s="47">
        <f>IFERROR(MATCH(Library!M429,$M$6:$M$40000,0),"")</f>
        <v/>
      </c>
      <c r="Z429">
        <f>IF($Y429="","",INDEX($C$6:$C$40000,$Y429)&amp;"")</f>
        <v/>
      </c>
      <c r="AA429" s="59">
        <f>IF($Y429="","",IF(INDEX($D$6:$D$40000,$Y429)="","",INDEX($D$6:$D$40000,$Y429)))</f>
        <v/>
      </c>
      <c r="AB429">
        <f>IF($Y429="","",INDEX($L$6:$L$40000,$Y429)&amp;"")</f>
        <v/>
      </c>
    </row>
    <row r="430">
      <c r="Y430" s="47">
        <f>IFERROR(MATCH(Library!M430,$M$6:$M$40000,0),"")</f>
        <v/>
      </c>
      <c r="Z430">
        <f>IF($Y430="","",INDEX($C$6:$C$40000,$Y430)&amp;"")</f>
        <v/>
      </c>
      <c r="AA430" s="59">
        <f>IF($Y430="","",IF(INDEX($D$6:$D$40000,$Y430)="","",INDEX($D$6:$D$40000,$Y430)))</f>
        <v/>
      </c>
      <c r="AB430">
        <f>IF($Y430="","",INDEX($L$6:$L$40000,$Y430)&amp;"")</f>
        <v/>
      </c>
    </row>
    <row r="431">
      <c r="Y431" s="47">
        <f>IFERROR(MATCH(Library!M431,$M$6:$M$40000,0),"")</f>
        <v/>
      </c>
      <c r="Z431">
        <f>IF($Y431="","",INDEX($C$6:$C$40000,$Y431)&amp;"")</f>
        <v/>
      </c>
      <c r="AA431" s="59">
        <f>IF($Y431="","",IF(INDEX($D$6:$D$40000,$Y431)="","",INDEX($D$6:$D$40000,$Y431)))</f>
        <v/>
      </c>
      <c r="AB431">
        <f>IF($Y431="","",INDEX($L$6:$L$40000,$Y431)&amp;"")</f>
        <v/>
      </c>
    </row>
    <row r="432">
      <c r="Y432" s="47">
        <f>IFERROR(MATCH(Library!M432,$M$6:$M$40000,0),"")</f>
        <v/>
      </c>
      <c r="Z432">
        <f>IF($Y432="","",INDEX($C$6:$C$40000,$Y432)&amp;"")</f>
        <v/>
      </c>
      <c r="AA432" s="59">
        <f>IF($Y432="","",IF(INDEX($D$6:$D$40000,$Y432)="","",INDEX($D$6:$D$40000,$Y432)))</f>
        <v/>
      </c>
      <c r="AB432">
        <f>IF($Y432="","",INDEX($L$6:$L$40000,$Y432)&amp;"")</f>
        <v/>
      </c>
    </row>
    <row r="433">
      <c r="Y433" s="47">
        <f>IFERROR(MATCH(Library!M433,$M$6:$M$40000,0),"")</f>
        <v/>
      </c>
      <c r="Z433">
        <f>IF($Y433="","",INDEX($C$6:$C$40000,$Y433)&amp;"")</f>
        <v/>
      </c>
      <c r="AA433" s="59">
        <f>IF($Y433="","",IF(INDEX($D$6:$D$40000,$Y433)="","",INDEX($D$6:$D$40000,$Y433)))</f>
        <v/>
      </c>
      <c r="AB433">
        <f>IF($Y433="","",INDEX($L$6:$L$40000,$Y433)&amp;"")</f>
        <v/>
      </c>
    </row>
    <row r="434">
      <c r="Y434" s="47">
        <f>IFERROR(MATCH(Library!M434,$M$6:$M$40000,0),"")</f>
        <v/>
      </c>
      <c r="Z434">
        <f>IF($Y434="","",INDEX($C$6:$C$40000,$Y434)&amp;"")</f>
        <v/>
      </c>
      <c r="AA434" s="59">
        <f>IF($Y434="","",IF(INDEX($D$6:$D$40000,$Y434)="","",INDEX($D$6:$D$40000,$Y434)))</f>
        <v/>
      </c>
      <c r="AB434">
        <f>IF($Y434="","",INDEX($L$6:$L$40000,$Y434)&amp;"")</f>
        <v/>
      </c>
    </row>
    <row r="435">
      <c r="Y435" s="47">
        <f>IFERROR(MATCH(Library!M435,$M$6:$M$40000,0),"")</f>
        <v/>
      </c>
      <c r="Z435">
        <f>IF($Y435="","",INDEX($C$6:$C$40000,$Y435)&amp;"")</f>
        <v/>
      </c>
      <c r="AA435" s="59">
        <f>IF($Y435="","",IF(INDEX($D$6:$D$40000,$Y435)="","",INDEX($D$6:$D$40000,$Y435)))</f>
        <v/>
      </c>
      <c r="AB435">
        <f>IF($Y435="","",INDEX($L$6:$L$40000,$Y435)&amp;"")</f>
        <v/>
      </c>
    </row>
    <row r="436">
      <c r="Y436" s="47">
        <f>IFERROR(MATCH(Library!M436,$M$6:$M$40000,0),"")</f>
        <v/>
      </c>
      <c r="Z436">
        <f>IF($Y436="","",INDEX($C$6:$C$40000,$Y436)&amp;"")</f>
        <v/>
      </c>
      <c r="AA436" s="59">
        <f>IF($Y436="","",IF(INDEX($D$6:$D$40000,$Y436)="","",INDEX($D$6:$D$40000,$Y436)))</f>
        <v/>
      </c>
      <c r="AB436">
        <f>IF($Y436="","",INDEX($L$6:$L$40000,$Y436)&amp;"")</f>
        <v/>
      </c>
    </row>
    <row r="437">
      <c r="Y437" s="47">
        <f>IFERROR(MATCH(Library!M437,$M$6:$M$40000,0),"")</f>
        <v/>
      </c>
      <c r="Z437">
        <f>IF($Y437="","",INDEX($C$6:$C$40000,$Y437)&amp;"")</f>
        <v/>
      </c>
      <c r="AA437" s="59">
        <f>IF($Y437="","",IF(INDEX($D$6:$D$40000,$Y437)="","",INDEX($D$6:$D$40000,$Y437)))</f>
        <v/>
      </c>
      <c r="AB437">
        <f>IF($Y437="","",INDEX($L$6:$L$40000,$Y437)&amp;"")</f>
        <v/>
      </c>
    </row>
    <row r="438">
      <c r="Y438" s="47">
        <f>IFERROR(MATCH(Library!M438,$M$6:$M$40000,0),"")</f>
        <v/>
      </c>
      <c r="Z438">
        <f>IF($Y438="","",INDEX($C$6:$C$40000,$Y438)&amp;"")</f>
        <v/>
      </c>
      <c r="AA438" s="59">
        <f>IF($Y438="","",IF(INDEX($D$6:$D$40000,$Y438)="","",INDEX($D$6:$D$40000,$Y438)))</f>
        <v/>
      </c>
      <c r="AB438">
        <f>IF($Y438="","",INDEX($L$6:$L$40000,$Y438)&amp;"")</f>
        <v/>
      </c>
    </row>
    <row r="439">
      <c r="Y439" s="47">
        <f>IFERROR(MATCH(Library!M439,$M$6:$M$40000,0),"")</f>
        <v/>
      </c>
      <c r="Z439">
        <f>IF($Y439="","",INDEX($C$6:$C$40000,$Y439)&amp;"")</f>
        <v/>
      </c>
      <c r="AA439" s="59">
        <f>IF($Y439="","",IF(INDEX($D$6:$D$40000,$Y439)="","",INDEX($D$6:$D$40000,$Y439)))</f>
        <v/>
      </c>
      <c r="AB439">
        <f>IF($Y439="","",INDEX($L$6:$L$40000,$Y439)&amp;"")</f>
        <v/>
      </c>
    </row>
    <row r="440">
      <c r="Y440" s="47">
        <f>IFERROR(MATCH(Library!M440,$M$6:$M$40000,0),"")</f>
        <v/>
      </c>
      <c r="Z440">
        <f>IF($Y440="","",INDEX($C$6:$C$40000,$Y440)&amp;"")</f>
        <v/>
      </c>
      <c r="AA440" s="59">
        <f>IF($Y440="","",IF(INDEX($D$6:$D$40000,$Y440)="","",INDEX($D$6:$D$40000,$Y440)))</f>
        <v/>
      </c>
      <c r="AB440">
        <f>IF($Y440="","",INDEX($L$6:$L$40000,$Y440)&amp;"")</f>
        <v/>
      </c>
    </row>
    <row r="441">
      <c r="Y441" s="47">
        <f>IFERROR(MATCH(Library!M441,$M$6:$M$40000,0),"")</f>
        <v/>
      </c>
      <c r="Z441">
        <f>IF($Y441="","",INDEX($C$6:$C$40000,$Y441)&amp;"")</f>
        <v/>
      </c>
      <c r="AA441" s="59">
        <f>IF($Y441="","",IF(INDEX($D$6:$D$40000,$Y441)="","",INDEX($D$6:$D$40000,$Y441)))</f>
        <v/>
      </c>
      <c r="AB441">
        <f>IF($Y441="","",INDEX($L$6:$L$40000,$Y441)&amp;"")</f>
        <v/>
      </c>
    </row>
    <row r="442">
      <c r="Y442" s="47">
        <f>IFERROR(MATCH(Library!M442,$M$6:$M$40000,0),"")</f>
        <v/>
      </c>
      <c r="Z442">
        <f>IF($Y442="","",INDEX($C$6:$C$40000,$Y442)&amp;"")</f>
        <v/>
      </c>
      <c r="AA442" s="59">
        <f>IF($Y442="","",IF(INDEX($D$6:$D$40000,$Y442)="","",INDEX($D$6:$D$40000,$Y442)))</f>
        <v/>
      </c>
      <c r="AB442">
        <f>IF($Y442="","",INDEX($L$6:$L$40000,$Y442)&amp;"")</f>
        <v/>
      </c>
    </row>
    <row r="443">
      <c r="Y443" s="47">
        <f>IFERROR(MATCH(Library!M443,$M$6:$M$40000,0),"")</f>
        <v/>
      </c>
      <c r="Z443">
        <f>IF($Y443="","",INDEX($C$6:$C$40000,$Y443)&amp;"")</f>
        <v/>
      </c>
      <c r="AA443" s="59">
        <f>IF($Y443="","",IF(INDEX($D$6:$D$40000,$Y443)="","",INDEX($D$6:$D$40000,$Y443)))</f>
        <v/>
      </c>
      <c r="AB443">
        <f>IF($Y443="","",INDEX($L$6:$L$40000,$Y443)&amp;"")</f>
        <v/>
      </c>
    </row>
    <row r="444">
      <c r="Y444" s="47">
        <f>IFERROR(MATCH(Library!M444,$M$6:$M$40000,0),"")</f>
        <v/>
      </c>
      <c r="Z444">
        <f>IF($Y444="","",INDEX($C$6:$C$40000,$Y444)&amp;"")</f>
        <v/>
      </c>
      <c r="AA444" s="59">
        <f>IF($Y444="","",IF(INDEX($D$6:$D$40000,$Y444)="","",INDEX($D$6:$D$40000,$Y444)))</f>
        <v/>
      </c>
      <c r="AB444">
        <f>IF($Y444="","",INDEX($L$6:$L$40000,$Y444)&amp;"")</f>
        <v/>
      </c>
    </row>
    <row r="445">
      <c r="Y445" s="47">
        <f>IFERROR(MATCH(Library!M445,$M$6:$M$40000,0),"")</f>
        <v/>
      </c>
      <c r="Z445">
        <f>IF($Y445="","",INDEX($C$6:$C$40000,$Y445)&amp;"")</f>
        <v/>
      </c>
      <c r="AA445" s="59">
        <f>IF($Y445="","",IF(INDEX($D$6:$D$40000,$Y445)="","",INDEX($D$6:$D$40000,$Y445)))</f>
        <v/>
      </c>
      <c r="AB445">
        <f>IF($Y445="","",INDEX($L$6:$L$40000,$Y445)&amp;"")</f>
        <v/>
      </c>
    </row>
    <row r="446">
      <c r="Y446" s="47">
        <f>IFERROR(MATCH(Library!M446,$M$6:$M$40000,0),"")</f>
        <v/>
      </c>
      <c r="Z446">
        <f>IF($Y446="","",INDEX($C$6:$C$40000,$Y446)&amp;"")</f>
        <v/>
      </c>
      <c r="AA446" s="59">
        <f>IF($Y446="","",IF(INDEX($D$6:$D$40000,$Y446)="","",INDEX($D$6:$D$40000,$Y446)))</f>
        <v/>
      </c>
      <c r="AB446">
        <f>IF($Y446="","",INDEX($L$6:$L$40000,$Y446)&amp;"")</f>
        <v/>
      </c>
    </row>
    <row r="447">
      <c r="Y447" s="47">
        <f>IFERROR(MATCH(Library!M447,$M$6:$M$40000,0),"")</f>
        <v/>
      </c>
      <c r="Z447">
        <f>IF($Y447="","",INDEX($C$6:$C$40000,$Y447)&amp;"")</f>
        <v/>
      </c>
      <c r="AA447" s="59">
        <f>IF($Y447="","",IF(INDEX($D$6:$D$40000,$Y447)="","",INDEX($D$6:$D$40000,$Y447)))</f>
        <v/>
      </c>
      <c r="AB447">
        <f>IF($Y447="","",INDEX($L$6:$L$40000,$Y447)&amp;"")</f>
        <v/>
      </c>
    </row>
    <row r="448">
      <c r="Y448" s="47">
        <f>IFERROR(MATCH(Library!M448,$M$6:$M$40000,0),"")</f>
        <v/>
      </c>
      <c r="Z448">
        <f>IF($Y448="","",INDEX($C$6:$C$40000,$Y448)&amp;"")</f>
        <v/>
      </c>
      <c r="AA448" s="59">
        <f>IF($Y448="","",IF(INDEX($D$6:$D$40000,$Y448)="","",INDEX($D$6:$D$40000,$Y448)))</f>
        <v/>
      </c>
      <c r="AB448">
        <f>IF($Y448="","",INDEX($L$6:$L$40000,$Y448)&amp;"")</f>
        <v/>
      </c>
    </row>
    <row r="449">
      <c r="Y449" s="47">
        <f>IFERROR(MATCH(Library!M449,$M$6:$M$40000,0),"")</f>
        <v/>
      </c>
      <c r="Z449">
        <f>IF($Y449="","",INDEX($C$6:$C$40000,$Y449)&amp;"")</f>
        <v/>
      </c>
      <c r="AA449" s="59">
        <f>IF($Y449="","",IF(INDEX($D$6:$D$40000,$Y449)="","",INDEX($D$6:$D$40000,$Y449)))</f>
        <v/>
      </c>
      <c r="AB449">
        <f>IF($Y449="","",INDEX($L$6:$L$40000,$Y449)&amp;"")</f>
        <v/>
      </c>
    </row>
    <row r="450">
      <c r="Y450" s="47">
        <f>IFERROR(MATCH(Library!M450,$M$6:$M$40000,0),"")</f>
        <v/>
      </c>
      <c r="Z450">
        <f>IF($Y450="","",INDEX($C$6:$C$40000,$Y450)&amp;"")</f>
        <v/>
      </c>
      <c r="AA450" s="59">
        <f>IF($Y450="","",IF(INDEX($D$6:$D$40000,$Y450)="","",INDEX($D$6:$D$40000,$Y450)))</f>
        <v/>
      </c>
      <c r="AB450">
        <f>IF($Y450="","",INDEX($L$6:$L$40000,$Y450)&amp;"")</f>
        <v/>
      </c>
    </row>
    <row r="451">
      <c r="Y451" s="47">
        <f>IFERROR(MATCH(Library!M451,$M$6:$M$40000,0),"")</f>
        <v/>
      </c>
      <c r="Z451">
        <f>IF($Y451="","",INDEX($C$6:$C$40000,$Y451)&amp;"")</f>
        <v/>
      </c>
      <c r="AA451" s="59">
        <f>IF($Y451="","",IF(INDEX($D$6:$D$40000,$Y451)="","",INDEX($D$6:$D$40000,$Y451)))</f>
        <v/>
      </c>
      <c r="AB451">
        <f>IF($Y451="","",INDEX($L$6:$L$40000,$Y451)&amp;"")</f>
        <v/>
      </c>
    </row>
    <row r="452">
      <c r="Y452" s="47">
        <f>IFERROR(MATCH(Library!M452,$M$6:$M$40000,0),"")</f>
        <v/>
      </c>
      <c r="Z452">
        <f>IF($Y452="","",INDEX($C$6:$C$40000,$Y452)&amp;"")</f>
        <v/>
      </c>
      <c r="AA452" s="59">
        <f>IF($Y452="","",IF(INDEX($D$6:$D$40000,$Y452)="","",INDEX($D$6:$D$40000,$Y452)))</f>
        <v/>
      </c>
      <c r="AB452">
        <f>IF($Y452="","",INDEX($L$6:$L$40000,$Y452)&amp;"")</f>
        <v/>
      </c>
    </row>
    <row r="453">
      <c r="Y453" s="47">
        <f>IFERROR(MATCH(Library!M453,$M$6:$M$40000,0),"")</f>
        <v/>
      </c>
      <c r="Z453">
        <f>IF($Y453="","",INDEX($C$6:$C$40000,$Y453)&amp;"")</f>
        <v/>
      </c>
      <c r="AA453" s="59">
        <f>IF($Y453="","",IF(INDEX($D$6:$D$40000,$Y453)="","",INDEX($D$6:$D$40000,$Y453)))</f>
        <v/>
      </c>
      <c r="AB453">
        <f>IF($Y453="","",INDEX($L$6:$L$40000,$Y453)&amp;"")</f>
        <v/>
      </c>
    </row>
    <row r="454">
      <c r="Y454" s="47">
        <f>IFERROR(MATCH(Library!M454,$M$6:$M$40000,0),"")</f>
        <v/>
      </c>
      <c r="Z454">
        <f>IF($Y454="","",INDEX($C$6:$C$40000,$Y454)&amp;"")</f>
        <v/>
      </c>
      <c r="AA454" s="59">
        <f>IF($Y454="","",IF(INDEX($D$6:$D$40000,$Y454)="","",INDEX($D$6:$D$40000,$Y454)))</f>
        <v/>
      </c>
      <c r="AB454">
        <f>IF($Y454="","",INDEX($L$6:$L$40000,$Y454)&amp;"")</f>
        <v/>
      </c>
    </row>
    <row r="455">
      <c r="Y455" s="47">
        <f>IFERROR(MATCH(Library!M455,$M$6:$M$40000,0),"")</f>
        <v/>
      </c>
      <c r="Z455">
        <f>IF($Y455="","",INDEX($C$6:$C$40000,$Y455)&amp;"")</f>
        <v/>
      </c>
      <c r="AA455" s="59">
        <f>IF($Y455="","",IF(INDEX($D$6:$D$40000,$Y455)="","",INDEX($D$6:$D$40000,$Y455)))</f>
        <v/>
      </c>
      <c r="AB455">
        <f>IF($Y455="","",INDEX($L$6:$L$40000,$Y455)&amp;"")</f>
        <v/>
      </c>
    </row>
    <row r="456">
      <c r="Y456" s="47">
        <f>IFERROR(MATCH(Library!M456,$M$6:$M$40000,0),"")</f>
        <v/>
      </c>
      <c r="Z456">
        <f>IF($Y456="","",INDEX($C$6:$C$40000,$Y456)&amp;"")</f>
        <v/>
      </c>
      <c r="AA456" s="59">
        <f>IF($Y456="","",IF(INDEX($D$6:$D$40000,$Y456)="","",INDEX($D$6:$D$40000,$Y456)))</f>
        <v/>
      </c>
      <c r="AB456">
        <f>IF($Y456="","",INDEX($L$6:$L$40000,$Y456)&amp;"")</f>
        <v/>
      </c>
    </row>
    <row r="457">
      <c r="Y457" s="47">
        <f>IFERROR(MATCH(Library!M457,$M$6:$M$40000,0),"")</f>
        <v/>
      </c>
      <c r="Z457">
        <f>IF($Y457="","",INDEX($C$6:$C$40000,$Y457)&amp;"")</f>
        <v/>
      </c>
      <c r="AA457" s="59">
        <f>IF($Y457="","",IF(INDEX($D$6:$D$40000,$Y457)="","",INDEX($D$6:$D$40000,$Y457)))</f>
        <v/>
      </c>
      <c r="AB457">
        <f>IF($Y457="","",INDEX($L$6:$L$40000,$Y457)&amp;"")</f>
        <v/>
      </c>
    </row>
    <row r="458">
      <c r="Y458" s="47">
        <f>IFERROR(MATCH(Library!M458,$M$6:$M$40000,0),"")</f>
        <v/>
      </c>
      <c r="Z458">
        <f>IF($Y458="","",INDEX($C$6:$C$40000,$Y458)&amp;"")</f>
        <v/>
      </c>
      <c r="AA458" s="59">
        <f>IF($Y458="","",IF(INDEX($D$6:$D$40000,$Y458)="","",INDEX($D$6:$D$40000,$Y458)))</f>
        <v/>
      </c>
      <c r="AB458">
        <f>IF($Y458="","",INDEX($L$6:$L$40000,$Y458)&amp;"")</f>
        <v/>
      </c>
    </row>
    <row r="459">
      <c r="Y459" s="47">
        <f>IFERROR(MATCH(Library!M459,$M$6:$M$40000,0),"")</f>
        <v/>
      </c>
      <c r="Z459">
        <f>IF($Y459="","",INDEX($C$6:$C$40000,$Y459)&amp;"")</f>
        <v/>
      </c>
      <c r="AA459" s="59">
        <f>IF($Y459="","",IF(INDEX($D$6:$D$40000,$Y459)="","",INDEX($D$6:$D$40000,$Y459)))</f>
        <v/>
      </c>
      <c r="AB459">
        <f>IF($Y459="","",INDEX($L$6:$L$40000,$Y459)&amp;"")</f>
        <v/>
      </c>
    </row>
    <row r="460">
      <c r="Y460" s="47">
        <f>IFERROR(MATCH(Library!M460,$M$6:$M$40000,0),"")</f>
        <v/>
      </c>
      <c r="Z460">
        <f>IF($Y460="","",INDEX($C$6:$C$40000,$Y460)&amp;"")</f>
        <v/>
      </c>
      <c r="AA460" s="59">
        <f>IF($Y460="","",IF(INDEX($D$6:$D$40000,$Y460)="","",INDEX($D$6:$D$40000,$Y460)))</f>
        <v/>
      </c>
      <c r="AB460">
        <f>IF($Y460="","",INDEX($L$6:$L$40000,$Y460)&amp;"")</f>
        <v/>
      </c>
    </row>
    <row r="461">
      <c r="Y461" s="47">
        <f>IFERROR(MATCH(Library!M461,$M$6:$M$40000,0),"")</f>
        <v/>
      </c>
      <c r="Z461">
        <f>IF($Y461="","",INDEX($C$6:$C$40000,$Y461)&amp;"")</f>
        <v/>
      </c>
      <c r="AA461" s="59">
        <f>IF($Y461="","",IF(INDEX($D$6:$D$40000,$Y461)="","",INDEX($D$6:$D$40000,$Y461)))</f>
        <v/>
      </c>
      <c r="AB461">
        <f>IF($Y461="","",INDEX($L$6:$L$40000,$Y461)&amp;"")</f>
        <v/>
      </c>
    </row>
    <row r="462">
      <c r="Y462" s="47">
        <f>IFERROR(MATCH(Library!M462,$M$6:$M$40000,0),"")</f>
        <v/>
      </c>
      <c r="Z462">
        <f>IF($Y462="","",INDEX($C$6:$C$40000,$Y462)&amp;"")</f>
        <v/>
      </c>
      <c r="AA462" s="59">
        <f>IF($Y462="","",IF(INDEX($D$6:$D$40000,$Y462)="","",INDEX($D$6:$D$40000,$Y462)))</f>
        <v/>
      </c>
      <c r="AB462">
        <f>IF($Y462="","",INDEX($L$6:$L$40000,$Y462)&amp;"")</f>
        <v/>
      </c>
    </row>
    <row r="463">
      <c r="Y463" s="47">
        <f>IFERROR(MATCH(Library!M463,$M$6:$M$40000,0),"")</f>
        <v/>
      </c>
      <c r="Z463">
        <f>IF($Y463="","",INDEX($C$6:$C$40000,$Y463)&amp;"")</f>
        <v/>
      </c>
      <c r="AA463" s="59">
        <f>IF($Y463="","",IF(INDEX($D$6:$D$40000,$Y463)="","",INDEX($D$6:$D$40000,$Y463)))</f>
        <v/>
      </c>
      <c r="AB463">
        <f>IF($Y463="","",INDEX($L$6:$L$40000,$Y463)&amp;"")</f>
        <v/>
      </c>
    </row>
    <row r="464">
      <c r="Y464" s="47">
        <f>IFERROR(MATCH(Library!M464,$M$6:$M$40000,0),"")</f>
        <v/>
      </c>
      <c r="Z464">
        <f>IF($Y464="","",INDEX($C$6:$C$40000,$Y464)&amp;"")</f>
        <v/>
      </c>
      <c r="AA464" s="59">
        <f>IF($Y464="","",IF(INDEX($D$6:$D$40000,$Y464)="","",INDEX($D$6:$D$40000,$Y464)))</f>
        <v/>
      </c>
      <c r="AB464">
        <f>IF($Y464="","",INDEX($L$6:$L$40000,$Y464)&amp;"")</f>
        <v/>
      </c>
    </row>
    <row r="465">
      <c r="Y465" s="47">
        <f>IFERROR(MATCH(Library!M465,$M$6:$M$40000,0),"")</f>
        <v/>
      </c>
      <c r="Z465">
        <f>IF($Y465="","",INDEX($C$6:$C$40000,$Y465)&amp;"")</f>
        <v/>
      </c>
      <c r="AA465" s="59">
        <f>IF($Y465="","",IF(INDEX($D$6:$D$40000,$Y465)="","",INDEX($D$6:$D$40000,$Y465)))</f>
        <v/>
      </c>
      <c r="AB465">
        <f>IF($Y465="","",INDEX($L$6:$L$40000,$Y465)&amp;"")</f>
        <v/>
      </c>
    </row>
    <row r="466">
      <c r="Y466" s="47">
        <f>IFERROR(MATCH(Library!M466,$M$6:$M$40000,0),"")</f>
        <v/>
      </c>
      <c r="Z466">
        <f>IF($Y466="","",INDEX($C$6:$C$40000,$Y466)&amp;"")</f>
        <v/>
      </c>
      <c r="AA466" s="59">
        <f>IF($Y466="","",IF(INDEX($D$6:$D$40000,$Y466)="","",INDEX($D$6:$D$40000,$Y466)))</f>
        <v/>
      </c>
      <c r="AB466">
        <f>IF($Y466="","",INDEX($L$6:$L$40000,$Y466)&amp;"")</f>
        <v/>
      </c>
    </row>
    <row r="467">
      <c r="Y467" s="47">
        <f>IFERROR(MATCH(Library!M467,$M$6:$M$40000,0),"")</f>
        <v/>
      </c>
      <c r="Z467">
        <f>IF($Y467="","",INDEX($C$6:$C$40000,$Y467)&amp;"")</f>
        <v/>
      </c>
      <c r="AA467" s="59">
        <f>IF($Y467="","",IF(INDEX($D$6:$D$40000,$Y467)="","",INDEX($D$6:$D$40000,$Y467)))</f>
        <v/>
      </c>
      <c r="AB467">
        <f>IF($Y467="","",INDEX($L$6:$L$40000,$Y467)&amp;"")</f>
        <v/>
      </c>
    </row>
    <row r="468">
      <c r="Y468" s="47">
        <f>IFERROR(MATCH(Library!M468,$M$6:$M$40000,0),"")</f>
        <v/>
      </c>
      <c r="Z468">
        <f>IF($Y468="","",INDEX($C$6:$C$40000,$Y468)&amp;"")</f>
        <v/>
      </c>
      <c r="AA468" s="59">
        <f>IF($Y468="","",IF(INDEX($D$6:$D$40000,$Y468)="","",INDEX($D$6:$D$40000,$Y468)))</f>
        <v/>
      </c>
      <c r="AB468">
        <f>IF($Y468="","",INDEX($L$6:$L$40000,$Y468)&amp;"")</f>
        <v/>
      </c>
    </row>
    <row r="469">
      <c r="Y469" s="47">
        <f>IFERROR(MATCH(Library!M469,$M$6:$M$40000,0),"")</f>
        <v/>
      </c>
      <c r="Z469">
        <f>IF($Y469="","",INDEX($C$6:$C$40000,$Y469)&amp;"")</f>
        <v/>
      </c>
      <c r="AA469" s="59">
        <f>IF($Y469="","",IF(INDEX($D$6:$D$40000,$Y469)="","",INDEX($D$6:$D$40000,$Y469)))</f>
        <v/>
      </c>
      <c r="AB469">
        <f>IF($Y469="","",INDEX($L$6:$L$40000,$Y469)&amp;"")</f>
        <v/>
      </c>
    </row>
    <row r="470">
      <c r="Y470" s="47">
        <f>IFERROR(MATCH(Library!M470,$M$6:$M$40000,0),"")</f>
        <v/>
      </c>
      <c r="Z470">
        <f>IF($Y470="","",INDEX($C$6:$C$40000,$Y470)&amp;"")</f>
        <v/>
      </c>
      <c r="AA470" s="59">
        <f>IF($Y470="","",IF(INDEX($D$6:$D$40000,$Y470)="","",INDEX($D$6:$D$40000,$Y470)))</f>
        <v/>
      </c>
      <c r="AB470">
        <f>IF($Y470="","",INDEX($L$6:$L$40000,$Y470)&amp;"")</f>
        <v/>
      </c>
    </row>
    <row r="471">
      <c r="Y471" s="47">
        <f>IFERROR(MATCH(Library!M471,$M$6:$M$40000,0),"")</f>
        <v/>
      </c>
      <c r="Z471">
        <f>IF($Y471="","",INDEX($C$6:$C$40000,$Y471)&amp;"")</f>
        <v/>
      </c>
      <c r="AA471" s="59">
        <f>IF($Y471="","",IF(INDEX($D$6:$D$40000,$Y471)="","",INDEX($D$6:$D$40000,$Y471)))</f>
        <v/>
      </c>
      <c r="AB471">
        <f>IF($Y471="","",INDEX($L$6:$L$40000,$Y471)&amp;"")</f>
        <v/>
      </c>
    </row>
    <row r="472">
      <c r="Y472" s="47">
        <f>IFERROR(MATCH(Library!M472,$M$6:$M$40000,0),"")</f>
        <v/>
      </c>
      <c r="Z472">
        <f>IF($Y472="","",INDEX($C$6:$C$40000,$Y472)&amp;"")</f>
        <v/>
      </c>
      <c r="AA472" s="59">
        <f>IF($Y472="","",IF(INDEX($D$6:$D$40000,$Y472)="","",INDEX($D$6:$D$40000,$Y472)))</f>
        <v/>
      </c>
      <c r="AB472">
        <f>IF($Y472="","",INDEX($L$6:$L$40000,$Y472)&amp;"")</f>
        <v/>
      </c>
    </row>
    <row r="473">
      <c r="Y473" s="47">
        <f>IFERROR(MATCH(Library!M473,$M$6:$M$40000,0),"")</f>
        <v/>
      </c>
      <c r="Z473">
        <f>IF($Y473="","",INDEX($C$6:$C$40000,$Y473)&amp;"")</f>
        <v/>
      </c>
      <c r="AA473" s="59">
        <f>IF($Y473="","",IF(INDEX($D$6:$D$40000,$Y473)="","",INDEX($D$6:$D$40000,$Y473)))</f>
        <v/>
      </c>
      <c r="AB473">
        <f>IF($Y473="","",INDEX($L$6:$L$40000,$Y473)&amp;"")</f>
        <v/>
      </c>
    </row>
    <row r="474">
      <c r="Y474" s="47">
        <f>IFERROR(MATCH(Library!M474,$M$6:$M$40000,0),"")</f>
        <v/>
      </c>
      <c r="Z474">
        <f>IF($Y474="","",INDEX($C$6:$C$40000,$Y474)&amp;"")</f>
        <v/>
      </c>
      <c r="AA474" s="59">
        <f>IF($Y474="","",IF(INDEX($D$6:$D$40000,$Y474)="","",INDEX($D$6:$D$40000,$Y474)))</f>
        <v/>
      </c>
      <c r="AB474">
        <f>IF($Y474="","",INDEX($L$6:$L$40000,$Y474)&amp;"")</f>
        <v/>
      </c>
    </row>
    <row r="475">
      <c r="Y475" s="47">
        <f>IFERROR(MATCH(Library!M475,$M$6:$M$40000,0),"")</f>
        <v/>
      </c>
      <c r="Z475">
        <f>IF($Y475="","",INDEX($C$6:$C$40000,$Y475)&amp;"")</f>
        <v/>
      </c>
      <c r="AA475" s="59">
        <f>IF($Y475="","",IF(INDEX($D$6:$D$40000,$Y475)="","",INDEX($D$6:$D$40000,$Y475)))</f>
        <v/>
      </c>
      <c r="AB475">
        <f>IF($Y475="","",INDEX($L$6:$L$40000,$Y475)&amp;"")</f>
        <v/>
      </c>
    </row>
    <row r="476">
      <c r="Y476" s="47">
        <f>IFERROR(MATCH(Library!M476,$M$6:$M$40000,0),"")</f>
        <v/>
      </c>
      <c r="Z476">
        <f>IF($Y476="","",INDEX($C$6:$C$40000,$Y476)&amp;"")</f>
        <v/>
      </c>
      <c r="AA476" s="59">
        <f>IF($Y476="","",IF(INDEX($D$6:$D$40000,$Y476)="","",INDEX($D$6:$D$40000,$Y476)))</f>
        <v/>
      </c>
      <c r="AB476">
        <f>IF($Y476="","",INDEX($L$6:$L$40000,$Y476)&amp;"")</f>
        <v/>
      </c>
    </row>
    <row r="477">
      <c r="Y477" s="47">
        <f>IFERROR(MATCH(Library!M477,$M$6:$M$40000,0),"")</f>
        <v/>
      </c>
      <c r="Z477">
        <f>IF($Y477="","",INDEX($C$6:$C$40000,$Y477)&amp;"")</f>
        <v/>
      </c>
      <c r="AA477" s="59">
        <f>IF($Y477="","",IF(INDEX($D$6:$D$40000,$Y477)="","",INDEX($D$6:$D$40000,$Y477)))</f>
        <v/>
      </c>
      <c r="AB477">
        <f>IF($Y477="","",INDEX($L$6:$L$40000,$Y477)&amp;"")</f>
        <v/>
      </c>
    </row>
    <row r="478">
      <c r="Y478" s="47">
        <f>IFERROR(MATCH(Library!M478,$M$6:$M$40000,0),"")</f>
        <v/>
      </c>
      <c r="Z478">
        <f>IF($Y478="","",INDEX($C$6:$C$40000,$Y478)&amp;"")</f>
        <v/>
      </c>
      <c r="AA478" s="59">
        <f>IF($Y478="","",IF(INDEX($D$6:$D$40000,$Y478)="","",INDEX($D$6:$D$40000,$Y478)))</f>
        <v/>
      </c>
      <c r="AB478">
        <f>IF($Y478="","",INDEX($L$6:$L$40000,$Y478)&amp;"")</f>
        <v/>
      </c>
    </row>
    <row r="479">
      <c r="Y479" s="47">
        <f>IFERROR(MATCH(Library!M479,$M$6:$M$40000,0),"")</f>
        <v/>
      </c>
      <c r="Z479">
        <f>IF($Y479="","",INDEX($C$6:$C$40000,$Y479)&amp;"")</f>
        <v/>
      </c>
      <c r="AA479" s="59">
        <f>IF($Y479="","",IF(INDEX($D$6:$D$40000,$Y479)="","",INDEX($D$6:$D$40000,$Y479)))</f>
        <v/>
      </c>
      <c r="AB479">
        <f>IF($Y479="","",INDEX($L$6:$L$40000,$Y479)&amp;"")</f>
        <v/>
      </c>
    </row>
    <row r="480">
      <c r="Y480" s="47">
        <f>IFERROR(MATCH(Library!M480,$M$6:$M$40000,0),"")</f>
        <v/>
      </c>
      <c r="Z480">
        <f>IF($Y480="","",INDEX($C$6:$C$40000,$Y480)&amp;"")</f>
        <v/>
      </c>
      <c r="AA480" s="59">
        <f>IF($Y480="","",IF(INDEX($D$6:$D$40000,$Y480)="","",INDEX($D$6:$D$40000,$Y480)))</f>
        <v/>
      </c>
      <c r="AB480">
        <f>IF($Y480="","",INDEX($L$6:$L$40000,$Y480)&amp;"")</f>
        <v/>
      </c>
    </row>
    <row r="481">
      <c r="Y481" s="47">
        <f>IFERROR(MATCH(Library!M481,$M$6:$M$40000,0),"")</f>
        <v/>
      </c>
      <c r="Z481">
        <f>IF($Y481="","",INDEX($C$6:$C$40000,$Y481)&amp;"")</f>
        <v/>
      </c>
      <c r="AA481" s="59">
        <f>IF($Y481="","",IF(INDEX($D$6:$D$40000,$Y481)="","",INDEX($D$6:$D$40000,$Y481)))</f>
        <v/>
      </c>
      <c r="AB481">
        <f>IF($Y481="","",INDEX($L$6:$L$40000,$Y481)&amp;"")</f>
        <v/>
      </c>
    </row>
    <row r="482">
      <c r="Y482" s="47">
        <f>IFERROR(MATCH(Library!M482,$M$6:$M$40000,0),"")</f>
        <v/>
      </c>
      <c r="Z482">
        <f>IF($Y482="","",INDEX($C$6:$C$40000,$Y482)&amp;"")</f>
        <v/>
      </c>
      <c r="AA482" s="59">
        <f>IF($Y482="","",IF(INDEX($D$6:$D$40000,$Y482)="","",INDEX($D$6:$D$40000,$Y482)))</f>
        <v/>
      </c>
      <c r="AB482">
        <f>IF($Y482="","",INDEX($L$6:$L$40000,$Y482)&amp;"")</f>
        <v/>
      </c>
    </row>
    <row r="483">
      <c r="Y483" s="47">
        <f>IFERROR(MATCH(Library!M483,$M$6:$M$40000,0),"")</f>
        <v/>
      </c>
      <c r="Z483">
        <f>IF($Y483="","",INDEX($C$6:$C$40000,$Y483)&amp;"")</f>
        <v/>
      </c>
      <c r="AA483" s="59">
        <f>IF($Y483="","",IF(INDEX($D$6:$D$40000,$Y483)="","",INDEX($D$6:$D$40000,$Y483)))</f>
        <v/>
      </c>
      <c r="AB483">
        <f>IF($Y483="","",INDEX($L$6:$L$40000,$Y483)&amp;"")</f>
        <v/>
      </c>
    </row>
    <row r="484">
      <c r="Y484" s="47">
        <f>IFERROR(MATCH(Library!M484,$M$6:$M$40000,0),"")</f>
        <v/>
      </c>
      <c r="Z484">
        <f>IF($Y484="","",INDEX($C$6:$C$40000,$Y484)&amp;"")</f>
        <v/>
      </c>
      <c r="AA484" s="59">
        <f>IF($Y484="","",IF(INDEX($D$6:$D$40000,$Y484)="","",INDEX($D$6:$D$40000,$Y484)))</f>
        <v/>
      </c>
      <c r="AB484">
        <f>IF($Y484="","",INDEX($L$6:$L$40000,$Y484)&amp;"")</f>
        <v/>
      </c>
    </row>
    <row r="485">
      <c r="Y485" s="47">
        <f>IFERROR(MATCH(Library!M485,$M$6:$M$40000,0),"")</f>
        <v/>
      </c>
      <c r="Z485">
        <f>IF($Y485="","",INDEX($C$6:$C$40000,$Y485)&amp;"")</f>
        <v/>
      </c>
      <c r="AA485" s="59">
        <f>IF($Y485="","",IF(INDEX($D$6:$D$40000,$Y485)="","",INDEX($D$6:$D$40000,$Y485)))</f>
        <v/>
      </c>
      <c r="AB485">
        <f>IF($Y485="","",INDEX($L$6:$L$40000,$Y485)&amp;"")</f>
        <v/>
      </c>
    </row>
    <row r="486">
      <c r="Y486" s="47">
        <f>IFERROR(MATCH(Library!M486,$M$6:$M$40000,0),"")</f>
        <v/>
      </c>
      <c r="Z486">
        <f>IF($Y486="","",INDEX($C$6:$C$40000,$Y486)&amp;"")</f>
        <v/>
      </c>
      <c r="AA486" s="59">
        <f>IF($Y486="","",IF(INDEX($D$6:$D$40000,$Y486)="","",INDEX($D$6:$D$40000,$Y486)))</f>
        <v/>
      </c>
      <c r="AB486">
        <f>IF($Y486="","",INDEX($L$6:$L$40000,$Y486)&amp;"")</f>
        <v/>
      </c>
    </row>
    <row r="487">
      <c r="Y487" s="47">
        <f>IFERROR(MATCH(Library!M487,$M$6:$M$40000,0),"")</f>
        <v/>
      </c>
      <c r="Z487">
        <f>IF($Y487="","",INDEX($C$6:$C$40000,$Y487)&amp;"")</f>
        <v/>
      </c>
      <c r="AA487" s="59">
        <f>IF($Y487="","",IF(INDEX($D$6:$D$40000,$Y487)="","",INDEX($D$6:$D$40000,$Y487)))</f>
        <v/>
      </c>
      <c r="AB487">
        <f>IF($Y487="","",INDEX($L$6:$L$40000,$Y487)&amp;"")</f>
        <v/>
      </c>
    </row>
    <row r="488">
      <c r="Y488" s="47">
        <f>IFERROR(MATCH(Library!M488,$M$6:$M$40000,0),"")</f>
        <v/>
      </c>
      <c r="Z488">
        <f>IF($Y488="","",INDEX($C$6:$C$40000,$Y488)&amp;"")</f>
        <v/>
      </c>
      <c r="AA488" s="59">
        <f>IF($Y488="","",IF(INDEX($D$6:$D$40000,$Y488)="","",INDEX($D$6:$D$40000,$Y488)))</f>
        <v/>
      </c>
      <c r="AB488">
        <f>IF($Y488="","",INDEX($L$6:$L$40000,$Y488)&amp;"")</f>
        <v/>
      </c>
    </row>
    <row r="489">
      <c r="Y489" s="47">
        <f>IFERROR(MATCH(Library!M489,$M$6:$M$40000,0),"")</f>
        <v/>
      </c>
      <c r="Z489">
        <f>IF($Y489="","",INDEX($C$6:$C$40000,$Y489)&amp;"")</f>
        <v/>
      </c>
      <c r="AA489" s="59">
        <f>IF($Y489="","",IF(INDEX($D$6:$D$40000,$Y489)="","",INDEX($D$6:$D$40000,$Y489)))</f>
        <v/>
      </c>
      <c r="AB489">
        <f>IF($Y489="","",INDEX($L$6:$L$40000,$Y489)&amp;"")</f>
        <v/>
      </c>
    </row>
    <row r="490">
      <c r="Y490" s="47">
        <f>IFERROR(MATCH(Library!M490,$M$6:$M$40000,0),"")</f>
        <v/>
      </c>
      <c r="Z490">
        <f>IF($Y490="","",INDEX($C$6:$C$40000,$Y490)&amp;"")</f>
        <v/>
      </c>
      <c r="AA490" s="59">
        <f>IF($Y490="","",IF(INDEX($D$6:$D$40000,$Y490)="","",INDEX($D$6:$D$40000,$Y490)))</f>
        <v/>
      </c>
      <c r="AB490">
        <f>IF($Y490="","",INDEX($L$6:$L$40000,$Y490)&amp;"")</f>
        <v/>
      </c>
    </row>
    <row r="491">
      <c r="Y491" s="47">
        <f>IFERROR(MATCH(Library!M491,$M$6:$M$40000,0),"")</f>
        <v/>
      </c>
      <c r="Z491">
        <f>IF($Y491="","",INDEX($C$6:$C$40000,$Y491)&amp;"")</f>
        <v/>
      </c>
      <c r="AA491" s="59">
        <f>IF($Y491="","",IF(INDEX($D$6:$D$40000,$Y491)="","",INDEX($D$6:$D$40000,$Y491)))</f>
        <v/>
      </c>
      <c r="AB491">
        <f>IF($Y491="","",INDEX($L$6:$L$40000,$Y491)&amp;"")</f>
        <v/>
      </c>
    </row>
    <row r="492">
      <c r="Y492" s="47">
        <f>IFERROR(MATCH(Library!M492,$M$6:$M$40000,0),"")</f>
        <v/>
      </c>
      <c r="Z492">
        <f>IF($Y492="","",INDEX($C$6:$C$40000,$Y492)&amp;"")</f>
        <v/>
      </c>
      <c r="AA492" s="59">
        <f>IF($Y492="","",IF(INDEX($D$6:$D$40000,$Y492)="","",INDEX($D$6:$D$40000,$Y492)))</f>
        <v/>
      </c>
      <c r="AB492">
        <f>IF($Y492="","",INDEX($L$6:$L$40000,$Y492)&amp;"")</f>
        <v/>
      </c>
    </row>
    <row r="493">
      <c r="Y493" s="47">
        <f>IFERROR(MATCH(Library!M493,$M$6:$M$40000,0),"")</f>
        <v/>
      </c>
      <c r="Z493">
        <f>IF($Y493="","",INDEX($C$6:$C$40000,$Y493)&amp;"")</f>
        <v/>
      </c>
      <c r="AA493" s="59">
        <f>IF($Y493="","",IF(INDEX($D$6:$D$40000,$Y493)="","",INDEX($D$6:$D$40000,$Y493)))</f>
        <v/>
      </c>
      <c r="AB493">
        <f>IF($Y493="","",INDEX($L$6:$L$40000,$Y493)&amp;"")</f>
        <v/>
      </c>
    </row>
    <row r="494">
      <c r="Y494" s="47">
        <f>IFERROR(MATCH(Library!M494,$M$6:$M$40000,0),"")</f>
        <v/>
      </c>
      <c r="Z494">
        <f>IF($Y494="","",INDEX($C$6:$C$40000,$Y494)&amp;"")</f>
        <v/>
      </c>
      <c r="AA494" s="59">
        <f>IF($Y494="","",IF(INDEX($D$6:$D$40000,$Y494)="","",INDEX($D$6:$D$40000,$Y494)))</f>
        <v/>
      </c>
      <c r="AB494">
        <f>IF($Y494="","",INDEX($L$6:$L$40000,$Y494)&amp;"")</f>
        <v/>
      </c>
    </row>
    <row r="495">
      <c r="Y495" s="47">
        <f>IFERROR(MATCH(Library!M495,$M$6:$M$40000,0),"")</f>
        <v/>
      </c>
      <c r="Z495">
        <f>IF($Y495="","",INDEX($C$6:$C$40000,$Y495)&amp;"")</f>
        <v/>
      </c>
      <c r="AA495" s="59">
        <f>IF($Y495="","",IF(INDEX($D$6:$D$40000,$Y495)="","",INDEX($D$6:$D$40000,$Y495)))</f>
        <v/>
      </c>
      <c r="AB495">
        <f>IF($Y495="","",INDEX($L$6:$L$40000,$Y495)&amp;"")</f>
        <v/>
      </c>
    </row>
    <row r="496">
      <c r="Y496" s="47">
        <f>IFERROR(MATCH(Library!M496,$M$6:$M$40000,0),"")</f>
        <v/>
      </c>
      <c r="Z496">
        <f>IF($Y496="","",INDEX($C$6:$C$40000,$Y496)&amp;"")</f>
        <v/>
      </c>
      <c r="AA496" s="59">
        <f>IF($Y496="","",IF(INDEX($D$6:$D$40000,$Y496)="","",INDEX($D$6:$D$40000,$Y496)))</f>
        <v/>
      </c>
      <c r="AB496">
        <f>IF($Y496="","",INDEX($L$6:$L$40000,$Y496)&amp;"")</f>
        <v/>
      </c>
    </row>
    <row r="497">
      <c r="Y497" s="47">
        <f>IFERROR(MATCH(Library!M497,$M$6:$M$40000,0),"")</f>
        <v/>
      </c>
      <c r="Z497">
        <f>IF($Y497="","",INDEX($C$6:$C$40000,$Y497)&amp;"")</f>
        <v/>
      </c>
      <c r="AA497" s="59">
        <f>IF($Y497="","",IF(INDEX($D$6:$D$40000,$Y497)="","",INDEX($D$6:$D$40000,$Y497)))</f>
        <v/>
      </c>
      <c r="AB497">
        <f>IF($Y497="","",INDEX($L$6:$L$40000,$Y497)&amp;"")</f>
        <v/>
      </c>
    </row>
    <row r="498">
      <c r="Y498" s="47">
        <f>IFERROR(MATCH(Library!M498,$M$6:$M$40000,0),"")</f>
        <v/>
      </c>
      <c r="Z498">
        <f>IF($Y498="","",INDEX($C$6:$C$40000,$Y498)&amp;"")</f>
        <v/>
      </c>
      <c r="AA498" s="59">
        <f>IF($Y498="","",IF(INDEX($D$6:$D$40000,$Y498)="","",INDEX($D$6:$D$40000,$Y498)))</f>
        <v/>
      </c>
      <c r="AB498">
        <f>IF($Y498="","",INDEX($L$6:$L$40000,$Y498)&amp;"")</f>
        <v/>
      </c>
    </row>
    <row r="499">
      <c r="Y499" s="47">
        <f>IFERROR(MATCH(Library!M499,$M$6:$M$40000,0),"")</f>
        <v/>
      </c>
      <c r="Z499">
        <f>IF($Y499="","",INDEX($C$6:$C$40000,$Y499)&amp;"")</f>
        <v/>
      </c>
      <c r="AA499" s="59">
        <f>IF($Y499="","",IF(INDEX($D$6:$D$40000,$Y499)="","",INDEX($D$6:$D$40000,$Y499)))</f>
        <v/>
      </c>
      <c r="AB499">
        <f>IF($Y499="","",INDEX($L$6:$L$40000,$Y499)&amp;"")</f>
        <v/>
      </c>
    </row>
    <row r="500">
      <c r="Y500" s="47">
        <f>IFERROR(MATCH(Library!M500,$M$6:$M$40000,0),"")</f>
        <v/>
      </c>
      <c r="Z500">
        <f>IF($Y500="","",INDEX($C$6:$C$40000,$Y500)&amp;"")</f>
        <v/>
      </c>
      <c r="AA500" s="59">
        <f>IF($Y500="","",IF(INDEX($D$6:$D$40000,$Y500)="","",INDEX($D$6:$D$40000,$Y500)))</f>
        <v/>
      </c>
      <c r="AB500">
        <f>IF($Y500="","",INDEX($L$6:$L$40000,$Y500)&amp;"")</f>
        <v/>
      </c>
    </row>
    <row r="501">
      <c r="Y501" s="47">
        <f>IFERROR(MATCH(Library!M501,$M$6:$M$40000,0),"")</f>
        <v/>
      </c>
      <c r="Z501">
        <f>IF($Y501="","",INDEX($C$6:$C$40000,$Y501)&amp;"")</f>
        <v/>
      </c>
      <c r="AA501" s="59">
        <f>IF($Y501="","",IF(INDEX($D$6:$D$40000,$Y501)="","",INDEX($D$6:$D$40000,$Y501)))</f>
        <v/>
      </c>
      <c r="AB501">
        <f>IF($Y501="","",INDEX($L$6:$L$40000,$Y501)&amp;"")</f>
        <v/>
      </c>
    </row>
    <row r="502">
      <c r="Y502" s="47">
        <f>IFERROR(MATCH(Library!M502,$M$6:$M$40000,0),"")</f>
        <v/>
      </c>
      <c r="Z502">
        <f>IF($Y502="","",INDEX($C$6:$C$40000,$Y502)&amp;"")</f>
        <v/>
      </c>
      <c r="AA502" s="59">
        <f>IF($Y502="","",IF(INDEX($D$6:$D$40000,$Y502)="","",INDEX($D$6:$D$40000,$Y502)))</f>
        <v/>
      </c>
      <c r="AB502">
        <f>IF($Y502="","",INDEX($L$6:$L$40000,$Y502)&amp;"")</f>
        <v/>
      </c>
    </row>
    <row r="503">
      <c r="Y503" s="47">
        <f>IFERROR(MATCH(Library!M503,$M$6:$M$40000,0),"")</f>
        <v/>
      </c>
      <c r="Z503">
        <f>IF($Y503="","",INDEX($C$6:$C$40000,$Y503)&amp;"")</f>
        <v/>
      </c>
      <c r="AA503" s="59">
        <f>IF($Y503="","",IF(INDEX($D$6:$D$40000,$Y503)="","",INDEX($D$6:$D$40000,$Y503)))</f>
        <v/>
      </c>
      <c r="AB503">
        <f>IF($Y503="","",INDEX($L$6:$L$40000,$Y503)&amp;"")</f>
        <v/>
      </c>
    </row>
    <row r="504">
      <c r="Y504" s="47">
        <f>IFERROR(MATCH(Library!M504,$M$6:$M$40000,0),"")</f>
        <v/>
      </c>
      <c r="Z504">
        <f>IF($Y504="","",INDEX($C$6:$C$40000,$Y504)&amp;"")</f>
        <v/>
      </c>
      <c r="AA504" s="59">
        <f>IF($Y504="","",IF(INDEX($D$6:$D$40000,$Y504)="","",INDEX($D$6:$D$40000,$Y504)))</f>
        <v/>
      </c>
      <c r="AB504">
        <f>IF($Y504="","",INDEX($L$6:$L$40000,$Y504)&amp;"")</f>
        <v/>
      </c>
    </row>
    <row r="505">
      <c r="Y505" s="47">
        <f>IFERROR(MATCH(Library!M505,$M$6:$M$40000,0),"")</f>
        <v/>
      </c>
      <c r="Z505">
        <f>IF($Y505="","",INDEX($C$6:$C$40000,$Y505)&amp;"")</f>
        <v/>
      </c>
      <c r="AA505" s="59">
        <f>IF($Y505="","",IF(INDEX($D$6:$D$40000,$Y505)="","",INDEX($D$6:$D$40000,$Y505)))</f>
        <v/>
      </c>
      <c r="AB505">
        <f>IF($Y505="","",INDEX($L$6:$L$40000,$Y505)&amp;"")</f>
        <v/>
      </c>
    </row>
    <row r="506">
      <c r="Y506" s="47">
        <f>IFERROR(MATCH(Library!M506,$M$6:$M$40000,0),"")</f>
        <v/>
      </c>
      <c r="Z506">
        <f>IF($Y506="","",INDEX($C$6:$C$40000,$Y506)&amp;"")</f>
        <v/>
      </c>
      <c r="AA506" s="59">
        <f>IF($Y506="","",IF(INDEX($D$6:$D$40000,$Y506)="","",INDEX($D$6:$D$40000,$Y506)))</f>
        <v/>
      </c>
      <c r="AB506">
        <f>IF($Y506="","",INDEX($L$6:$L$40000,$Y506)&amp;"")</f>
        <v/>
      </c>
    </row>
    <row r="507">
      <c r="Y507" s="47">
        <f>IFERROR(MATCH(Library!M507,$M$6:$M$40000,0),"")</f>
        <v/>
      </c>
      <c r="Z507">
        <f>IF($Y507="","",INDEX($C$6:$C$40000,$Y507)&amp;"")</f>
        <v/>
      </c>
      <c r="AA507" s="59">
        <f>IF($Y507="","",IF(INDEX($D$6:$D$40000,$Y507)="","",INDEX($D$6:$D$40000,$Y507)))</f>
        <v/>
      </c>
      <c r="AB507">
        <f>IF($Y507="","",INDEX($L$6:$L$40000,$Y507)&amp;"")</f>
        <v/>
      </c>
    </row>
    <row r="508">
      <c r="Y508" s="47">
        <f>IFERROR(MATCH(Library!M508,$M$6:$M$40000,0),"")</f>
        <v/>
      </c>
      <c r="Z508">
        <f>IF($Y508="","",INDEX($C$6:$C$40000,$Y508)&amp;"")</f>
        <v/>
      </c>
      <c r="AA508" s="59">
        <f>IF($Y508="","",IF(INDEX($D$6:$D$40000,$Y508)="","",INDEX($D$6:$D$40000,$Y508)))</f>
        <v/>
      </c>
      <c r="AB508">
        <f>IF($Y508="","",INDEX($L$6:$L$40000,$Y508)&amp;"")</f>
        <v/>
      </c>
    </row>
    <row r="509">
      <c r="Y509" s="47">
        <f>IFERROR(MATCH(Library!M509,$M$6:$M$40000,0),"")</f>
        <v/>
      </c>
      <c r="Z509">
        <f>IF($Y509="","",INDEX($C$6:$C$40000,$Y509)&amp;"")</f>
        <v/>
      </c>
      <c r="AA509" s="59">
        <f>IF($Y509="","",IF(INDEX($D$6:$D$40000,$Y509)="","",INDEX($D$6:$D$40000,$Y509)))</f>
        <v/>
      </c>
      <c r="AB509">
        <f>IF($Y509="","",INDEX($L$6:$L$40000,$Y509)&amp;"")</f>
        <v/>
      </c>
    </row>
    <row r="510">
      <c r="Y510" s="47">
        <f>IFERROR(MATCH(Library!M510,$M$6:$M$40000,0),"")</f>
        <v/>
      </c>
      <c r="Z510">
        <f>IF($Y510="","",INDEX($C$6:$C$40000,$Y510)&amp;"")</f>
        <v/>
      </c>
      <c r="AA510" s="59">
        <f>IF($Y510="","",IF(INDEX($D$6:$D$40000,$Y510)="","",INDEX($D$6:$D$40000,$Y510)))</f>
        <v/>
      </c>
      <c r="AB510">
        <f>IF($Y510="","",INDEX($L$6:$L$40000,$Y510)&amp;"")</f>
        <v/>
      </c>
    </row>
    <row r="511">
      <c r="Y511" s="47">
        <f>IFERROR(MATCH(Library!M511,$M$6:$M$40000,0),"")</f>
        <v/>
      </c>
      <c r="Z511">
        <f>IF($Y511="","",INDEX($C$6:$C$40000,$Y511)&amp;"")</f>
        <v/>
      </c>
      <c r="AA511" s="59">
        <f>IF($Y511="","",IF(INDEX($D$6:$D$40000,$Y511)="","",INDEX($D$6:$D$40000,$Y511)))</f>
        <v/>
      </c>
      <c r="AB511">
        <f>IF($Y511="","",INDEX($L$6:$L$40000,$Y511)&amp;"")</f>
        <v/>
      </c>
    </row>
    <row r="512">
      <c r="Y512" s="47">
        <f>IFERROR(MATCH(Library!M512,$M$6:$M$40000,0),"")</f>
        <v/>
      </c>
      <c r="Z512">
        <f>IF($Y512="","",INDEX($C$6:$C$40000,$Y512)&amp;"")</f>
        <v/>
      </c>
      <c r="AA512" s="59">
        <f>IF($Y512="","",IF(INDEX($D$6:$D$40000,$Y512)="","",INDEX($D$6:$D$40000,$Y512)))</f>
        <v/>
      </c>
      <c r="AB512">
        <f>IF($Y512="","",INDEX($L$6:$L$40000,$Y512)&amp;"")</f>
        <v/>
      </c>
    </row>
    <row r="513">
      <c r="Y513" s="47">
        <f>IFERROR(MATCH(Library!M513,$M$6:$M$40000,0),"")</f>
        <v/>
      </c>
      <c r="Z513">
        <f>IF($Y513="","",INDEX($C$6:$C$40000,$Y513)&amp;"")</f>
        <v/>
      </c>
      <c r="AA513" s="59">
        <f>IF($Y513="","",IF(INDEX($D$6:$D$40000,$Y513)="","",INDEX($D$6:$D$40000,$Y513)))</f>
        <v/>
      </c>
      <c r="AB513">
        <f>IF($Y513="","",INDEX($L$6:$L$40000,$Y513)&amp;"")</f>
        <v/>
      </c>
    </row>
    <row r="514">
      <c r="Y514" s="47">
        <f>IFERROR(MATCH(Library!M514,$M$6:$M$40000,0),"")</f>
        <v/>
      </c>
      <c r="Z514">
        <f>IF($Y514="","",INDEX($C$6:$C$40000,$Y514)&amp;"")</f>
        <v/>
      </c>
      <c r="AA514" s="59">
        <f>IF($Y514="","",IF(INDEX($D$6:$D$40000,$Y514)="","",INDEX($D$6:$D$40000,$Y514)))</f>
        <v/>
      </c>
      <c r="AB514">
        <f>IF($Y514="","",INDEX($L$6:$L$40000,$Y514)&amp;"")</f>
        <v/>
      </c>
    </row>
    <row r="515">
      <c r="Y515" s="47">
        <f>IFERROR(MATCH(Library!M515,$M$6:$M$40000,0),"")</f>
        <v/>
      </c>
      <c r="Z515">
        <f>IF($Y515="","",INDEX($C$6:$C$40000,$Y515)&amp;"")</f>
        <v/>
      </c>
      <c r="AA515" s="59">
        <f>IF($Y515="","",IF(INDEX($D$6:$D$40000,$Y515)="","",INDEX($D$6:$D$40000,$Y515)))</f>
        <v/>
      </c>
      <c r="AB515">
        <f>IF($Y515="","",INDEX($L$6:$L$40000,$Y515)&amp;"")</f>
        <v/>
      </c>
    </row>
    <row r="516">
      <c r="Y516" s="47">
        <f>IFERROR(MATCH(Library!M516,$M$6:$M$40000,0),"")</f>
        <v/>
      </c>
      <c r="Z516">
        <f>IF($Y516="","",INDEX($C$6:$C$40000,$Y516)&amp;"")</f>
        <v/>
      </c>
      <c r="AA516" s="59">
        <f>IF($Y516="","",IF(INDEX($D$6:$D$40000,$Y516)="","",INDEX($D$6:$D$40000,$Y516)))</f>
        <v/>
      </c>
      <c r="AB516">
        <f>IF($Y516="","",INDEX($L$6:$L$40000,$Y516)&amp;"")</f>
        <v/>
      </c>
    </row>
    <row r="517">
      <c r="Y517" s="47">
        <f>IFERROR(MATCH(Library!M517,$M$6:$M$40000,0),"")</f>
        <v/>
      </c>
      <c r="Z517">
        <f>IF($Y517="","",INDEX($C$6:$C$40000,$Y517)&amp;"")</f>
        <v/>
      </c>
      <c r="AA517" s="59">
        <f>IF($Y517="","",IF(INDEX($D$6:$D$40000,$Y517)="","",INDEX($D$6:$D$40000,$Y517)))</f>
        <v/>
      </c>
      <c r="AB517">
        <f>IF($Y517="","",INDEX($L$6:$L$40000,$Y517)&amp;"")</f>
        <v/>
      </c>
    </row>
    <row r="518">
      <c r="Y518" s="47">
        <f>IFERROR(MATCH(Library!M518,$M$6:$M$40000,0),"")</f>
        <v/>
      </c>
      <c r="Z518">
        <f>IF($Y518="","",INDEX($C$6:$C$40000,$Y518)&amp;"")</f>
        <v/>
      </c>
      <c r="AA518" s="59">
        <f>IF($Y518="","",IF(INDEX($D$6:$D$40000,$Y518)="","",INDEX($D$6:$D$40000,$Y518)))</f>
        <v/>
      </c>
      <c r="AB518">
        <f>IF($Y518="","",INDEX($L$6:$L$40000,$Y518)&amp;"")</f>
        <v/>
      </c>
    </row>
    <row r="519">
      <c r="Y519" s="47">
        <f>IFERROR(MATCH(Library!M519,$M$6:$M$40000,0),"")</f>
        <v/>
      </c>
      <c r="Z519">
        <f>IF($Y519="","",INDEX($C$6:$C$40000,$Y519)&amp;"")</f>
        <v/>
      </c>
      <c r="AA519" s="59">
        <f>IF($Y519="","",IF(INDEX($D$6:$D$40000,$Y519)="","",INDEX($D$6:$D$40000,$Y519)))</f>
        <v/>
      </c>
      <c r="AB519">
        <f>IF($Y519="","",INDEX($L$6:$L$40000,$Y519)&amp;"")</f>
        <v/>
      </c>
    </row>
    <row r="520">
      <c r="Y520" s="47">
        <f>IFERROR(MATCH(Library!M520,$M$6:$M$40000,0),"")</f>
        <v/>
      </c>
      <c r="Z520">
        <f>IF($Y520="","",INDEX($C$6:$C$40000,$Y520)&amp;"")</f>
        <v/>
      </c>
      <c r="AA520" s="59">
        <f>IF($Y520="","",IF(INDEX($D$6:$D$40000,$Y520)="","",INDEX($D$6:$D$40000,$Y520)))</f>
        <v/>
      </c>
      <c r="AB520">
        <f>IF($Y520="","",INDEX($L$6:$L$40000,$Y520)&amp;"")</f>
        <v/>
      </c>
    </row>
    <row r="521">
      <c r="Y521" s="47">
        <f>IFERROR(MATCH(Library!M521,$M$6:$M$40000,0),"")</f>
        <v/>
      </c>
      <c r="Z521">
        <f>IF($Y521="","",INDEX($C$6:$C$40000,$Y521)&amp;"")</f>
        <v/>
      </c>
      <c r="AA521" s="59">
        <f>IF($Y521="","",IF(INDEX($D$6:$D$40000,$Y521)="","",INDEX($D$6:$D$40000,$Y521)))</f>
        <v/>
      </c>
      <c r="AB521">
        <f>IF($Y521="","",INDEX($L$6:$L$40000,$Y521)&amp;"")</f>
        <v/>
      </c>
    </row>
    <row r="522">
      <c r="Y522" s="47">
        <f>IFERROR(MATCH(Library!M522,$M$6:$M$40000,0),"")</f>
        <v/>
      </c>
      <c r="Z522">
        <f>IF($Y522="","",INDEX($C$6:$C$40000,$Y522)&amp;"")</f>
        <v/>
      </c>
      <c r="AA522" s="59">
        <f>IF($Y522="","",IF(INDEX($D$6:$D$40000,$Y522)="","",INDEX($D$6:$D$40000,$Y522)))</f>
        <v/>
      </c>
      <c r="AB522">
        <f>IF($Y522="","",INDEX($L$6:$L$40000,$Y522)&amp;"")</f>
        <v/>
      </c>
    </row>
    <row r="523">
      <c r="Y523" s="47">
        <f>IFERROR(MATCH(Library!M523,$M$6:$M$40000,0),"")</f>
        <v/>
      </c>
      <c r="Z523">
        <f>IF($Y523="","",INDEX($C$6:$C$40000,$Y523)&amp;"")</f>
        <v/>
      </c>
      <c r="AA523" s="59">
        <f>IF($Y523="","",IF(INDEX($D$6:$D$40000,$Y523)="","",INDEX($D$6:$D$40000,$Y523)))</f>
        <v/>
      </c>
      <c r="AB523">
        <f>IF($Y523="","",INDEX($L$6:$L$40000,$Y523)&amp;"")</f>
        <v/>
      </c>
    </row>
    <row r="524">
      <c r="Y524" s="47">
        <f>IFERROR(MATCH(Library!M524,$M$6:$M$40000,0),"")</f>
        <v/>
      </c>
      <c r="Z524">
        <f>IF($Y524="","",INDEX($C$6:$C$40000,$Y524)&amp;"")</f>
        <v/>
      </c>
      <c r="AA524" s="59">
        <f>IF($Y524="","",IF(INDEX($D$6:$D$40000,$Y524)="","",INDEX($D$6:$D$40000,$Y524)))</f>
        <v/>
      </c>
      <c r="AB524">
        <f>IF($Y524="","",INDEX($L$6:$L$40000,$Y524)&amp;"")</f>
        <v/>
      </c>
    </row>
    <row r="525">
      <c r="Y525" s="47">
        <f>IFERROR(MATCH(Library!M525,$M$6:$M$40000,0),"")</f>
        <v/>
      </c>
      <c r="Z525">
        <f>IF($Y525="","",INDEX($C$6:$C$40000,$Y525)&amp;"")</f>
        <v/>
      </c>
      <c r="AA525" s="59">
        <f>IF($Y525="","",IF(INDEX($D$6:$D$40000,$Y525)="","",INDEX($D$6:$D$40000,$Y525)))</f>
        <v/>
      </c>
      <c r="AB525">
        <f>IF($Y525="","",INDEX($L$6:$L$40000,$Y525)&amp;"")</f>
        <v/>
      </c>
    </row>
    <row r="526">
      <c r="Y526" s="47">
        <f>IFERROR(MATCH(Library!M526,$M$6:$M$40000,0),"")</f>
        <v/>
      </c>
      <c r="Z526">
        <f>IF($Y526="","",INDEX($C$6:$C$40000,$Y526)&amp;"")</f>
        <v/>
      </c>
      <c r="AA526" s="59">
        <f>IF($Y526="","",IF(INDEX($D$6:$D$40000,$Y526)="","",INDEX($D$6:$D$40000,$Y526)))</f>
        <v/>
      </c>
      <c r="AB526">
        <f>IF($Y526="","",INDEX($L$6:$L$40000,$Y526)&amp;"")</f>
        <v/>
      </c>
    </row>
    <row r="527">
      <c r="Y527" s="47">
        <f>IFERROR(MATCH(Library!M527,$M$6:$M$40000,0),"")</f>
        <v/>
      </c>
      <c r="Z527">
        <f>IF($Y527="","",INDEX($C$6:$C$40000,$Y527)&amp;"")</f>
        <v/>
      </c>
      <c r="AA527" s="59">
        <f>IF($Y527="","",IF(INDEX($D$6:$D$40000,$Y527)="","",INDEX($D$6:$D$40000,$Y527)))</f>
        <v/>
      </c>
      <c r="AB527">
        <f>IF($Y527="","",INDEX($L$6:$L$40000,$Y527)&amp;"")</f>
        <v/>
      </c>
    </row>
    <row r="528">
      <c r="Y528" s="47">
        <f>IFERROR(MATCH(Library!M528,$M$6:$M$40000,0),"")</f>
        <v/>
      </c>
      <c r="Z528">
        <f>IF($Y528="","",INDEX($C$6:$C$40000,$Y528)&amp;"")</f>
        <v/>
      </c>
      <c r="AA528" s="59">
        <f>IF($Y528="","",IF(INDEX($D$6:$D$40000,$Y528)="","",INDEX($D$6:$D$40000,$Y528)))</f>
        <v/>
      </c>
      <c r="AB528">
        <f>IF($Y528="","",INDEX($L$6:$L$40000,$Y528)&amp;"")</f>
        <v/>
      </c>
    </row>
    <row r="529">
      <c r="Y529" s="47">
        <f>IFERROR(MATCH(Library!M529,$M$6:$M$40000,0),"")</f>
        <v/>
      </c>
      <c r="Z529">
        <f>IF($Y529="","",INDEX($C$6:$C$40000,$Y529)&amp;"")</f>
        <v/>
      </c>
      <c r="AA529" s="59">
        <f>IF($Y529="","",IF(INDEX($D$6:$D$40000,$Y529)="","",INDEX($D$6:$D$40000,$Y529)))</f>
        <v/>
      </c>
      <c r="AB529">
        <f>IF($Y529="","",INDEX($L$6:$L$40000,$Y529)&amp;"")</f>
        <v/>
      </c>
    </row>
    <row r="530">
      <c r="Y530" s="47">
        <f>IFERROR(MATCH(Library!M530,$M$6:$M$40000,0),"")</f>
        <v/>
      </c>
      <c r="Z530">
        <f>IF($Y530="","",INDEX($C$6:$C$40000,$Y530)&amp;"")</f>
        <v/>
      </c>
      <c r="AA530" s="59">
        <f>IF($Y530="","",IF(INDEX($D$6:$D$40000,$Y530)="","",INDEX($D$6:$D$40000,$Y530)))</f>
        <v/>
      </c>
      <c r="AB530">
        <f>IF($Y530="","",INDEX($L$6:$L$40000,$Y530)&amp;"")</f>
        <v/>
      </c>
    </row>
    <row r="531">
      <c r="Y531" s="47">
        <f>IFERROR(MATCH(Library!M531,$M$6:$M$40000,0),"")</f>
        <v/>
      </c>
      <c r="Z531">
        <f>IF($Y531="","",INDEX($C$6:$C$40000,$Y531)&amp;"")</f>
        <v/>
      </c>
      <c r="AA531" s="59">
        <f>IF($Y531="","",IF(INDEX($D$6:$D$40000,$Y531)="","",INDEX($D$6:$D$40000,$Y531)))</f>
        <v/>
      </c>
      <c r="AB531">
        <f>IF($Y531="","",INDEX($L$6:$L$40000,$Y531)&amp;"")</f>
        <v/>
      </c>
    </row>
    <row r="532">
      <c r="Y532" s="47">
        <f>IFERROR(MATCH(Library!M532,$M$6:$M$40000,0),"")</f>
        <v/>
      </c>
      <c r="Z532">
        <f>IF($Y532="","",INDEX($C$6:$C$40000,$Y532)&amp;"")</f>
        <v/>
      </c>
      <c r="AA532" s="59">
        <f>IF($Y532="","",IF(INDEX($D$6:$D$40000,$Y532)="","",INDEX($D$6:$D$40000,$Y532)))</f>
        <v/>
      </c>
      <c r="AB532">
        <f>IF($Y532="","",INDEX($L$6:$L$40000,$Y532)&amp;"")</f>
        <v/>
      </c>
    </row>
    <row r="533">
      <c r="Y533" s="47">
        <f>IFERROR(MATCH(Library!M533,$M$6:$M$40000,0),"")</f>
        <v/>
      </c>
      <c r="Z533">
        <f>IF($Y533="","",INDEX($C$6:$C$40000,$Y533)&amp;"")</f>
        <v/>
      </c>
      <c r="AA533" s="59">
        <f>IF($Y533="","",IF(INDEX($D$6:$D$40000,$Y533)="","",INDEX($D$6:$D$40000,$Y533)))</f>
        <v/>
      </c>
      <c r="AB533">
        <f>IF($Y533="","",INDEX($L$6:$L$40000,$Y533)&amp;"")</f>
        <v/>
      </c>
    </row>
    <row r="534">
      <c r="Y534" s="47">
        <f>IFERROR(MATCH(Library!M534,$M$6:$M$40000,0),"")</f>
        <v/>
      </c>
      <c r="Z534">
        <f>IF($Y534="","",INDEX($C$6:$C$40000,$Y534)&amp;"")</f>
        <v/>
      </c>
      <c r="AA534" s="59">
        <f>IF($Y534="","",IF(INDEX($D$6:$D$40000,$Y534)="","",INDEX($D$6:$D$40000,$Y534)))</f>
        <v/>
      </c>
      <c r="AB534">
        <f>IF($Y534="","",INDEX($L$6:$L$40000,$Y534)&amp;"")</f>
        <v/>
      </c>
    </row>
    <row r="535">
      <c r="Y535" s="47">
        <f>IFERROR(MATCH(Library!M535,$M$6:$M$40000,0),"")</f>
        <v/>
      </c>
      <c r="Z535">
        <f>IF($Y535="","",INDEX($C$6:$C$40000,$Y535)&amp;"")</f>
        <v/>
      </c>
      <c r="AA535" s="59">
        <f>IF($Y535="","",IF(INDEX($D$6:$D$40000,$Y535)="","",INDEX($D$6:$D$40000,$Y535)))</f>
        <v/>
      </c>
      <c r="AB535">
        <f>IF($Y535="","",INDEX($L$6:$L$40000,$Y535)&amp;"")</f>
        <v/>
      </c>
    </row>
    <row r="536">
      <c r="Y536" s="47">
        <f>IFERROR(MATCH(Library!M536,$M$6:$M$40000,0),"")</f>
        <v/>
      </c>
      <c r="Z536">
        <f>IF($Y536="","",INDEX($C$6:$C$40000,$Y536)&amp;"")</f>
        <v/>
      </c>
      <c r="AA536" s="59">
        <f>IF($Y536="","",IF(INDEX($D$6:$D$40000,$Y536)="","",INDEX($D$6:$D$40000,$Y536)))</f>
        <v/>
      </c>
      <c r="AB536">
        <f>IF($Y536="","",INDEX($L$6:$L$40000,$Y536)&amp;"")</f>
        <v/>
      </c>
    </row>
    <row r="537">
      <c r="Y537" s="47">
        <f>IFERROR(MATCH(Library!M537,$M$6:$M$40000,0),"")</f>
        <v/>
      </c>
      <c r="Z537">
        <f>IF($Y537="","",INDEX($C$6:$C$40000,$Y537)&amp;"")</f>
        <v/>
      </c>
      <c r="AA537" s="59">
        <f>IF($Y537="","",IF(INDEX($D$6:$D$40000,$Y537)="","",INDEX($D$6:$D$40000,$Y537)))</f>
        <v/>
      </c>
      <c r="AB537">
        <f>IF($Y537="","",INDEX($L$6:$L$40000,$Y537)&amp;"")</f>
        <v/>
      </c>
    </row>
    <row r="538">
      <c r="Y538" s="47">
        <f>IFERROR(MATCH(Library!M538,$M$6:$M$40000,0),"")</f>
        <v/>
      </c>
      <c r="Z538">
        <f>IF($Y538="","",INDEX($C$6:$C$40000,$Y538)&amp;"")</f>
        <v/>
      </c>
      <c r="AA538" s="59">
        <f>IF($Y538="","",IF(INDEX($D$6:$D$40000,$Y538)="","",INDEX($D$6:$D$40000,$Y538)))</f>
        <v/>
      </c>
      <c r="AB538">
        <f>IF($Y538="","",INDEX($L$6:$L$40000,$Y538)&amp;"")</f>
        <v/>
      </c>
    </row>
    <row r="539">
      <c r="Y539" s="47">
        <f>IFERROR(MATCH(Library!M539,$M$6:$M$40000,0),"")</f>
        <v/>
      </c>
      <c r="Z539">
        <f>IF($Y539="","",INDEX($C$6:$C$40000,$Y539)&amp;"")</f>
        <v/>
      </c>
      <c r="AA539" s="59">
        <f>IF($Y539="","",IF(INDEX($D$6:$D$40000,$Y539)="","",INDEX($D$6:$D$40000,$Y539)))</f>
        <v/>
      </c>
      <c r="AB539">
        <f>IF($Y539="","",INDEX($L$6:$L$40000,$Y539)&amp;"")</f>
        <v/>
      </c>
    </row>
    <row r="540">
      <c r="Y540" s="47">
        <f>IFERROR(MATCH(Library!M540,$M$6:$M$40000,0),"")</f>
        <v/>
      </c>
      <c r="Z540">
        <f>IF($Y540="","",INDEX($C$6:$C$40000,$Y540)&amp;"")</f>
        <v/>
      </c>
      <c r="AA540" s="59">
        <f>IF($Y540="","",IF(INDEX($D$6:$D$40000,$Y540)="","",INDEX($D$6:$D$40000,$Y540)))</f>
        <v/>
      </c>
      <c r="AB540">
        <f>IF($Y540="","",INDEX($L$6:$L$40000,$Y540)&amp;"")</f>
        <v/>
      </c>
    </row>
    <row r="541">
      <c r="Y541" s="47">
        <f>IFERROR(MATCH(Library!M541,$M$6:$M$40000,0),"")</f>
        <v/>
      </c>
      <c r="Z541">
        <f>IF($Y541="","",INDEX($C$6:$C$40000,$Y541)&amp;"")</f>
        <v/>
      </c>
      <c r="AA541" s="59">
        <f>IF($Y541="","",IF(INDEX($D$6:$D$40000,$Y541)="","",INDEX($D$6:$D$40000,$Y541)))</f>
        <v/>
      </c>
      <c r="AB541">
        <f>IF($Y541="","",INDEX($L$6:$L$40000,$Y541)&amp;"")</f>
        <v/>
      </c>
    </row>
    <row r="542">
      <c r="Y542" s="47">
        <f>IFERROR(MATCH(Library!M542,$M$6:$M$40000,0),"")</f>
        <v/>
      </c>
      <c r="Z542">
        <f>IF($Y542="","",INDEX($C$6:$C$40000,$Y542)&amp;"")</f>
        <v/>
      </c>
      <c r="AA542" s="59">
        <f>IF($Y542="","",IF(INDEX($D$6:$D$40000,$Y542)="","",INDEX($D$6:$D$40000,$Y542)))</f>
        <v/>
      </c>
      <c r="AB542">
        <f>IF($Y542="","",INDEX($L$6:$L$40000,$Y542)&amp;"")</f>
        <v/>
      </c>
    </row>
    <row r="543">
      <c r="Y543" s="47">
        <f>IFERROR(MATCH(Library!M543,$M$6:$M$40000,0),"")</f>
        <v/>
      </c>
      <c r="Z543">
        <f>IF($Y543="","",INDEX($C$6:$C$40000,$Y543)&amp;"")</f>
        <v/>
      </c>
      <c r="AA543" s="59">
        <f>IF($Y543="","",IF(INDEX($D$6:$D$40000,$Y543)="","",INDEX($D$6:$D$40000,$Y543)))</f>
        <v/>
      </c>
      <c r="AB543">
        <f>IF($Y543="","",INDEX($L$6:$L$40000,$Y543)&amp;"")</f>
        <v/>
      </c>
    </row>
    <row r="544">
      <c r="Y544" s="47">
        <f>IFERROR(MATCH(Library!M544,$M$6:$M$40000,0),"")</f>
        <v/>
      </c>
      <c r="Z544">
        <f>IF($Y544="","",INDEX($C$6:$C$40000,$Y544)&amp;"")</f>
        <v/>
      </c>
      <c r="AA544" s="59">
        <f>IF($Y544="","",IF(INDEX($D$6:$D$40000,$Y544)="","",INDEX($D$6:$D$40000,$Y544)))</f>
        <v/>
      </c>
      <c r="AB544">
        <f>IF($Y544="","",INDEX($L$6:$L$40000,$Y544)&amp;"")</f>
        <v/>
      </c>
    </row>
    <row r="545">
      <c r="Y545" s="47">
        <f>IFERROR(MATCH(Library!M545,$M$6:$M$40000,0),"")</f>
        <v/>
      </c>
      <c r="Z545">
        <f>IF($Y545="","",INDEX($C$6:$C$40000,$Y545)&amp;"")</f>
        <v/>
      </c>
      <c r="AA545" s="59">
        <f>IF($Y545="","",IF(INDEX($D$6:$D$40000,$Y545)="","",INDEX($D$6:$D$40000,$Y545)))</f>
        <v/>
      </c>
      <c r="AB545">
        <f>IF($Y545="","",INDEX($L$6:$L$40000,$Y545)&amp;"")</f>
        <v/>
      </c>
    </row>
    <row r="546">
      <c r="Y546" s="47">
        <f>IFERROR(MATCH(Library!M546,$M$6:$M$40000,0),"")</f>
        <v/>
      </c>
      <c r="Z546">
        <f>IF($Y546="","",INDEX($C$6:$C$40000,$Y546)&amp;"")</f>
        <v/>
      </c>
      <c r="AA546" s="59">
        <f>IF($Y546="","",IF(INDEX($D$6:$D$40000,$Y546)="","",INDEX($D$6:$D$40000,$Y546)))</f>
        <v/>
      </c>
      <c r="AB546">
        <f>IF($Y546="","",INDEX($L$6:$L$40000,$Y546)&amp;"")</f>
        <v/>
      </c>
    </row>
    <row r="547">
      <c r="Y547" s="47">
        <f>IFERROR(MATCH(Library!M547,$M$6:$M$40000,0),"")</f>
        <v/>
      </c>
      <c r="Z547">
        <f>IF($Y547="","",INDEX($C$6:$C$40000,$Y547)&amp;"")</f>
        <v/>
      </c>
      <c r="AA547" s="59">
        <f>IF($Y547="","",IF(INDEX($D$6:$D$40000,$Y547)="","",INDEX($D$6:$D$40000,$Y547)))</f>
        <v/>
      </c>
      <c r="AB547">
        <f>IF($Y547="","",INDEX($L$6:$L$40000,$Y547)&amp;"")</f>
        <v/>
      </c>
    </row>
    <row r="548">
      <c r="Y548" s="47">
        <f>IFERROR(MATCH(Library!M548,$M$6:$M$40000,0),"")</f>
        <v/>
      </c>
      <c r="Z548">
        <f>IF($Y548="","",INDEX($C$6:$C$40000,$Y548)&amp;"")</f>
        <v/>
      </c>
      <c r="AA548" s="59">
        <f>IF($Y548="","",IF(INDEX($D$6:$D$40000,$Y548)="","",INDEX($D$6:$D$40000,$Y548)))</f>
        <v/>
      </c>
      <c r="AB548">
        <f>IF($Y548="","",INDEX($L$6:$L$40000,$Y548)&amp;"")</f>
        <v/>
      </c>
    </row>
    <row r="549">
      <c r="Y549" s="47">
        <f>IFERROR(MATCH(Library!M549,$M$6:$M$40000,0),"")</f>
        <v/>
      </c>
      <c r="Z549">
        <f>IF($Y549="","",INDEX($C$6:$C$40000,$Y549)&amp;"")</f>
        <v/>
      </c>
      <c r="AA549" s="59">
        <f>IF($Y549="","",IF(INDEX($D$6:$D$40000,$Y549)="","",INDEX($D$6:$D$40000,$Y549)))</f>
        <v/>
      </c>
      <c r="AB549">
        <f>IF($Y549="","",INDEX($L$6:$L$40000,$Y549)&amp;"")</f>
        <v/>
      </c>
    </row>
    <row r="550">
      <c r="Y550" s="47">
        <f>IFERROR(MATCH(Library!M550,$M$6:$M$40000,0),"")</f>
        <v/>
      </c>
      <c r="Z550">
        <f>IF($Y550="","",INDEX($C$6:$C$40000,$Y550)&amp;"")</f>
        <v/>
      </c>
      <c r="AA550" s="59">
        <f>IF($Y550="","",IF(INDEX($D$6:$D$40000,$Y550)="","",INDEX($D$6:$D$40000,$Y550)))</f>
        <v/>
      </c>
      <c r="AB550">
        <f>IF($Y550="","",INDEX($L$6:$L$40000,$Y550)&amp;"")</f>
        <v/>
      </c>
    </row>
    <row r="551">
      <c r="Y551" s="47">
        <f>IFERROR(MATCH(Library!M551,$M$6:$M$40000,0),"")</f>
        <v/>
      </c>
      <c r="Z551">
        <f>IF($Y551="","",INDEX($C$6:$C$40000,$Y551)&amp;"")</f>
        <v/>
      </c>
      <c r="AA551" s="59">
        <f>IF($Y551="","",IF(INDEX($D$6:$D$40000,$Y551)="","",INDEX($D$6:$D$40000,$Y551)))</f>
        <v/>
      </c>
      <c r="AB551">
        <f>IF($Y551="","",INDEX($L$6:$L$40000,$Y551)&amp;"")</f>
        <v/>
      </c>
    </row>
    <row r="552">
      <c r="Y552" s="47">
        <f>IFERROR(MATCH(Library!M552,$M$6:$M$40000,0),"")</f>
        <v/>
      </c>
      <c r="Z552">
        <f>IF($Y552="","",INDEX($C$6:$C$40000,$Y552)&amp;"")</f>
        <v/>
      </c>
      <c r="AA552" s="59">
        <f>IF($Y552="","",IF(INDEX($D$6:$D$40000,$Y552)="","",INDEX($D$6:$D$40000,$Y552)))</f>
        <v/>
      </c>
      <c r="AB552">
        <f>IF($Y552="","",INDEX($L$6:$L$40000,$Y552)&amp;"")</f>
        <v/>
      </c>
    </row>
    <row r="553">
      <c r="Y553" s="47">
        <f>IFERROR(MATCH(Library!M553,$M$6:$M$40000,0),"")</f>
        <v/>
      </c>
      <c r="Z553">
        <f>IF($Y553="","",INDEX($C$6:$C$40000,$Y553)&amp;"")</f>
        <v/>
      </c>
      <c r="AA553" s="59">
        <f>IF($Y553="","",IF(INDEX($D$6:$D$40000,$Y553)="","",INDEX($D$6:$D$40000,$Y553)))</f>
        <v/>
      </c>
      <c r="AB553">
        <f>IF($Y553="","",INDEX($L$6:$L$40000,$Y553)&amp;"")</f>
        <v/>
      </c>
    </row>
    <row r="554">
      <c r="Y554" s="47">
        <f>IFERROR(MATCH(Library!M554,$M$6:$M$40000,0),"")</f>
        <v/>
      </c>
      <c r="Z554">
        <f>IF($Y554="","",INDEX($C$6:$C$40000,$Y554)&amp;"")</f>
        <v/>
      </c>
      <c r="AA554" s="59">
        <f>IF($Y554="","",IF(INDEX($D$6:$D$40000,$Y554)="","",INDEX($D$6:$D$40000,$Y554)))</f>
        <v/>
      </c>
      <c r="AB554">
        <f>IF($Y554="","",INDEX($L$6:$L$40000,$Y554)&amp;"")</f>
        <v/>
      </c>
    </row>
    <row r="555">
      <c r="Y555" s="47">
        <f>IFERROR(MATCH(Library!M555,$M$6:$M$40000,0),"")</f>
        <v/>
      </c>
      <c r="Z555">
        <f>IF($Y555="","",INDEX($C$6:$C$40000,$Y555)&amp;"")</f>
        <v/>
      </c>
      <c r="AA555" s="59">
        <f>IF($Y555="","",IF(INDEX($D$6:$D$40000,$Y555)="","",INDEX($D$6:$D$40000,$Y555)))</f>
        <v/>
      </c>
      <c r="AB555">
        <f>IF($Y555="","",INDEX($L$6:$L$40000,$Y555)&amp;"")</f>
        <v/>
      </c>
    </row>
    <row r="556">
      <c r="Y556" s="47">
        <f>IFERROR(MATCH(Library!M556,$M$6:$M$40000,0),"")</f>
        <v/>
      </c>
      <c r="Z556">
        <f>IF($Y556="","",INDEX($C$6:$C$40000,$Y556)&amp;"")</f>
        <v/>
      </c>
      <c r="AA556" s="59">
        <f>IF($Y556="","",IF(INDEX($D$6:$D$40000,$Y556)="","",INDEX($D$6:$D$40000,$Y556)))</f>
        <v/>
      </c>
      <c r="AB556">
        <f>IF($Y556="","",INDEX($L$6:$L$40000,$Y556)&amp;"")</f>
        <v/>
      </c>
    </row>
    <row r="557">
      <c r="Y557" s="47">
        <f>IFERROR(MATCH(Library!M557,$M$6:$M$40000,0),"")</f>
        <v/>
      </c>
      <c r="Z557">
        <f>IF($Y557="","",INDEX($C$6:$C$40000,$Y557)&amp;"")</f>
        <v/>
      </c>
      <c r="AA557" s="59">
        <f>IF($Y557="","",IF(INDEX($D$6:$D$40000,$Y557)="","",INDEX($D$6:$D$40000,$Y557)))</f>
        <v/>
      </c>
      <c r="AB557">
        <f>IF($Y557="","",INDEX($L$6:$L$40000,$Y557)&amp;"")</f>
        <v/>
      </c>
    </row>
    <row r="558">
      <c r="Y558" s="47">
        <f>IFERROR(MATCH(Library!M558,$M$6:$M$40000,0),"")</f>
        <v/>
      </c>
      <c r="Z558">
        <f>IF($Y558="","",INDEX($C$6:$C$40000,$Y558)&amp;"")</f>
        <v/>
      </c>
      <c r="AA558" s="59">
        <f>IF($Y558="","",IF(INDEX($D$6:$D$40000,$Y558)="","",INDEX($D$6:$D$40000,$Y558)))</f>
        <v/>
      </c>
      <c r="AB558">
        <f>IF($Y558="","",INDEX($L$6:$L$40000,$Y558)&amp;"")</f>
        <v/>
      </c>
    </row>
    <row r="559">
      <c r="Y559" s="47">
        <f>IFERROR(MATCH(Library!M559,$M$6:$M$40000,0),"")</f>
        <v/>
      </c>
      <c r="Z559">
        <f>IF($Y559="","",INDEX($C$6:$C$40000,$Y559)&amp;"")</f>
        <v/>
      </c>
      <c r="AA559" s="59">
        <f>IF($Y559="","",IF(INDEX($D$6:$D$40000,$Y559)="","",INDEX($D$6:$D$40000,$Y559)))</f>
        <v/>
      </c>
      <c r="AB559">
        <f>IF($Y559="","",INDEX($L$6:$L$40000,$Y559)&amp;"")</f>
        <v/>
      </c>
    </row>
    <row r="560">
      <c r="Y560" s="47">
        <f>IFERROR(MATCH(Library!M560,$M$6:$M$40000,0),"")</f>
        <v/>
      </c>
      <c r="Z560">
        <f>IF($Y560="","",INDEX($C$6:$C$40000,$Y560)&amp;"")</f>
        <v/>
      </c>
      <c r="AA560" s="59">
        <f>IF($Y560="","",IF(INDEX($D$6:$D$40000,$Y560)="","",INDEX($D$6:$D$40000,$Y560)))</f>
        <v/>
      </c>
      <c r="AB560">
        <f>IF($Y560="","",INDEX($L$6:$L$40000,$Y560)&amp;"")</f>
        <v/>
      </c>
    </row>
    <row r="561">
      <c r="Y561" s="47">
        <f>IFERROR(MATCH(Library!M561,$M$6:$M$40000,0),"")</f>
        <v/>
      </c>
      <c r="Z561">
        <f>IF($Y561="","",INDEX($C$6:$C$40000,$Y561)&amp;"")</f>
        <v/>
      </c>
      <c r="AA561" s="59">
        <f>IF($Y561="","",IF(INDEX($D$6:$D$40000,$Y561)="","",INDEX($D$6:$D$40000,$Y561)))</f>
        <v/>
      </c>
      <c r="AB561">
        <f>IF($Y561="","",INDEX($L$6:$L$40000,$Y561)&amp;"")</f>
        <v/>
      </c>
    </row>
    <row r="562">
      <c r="Y562" s="47">
        <f>IFERROR(MATCH(Library!M562,$M$6:$M$40000,0),"")</f>
        <v/>
      </c>
      <c r="Z562">
        <f>IF($Y562="","",INDEX($C$6:$C$40000,$Y562)&amp;"")</f>
        <v/>
      </c>
      <c r="AA562" s="59">
        <f>IF($Y562="","",IF(INDEX($D$6:$D$40000,$Y562)="","",INDEX($D$6:$D$40000,$Y562)))</f>
        <v/>
      </c>
      <c r="AB562">
        <f>IF($Y562="","",INDEX($L$6:$L$40000,$Y562)&amp;"")</f>
        <v/>
      </c>
    </row>
    <row r="563">
      <c r="Y563" s="47">
        <f>IFERROR(MATCH(Library!M563,$M$6:$M$40000,0),"")</f>
        <v/>
      </c>
      <c r="Z563">
        <f>IF($Y563="","",INDEX($C$6:$C$40000,$Y563)&amp;"")</f>
        <v/>
      </c>
      <c r="AA563" s="59">
        <f>IF($Y563="","",IF(INDEX($D$6:$D$40000,$Y563)="","",INDEX($D$6:$D$40000,$Y563)))</f>
        <v/>
      </c>
      <c r="AB563">
        <f>IF($Y563="","",INDEX($L$6:$L$40000,$Y563)&amp;"")</f>
        <v/>
      </c>
    </row>
    <row r="564">
      <c r="Y564" s="47">
        <f>IFERROR(MATCH(Library!M564,$M$6:$M$40000,0),"")</f>
        <v/>
      </c>
      <c r="Z564">
        <f>IF($Y564="","",INDEX($C$6:$C$40000,$Y564)&amp;"")</f>
        <v/>
      </c>
      <c r="AA564" s="59">
        <f>IF($Y564="","",IF(INDEX($D$6:$D$40000,$Y564)="","",INDEX($D$6:$D$40000,$Y564)))</f>
        <v/>
      </c>
      <c r="AB564">
        <f>IF($Y564="","",INDEX($L$6:$L$40000,$Y564)&amp;"")</f>
        <v/>
      </c>
    </row>
    <row r="565">
      <c r="Y565" s="47">
        <f>IFERROR(MATCH(Library!M565,$M$6:$M$40000,0),"")</f>
        <v/>
      </c>
      <c r="Z565">
        <f>IF($Y565="","",INDEX($C$6:$C$40000,$Y565)&amp;"")</f>
        <v/>
      </c>
      <c r="AA565" s="59">
        <f>IF($Y565="","",IF(INDEX($D$6:$D$40000,$Y565)="","",INDEX($D$6:$D$40000,$Y565)))</f>
        <v/>
      </c>
      <c r="AB565">
        <f>IF($Y565="","",INDEX($L$6:$L$40000,$Y565)&amp;"")</f>
        <v/>
      </c>
    </row>
    <row r="566">
      <c r="Y566" s="47">
        <f>IFERROR(MATCH(Library!M566,$M$6:$M$40000,0),"")</f>
        <v/>
      </c>
      <c r="Z566">
        <f>IF($Y566="","",INDEX($C$6:$C$40000,$Y566)&amp;"")</f>
        <v/>
      </c>
      <c r="AA566" s="59">
        <f>IF($Y566="","",IF(INDEX($D$6:$D$40000,$Y566)="","",INDEX($D$6:$D$40000,$Y566)))</f>
        <v/>
      </c>
      <c r="AB566">
        <f>IF($Y566="","",INDEX($L$6:$L$40000,$Y566)&amp;"")</f>
        <v/>
      </c>
    </row>
    <row r="567">
      <c r="Y567" s="47">
        <f>IFERROR(MATCH(Library!M567,$M$6:$M$40000,0),"")</f>
        <v/>
      </c>
      <c r="Z567">
        <f>IF($Y567="","",INDEX($C$6:$C$40000,$Y567)&amp;"")</f>
        <v/>
      </c>
      <c r="AA567" s="59">
        <f>IF($Y567="","",IF(INDEX($D$6:$D$40000,$Y567)="","",INDEX($D$6:$D$40000,$Y567)))</f>
        <v/>
      </c>
      <c r="AB567">
        <f>IF($Y567="","",INDEX($L$6:$L$40000,$Y567)&amp;"")</f>
        <v/>
      </c>
    </row>
    <row r="568">
      <c r="Y568" s="47">
        <f>IFERROR(MATCH(Library!M568,$M$6:$M$40000,0),"")</f>
        <v/>
      </c>
      <c r="Z568">
        <f>IF($Y568="","",INDEX($C$6:$C$40000,$Y568)&amp;"")</f>
        <v/>
      </c>
      <c r="AA568" s="59">
        <f>IF($Y568="","",IF(INDEX($D$6:$D$40000,$Y568)="","",INDEX($D$6:$D$40000,$Y568)))</f>
        <v/>
      </c>
      <c r="AB568">
        <f>IF($Y568="","",INDEX($L$6:$L$40000,$Y568)&amp;"")</f>
        <v/>
      </c>
    </row>
    <row r="569">
      <c r="Y569" s="47">
        <f>IFERROR(MATCH(Library!M569,$M$6:$M$40000,0),"")</f>
        <v/>
      </c>
      <c r="Z569">
        <f>IF($Y569="","",INDEX($C$6:$C$40000,$Y569)&amp;"")</f>
        <v/>
      </c>
      <c r="AA569" s="59">
        <f>IF($Y569="","",IF(INDEX($D$6:$D$40000,$Y569)="","",INDEX($D$6:$D$40000,$Y569)))</f>
        <v/>
      </c>
      <c r="AB569">
        <f>IF($Y569="","",INDEX($L$6:$L$40000,$Y569)&amp;"")</f>
        <v/>
      </c>
    </row>
    <row r="570">
      <c r="Y570" s="47">
        <f>IFERROR(MATCH(Library!M570,$M$6:$M$40000,0),"")</f>
        <v/>
      </c>
      <c r="Z570">
        <f>IF($Y570="","",INDEX($C$6:$C$40000,$Y570)&amp;"")</f>
        <v/>
      </c>
      <c r="AA570" s="59">
        <f>IF($Y570="","",IF(INDEX($D$6:$D$40000,$Y570)="","",INDEX($D$6:$D$40000,$Y570)))</f>
        <v/>
      </c>
      <c r="AB570">
        <f>IF($Y570="","",INDEX($L$6:$L$40000,$Y570)&amp;"")</f>
        <v/>
      </c>
    </row>
    <row r="571">
      <c r="Y571" s="47">
        <f>IFERROR(MATCH(Library!M571,$M$6:$M$40000,0),"")</f>
        <v/>
      </c>
      <c r="Z571">
        <f>IF($Y571="","",INDEX($C$6:$C$40000,$Y571)&amp;"")</f>
        <v/>
      </c>
      <c r="AA571" s="59">
        <f>IF($Y571="","",IF(INDEX($D$6:$D$40000,$Y571)="","",INDEX($D$6:$D$40000,$Y571)))</f>
        <v/>
      </c>
      <c r="AB571">
        <f>IF($Y571="","",INDEX($L$6:$L$40000,$Y571)&amp;"")</f>
        <v/>
      </c>
    </row>
    <row r="572">
      <c r="Y572" s="47">
        <f>IFERROR(MATCH(Library!M572,$M$6:$M$40000,0),"")</f>
        <v/>
      </c>
      <c r="Z572">
        <f>IF($Y572="","",INDEX($C$6:$C$40000,$Y572)&amp;"")</f>
        <v/>
      </c>
      <c r="AA572" s="59">
        <f>IF($Y572="","",IF(INDEX($D$6:$D$40000,$Y572)="","",INDEX($D$6:$D$40000,$Y572)))</f>
        <v/>
      </c>
      <c r="AB572">
        <f>IF($Y572="","",INDEX($L$6:$L$40000,$Y572)&amp;"")</f>
        <v/>
      </c>
    </row>
    <row r="573">
      <c r="Y573" s="47">
        <f>IFERROR(MATCH(Library!M573,$M$6:$M$40000,0),"")</f>
        <v/>
      </c>
      <c r="Z573">
        <f>IF($Y573="","",INDEX($C$6:$C$40000,$Y573)&amp;"")</f>
        <v/>
      </c>
      <c r="AA573" s="59">
        <f>IF($Y573="","",IF(INDEX($D$6:$D$40000,$Y573)="","",INDEX($D$6:$D$40000,$Y573)))</f>
        <v/>
      </c>
      <c r="AB573">
        <f>IF($Y573="","",INDEX($L$6:$L$40000,$Y573)&amp;"")</f>
        <v/>
      </c>
    </row>
    <row r="574">
      <c r="Y574" s="47">
        <f>IFERROR(MATCH(Library!M574,$M$6:$M$40000,0),"")</f>
        <v/>
      </c>
      <c r="Z574">
        <f>IF($Y574="","",INDEX($C$6:$C$40000,$Y574)&amp;"")</f>
        <v/>
      </c>
      <c r="AA574" s="59">
        <f>IF($Y574="","",IF(INDEX($D$6:$D$40000,$Y574)="","",INDEX($D$6:$D$40000,$Y574)))</f>
        <v/>
      </c>
      <c r="AB574">
        <f>IF($Y574="","",INDEX($L$6:$L$40000,$Y574)&amp;"")</f>
        <v/>
      </c>
    </row>
    <row r="575">
      <c r="Y575" s="47">
        <f>IFERROR(MATCH(Library!M575,$M$6:$M$40000,0),"")</f>
        <v/>
      </c>
      <c r="Z575">
        <f>IF($Y575="","",INDEX($C$6:$C$40000,$Y575)&amp;"")</f>
        <v/>
      </c>
      <c r="AA575" s="59">
        <f>IF($Y575="","",IF(INDEX($D$6:$D$40000,$Y575)="","",INDEX($D$6:$D$40000,$Y575)))</f>
        <v/>
      </c>
      <c r="AB575">
        <f>IF($Y575="","",INDEX($L$6:$L$40000,$Y575)&amp;"")</f>
        <v/>
      </c>
    </row>
    <row r="576">
      <c r="Y576" s="47">
        <f>IFERROR(MATCH(Library!M576,$M$6:$M$40000,0),"")</f>
        <v/>
      </c>
      <c r="Z576">
        <f>IF($Y576="","",INDEX($C$6:$C$40000,$Y576)&amp;"")</f>
        <v/>
      </c>
      <c r="AA576" s="59">
        <f>IF($Y576="","",IF(INDEX($D$6:$D$40000,$Y576)="","",INDEX($D$6:$D$40000,$Y576)))</f>
        <v/>
      </c>
      <c r="AB576">
        <f>IF($Y576="","",INDEX($L$6:$L$40000,$Y576)&amp;"")</f>
        <v/>
      </c>
    </row>
    <row r="577">
      <c r="Y577" s="47">
        <f>IFERROR(MATCH(Library!M577,$M$6:$M$40000,0),"")</f>
        <v/>
      </c>
      <c r="Z577">
        <f>IF($Y577="","",INDEX($C$6:$C$40000,$Y577)&amp;"")</f>
        <v/>
      </c>
      <c r="AA577" s="59">
        <f>IF($Y577="","",IF(INDEX($D$6:$D$40000,$Y577)="","",INDEX($D$6:$D$40000,$Y577)))</f>
        <v/>
      </c>
      <c r="AB577">
        <f>IF($Y577="","",INDEX($L$6:$L$40000,$Y577)&amp;"")</f>
        <v/>
      </c>
    </row>
    <row r="578">
      <c r="Y578" s="47">
        <f>IFERROR(MATCH(Library!M578,$M$6:$M$40000,0),"")</f>
        <v/>
      </c>
      <c r="Z578">
        <f>IF($Y578="","",INDEX($C$6:$C$40000,$Y578)&amp;"")</f>
        <v/>
      </c>
      <c r="AA578" s="59">
        <f>IF($Y578="","",IF(INDEX($D$6:$D$40000,$Y578)="","",INDEX($D$6:$D$40000,$Y578)))</f>
        <v/>
      </c>
      <c r="AB578">
        <f>IF($Y578="","",INDEX($L$6:$L$40000,$Y578)&amp;"")</f>
        <v/>
      </c>
    </row>
    <row r="579">
      <c r="Y579" s="47">
        <f>IFERROR(MATCH(Library!M579,$M$6:$M$40000,0),"")</f>
        <v/>
      </c>
      <c r="Z579">
        <f>IF($Y579="","",INDEX($C$6:$C$40000,$Y579)&amp;"")</f>
        <v/>
      </c>
      <c r="AA579" s="59">
        <f>IF($Y579="","",IF(INDEX($D$6:$D$40000,$Y579)="","",INDEX($D$6:$D$40000,$Y579)))</f>
        <v/>
      </c>
      <c r="AB579">
        <f>IF($Y579="","",INDEX($L$6:$L$40000,$Y579)&amp;"")</f>
        <v/>
      </c>
    </row>
    <row r="580">
      <c r="Y580" s="47">
        <f>IFERROR(MATCH(Library!M580,$M$6:$M$40000,0),"")</f>
        <v/>
      </c>
      <c r="Z580">
        <f>IF($Y580="","",INDEX($C$6:$C$40000,$Y580)&amp;"")</f>
        <v/>
      </c>
      <c r="AA580" s="59">
        <f>IF($Y580="","",IF(INDEX($D$6:$D$40000,$Y580)="","",INDEX($D$6:$D$40000,$Y580)))</f>
        <v/>
      </c>
      <c r="AB580">
        <f>IF($Y580="","",INDEX($L$6:$L$40000,$Y580)&amp;"")</f>
        <v/>
      </c>
    </row>
    <row r="581">
      <c r="Y581" s="47">
        <f>IFERROR(MATCH(Library!M581,$M$6:$M$40000,0),"")</f>
        <v/>
      </c>
      <c r="Z581">
        <f>IF($Y581="","",INDEX($C$6:$C$40000,$Y581)&amp;"")</f>
        <v/>
      </c>
      <c r="AA581" s="59">
        <f>IF($Y581="","",IF(INDEX($D$6:$D$40000,$Y581)="","",INDEX($D$6:$D$40000,$Y581)))</f>
        <v/>
      </c>
      <c r="AB581">
        <f>IF($Y581="","",INDEX($L$6:$L$40000,$Y581)&amp;"")</f>
        <v/>
      </c>
    </row>
    <row r="582">
      <c r="Y582" s="47">
        <f>IFERROR(MATCH(Library!M582,$M$6:$M$40000,0),"")</f>
        <v/>
      </c>
      <c r="Z582">
        <f>IF($Y582="","",INDEX($C$6:$C$40000,$Y582)&amp;"")</f>
        <v/>
      </c>
      <c r="AA582" s="59">
        <f>IF($Y582="","",IF(INDEX($D$6:$D$40000,$Y582)="","",INDEX($D$6:$D$40000,$Y582)))</f>
        <v/>
      </c>
      <c r="AB582">
        <f>IF($Y582="","",INDEX($L$6:$L$40000,$Y582)&amp;"")</f>
        <v/>
      </c>
    </row>
    <row r="583">
      <c r="Y583" s="47">
        <f>IFERROR(MATCH(Library!M583,$M$6:$M$40000,0),"")</f>
        <v/>
      </c>
      <c r="Z583">
        <f>IF($Y583="","",INDEX($C$6:$C$40000,$Y583)&amp;"")</f>
        <v/>
      </c>
      <c r="AA583" s="59">
        <f>IF($Y583="","",IF(INDEX($D$6:$D$40000,$Y583)="","",INDEX($D$6:$D$40000,$Y583)))</f>
        <v/>
      </c>
      <c r="AB583">
        <f>IF($Y583="","",INDEX($L$6:$L$40000,$Y583)&amp;"")</f>
        <v/>
      </c>
    </row>
    <row r="584">
      <c r="Y584" s="47">
        <f>IFERROR(MATCH(Library!M584,$M$6:$M$40000,0),"")</f>
        <v/>
      </c>
      <c r="Z584">
        <f>IF($Y584="","",INDEX($C$6:$C$40000,$Y584)&amp;"")</f>
        <v/>
      </c>
      <c r="AA584" s="59">
        <f>IF($Y584="","",IF(INDEX($D$6:$D$40000,$Y584)="","",INDEX($D$6:$D$40000,$Y584)))</f>
        <v/>
      </c>
      <c r="AB584">
        <f>IF($Y584="","",INDEX($L$6:$L$40000,$Y584)&amp;"")</f>
        <v/>
      </c>
    </row>
    <row r="585">
      <c r="Y585" s="47">
        <f>IFERROR(MATCH(Library!M585,$M$6:$M$40000,0),"")</f>
        <v/>
      </c>
      <c r="Z585">
        <f>IF($Y585="","",INDEX($C$6:$C$40000,$Y585)&amp;"")</f>
        <v/>
      </c>
      <c r="AA585" s="59">
        <f>IF($Y585="","",IF(INDEX($D$6:$D$40000,$Y585)="","",INDEX($D$6:$D$40000,$Y585)))</f>
        <v/>
      </c>
      <c r="AB585">
        <f>IF($Y585="","",INDEX($L$6:$L$40000,$Y585)&amp;"")</f>
        <v/>
      </c>
    </row>
    <row r="586">
      <c r="Y586" s="47">
        <f>IFERROR(MATCH(Library!M586,$M$6:$M$40000,0),"")</f>
        <v/>
      </c>
      <c r="Z586">
        <f>IF($Y586="","",INDEX($C$6:$C$40000,$Y586)&amp;"")</f>
        <v/>
      </c>
      <c r="AA586" s="59">
        <f>IF($Y586="","",IF(INDEX($D$6:$D$40000,$Y586)="","",INDEX($D$6:$D$40000,$Y586)))</f>
        <v/>
      </c>
      <c r="AB586">
        <f>IF($Y586="","",INDEX($L$6:$L$40000,$Y586)&amp;"")</f>
        <v/>
      </c>
    </row>
    <row r="587">
      <c r="Y587" s="47">
        <f>IFERROR(MATCH(Library!M587,$M$6:$M$40000,0),"")</f>
        <v/>
      </c>
      <c r="Z587">
        <f>IF($Y587="","",INDEX($C$6:$C$40000,$Y587)&amp;"")</f>
        <v/>
      </c>
      <c r="AA587" s="59">
        <f>IF($Y587="","",IF(INDEX($D$6:$D$40000,$Y587)="","",INDEX($D$6:$D$40000,$Y587)))</f>
        <v/>
      </c>
      <c r="AB587">
        <f>IF($Y587="","",INDEX($L$6:$L$40000,$Y587)&amp;"")</f>
        <v/>
      </c>
    </row>
    <row r="588">
      <c r="Y588" s="47">
        <f>IFERROR(MATCH(Library!M588,$M$6:$M$40000,0),"")</f>
        <v/>
      </c>
      <c r="Z588">
        <f>IF($Y588="","",INDEX($C$6:$C$40000,$Y588)&amp;"")</f>
        <v/>
      </c>
      <c r="AA588" s="59">
        <f>IF($Y588="","",IF(INDEX($D$6:$D$40000,$Y588)="","",INDEX($D$6:$D$40000,$Y588)))</f>
        <v/>
      </c>
      <c r="AB588">
        <f>IF($Y588="","",INDEX($L$6:$L$40000,$Y588)&amp;"")</f>
        <v/>
      </c>
    </row>
    <row r="589">
      <c r="Y589" s="47">
        <f>IFERROR(MATCH(Library!M589,$M$6:$M$40000,0),"")</f>
        <v/>
      </c>
      <c r="Z589">
        <f>IF($Y589="","",INDEX($C$6:$C$40000,$Y589)&amp;"")</f>
        <v/>
      </c>
      <c r="AA589" s="59">
        <f>IF($Y589="","",IF(INDEX($D$6:$D$40000,$Y589)="","",INDEX($D$6:$D$40000,$Y589)))</f>
        <v/>
      </c>
      <c r="AB589">
        <f>IF($Y589="","",INDEX($L$6:$L$40000,$Y589)&amp;"")</f>
        <v/>
      </c>
    </row>
    <row r="590">
      <c r="Y590" s="47">
        <f>IFERROR(MATCH(Library!M590,$M$6:$M$40000,0),"")</f>
        <v/>
      </c>
      <c r="Z590">
        <f>IF($Y590="","",INDEX($C$6:$C$40000,$Y590)&amp;"")</f>
        <v/>
      </c>
      <c r="AA590" s="59">
        <f>IF($Y590="","",IF(INDEX($D$6:$D$40000,$Y590)="","",INDEX($D$6:$D$40000,$Y590)))</f>
        <v/>
      </c>
      <c r="AB590">
        <f>IF($Y590="","",INDEX($L$6:$L$40000,$Y590)&amp;"")</f>
        <v/>
      </c>
    </row>
    <row r="591">
      <c r="Y591" s="47">
        <f>IFERROR(MATCH(Library!M591,$M$6:$M$40000,0),"")</f>
        <v/>
      </c>
      <c r="Z591">
        <f>IF($Y591="","",INDEX($C$6:$C$40000,$Y591)&amp;"")</f>
        <v/>
      </c>
      <c r="AA591" s="59">
        <f>IF($Y591="","",IF(INDEX($D$6:$D$40000,$Y591)="","",INDEX($D$6:$D$40000,$Y591)))</f>
        <v/>
      </c>
      <c r="AB591">
        <f>IF($Y591="","",INDEX($L$6:$L$40000,$Y591)&amp;"")</f>
        <v/>
      </c>
    </row>
    <row r="592">
      <c r="Y592" s="47">
        <f>IFERROR(MATCH(Library!M592,$M$6:$M$40000,0),"")</f>
        <v/>
      </c>
      <c r="Z592">
        <f>IF($Y592="","",INDEX($C$6:$C$40000,$Y592)&amp;"")</f>
        <v/>
      </c>
      <c r="AA592" s="59">
        <f>IF($Y592="","",IF(INDEX($D$6:$D$40000,$Y592)="","",INDEX($D$6:$D$40000,$Y592)))</f>
        <v/>
      </c>
      <c r="AB592">
        <f>IF($Y592="","",INDEX($L$6:$L$40000,$Y592)&amp;"")</f>
        <v/>
      </c>
    </row>
    <row r="593">
      <c r="Y593" s="47">
        <f>IFERROR(MATCH(Library!M593,$M$6:$M$40000,0),"")</f>
        <v/>
      </c>
      <c r="Z593">
        <f>IF($Y593="","",INDEX($C$6:$C$40000,$Y593)&amp;"")</f>
        <v/>
      </c>
      <c r="AA593" s="59">
        <f>IF($Y593="","",IF(INDEX($D$6:$D$40000,$Y593)="","",INDEX($D$6:$D$40000,$Y593)))</f>
        <v/>
      </c>
      <c r="AB593">
        <f>IF($Y593="","",INDEX($L$6:$L$40000,$Y593)&amp;"")</f>
        <v/>
      </c>
    </row>
    <row r="594">
      <c r="Y594" s="47">
        <f>IFERROR(MATCH(Library!M594,$M$6:$M$40000,0),"")</f>
        <v/>
      </c>
      <c r="Z594">
        <f>IF($Y594="","",INDEX($C$6:$C$40000,$Y594)&amp;"")</f>
        <v/>
      </c>
      <c r="AA594" s="59">
        <f>IF($Y594="","",IF(INDEX($D$6:$D$40000,$Y594)="","",INDEX($D$6:$D$40000,$Y594)))</f>
        <v/>
      </c>
      <c r="AB594">
        <f>IF($Y594="","",INDEX($L$6:$L$40000,$Y594)&amp;"")</f>
        <v/>
      </c>
    </row>
    <row r="595">
      <c r="Y595" s="47">
        <f>IFERROR(MATCH(Library!M595,$M$6:$M$40000,0),"")</f>
        <v/>
      </c>
      <c r="Z595">
        <f>IF($Y595="","",INDEX($C$6:$C$40000,$Y595)&amp;"")</f>
        <v/>
      </c>
      <c r="AA595" s="59">
        <f>IF($Y595="","",IF(INDEX($D$6:$D$40000,$Y595)="","",INDEX($D$6:$D$40000,$Y595)))</f>
        <v/>
      </c>
      <c r="AB595">
        <f>IF($Y595="","",INDEX($L$6:$L$40000,$Y595)&amp;"")</f>
        <v/>
      </c>
    </row>
    <row r="596">
      <c r="Y596" s="47">
        <f>IFERROR(MATCH(Library!M596,$M$6:$M$40000,0),"")</f>
        <v/>
      </c>
      <c r="Z596">
        <f>IF($Y596="","",INDEX($C$6:$C$40000,$Y596)&amp;"")</f>
        <v/>
      </c>
      <c r="AA596" s="59">
        <f>IF($Y596="","",IF(INDEX($D$6:$D$40000,$Y596)="","",INDEX($D$6:$D$40000,$Y596)))</f>
        <v/>
      </c>
      <c r="AB596">
        <f>IF($Y596="","",INDEX($L$6:$L$40000,$Y596)&amp;"")</f>
        <v/>
      </c>
    </row>
    <row r="597">
      <c r="Y597" s="47">
        <f>IFERROR(MATCH(Library!M597,$M$6:$M$40000,0),"")</f>
        <v/>
      </c>
      <c r="Z597">
        <f>IF($Y597="","",INDEX($C$6:$C$40000,$Y597)&amp;"")</f>
        <v/>
      </c>
      <c r="AA597" s="59">
        <f>IF($Y597="","",IF(INDEX($D$6:$D$40000,$Y597)="","",INDEX($D$6:$D$40000,$Y597)))</f>
        <v/>
      </c>
      <c r="AB597">
        <f>IF($Y597="","",INDEX($L$6:$L$40000,$Y597)&amp;"")</f>
        <v/>
      </c>
    </row>
    <row r="598">
      <c r="Y598" s="47">
        <f>IFERROR(MATCH(Library!M598,$M$6:$M$40000,0),"")</f>
        <v/>
      </c>
      <c r="Z598">
        <f>IF($Y598="","",INDEX($C$6:$C$40000,$Y598)&amp;"")</f>
        <v/>
      </c>
      <c r="AA598" s="59">
        <f>IF($Y598="","",IF(INDEX($D$6:$D$40000,$Y598)="","",INDEX($D$6:$D$40000,$Y598)))</f>
        <v/>
      </c>
      <c r="AB598">
        <f>IF($Y598="","",INDEX($L$6:$L$40000,$Y598)&amp;"")</f>
        <v/>
      </c>
    </row>
    <row r="599">
      <c r="Y599" s="47">
        <f>IFERROR(MATCH(Library!M599,$M$6:$M$40000,0),"")</f>
        <v/>
      </c>
      <c r="Z599">
        <f>IF($Y599="","",INDEX($C$6:$C$40000,$Y599)&amp;"")</f>
        <v/>
      </c>
      <c r="AA599" s="59">
        <f>IF($Y599="","",IF(INDEX($D$6:$D$40000,$Y599)="","",INDEX($D$6:$D$40000,$Y599)))</f>
        <v/>
      </c>
      <c r="AB599">
        <f>IF($Y599="","",INDEX($L$6:$L$40000,$Y599)&amp;"")</f>
        <v/>
      </c>
    </row>
    <row r="600">
      <c r="Y600" s="47">
        <f>IFERROR(MATCH(Library!M600,$M$6:$M$40000,0),"")</f>
        <v/>
      </c>
      <c r="Z600">
        <f>IF($Y600="","",INDEX($C$6:$C$40000,$Y600)&amp;"")</f>
        <v/>
      </c>
      <c r="AA600" s="59">
        <f>IF($Y600="","",IF(INDEX($D$6:$D$40000,$Y600)="","",INDEX($D$6:$D$40000,$Y600)))</f>
        <v/>
      </c>
      <c r="AB600">
        <f>IF($Y600="","",INDEX($L$6:$L$40000,$Y600)&amp;"")</f>
        <v/>
      </c>
    </row>
    <row r="601">
      <c r="Y601" s="47">
        <f>IFERROR(MATCH(Library!M601,$M$6:$M$40000,0),"")</f>
        <v/>
      </c>
      <c r="Z601">
        <f>IF($Y601="","",INDEX($C$6:$C$40000,$Y601)&amp;"")</f>
        <v/>
      </c>
      <c r="AA601" s="59">
        <f>IF($Y601="","",IF(INDEX($D$6:$D$40000,$Y601)="","",INDEX($D$6:$D$40000,$Y601)))</f>
        <v/>
      </c>
      <c r="AB601">
        <f>IF($Y601="","",INDEX($L$6:$L$40000,$Y601)&amp;"")</f>
        <v/>
      </c>
    </row>
    <row r="602">
      <c r="Y602" s="47">
        <f>IFERROR(MATCH(Library!M602,$M$6:$M$40000,0),"")</f>
        <v/>
      </c>
      <c r="Z602">
        <f>IF($Y602="","",INDEX($C$6:$C$40000,$Y602)&amp;"")</f>
        <v/>
      </c>
      <c r="AA602" s="59">
        <f>IF($Y602="","",IF(INDEX($D$6:$D$40000,$Y602)="","",INDEX($D$6:$D$40000,$Y602)))</f>
        <v/>
      </c>
      <c r="AB602">
        <f>IF($Y602="","",INDEX($L$6:$L$40000,$Y602)&amp;"")</f>
        <v/>
      </c>
    </row>
    <row r="603">
      <c r="Y603" s="47">
        <f>IFERROR(MATCH(Library!M603,$M$6:$M$40000,0),"")</f>
        <v/>
      </c>
      <c r="Z603">
        <f>IF($Y603="","",INDEX($C$6:$C$40000,$Y603)&amp;"")</f>
        <v/>
      </c>
      <c r="AA603" s="59">
        <f>IF($Y603="","",IF(INDEX($D$6:$D$40000,$Y603)="","",INDEX($D$6:$D$40000,$Y603)))</f>
        <v/>
      </c>
      <c r="AB603">
        <f>IF($Y603="","",INDEX($L$6:$L$40000,$Y603)&amp;"")</f>
        <v/>
      </c>
    </row>
    <row r="604">
      <c r="Y604" s="47">
        <f>IFERROR(MATCH(Library!M604,$M$6:$M$40000,0),"")</f>
        <v/>
      </c>
      <c r="Z604">
        <f>IF($Y604="","",INDEX($C$6:$C$40000,$Y604)&amp;"")</f>
        <v/>
      </c>
      <c r="AA604" s="59">
        <f>IF($Y604="","",IF(INDEX($D$6:$D$40000,$Y604)="","",INDEX($D$6:$D$40000,$Y604)))</f>
        <v/>
      </c>
      <c r="AB604">
        <f>IF($Y604="","",INDEX($L$6:$L$40000,$Y604)&amp;"")</f>
        <v/>
      </c>
    </row>
    <row r="605">
      <c r="Y605" s="47">
        <f>IFERROR(MATCH(Library!M605,$M$6:$M$40000,0),"")</f>
        <v/>
      </c>
      <c r="Z605">
        <f>IF($Y605="","",INDEX($C$6:$C$40000,$Y605)&amp;"")</f>
        <v/>
      </c>
      <c r="AA605" s="59">
        <f>IF($Y605="","",IF(INDEX($D$6:$D$40000,$Y605)="","",INDEX($D$6:$D$40000,$Y605)))</f>
        <v/>
      </c>
      <c r="AB605">
        <f>IF($Y605="","",INDEX($L$6:$L$40000,$Y605)&amp;"")</f>
        <v/>
      </c>
    </row>
    <row r="606">
      <c r="Y606" s="47">
        <f>IFERROR(MATCH(Library!M606,$M$6:$M$40000,0),"")</f>
        <v/>
      </c>
      <c r="Z606">
        <f>IF($Y606="","",INDEX($C$6:$C$40000,$Y606)&amp;"")</f>
        <v/>
      </c>
      <c r="AA606" s="59">
        <f>IF($Y606="","",IF(INDEX($D$6:$D$40000,$Y606)="","",INDEX($D$6:$D$40000,$Y606)))</f>
        <v/>
      </c>
      <c r="AB606">
        <f>IF($Y606="","",INDEX($L$6:$L$40000,$Y606)&amp;"")</f>
        <v/>
      </c>
    </row>
    <row r="607">
      <c r="Y607" s="47">
        <f>IFERROR(MATCH(Library!M607,$M$6:$M$40000,0),"")</f>
        <v/>
      </c>
      <c r="Z607">
        <f>IF($Y607="","",INDEX($C$6:$C$40000,$Y607)&amp;"")</f>
        <v/>
      </c>
      <c r="AA607" s="59">
        <f>IF($Y607="","",IF(INDEX($D$6:$D$40000,$Y607)="","",INDEX($D$6:$D$40000,$Y607)))</f>
        <v/>
      </c>
      <c r="AB607">
        <f>IF($Y607="","",INDEX($L$6:$L$40000,$Y607)&amp;"")</f>
        <v/>
      </c>
    </row>
    <row r="608">
      <c r="Y608" s="47">
        <f>IFERROR(MATCH(Library!M608,$M$6:$M$40000,0),"")</f>
        <v/>
      </c>
      <c r="Z608">
        <f>IF($Y608="","",INDEX($C$6:$C$40000,$Y608)&amp;"")</f>
        <v/>
      </c>
      <c r="AA608" s="59">
        <f>IF($Y608="","",IF(INDEX($D$6:$D$40000,$Y608)="","",INDEX($D$6:$D$40000,$Y608)))</f>
        <v/>
      </c>
      <c r="AB608">
        <f>IF($Y608="","",INDEX($L$6:$L$40000,$Y608)&amp;"")</f>
        <v/>
      </c>
    </row>
    <row r="609">
      <c r="Y609" s="47">
        <f>IFERROR(MATCH(Library!M609,$M$6:$M$40000,0),"")</f>
        <v/>
      </c>
      <c r="Z609">
        <f>IF($Y609="","",INDEX($C$6:$C$40000,$Y609)&amp;"")</f>
        <v/>
      </c>
      <c r="AA609" s="59">
        <f>IF($Y609="","",IF(INDEX($D$6:$D$40000,$Y609)="","",INDEX($D$6:$D$40000,$Y609)))</f>
        <v/>
      </c>
      <c r="AB609">
        <f>IF($Y609="","",INDEX($L$6:$L$40000,$Y609)&amp;"")</f>
        <v/>
      </c>
    </row>
    <row r="610">
      <c r="Y610" s="47">
        <f>IFERROR(MATCH(Library!M610,$M$6:$M$40000,0),"")</f>
        <v/>
      </c>
      <c r="Z610">
        <f>IF($Y610="","",INDEX($C$6:$C$40000,$Y610)&amp;"")</f>
        <v/>
      </c>
      <c r="AA610" s="59">
        <f>IF($Y610="","",IF(INDEX($D$6:$D$40000,$Y610)="","",INDEX($D$6:$D$40000,$Y610)))</f>
        <v/>
      </c>
      <c r="AB610">
        <f>IF($Y610="","",INDEX($L$6:$L$40000,$Y610)&amp;"")</f>
        <v/>
      </c>
    </row>
    <row r="611">
      <c r="Y611" s="47">
        <f>IFERROR(MATCH(Library!M611,$M$6:$M$40000,0),"")</f>
        <v/>
      </c>
      <c r="Z611">
        <f>IF($Y611="","",INDEX($C$6:$C$40000,$Y611)&amp;"")</f>
        <v/>
      </c>
      <c r="AA611" s="59">
        <f>IF($Y611="","",IF(INDEX($D$6:$D$40000,$Y611)="","",INDEX($D$6:$D$40000,$Y611)))</f>
        <v/>
      </c>
      <c r="AB611">
        <f>IF($Y611="","",INDEX($L$6:$L$40000,$Y611)&amp;"")</f>
        <v/>
      </c>
    </row>
    <row r="612">
      <c r="Y612" s="47">
        <f>IFERROR(MATCH(Library!M612,$M$6:$M$40000,0),"")</f>
        <v/>
      </c>
      <c r="Z612">
        <f>IF($Y612="","",INDEX($C$6:$C$40000,$Y612)&amp;"")</f>
        <v/>
      </c>
      <c r="AA612" s="59">
        <f>IF($Y612="","",IF(INDEX($D$6:$D$40000,$Y612)="","",INDEX($D$6:$D$40000,$Y612)))</f>
        <v/>
      </c>
      <c r="AB612">
        <f>IF($Y612="","",INDEX($L$6:$L$40000,$Y612)&amp;"")</f>
        <v/>
      </c>
    </row>
    <row r="613">
      <c r="Y613" s="47">
        <f>IFERROR(MATCH(Library!M613,$M$6:$M$40000,0),"")</f>
        <v/>
      </c>
      <c r="Z613">
        <f>IF($Y613="","",INDEX($C$6:$C$40000,$Y613)&amp;"")</f>
        <v/>
      </c>
      <c r="AA613" s="59">
        <f>IF($Y613="","",IF(INDEX($D$6:$D$40000,$Y613)="","",INDEX($D$6:$D$40000,$Y613)))</f>
        <v/>
      </c>
      <c r="AB613">
        <f>IF($Y613="","",INDEX($L$6:$L$40000,$Y613)&amp;"")</f>
        <v/>
      </c>
    </row>
    <row r="614">
      <c r="Y614" s="47">
        <f>IFERROR(MATCH(Library!M614,$M$6:$M$40000,0),"")</f>
        <v/>
      </c>
      <c r="Z614">
        <f>IF($Y614="","",INDEX($C$6:$C$40000,$Y614)&amp;"")</f>
        <v/>
      </c>
      <c r="AA614" s="59">
        <f>IF($Y614="","",IF(INDEX($D$6:$D$40000,$Y614)="","",INDEX($D$6:$D$40000,$Y614)))</f>
        <v/>
      </c>
      <c r="AB614">
        <f>IF($Y614="","",INDEX($L$6:$L$40000,$Y614)&amp;"")</f>
        <v/>
      </c>
    </row>
    <row r="615">
      <c r="Y615" s="47">
        <f>IFERROR(MATCH(Library!M615,$M$6:$M$40000,0),"")</f>
        <v/>
      </c>
      <c r="Z615">
        <f>IF($Y615="","",INDEX($C$6:$C$40000,$Y615)&amp;"")</f>
        <v/>
      </c>
      <c r="AA615" s="59">
        <f>IF($Y615="","",IF(INDEX($D$6:$D$40000,$Y615)="","",INDEX($D$6:$D$40000,$Y615)))</f>
        <v/>
      </c>
      <c r="AB615">
        <f>IF($Y615="","",INDEX($L$6:$L$40000,$Y615)&amp;"")</f>
        <v/>
      </c>
    </row>
    <row r="616">
      <c r="Y616" s="47">
        <f>IFERROR(MATCH(Library!M616,$M$6:$M$40000,0),"")</f>
        <v/>
      </c>
      <c r="Z616">
        <f>IF($Y616="","",INDEX($C$6:$C$40000,$Y616)&amp;"")</f>
        <v/>
      </c>
      <c r="AA616" s="59">
        <f>IF($Y616="","",IF(INDEX($D$6:$D$40000,$Y616)="","",INDEX($D$6:$D$40000,$Y616)))</f>
        <v/>
      </c>
      <c r="AB616">
        <f>IF($Y616="","",INDEX($L$6:$L$40000,$Y616)&amp;"")</f>
        <v/>
      </c>
    </row>
    <row r="617">
      <c r="Y617" s="47">
        <f>IFERROR(MATCH(Library!M617,$M$6:$M$40000,0),"")</f>
        <v/>
      </c>
      <c r="Z617">
        <f>IF($Y617="","",INDEX($C$6:$C$40000,$Y617)&amp;"")</f>
        <v/>
      </c>
      <c r="AA617" s="59">
        <f>IF($Y617="","",IF(INDEX($D$6:$D$40000,$Y617)="","",INDEX($D$6:$D$40000,$Y617)))</f>
        <v/>
      </c>
      <c r="AB617">
        <f>IF($Y617="","",INDEX($L$6:$L$40000,$Y617)&amp;"")</f>
        <v/>
      </c>
    </row>
    <row r="618">
      <c r="Y618" s="47">
        <f>IFERROR(MATCH(Library!M618,$M$6:$M$40000,0),"")</f>
        <v/>
      </c>
      <c r="Z618">
        <f>IF($Y618="","",INDEX($C$6:$C$40000,$Y618)&amp;"")</f>
        <v/>
      </c>
      <c r="AA618" s="59">
        <f>IF($Y618="","",IF(INDEX($D$6:$D$40000,$Y618)="","",INDEX($D$6:$D$40000,$Y618)))</f>
        <v/>
      </c>
      <c r="AB618">
        <f>IF($Y618="","",INDEX($L$6:$L$40000,$Y618)&amp;"")</f>
        <v/>
      </c>
    </row>
    <row r="619">
      <c r="Y619" s="47">
        <f>IFERROR(MATCH(Library!M619,$M$6:$M$40000,0),"")</f>
        <v/>
      </c>
      <c r="Z619">
        <f>IF($Y619="","",INDEX($C$6:$C$40000,$Y619)&amp;"")</f>
        <v/>
      </c>
      <c r="AA619" s="59">
        <f>IF($Y619="","",IF(INDEX($D$6:$D$40000,$Y619)="","",INDEX($D$6:$D$40000,$Y619)))</f>
        <v/>
      </c>
      <c r="AB619">
        <f>IF($Y619="","",INDEX($L$6:$L$40000,$Y619)&amp;"")</f>
        <v/>
      </c>
    </row>
    <row r="620">
      <c r="Y620" s="47">
        <f>IFERROR(MATCH(Library!M620,$M$6:$M$40000,0),"")</f>
        <v/>
      </c>
      <c r="Z620">
        <f>IF($Y620="","",INDEX($C$6:$C$40000,$Y620)&amp;"")</f>
        <v/>
      </c>
      <c r="AA620" s="59">
        <f>IF($Y620="","",IF(INDEX($D$6:$D$40000,$Y620)="","",INDEX($D$6:$D$40000,$Y620)))</f>
        <v/>
      </c>
      <c r="AB620">
        <f>IF($Y620="","",INDEX($L$6:$L$40000,$Y620)&amp;"")</f>
        <v/>
      </c>
    </row>
    <row r="621">
      <c r="Y621" s="47">
        <f>IFERROR(MATCH(Library!M621,$M$6:$M$40000,0),"")</f>
        <v/>
      </c>
      <c r="Z621">
        <f>IF($Y621="","",INDEX($C$6:$C$40000,$Y621)&amp;"")</f>
        <v/>
      </c>
      <c r="AA621" s="59">
        <f>IF($Y621="","",IF(INDEX($D$6:$D$40000,$Y621)="","",INDEX($D$6:$D$40000,$Y621)))</f>
        <v/>
      </c>
      <c r="AB621">
        <f>IF($Y621="","",INDEX($L$6:$L$40000,$Y621)&amp;"")</f>
        <v/>
      </c>
    </row>
    <row r="622">
      <c r="Y622" s="47">
        <f>IFERROR(MATCH(Library!M622,$M$6:$M$40000,0),"")</f>
        <v/>
      </c>
      <c r="Z622">
        <f>IF($Y622="","",INDEX($C$6:$C$40000,$Y622)&amp;"")</f>
        <v/>
      </c>
      <c r="AA622" s="59">
        <f>IF($Y622="","",IF(INDEX($D$6:$D$40000,$Y622)="","",INDEX($D$6:$D$40000,$Y622)))</f>
        <v/>
      </c>
      <c r="AB622">
        <f>IF($Y622="","",INDEX($L$6:$L$40000,$Y622)&amp;"")</f>
        <v/>
      </c>
    </row>
    <row r="623">
      <c r="Y623" s="47">
        <f>IFERROR(MATCH(Library!M623,$M$6:$M$40000,0),"")</f>
        <v/>
      </c>
      <c r="Z623">
        <f>IF($Y623="","",INDEX($C$6:$C$40000,$Y623)&amp;"")</f>
        <v/>
      </c>
      <c r="AA623" s="59">
        <f>IF($Y623="","",IF(INDEX($D$6:$D$40000,$Y623)="","",INDEX($D$6:$D$40000,$Y623)))</f>
        <v/>
      </c>
      <c r="AB623">
        <f>IF($Y623="","",INDEX($L$6:$L$40000,$Y623)&amp;"")</f>
        <v/>
      </c>
    </row>
    <row r="624">
      <c r="Y624" s="47">
        <f>IFERROR(MATCH(Library!M624,$M$6:$M$40000,0),"")</f>
        <v/>
      </c>
      <c r="Z624">
        <f>IF($Y624="","",INDEX($C$6:$C$40000,$Y624)&amp;"")</f>
        <v/>
      </c>
      <c r="AA624" s="59">
        <f>IF($Y624="","",IF(INDEX($D$6:$D$40000,$Y624)="","",INDEX($D$6:$D$40000,$Y624)))</f>
        <v/>
      </c>
      <c r="AB624">
        <f>IF($Y624="","",INDEX($L$6:$L$40000,$Y624)&amp;"")</f>
        <v/>
      </c>
    </row>
    <row r="625">
      <c r="Y625" s="47">
        <f>IFERROR(MATCH(Library!M625,$M$6:$M$40000,0),"")</f>
        <v/>
      </c>
      <c r="Z625">
        <f>IF($Y625="","",INDEX($C$6:$C$40000,$Y625)&amp;"")</f>
        <v/>
      </c>
      <c r="AA625" s="59">
        <f>IF($Y625="","",IF(INDEX($D$6:$D$40000,$Y625)="","",INDEX($D$6:$D$40000,$Y625)))</f>
        <v/>
      </c>
      <c r="AB625">
        <f>IF($Y625="","",INDEX($L$6:$L$40000,$Y625)&amp;"")</f>
        <v/>
      </c>
    </row>
    <row r="626">
      <c r="Y626" s="47">
        <f>IFERROR(MATCH(Library!M626,$M$6:$M$40000,0),"")</f>
        <v/>
      </c>
      <c r="Z626">
        <f>IF($Y626="","",INDEX($C$6:$C$40000,$Y626)&amp;"")</f>
        <v/>
      </c>
      <c r="AA626" s="59">
        <f>IF($Y626="","",IF(INDEX($D$6:$D$40000,$Y626)="","",INDEX($D$6:$D$40000,$Y626)))</f>
        <v/>
      </c>
      <c r="AB626">
        <f>IF($Y626="","",INDEX($L$6:$L$40000,$Y626)&amp;"")</f>
        <v/>
      </c>
    </row>
    <row r="627">
      <c r="Y627" s="47">
        <f>IFERROR(MATCH(Library!M627,$M$6:$M$40000,0),"")</f>
        <v/>
      </c>
      <c r="Z627">
        <f>IF($Y627="","",INDEX($C$6:$C$40000,$Y627)&amp;"")</f>
        <v/>
      </c>
      <c r="AA627" s="59">
        <f>IF($Y627="","",IF(INDEX($D$6:$D$40000,$Y627)="","",INDEX($D$6:$D$40000,$Y627)))</f>
        <v/>
      </c>
      <c r="AB627">
        <f>IF($Y627="","",INDEX($L$6:$L$40000,$Y627)&amp;"")</f>
        <v/>
      </c>
    </row>
    <row r="628">
      <c r="Y628" s="47">
        <f>IFERROR(MATCH(Library!M628,$M$6:$M$40000,0),"")</f>
        <v/>
      </c>
      <c r="Z628">
        <f>IF($Y628="","",INDEX($C$6:$C$40000,$Y628)&amp;"")</f>
        <v/>
      </c>
      <c r="AA628" s="59">
        <f>IF($Y628="","",IF(INDEX($D$6:$D$40000,$Y628)="","",INDEX($D$6:$D$40000,$Y628)))</f>
        <v/>
      </c>
      <c r="AB628">
        <f>IF($Y628="","",INDEX($L$6:$L$40000,$Y628)&amp;"")</f>
        <v/>
      </c>
    </row>
    <row r="629">
      <c r="Y629" s="47">
        <f>IFERROR(MATCH(Library!M629,$M$6:$M$40000,0),"")</f>
        <v/>
      </c>
      <c r="Z629">
        <f>IF($Y629="","",INDEX($C$6:$C$40000,$Y629)&amp;"")</f>
        <v/>
      </c>
      <c r="AA629" s="59">
        <f>IF($Y629="","",IF(INDEX($D$6:$D$40000,$Y629)="","",INDEX($D$6:$D$40000,$Y629)))</f>
        <v/>
      </c>
      <c r="AB629">
        <f>IF($Y629="","",INDEX($L$6:$L$40000,$Y629)&amp;"")</f>
        <v/>
      </c>
    </row>
    <row r="630">
      <c r="Y630" s="47">
        <f>IFERROR(MATCH(Library!M630,$M$6:$M$40000,0),"")</f>
        <v/>
      </c>
      <c r="Z630">
        <f>IF($Y630="","",INDEX($C$6:$C$40000,$Y630)&amp;"")</f>
        <v/>
      </c>
      <c r="AA630" s="59">
        <f>IF($Y630="","",IF(INDEX($D$6:$D$40000,$Y630)="","",INDEX($D$6:$D$40000,$Y630)))</f>
        <v/>
      </c>
      <c r="AB630">
        <f>IF($Y630="","",INDEX($L$6:$L$40000,$Y630)&amp;"")</f>
        <v/>
      </c>
    </row>
    <row r="631">
      <c r="Y631" s="47">
        <f>IFERROR(MATCH(Library!M631,$M$6:$M$40000,0),"")</f>
        <v/>
      </c>
      <c r="Z631">
        <f>IF($Y631="","",INDEX($C$6:$C$40000,$Y631)&amp;"")</f>
        <v/>
      </c>
      <c r="AA631" s="59">
        <f>IF($Y631="","",IF(INDEX($D$6:$D$40000,$Y631)="","",INDEX($D$6:$D$40000,$Y631)))</f>
        <v/>
      </c>
      <c r="AB631">
        <f>IF($Y631="","",INDEX($L$6:$L$40000,$Y631)&amp;"")</f>
        <v/>
      </c>
    </row>
    <row r="632">
      <c r="Y632" s="47">
        <f>IFERROR(MATCH(Library!M632,$M$6:$M$40000,0),"")</f>
        <v/>
      </c>
      <c r="Z632">
        <f>IF($Y632="","",INDEX($C$6:$C$40000,$Y632)&amp;"")</f>
        <v/>
      </c>
      <c r="AA632" s="59">
        <f>IF($Y632="","",IF(INDEX($D$6:$D$40000,$Y632)="","",INDEX($D$6:$D$40000,$Y632)))</f>
        <v/>
      </c>
      <c r="AB632">
        <f>IF($Y632="","",INDEX($L$6:$L$40000,$Y632)&amp;"")</f>
        <v/>
      </c>
    </row>
    <row r="633">
      <c r="Y633" s="47">
        <f>IFERROR(MATCH(Library!M633,$M$6:$M$40000,0),"")</f>
        <v/>
      </c>
      <c r="Z633">
        <f>IF($Y633="","",INDEX($C$6:$C$40000,$Y633)&amp;"")</f>
        <v/>
      </c>
      <c r="AA633" s="59">
        <f>IF($Y633="","",IF(INDEX($D$6:$D$40000,$Y633)="","",INDEX($D$6:$D$40000,$Y633)))</f>
        <v/>
      </c>
      <c r="AB633">
        <f>IF($Y633="","",INDEX($L$6:$L$40000,$Y633)&amp;"")</f>
        <v/>
      </c>
    </row>
    <row r="634">
      <c r="Y634" s="47">
        <f>IFERROR(MATCH(Library!M634,$M$6:$M$40000,0),"")</f>
        <v/>
      </c>
      <c r="Z634">
        <f>IF($Y634="","",INDEX($C$6:$C$40000,$Y634)&amp;"")</f>
        <v/>
      </c>
      <c r="AA634" s="59">
        <f>IF($Y634="","",IF(INDEX($D$6:$D$40000,$Y634)="","",INDEX($D$6:$D$40000,$Y634)))</f>
        <v/>
      </c>
      <c r="AB634">
        <f>IF($Y634="","",INDEX($L$6:$L$40000,$Y634)&amp;"")</f>
        <v/>
      </c>
    </row>
    <row r="635">
      <c r="Y635" s="47">
        <f>IFERROR(MATCH(Library!M635,$M$6:$M$40000,0),"")</f>
        <v/>
      </c>
      <c r="Z635">
        <f>IF($Y635="","",INDEX($C$6:$C$40000,$Y635)&amp;"")</f>
        <v/>
      </c>
      <c r="AA635" s="59">
        <f>IF($Y635="","",IF(INDEX($D$6:$D$40000,$Y635)="","",INDEX($D$6:$D$40000,$Y635)))</f>
        <v/>
      </c>
      <c r="AB635">
        <f>IF($Y635="","",INDEX($L$6:$L$40000,$Y635)&amp;"")</f>
        <v/>
      </c>
    </row>
    <row r="636">
      <c r="Y636" s="47">
        <f>IFERROR(MATCH(Library!M636,$M$6:$M$40000,0),"")</f>
        <v/>
      </c>
      <c r="Z636">
        <f>IF($Y636="","",INDEX($C$6:$C$40000,$Y636)&amp;"")</f>
        <v/>
      </c>
      <c r="AA636" s="59">
        <f>IF($Y636="","",IF(INDEX($D$6:$D$40000,$Y636)="","",INDEX($D$6:$D$40000,$Y636)))</f>
        <v/>
      </c>
      <c r="AB636">
        <f>IF($Y636="","",INDEX($L$6:$L$40000,$Y636)&amp;"")</f>
        <v/>
      </c>
    </row>
    <row r="637">
      <c r="Y637" s="47">
        <f>IFERROR(MATCH(Library!M637,$M$6:$M$40000,0),"")</f>
        <v/>
      </c>
      <c r="Z637">
        <f>IF($Y637="","",INDEX($C$6:$C$40000,$Y637)&amp;"")</f>
        <v/>
      </c>
      <c r="AA637" s="59">
        <f>IF($Y637="","",IF(INDEX($D$6:$D$40000,$Y637)="","",INDEX($D$6:$D$40000,$Y637)))</f>
        <v/>
      </c>
      <c r="AB637">
        <f>IF($Y637="","",INDEX($L$6:$L$40000,$Y637)&amp;"")</f>
        <v/>
      </c>
    </row>
    <row r="638">
      <c r="Y638" s="47">
        <f>IFERROR(MATCH(Library!M638,$M$6:$M$40000,0),"")</f>
        <v/>
      </c>
      <c r="Z638">
        <f>IF($Y638="","",INDEX($C$6:$C$40000,$Y638)&amp;"")</f>
        <v/>
      </c>
      <c r="AA638" s="59">
        <f>IF($Y638="","",IF(INDEX($D$6:$D$40000,$Y638)="","",INDEX($D$6:$D$40000,$Y638)))</f>
        <v/>
      </c>
      <c r="AB638">
        <f>IF($Y638="","",INDEX($L$6:$L$40000,$Y638)&amp;"")</f>
        <v/>
      </c>
    </row>
    <row r="639">
      <c r="Y639" s="47">
        <f>IFERROR(MATCH(Library!M639,$M$6:$M$40000,0),"")</f>
        <v/>
      </c>
      <c r="Z639">
        <f>IF($Y639="","",INDEX($C$6:$C$40000,$Y639)&amp;"")</f>
        <v/>
      </c>
      <c r="AA639" s="59">
        <f>IF($Y639="","",IF(INDEX($D$6:$D$40000,$Y639)="","",INDEX($D$6:$D$40000,$Y639)))</f>
        <v/>
      </c>
      <c r="AB639">
        <f>IF($Y639="","",INDEX($L$6:$L$40000,$Y639)&amp;"")</f>
        <v/>
      </c>
    </row>
    <row r="640">
      <c r="Y640" s="47">
        <f>IFERROR(MATCH(Library!M640,$M$6:$M$40000,0),"")</f>
        <v/>
      </c>
      <c r="Z640">
        <f>IF($Y640="","",INDEX($C$6:$C$40000,$Y640)&amp;"")</f>
        <v/>
      </c>
      <c r="AA640" s="59">
        <f>IF($Y640="","",IF(INDEX($D$6:$D$40000,$Y640)="","",INDEX($D$6:$D$40000,$Y640)))</f>
        <v/>
      </c>
      <c r="AB640">
        <f>IF($Y640="","",INDEX($L$6:$L$40000,$Y640)&amp;"")</f>
        <v/>
      </c>
    </row>
    <row r="641">
      <c r="Y641" s="47">
        <f>IFERROR(MATCH(Library!M641,$M$6:$M$40000,0),"")</f>
        <v/>
      </c>
      <c r="Z641">
        <f>IF($Y641="","",INDEX($C$6:$C$40000,$Y641)&amp;"")</f>
        <v/>
      </c>
      <c r="AA641" s="59">
        <f>IF($Y641="","",IF(INDEX($D$6:$D$40000,$Y641)="","",INDEX($D$6:$D$40000,$Y641)))</f>
        <v/>
      </c>
      <c r="AB641">
        <f>IF($Y641="","",INDEX($L$6:$L$40000,$Y641)&amp;"")</f>
        <v/>
      </c>
    </row>
    <row r="642">
      <c r="Y642" s="47">
        <f>IFERROR(MATCH(Library!M642,$M$6:$M$40000,0),"")</f>
        <v/>
      </c>
      <c r="Z642">
        <f>IF($Y642="","",INDEX($C$6:$C$40000,$Y642)&amp;"")</f>
        <v/>
      </c>
      <c r="AA642" s="59">
        <f>IF($Y642="","",IF(INDEX($D$6:$D$40000,$Y642)="","",INDEX($D$6:$D$40000,$Y642)))</f>
        <v/>
      </c>
      <c r="AB642">
        <f>IF($Y642="","",INDEX($L$6:$L$40000,$Y642)&amp;"")</f>
        <v/>
      </c>
    </row>
    <row r="643">
      <c r="Y643" s="47">
        <f>IFERROR(MATCH(Library!M643,$M$6:$M$40000,0),"")</f>
        <v/>
      </c>
      <c r="Z643">
        <f>IF($Y643="","",INDEX($C$6:$C$40000,$Y643)&amp;"")</f>
        <v/>
      </c>
      <c r="AA643" s="59">
        <f>IF($Y643="","",IF(INDEX($D$6:$D$40000,$Y643)="","",INDEX($D$6:$D$40000,$Y643)))</f>
        <v/>
      </c>
      <c r="AB643">
        <f>IF($Y643="","",INDEX($L$6:$L$40000,$Y643)&amp;"")</f>
        <v/>
      </c>
    </row>
    <row r="644">
      <c r="Y644" s="47">
        <f>IFERROR(MATCH(Library!M644,$M$6:$M$40000,0),"")</f>
        <v/>
      </c>
      <c r="Z644">
        <f>IF($Y644="","",INDEX($C$6:$C$40000,$Y644)&amp;"")</f>
        <v/>
      </c>
      <c r="AA644" s="59">
        <f>IF($Y644="","",IF(INDEX($D$6:$D$40000,$Y644)="","",INDEX($D$6:$D$40000,$Y644)))</f>
        <v/>
      </c>
      <c r="AB644">
        <f>IF($Y644="","",INDEX($L$6:$L$40000,$Y644)&amp;"")</f>
        <v/>
      </c>
    </row>
    <row r="645">
      <c r="Y645" s="47">
        <f>IFERROR(MATCH(Library!M645,$M$6:$M$40000,0),"")</f>
        <v/>
      </c>
      <c r="Z645">
        <f>IF($Y645="","",INDEX($C$6:$C$40000,$Y645)&amp;"")</f>
        <v/>
      </c>
      <c r="AA645" s="59">
        <f>IF($Y645="","",IF(INDEX($D$6:$D$40000,$Y645)="","",INDEX($D$6:$D$40000,$Y645)))</f>
        <v/>
      </c>
      <c r="AB645">
        <f>IF($Y645="","",INDEX($L$6:$L$40000,$Y645)&amp;"")</f>
        <v/>
      </c>
    </row>
    <row r="646">
      <c r="Y646" s="47">
        <f>IFERROR(MATCH(Library!M646,$M$6:$M$40000,0),"")</f>
        <v/>
      </c>
      <c r="Z646">
        <f>IF($Y646="","",INDEX($C$6:$C$40000,$Y646)&amp;"")</f>
        <v/>
      </c>
      <c r="AA646" s="59">
        <f>IF($Y646="","",IF(INDEX($D$6:$D$40000,$Y646)="","",INDEX($D$6:$D$40000,$Y646)))</f>
        <v/>
      </c>
      <c r="AB646">
        <f>IF($Y646="","",INDEX($L$6:$L$40000,$Y646)&amp;"")</f>
        <v/>
      </c>
    </row>
    <row r="647">
      <c r="Y647" s="47">
        <f>IFERROR(MATCH(Library!M647,$M$6:$M$40000,0),"")</f>
        <v/>
      </c>
      <c r="Z647">
        <f>IF($Y647="","",INDEX($C$6:$C$40000,$Y647)&amp;"")</f>
        <v/>
      </c>
      <c r="AA647" s="59">
        <f>IF($Y647="","",IF(INDEX($D$6:$D$40000,$Y647)="","",INDEX($D$6:$D$40000,$Y647)))</f>
        <v/>
      </c>
      <c r="AB647">
        <f>IF($Y647="","",INDEX($L$6:$L$40000,$Y647)&amp;"")</f>
        <v/>
      </c>
    </row>
    <row r="648">
      <c r="Y648" s="47">
        <f>IFERROR(MATCH(Library!M648,$M$6:$M$40000,0),"")</f>
        <v/>
      </c>
      <c r="Z648">
        <f>IF($Y648="","",INDEX($C$6:$C$40000,$Y648)&amp;"")</f>
        <v/>
      </c>
      <c r="AA648" s="59">
        <f>IF($Y648="","",IF(INDEX($D$6:$D$40000,$Y648)="","",INDEX($D$6:$D$40000,$Y648)))</f>
        <v/>
      </c>
      <c r="AB648">
        <f>IF($Y648="","",INDEX($L$6:$L$40000,$Y648)&amp;"")</f>
        <v/>
      </c>
    </row>
    <row r="649">
      <c r="Y649" s="47">
        <f>IFERROR(MATCH(Library!M649,$M$6:$M$40000,0),"")</f>
        <v/>
      </c>
      <c r="Z649">
        <f>IF($Y649="","",INDEX($C$6:$C$40000,$Y649)&amp;"")</f>
        <v/>
      </c>
      <c r="AA649" s="59">
        <f>IF($Y649="","",IF(INDEX($D$6:$D$40000,$Y649)="","",INDEX($D$6:$D$40000,$Y649)))</f>
        <v/>
      </c>
      <c r="AB649">
        <f>IF($Y649="","",INDEX($L$6:$L$40000,$Y649)&amp;"")</f>
        <v/>
      </c>
    </row>
    <row r="650">
      <c r="Y650" s="47">
        <f>IFERROR(MATCH(Library!M650,$M$6:$M$40000,0),"")</f>
        <v/>
      </c>
      <c r="Z650">
        <f>IF($Y650="","",INDEX($C$6:$C$40000,$Y650)&amp;"")</f>
        <v/>
      </c>
      <c r="AA650" s="59">
        <f>IF($Y650="","",IF(INDEX($D$6:$D$40000,$Y650)="","",INDEX($D$6:$D$40000,$Y650)))</f>
        <v/>
      </c>
      <c r="AB650">
        <f>IF($Y650="","",INDEX($L$6:$L$40000,$Y650)&amp;"")</f>
        <v/>
      </c>
    </row>
    <row r="651">
      <c r="Y651" s="47">
        <f>IFERROR(MATCH(Library!M651,$M$6:$M$40000,0),"")</f>
        <v/>
      </c>
      <c r="Z651">
        <f>IF($Y651="","",INDEX($C$6:$C$40000,$Y651)&amp;"")</f>
        <v/>
      </c>
      <c r="AA651" s="59">
        <f>IF($Y651="","",IF(INDEX($D$6:$D$40000,$Y651)="","",INDEX($D$6:$D$40000,$Y651)))</f>
        <v/>
      </c>
      <c r="AB651">
        <f>IF($Y651="","",INDEX($L$6:$L$40000,$Y651)&amp;"")</f>
        <v/>
      </c>
    </row>
    <row r="652">
      <c r="Y652" s="47">
        <f>IFERROR(MATCH(Library!M652,$M$6:$M$40000,0),"")</f>
        <v/>
      </c>
      <c r="Z652">
        <f>IF($Y652="","",INDEX($C$6:$C$40000,$Y652)&amp;"")</f>
        <v/>
      </c>
      <c r="AA652" s="59">
        <f>IF($Y652="","",IF(INDEX($D$6:$D$40000,$Y652)="","",INDEX($D$6:$D$40000,$Y652)))</f>
        <v/>
      </c>
      <c r="AB652">
        <f>IF($Y652="","",INDEX($L$6:$L$40000,$Y652)&amp;"")</f>
        <v/>
      </c>
    </row>
    <row r="653">
      <c r="Y653" s="47">
        <f>IFERROR(MATCH(Library!M653,$M$6:$M$40000,0),"")</f>
        <v/>
      </c>
      <c r="Z653">
        <f>IF($Y653="","",INDEX($C$6:$C$40000,$Y653)&amp;"")</f>
        <v/>
      </c>
      <c r="AA653" s="59">
        <f>IF($Y653="","",IF(INDEX($D$6:$D$40000,$Y653)="","",INDEX($D$6:$D$40000,$Y653)))</f>
        <v/>
      </c>
      <c r="AB653">
        <f>IF($Y653="","",INDEX($L$6:$L$40000,$Y653)&amp;"")</f>
        <v/>
      </c>
    </row>
    <row r="654">
      <c r="Y654" s="47">
        <f>IFERROR(MATCH(Library!M654,$M$6:$M$40000,0),"")</f>
        <v/>
      </c>
      <c r="Z654">
        <f>IF($Y654="","",INDEX($C$6:$C$40000,$Y654)&amp;"")</f>
        <v/>
      </c>
      <c r="AA654" s="59">
        <f>IF($Y654="","",IF(INDEX($D$6:$D$40000,$Y654)="","",INDEX($D$6:$D$40000,$Y654)))</f>
        <v/>
      </c>
      <c r="AB654">
        <f>IF($Y654="","",INDEX($L$6:$L$40000,$Y654)&amp;"")</f>
        <v/>
      </c>
    </row>
    <row r="655">
      <c r="Y655" s="47">
        <f>IFERROR(MATCH(Library!M655,$M$6:$M$40000,0),"")</f>
        <v/>
      </c>
      <c r="Z655">
        <f>IF($Y655="","",INDEX($C$6:$C$40000,$Y655)&amp;"")</f>
        <v/>
      </c>
      <c r="AA655" s="59">
        <f>IF($Y655="","",IF(INDEX($D$6:$D$40000,$Y655)="","",INDEX($D$6:$D$40000,$Y655)))</f>
        <v/>
      </c>
      <c r="AB655">
        <f>IF($Y655="","",INDEX($L$6:$L$40000,$Y655)&amp;"")</f>
        <v/>
      </c>
    </row>
    <row r="656">
      <c r="Y656" s="47">
        <f>IFERROR(MATCH(Library!M656,$M$6:$M$40000,0),"")</f>
        <v/>
      </c>
      <c r="Z656">
        <f>IF($Y656="","",INDEX($C$6:$C$40000,$Y656)&amp;"")</f>
        <v/>
      </c>
      <c r="AA656" s="59">
        <f>IF($Y656="","",IF(INDEX($D$6:$D$40000,$Y656)="","",INDEX($D$6:$D$40000,$Y656)))</f>
        <v/>
      </c>
      <c r="AB656">
        <f>IF($Y656="","",INDEX($L$6:$L$40000,$Y656)&amp;"")</f>
        <v/>
      </c>
    </row>
    <row r="657">
      <c r="Y657" s="47">
        <f>IFERROR(MATCH(Library!M657,$M$6:$M$40000,0),"")</f>
        <v/>
      </c>
      <c r="Z657">
        <f>IF($Y657="","",INDEX($C$6:$C$40000,$Y657)&amp;"")</f>
        <v/>
      </c>
      <c r="AA657" s="59">
        <f>IF($Y657="","",IF(INDEX($D$6:$D$40000,$Y657)="","",INDEX($D$6:$D$40000,$Y657)))</f>
        <v/>
      </c>
      <c r="AB657">
        <f>IF($Y657="","",INDEX($L$6:$L$40000,$Y657)&amp;"")</f>
        <v/>
      </c>
    </row>
    <row r="658">
      <c r="Y658" s="47">
        <f>IFERROR(MATCH(Library!M658,$M$6:$M$40000,0),"")</f>
        <v/>
      </c>
      <c r="Z658">
        <f>IF($Y658="","",INDEX($C$6:$C$40000,$Y658)&amp;"")</f>
        <v/>
      </c>
      <c r="AA658" s="59">
        <f>IF($Y658="","",IF(INDEX($D$6:$D$40000,$Y658)="","",INDEX($D$6:$D$40000,$Y658)))</f>
        <v/>
      </c>
      <c r="AB658">
        <f>IF($Y658="","",INDEX($L$6:$L$40000,$Y658)&amp;"")</f>
        <v/>
      </c>
    </row>
    <row r="659">
      <c r="Y659" s="47">
        <f>IFERROR(MATCH(Library!M659,$M$6:$M$40000,0),"")</f>
        <v/>
      </c>
      <c r="Z659">
        <f>IF($Y659="","",INDEX($C$6:$C$40000,$Y659)&amp;"")</f>
        <v/>
      </c>
      <c r="AA659" s="59">
        <f>IF($Y659="","",IF(INDEX($D$6:$D$40000,$Y659)="","",INDEX($D$6:$D$40000,$Y659)))</f>
        <v/>
      </c>
      <c r="AB659">
        <f>IF($Y659="","",INDEX($L$6:$L$40000,$Y659)&amp;"")</f>
        <v/>
      </c>
    </row>
    <row r="660">
      <c r="Y660" s="47">
        <f>IFERROR(MATCH(Library!M660,$M$6:$M$40000,0),"")</f>
        <v/>
      </c>
      <c r="Z660">
        <f>IF($Y660="","",INDEX($C$6:$C$40000,$Y660)&amp;"")</f>
        <v/>
      </c>
      <c r="AA660" s="59">
        <f>IF($Y660="","",IF(INDEX($D$6:$D$40000,$Y660)="","",INDEX($D$6:$D$40000,$Y660)))</f>
        <v/>
      </c>
      <c r="AB660">
        <f>IF($Y660="","",INDEX($L$6:$L$40000,$Y660)&amp;"")</f>
        <v/>
      </c>
    </row>
    <row r="661">
      <c r="Y661" s="47">
        <f>IFERROR(MATCH(Library!M661,$M$6:$M$40000,0),"")</f>
        <v/>
      </c>
      <c r="Z661">
        <f>IF($Y661="","",INDEX($C$6:$C$40000,$Y661)&amp;"")</f>
        <v/>
      </c>
      <c r="AA661" s="59">
        <f>IF($Y661="","",IF(INDEX($D$6:$D$40000,$Y661)="","",INDEX($D$6:$D$40000,$Y661)))</f>
        <v/>
      </c>
      <c r="AB661">
        <f>IF($Y661="","",INDEX($L$6:$L$40000,$Y661)&amp;"")</f>
        <v/>
      </c>
    </row>
    <row r="662">
      <c r="Y662" s="47">
        <f>IFERROR(MATCH(Library!M662,$M$6:$M$40000,0),"")</f>
        <v/>
      </c>
      <c r="Z662">
        <f>IF($Y662="","",INDEX($C$6:$C$40000,$Y662)&amp;"")</f>
        <v/>
      </c>
      <c r="AA662" s="59">
        <f>IF($Y662="","",IF(INDEX($D$6:$D$40000,$Y662)="","",INDEX($D$6:$D$40000,$Y662)))</f>
        <v/>
      </c>
      <c r="AB662">
        <f>IF($Y662="","",INDEX($L$6:$L$40000,$Y662)&amp;"")</f>
        <v/>
      </c>
    </row>
    <row r="663">
      <c r="Y663" s="47">
        <f>IFERROR(MATCH(Library!M663,$M$6:$M$40000,0),"")</f>
        <v/>
      </c>
      <c r="Z663">
        <f>IF($Y663="","",INDEX($C$6:$C$40000,$Y663)&amp;"")</f>
        <v/>
      </c>
      <c r="AA663" s="59">
        <f>IF($Y663="","",IF(INDEX($D$6:$D$40000,$Y663)="","",INDEX($D$6:$D$40000,$Y663)))</f>
        <v/>
      </c>
      <c r="AB663">
        <f>IF($Y663="","",INDEX($L$6:$L$40000,$Y663)&amp;"")</f>
        <v/>
      </c>
    </row>
    <row r="664">
      <c r="Y664" s="47">
        <f>IFERROR(MATCH(Library!M664,$M$6:$M$40000,0),"")</f>
        <v/>
      </c>
      <c r="Z664">
        <f>IF($Y664="","",INDEX($C$6:$C$40000,$Y664)&amp;"")</f>
        <v/>
      </c>
      <c r="AA664" s="59">
        <f>IF($Y664="","",IF(INDEX($D$6:$D$40000,$Y664)="","",INDEX($D$6:$D$40000,$Y664)))</f>
        <v/>
      </c>
      <c r="AB664">
        <f>IF($Y664="","",INDEX($L$6:$L$40000,$Y664)&amp;"")</f>
        <v/>
      </c>
    </row>
    <row r="665">
      <c r="Y665" s="47">
        <f>IFERROR(MATCH(Library!M665,$M$6:$M$40000,0),"")</f>
        <v/>
      </c>
      <c r="Z665">
        <f>IF($Y665="","",INDEX($C$6:$C$40000,$Y665)&amp;"")</f>
        <v/>
      </c>
      <c r="AA665" s="59">
        <f>IF($Y665="","",IF(INDEX($D$6:$D$40000,$Y665)="","",INDEX($D$6:$D$40000,$Y665)))</f>
        <v/>
      </c>
      <c r="AB665">
        <f>IF($Y665="","",INDEX($L$6:$L$40000,$Y665)&amp;"")</f>
        <v/>
      </c>
    </row>
    <row r="666">
      <c r="Y666" s="47">
        <f>IFERROR(MATCH(Library!M666,$M$6:$M$40000,0),"")</f>
        <v/>
      </c>
      <c r="Z666">
        <f>IF($Y666="","",INDEX($C$6:$C$40000,$Y666)&amp;"")</f>
        <v/>
      </c>
      <c r="AA666" s="59">
        <f>IF($Y666="","",IF(INDEX($D$6:$D$40000,$Y666)="","",INDEX($D$6:$D$40000,$Y666)))</f>
        <v/>
      </c>
      <c r="AB666">
        <f>IF($Y666="","",INDEX($L$6:$L$40000,$Y666)&amp;"")</f>
        <v/>
      </c>
    </row>
    <row r="667">
      <c r="Y667" s="47">
        <f>IFERROR(MATCH(Library!M667,$M$6:$M$40000,0),"")</f>
        <v/>
      </c>
      <c r="Z667">
        <f>IF($Y667="","",INDEX($C$6:$C$40000,$Y667)&amp;"")</f>
        <v/>
      </c>
      <c r="AA667" s="59">
        <f>IF($Y667="","",IF(INDEX($D$6:$D$40000,$Y667)="","",INDEX($D$6:$D$40000,$Y667)))</f>
        <v/>
      </c>
      <c r="AB667">
        <f>IF($Y667="","",INDEX($L$6:$L$40000,$Y667)&amp;"")</f>
        <v/>
      </c>
    </row>
    <row r="668">
      <c r="Y668" s="47">
        <f>IFERROR(MATCH(Library!M668,$M$6:$M$40000,0),"")</f>
        <v/>
      </c>
      <c r="Z668">
        <f>IF($Y668="","",INDEX($C$6:$C$40000,$Y668)&amp;"")</f>
        <v/>
      </c>
      <c r="AA668" s="59">
        <f>IF($Y668="","",IF(INDEX($D$6:$D$40000,$Y668)="","",INDEX($D$6:$D$40000,$Y668)))</f>
        <v/>
      </c>
      <c r="AB668">
        <f>IF($Y668="","",INDEX($L$6:$L$40000,$Y668)&amp;"")</f>
        <v/>
      </c>
    </row>
    <row r="669">
      <c r="Y669" s="47">
        <f>IFERROR(MATCH(Library!M669,$M$6:$M$40000,0),"")</f>
        <v/>
      </c>
      <c r="Z669">
        <f>IF($Y669="","",INDEX($C$6:$C$40000,$Y669)&amp;"")</f>
        <v/>
      </c>
      <c r="AA669" s="59">
        <f>IF($Y669="","",IF(INDEX($D$6:$D$40000,$Y669)="","",INDEX($D$6:$D$40000,$Y669)))</f>
        <v/>
      </c>
      <c r="AB669">
        <f>IF($Y669="","",INDEX($L$6:$L$40000,$Y669)&amp;"")</f>
        <v/>
      </c>
    </row>
    <row r="670">
      <c r="Y670" s="47">
        <f>IFERROR(MATCH(Library!M670,$M$6:$M$40000,0),"")</f>
        <v/>
      </c>
      <c r="Z670">
        <f>IF($Y670="","",INDEX($C$6:$C$40000,$Y670)&amp;"")</f>
        <v/>
      </c>
      <c r="AA670" s="59">
        <f>IF($Y670="","",IF(INDEX($D$6:$D$40000,$Y670)="","",INDEX($D$6:$D$40000,$Y670)))</f>
        <v/>
      </c>
      <c r="AB670">
        <f>IF($Y670="","",INDEX($L$6:$L$40000,$Y670)&amp;"")</f>
        <v/>
      </c>
    </row>
    <row r="671">
      <c r="Y671" s="47">
        <f>IFERROR(MATCH(Library!M671,$M$6:$M$40000,0),"")</f>
        <v/>
      </c>
      <c r="Z671">
        <f>IF($Y671="","",INDEX($C$6:$C$40000,$Y671)&amp;"")</f>
        <v/>
      </c>
      <c r="AA671" s="59">
        <f>IF($Y671="","",IF(INDEX($D$6:$D$40000,$Y671)="","",INDEX($D$6:$D$40000,$Y671)))</f>
        <v/>
      </c>
      <c r="AB671">
        <f>IF($Y671="","",INDEX($L$6:$L$40000,$Y671)&amp;"")</f>
        <v/>
      </c>
    </row>
    <row r="672">
      <c r="Y672" s="47">
        <f>IFERROR(MATCH(Library!M672,$M$6:$M$40000,0),"")</f>
        <v/>
      </c>
      <c r="Z672">
        <f>IF($Y672="","",INDEX($C$6:$C$40000,$Y672)&amp;"")</f>
        <v/>
      </c>
      <c r="AA672" s="59">
        <f>IF($Y672="","",IF(INDEX($D$6:$D$40000,$Y672)="","",INDEX($D$6:$D$40000,$Y672)))</f>
        <v/>
      </c>
      <c r="AB672">
        <f>IF($Y672="","",INDEX($L$6:$L$40000,$Y672)&amp;"")</f>
        <v/>
      </c>
    </row>
    <row r="673">
      <c r="Y673" s="47">
        <f>IFERROR(MATCH(Library!M673,$M$6:$M$40000,0),"")</f>
        <v/>
      </c>
      <c r="Z673">
        <f>IF($Y673="","",INDEX($C$6:$C$40000,$Y673)&amp;"")</f>
        <v/>
      </c>
      <c r="AA673" s="59">
        <f>IF($Y673="","",IF(INDEX($D$6:$D$40000,$Y673)="","",INDEX($D$6:$D$40000,$Y673)))</f>
        <v/>
      </c>
      <c r="AB673">
        <f>IF($Y673="","",INDEX($L$6:$L$40000,$Y673)&amp;"")</f>
        <v/>
      </c>
    </row>
    <row r="674">
      <c r="Y674" s="47">
        <f>IFERROR(MATCH(Library!M674,$M$6:$M$40000,0),"")</f>
        <v/>
      </c>
      <c r="Z674">
        <f>IF($Y674="","",INDEX($C$6:$C$40000,$Y674)&amp;"")</f>
        <v/>
      </c>
      <c r="AA674" s="59">
        <f>IF($Y674="","",IF(INDEX($D$6:$D$40000,$Y674)="","",INDEX($D$6:$D$40000,$Y674)))</f>
        <v/>
      </c>
      <c r="AB674">
        <f>IF($Y674="","",INDEX($L$6:$L$40000,$Y674)&amp;"")</f>
        <v/>
      </c>
    </row>
    <row r="675">
      <c r="Y675" s="47">
        <f>IFERROR(MATCH(Library!M675,$M$6:$M$40000,0),"")</f>
        <v/>
      </c>
      <c r="Z675">
        <f>IF($Y675="","",INDEX($C$6:$C$40000,$Y675)&amp;"")</f>
        <v/>
      </c>
      <c r="AA675" s="59">
        <f>IF($Y675="","",IF(INDEX($D$6:$D$40000,$Y675)="","",INDEX($D$6:$D$40000,$Y675)))</f>
        <v/>
      </c>
      <c r="AB675">
        <f>IF($Y675="","",INDEX($L$6:$L$40000,$Y675)&amp;"")</f>
        <v/>
      </c>
    </row>
    <row r="676">
      <c r="Y676" s="47">
        <f>IFERROR(MATCH(Library!M676,$M$6:$M$40000,0),"")</f>
        <v/>
      </c>
      <c r="Z676">
        <f>IF($Y676="","",INDEX($C$6:$C$40000,$Y676)&amp;"")</f>
        <v/>
      </c>
      <c r="AA676" s="59">
        <f>IF($Y676="","",IF(INDEX($D$6:$D$40000,$Y676)="","",INDEX($D$6:$D$40000,$Y676)))</f>
        <v/>
      </c>
      <c r="AB676">
        <f>IF($Y676="","",INDEX($L$6:$L$40000,$Y676)&amp;"")</f>
        <v/>
      </c>
    </row>
    <row r="677">
      <c r="Y677" s="47">
        <f>IFERROR(MATCH(Library!M677,$M$6:$M$40000,0),"")</f>
        <v/>
      </c>
      <c r="Z677">
        <f>IF($Y677="","",INDEX($C$6:$C$40000,$Y677)&amp;"")</f>
        <v/>
      </c>
      <c r="AA677" s="59">
        <f>IF($Y677="","",IF(INDEX($D$6:$D$40000,$Y677)="","",INDEX($D$6:$D$40000,$Y677)))</f>
        <v/>
      </c>
      <c r="AB677">
        <f>IF($Y677="","",INDEX($L$6:$L$40000,$Y677)&amp;"")</f>
        <v/>
      </c>
    </row>
    <row r="678">
      <c r="Y678" s="47">
        <f>IFERROR(MATCH(Library!M678,$M$6:$M$40000,0),"")</f>
        <v/>
      </c>
      <c r="Z678">
        <f>IF($Y678="","",INDEX($C$6:$C$40000,$Y678)&amp;"")</f>
        <v/>
      </c>
      <c r="AA678" s="59">
        <f>IF($Y678="","",IF(INDEX($D$6:$D$40000,$Y678)="","",INDEX($D$6:$D$40000,$Y678)))</f>
        <v/>
      </c>
      <c r="AB678">
        <f>IF($Y678="","",INDEX($L$6:$L$40000,$Y678)&amp;"")</f>
        <v/>
      </c>
    </row>
    <row r="679">
      <c r="Y679" s="47">
        <f>IFERROR(MATCH(Library!M679,$M$6:$M$40000,0),"")</f>
        <v/>
      </c>
      <c r="Z679">
        <f>IF($Y679="","",INDEX($C$6:$C$40000,$Y679)&amp;"")</f>
        <v/>
      </c>
      <c r="AA679" s="59">
        <f>IF($Y679="","",IF(INDEX($D$6:$D$40000,$Y679)="","",INDEX($D$6:$D$40000,$Y679)))</f>
        <v/>
      </c>
      <c r="AB679">
        <f>IF($Y679="","",INDEX($L$6:$L$40000,$Y679)&amp;"")</f>
        <v/>
      </c>
    </row>
    <row r="680">
      <c r="Y680" s="47">
        <f>IFERROR(MATCH(Library!M680,$M$6:$M$40000,0),"")</f>
        <v/>
      </c>
      <c r="Z680">
        <f>IF($Y680="","",INDEX($C$6:$C$40000,$Y680)&amp;"")</f>
        <v/>
      </c>
      <c r="AA680" s="59">
        <f>IF($Y680="","",IF(INDEX($D$6:$D$40000,$Y680)="","",INDEX($D$6:$D$40000,$Y680)))</f>
        <v/>
      </c>
      <c r="AB680">
        <f>IF($Y680="","",INDEX($L$6:$L$40000,$Y680)&amp;"")</f>
        <v/>
      </c>
    </row>
    <row r="681">
      <c r="Y681" s="47">
        <f>IFERROR(MATCH(Library!M681,$M$6:$M$40000,0),"")</f>
        <v/>
      </c>
      <c r="Z681">
        <f>IF($Y681="","",INDEX($C$6:$C$40000,$Y681)&amp;"")</f>
        <v/>
      </c>
      <c r="AA681" s="59">
        <f>IF($Y681="","",IF(INDEX($D$6:$D$40000,$Y681)="","",INDEX($D$6:$D$40000,$Y681)))</f>
        <v/>
      </c>
      <c r="AB681">
        <f>IF($Y681="","",INDEX($L$6:$L$40000,$Y681)&amp;"")</f>
        <v/>
      </c>
    </row>
    <row r="682">
      <c r="Y682" s="47">
        <f>IFERROR(MATCH(Library!M682,$M$6:$M$40000,0),"")</f>
        <v/>
      </c>
      <c r="Z682">
        <f>IF($Y682="","",INDEX($C$6:$C$40000,$Y682)&amp;"")</f>
        <v/>
      </c>
      <c r="AA682" s="59">
        <f>IF($Y682="","",IF(INDEX($D$6:$D$40000,$Y682)="","",INDEX($D$6:$D$40000,$Y682)))</f>
        <v/>
      </c>
      <c r="AB682">
        <f>IF($Y682="","",INDEX($L$6:$L$40000,$Y682)&amp;"")</f>
        <v/>
      </c>
    </row>
    <row r="683">
      <c r="Y683" s="47">
        <f>IFERROR(MATCH(Library!M683,$M$6:$M$40000,0),"")</f>
        <v/>
      </c>
      <c r="Z683">
        <f>IF($Y683="","",INDEX($C$6:$C$40000,$Y683)&amp;"")</f>
        <v/>
      </c>
      <c r="AA683" s="59">
        <f>IF($Y683="","",IF(INDEX($D$6:$D$40000,$Y683)="","",INDEX($D$6:$D$40000,$Y683)))</f>
        <v/>
      </c>
      <c r="AB683">
        <f>IF($Y683="","",INDEX($L$6:$L$40000,$Y683)&amp;"")</f>
        <v/>
      </c>
    </row>
    <row r="684">
      <c r="Y684" s="47">
        <f>IFERROR(MATCH(Library!M684,$M$6:$M$40000,0),"")</f>
        <v/>
      </c>
      <c r="Z684">
        <f>IF($Y684="","",INDEX($C$6:$C$40000,$Y684)&amp;"")</f>
        <v/>
      </c>
      <c r="AA684" s="59">
        <f>IF($Y684="","",IF(INDEX($D$6:$D$40000,$Y684)="","",INDEX($D$6:$D$40000,$Y684)))</f>
        <v/>
      </c>
      <c r="AB684">
        <f>IF($Y684="","",INDEX($L$6:$L$40000,$Y684)&amp;"")</f>
        <v/>
      </c>
    </row>
    <row r="685">
      <c r="Y685" s="47">
        <f>IFERROR(MATCH(Library!M685,$M$6:$M$40000,0),"")</f>
        <v/>
      </c>
      <c r="Z685">
        <f>IF($Y685="","",INDEX($C$6:$C$40000,$Y685)&amp;"")</f>
        <v/>
      </c>
      <c r="AA685" s="59">
        <f>IF($Y685="","",IF(INDEX($D$6:$D$40000,$Y685)="","",INDEX($D$6:$D$40000,$Y685)))</f>
        <v/>
      </c>
      <c r="AB685">
        <f>IF($Y685="","",INDEX($L$6:$L$40000,$Y685)&amp;"")</f>
        <v/>
      </c>
    </row>
    <row r="686">
      <c r="Y686" s="47">
        <f>IFERROR(MATCH(Library!M686,$M$6:$M$40000,0),"")</f>
        <v/>
      </c>
      <c r="Z686">
        <f>IF($Y686="","",INDEX($C$6:$C$40000,$Y686)&amp;"")</f>
        <v/>
      </c>
      <c r="AA686" s="59">
        <f>IF($Y686="","",IF(INDEX($D$6:$D$40000,$Y686)="","",INDEX($D$6:$D$40000,$Y686)))</f>
        <v/>
      </c>
      <c r="AB686">
        <f>IF($Y686="","",INDEX($L$6:$L$40000,$Y686)&amp;"")</f>
        <v/>
      </c>
    </row>
    <row r="687">
      <c r="Y687" s="47">
        <f>IFERROR(MATCH(Library!M687,$M$6:$M$40000,0),"")</f>
        <v/>
      </c>
      <c r="Z687">
        <f>IF($Y687="","",INDEX($C$6:$C$40000,$Y687)&amp;"")</f>
        <v/>
      </c>
      <c r="AA687" s="59">
        <f>IF($Y687="","",IF(INDEX($D$6:$D$40000,$Y687)="","",INDEX($D$6:$D$40000,$Y687)))</f>
        <v/>
      </c>
      <c r="AB687">
        <f>IF($Y687="","",INDEX($L$6:$L$40000,$Y687)&amp;"")</f>
        <v/>
      </c>
    </row>
    <row r="688">
      <c r="Y688" s="47">
        <f>IFERROR(MATCH(Library!M688,$M$6:$M$40000,0),"")</f>
        <v/>
      </c>
      <c r="Z688">
        <f>IF($Y688="","",INDEX($C$6:$C$40000,$Y688)&amp;"")</f>
        <v/>
      </c>
      <c r="AA688" s="59">
        <f>IF($Y688="","",IF(INDEX($D$6:$D$40000,$Y688)="","",INDEX($D$6:$D$40000,$Y688)))</f>
        <v/>
      </c>
      <c r="AB688">
        <f>IF($Y688="","",INDEX($L$6:$L$40000,$Y688)&amp;"")</f>
        <v/>
      </c>
    </row>
    <row r="689">
      <c r="Y689" s="47">
        <f>IFERROR(MATCH(Library!M689,$M$6:$M$40000,0),"")</f>
        <v/>
      </c>
      <c r="Z689">
        <f>IF($Y689="","",INDEX($C$6:$C$40000,$Y689)&amp;"")</f>
        <v/>
      </c>
      <c r="AA689" s="59">
        <f>IF($Y689="","",IF(INDEX($D$6:$D$40000,$Y689)="","",INDEX($D$6:$D$40000,$Y689)))</f>
        <v/>
      </c>
      <c r="AB689">
        <f>IF($Y689="","",INDEX($L$6:$L$40000,$Y689)&amp;"")</f>
        <v/>
      </c>
    </row>
    <row r="690">
      <c r="Y690" s="47">
        <f>IFERROR(MATCH(Library!M690,$M$6:$M$40000,0),"")</f>
        <v/>
      </c>
      <c r="Z690">
        <f>IF($Y690="","",INDEX($C$6:$C$40000,$Y690)&amp;"")</f>
        <v/>
      </c>
      <c r="AA690" s="59">
        <f>IF($Y690="","",IF(INDEX($D$6:$D$40000,$Y690)="","",INDEX($D$6:$D$40000,$Y690)))</f>
        <v/>
      </c>
      <c r="AB690">
        <f>IF($Y690="","",INDEX($L$6:$L$40000,$Y690)&amp;"")</f>
        <v/>
      </c>
    </row>
    <row r="691">
      <c r="Y691" s="47">
        <f>IFERROR(MATCH(Library!M691,$M$6:$M$40000,0),"")</f>
        <v/>
      </c>
      <c r="Z691">
        <f>IF($Y691="","",INDEX($C$6:$C$40000,$Y691)&amp;"")</f>
        <v/>
      </c>
      <c r="AA691" s="59">
        <f>IF($Y691="","",IF(INDEX($D$6:$D$40000,$Y691)="","",INDEX($D$6:$D$40000,$Y691)))</f>
        <v/>
      </c>
      <c r="AB691">
        <f>IF($Y691="","",INDEX($L$6:$L$40000,$Y691)&amp;"")</f>
        <v/>
      </c>
    </row>
    <row r="692">
      <c r="Y692" s="47">
        <f>IFERROR(MATCH(Library!M692,$M$6:$M$40000,0),"")</f>
        <v/>
      </c>
      <c r="Z692">
        <f>IF($Y692="","",INDEX($C$6:$C$40000,$Y692)&amp;"")</f>
        <v/>
      </c>
      <c r="AA692" s="59">
        <f>IF($Y692="","",IF(INDEX($D$6:$D$40000,$Y692)="","",INDEX($D$6:$D$40000,$Y692)))</f>
        <v/>
      </c>
      <c r="AB692">
        <f>IF($Y692="","",INDEX($L$6:$L$40000,$Y692)&amp;"")</f>
        <v/>
      </c>
    </row>
    <row r="693">
      <c r="Y693" s="47">
        <f>IFERROR(MATCH(Library!M693,$M$6:$M$40000,0),"")</f>
        <v/>
      </c>
      <c r="Z693">
        <f>IF($Y693="","",INDEX($C$6:$C$40000,$Y693)&amp;"")</f>
        <v/>
      </c>
      <c r="AA693" s="59">
        <f>IF($Y693="","",IF(INDEX($D$6:$D$40000,$Y693)="","",INDEX($D$6:$D$40000,$Y693)))</f>
        <v/>
      </c>
      <c r="AB693">
        <f>IF($Y693="","",INDEX($L$6:$L$40000,$Y693)&amp;"")</f>
        <v/>
      </c>
    </row>
    <row r="694">
      <c r="Y694" s="47">
        <f>IFERROR(MATCH(Library!M694,$M$6:$M$40000,0),"")</f>
        <v/>
      </c>
      <c r="Z694">
        <f>IF($Y694="","",INDEX($C$6:$C$40000,$Y694)&amp;"")</f>
        <v/>
      </c>
      <c r="AA694" s="59">
        <f>IF($Y694="","",IF(INDEX($D$6:$D$40000,$Y694)="","",INDEX($D$6:$D$40000,$Y694)))</f>
        <v/>
      </c>
      <c r="AB694">
        <f>IF($Y694="","",INDEX($L$6:$L$40000,$Y694)&amp;"")</f>
        <v/>
      </c>
    </row>
    <row r="695">
      <c r="Y695" s="47">
        <f>IFERROR(MATCH(Library!M695,$M$6:$M$40000,0),"")</f>
        <v/>
      </c>
      <c r="Z695">
        <f>IF($Y695="","",INDEX($C$6:$C$40000,$Y695)&amp;"")</f>
        <v/>
      </c>
      <c r="AA695" s="59">
        <f>IF($Y695="","",IF(INDEX($D$6:$D$40000,$Y695)="","",INDEX($D$6:$D$40000,$Y695)))</f>
        <v/>
      </c>
      <c r="AB695">
        <f>IF($Y695="","",INDEX($L$6:$L$40000,$Y695)&amp;"")</f>
        <v/>
      </c>
    </row>
    <row r="696">
      <c r="Y696" s="47">
        <f>IFERROR(MATCH(Library!M696,$M$6:$M$40000,0),"")</f>
        <v/>
      </c>
      <c r="Z696">
        <f>IF($Y696="","",INDEX($C$6:$C$40000,$Y696)&amp;"")</f>
        <v/>
      </c>
      <c r="AA696" s="59">
        <f>IF($Y696="","",IF(INDEX($D$6:$D$40000,$Y696)="","",INDEX($D$6:$D$40000,$Y696)))</f>
        <v/>
      </c>
      <c r="AB696">
        <f>IF($Y696="","",INDEX($L$6:$L$40000,$Y696)&amp;"")</f>
        <v/>
      </c>
    </row>
    <row r="697">
      <c r="Y697" s="47">
        <f>IFERROR(MATCH(Library!M697,$M$6:$M$40000,0),"")</f>
        <v/>
      </c>
      <c r="Z697">
        <f>IF($Y697="","",INDEX($C$6:$C$40000,$Y697)&amp;"")</f>
        <v/>
      </c>
      <c r="AA697" s="59">
        <f>IF($Y697="","",IF(INDEX($D$6:$D$40000,$Y697)="","",INDEX($D$6:$D$40000,$Y697)))</f>
        <v/>
      </c>
      <c r="AB697">
        <f>IF($Y697="","",INDEX($L$6:$L$40000,$Y697)&amp;"")</f>
        <v/>
      </c>
    </row>
    <row r="698">
      <c r="Y698" s="47">
        <f>IFERROR(MATCH(Library!M698,$M$6:$M$40000,0),"")</f>
        <v/>
      </c>
      <c r="Z698">
        <f>IF($Y698="","",INDEX($C$6:$C$40000,$Y698)&amp;"")</f>
        <v/>
      </c>
      <c r="AA698" s="59">
        <f>IF($Y698="","",IF(INDEX($D$6:$D$40000,$Y698)="","",INDEX($D$6:$D$40000,$Y698)))</f>
        <v/>
      </c>
      <c r="AB698">
        <f>IF($Y698="","",INDEX($L$6:$L$40000,$Y698)&amp;"")</f>
        <v/>
      </c>
    </row>
    <row r="699">
      <c r="Y699" s="47">
        <f>IFERROR(MATCH(Library!M699,$M$6:$M$40000,0),"")</f>
        <v/>
      </c>
      <c r="Z699">
        <f>IF($Y699="","",INDEX($C$6:$C$40000,$Y699)&amp;"")</f>
        <v/>
      </c>
      <c r="AA699" s="59">
        <f>IF($Y699="","",IF(INDEX($D$6:$D$40000,$Y699)="","",INDEX($D$6:$D$40000,$Y699)))</f>
        <v/>
      </c>
      <c r="AB699">
        <f>IF($Y699="","",INDEX($L$6:$L$40000,$Y699)&amp;"")</f>
        <v/>
      </c>
    </row>
    <row r="700">
      <c r="Y700" s="47">
        <f>IFERROR(MATCH(Library!M700,$M$6:$M$40000,0),"")</f>
        <v/>
      </c>
      <c r="Z700">
        <f>IF($Y700="","",INDEX($C$6:$C$40000,$Y700)&amp;"")</f>
        <v/>
      </c>
      <c r="AA700" s="59">
        <f>IF($Y700="","",IF(INDEX($D$6:$D$40000,$Y700)="","",INDEX($D$6:$D$40000,$Y700)))</f>
        <v/>
      </c>
      <c r="AB700">
        <f>IF($Y700="","",INDEX($L$6:$L$40000,$Y700)&amp;"")</f>
        <v/>
      </c>
    </row>
    <row r="701">
      <c r="Y701" s="47">
        <f>IFERROR(MATCH(Library!M701,$M$6:$M$40000,0),"")</f>
        <v/>
      </c>
      <c r="Z701">
        <f>IF($Y701="","",INDEX($C$6:$C$40000,$Y701)&amp;"")</f>
        <v/>
      </c>
      <c r="AA701" s="59">
        <f>IF($Y701="","",IF(INDEX($D$6:$D$40000,$Y701)="","",INDEX($D$6:$D$40000,$Y701)))</f>
        <v/>
      </c>
      <c r="AB701">
        <f>IF($Y701="","",INDEX($L$6:$L$40000,$Y701)&amp;"")</f>
        <v/>
      </c>
    </row>
    <row r="702">
      <c r="Y702" s="47">
        <f>IFERROR(MATCH(Library!M702,$M$6:$M$40000,0),"")</f>
        <v/>
      </c>
      <c r="Z702">
        <f>IF($Y702="","",INDEX($C$6:$C$40000,$Y702)&amp;"")</f>
        <v/>
      </c>
      <c r="AA702" s="59">
        <f>IF($Y702="","",IF(INDEX($D$6:$D$40000,$Y702)="","",INDEX($D$6:$D$40000,$Y702)))</f>
        <v/>
      </c>
      <c r="AB702">
        <f>IF($Y702="","",INDEX($L$6:$L$40000,$Y702)&amp;"")</f>
        <v/>
      </c>
    </row>
    <row r="703">
      <c r="Y703" s="47">
        <f>IFERROR(MATCH(Library!M703,$M$6:$M$40000,0),"")</f>
        <v/>
      </c>
      <c r="Z703">
        <f>IF($Y703="","",INDEX($C$6:$C$40000,$Y703)&amp;"")</f>
        <v/>
      </c>
      <c r="AA703" s="59">
        <f>IF($Y703="","",IF(INDEX($D$6:$D$40000,$Y703)="","",INDEX($D$6:$D$40000,$Y703)))</f>
        <v/>
      </c>
      <c r="AB703">
        <f>IF($Y703="","",INDEX($L$6:$L$40000,$Y703)&amp;"")</f>
        <v/>
      </c>
    </row>
    <row r="704">
      <c r="Y704" s="47">
        <f>IFERROR(MATCH(Library!M704,$M$6:$M$40000,0),"")</f>
        <v/>
      </c>
      <c r="Z704">
        <f>IF($Y704="","",INDEX($C$6:$C$40000,$Y704)&amp;"")</f>
        <v/>
      </c>
      <c r="AA704" s="59">
        <f>IF($Y704="","",IF(INDEX($D$6:$D$40000,$Y704)="","",INDEX($D$6:$D$40000,$Y704)))</f>
        <v/>
      </c>
      <c r="AB704">
        <f>IF($Y704="","",INDEX($L$6:$L$40000,$Y704)&amp;"")</f>
        <v/>
      </c>
    </row>
    <row r="705">
      <c r="Y705" s="47">
        <f>IFERROR(MATCH(Library!M705,$M$6:$M$40000,0),"")</f>
        <v/>
      </c>
      <c r="Z705">
        <f>IF($Y705="","",INDEX($C$6:$C$40000,$Y705)&amp;"")</f>
        <v/>
      </c>
      <c r="AA705" s="59">
        <f>IF($Y705="","",IF(INDEX($D$6:$D$40000,$Y705)="","",INDEX($D$6:$D$40000,$Y705)))</f>
        <v/>
      </c>
      <c r="AB705">
        <f>IF($Y705="","",INDEX($L$6:$L$40000,$Y705)&amp;"")</f>
        <v/>
      </c>
    </row>
    <row r="706">
      <c r="Y706" s="47">
        <f>IFERROR(MATCH(Library!M706,$M$6:$M$40000,0),"")</f>
        <v/>
      </c>
      <c r="Z706">
        <f>IF($Y706="","",INDEX($C$6:$C$40000,$Y706)&amp;"")</f>
        <v/>
      </c>
      <c r="AA706" s="59">
        <f>IF($Y706="","",IF(INDEX($D$6:$D$40000,$Y706)="","",INDEX($D$6:$D$40000,$Y706)))</f>
        <v/>
      </c>
      <c r="AB706">
        <f>IF($Y706="","",INDEX($L$6:$L$40000,$Y706)&amp;"")</f>
        <v/>
      </c>
    </row>
    <row r="707">
      <c r="Y707" s="47">
        <f>IFERROR(MATCH(Library!M707,$M$6:$M$40000,0),"")</f>
        <v/>
      </c>
      <c r="Z707">
        <f>IF($Y707="","",INDEX($C$6:$C$40000,$Y707)&amp;"")</f>
        <v/>
      </c>
      <c r="AA707" s="59">
        <f>IF($Y707="","",IF(INDEX($D$6:$D$40000,$Y707)="","",INDEX($D$6:$D$40000,$Y707)))</f>
        <v/>
      </c>
      <c r="AB707">
        <f>IF($Y707="","",INDEX($L$6:$L$40000,$Y707)&amp;"")</f>
        <v/>
      </c>
    </row>
    <row r="708">
      <c r="Y708" s="47">
        <f>IFERROR(MATCH(Library!M708,$M$6:$M$40000,0),"")</f>
        <v/>
      </c>
      <c r="Z708">
        <f>IF($Y708="","",INDEX($C$6:$C$40000,$Y708)&amp;"")</f>
        <v/>
      </c>
      <c r="AA708" s="59">
        <f>IF($Y708="","",IF(INDEX($D$6:$D$40000,$Y708)="","",INDEX($D$6:$D$40000,$Y708)))</f>
        <v/>
      </c>
      <c r="AB708">
        <f>IF($Y708="","",INDEX($L$6:$L$40000,$Y708)&amp;"")</f>
        <v/>
      </c>
    </row>
    <row r="709">
      <c r="Y709" s="47">
        <f>IFERROR(MATCH(Library!M709,$M$6:$M$40000,0),"")</f>
        <v/>
      </c>
      <c r="Z709">
        <f>IF($Y709="","",INDEX($C$6:$C$40000,$Y709)&amp;"")</f>
        <v/>
      </c>
      <c r="AA709" s="59">
        <f>IF($Y709="","",IF(INDEX($D$6:$D$40000,$Y709)="","",INDEX($D$6:$D$40000,$Y709)))</f>
        <v/>
      </c>
      <c r="AB709">
        <f>IF($Y709="","",INDEX($L$6:$L$40000,$Y709)&amp;"")</f>
        <v/>
      </c>
    </row>
    <row r="710">
      <c r="Y710" s="47">
        <f>IFERROR(MATCH(Library!M710,$M$6:$M$40000,0),"")</f>
        <v/>
      </c>
      <c r="Z710">
        <f>IF($Y710="","",INDEX($C$6:$C$40000,$Y710)&amp;"")</f>
        <v/>
      </c>
      <c r="AA710" s="59">
        <f>IF($Y710="","",IF(INDEX($D$6:$D$40000,$Y710)="","",INDEX($D$6:$D$40000,$Y710)))</f>
        <v/>
      </c>
      <c r="AB710">
        <f>IF($Y710="","",INDEX($L$6:$L$40000,$Y710)&amp;"")</f>
        <v/>
      </c>
    </row>
    <row r="711">
      <c r="Y711" s="47">
        <f>IFERROR(MATCH(Library!M711,$M$6:$M$40000,0),"")</f>
        <v/>
      </c>
      <c r="Z711">
        <f>IF($Y711="","",INDEX($C$6:$C$40000,$Y711)&amp;"")</f>
        <v/>
      </c>
      <c r="AA711" s="59">
        <f>IF($Y711="","",IF(INDEX($D$6:$D$40000,$Y711)="","",INDEX($D$6:$D$40000,$Y711)))</f>
        <v/>
      </c>
      <c r="AB711">
        <f>IF($Y711="","",INDEX($L$6:$L$40000,$Y711)&amp;"")</f>
        <v/>
      </c>
    </row>
    <row r="712">
      <c r="Y712" s="47">
        <f>IFERROR(MATCH(Library!M712,$M$6:$M$40000,0),"")</f>
        <v/>
      </c>
      <c r="Z712">
        <f>IF($Y712="","",INDEX($C$6:$C$40000,$Y712)&amp;"")</f>
        <v/>
      </c>
      <c r="AA712" s="59">
        <f>IF($Y712="","",IF(INDEX($D$6:$D$40000,$Y712)="","",INDEX($D$6:$D$40000,$Y712)))</f>
        <v/>
      </c>
      <c r="AB712">
        <f>IF($Y712="","",INDEX($L$6:$L$40000,$Y712)&amp;"")</f>
        <v/>
      </c>
    </row>
    <row r="713">
      <c r="Y713" s="47">
        <f>IFERROR(MATCH(Library!M713,$M$6:$M$40000,0),"")</f>
        <v/>
      </c>
      <c r="Z713">
        <f>IF($Y713="","",INDEX($C$6:$C$40000,$Y713)&amp;"")</f>
        <v/>
      </c>
      <c r="AA713" s="59">
        <f>IF($Y713="","",IF(INDEX($D$6:$D$40000,$Y713)="","",INDEX($D$6:$D$40000,$Y713)))</f>
        <v/>
      </c>
      <c r="AB713">
        <f>IF($Y713="","",INDEX($L$6:$L$40000,$Y713)&amp;"")</f>
        <v/>
      </c>
    </row>
    <row r="714">
      <c r="Y714" s="47">
        <f>IFERROR(MATCH(Library!M714,$M$6:$M$40000,0),"")</f>
        <v/>
      </c>
      <c r="Z714">
        <f>IF($Y714="","",INDEX($C$6:$C$40000,$Y714)&amp;"")</f>
        <v/>
      </c>
      <c r="AA714" s="59">
        <f>IF($Y714="","",IF(INDEX($D$6:$D$40000,$Y714)="","",INDEX($D$6:$D$40000,$Y714)))</f>
        <v/>
      </c>
      <c r="AB714">
        <f>IF($Y714="","",INDEX($L$6:$L$40000,$Y714)&amp;"")</f>
        <v/>
      </c>
    </row>
    <row r="715">
      <c r="Y715" s="47">
        <f>IFERROR(MATCH(Library!M715,$M$6:$M$40000,0),"")</f>
        <v/>
      </c>
      <c r="Z715">
        <f>IF($Y715="","",INDEX($C$6:$C$40000,$Y715)&amp;"")</f>
        <v/>
      </c>
      <c r="AA715" s="59">
        <f>IF($Y715="","",IF(INDEX($D$6:$D$40000,$Y715)="","",INDEX($D$6:$D$40000,$Y715)))</f>
        <v/>
      </c>
      <c r="AB715">
        <f>IF($Y715="","",INDEX($L$6:$L$40000,$Y715)&amp;"")</f>
        <v/>
      </c>
    </row>
    <row r="716">
      <c r="Y716" s="47">
        <f>IFERROR(MATCH(Library!M716,$M$6:$M$40000,0),"")</f>
        <v/>
      </c>
      <c r="Z716">
        <f>IF($Y716="","",INDEX($C$6:$C$40000,$Y716)&amp;"")</f>
        <v/>
      </c>
      <c r="AA716" s="59">
        <f>IF($Y716="","",IF(INDEX($D$6:$D$40000,$Y716)="","",INDEX($D$6:$D$40000,$Y716)))</f>
        <v/>
      </c>
      <c r="AB716">
        <f>IF($Y716="","",INDEX($L$6:$L$40000,$Y716)&amp;"")</f>
        <v/>
      </c>
    </row>
    <row r="717">
      <c r="Y717" s="47">
        <f>IFERROR(MATCH(Library!M717,$M$6:$M$40000,0),"")</f>
        <v/>
      </c>
      <c r="Z717">
        <f>IF($Y717="","",INDEX($C$6:$C$40000,$Y717)&amp;"")</f>
        <v/>
      </c>
      <c r="AA717" s="59">
        <f>IF($Y717="","",IF(INDEX($D$6:$D$40000,$Y717)="","",INDEX($D$6:$D$40000,$Y717)))</f>
        <v/>
      </c>
      <c r="AB717">
        <f>IF($Y717="","",INDEX($L$6:$L$40000,$Y717)&amp;"")</f>
        <v/>
      </c>
    </row>
    <row r="718">
      <c r="Y718" s="47">
        <f>IFERROR(MATCH(Library!M718,$M$6:$M$40000,0),"")</f>
        <v/>
      </c>
      <c r="Z718">
        <f>IF($Y718="","",INDEX($C$6:$C$40000,$Y718)&amp;"")</f>
        <v/>
      </c>
      <c r="AA718" s="59">
        <f>IF($Y718="","",IF(INDEX($D$6:$D$40000,$Y718)="","",INDEX($D$6:$D$40000,$Y718)))</f>
        <v/>
      </c>
      <c r="AB718">
        <f>IF($Y718="","",INDEX($L$6:$L$40000,$Y718)&amp;"")</f>
        <v/>
      </c>
    </row>
    <row r="719">
      <c r="Y719" s="47">
        <f>IFERROR(MATCH(Library!M719,$M$6:$M$40000,0),"")</f>
        <v/>
      </c>
      <c r="Z719">
        <f>IF($Y719="","",INDEX($C$6:$C$40000,$Y719)&amp;"")</f>
        <v/>
      </c>
      <c r="AA719" s="59">
        <f>IF($Y719="","",IF(INDEX($D$6:$D$40000,$Y719)="","",INDEX($D$6:$D$40000,$Y719)))</f>
        <v/>
      </c>
      <c r="AB719">
        <f>IF($Y719="","",INDEX($L$6:$L$40000,$Y719)&amp;"")</f>
        <v/>
      </c>
    </row>
    <row r="720">
      <c r="Y720" s="47">
        <f>IFERROR(MATCH(Library!M720,$M$6:$M$40000,0),"")</f>
        <v/>
      </c>
      <c r="Z720">
        <f>IF($Y720="","",INDEX($C$6:$C$40000,$Y720)&amp;"")</f>
        <v/>
      </c>
      <c r="AA720" s="59">
        <f>IF($Y720="","",IF(INDEX($D$6:$D$40000,$Y720)="","",INDEX($D$6:$D$40000,$Y720)))</f>
        <v/>
      </c>
      <c r="AB720">
        <f>IF($Y720="","",INDEX($L$6:$L$40000,$Y720)&amp;"")</f>
        <v/>
      </c>
    </row>
    <row r="721">
      <c r="Y721" s="47">
        <f>IFERROR(MATCH(Library!M721,$M$6:$M$40000,0),"")</f>
        <v/>
      </c>
      <c r="Z721">
        <f>IF($Y721="","",INDEX($C$6:$C$40000,$Y721)&amp;"")</f>
        <v/>
      </c>
      <c r="AA721" s="59">
        <f>IF($Y721="","",IF(INDEX($D$6:$D$40000,$Y721)="","",INDEX($D$6:$D$40000,$Y721)))</f>
        <v/>
      </c>
      <c r="AB721">
        <f>IF($Y721="","",INDEX($L$6:$L$40000,$Y721)&amp;"")</f>
        <v/>
      </c>
    </row>
    <row r="722">
      <c r="Y722" s="47">
        <f>IFERROR(MATCH(Library!M722,$M$6:$M$40000,0),"")</f>
        <v/>
      </c>
      <c r="Z722">
        <f>IF($Y722="","",INDEX($C$6:$C$40000,$Y722)&amp;"")</f>
        <v/>
      </c>
      <c r="AA722" s="59">
        <f>IF($Y722="","",IF(INDEX($D$6:$D$40000,$Y722)="","",INDEX($D$6:$D$40000,$Y722)))</f>
        <v/>
      </c>
      <c r="AB722">
        <f>IF($Y722="","",INDEX($L$6:$L$40000,$Y722)&amp;"")</f>
        <v/>
      </c>
    </row>
    <row r="723">
      <c r="Y723" s="47">
        <f>IFERROR(MATCH(Library!M723,$M$6:$M$40000,0),"")</f>
        <v/>
      </c>
      <c r="Z723">
        <f>IF($Y723="","",INDEX($C$6:$C$40000,$Y723)&amp;"")</f>
        <v/>
      </c>
      <c r="AA723" s="59">
        <f>IF($Y723="","",IF(INDEX($D$6:$D$40000,$Y723)="","",INDEX($D$6:$D$40000,$Y723)))</f>
        <v/>
      </c>
      <c r="AB723">
        <f>IF($Y723="","",INDEX($L$6:$L$40000,$Y723)&amp;"")</f>
        <v/>
      </c>
    </row>
    <row r="724">
      <c r="Y724" s="47">
        <f>IFERROR(MATCH(Library!M724,$M$6:$M$40000,0),"")</f>
        <v/>
      </c>
      <c r="Z724">
        <f>IF($Y724="","",INDEX($C$6:$C$40000,$Y724)&amp;"")</f>
        <v/>
      </c>
      <c r="AA724" s="59">
        <f>IF($Y724="","",IF(INDEX($D$6:$D$40000,$Y724)="","",INDEX($D$6:$D$40000,$Y724)))</f>
        <v/>
      </c>
      <c r="AB724">
        <f>IF($Y724="","",INDEX($L$6:$L$40000,$Y724)&amp;"")</f>
        <v/>
      </c>
    </row>
    <row r="725">
      <c r="Y725" s="47">
        <f>IFERROR(MATCH(Library!M725,$M$6:$M$40000,0),"")</f>
        <v/>
      </c>
      <c r="Z725">
        <f>IF($Y725="","",INDEX($C$6:$C$40000,$Y725)&amp;"")</f>
        <v/>
      </c>
      <c r="AA725" s="59">
        <f>IF($Y725="","",IF(INDEX($D$6:$D$40000,$Y725)="","",INDEX($D$6:$D$40000,$Y725)))</f>
        <v/>
      </c>
      <c r="AB725">
        <f>IF($Y725="","",INDEX($L$6:$L$40000,$Y725)&amp;"")</f>
        <v/>
      </c>
    </row>
    <row r="726">
      <c r="Y726" s="47">
        <f>IFERROR(MATCH(Library!M726,$M$6:$M$40000,0),"")</f>
        <v/>
      </c>
      <c r="Z726">
        <f>IF($Y726="","",INDEX($C$6:$C$40000,$Y726)&amp;"")</f>
        <v/>
      </c>
      <c r="AA726" s="59">
        <f>IF($Y726="","",IF(INDEX($D$6:$D$40000,$Y726)="","",INDEX($D$6:$D$40000,$Y726)))</f>
        <v/>
      </c>
      <c r="AB726">
        <f>IF($Y726="","",INDEX($L$6:$L$40000,$Y726)&amp;"")</f>
        <v/>
      </c>
    </row>
    <row r="727">
      <c r="Y727" s="47">
        <f>IFERROR(MATCH(Library!M727,$M$6:$M$40000,0),"")</f>
        <v/>
      </c>
      <c r="Z727">
        <f>IF($Y727="","",INDEX($C$6:$C$40000,$Y727)&amp;"")</f>
        <v/>
      </c>
      <c r="AA727" s="59">
        <f>IF($Y727="","",IF(INDEX($D$6:$D$40000,$Y727)="","",INDEX($D$6:$D$40000,$Y727)))</f>
        <v/>
      </c>
      <c r="AB727">
        <f>IF($Y727="","",INDEX($L$6:$L$40000,$Y727)&amp;"")</f>
        <v/>
      </c>
    </row>
    <row r="728">
      <c r="Y728" s="47">
        <f>IFERROR(MATCH(Library!M728,$M$6:$M$40000,0),"")</f>
        <v/>
      </c>
      <c r="Z728">
        <f>IF($Y728="","",INDEX($C$6:$C$40000,$Y728)&amp;"")</f>
        <v/>
      </c>
      <c r="AA728" s="59">
        <f>IF($Y728="","",IF(INDEX($D$6:$D$40000,$Y728)="","",INDEX($D$6:$D$40000,$Y728)))</f>
        <v/>
      </c>
      <c r="AB728">
        <f>IF($Y728="","",INDEX($L$6:$L$40000,$Y728)&amp;"")</f>
        <v/>
      </c>
    </row>
    <row r="729">
      <c r="Y729" s="47">
        <f>IFERROR(MATCH(Library!M729,$M$6:$M$40000,0),"")</f>
        <v/>
      </c>
      <c r="Z729">
        <f>IF($Y729="","",INDEX($C$6:$C$40000,$Y729)&amp;"")</f>
        <v/>
      </c>
      <c r="AA729" s="59">
        <f>IF($Y729="","",IF(INDEX($D$6:$D$40000,$Y729)="","",INDEX($D$6:$D$40000,$Y729)))</f>
        <v/>
      </c>
      <c r="AB729">
        <f>IF($Y729="","",INDEX($L$6:$L$40000,$Y729)&amp;"")</f>
        <v/>
      </c>
    </row>
    <row r="730">
      <c r="Y730" s="47">
        <f>IFERROR(MATCH(Library!M730,$M$6:$M$40000,0),"")</f>
        <v/>
      </c>
      <c r="Z730">
        <f>IF($Y730="","",INDEX($C$6:$C$40000,$Y730)&amp;"")</f>
        <v/>
      </c>
      <c r="AA730" s="59">
        <f>IF($Y730="","",IF(INDEX($D$6:$D$40000,$Y730)="","",INDEX($D$6:$D$40000,$Y730)))</f>
        <v/>
      </c>
      <c r="AB730">
        <f>IF($Y730="","",INDEX($L$6:$L$40000,$Y730)&amp;"")</f>
        <v/>
      </c>
    </row>
    <row r="731">
      <c r="Y731" s="47">
        <f>IFERROR(MATCH(Library!M731,$M$6:$M$40000,0),"")</f>
        <v/>
      </c>
      <c r="Z731">
        <f>IF($Y731="","",INDEX($C$6:$C$40000,$Y731)&amp;"")</f>
        <v/>
      </c>
      <c r="AA731" s="59">
        <f>IF($Y731="","",IF(INDEX($D$6:$D$40000,$Y731)="","",INDEX($D$6:$D$40000,$Y731)))</f>
        <v/>
      </c>
      <c r="AB731">
        <f>IF($Y731="","",INDEX($L$6:$L$40000,$Y731)&amp;"")</f>
        <v/>
      </c>
    </row>
    <row r="732">
      <c r="Y732" s="47">
        <f>IFERROR(MATCH(Library!M732,$M$6:$M$40000,0),"")</f>
        <v/>
      </c>
      <c r="Z732">
        <f>IF($Y732="","",INDEX($C$6:$C$40000,$Y732)&amp;"")</f>
        <v/>
      </c>
      <c r="AA732" s="59">
        <f>IF($Y732="","",IF(INDEX($D$6:$D$40000,$Y732)="","",INDEX($D$6:$D$40000,$Y732)))</f>
        <v/>
      </c>
      <c r="AB732">
        <f>IF($Y732="","",INDEX($L$6:$L$40000,$Y732)&amp;"")</f>
        <v/>
      </c>
    </row>
    <row r="733">
      <c r="Y733" s="47">
        <f>IFERROR(MATCH(Library!M733,$M$6:$M$40000,0),"")</f>
        <v/>
      </c>
      <c r="Z733">
        <f>IF($Y733="","",INDEX($C$6:$C$40000,$Y733)&amp;"")</f>
        <v/>
      </c>
      <c r="AA733" s="59">
        <f>IF($Y733="","",IF(INDEX($D$6:$D$40000,$Y733)="","",INDEX($D$6:$D$40000,$Y733)))</f>
        <v/>
      </c>
      <c r="AB733">
        <f>IF($Y733="","",INDEX($L$6:$L$40000,$Y733)&amp;"")</f>
        <v/>
      </c>
    </row>
    <row r="734">
      <c r="Y734" s="47">
        <f>IFERROR(MATCH(Library!M734,$M$6:$M$40000,0),"")</f>
        <v/>
      </c>
      <c r="Z734">
        <f>IF($Y734="","",INDEX($C$6:$C$40000,$Y734)&amp;"")</f>
        <v/>
      </c>
      <c r="AA734" s="59">
        <f>IF($Y734="","",IF(INDEX($D$6:$D$40000,$Y734)="","",INDEX($D$6:$D$40000,$Y734)))</f>
        <v/>
      </c>
      <c r="AB734">
        <f>IF($Y734="","",INDEX($L$6:$L$40000,$Y734)&amp;"")</f>
        <v/>
      </c>
    </row>
    <row r="735">
      <c r="Y735" s="47">
        <f>IFERROR(MATCH(Library!M735,$M$6:$M$40000,0),"")</f>
        <v/>
      </c>
      <c r="Z735">
        <f>IF($Y735="","",INDEX($C$6:$C$40000,$Y735)&amp;"")</f>
        <v/>
      </c>
      <c r="AA735" s="59">
        <f>IF($Y735="","",IF(INDEX($D$6:$D$40000,$Y735)="","",INDEX($D$6:$D$40000,$Y735)))</f>
        <v/>
      </c>
      <c r="AB735">
        <f>IF($Y735="","",INDEX($L$6:$L$40000,$Y735)&amp;"")</f>
        <v/>
      </c>
    </row>
    <row r="736">
      <c r="Y736" s="47">
        <f>IFERROR(MATCH(Library!M736,$M$6:$M$40000,0),"")</f>
        <v/>
      </c>
      <c r="Z736">
        <f>IF($Y736="","",INDEX($C$6:$C$40000,$Y736)&amp;"")</f>
        <v/>
      </c>
      <c r="AA736" s="59">
        <f>IF($Y736="","",IF(INDEX($D$6:$D$40000,$Y736)="","",INDEX($D$6:$D$40000,$Y736)))</f>
        <v/>
      </c>
      <c r="AB736">
        <f>IF($Y736="","",INDEX($L$6:$L$40000,$Y736)&amp;"")</f>
        <v/>
      </c>
    </row>
    <row r="737">
      <c r="Y737" s="47">
        <f>IFERROR(MATCH(Library!M737,$M$6:$M$40000,0),"")</f>
        <v/>
      </c>
      <c r="Z737">
        <f>IF($Y737="","",INDEX($C$6:$C$40000,$Y737)&amp;"")</f>
        <v/>
      </c>
      <c r="AA737" s="59">
        <f>IF($Y737="","",IF(INDEX($D$6:$D$40000,$Y737)="","",INDEX($D$6:$D$40000,$Y737)))</f>
        <v/>
      </c>
      <c r="AB737">
        <f>IF($Y737="","",INDEX($L$6:$L$40000,$Y737)&amp;"")</f>
        <v/>
      </c>
    </row>
    <row r="738">
      <c r="Y738" s="47">
        <f>IFERROR(MATCH(Library!M738,$M$6:$M$40000,0),"")</f>
        <v/>
      </c>
      <c r="Z738">
        <f>IF($Y738="","",INDEX($C$6:$C$40000,$Y738)&amp;"")</f>
        <v/>
      </c>
      <c r="AA738" s="59">
        <f>IF($Y738="","",IF(INDEX($D$6:$D$40000,$Y738)="","",INDEX($D$6:$D$40000,$Y738)))</f>
        <v/>
      </c>
      <c r="AB738">
        <f>IF($Y738="","",INDEX($L$6:$L$40000,$Y738)&amp;"")</f>
        <v/>
      </c>
    </row>
    <row r="739">
      <c r="Y739" s="47">
        <f>IFERROR(MATCH(Library!M739,$M$6:$M$40000,0),"")</f>
        <v/>
      </c>
      <c r="Z739">
        <f>IF($Y739="","",INDEX($C$6:$C$40000,$Y739)&amp;"")</f>
        <v/>
      </c>
      <c r="AA739" s="59">
        <f>IF($Y739="","",IF(INDEX($D$6:$D$40000,$Y739)="","",INDEX($D$6:$D$40000,$Y739)))</f>
        <v/>
      </c>
      <c r="AB739">
        <f>IF($Y739="","",INDEX($L$6:$L$40000,$Y739)&amp;"")</f>
        <v/>
      </c>
    </row>
    <row r="740">
      <c r="Y740" s="47">
        <f>IFERROR(MATCH(Library!M740,$M$6:$M$40000,0),"")</f>
        <v/>
      </c>
      <c r="Z740">
        <f>IF($Y740="","",INDEX($C$6:$C$40000,$Y740)&amp;"")</f>
        <v/>
      </c>
      <c r="AA740" s="59">
        <f>IF($Y740="","",IF(INDEX($D$6:$D$40000,$Y740)="","",INDEX($D$6:$D$40000,$Y740)))</f>
        <v/>
      </c>
      <c r="AB740">
        <f>IF($Y740="","",INDEX($L$6:$L$40000,$Y740)&amp;"")</f>
        <v/>
      </c>
    </row>
    <row r="741">
      <c r="Y741" s="47">
        <f>IFERROR(MATCH(Library!M741,$M$6:$M$40000,0),"")</f>
        <v/>
      </c>
      <c r="Z741">
        <f>IF($Y741="","",INDEX($C$6:$C$40000,$Y741)&amp;"")</f>
        <v/>
      </c>
      <c r="AA741" s="59">
        <f>IF($Y741="","",IF(INDEX($D$6:$D$40000,$Y741)="","",INDEX($D$6:$D$40000,$Y741)))</f>
        <v/>
      </c>
      <c r="AB741">
        <f>IF($Y741="","",INDEX($L$6:$L$40000,$Y741)&amp;"")</f>
        <v/>
      </c>
    </row>
    <row r="742">
      <c r="Y742" s="47">
        <f>IFERROR(MATCH(Library!M742,$M$6:$M$40000,0),"")</f>
        <v/>
      </c>
      <c r="Z742">
        <f>IF($Y742="","",INDEX($C$6:$C$40000,$Y742)&amp;"")</f>
        <v/>
      </c>
      <c r="AA742" s="59">
        <f>IF($Y742="","",IF(INDEX($D$6:$D$40000,$Y742)="","",INDEX($D$6:$D$40000,$Y742)))</f>
        <v/>
      </c>
      <c r="AB742">
        <f>IF($Y742="","",INDEX($L$6:$L$40000,$Y742)&amp;"")</f>
        <v/>
      </c>
    </row>
    <row r="743">
      <c r="Y743" s="47">
        <f>IFERROR(MATCH(Library!M743,$M$6:$M$40000,0),"")</f>
        <v/>
      </c>
      <c r="Z743">
        <f>IF($Y743="","",INDEX($C$6:$C$40000,$Y743)&amp;"")</f>
        <v/>
      </c>
      <c r="AA743" s="59">
        <f>IF($Y743="","",IF(INDEX($D$6:$D$40000,$Y743)="","",INDEX($D$6:$D$40000,$Y743)))</f>
        <v/>
      </c>
      <c r="AB743">
        <f>IF($Y743="","",INDEX($L$6:$L$40000,$Y743)&amp;"")</f>
        <v/>
      </c>
    </row>
    <row r="744">
      <c r="Y744" s="47">
        <f>IFERROR(MATCH(Library!M744,$M$6:$M$40000,0),"")</f>
        <v/>
      </c>
      <c r="Z744">
        <f>IF($Y744="","",INDEX($C$6:$C$40000,$Y744)&amp;"")</f>
        <v/>
      </c>
      <c r="AA744" s="59">
        <f>IF($Y744="","",IF(INDEX($D$6:$D$40000,$Y744)="","",INDEX($D$6:$D$40000,$Y744)))</f>
        <v/>
      </c>
      <c r="AB744">
        <f>IF($Y744="","",INDEX($L$6:$L$40000,$Y744)&amp;"")</f>
        <v/>
      </c>
    </row>
    <row r="745">
      <c r="Y745" s="47">
        <f>IFERROR(MATCH(Library!M745,$M$6:$M$40000,0),"")</f>
        <v/>
      </c>
      <c r="Z745">
        <f>IF($Y745="","",INDEX($C$6:$C$40000,$Y745)&amp;"")</f>
        <v/>
      </c>
      <c r="AA745" s="59">
        <f>IF($Y745="","",IF(INDEX($D$6:$D$40000,$Y745)="","",INDEX($D$6:$D$40000,$Y745)))</f>
        <v/>
      </c>
      <c r="AB745">
        <f>IF($Y745="","",INDEX($L$6:$L$40000,$Y745)&amp;"")</f>
        <v/>
      </c>
    </row>
    <row r="746">
      <c r="Y746" s="47">
        <f>IFERROR(MATCH(Library!M746,$M$6:$M$40000,0),"")</f>
        <v/>
      </c>
      <c r="Z746">
        <f>IF($Y746="","",INDEX($C$6:$C$40000,$Y746)&amp;"")</f>
        <v/>
      </c>
      <c r="AA746" s="59">
        <f>IF($Y746="","",IF(INDEX($D$6:$D$40000,$Y746)="","",INDEX($D$6:$D$40000,$Y746)))</f>
        <v/>
      </c>
      <c r="AB746">
        <f>IF($Y746="","",INDEX($L$6:$L$40000,$Y746)&amp;"")</f>
        <v/>
      </c>
    </row>
    <row r="747">
      <c r="Y747" s="47">
        <f>IFERROR(MATCH(Library!M747,$M$6:$M$40000,0),"")</f>
        <v/>
      </c>
      <c r="Z747">
        <f>IF($Y747="","",INDEX($C$6:$C$40000,$Y747)&amp;"")</f>
        <v/>
      </c>
      <c r="AA747" s="59">
        <f>IF($Y747="","",IF(INDEX($D$6:$D$40000,$Y747)="","",INDEX($D$6:$D$40000,$Y747)))</f>
        <v/>
      </c>
      <c r="AB747">
        <f>IF($Y747="","",INDEX($L$6:$L$40000,$Y747)&amp;"")</f>
        <v/>
      </c>
    </row>
    <row r="748">
      <c r="Y748" s="47">
        <f>IFERROR(MATCH(Library!M748,$M$6:$M$40000,0),"")</f>
        <v/>
      </c>
      <c r="Z748">
        <f>IF($Y748="","",INDEX($C$6:$C$40000,$Y748)&amp;"")</f>
        <v/>
      </c>
      <c r="AA748" s="59">
        <f>IF($Y748="","",IF(INDEX($D$6:$D$40000,$Y748)="","",INDEX($D$6:$D$40000,$Y748)))</f>
        <v/>
      </c>
      <c r="AB748">
        <f>IF($Y748="","",INDEX($L$6:$L$40000,$Y748)&amp;"")</f>
        <v/>
      </c>
    </row>
    <row r="749">
      <c r="Y749" s="47">
        <f>IFERROR(MATCH(Library!M749,$M$6:$M$40000,0),"")</f>
        <v/>
      </c>
      <c r="Z749">
        <f>IF($Y749="","",INDEX($C$6:$C$40000,$Y749)&amp;"")</f>
        <v/>
      </c>
      <c r="AA749" s="59">
        <f>IF($Y749="","",IF(INDEX($D$6:$D$40000,$Y749)="","",INDEX($D$6:$D$40000,$Y749)))</f>
        <v/>
      </c>
      <c r="AB749">
        <f>IF($Y749="","",INDEX($L$6:$L$40000,$Y749)&amp;"")</f>
        <v/>
      </c>
    </row>
    <row r="750">
      <c r="Y750" s="47">
        <f>IFERROR(MATCH(Library!M750,$M$6:$M$40000,0),"")</f>
        <v/>
      </c>
      <c r="Z750">
        <f>IF($Y750="","",INDEX($C$6:$C$40000,$Y750)&amp;"")</f>
        <v/>
      </c>
      <c r="AA750" s="59">
        <f>IF($Y750="","",IF(INDEX($D$6:$D$40000,$Y750)="","",INDEX($D$6:$D$40000,$Y750)))</f>
        <v/>
      </c>
      <c r="AB750">
        <f>IF($Y750="","",INDEX($L$6:$L$40000,$Y750)&amp;"")</f>
        <v/>
      </c>
    </row>
    <row r="751">
      <c r="Y751" s="47">
        <f>IFERROR(MATCH(Library!M751,$M$6:$M$40000,0),"")</f>
        <v/>
      </c>
      <c r="Z751">
        <f>IF($Y751="","",INDEX($C$6:$C$40000,$Y751)&amp;"")</f>
        <v/>
      </c>
      <c r="AA751" s="59">
        <f>IF($Y751="","",IF(INDEX($D$6:$D$40000,$Y751)="","",INDEX($D$6:$D$40000,$Y751)))</f>
        <v/>
      </c>
      <c r="AB751">
        <f>IF($Y751="","",INDEX($L$6:$L$40000,$Y751)&amp;"")</f>
        <v/>
      </c>
    </row>
    <row r="752">
      <c r="Y752" s="47">
        <f>IFERROR(MATCH(Library!M752,$M$6:$M$40000,0),"")</f>
        <v/>
      </c>
      <c r="Z752">
        <f>IF($Y752="","",INDEX($C$6:$C$40000,$Y752)&amp;"")</f>
        <v/>
      </c>
      <c r="AA752" s="59">
        <f>IF($Y752="","",IF(INDEX($D$6:$D$40000,$Y752)="","",INDEX($D$6:$D$40000,$Y752)))</f>
        <v/>
      </c>
      <c r="AB752">
        <f>IF($Y752="","",INDEX($L$6:$L$40000,$Y752)&amp;"")</f>
        <v/>
      </c>
    </row>
    <row r="753">
      <c r="Y753" s="47">
        <f>IFERROR(MATCH(Library!M753,$M$6:$M$40000,0),"")</f>
        <v/>
      </c>
      <c r="Z753">
        <f>IF($Y753="","",INDEX($C$6:$C$40000,$Y753)&amp;"")</f>
        <v/>
      </c>
      <c r="AA753" s="59">
        <f>IF($Y753="","",IF(INDEX($D$6:$D$40000,$Y753)="","",INDEX($D$6:$D$40000,$Y753)))</f>
        <v/>
      </c>
      <c r="AB753">
        <f>IF($Y753="","",INDEX($L$6:$L$40000,$Y753)&amp;"")</f>
        <v/>
      </c>
    </row>
    <row r="754">
      <c r="Y754" s="47">
        <f>IFERROR(MATCH(Library!M754,$M$6:$M$40000,0),"")</f>
        <v/>
      </c>
      <c r="Z754">
        <f>IF($Y754="","",INDEX($C$6:$C$40000,$Y754)&amp;"")</f>
        <v/>
      </c>
      <c r="AA754" s="59">
        <f>IF($Y754="","",IF(INDEX($D$6:$D$40000,$Y754)="","",INDEX($D$6:$D$40000,$Y754)))</f>
        <v/>
      </c>
      <c r="AB754">
        <f>IF($Y754="","",INDEX($L$6:$L$40000,$Y754)&amp;"")</f>
        <v/>
      </c>
    </row>
    <row r="755">
      <c r="Y755" s="47">
        <f>IFERROR(MATCH(Library!M755,$M$6:$M$40000,0),"")</f>
        <v/>
      </c>
      <c r="Z755">
        <f>IF($Y755="","",INDEX($C$6:$C$40000,$Y755)&amp;"")</f>
        <v/>
      </c>
      <c r="AA755" s="59">
        <f>IF($Y755="","",IF(INDEX($D$6:$D$40000,$Y755)="","",INDEX($D$6:$D$40000,$Y755)))</f>
        <v/>
      </c>
      <c r="AB755">
        <f>IF($Y755="","",INDEX($L$6:$L$40000,$Y755)&amp;"")</f>
        <v/>
      </c>
    </row>
    <row r="756">
      <c r="Y756" s="47">
        <f>IFERROR(MATCH(Library!M756,$M$6:$M$40000,0),"")</f>
        <v/>
      </c>
      <c r="Z756">
        <f>IF($Y756="","",INDEX($C$6:$C$40000,$Y756)&amp;"")</f>
        <v/>
      </c>
      <c r="AA756" s="59">
        <f>IF($Y756="","",IF(INDEX($D$6:$D$40000,$Y756)="","",INDEX($D$6:$D$40000,$Y756)))</f>
        <v/>
      </c>
      <c r="AB756">
        <f>IF($Y756="","",INDEX($L$6:$L$40000,$Y756)&amp;"")</f>
        <v/>
      </c>
    </row>
    <row r="757">
      <c r="Y757" s="47">
        <f>IFERROR(MATCH(Library!M757,$M$6:$M$40000,0),"")</f>
        <v/>
      </c>
      <c r="Z757">
        <f>IF($Y757="","",INDEX($C$6:$C$40000,$Y757)&amp;"")</f>
        <v/>
      </c>
      <c r="AA757" s="59">
        <f>IF($Y757="","",IF(INDEX($D$6:$D$40000,$Y757)="","",INDEX($D$6:$D$40000,$Y757)))</f>
        <v/>
      </c>
      <c r="AB757">
        <f>IF($Y757="","",INDEX($L$6:$L$40000,$Y757)&amp;"")</f>
        <v/>
      </c>
    </row>
    <row r="758">
      <c r="Y758" s="47">
        <f>IFERROR(MATCH(Library!M758,$M$6:$M$40000,0),"")</f>
        <v/>
      </c>
      <c r="Z758">
        <f>IF($Y758="","",INDEX($C$6:$C$40000,$Y758)&amp;"")</f>
        <v/>
      </c>
      <c r="AA758" s="59">
        <f>IF($Y758="","",IF(INDEX($D$6:$D$40000,$Y758)="","",INDEX($D$6:$D$40000,$Y758)))</f>
        <v/>
      </c>
      <c r="AB758">
        <f>IF($Y758="","",INDEX($L$6:$L$40000,$Y758)&amp;"")</f>
        <v/>
      </c>
    </row>
    <row r="759">
      <c r="Y759" s="47">
        <f>IFERROR(MATCH(Library!M759,$M$6:$M$40000,0),"")</f>
        <v/>
      </c>
      <c r="Z759">
        <f>IF($Y759="","",INDEX($C$6:$C$40000,$Y759)&amp;"")</f>
        <v/>
      </c>
      <c r="AA759" s="59">
        <f>IF($Y759="","",IF(INDEX($D$6:$D$40000,$Y759)="","",INDEX($D$6:$D$40000,$Y759)))</f>
        <v/>
      </c>
      <c r="AB759">
        <f>IF($Y759="","",INDEX($L$6:$L$40000,$Y759)&amp;"")</f>
        <v/>
      </c>
    </row>
    <row r="760">
      <c r="Y760" s="47">
        <f>IFERROR(MATCH(Library!M760,$M$6:$M$40000,0),"")</f>
        <v/>
      </c>
      <c r="Z760">
        <f>IF($Y760="","",INDEX($C$6:$C$40000,$Y760)&amp;"")</f>
        <v/>
      </c>
      <c r="AA760" s="59">
        <f>IF($Y760="","",IF(INDEX($D$6:$D$40000,$Y760)="","",INDEX($D$6:$D$40000,$Y760)))</f>
        <v/>
      </c>
      <c r="AB760">
        <f>IF($Y760="","",INDEX($L$6:$L$40000,$Y760)&amp;"")</f>
        <v/>
      </c>
    </row>
    <row r="761">
      <c r="Y761" s="47">
        <f>IFERROR(MATCH(Library!M761,$M$6:$M$40000,0),"")</f>
        <v/>
      </c>
      <c r="Z761">
        <f>IF($Y761="","",INDEX($C$6:$C$40000,$Y761)&amp;"")</f>
        <v/>
      </c>
      <c r="AA761" s="59">
        <f>IF($Y761="","",IF(INDEX($D$6:$D$40000,$Y761)="","",INDEX($D$6:$D$40000,$Y761)))</f>
        <v/>
      </c>
      <c r="AB761">
        <f>IF($Y761="","",INDEX($L$6:$L$40000,$Y761)&amp;"")</f>
        <v/>
      </c>
    </row>
    <row r="762">
      <c r="Y762" s="47">
        <f>IFERROR(MATCH(Library!M762,$M$6:$M$40000,0),"")</f>
        <v/>
      </c>
      <c r="Z762">
        <f>IF($Y762="","",INDEX($C$6:$C$40000,$Y762)&amp;"")</f>
        <v/>
      </c>
      <c r="AA762" s="59">
        <f>IF($Y762="","",IF(INDEX($D$6:$D$40000,$Y762)="","",INDEX($D$6:$D$40000,$Y762)))</f>
        <v/>
      </c>
      <c r="AB762">
        <f>IF($Y762="","",INDEX($L$6:$L$40000,$Y762)&amp;"")</f>
        <v/>
      </c>
    </row>
    <row r="763">
      <c r="Y763" s="47">
        <f>IFERROR(MATCH(Library!M763,$M$6:$M$40000,0),"")</f>
        <v/>
      </c>
      <c r="Z763">
        <f>IF($Y763="","",INDEX($C$6:$C$40000,$Y763)&amp;"")</f>
        <v/>
      </c>
      <c r="AA763" s="59">
        <f>IF($Y763="","",IF(INDEX($D$6:$D$40000,$Y763)="","",INDEX($D$6:$D$40000,$Y763)))</f>
        <v/>
      </c>
      <c r="AB763">
        <f>IF($Y763="","",INDEX($L$6:$L$40000,$Y763)&amp;"")</f>
        <v/>
      </c>
    </row>
    <row r="764">
      <c r="Y764" s="47">
        <f>IFERROR(MATCH(Library!M764,$M$6:$M$40000,0),"")</f>
        <v/>
      </c>
      <c r="Z764">
        <f>IF($Y764="","",INDEX($C$6:$C$40000,$Y764)&amp;"")</f>
        <v/>
      </c>
      <c r="AA764" s="59">
        <f>IF($Y764="","",IF(INDEX($D$6:$D$40000,$Y764)="","",INDEX($D$6:$D$40000,$Y764)))</f>
        <v/>
      </c>
      <c r="AB764">
        <f>IF($Y764="","",INDEX($L$6:$L$40000,$Y764)&amp;"")</f>
        <v/>
      </c>
    </row>
    <row r="765">
      <c r="Y765" s="47">
        <f>IFERROR(MATCH(Library!M765,$M$6:$M$40000,0),"")</f>
        <v/>
      </c>
      <c r="Z765">
        <f>IF($Y765="","",INDEX($C$6:$C$40000,$Y765)&amp;"")</f>
        <v/>
      </c>
      <c r="AA765" s="59">
        <f>IF($Y765="","",IF(INDEX($D$6:$D$40000,$Y765)="","",INDEX($D$6:$D$40000,$Y765)))</f>
        <v/>
      </c>
      <c r="AB765">
        <f>IF($Y765="","",INDEX($L$6:$L$40000,$Y765)&amp;"")</f>
        <v/>
      </c>
    </row>
    <row r="766">
      <c r="Y766" s="47">
        <f>IFERROR(MATCH(Library!M766,$M$6:$M$40000,0),"")</f>
        <v/>
      </c>
      <c r="Z766">
        <f>IF($Y766="","",INDEX($C$6:$C$40000,$Y766)&amp;"")</f>
        <v/>
      </c>
      <c r="AA766" s="59">
        <f>IF($Y766="","",IF(INDEX($D$6:$D$40000,$Y766)="","",INDEX($D$6:$D$40000,$Y766)))</f>
        <v/>
      </c>
      <c r="AB766">
        <f>IF($Y766="","",INDEX($L$6:$L$40000,$Y766)&amp;"")</f>
        <v/>
      </c>
    </row>
    <row r="767">
      <c r="Y767" s="47">
        <f>IFERROR(MATCH(Library!M767,$M$6:$M$40000,0),"")</f>
        <v/>
      </c>
      <c r="Z767">
        <f>IF($Y767="","",INDEX($C$6:$C$40000,$Y767)&amp;"")</f>
        <v/>
      </c>
      <c r="AA767" s="59">
        <f>IF($Y767="","",IF(INDEX($D$6:$D$40000,$Y767)="","",INDEX($D$6:$D$40000,$Y767)))</f>
        <v/>
      </c>
      <c r="AB767">
        <f>IF($Y767="","",INDEX($L$6:$L$40000,$Y767)&amp;"")</f>
        <v/>
      </c>
    </row>
    <row r="768">
      <c r="Y768" s="47">
        <f>IFERROR(MATCH(Library!M768,$M$6:$M$40000,0),"")</f>
        <v/>
      </c>
      <c r="Z768">
        <f>IF($Y768="","",INDEX($C$6:$C$40000,$Y768)&amp;"")</f>
        <v/>
      </c>
      <c r="AA768" s="59">
        <f>IF($Y768="","",IF(INDEX($D$6:$D$40000,$Y768)="","",INDEX($D$6:$D$40000,$Y768)))</f>
        <v/>
      </c>
      <c r="AB768">
        <f>IF($Y768="","",INDEX($L$6:$L$40000,$Y768)&amp;"")</f>
        <v/>
      </c>
    </row>
    <row r="769">
      <c r="Y769" s="47">
        <f>IFERROR(MATCH(Library!M769,$M$6:$M$40000,0),"")</f>
        <v/>
      </c>
      <c r="Z769">
        <f>IF($Y769="","",INDEX($C$6:$C$40000,$Y769)&amp;"")</f>
        <v/>
      </c>
      <c r="AA769" s="59">
        <f>IF($Y769="","",IF(INDEX($D$6:$D$40000,$Y769)="","",INDEX($D$6:$D$40000,$Y769)))</f>
        <v/>
      </c>
      <c r="AB769">
        <f>IF($Y769="","",INDEX($L$6:$L$40000,$Y769)&amp;"")</f>
        <v/>
      </c>
    </row>
    <row r="770">
      <c r="Y770" s="47">
        <f>IFERROR(MATCH(Library!M770,$M$6:$M$40000,0),"")</f>
        <v/>
      </c>
      <c r="Z770">
        <f>IF($Y770="","",INDEX($C$6:$C$40000,$Y770)&amp;"")</f>
        <v/>
      </c>
      <c r="AA770" s="59">
        <f>IF($Y770="","",IF(INDEX($D$6:$D$40000,$Y770)="","",INDEX($D$6:$D$40000,$Y770)))</f>
        <v/>
      </c>
      <c r="AB770">
        <f>IF($Y770="","",INDEX($L$6:$L$40000,$Y770)&amp;"")</f>
        <v/>
      </c>
    </row>
    <row r="771">
      <c r="Y771" s="47">
        <f>IFERROR(MATCH(Library!M771,$M$6:$M$40000,0),"")</f>
        <v/>
      </c>
      <c r="Z771">
        <f>IF($Y771="","",INDEX($C$6:$C$40000,$Y771)&amp;"")</f>
        <v/>
      </c>
      <c r="AA771" s="59">
        <f>IF($Y771="","",IF(INDEX($D$6:$D$40000,$Y771)="","",INDEX($D$6:$D$40000,$Y771)))</f>
        <v/>
      </c>
      <c r="AB771">
        <f>IF($Y771="","",INDEX($L$6:$L$40000,$Y771)&amp;"")</f>
        <v/>
      </c>
    </row>
    <row r="772">
      <c r="Y772" s="47">
        <f>IFERROR(MATCH(Library!M772,$M$6:$M$40000,0),"")</f>
        <v/>
      </c>
      <c r="Z772">
        <f>IF($Y772="","",INDEX($C$6:$C$40000,$Y772)&amp;"")</f>
        <v/>
      </c>
      <c r="AA772" s="59">
        <f>IF($Y772="","",IF(INDEX($D$6:$D$40000,$Y772)="","",INDEX($D$6:$D$40000,$Y772)))</f>
        <v/>
      </c>
      <c r="AB772">
        <f>IF($Y772="","",INDEX($L$6:$L$40000,$Y772)&amp;"")</f>
        <v/>
      </c>
    </row>
    <row r="773">
      <c r="Y773" s="47">
        <f>IFERROR(MATCH(Library!M773,$M$6:$M$40000,0),"")</f>
        <v/>
      </c>
      <c r="Z773">
        <f>IF($Y773="","",INDEX($C$6:$C$40000,$Y773)&amp;"")</f>
        <v/>
      </c>
      <c r="AA773" s="59">
        <f>IF($Y773="","",IF(INDEX($D$6:$D$40000,$Y773)="","",INDEX($D$6:$D$40000,$Y773)))</f>
        <v/>
      </c>
      <c r="AB773">
        <f>IF($Y773="","",INDEX($L$6:$L$40000,$Y773)&amp;"")</f>
        <v/>
      </c>
    </row>
    <row r="774">
      <c r="Y774" s="47">
        <f>IFERROR(MATCH(Library!M774,$M$6:$M$40000,0),"")</f>
        <v/>
      </c>
      <c r="Z774">
        <f>IF($Y774="","",INDEX($C$6:$C$40000,$Y774)&amp;"")</f>
        <v/>
      </c>
      <c r="AA774" s="59">
        <f>IF($Y774="","",IF(INDEX($D$6:$D$40000,$Y774)="","",INDEX($D$6:$D$40000,$Y774)))</f>
        <v/>
      </c>
      <c r="AB774">
        <f>IF($Y774="","",INDEX($L$6:$L$40000,$Y774)&amp;"")</f>
        <v/>
      </c>
    </row>
    <row r="775">
      <c r="Y775" s="47">
        <f>IFERROR(MATCH(Library!M775,$M$6:$M$40000,0),"")</f>
        <v/>
      </c>
      <c r="Z775">
        <f>IF($Y775="","",INDEX($C$6:$C$40000,$Y775)&amp;"")</f>
        <v/>
      </c>
      <c r="AA775" s="59">
        <f>IF($Y775="","",IF(INDEX($D$6:$D$40000,$Y775)="","",INDEX($D$6:$D$40000,$Y775)))</f>
        <v/>
      </c>
      <c r="AB775">
        <f>IF($Y775="","",INDEX($L$6:$L$40000,$Y775)&amp;"")</f>
        <v/>
      </c>
    </row>
    <row r="776">
      <c r="Y776" s="47">
        <f>IFERROR(MATCH(Library!M776,$M$6:$M$40000,0),"")</f>
        <v/>
      </c>
      <c r="Z776">
        <f>IF($Y776="","",INDEX($C$6:$C$40000,$Y776)&amp;"")</f>
        <v/>
      </c>
      <c r="AA776" s="59">
        <f>IF($Y776="","",IF(INDEX($D$6:$D$40000,$Y776)="","",INDEX($D$6:$D$40000,$Y776)))</f>
        <v/>
      </c>
      <c r="AB776">
        <f>IF($Y776="","",INDEX($L$6:$L$40000,$Y776)&amp;"")</f>
        <v/>
      </c>
    </row>
    <row r="777">
      <c r="Y777" s="47">
        <f>IFERROR(MATCH(Library!M777,$M$6:$M$40000,0),"")</f>
        <v/>
      </c>
      <c r="Z777">
        <f>IF($Y777="","",INDEX($C$6:$C$40000,$Y777)&amp;"")</f>
        <v/>
      </c>
      <c r="AA777" s="59">
        <f>IF($Y777="","",IF(INDEX($D$6:$D$40000,$Y777)="","",INDEX($D$6:$D$40000,$Y777)))</f>
        <v/>
      </c>
      <c r="AB777">
        <f>IF($Y777="","",INDEX($L$6:$L$40000,$Y777)&amp;"")</f>
        <v/>
      </c>
    </row>
    <row r="778">
      <c r="Y778" s="47">
        <f>IFERROR(MATCH(Library!M778,$M$6:$M$40000,0),"")</f>
        <v/>
      </c>
      <c r="Z778">
        <f>IF($Y778="","",INDEX($C$6:$C$40000,$Y778)&amp;"")</f>
        <v/>
      </c>
      <c r="AA778" s="59">
        <f>IF($Y778="","",IF(INDEX($D$6:$D$40000,$Y778)="","",INDEX($D$6:$D$40000,$Y778)))</f>
        <v/>
      </c>
      <c r="AB778">
        <f>IF($Y778="","",INDEX($L$6:$L$40000,$Y778)&amp;"")</f>
        <v/>
      </c>
    </row>
    <row r="779">
      <c r="Y779" s="47">
        <f>IFERROR(MATCH(Library!M779,$M$6:$M$40000,0),"")</f>
        <v/>
      </c>
      <c r="Z779">
        <f>IF($Y779="","",INDEX($C$6:$C$40000,$Y779)&amp;"")</f>
        <v/>
      </c>
      <c r="AA779" s="59">
        <f>IF($Y779="","",IF(INDEX($D$6:$D$40000,$Y779)="","",INDEX($D$6:$D$40000,$Y779)))</f>
        <v/>
      </c>
      <c r="AB779">
        <f>IF($Y779="","",INDEX($L$6:$L$40000,$Y779)&amp;"")</f>
        <v/>
      </c>
    </row>
    <row r="780">
      <c r="Y780" s="47">
        <f>IFERROR(MATCH(Library!M780,$M$6:$M$40000,0),"")</f>
        <v/>
      </c>
      <c r="Z780">
        <f>IF($Y780="","",INDEX($C$6:$C$40000,$Y780)&amp;"")</f>
        <v/>
      </c>
      <c r="AA780" s="59">
        <f>IF($Y780="","",IF(INDEX($D$6:$D$40000,$Y780)="","",INDEX($D$6:$D$40000,$Y780)))</f>
        <v/>
      </c>
      <c r="AB780">
        <f>IF($Y780="","",INDEX($L$6:$L$40000,$Y780)&amp;"")</f>
        <v/>
      </c>
    </row>
    <row r="781">
      <c r="Y781" s="47">
        <f>IFERROR(MATCH(Library!M781,$M$6:$M$40000,0),"")</f>
        <v/>
      </c>
      <c r="Z781">
        <f>IF($Y781="","",INDEX($C$6:$C$40000,$Y781)&amp;"")</f>
        <v/>
      </c>
      <c r="AA781" s="59">
        <f>IF($Y781="","",IF(INDEX($D$6:$D$40000,$Y781)="","",INDEX($D$6:$D$40000,$Y781)))</f>
        <v/>
      </c>
      <c r="AB781">
        <f>IF($Y781="","",INDEX($L$6:$L$40000,$Y781)&amp;"")</f>
        <v/>
      </c>
    </row>
    <row r="782">
      <c r="Y782" s="47">
        <f>IFERROR(MATCH(Library!M782,$M$6:$M$40000,0),"")</f>
        <v/>
      </c>
      <c r="Z782">
        <f>IF($Y782="","",INDEX($C$6:$C$40000,$Y782)&amp;"")</f>
        <v/>
      </c>
      <c r="AA782" s="59">
        <f>IF($Y782="","",IF(INDEX($D$6:$D$40000,$Y782)="","",INDEX($D$6:$D$40000,$Y782)))</f>
        <v/>
      </c>
      <c r="AB782">
        <f>IF($Y782="","",INDEX($L$6:$L$40000,$Y782)&amp;"")</f>
        <v/>
      </c>
    </row>
    <row r="783">
      <c r="Y783" s="47">
        <f>IFERROR(MATCH(Library!M783,$M$6:$M$40000,0),"")</f>
        <v/>
      </c>
      <c r="Z783">
        <f>IF($Y783="","",INDEX($C$6:$C$40000,$Y783)&amp;"")</f>
        <v/>
      </c>
      <c r="AA783" s="59">
        <f>IF($Y783="","",IF(INDEX($D$6:$D$40000,$Y783)="","",INDEX($D$6:$D$40000,$Y783)))</f>
        <v/>
      </c>
      <c r="AB783">
        <f>IF($Y783="","",INDEX($L$6:$L$40000,$Y783)&amp;"")</f>
        <v/>
      </c>
    </row>
    <row r="784">
      <c r="Y784" s="47">
        <f>IFERROR(MATCH(Library!M784,$M$6:$M$40000,0),"")</f>
        <v/>
      </c>
      <c r="Z784">
        <f>IF($Y784="","",INDEX($C$6:$C$40000,$Y784)&amp;"")</f>
        <v/>
      </c>
      <c r="AA784" s="59">
        <f>IF($Y784="","",IF(INDEX($D$6:$D$40000,$Y784)="","",INDEX($D$6:$D$40000,$Y784)))</f>
        <v/>
      </c>
      <c r="AB784">
        <f>IF($Y784="","",INDEX($L$6:$L$40000,$Y784)&amp;"")</f>
        <v/>
      </c>
    </row>
    <row r="785">
      <c r="Y785" s="47">
        <f>IFERROR(MATCH(Library!M785,$M$6:$M$40000,0),"")</f>
        <v/>
      </c>
      <c r="Z785">
        <f>IF($Y785="","",INDEX($C$6:$C$40000,$Y785)&amp;"")</f>
        <v/>
      </c>
      <c r="AA785" s="59">
        <f>IF($Y785="","",IF(INDEX($D$6:$D$40000,$Y785)="","",INDEX($D$6:$D$40000,$Y785)))</f>
        <v/>
      </c>
      <c r="AB785">
        <f>IF($Y785="","",INDEX($L$6:$L$40000,$Y785)&amp;"")</f>
        <v/>
      </c>
    </row>
    <row r="786">
      <c r="Y786" s="47">
        <f>IFERROR(MATCH(Library!M786,$M$6:$M$40000,0),"")</f>
        <v/>
      </c>
      <c r="Z786">
        <f>IF($Y786="","",INDEX($C$6:$C$40000,$Y786)&amp;"")</f>
        <v/>
      </c>
      <c r="AA786" s="59">
        <f>IF($Y786="","",IF(INDEX($D$6:$D$40000,$Y786)="","",INDEX($D$6:$D$40000,$Y786)))</f>
        <v/>
      </c>
      <c r="AB786">
        <f>IF($Y786="","",INDEX($L$6:$L$40000,$Y786)&amp;"")</f>
        <v/>
      </c>
    </row>
    <row r="787">
      <c r="Y787" s="47">
        <f>IFERROR(MATCH(Library!M787,$M$6:$M$40000,0),"")</f>
        <v/>
      </c>
      <c r="Z787">
        <f>IF($Y787="","",INDEX($C$6:$C$40000,$Y787)&amp;"")</f>
        <v/>
      </c>
      <c r="AA787" s="59">
        <f>IF($Y787="","",IF(INDEX($D$6:$D$40000,$Y787)="","",INDEX($D$6:$D$40000,$Y787)))</f>
        <v/>
      </c>
      <c r="AB787">
        <f>IF($Y787="","",INDEX($L$6:$L$40000,$Y787)&amp;"")</f>
        <v/>
      </c>
    </row>
    <row r="788">
      <c r="Y788" s="47">
        <f>IFERROR(MATCH(Library!M788,$M$6:$M$40000,0),"")</f>
        <v/>
      </c>
      <c r="Z788">
        <f>IF($Y788="","",INDEX($C$6:$C$40000,$Y788)&amp;"")</f>
        <v/>
      </c>
      <c r="AA788" s="59">
        <f>IF($Y788="","",IF(INDEX($D$6:$D$40000,$Y788)="","",INDEX($D$6:$D$40000,$Y788)))</f>
        <v/>
      </c>
      <c r="AB788">
        <f>IF($Y788="","",INDEX($L$6:$L$40000,$Y788)&amp;"")</f>
        <v/>
      </c>
    </row>
    <row r="789">
      <c r="Y789" s="47">
        <f>IFERROR(MATCH(Library!M789,$M$6:$M$40000,0),"")</f>
        <v/>
      </c>
      <c r="Z789">
        <f>IF($Y789="","",INDEX($C$6:$C$40000,$Y789)&amp;"")</f>
        <v/>
      </c>
      <c r="AA789" s="59">
        <f>IF($Y789="","",IF(INDEX($D$6:$D$40000,$Y789)="","",INDEX($D$6:$D$40000,$Y789)))</f>
        <v/>
      </c>
      <c r="AB789">
        <f>IF($Y789="","",INDEX($L$6:$L$40000,$Y789)&amp;"")</f>
        <v/>
      </c>
    </row>
    <row r="790">
      <c r="Y790" s="47">
        <f>IFERROR(MATCH(Library!M790,$M$6:$M$40000,0),"")</f>
        <v/>
      </c>
      <c r="Z790">
        <f>IF($Y790="","",INDEX($C$6:$C$40000,$Y790)&amp;"")</f>
        <v/>
      </c>
      <c r="AA790" s="59">
        <f>IF($Y790="","",IF(INDEX($D$6:$D$40000,$Y790)="","",INDEX($D$6:$D$40000,$Y790)))</f>
        <v/>
      </c>
      <c r="AB790">
        <f>IF($Y790="","",INDEX($L$6:$L$40000,$Y790)&amp;"")</f>
        <v/>
      </c>
    </row>
    <row r="791">
      <c r="Y791" s="47">
        <f>IFERROR(MATCH(Library!M791,$M$6:$M$40000,0),"")</f>
        <v/>
      </c>
      <c r="Z791">
        <f>IF($Y791="","",INDEX($C$6:$C$40000,$Y791)&amp;"")</f>
        <v/>
      </c>
      <c r="AA791" s="59">
        <f>IF($Y791="","",IF(INDEX($D$6:$D$40000,$Y791)="","",INDEX($D$6:$D$40000,$Y791)))</f>
        <v/>
      </c>
      <c r="AB791">
        <f>IF($Y791="","",INDEX($L$6:$L$40000,$Y791)&amp;"")</f>
        <v/>
      </c>
    </row>
    <row r="792">
      <c r="Y792" s="47">
        <f>IFERROR(MATCH(Library!M792,$M$6:$M$40000,0),"")</f>
        <v/>
      </c>
      <c r="Z792">
        <f>IF($Y792="","",INDEX($C$6:$C$40000,$Y792)&amp;"")</f>
        <v/>
      </c>
      <c r="AA792" s="59">
        <f>IF($Y792="","",IF(INDEX($D$6:$D$40000,$Y792)="","",INDEX($D$6:$D$40000,$Y792)))</f>
        <v/>
      </c>
      <c r="AB792">
        <f>IF($Y792="","",INDEX($L$6:$L$40000,$Y792)&amp;"")</f>
        <v/>
      </c>
    </row>
    <row r="793">
      <c r="Y793" s="47">
        <f>IFERROR(MATCH(Library!M793,$M$6:$M$40000,0),"")</f>
        <v/>
      </c>
      <c r="Z793">
        <f>IF($Y793="","",INDEX($C$6:$C$40000,$Y793)&amp;"")</f>
        <v/>
      </c>
      <c r="AA793" s="59">
        <f>IF($Y793="","",IF(INDEX($D$6:$D$40000,$Y793)="","",INDEX($D$6:$D$40000,$Y793)))</f>
        <v/>
      </c>
      <c r="AB793">
        <f>IF($Y793="","",INDEX($L$6:$L$40000,$Y793)&amp;"")</f>
        <v/>
      </c>
    </row>
    <row r="794">
      <c r="Y794" s="47">
        <f>IFERROR(MATCH(Library!M794,$M$6:$M$40000,0),"")</f>
        <v/>
      </c>
      <c r="Z794">
        <f>IF($Y794="","",INDEX($C$6:$C$40000,$Y794)&amp;"")</f>
        <v/>
      </c>
      <c r="AA794" s="59">
        <f>IF($Y794="","",IF(INDEX($D$6:$D$40000,$Y794)="","",INDEX($D$6:$D$40000,$Y794)))</f>
        <v/>
      </c>
      <c r="AB794">
        <f>IF($Y794="","",INDEX($L$6:$L$40000,$Y794)&amp;"")</f>
        <v/>
      </c>
    </row>
    <row r="795">
      <c r="Y795" s="47">
        <f>IFERROR(MATCH(Library!M795,$M$6:$M$40000,0),"")</f>
        <v/>
      </c>
      <c r="Z795">
        <f>IF($Y795="","",INDEX($C$6:$C$40000,$Y795)&amp;"")</f>
        <v/>
      </c>
      <c r="AA795" s="59">
        <f>IF($Y795="","",IF(INDEX($D$6:$D$40000,$Y795)="","",INDEX($D$6:$D$40000,$Y795)))</f>
        <v/>
      </c>
      <c r="AB795">
        <f>IF($Y795="","",INDEX($L$6:$L$40000,$Y795)&amp;"")</f>
        <v/>
      </c>
    </row>
    <row r="796">
      <c r="Y796" s="47">
        <f>IFERROR(MATCH(Library!M796,$M$6:$M$40000,0),"")</f>
        <v/>
      </c>
      <c r="Z796">
        <f>IF($Y796="","",INDEX($C$6:$C$40000,$Y796)&amp;"")</f>
        <v/>
      </c>
      <c r="AA796" s="59">
        <f>IF($Y796="","",IF(INDEX($D$6:$D$40000,$Y796)="","",INDEX($D$6:$D$40000,$Y796)))</f>
        <v/>
      </c>
      <c r="AB796">
        <f>IF($Y796="","",INDEX($L$6:$L$40000,$Y796)&amp;"")</f>
        <v/>
      </c>
    </row>
    <row r="797">
      <c r="Y797" s="47">
        <f>IFERROR(MATCH(Library!M797,$M$6:$M$40000,0),"")</f>
        <v/>
      </c>
      <c r="Z797">
        <f>IF($Y797="","",INDEX($C$6:$C$40000,$Y797)&amp;"")</f>
        <v/>
      </c>
      <c r="AA797" s="59">
        <f>IF($Y797="","",IF(INDEX($D$6:$D$40000,$Y797)="","",INDEX($D$6:$D$40000,$Y797)))</f>
        <v/>
      </c>
      <c r="AB797">
        <f>IF($Y797="","",INDEX($L$6:$L$40000,$Y797)&amp;"")</f>
        <v/>
      </c>
    </row>
    <row r="798">
      <c r="Y798" s="47">
        <f>IFERROR(MATCH(Library!M798,$M$6:$M$40000,0),"")</f>
        <v/>
      </c>
      <c r="Z798">
        <f>IF($Y798="","",INDEX($C$6:$C$40000,$Y798)&amp;"")</f>
        <v/>
      </c>
      <c r="AA798" s="59">
        <f>IF($Y798="","",IF(INDEX($D$6:$D$40000,$Y798)="","",INDEX($D$6:$D$40000,$Y798)))</f>
        <v/>
      </c>
      <c r="AB798">
        <f>IF($Y798="","",INDEX($L$6:$L$40000,$Y798)&amp;"")</f>
        <v/>
      </c>
    </row>
    <row r="799">
      <c r="Y799" s="47">
        <f>IFERROR(MATCH(Library!M799,$M$6:$M$40000,0),"")</f>
        <v/>
      </c>
      <c r="Z799">
        <f>IF($Y799="","",INDEX($C$6:$C$40000,$Y799)&amp;"")</f>
        <v/>
      </c>
      <c r="AA799" s="59">
        <f>IF($Y799="","",IF(INDEX($D$6:$D$40000,$Y799)="","",INDEX($D$6:$D$40000,$Y799)))</f>
        <v/>
      </c>
      <c r="AB799">
        <f>IF($Y799="","",INDEX($L$6:$L$40000,$Y799)&amp;"")</f>
        <v/>
      </c>
    </row>
    <row r="800">
      <c r="Y800" s="47">
        <f>IFERROR(MATCH(Library!M800,$M$6:$M$40000,0),"")</f>
        <v/>
      </c>
      <c r="Z800">
        <f>IF($Y800="","",INDEX($C$6:$C$40000,$Y800)&amp;"")</f>
        <v/>
      </c>
      <c r="AA800" s="59">
        <f>IF($Y800="","",IF(INDEX($D$6:$D$40000,$Y800)="","",INDEX($D$6:$D$40000,$Y800)))</f>
        <v/>
      </c>
      <c r="AB800">
        <f>IF($Y800="","",INDEX($L$6:$L$40000,$Y800)&amp;"")</f>
        <v/>
      </c>
    </row>
    <row r="801">
      <c r="Y801" s="47">
        <f>IFERROR(MATCH(Library!M801,$M$6:$M$40000,0),"")</f>
        <v/>
      </c>
      <c r="Z801">
        <f>IF($Y801="","",INDEX($C$6:$C$40000,$Y801)&amp;"")</f>
        <v/>
      </c>
      <c r="AA801" s="59">
        <f>IF($Y801="","",IF(INDEX($D$6:$D$40000,$Y801)="","",INDEX($D$6:$D$40000,$Y801)))</f>
        <v/>
      </c>
      <c r="AB801">
        <f>IF($Y801="","",INDEX($L$6:$L$40000,$Y801)&amp;"")</f>
        <v/>
      </c>
    </row>
    <row r="802">
      <c r="Y802" s="47">
        <f>IFERROR(MATCH(Library!M802,$M$6:$M$40000,0),"")</f>
        <v/>
      </c>
      <c r="Z802">
        <f>IF($Y802="","",INDEX($C$6:$C$40000,$Y802)&amp;"")</f>
        <v/>
      </c>
      <c r="AA802" s="59">
        <f>IF($Y802="","",IF(INDEX($D$6:$D$40000,$Y802)="","",INDEX($D$6:$D$40000,$Y802)))</f>
        <v/>
      </c>
      <c r="AB802">
        <f>IF($Y802="","",INDEX($L$6:$L$40000,$Y802)&amp;"")</f>
        <v/>
      </c>
    </row>
    <row r="803">
      <c r="Y803" s="47">
        <f>IFERROR(MATCH(Library!M803,$M$6:$M$40000,0),"")</f>
        <v/>
      </c>
      <c r="Z803">
        <f>IF($Y803="","",INDEX($C$6:$C$40000,$Y803)&amp;"")</f>
        <v/>
      </c>
      <c r="AA803" s="59">
        <f>IF($Y803="","",IF(INDEX($D$6:$D$40000,$Y803)="","",INDEX($D$6:$D$40000,$Y803)))</f>
        <v/>
      </c>
      <c r="AB803">
        <f>IF($Y803="","",INDEX($L$6:$L$40000,$Y803)&amp;"")</f>
        <v/>
      </c>
    </row>
    <row r="804">
      <c r="Y804" s="47">
        <f>IFERROR(MATCH(Library!M804,$M$6:$M$40000,0),"")</f>
        <v/>
      </c>
      <c r="Z804">
        <f>IF($Y804="","",INDEX($C$6:$C$40000,$Y804)&amp;"")</f>
        <v/>
      </c>
      <c r="AA804" s="59">
        <f>IF($Y804="","",IF(INDEX($D$6:$D$40000,$Y804)="","",INDEX($D$6:$D$40000,$Y804)))</f>
        <v/>
      </c>
      <c r="AB804">
        <f>IF($Y804="","",INDEX($L$6:$L$40000,$Y804)&amp;"")</f>
        <v/>
      </c>
    </row>
    <row r="805">
      <c r="Y805" s="47">
        <f>IFERROR(MATCH(Library!M805,$M$6:$M$40000,0),"")</f>
        <v/>
      </c>
      <c r="Z805">
        <f>IF($Y805="","",INDEX($C$6:$C$40000,$Y805)&amp;"")</f>
        <v/>
      </c>
      <c r="AA805" s="59">
        <f>IF($Y805="","",IF(INDEX($D$6:$D$40000,$Y805)="","",INDEX($D$6:$D$40000,$Y805)))</f>
        <v/>
      </c>
      <c r="AB805">
        <f>IF($Y805="","",INDEX($L$6:$L$40000,$Y805)&amp;"")</f>
        <v/>
      </c>
    </row>
    <row r="806">
      <c r="Y806" s="47">
        <f>IFERROR(MATCH(Library!M806,$M$6:$M$40000,0),"")</f>
        <v/>
      </c>
      <c r="Z806">
        <f>IF($Y806="","",INDEX($C$6:$C$40000,$Y806)&amp;"")</f>
        <v/>
      </c>
      <c r="AA806" s="59">
        <f>IF($Y806="","",IF(INDEX($D$6:$D$40000,$Y806)="","",INDEX($D$6:$D$40000,$Y806)))</f>
        <v/>
      </c>
      <c r="AB806">
        <f>IF($Y806="","",INDEX($L$6:$L$40000,$Y806)&amp;"")</f>
        <v/>
      </c>
    </row>
    <row r="807">
      <c r="Y807" s="47">
        <f>IFERROR(MATCH(Library!M807,$M$6:$M$40000,0),"")</f>
        <v/>
      </c>
      <c r="Z807">
        <f>IF($Y807="","",INDEX($C$6:$C$40000,$Y807)&amp;"")</f>
        <v/>
      </c>
      <c r="AA807" s="59">
        <f>IF($Y807="","",IF(INDEX($D$6:$D$40000,$Y807)="","",INDEX($D$6:$D$40000,$Y807)))</f>
        <v/>
      </c>
      <c r="AB807">
        <f>IF($Y807="","",INDEX($L$6:$L$40000,$Y807)&amp;"")</f>
        <v/>
      </c>
    </row>
    <row r="808">
      <c r="Y808" s="47">
        <f>IFERROR(MATCH(Library!M808,$M$6:$M$40000,0),"")</f>
        <v/>
      </c>
      <c r="Z808">
        <f>IF($Y808="","",INDEX($C$6:$C$40000,$Y808)&amp;"")</f>
        <v/>
      </c>
      <c r="AA808" s="59">
        <f>IF($Y808="","",IF(INDEX($D$6:$D$40000,$Y808)="","",INDEX($D$6:$D$40000,$Y808)))</f>
        <v/>
      </c>
      <c r="AB808">
        <f>IF($Y808="","",INDEX($L$6:$L$40000,$Y808)&amp;"")</f>
        <v/>
      </c>
    </row>
    <row r="809">
      <c r="Y809" s="47">
        <f>IFERROR(MATCH(Library!M809,$M$6:$M$40000,0),"")</f>
        <v/>
      </c>
      <c r="Z809">
        <f>IF($Y809="","",INDEX($C$6:$C$40000,$Y809)&amp;"")</f>
        <v/>
      </c>
      <c r="AA809" s="59">
        <f>IF($Y809="","",IF(INDEX($D$6:$D$40000,$Y809)="","",INDEX($D$6:$D$40000,$Y809)))</f>
        <v/>
      </c>
      <c r="AB809">
        <f>IF($Y809="","",INDEX($L$6:$L$40000,$Y809)&amp;"")</f>
        <v/>
      </c>
    </row>
    <row r="810">
      <c r="Y810" s="47">
        <f>IFERROR(MATCH(Library!M810,$M$6:$M$40000,0),"")</f>
        <v/>
      </c>
      <c r="Z810">
        <f>IF($Y810="","",INDEX($C$6:$C$40000,$Y810)&amp;"")</f>
        <v/>
      </c>
      <c r="AA810" s="59">
        <f>IF($Y810="","",IF(INDEX($D$6:$D$40000,$Y810)="","",INDEX($D$6:$D$40000,$Y810)))</f>
        <v/>
      </c>
      <c r="AB810">
        <f>IF($Y810="","",INDEX($L$6:$L$40000,$Y810)&amp;"")</f>
        <v/>
      </c>
    </row>
    <row r="811">
      <c r="Y811" s="47">
        <f>IFERROR(MATCH(Library!M811,$M$6:$M$40000,0),"")</f>
        <v/>
      </c>
      <c r="Z811">
        <f>IF($Y811="","",INDEX($C$6:$C$40000,$Y811)&amp;"")</f>
        <v/>
      </c>
      <c r="AA811" s="59">
        <f>IF($Y811="","",IF(INDEX($D$6:$D$40000,$Y811)="","",INDEX($D$6:$D$40000,$Y811)))</f>
        <v/>
      </c>
      <c r="AB811">
        <f>IF($Y811="","",INDEX($L$6:$L$40000,$Y811)&amp;"")</f>
        <v/>
      </c>
    </row>
    <row r="812">
      <c r="Y812" s="47">
        <f>IFERROR(MATCH(Library!M812,$M$6:$M$40000,0),"")</f>
        <v/>
      </c>
      <c r="Z812">
        <f>IF($Y812="","",INDEX($C$6:$C$40000,$Y812)&amp;"")</f>
        <v/>
      </c>
      <c r="AA812" s="59">
        <f>IF($Y812="","",IF(INDEX($D$6:$D$40000,$Y812)="","",INDEX($D$6:$D$40000,$Y812)))</f>
        <v/>
      </c>
      <c r="AB812">
        <f>IF($Y812="","",INDEX($L$6:$L$40000,$Y812)&amp;"")</f>
        <v/>
      </c>
    </row>
    <row r="813">
      <c r="Y813" s="47">
        <f>IFERROR(MATCH(Library!M813,$M$6:$M$40000,0),"")</f>
        <v/>
      </c>
      <c r="Z813">
        <f>IF($Y813="","",INDEX($C$6:$C$40000,$Y813)&amp;"")</f>
        <v/>
      </c>
      <c r="AA813" s="59">
        <f>IF($Y813="","",IF(INDEX($D$6:$D$40000,$Y813)="","",INDEX($D$6:$D$40000,$Y813)))</f>
        <v/>
      </c>
      <c r="AB813">
        <f>IF($Y813="","",INDEX($L$6:$L$40000,$Y813)&amp;"")</f>
        <v/>
      </c>
    </row>
    <row r="814">
      <c r="Y814" s="47">
        <f>IFERROR(MATCH(Library!M814,$M$6:$M$40000,0),"")</f>
        <v/>
      </c>
      <c r="Z814">
        <f>IF($Y814="","",INDEX($C$6:$C$40000,$Y814)&amp;"")</f>
        <v/>
      </c>
      <c r="AA814" s="59">
        <f>IF($Y814="","",IF(INDEX($D$6:$D$40000,$Y814)="","",INDEX($D$6:$D$40000,$Y814)))</f>
        <v/>
      </c>
      <c r="AB814">
        <f>IF($Y814="","",INDEX($L$6:$L$40000,$Y814)&amp;"")</f>
        <v/>
      </c>
    </row>
    <row r="815">
      <c r="Y815" s="47">
        <f>IFERROR(MATCH(Library!M815,$M$6:$M$40000,0),"")</f>
        <v/>
      </c>
      <c r="Z815">
        <f>IF($Y815="","",INDEX($C$6:$C$40000,$Y815)&amp;"")</f>
        <v/>
      </c>
      <c r="AA815" s="59">
        <f>IF($Y815="","",IF(INDEX($D$6:$D$40000,$Y815)="","",INDEX($D$6:$D$40000,$Y815)))</f>
        <v/>
      </c>
      <c r="AB815">
        <f>IF($Y815="","",INDEX($L$6:$L$40000,$Y815)&amp;"")</f>
        <v/>
      </c>
    </row>
    <row r="816">
      <c r="Y816" s="47">
        <f>IFERROR(MATCH(Library!M816,$M$6:$M$40000,0),"")</f>
        <v/>
      </c>
      <c r="Z816">
        <f>IF($Y816="","",INDEX($C$6:$C$40000,$Y816)&amp;"")</f>
        <v/>
      </c>
      <c r="AA816" s="59">
        <f>IF($Y816="","",IF(INDEX($D$6:$D$40000,$Y816)="","",INDEX($D$6:$D$40000,$Y816)))</f>
        <v/>
      </c>
      <c r="AB816">
        <f>IF($Y816="","",INDEX($L$6:$L$40000,$Y816)&amp;"")</f>
        <v/>
      </c>
    </row>
    <row r="817">
      <c r="Y817" s="47">
        <f>IFERROR(MATCH(Library!M817,$M$6:$M$40000,0),"")</f>
        <v/>
      </c>
      <c r="Z817">
        <f>IF($Y817="","",INDEX($C$6:$C$40000,$Y817)&amp;"")</f>
        <v/>
      </c>
      <c r="AA817" s="59">
        <f>IF($Y817="","",IF(INDEX($D$6:$D$40000,$Y817)="","",INDEX($D$6:$D$40000,$Y817)))</f>
        <v/>
      </c>
      <c r="AB817">
        <f>IF($Y817="","",INDEX($L$6:$L$40000,$Y817)&amp;"")</f>
        <v/>
      </c>
    </row>
    <row r="818">
      <c r="Y818" s="47">
        <f>IFERROR(MATCH(Library!M818,$M$6:$M$40000,0),"")</f>
        <v/>
      </c>
      <c r="Z818">
        <f>IF($Y818="","",INDEX($C$6:$C$40000,$Y818)&amp;"")</f>
        <v/>
      </c>
      <c r="AA818" s="59">
        <f>IF($Y818="","",IF(INDEX($D$6:$D$40000,$Y818)="","",INDEX($D$6:$D$40000,$Y818)))</f>
        <v/>
      </c>
      <c r="AB818">
        <f>IF($Y818="","",INDEX($L$6:$L$40000,$Y818)&amp;"")</f>
        <v/>
      </c>
    </row>
    <row r="819">
      <c r="Y819" s="47">
        <f>IFERROR(MATCH(Library!M819,$M$6:$M$40000,0),"")</f>
        <v/>
      </c>
      <c r="Z819">
        <f>IF($Y819="","",INDEX($C$6:$C$40000,$Y819)&amp;"")</f>
        <v/>
      </c>
      <c r="AA819" s="59">
        <f>IF($Y819="","",IF(INDEX($D$6:$D$40000,$Y819)="","",INDEX($D$6:$D$40000,$Y819)))</f>
        <v/>
      </c>
      <c r="AB819">
        <f>IF($Y819="","",INDEX($L$6:$L$40000,$Y819)&amp;"")</f>
        <v/>
      </c>
    </row>
    <row r="820">
      <c r="Y820" s="47">
        <f>IFERROR(MATCH(Library!M820,$M$6:$M$40000,0),"")</f>
        <v/>
      </c>
      <c r="Z820">
        <f>IF($Y820="","",INDEX($C$6:$C$40000,$Y820)&amp;"")</f>
        <v/>
      </c>
      <c r="AA820" s="59">
        <f>IF($Y820="","",IF(INDEX($D$6:$D$40000,$Y820)="","",INDEX($D$6:$D$40000,$Y820)))</f>
        <v/>
      </c>
      <c r="AB820">
        <f>IF($Y820="","",INDEX($L$6:$L$40000,$Y820)&amp;"")</f>
        <v/>
      </c>
    </row>
    <row r="821">
      <c r="Y821" s="47">
        <f>IFERROR(MATCH(Library!M821,$M$6:$M$40000,0),"")</f>
        <v/>
      </c>
      <c r="Z821">
        <f>IF($Y821="","",INDEX($C$6:$C$40000,$Y821)&amp;"")</f>
        <v/>
      </c>
      <c r="AA821" s="59">
        <f>IF($Y821="","",IF(INDEX($D$6:$D$40000,$Y821)="","",INDEX($D$6:$D$40000,$Y821)))</f>
        <v/>
      </c>
      <c r="AB821">
        <f>IF($Y821="","",INDEX($L$6:$L$40000,$Y821)&amp;"")</f>
        <v/>
      </c>
    </row>
    <row r="822">
      <c r="Y822" s="47">
        <f>IFERROR(MATCH(Library!M822,$M$6:$M$40000,0),"")</f>
        <v/>
      </c>
      <c r="Z822">
        <f>IF($Y822="","",INDEX($C$6:$C$40000,$Y822)&amp;"")</f>
        <v/>
      </c>
      <c r="AA822" s="59">
        <f>IF($Y822="","",IF(INDEX($D$6:$D$40000,$Y822)="","",INDEX($D$6:$D$40000,$Y822)))</f>
        <v/>
      </c>
      <c r="AB822">
        <f>IF($Y822="","",INDEX($L$6:$L$40000,$Y822)&amp;"")</f>
        <v/>
      </c>
    </row>
    <row r="823">
      <c r="Y823" s="47">
        <f>IFERROR(MATCH(Library!M823,$M$6:$M$40000,0),"")</f>
        <v/>
      </c>
      <c r="Z823">
        <f>IF($Y823="","",INDEX($C$6:$C$40000,$Y823)&amp;"")</f>
        <v/>
      </c>
      <c r="AA823" s="59">
        <f>IF($Y823="","",IF(INDEX($D$6:$D$40000,$Y823)="","",INDEX($D$6:$D$40000,$Y823)))</f>
        <v/>
      </c>
      <c r="AB823">
        <f>IF($Y823="","",INDEX($L$6:$L$40000,$Y823)&amp;"")</f>
        <v/>
      </c>
    </row>
    <row r="824">
      <c r="Y824" s="47">
        <f>IFERROR(MATCH(Library!M824,$M$6:$M$40000,0),"")</f>
        <v/>
      </c>
      <c r="Z824">
        <f>IF($Y824="","",INDEX($C$6:$C$40000,$Y824)&amp;"")</f>
        <v/>
      </c>
      <c r="AA824" s="59">
        <f>IF($Y824="","",IF(INDEX($D$6:$D$40000,$Y824)="","",INDEX($D$6:$D$40000,$Y824)))</f>
        <v/>
      </c>
      <c r="AB824">
        <f>IF($Y824="","",INDEX($L$6:$L$40000,$Y824)&amp;"")</f>
        <v/>
      </c>
    </row>
    <row r="825">
      <c r="Y825" s="47">
        <f>IFERROR(MATCH(Library!M825,$M$6:$M$40000,0),"")</f>
        <v/>
      </c>
      <c r="Z825">
        <f>IF($Y825="","",INDEX($C$6:$C$40000,$Y825)&amp;"")</f>
        <v/>
      </c>
      <c r="AA825" s="59">
        <f>IF($Y825="","",IF(INDEX($D$6:$D$40000,$Y825)="","",INDEX($D$6:$D$40000,$Y825)))</f>
        <v/>
      </c>
      <c r="AB825">
        <f>IF($Y825="","",INDEX($L$6:$L$40000,$Y825)&amp;"")</f>
        <v/>
      </c>
    </row>
    <row r="826">
      <c r="Y826" s="47">
        <f>IFERROR(MATCH(Library!M826,$M$6:$M$40000,0),"")</f>
        <v/>
      </c>
      <c r="Z826">
        <f>IF($Y826="","",INDEX($C$6:$C$40000,$Y826)&amp;"")</f>
        <v/>
      </c>
      <c r="AA826" s="59">
        <f>IF($Y826="","",IF(INDEX($D$6:$D$40000,$Y826)="","",INDEX($D$6:$D$40000,$Y826)))</f>
        <v/>
      </c>
      <c r="AB826">
        <f>IF($Y826="","",INDEX($L$6:$L$40000,$Y826)&amp;"")</f>
        <v/>
      </c>
    </row>
    <row r="827">
      <c r="Y827" s="47">
        <f>IFERROR(MATCH(Library!M827,$M$6:$M$40000,0),"")</f>
        <v/>
      </c>
      <c r="Z827">
        <f>IF($Y827="","",INDEX($C$6:$C$40000,$Y827)&amp;"")</f>
        <v/>
      </c>
      <c r="AA827" s="59">
        <f>IF($Y827="","",IF(INDEX($D$6:$D$40000,$Y827)="","",INDEX($D$6:$D$40000,$Y827)))</f>
        <v/>
      </c>
      <c r="AB827">
        <f>IF($Y827="","",INDEX($L$6:$L$40000,$Y827)&amp;"")</f>
        <v/>
      </c>
    </row>
    <row r="828">
      <c r="Y828" s="47">
        <f>IFERROR(MATCH(Library!M828,$M$6:$M$40000,0),"")</f>
        <v/>
      </c>
      <c r="Z828">
        <f>IF($Y828="","",INDEX($C$6:$C$40000,$Y828)&amp;"")</f>
        <v/>
      </c>
      <c r="AA828" s="59">
        <f>IF($Y828="","",IF(INDEX($D$6:$D$40000,$Y828)="","",INDEX($D$6:$D$40000,$Y828)))</f>
        <v/>
      </c>
      <c r="AB828">
        <f>IF($Y828="","",INDEX($L$6:$L$40000,$Y828)&amp;"")</f>
        <v/>
      </c>
    </row>
    <row r="829">
      <c r="Y829" s="47">
        <f>IFERROR(MATCH(Library!M829,$M$6:$M$40000,0),"")</f>
        <v/>
      </c>
      <c r="Z829">
        <f>IF($Y829="","",INDEX($C$6:$C$40000,$Y829)&amp;"")</f>
        <v/>
      </c>
      <c r="AA829" s="59">
        <f>IF($Y829="","",IF(INDEX($D$6:$D$40000,$Y829)="","",INDEX($D$6:$D$40000,$Y829)))</f>
        <v/>
      </c>
      <c r="AB829">
        <f>IF($Y829="","",INDEX($L$6:$L$40000,$Y829)&amp;"")</f>
        <v/>
      </c>
    </row>
    <row r="830">
      <c r="Y830" s="47">
        <f>IFERROR(MATCH(Library!M830,$M$6:$M$40000,0),"")</f>
        <v/>
      </c>
      <c r="Z830">
        <f>IF($Y830="","",INDEX($C$6:$C$40000,$Y830)&amp;"")</f>
        <v/>
      </c>
      <c r="AA830" s="59">
        <f>IF($Y830="","",IF(INDEX($D$6:$D$40000,$Y830)="","",INDEX($D$6:$D$40000,$Y830)))</f>
        <v/>
      </c>
      <c r="AB830">
        <f>IF($Y830="","",INDEX($L$6:$L$40000,$Y830)&amp;"")</f>
        <v/>
      </c>
    </row>
    <row r="831">
      <c r="Y831" s="47">
        <f>IFERROR(MATCH(Library!M831,$M$6:$M$40000,0),"")</f>
        <v/>
      </c>
      <c r="Z831">
        <f>IF($Y831="","",INDEX($C$6:$C$40000,$Y831)&amp;"")</f>
        <v/>
      </c>
      <c r="AA831" s="59">
        <f>IF($Y831="","",IF(INDEX($D$6:$D$40000,$Y831)="","",INDEX($D$6:$D$40000,$Y831)))</f>
        <v/>
      </c>
      <c r="AB831">
        <f>IF($Y831="","",INDEX($L$6:$L$40000,$Y831)&amp;"")</f>
        <v/>
      </c>
    </row>
    <row r="832">
      <c r="Y832" s="47">
        <f>IFERROR(MATCH(Library!M832,$M$6:$M$40000,0),"")</f>
        <v/>
      </c>
      <c r="Z832">
        <f>IF($Y832="","",INDEX($C$6:$C$40000,$Y832)&amp;"")</f>
        <v/>
      </c>
      <c r="AA832" s="59">
        <f>IF($Y832="","",IF(INDEX($D$6:$D$40000,$Y832)="","",INDEX($D$6:$D$40000,$Y832)))</f>
        <v/>
      </c>
      <c r="AB832">
        <f>IF($Y832="","",INDEX($L$6:$L$40000,$Y832)&amp;"")</f>
        <v/>
      </c>
    </row>
    <row r="833">
      <c r="Y833" s="47">
        <f>IFERROR(MATCH(Library!M833,$M$6:$M$40000,0),"")</f>
        <v/>
      </c>
      <c r="Z833">
        <f>IF($Y833="","",INDEX($C$6:$C$40000,$Y833)&amp;"")</f>
        <v/>
      </c>
      <c r="AA833" s="59">
        <f>IF($Y833="","",IF(INDEX($D$6:$D$40000,$Y833)="","",INDEX($D$6:$D$40000,$Y833)))</f>
        <v/>
      </c>
      <c r="AB833">
        <f>IF($Y833="","",INDEX($L$6:$L$40000,$Y833)&amp;"")</f>
        <v/>
      </c>
    </row>
    <row r="834">
      <c r="Y834" s="47">
        <f>IFERROR(MATCH(Library!M834,$M$6:$M$40000,0),"")</f>
        <v/>
      </c>
      <c r="Z834">
        <f>IF($Y834="","",INDEX($C$6:$C$40000,$Y834)&amp;"")</f>
        <v/>
      </c>
      <c r="AA834" s="59">
        <f>IF($Y834="","",IF(INDEX($D$6:$D$40000,$Y834)="","",INDEX($D$6:$D$40000,$Y834)))</f>
        <v/>
      </c>
      <c r="AB834">
        <f>IF($Y834="","",INDEX($L$6:$L$40000,$Y834)&amp;"")</f>
        <v/>
      </c>
    </row>
    <row r="835">
      <c r="Y835" s="47">
        <f>IFERROR(MATCH(Library!M835,$M$6:$M$40000,0),"")</f>
        <v/>
      </c>
      <c r="Z835">
        <f>IF($Y835="","",INDEX($C$6:$C$40000,$Y835)&amp;"")</f>
        <v/>
      </c>
      <c r="AA835" s="59">
        <f>IF($Y835="","",IF(INDEX($D$6:$D$40000,$Y835)="","",INDEX($D$6:$D$40000,$Y835)))</f>
        <v/>
      </c>
      <c r="AB835">
        <f>IF($Y835="","",INDEX($L$6:$L$40000,$Y835)&amp;"")</f>
        <v/>
      </c>
    </row>
    <row r="836">
      <c r="Y836" s="47">
        <f>IFERROR(MATCH(Library!M836,$M$6:$M$40000,0),"")</f>
        <v/>
      </c>
      <c r="Z836">
        <f>IF($Y836="","",INDEX($C$6:$C$40000,$Y836)&amp;"")</f>
        <v/>
      </c>
      <c r="AA836" s="59">
        <f>IF($Y836="","",IF(INDEX($D$6:$D$40000,$Y836)="","",INDEX($D$6:$D$40000,$Y836)))</f>
        <v/>
      </c>
      <c r="AB836">
        <f>IF($Y836="","",INDEX($L$6:$L$40000,$Y836)&amp;"")</f>
        <v/>
      </c>
    </row>
    <row r="837">
      <c r="Y837" s="47">
        <f>IFERROR(MATCH(Library!M837,$M$6:$M$40000,0),"")</f>
        <v/>
      </c>
      <c r="Z837">
        <f>IF($Y837="","",INDEX($C$6:$C$40000,$Y837)&amp;"")</f>
        <v/>
      </c>
      <c r="AA837" s="59">
        <f>IF($Y837="","",IF(INDEX($D$6:$D$40000,$Y837)="","",INDEX($D$6:$D$40000,$Y837)))</f>
        <v/>
      </c>
      <c r="AB837">
        <f>IF($Y837="","",INDEX($L$6:$L$40000,$Y837)&amp;"")</f>
        <v/>
      </c>
    </row>
    <row r="838">
      <c r="Y838" s="47">
        <f>IFERROR(MATCH(Library!M838,$M$6:$M$40000,0),"")</f>
        <v/>
      </c>
      <c r="Z838">
        <f>IF($Y838="","",INDEX($C$6:$C$40000,$Y838)&amp;"")</f>
        <v/>
      </c>
      <c r="AA838" s="59">
        <f>IF($Y838="","",IF(INDEX($D$6:$D$40000,$Y838)="","",INDEX($D$6:$D$40000,$Y838)))</f>
        <v/>
      </c>
      <c r="AB838">
        <f>IF($Y838="","",INDEX($L$6:$L$40000,$Y838)&amp;"")</f>
        <v/>
      </c>
    </row>
    <row r="839">
      <c r="Y839" s="47">
        <f>IFERROR(MATCH(Library!M839,$M$6:$M$40000,0),"")</f>
        <v/>
      </c>
      <c r="Z839">
        <f>IF($Y839="","",INDEX($C$6:$C$40000,$Y839)&amp;"")</f>
        <v/>
      </c>
      <c r="AA839" s="59">
        <f>IF($Y839="","",IF(INDEX($D$6:$D$40000,$Y839)="","",INDEX($D$6:$D$40000,$Y839)))</f>
        <v/>
      </c>
      <c r="AB839">
        <f>IF($Y839="","",INDEX($L$6:$L$40000,$Y839)&amp;"")</f>
        <v/>
      </c>
    </row>
    <row r="840">
      <c r="Y840" s="47">
        <f>IFERROR(MATCH(Library!M840,$M$6:$M$40000,0),"")</f>
        <v/>
      </c>
      <c r="Z840">
        <f>IF($Y840="","",INDEX($C$6:$C$40000,$Y840)&amp;"")</f>
        <v/>
      </c>
      <c r="AA840" s="59">
        <f>IF($Y840="","",IF(INDEX($D$6:$D$40000,$Y840)="","",INDEX($D$6:$D$40000,$Y840)))</f>
        <v/>
      </c>
      <c r="AB840">
        <f>IF($Y840="","",INDEX($L$6:$L$40000,$Y840)&amp;"")</f>
        <v/>
      </c>
    </row>
    <row r="841">
      <c r="Y841" s="47">
        <f>IFERROR(MATCH(Library!M841,$M$6:$M$40000,0),"")</f>
        <v/>
      </c>
      <c r="Z841">
        <f>IF($Y841="","",INDEX($C$6:$C$40000,$Y841)&amp;"")</f>
        <v/>
      </c>
      <c r="AA841" s="59">
        <f>IF($Y841="","",IF(INDEX($D$6:$D$40000,$Y841)="","",INDEX($D$6:$D$40000,$Y841)))</f>
        <v/>
      </c>
      <c r="AB841">
        <f>IF($Y841="","",INDEX($L$6:$L$40000,$Y841)&amp;"")</f>
        <v/>
      </c>
    </row>
    <row r="842">
      <c r="Y842" s="47">
        <f>IFERROR(MATCH(Library!M842,$M$6:$M$40000,0),"")</f>
        <v/>
      </c>
      <c r="Z842">
        <f>IF($Y842="","",INDEX($C$6:$C$40000,$Y842)&amp;"")</f>
        <v/>
      </c>
      <c r="AA842" s="59">
        <f>IF($Y842="","",IF(INDEX($D$6:$D$40000,$Y842)="","",INDEX($D$6:$D$40000,$Y842)))</f>
        <v/>
      </c>
      <c r="AB842">
        <f>IF($Y842="","",INDEX($L$6:$L$40000,$Y842)&amp;"")</f>
        <v/>
      </c>
    </row>
    <row r="843">
      <c r="Y843" s="47">
        <f>IFERROR(MATCH(Library!M843,$M$6:$M$40000,0),"")</f>
        <v/>
      </c>
      <c r="Z843">
        <f>IF($Y843="","",INDEX($C$6:$C$40000,$Y843)&amp;"")</f>
        <v/>
      </c>
      <c r="AA843" s="59">
        <f>IF($Y843="","",IF(INDEX($D$6:$D$40000,$Y843)="","",INDEX($D$6:$D$40000,$Y843)))</f>
        <v/>
      </c>
      <c r="AB843">
        <f>IF($Y843="","",INDEX($L$6:$L$40000,$Y843)&amp;"")</f>
        <v/>
      </c>
    </row>
    <row r="844">
      <c r="Y844" s="47">
        <f>IFERROR(MATCH(Library!M844,$M$6:$M$40000,0),"")</f>
        <v/>
      </c>
      <c r="Z844">
        <f>IF($Y844="","",INDEX($C$6:$C$40000,$Y844)&amp;"")</f>
        <v/>
      </c>
      <c r="AA844" s="59">
        <f>IF($Y844="","",IF(INDEX($D$6:$D$40000,$Y844)="","",INDEX($D$6:$D$40000,$Y844)))</f>
        <v/>
      </c>
      <c r="AB844">
        <f>IF($Y844="","",INDEX($L$6:$L$40000,$Y844)&amp;"")</f>
        <v/>
      </c>
    </row>
    <row r="845">
      <c r="Y845" s="47">
        <f>IFERROR(MATCH(Library!M845,$M$6:$M$40000,0),"")</f>
        <v/>
      </c>
      <c r="Z845">
        <f>IF($Y845="","",INDEX($C$6:$C$40000,$Y845)&amp;"")</f>
        <v/>
      </c>
      <c r="AA845" s="59">
        <f>IF($Y845="","",IF(INDEX($D$6:$D$40000,$Y845)="","",INDEX($D$6:$D$40000,$Y845)))</f>
        <v/>
      </c>
      <c r="AB845">
        <f>IF($Y845="","",INDEX($L$6:$L$40000,$Y845)&amp;"")</f>
        <v/>
      </c>
    </row>
    <row r="846">
      <c r="Y846" s="47">
        <f>IFERROR(MATCH(Library!M846,$M$6:$M$40000,0),"")</f>
        <v/>
      </c>
      <c r="Z846">
        <f>IF($Y846="","",INDEX($C$6:$C$40000,$Y846)&amp;"")</f>
        <v/>
      </c>
      <c r="AA846" s="59">
        <f>IF($Y846="","",IF(INDEX($D$6:$D$40000,$Y846)="","",INDEX($D$6:$D$40000,$Y846)))</f>
        <v/>
      </c>
      <c r="AB846">
        <f>IF($Y846="","",INDEX($L$6:$L$40000,$Y846)&amp;"")</f>
        <v/>
      </c>
    </row>
    <row r="847">
      <c r="Y847" s="47">
        <f>IFERROR(MATCH(Library!M847,$M$6:$M$40000,0),"")</f>
        <v/>
      </c>
      <c r="Z847">
        <f>IF($Y847="","",INDEX($C$6:$C$40000,$Y847)&amp;"")</f>
        <v/>
      </c>
      <c r="AA847" s="59">
        <f>IF($Y847="","",IF(INDEX($D$6:$D$40000,$Y847)="","",INDEX($D$6:$D$40000,$Y847)))</f>
        <v/>
      </c>
      <c r="AB847">
        <f>IF($Y847="","",INDEX($L$6:$L$40000,$Y847)&amp;"")</f>
        <v/>
      </c>
    </row>
    <row r="848">
      <c r="Y848" s="47">
        <f>IFERROR(MATCH(Library!M848,$M$6:$M$40000,0),"")</f>
        <v/>
      </c>
      <c r="Z848">
        <f>IF($Y848="","",INDEX($C$6:$C$40000,$Y848)&amp;"")</f>
        <v/>
      </c>
      <c r="AA848" s="59">
        <f>IF($Y848="","",IF(INDEX($D$6:$D$40000,$Y848)="","",INDEX($D$6:$D$40000,$Y848)))</f>
        <v/>
      </c>
      <c r="AB848">
        <f>IF($Y848="","",INDEX($L$6:$L$40000,$Y848)&amp;"")</f>
        <v/>
      </c>
    </row>
    <row r="849">
      <c r="Y849" s="47">
        <f>IFERROR(MATCH(Library!M849,$M$6:$M$40000,0),"")</f>
        <v/>
      </c>
      <c r="Z849">
        <f>IF($Y849="","",INDEX($C$6:$C$40000,$Y849)&amp;"")</f>
        <v/>
      </c>
      <c r="AA849" s="59">
        <f>IF($Y849="","",IF(INDEX($D$6:$D$40000,$Y849)="","",INDEX($D$6:$D$40000,$Y849)))</f>
        <v/>
      </c>
      <c r="AB849">
        <f>IF($Y849="","",INDEX($L$6:$L$40000,$Y849)&amp;"")</f>
        <v/>
      </c>
    </row>
    <row r="850">
      <c r="Y850" s="47">
        <f>IFERROR(MATCH(Library!M850,$M$6:$M$40000,0),"")</f>
        <v/>
      </c>
      <c r="Z850">
        <f>IF($Y850="","",INDEX($C$6:$C$40000,$Y850)&amp;"")</f>
        <v/>
      </c>
      <c r="AA850" s="59">
        <f>IF($Y850="","",IF(INDEX($D$6:$D$40000,$Y850)="","",INDEX($D$6:$D$40000,$Y850)))</f>
        <v/>
      </c>
      <c r="AB850">
        <f>IF($Y850="","",INDEX($L$6:$L$40000,$Y850)&amp;"")</f>
        <v/>
      </c>
    </row>
    <row r="851">
      <c r="Y851" s="47">
        <f>IFERROR(MATCH(Library!M851,$M$6:$M$40000,0),"")</f>
        <v/>
      </c>
      <c r="Z851">
        <f>IF($Y851="","",INDEX($C$6:$C$40000,$Y851)&amp;"")</f>
        <v/>
      </c>
      <c r="AA851" s="59">
        <f>IF($Y851="","",IF(INDEX($D$6:$D$40000,$Y851)="","",INDEX($D$6:$D$40000,$Y851)))</f>
        <v/>
      </c>
      <c r="AB851">
        <f>IF($Y851="","",INDEX($L$6:$L$40000,$Y851)&amp;"")</f>
        <v/>
      </c>
    </row>
    <row r="852">
      <c r="Y852" s="47">
        <f>IFERROR(MATCH(Library!M852,$M$6:$M$40000,0),"")</f>
        <v/>
      </c>
      <c r="Z852">
        <f>IF($Y852="","",INDEX($C$6:$C$40000,$Y852)&amp;"")</f>
        <v/>
      </c>
      <c r="AA852" s="59">
        <f>IF($Y852="","",IF(INDEX($D$6:$D$40000,$Y852)="","",INDEX($D$6:$D$40000,$Y852)))</f>
        <v/>
      </c>
      <c r="AB852">
        <f>IF($Y852="","",INDEX($L$6:$L$40000,$Y852)&amp;"")</f>
        <v/>
      </c>
    </row>
    <row r="853">
      <c r="Y853" s="47">
        <f>IFERROR(MATCH(Library!M853,$M$6:$M$40000,0),"")</f>
        <v/>
      </c>
      <c r="Z853">
        <f>IF($Y853="","",INDEX($C$6:$C$40000,$Y853)&amp;"")</f>
        <v/>
      </c>
      <c r="AA853" s="59">
        <f>IF($Y853="","",IF(INDEX($D$6:$D$40000,$Y853)="","",INDEX($D$6:$D$40000,$Y853)))</f>
        <v/>
      </c>
      <c r="AB853">
        <f>IF($Y853="","",INDEX($L$6:$L$40000,$Y853)&amp;"")</f>
        <v/>
      </c>
    </row>
    <row r="854">
      <c r="Y854" s="47">
        <f>IFERROR(MATCH(Library!M854,$M$6:$M$40000,0),"")</f>
        <v/>
      </c>
      <c r="Z854">
        <f>IF($Y854="","",INDEX($C$6:$C$40000,$Y854)&amp;"")</f>
        <v/>
      </c>
      <c r="AA854" s="59">
        <f>IF($Y854="","",IF(INDEX($D$6:$D$40000,$Y854)="","",INDEX($D$6:$D$40000,$Y854)))</f>
        <v/>
      </c>
      <c r="AB854">
        <f>IF($Y854="","",INDEX($L$6:$L$40000,$Y854)&amp;"")</f>
        <v/>
      </c>
    </row>
    <row r="855">
      <c r="Y855" s="47">
        <f>IFERROR(MATCH(Library!M855,$M$6:$M$40000,0),"")</f>
        <v/>
      </c>
      <c r="Z855">
        <f>IF($Y855="","",INDEX($C$6:$C$40000,$Y855)&amp;"")</f>
        <v/>
      </c>
      <c r="AA855" s="59">
        <f>IF($Y855="","",IF(INDEX($D$6:$D$40000,$Y855)="","",INDEX($D$6:$D$40000,$Y855)))</f>
        <v/>
      </c>
      <c r="AB855">
        <f>IF($Y855="","",INDEX($L$6:$L$40000,$Y855)&amp;"")</f>
        <v/>
      </c>
    </row>
    <row r="856">
      <c r="Y856" s="47">
        <f>IFERROR(MATCH(Library!M856,$M$6:$M$40000,0),"")</f>
        <v/>
      </c>
      <c r="Z856">
        <f>IF($Y856="","",INDEX($C$6:$C$40000,$Y856)&amp;"")</f>
        <v/>
      </c>
      <c r="AA856" s="59">
        <f>IF($Y856="","",IF(INDEX($D$6:$D$40000,$Y856)="","",INDEX($D$6:$D$40000,$Y856)))</f>
        <v/>
      </c>
      <c r="AB856">
        <f>IF($Y856="","",INDEX($L$6:$L$40000,$Y856)&amp;"")</f>
        <v/>
      </c>
    </row>
    <row r="857">
      <c r="Y857" s="47">
        <f>IFERROR(MATCH(Library!M857,$M$6:$M$40000,0),"")</f>
        <v/>
      </c>
      <c r="Z857">
        <f>IF($Y857="","",INDEX($C$6:$C$40000,$Y857)&amp;"")</f>
        <v/>
      </c>
      <c r="AA857" s="59">
        <f>IF($Y857="","",IF(INDEX($D$6:$D$40000,$Y857)="","",INDEX($D$6:$D$40000,$Y857)))</f>
        <v/>
      </c>
      <c r="AB857">
        <f>IF($Y857="","",INDEX($L$6:$L$40000,$Y857)&amp;"")</f>
        <v/>
      </c>
    </row>
    <row r="858">
      <c r="Y858" s="47">
        <f>IFERROR(MATCH(Library!M858,$M$6:$M$40000,0),"")</f>
        <v/>
      </c>
      <c r="Z858">
        <f>IF($Y858="","",INDEX($C$6:$C$40000,$Y858)&amp;"")</f>
        <v/>
      </c>
      <c r="AA858" s="59">
        <f>IF($Y858="","",IF(INDEX($D$6:$D$40000,$Y858)="","",INDEX($D$6:$D$40000,$Y858)))</f>
        <v/>
      </c>
      <c r="AB858">
        <f>IF($Y858="","",INDEX($L$6:$L$40000,$Y858)&amp;"")</f>
        <v/>
      </c>
    </row>
    <row r="859">
      <c r="Y859" s="47">
        <f>IFERROR(MATCH(Library!M859,$M$6:$M$40000,0),"")</f>
        <v/>
      </c>
      <c r="Z859">
        <f>IF($Y859="","",INDEX($C$6:$C$40000,$Y859)&amp;"")</f>
        <v/>
      </c>
      <c r="AA859" s="59">
        <f>IF($Y859="","",IF(INDEX($D$6:$D$40000,$Y859)="","",INDEX($D$6:$D$40000,$Y859)))</f>
        <v/>
      </c>
      <c r="AB859">
        <f>IF($Y859="","",INDEX($L$6:$L$40000,$Y859)&amp;"")</f>
        <v/>
      </c>
    </row>
    <row r="860">
      <c r="Y860" s="47">
        <f>IFERROR(MATCH(Library!M860,$M$6:$M$40000,0),"")</f>
        <v/>
      </c>
      <c r="Z860">
        <f>IF($Y860="","",INDEX($C$6:$C$40000,$Y860)&amp;"")</f>
        <v/>
      </c>
      <c r="AA860" s="59">
        <f>IF($Y860="","",IF(INDEX($D$6:$D$40000,$Y860)="","",INDEX($D$6:$D$40000,$Y860)))</f>
        <v/>
      </c>
      <c r="AB860">
        <f>IF($Y860="","",INDEX($L$6:$L$40000,$Y860)&amp;"")</f>
        <v/>
      </c>
    </row>
    <row r="861">
      <c r="Y861" s="47">
        <f>IFERROR(MATCH(Library!M861,$M$6:$M$40000,0),"")</f>
        <v/>
      </c>
      <c r="Z861">
        <f>IF($Y861="","",INDEX($C$6:$C$40000,$Y861)&amp;"")</f>
        <v/>
      </c>
      <c r="AA861" s="59">
        <f>IF($Y861="","",IF(INDEX($D$6:$D$40000,$Y861)="","",INDEX($D$6:$D$40000,$Y861)))</f>
        <v/>
      </c>
      <c r="AB861">
        <f>IF($Y861="","",INDEX($L$6:$L$40000,$Y861)&amp;"")</f>
        <v/>
      </c>
    </row>
    <row r="862">
      <c r="Y862" s="47">
        <f>IFERROR(MATCH(Library!M862,$M$6:$M$40000,0),"")</f>
        <v/>
      </c>
      <c r="Z862">
        <f>IF($Y862="","",INDEX($C$6:$C$40000,$Y862)&amp;"")</f>
        <v/>
      </c>
      <c r="AA862" s="59">
        <f>IF($Y862="","",IF(INDEX($D$6:$D$40000,$Y862)="","",INDEX($D$6:$D$40000,$Y862)))</f>
        <v/>
      </c>
      <c r="AB862">
        <f>IF($Y862="","",INDEX($L$6:$L$40000,$Y862)&amp;"")</f>
        <v/>
      </c>
    </row>
    <row r="863">
      <c r="Y863" s="47">
        <f>IFERROR(MATCH(Library!M863,$M$6:$M$40000,0),"")</f>
        <v/>
      </c>
      <c r="Z863">
        <f>IF($Y863="","",INDEX($C$6:$C$40000,$Y863)&amp;"")</f>
        <v/>
      </c>
      <c r="AA863" s="59">
        <f>IF($Y863="","",IF(INDEX($D$6:$D$40000,$Y863)="","",INDEX($D$6:$D$40000,$Y863)))</f>
        <v/>
      </c>
      <c r="AB863">
        <f>IF($Y863="","",INDEX($L$6:$L$40000,$Y863)&amp;"")</f>
        <v/>
      </c>
    </row>
    <row r="864">
      <c r="Y864" s="47">
        <f>IFERROR(MATCH(Library!M864,$M$6:$M$40000,0),"")</f>
        <v/>
      </c>
      <c r="Z864">
        <f>IF($Y864="","",INDEX($C$6:$C$40000,$Y864)&amp;"")</f>
        <v/>
      </c>
      <c r="AA864" s="59">
        <f>IF($Y864="","",IF(INDEX($D$6:$D$40000,$Y864)="","",INDEX($D$6:$D$40000,$Y864)))</f>
        <v/>
      </c>
      <c r="AB864">
        <f>IF($Y864="","",INDEX($L$6:$L$40000,$Y864)&amp;"")</f>
        <v/>
      </c>
    </row>
    <row r="865">
      <c r="Y865" s="47">
        <f>IFERROR(MATCH(Library!M865,$M$6:$M$40000,0),"")</f>
        <v/>
      </c>
      <c r="Z865">
        <f>IF($Y865="","",INDEX($C$6:$C$40000,$Y865)&amp;"")</f>
        <v/>
      </c>
      <c r="AA865" s="59">
        <f>IF($Y865="","",IF(INDEX($D$6:$D$40000,$Y865)="","",INDEX($D$6:$D$40000,$Y865)))</f>
        <v/>
      </c>
      <c r="AB865">
        <f>IF($Y865="","",INDEX($L$6:$L$40000,$Y865)&amp;"")</f>
        <v/>
      </c>
    </row>
    <row r="866">
      <c r="Y866" s="47">
        <f>IFERROR(MATCH(Library!M866,$M$6:$M$40000,0),"")</f>
        <v/>
      </c>
      <c r="Z866">
        <f>IF($Y866="","",INDEX($C$6:$C$40000,$Y866)&amp;"")</f>
        <v/>
      </c>
      <c r="AA866" s="59">
        <f>IF($Y866="","",IF(INDEX($D$6:$D$40000,$Y866)="","",INDEX($D$6:$D$40000,$Y866)))</f>
        <v/>
      </c>
      <c r="AB866">
        <f>IF($Y866="","",INDEX($L$6:$L$40000,$Y866)&amp;"")</f>
        <v/>
      </c>
    </row>
    <row r="867">
      <c r="Y867" s="47">
        <f>IFERROR(MATCH(Library!M867,$M$6:$M$40000,0),"")</f>
        <v/>
      </c>
      <c r="Z867">
        <f>IF($Y867="","",INDEX($C$6:$C$40000,$Y867)&amp;"")</f>
        <v/>
      </c>
      <c r="AA867" s="59">
        <f>IF($Y867="","",IF(INDEX($D$6:$D$40000,$Y867)="","",INDEX($D$6:$D$40000,$Y867)))</f>
        <v/>
      </c>
      <c r="AB867">
        <f>IF($Y867="","",INDEX($L$6:$L$40000,$Y867)&amp;"")</f>
        <v/>
      </c>
    </row>
    <row r="868">
      <c r="Y868" s="47">
        <f>IFERROR(MATCH(Library!M868,$M$6:$M$40000,0),"")</f>
        <v/>
      </c>
      <c r="Z868">
        <f>IF($Y868="","",INDEX($C$6:$C$40000,$Y868)&amp;"")</f>
        <v/>
      </c>
      <c r="AA868" s="59">
        <f>IF($Y868="","",IF(INDEX($D$6:$D$40000,$Y868)="","",INDEX($D$6:$D$40000,$Y868)))</f>
        <v/>
      </c>
      <c r="AB868">
        <f>IF($Y868="","",INDEX($L$6:$L$40000,$Y868)&amp;"")</f>
        <v/>
      </c>
    </row>
    <row r="869">
      <c r="Y869" s="47">
        <f>IFERROR(MATCH(Library!M869,$M$6:$M$40000,0),"")</f>
        <v/>
      </c>
      <c r="Z869">
        <f>IF($Y869="","",INDEX($C$6:$C$40000,$Y869)&amp;"")</f>
        <v/>
      </c>
      <c r="AA869" s="59">
        <f>IF($Y869="","",IF(INDEX($D$6:$D$40000,$Y869)="","",INDEX($D$6:$D$40000,$Y869)))</f>
        <v/>
      </c>
      <c r="AB869">
        <f>IF($Y869="","",INDEX($L$6:$L$40000,$Y869)&amp;"")</f>
        <v/>
      </c>
    </row>
    <row r="870">
      <c r="Y870" s="47">
        <f>IFERROR(MATCH(Library!M870,$M$6:$M$40000,0),"")</f>
        <v/>
      </c>
      <c r="Z870">
        <f>IF($Y870="","",INDEX($C$6:$C$40000,$Y870)&amp;"")</f>
        <v/>
      </c>
      <c r="AA870" s="59">
        <f>IF($Y870="","",IF(INDEX($D$6:$D$40000,$Y870)="","",INDEX($D$6:$D$40000,$Y870)))</f>
        <v/>
      </c>
      <c r="AB870">
        <f>IF($Y870="","",INDEX($L$6:$L$40000,$Y870)&amp;"")</f>
        <v/>
      </c>
    </row>
    <row r="871">
      <c r="Y871" s="47">
        <f>IFERROR(MATCH(Library!M871,$M$6:$M$40000,0),"")</f>
        <v/>
      </c>
      <c r="Z871">
        <f>IF($Y871="","",INDEX($C$6:$C$40000,$Y871)&amp;"")</f>
        <v/>
      </c>
      <c r="AA871" s="59">
        <f>IF($Y871="","",IF(INDEX($D$6:$D$40000,$Y871)="","",INDEX($D$6:$D$40000,$Y871)))</f>
        <v/>
      </c>
      <c r="AB871">
        <f>IF($Y871="","",INDEX($L$6:$L$40000,$Y871)&amp;"")</f>
        <v/>
      </c>
    </row>
    <row r="872">
      <c r="Y872" s="47">
        <f>IFERROR(MATCH(Library!M872,$M$6:$M$40000,0),"")</f>
        <v/>
      </c>
      <c r="Z872">
        <f>IF($Y872="","",INDEX($C$6:$C$40000,$Y872)&amp;"")</f>
        <v/>
      </c>
      <c r="AA872" s="59">
        <f>IF($Y872="","",IF(INDEX($D$6:$D$40000,$Y872)="","",INDEX($D$6:$D$40000,$Y872)))</f>
        <v/>
      </c>
      <c r="AB872">
        <f>IF($Y872="","",INDEX($L$6:$L$40000,$Y872)&amp;"")</f>
        <v/>
      </c>
    </row>
    <row r="873">
      <c r="Y873" s="47">
        <f>IFERROR(MATCH(Library!M873,$M$6:$M$40000,0),"")</f>
        <v/>
      </c>
      <c r="Z873">
        <f>IF($Y873="","",INDEX($C$6:$C$40000,$Y873)&amp;"")</f>
        <v/>
      </c>
      <c r="AA873" s="59">
        <f>IF($Y873="","",IF(INDEX($D$6:$D$40000,$Y873)="","",INDEX($D$6:$D$40000,$Y873)))</f>
        <v/>
      </c>
      <c r="AB873">
        <f>IF($Y873="","",INDEX($L$6:$L$40000,$Y873)&amp;"")</f>
        <v/>
      </c>
    </row>
    <row r="874">
      <c r="Y874" s="47">
        <f>IFERROR(MATCH(Library!M874,$M$6:$M$40000,0),"")</f>
        <v/>
      </c>
      <c r="Z874">
        <f>IF($Y874="","",INDEX($C$6:$C$40000,$Y874)&amp;"")</f>
        <v/>
      </c>
      <c r="AA874" s="59">
        <f>IF($Y874="","",IF(INDEX($D$6:$D$40000,$Y874)="","",INDEX($D$6:$D$40000,$Y874)))</f>
        <v/>
      </c>
      <c r="AB874">
        <f>IF($Y874="","",INDEX($L$6:$L$40000,$Y874)&amp;"")</f>
        <v/>
      </c>
    </row>
    <row r="875">
      <c r="Y875" s="47">
        <f>IFERROR(MATCH(Library!M875,$M$6:$M$40000,0),"")</f>
        <v/>
      </c>
      <c r="Z875">
        <f>IF($Y875="","",INDEX($C$6:$C$40000,$Y875)&amp;"")</f>
        <v/>
      </c>
      <c r="AA875" s="59">
        <f>IF($Y875="","",IF(INDEX($D$6:$D$40000,$Y875)="","",INDEX($D$6:$D$40000,$Y875)))</f>
        <v/>
      </c>
      <c r="AB875">
        <f>IF($Y875="","",INDEX($L$6:$L$40000,$Y875)&amp;"")</f>
        <v/>
      </c>
    </row>
    <row r="876">
      <c r="Y876" s="47">
        <f>IFERROR(MATCH(Library!M876,$M$6:$M$40000,0),"")</f>
        <v/>
      </c>
      <c r="Z876">
        <f>IF($Y876="","",INDEX($C$6:$C$40000,$Y876)&amp;"")</f>
        <v/>
      </c>
      <c r="AA876" s="59">
        <f>IF($Y876="","",IF(INDEX($D$6:$D$40000,$Y876)="","",INDEX($D$6:$D$40000,$Y876)))</f>
        <v/>
      </c>
      <c r="AB876">
        <f>IF($Y876="","",INDEX($L$6:$L$40000,$Y876)&amp;"")</f>
        <v/>
      </c>
    </row>
    <row r="877">
      <c r="Y877" s="47">
        <f>IFERROR(MATCH(Library!M877,$M$6:$M$40000,0),"")</f>
        <v/>
      </c>
      <c r="Z877">
        <f>IF($Y877="","",INDEX($C$6:$C$40000,$Y877)&amp;"")</f>
        <v/>
      </c>
      <c r="AA877" s="59">
        <f>IF($Y877="","",IF(INDEX($D$6:$D$40000,$Y877)="","",INDEX($D$6:$D$40000,$Y877)))</f>
        <v/>
      </c>
      <c r="AB877">
        <f>IF($Y877="","",INDEX($L$6:$L$40000,$Y877)&amp;"")</f>
        <v/>
      </c>
    </row>
    <row r="878">
      <c r="Y878" s="47">
        <f>IFERROR(MATCH(Library!M878,$M$6:$M$40000,0),"")</f>
        <v/>
      </c>
      <c r="Z878">
        <f>IF($Y878="","",INDEX($C$6:$C$40000,$Y878)&amp;"")</f>
        <v/>
      </c>
      <c r="AA878" s="59">
        <f>IF($Y878="","",IF(INDEX($D$6:$D$40000,$Y878)="","",INDEX($D$6:$D$40000,$Y878)))</f>
        <v/>
      </c>
      <c r="AB878">
        <f>IF($Y878="","",INDEX($L$6:$L$40000,$Y878)&amp;"")</f>
        <v/>
      </c>
    </row>
    <row r="879">
      <c r="Y879" s="47">
        <f>IFERROR(MATCH(Library!M879,$M$6:$M$40000,0),"")</f>
        <v/>
      </c>
      <c r="Z879">
        <f>IF($Y879="","",INDEX($C$6:$C$40000,$Y879)&amp;"")</f>
        <v/>
      </c>
      <c r="AA879" s="59">
        <f>IF($Y879="","",IF(INDEX($D$6:$D$40000,$Y879)="","",INDEX($D$6:$D$40000,$Y879)))</f>
        <v/>
      </c>
      <c r="AB879">
        <f>IF($Y879="","",INDEX($L$6:$L$40000,$Y879)&amp;"")</f>
        <v/>
      </c>
    </row>
    <row r="880">
      <c r="Y880" s="47">
        <f>IFERROR(MATCH(Library!M880,$M$6:$M$40000,0),"")</f>
        <v/>
      </c>
      <c r="Z880">
        <f>IF($Y880="","",INDEX($C$6:$C$40000,$Y880)&amp;"")</f>
        <v/>
      </c>
      <c r="AA880" s="59">
        <f>IF($Y880="","",IF(INDEX($D$6:$D$40000,$Y880)="","",INDEX($D$6:$D$40000,$Y880)))</f>
        <v/>
      </c>
      <c r="AB880">
        <f>IF($Y880="","",INDEX($L$6:$L$40000,$Y880)&amp;"")</f>
        <v/>
      </c>
    </row>
    <row r="881">
      <c r="Y881" s="47">
        <f>IFERROR(MATCH(Library!M881,$M$6:$M$40000,0),"")</f>
        <v/>
      </c>
      <c r="Z881">
        <f>IF($Y881="","",INDEX($C$6:$C$40000,$Y881)&amp;"")</f>
        <v/>
      </c>
      <c r="AA881" s="59">
        <f>IF($Y881="","",IF(INDEX($D$6:$D$40000,$Y881)="","",INDEX($D$6:$D$40000,$Y881)))</f>
        <v/>
      </c>
      <c r="AB881">
        <f>IF($Y881="","",INDEX($L$6:$L$40000,$Y881)&amp;"")</f>
        <v/>
      </c>
    </row>
    <row r="882">
      <c r="Y882" s="47">
        <f>IFERROR(MATCH(Library!M882,$M$6:$M$40000,0),"")</f>
        <v/>
      </c>
      <c r="Z882">
        <f>IF($Y882="","",INDEX($C$6:$C$40000,$Y882)&amp;"")</f>
        <v/>
      </c>
      <c r="AA882" s="59">
        <f>IF($Y882="","",IF(INDEX($D$6:$D$40000,$Y882)="","",INDEX($D$6:$D$40000,$Y882)))</f>
        <v/>
      </c>
      <c r="AB882">
        <f>IF($Y882="","",INDEX($L$6:$L$40000,$Y882)&amp;"")</f>
        <v/>
      </c>
    </row>
    <row r="883">
      <c r="Y883" s="47">
        <f>IFERROR(MATCH(Library!M883,$M$6:$M$40000,0),"")</f>
        <v/>
      </c>
      <c r="Z883">
        <f>IF($Y883="","",INDEX($C$6:$C$40000,$Y883)&amp;"")</f>
        <v/>
      </c>
      <c r="AA883" s="59">
        <f>IF($Y883="","",IF(INDEX($D$6:$D$40000,$Y883)="","",INDEX($D$6:$D$40000,$Y883)))</f>
        <v/>
      </c>
      <c r="AB883">
        <f>IF($Y883="","",INDEX($L$6:$L$40000,$Y883)&amp;"")</f>
        <v/>
      </c>
    </row>
    <row r="884">
      <c r="Y884" s="47">
        <f>IFERROR(MATCH(Library!M884,$M$6:$M$40000,0),"")</f>
        <v/>
      </c>
      <c r="Z884">
        <f>IF($Y884="","",INDEX($C$6:$C$40000,$Y884)&amp;"")</f>
        <v/>
      </c>
      <c r="AA884" s="59">
        <f>IF($Y884="","",IF(INDEX($D$6:$D$40000,$Y884)="","",INDEX($D$6:$D$40000,$Y884)))</f>
        <v/>
      </c>
      <c r="AB884">
        <f>IF($Y884="","",INDEX($L$6:$L$40000,$Y884)&amp;"")</f>
        <v/>
      </c>
    </row>
    <row r="885">
      <c r="Y885" s="47">
        <f>IFERROR(MATCH(Library!M885,$M$6:$M$40000,0),"")</f>
        <v/>
      </c>
      <c r="Z885">
        <f>IF($Y885="","",INDEX($C$6:$C$40000,$Y885)&amp;"")</f>
        <v/>
      </c>
      <c r="AA885" s="59">
        <f>IF($Y885="","",IF(INDEX($D$6:$D$40000,$Y885)="","",INDEX($D$6:$D$40000,$Y885)))</f>
        <v/>
      </c>
      <c r="AB885">
        <f>IF($Y885="","",INDEX($L$6:$L$40000,$Y885)&amp;"")</f>
        <v/>
      </c>
    </row>
    <row r="886">
      <c r="Y886" s="47">
        <f>IFERROR(MATCH(Library!M886,$M$6:$M$40000,0),"")</f>
        <v/>
      </c>
      <c r="Z886">
        <f>IF($Y886="","",INDEX($C$6:$C$40000,$Y886)&amp;"")</f>
        <v/>
      </c>
      <c r="AA886" s="59">
        <f>IF($Y886="","",IF(INDEX($D$6:$D$40000,$Y886)="","",INDEX($D$6:$D$40000,$Y886)))</f>
        <v/>
      </c>
      <c r="AB886">
        <f>IF($Y886="","",INDEX($L$6:$L$40000,$Y886)&amp;"")</f>
        <v/>
      </c>
    </row>
    <row r="887">
      <c r="Y887" s="47">
        <f>IFERROR(MATCH(Library!M887,$M$6:$M$40000,0),"")</f>
        <v/>
      </c>
      <c r="Z887">
        <f>IF($Y887="","",INDEX($C$6:$C$40000,$Y887)&amp;"")</f>
        <v/>
      </c>
      <c r="AA887" s="59">
        <f>IF($Y887="","",IF(INDEX($D$6:$D$40000,$Y887)="","",INDEX($D$6:$D$40000,$Y887)))</f>
        <v/>
      </c>
      <c r="AB887">
        <f>IF($Y887="","",INDEX($L$6:$L$40000,$Y887)&amp;"")</f>
        <v/>
      </c>
    </row>
    <row r="888">
      <c r="Y888" s="47">
        <f>IFERROR(MATCH(Library!M888,$M$6:$M$40000,0),"")</f>
        <v/>
      </c>
      <c r="Z888">
        <f>IF($Y888="","",INDEX($C$6:$C$40000,$Y888)&amp;"")</f>
        <v/>
      </c>
      <c r="AA888" s="59">
        <f>IF($Y888="","",IF(INDEX($D$6:$D$40000,$Y888)="","",INDEX($D$6:$D$40000,$Y888)))</f>
        <v/>
      </c>
      <c r="AB888">
        <f>IF($Y888="","",INDEX($L$6:$L$40000,$Y888)&amp;"")</f>
        <v/>
      </c>
    </row>
    <row r="889">
      <c r="Y889" s="47">
        <f>IFERROR(MATCH(Library!M889,$M$6:$M$40000,0),"")</f>
        <v/>
      </c>
      <c r="Z889">
        <f>IF($Y889="","",INDEX($C$6:$C$40000,$Y889)&amp;"")</f>
        <v/>
      </c>
      <c r="AA889" s="59">
        <f>IF($Y889="","",IF(INDEX($D$6:$D$40000,$Y889)="","",INDEX($D$6:$D$40000,$Y889)))</f>
        <v/>
      </c>
      <c r="AB889">
        <f>IF($Y889="","",INDEX($L$6:$L$40000,$Y889)&amp;"")</f>
        <v/>
      </c>
    </row>
    <row r="890">
      <c r="Y890" s="47">
        <f>IFERROR(MATCH(Library!M890,$M$6:$M$40000,0),"")</f>
        <v/>
      </c>
      <c r="Z890">
        <f>IF($Y890="","",INDEX($C$6:$C$40000,$Y890)&amp;"")</f>
        <v/>
      </c>
      <c r="AA890" s="59">
        <f>IF($Y890="","",IF(INDEX($D$6:$D$40000,$Y890)="","",INDEX($D$6:$D$40000,$Y890)))</f>
        <v/>
      </c>
      <c r="AB890">
        <f>IF($Y890="","",INDEX($L$6:$L$40000,$Y890)&amp;"")</f>
        <v/>
      </c>
    </row>
    <row r="891">
      <c r="Y891" s="47">
        <f>IFERROR(MATCH(Library!M891,$M$6:$M$40000,0),"")</f>
        <v/>
      </c>
      <c r="Z891">
        <f>IF($Y891="","",INDEX($C$6:$C$40000,$Y891)&amp;"")</f>
        <v/>
      </c>
      <c r="AA891" s="59">
        <f>IF($Y891="","",IF(INDEX($D$6:$D$40000,$Y891)="","",INDEX($D$6:$D$40000,$Y891)))</f>
        <v/>
      </c>
      <c r="AB891">
        <f>IF($Y891="","",INDEX($L$6:$L$40000,$Y891)&amp;"")</f>
        <v/>
      </c>
    </row>
    <row r="892">
      <c r="Y892" s="47">
        <f>IFERROR(MATCH(Library!M892,$M$6:$M$40000,0),"")</f>
        <v/>
      </c>
      <c r="Z892">
        <f>IF($Y892="","",INDEX($C$6:$C$40000,$Y892)&amp;"")</f>
        <v/>
      </c>
      <c r="AA892" s="59">
        <f>IF($Y892="","",IF(INDEX($D$6:$D$40000,$Y892)="","",INDEX($D$6:$D$40000,$Y892)))</f>
        <v/>
      </c>
      <c r="AB892">
        <f>IF($Y892="","",INDEX($L$6:$L$40000,$Y892)&amp;"")</f>
        <v/>
      </c>
    </row>
    <row r="893">
      <c r="Y893" s="47">
        <f>IFERROR(MATCH(Library!M893,$M$6:$M$40000,0),"")</f>
        <v/>
      </c>
      <c r="Z893">
        <f>IF($Y893="","",INDEX($C$6:$C$40000,$Y893)&amp;"")</f>
        <v/>
      </c>
      <c r="AA893" s="59">
        <f>IF($Y893="","",IF(INDEX($D$6:$D$40000,$Y893)="","",INDEX($D$6:$D$40000,$Y893)))</f>
        <v/>
      </c>
      <c r="AB893">
        <f>IF($Y893="","",INDEX($L$6:$L$40000,$Y893)&amp;"")</f>
        <v/>
      </c>
    </row>
    <row r="894">
      <c r="Y894" s="47">
        <f>IFERROR(MATCH(Library!M894,$M$6:$M$40000,0),"")</f>
        <v/>
      </c>
      <c r="Z894">
        <f>IF($Y894="","",INDEX($C$6:$C$40000,$Y894)&amp;"")</f>
        <v/>
      </c>
      <c r="AA894" s="59">
        <f>IF($Y894="","",IF(INDEX($D$6:$D$40000,$Y894)="","",INDEX($D$6:$D$40000,$Y894)))</f>
        <v/>
      </c>
      <c r="AB894">
        <f>IF($Y894="","",INDEX($L$6:$L$40000,$Y894)&amp;"")</f>
        <v/>
      </c>
    </row>
    <row r="895">
      <c r="Y895" s="47">
        <f>IFERROR(MATCH(Library!M895,$M$6:$M$40000,0),"")</f>
        <v/>
      </c>
      <c r="Z895">
        <f>IF($Y895="","",INDEX($C$6:$C$40000,$Y895)&amp;"")</f>
        <v/>
      </c>
      <c r="AA895" s="59">
        <f>IF($Y895="","",IF(INDEX($D$6:$D$40000,$Y895)="","",INDEX($D$6:$D$40000,$Y895)))</f>
        <v/>
      </c>
      <c r="AB895">
        <f>IF($Y895="","",INDEX($L$6:$L$40000,$Y895)&amp;"")</f>
        <v/>
      </c>
    </row>
    <row r="896">
      <c r="Y896" s="47">
        <f>IFERROR(MATCH(Library!M896,$M$6:$M$40000,0),"")</f>
        <v/>
      </c>
      <c r="Z896">
        <f>IF($Y896="","",INDEX($C$6:$C$40000,$Y896)&amp;"")</f>
        <v/>
      </c>
      <c r="AA896" s="59">
        <f>IF($Y896="","",IF(INDEX($D$6:$D$40000,$Y896)="","",INDEX($D$6:$D$40000,$Y896)))</f>
        <v/>
      </c>
      <c r="AB896">
        <f>IF($Y896="","",INDEX($L$6:$L$40000,$Y896)&amp;"")</f>
        <v/>
      </c>
    </row>
    <row r="897">
      <c r="Y897" s="47">
        <f>IFERROR(MATCH(Library!M897,$M$6:$M$40000,0),"")</f>
        <v/>
      </c>
      <c r="Z897">
        <f>IF($Y897="","",INDEX($C$6:$C$40000,$Y897)&amp;"")</f>
        <v/>
      </c>
      <c r="AA897" s="59">
        <f>IF($Y897="","",IF(INDEX($D$6:$D$40000,$Y897)="","",INDEX($D$6:$D$40000,$Y897)))</f>
        <v/>
      </c>
      <c r="AB897">
        <f>IF($Y897="","",INDEX($L$6:$L$40000,$Y897)&amp;"")</f>
        <v/>
      </c>
    </row>
    <row r="898">
      <c r="Y898" s="47">
        <f>IFERROR(MATCH(Library!M898,$M$6:$M$40000,0),"")</f>
        <v/>
      </c>
      <c r="Z898">
        <f>IF($Y898="","",INDEX($C$6:$C$40000,$Y898)&amp;"")</f>
        <v/>
      </c>
      <c r="AA898" s="59">
        <f>IF($Y898="","",IF(INDEX($D$6:$D$40000,$Y898)="","",INDEX($D$6:$D$40000,$Y898)))</f>
        <v/>
      </c>
      <c r="AB898">
        <f>IF($Y898="","",INDEX($L$6:$L$40000,$Y898)&amp;"")</f>
        <v/>
      </c>
    </row>
    <row r="899">
      <c r="Y899" s="47">
        <f>IFERROR(MATCH(Library!M899,$M$6:$M$40000,0),"")</f>
        <v/>
      </c>
      <c r="Z899">
        <f>IF($Y899="","",INDEX($C$6:$C$40000,$Y899)&amp;"")</f>
        <v/>
      </c>
      <c r="AA899" s="59">
        <f>IF($Y899="","",IF(INDEX($D$6:$D$40000,$Y899)="","",INDEX($D$6:$D$40000,$Y899)))</f>
        <v/>
      </c>
      <c r="AB899">
        <f>IF($Y899="","",INDEX($L$6:$L$40000,$Y899)&amp;"")</f>
        <v/>
      </c>
    </row>
    <row r="900">
      <c r="Y900" s="47">
        <f>IFERROR(MATCH(Library!M900,$M$6:$M$40000,0),"")</f>
        <v/>
      </c>
      <c r="Z900">
        <f>IF($Y900="","",INDEX($C$6:$C$40000,$Y900)&amp;"")</f>
        <v/>
      </c>
      <c r="AA900" s="59">
        <f>IF($Y900="","",IF(INDEX($D$6:$D$40000,$Y900)="","",INDEX($D$6:$D$40000,$Y900)))</f>
        <v/>
      </c>
      <c r="AB900">
        <f>IF($Y900="","",INDEX($L$6:$L$40000,$Y900)&amp;"")</f>
        <v/>
      </c>
    </row>
    <row r="901">
      <c r="Y901" s="47">
        <f>IFERROR(MATCH(Library!M901,$M$6:$M$40000,0),"")</f>
        <v/>
      </c>
      <c r="Z901">
        <f>IF($Y901="","",INDEX($C$6:$C$40000,$Y901)&amp;"")</f>
        <v/>
      </c>
      <c r="AA901" s="59">
        <f>IF($Y901="","",IF(INDEX($D$6:$D$40000,$Y901)="","",INDEX($D$6:$D$40000,$Y901)))</f>
        <v/>
      </c>
      <c r="AB901">
        <f>IF($Y901="","",INDEX($L$6:$L$40000,$Y901)&amp;"")</f>
        <v/>
      </c>
    </row>
    <row r="902">
      <c r="Y902" s="47">
        <f>IFERROR(MATCH(Library!M902,$M$6:$M$40000,0),"")</f>
        <v/>
      </c>
      <c r="Z902">
        <f>IF($Y902="","",INDEX($C$6:$C$40000,$Y902)&amp;"")</f>
        <v/>
      </c>
      <c r="AA902" s="59">
        <f>IF($Y902="","",IF(INDEX($D$6:$D$40000,$Y902)="","",INDEX($D$6:$D$40000,$Y902)))</f>
        <v/>
      </c>
      <c r="AB902">
        <f>IF($Y902="","",INDEX($L$6:$L$40000,$Y902)&amp;"")</f>
        <v/>
      </c>
    </row>
    <row r="903">
      <c r="Y903" s="47">
        <f>IFERROR(MATCH(Library!M903,$M$6:$M$40000,0),"")</f>
        <v/>
      </c>
      <c r="Z903">
        <f>IF($Y903="","",INDEX($C$6:$C$40000,$Y903)&amp;"")</f>
        <v/>
      </c>
      <c r="AA903" s="59">
        <f>IF($Y903="","",IF(INDEX($D$6:$D$40000,$Y903)="","",INDEX($D$6:$D$40000,$Y903)))</f>
        <v/>
      </c>
      <c r="AB903">
        <f>IF($Y903="","",INDEX($L$6:$L$40000,$Y903)&amp;"")</f>
        <v/>
      </c>
    </row>
    <row r="904">
      <c r="Y904" s="47">
        <f>IFERROR(MATCH(Library!M904,$M$6:$M$40000,0),"")</f>
        <v/>
      </c>
      <c r="Z904">
        <f>IF($Y904="","",INDEX($C$6:$C$40000,$Y904)&amp;"")</f>
        <v/>
      </c>
      <c r="AA904" s="59">
        <f>IF($Y904="","",IF(INDEX($D$6:$D$40000,$Y904)="","",INDEX($D$6:$D$40000,$Y904)))</f>
        <v/>
      </c>
      <c r="AB904">
        <f>IF($Y904="","",INDEX($L$6:$L$40000,$Y904)&amp;"")</f>
        <v/>
      </c>
    </row>
    <row r="905">
      <c r="Y905" s="47">
        <f>IFERROR(MATCH(Library!M905,$M$6:$M$40000,0),"")</f>
        <v/>
      </c>
      <c r="Z905">
        <f>IF($Y905="","",INDEX($C$6:$C$40000,$Y905)&amp;"")</f>
        <v/>
      </c>
      <c r="AA905" s="59">
        <f>IF($Y905="","",IF(INDEX($D$6:$D$40000,$Y905)="","",INDEX($D$6:$D$40000,$Y905)))</f>
        <v/>
      </c>
      <c r="AB905">
        <f>IF($Y905="","",INDEX($L$6:$L$40000,$Y905)&amp;"")</f>
        <v/>
      </c>
    </row>
    <row r="906">
      <c r="Y906" s="47">
        <f>IFERROR(MATCH(Library!M906,$M$6:$M$40000,0),"")</f>
        <v/>
      </c>
      <c r="Z906">
        <f>IF($Y906="","",INDEX($C$6:$C$40000,$Y906)&amp;"")</f>
        <v/>
      </c>
      <c r="AA906" s="59">
        <f>IF($Y906="","",IF(INDEX($D$6:$D$40000,$Y906)="","",INDEX($D$6:$D$40000,$Y906)))</f>
        <v/>
      </c>
      <c r="AB906">
        <f>IF($Y906="","",INDEX($L$6:$L$40000,$Y906)&amp;"")</f>
        <v/>
      </c>
    </row>
    <row r="907">
      <c r="Y907" s="47">
        <f>IFERROR(MATCH(Library!M907,$M$6:$M$40000,0),"")</f>
        <v/>
      </c>
      <c r="Z907">
        <f>IF($Y907="","",INDEX($C$6:$C$40000,$Y907)&amp;"")</f>
        <v/>
      </c>
      <c r="AA907" s="59">
        <f>IF($Y907="","",IF(INDEX($D$6:$D$40000,$Y907)="","",INDEX($D$6:$D$40000,$Y907)))</f>
        <v/>
      </c>
      <c r="AB907">
        <f>IF($Y907="","",INDEX($L$6:$L$40000,$Y907)&amp;"")</f>
        <v/>
      </c>
    </row>
    <row r="908">
      <c r="Y908" s="47">
        <f>IFERROR(MATCH(Library!M908,$M$6:$M$40000,0),"")</f>
        <v/>
      </c>
      <c r="Z908">
        <f>IF($Y908="","",INDEX($C$6:$C$40000,$Y908)&amp;"")</f>
        <v/>
      </c>
      <c r="AA908" s="59">
        <f>IF($Y908="","",IF(INDEX($D$6:$D$40000,$Y908)="","",INDEX($D$6:$D$40000,$Y908)))</f>
        <v/>
      </c>
      <c r="AB908">
        <f>IF($Y908="","",INDEX($L$6:$L$40000,$Y908)&amp;"")</f>
        <v/>
      </c>
    </row>
    <row r="909">
      <c r="Y909" s="47">
        <f>IFERROR(MATCH(Library!M909,$M$6:$M$40000,0),"")</f>
        <v/>
      </c>
      <c r="Z909">
        <f>IF($Y909="","",INDEX($C$6:$C$40000,$Y909)&amp;"")</f>
        <v/>
      </c>
      <c r="AA909" s="59">
        <f>IF($Y909="","",IF(INDEX($D$6:$D$40000,$Y909)="","",INDEX($D$6:$D$40000,$Y909)))</f>
        <v/>
      </c>
      <c r="AB909">
        <f>IF($Y909="","",INDEX($L$6:$L$40000,$Y909)&amp;"")</f>
        <v/>
      </c>
    </row>
    <row r="910">
      <c r="Y910" s="47">
        <f>IFERROR(MATCH(Library!M910,$M$6:$M$40000,0),"")</f>
        <v/>
      </c>
      <c r="Z910">
        <f>IF($Y910="","",INDEX($C$6:$C$40000,$Y910)&amp;"")</f>
        <v/>
      </c>
      <c r="AA910" s="59">
        <f>IF($Y910="","",IF(INDEX($D$6:$D$40000,$Y910)="","",INDEX($D$6:$D$40000,$Y910)))</f>
        <v/>
      </c>
      <c r="AB910">
        <f>IF($Y910="","",INDEX($L$6:$L$40000,$Y910)&amp;"")</f>
        <v/>
      </c>
    </row>
    <row r="911">
      <c r="Y911" s="47">
        <f>IFERROR(MATCH(Library!M911,$M$6:$M$40000,0),"")</f>
        <v/>
      </c>
      <c r="Z911">
        <f>IF($Y911="","",INDEX($C$6:$C$40000,$Y911)&amp;"")</f>
        <v/>
      </c>
      <c r="AA911" s="59">
        <f>IF($Y911="","",IF(INDEX($D$6:$D$40000,$Y911)="","",INDEX($D$6:$D$40000,$Y911)))</f>
        <v/>
      </c>
      <c r="AB911">
        <f>IF($Y911="","",INDEX($L$6:$L$40000,$Y911)&amp;"")</f>
        <v/>
      </c>
    </row>
    <row r="912">
      <c r="Y912" s="47">
        <f>IFERROR(MATCH(Library!M912,$M$6:$M$40000,0),"")</f>
        <v/>
      </c>
      <c r="Z912">
        <f>IF($Y912="","",INDEX($C$6:$C$40000,$Y912)&amp;"")</f>
        <v/>
      </c>
      <c r="AA912" s="59">
        <f>IF($Y912="","",IF(INDEX($D$6:$D$40000,$Y912)="","",INDEX($D$6:$D$40000,$Y912)))</f>
        <v/>
      </c>
      <c r="AB912">
        <f>IF($Y912="","",INDEX($L$6:$L$40000,$Y912)&amp;"")</f>
        <v/>
      </c>
    </row>
    <row r="913">
      <c r="Y913" s="47">
        <f>IFERROR(MATCH(Library!M913,$M$6:$M$40000,0),"")</f>
        <v/>
      </c>
      <c r="Z913">
        <f>IF($Y913="","",INDEX($C$6:$C$40000,$Y913)&amp;"")</f>
        <v/>
      </c>
      <c r="AA913" s="59">
        <f>IF($Y913="","",IF(INDEX($D$6:$D$40000,$Y913)="","",INDEX($D$6:$D$40000,$Y913)))</f>
        <v/>
      </c>
      <c r="AB913">
        <f>IF($Y913="","",INDEX($L$6:$L$40000,$Y913)&amp;"")</f>
        <v/>
      </c>
    </row>
    <row r="914">
      <c r="Y914" s="47">
        <f>IFERROR(MATCH(Library!M914,$M$6:$M$40000,0),"")</f>
        <v/>
      </c>
      <c r="Z914">
        <f>IF($Y914="","",INDEX($C$6:$C$40000,$Y914)&amp;"")</f>
        <v/>
      </c>
      <c r="AA914" s="59">
        <f>IF($Y914="","",IF(INDEX($D$6:$D$40000,$Y914)="","",INDEX($D$6:$D$40000,$Y914)))</f>
        <v/>
      </c>
      <c r="AB914">
        <f>IF($Y914="","",INDEX($L$6:$L$40000,$Y914)&amp;"")</f>
        <v/>
      </c>
    </row>
    <row r="915">
      <c r="Y915" s="47">
        <f>IFERROR(MATCH(Library!M915,$M$6:$M$40000,0),"")</f>
        <v/>
      </c>
      <c r="Z915">
        <f>IF($Y915="","",INDEX($C$6:$C$40000,$Y915)&amp;"")</f>
        <v/>
      </c>
      <c r="AA915" s="59">
        <f>IF($Y915="","",IF(INDEX($D$6:$D$40000,$Y915)="","",INDEX($D$6:$D$40000,$Y915)))</f>
        <v/>
      </c>
      <c r="AB915">
        <f>IF($Y915="","",INDEX($L$6:$L$40000,$Y915)&amp;"")</f>
        <v/>
      </c>
    </row>
    <row r="916">
      <c r="Y916" s="47">
        <f>IFERROR(MATCH(Library!M916,$M$6:$M$40000,0),"")</f>
        <v/>
      </c>
      <c r="Z916">
        <f>IF($Y916="","",INDEX($C$6:$C$40000,$Y916)&amp;"")</f>
        <v/>
      </c>
      <c r="AA916" s="59">
        <f>IF($Y916="","",IF(INDEX($D$6:$D$40000,$Y916)="","",INDEX($D$6:$D$40000,$Y916)))</f>
        <v/>
      </c>
      <c r="AB916">
        <f>IF($Y916="","",INDEX($L$6:$L$40000,$Y916)&amp;"")</f>
        <v/>
      </c>
    </row>
    <row r="917">
      <c r="Y917" s="47">
        <f>IFERROR(MATCH(Library!M917,$M$6:$M$40000,0),"")</f>
        <v/>
      </c>
      <c r="Z917">
        <f>IF($Y917="","",INDEX($C$6:$C$40000,$Y917)&amp;"")</f>
        <v/>
      </c>
      <c r="AA917" s="59">
        <f>IF($Y917="","",IF(INDEX($D$6:$D$40000,$Y917)="","",INDEX($D$6:$D$40000,$Y917)))</f>
        <v/>
      </c>
      <c r="AB917">
        <f>IF($Y917="","",INDEX($L$6:$L$40000,$Y917)&amp;"")</f>
        <v/>
      </c>
    </row>
    <row r="918">
      <c r="Y918" s="47">
        <f>IFERROR(MATCH(Library!M918,$M$6:$M$40000,0),"")</f>
        <v/>
      </c>
      <c r="Z918">
        <f>IF($Y918="","",INDEX($C$6:$C$40000,$Y918)&amp;"")</f>
        <v/>
      </c>
      <c r="AA918" s="59">
        <f>IF($Y918="","",IF(INDEX($D$6:$D$40000,$Y918)="","",INDEX($D$6:$D$40000,$Y918)))</f>
        <v/>
      </c>
      <c r="AB918">
        <f>IF($Y918="","",INDEX($L$6:$L$40000,$Y918)&amp;"")</f>
        <v/>
      </c>
    </row>
    <row r="919">
      <c r="Y919" s="47">
        <f>IFERROR(MATCH(Library!M919,$M$6:$M$40000,0),"")</f>
        <v/>
      </c>
      <c r="Z919">
        <f>IF($Y919="","",INDEX($C$6:$C$40000,$Y919)&amp;"")</f>
        <v/>
      </c>
      <c r="AA919" s="59">
        <f>IF($Y919="","",IF(INDEX($D$6:$D$40000,$Y919)="","",INDEX($D$6:$D$40000,$Y919)))</f>
        <v/>
      </c>
      <c r="AB919">
        <f>IF($Y919="","",INDEX($L$6:$L$40000,$Y919)&amp;"")</f>
        <v/>
      </c>
    </row>
    <row r="920">
      <c r="Y920" s="47">
        <f>IFERROR(MATCH(Library!M920,$M$6:$M$40000,0),"")</f>
        <v/>
      </c>
      <c r="Z920">
        <f>IF($Y920="","",INDEX($C$6:$C$40000,$Y920)&amp;"")</f>
        <v/>
      </c>
      <c r="AA920" s="59">
        <f>IF($Y920="","",IF(INDEX($D$6:$D$40000,$Y920)="","",INDEX($D$6:$D$40000,$Y920)))</f>
        <v/>
      </c>
      <c r="AB920">
        <f>IF($Y920="","",INDEX($L$6:$L$40000,$Y920)&amp;"")</f>
        <v/>
      </c>
    </row>
    <row r="921">
      <c r="Y921" s="47">
        <f>IFERROR(MATCH(Library!M921,$M$6:$M$40000,0),"")</f>
        <v/>
      </c>
      <c r="Z921">
        <f>IF($Y921="","",INDEX($C$6:$C$40000,$Y921)&amp;"")</f>
        <v/>
      </c>
      <c r="AA921" s="59">
        <f>IF($Y921="","",IF(INDEX($D$6:$D$40000,$Y921)="","",INDEX($D$6:$D$40000,$Y921)))</f>
        <v/>
      </c>
      <c r="AB921">
        <f>IF($Y921="","",INDEX($L$6:$L$40000,$Y921)&amp;"")</f>
        <v/>
      </c>
    </row>
    <row r="922">
      <c r="Y922" s="47">
        <f>IFERROR(MATCH(Library!M922,$M$6:$M$40000,0),"")</f>
        <v/>
      </c>
      <c r="Z922">
        <f>IF($Y922="","",INDEX($C$6:$C$40000,$Y922)&amp;"")</f>
        <v/>
      </c>
      <c r="AA922" s="59">
        <f>IF($Y922="","",IF(INDEX($D$6:$D$40000,$Y922)="","",INDEX($D$6:$D$40000,$Y922)))</f>
        <v/>
      </c>
      <c r="AB922">
        <f>IF($Y922="","",INDEX($L$6:$L$40000,$Y922)&amp;"")</f>
        <v/>
      </c>
    </row>
    <row r="923">
      <c r="Y923" s="47">
        <f>IFERROR(MATCH(Library!M923,$M$6:$M$40000,0),"")</f>
        <v/>
      </c>
      <c r="Z923">
        <f>IF($Y923="","",INDEX($C$6:$C$40000,$Y923)&amp;"")</f>
        <v/>
      </c>
      <c r="AA923" s="59">
        <f>IF($Y923="","",IF(INDEX($D$6:$D$40000,$Y923)="","",INDEX($D$6:$D$40000,$Y923)))</f>
        <v/>
      </c>
      <c r="AB923">
        <f>IF($Y923="","",INDEX($L$6:$L$40000,$Y923)&amp;"")</f>
        <v/>
      </c>
    </row>
    <row r="924">
      <c r="Y924" s="47">
        <f>IFERROR(MATCH(Library!M924,$M$6:$M$40000,0),"")</f>
        <v/>
      </c>
      <c r="Z924">
        <f>IF($Y924="","",INDEX($C$6:$C$40000,$Y924)&amp;"")</f>
        <v/>
      </c>
      <c r="AA924" s="59">
        <f>IF($Y924="","",IF(INDEX($D$6:$D$40000,$Y924)="","",INDEX($D$6:$D$40000,$Y924)))</f>
        <v/>
      </c>
      <c r="AB924">
        <f>IF($Y924="","",INDEX($L$6:$L$40000,$Y924)&amp;"")</f>
        <v/>
      </c>
    </row>
    <row r="925">
      <c r="Y925" s="47">
        <f>IFERROR(MATCH(Library!M925,$M$6:$M$40000,0),"")</f>
        <v/>
      </c>
      <c r="Z925">
        <f>IF($Y925="","",INDEX($C$6:$C$40000,$Y925)&amp;"")</f>
        <v/>
      </c>
      <c r="AA925" s="59">
        <f>IF($Y925="","",IF(INDEX($D$6:$D$40000,$Y925)="","",INDEX($D$6:$D$40000,$Y925)))</f>
        <v/>
      </c>
      <c r="AB925">
        <f>IF($Y925="","",INDEX($L$6:$L$40000,$Y925)&amp;"")</f>
        <v/>
      </c>
    </row>
    <row r="926">
      <c r="Y926" s="47">
        <f>IFERROR(MATCH(Library!M926,$M$6:$M$40000,0),"")</f>
        <v/>
      </c>
      <c r="Z926">
        <f>IF($Y926="","",INDEX($C$6:$C$40000,$Y926)&amp;"")</f>
        <v/>
      </c>
      <c r="AA926" s="59">
        <f>IF($Y926="","",IF(INDEX($D$6:$D$40000,$Y926)="","",INDEX($D$6:$D$40000,$Y926)))</f>
        <v/>
      </c>
      <c r="AB926">
        <f>IF($Y926="","",INDEX($L$6:$L$40000,$Y926)&amp;"")</f>
        <v/>
      </c>
    </row>
    <row r="927">
      <c r="Y927" s="47">
        <f>IFERROR(MATCH(Library!M927,$M$6:$M$40000,0),"")</f>
        <v/>
      </c>
      <c r="Z927">
        <f>IF($Y927="","",INDEX($C$6:$C$40000,$Y927)&amp;"")</f>
        <v/>
      </c>
      <c r="AA927" s="59">
        <f>IF($Y927="","",IF(INDEX($D$6:$D$40000,$Y927)="","",INDEX($D$6:$D$40000,$Y927)))</f>
        <v/>
      </c>
      <c r="AB927">
        <f>IF($Y927="","",INDEX($L$6:$L$40000,$Y927)&amp;"")</f>
        <v/>
      </c>
    </row>
    <row r="928">
      <c r="Y928" s="47">
        <f>IFERROR(MATCH(Library!M928,$M$6:$M$40000,0),"")</f>
        <v/>
      </c>
      <c r="Z928">
        <f>IF($Y928="","",INDEX($C$6:$C$40000,$Y928)&amp;"")</f>
        <v/>
      </c>
      <c r="AA928" s="59">
        <f>IF($Y928="","",IF(INDEX($D$6:$D$40000,$Y928)="","",INDEX($D$6:$D$40000,$Y928)))</f>
        <v/>
      </c>
      <c r="AB928">
        <f>IF($Y928="","",INDEX($L$6:$L$40000,$Y928)&amp;"")</f>
        <v/>
      </c>
    </row>
    <row r="929">
      <c r="Y929" s="47">
        <f>IFERROR(MATCH(Library!M929,$M$6:$M$40000,0),"")</f>
        <v/>
      </c>
      <c r="Z929">
        <f>IF($Y929="","",INDEX($C$6:$C$40000,$Y929)&amp;"")</f>
        <v/>
      </c>
      <c r="AA929" s="59">
        <f>IF($Y929="","",IF(INDEX($D$6:$D$40000,$Y929)="","",INDEX($D$6:$D$40000,$Y929)))</f>
        <v/>
      </c>
      <c r="AB929">
        <f>IF($Y929="","",INDEX($L$6:$L$40000,$Y929)&amp;"")</f>
        <v/>
      </c>
    </row>
    <row r="930">
      <c r="Y930" s="47">
        <f>IFERROR(MATCH(Library!M930,$M$6:$M$40000,0),"")</f>
        <v/>
      </c>
      <c r="Z930">
        <f>IF($Y930="","",INDEX($C$6:$C$40000,$Y930)&amp;"")</f>
        <v/>
      </c>
      <c r="AA930" s="59">
        <f>IF($Y930="","",IF(INDEX($D$6:$D$40000,$Y930)="","",INDEX($D$6:$D$40000,$Y930)))</f>
        <v/>
      </c>
      <c r="AB930">
        <f>IF($Y930="","",INDEX($L$6:$L$40000,$Y930)&amp;"")</f>
        <v/>
      </c>
    </row>
    <row r="931">
      <c r="Y931" s="47">
        <f>IFERROR(MATCH(Library!M931,$M$6:$M$40000,0),"")</f>
        <v/>
      </c>
      <c r="Z931">
        <f>IF($Y931="","",INDEX($C$6:$C$40000,$Y931)&amp;"")</f>
        <v/>
      </c>
      <c r="AA931" s="59">
        <f>IF($Y931="","",IF(INDEX($D$6:$D$40000,$Y931)="","",INDEX($D$6:$D$40000,$Y931)))</f>
        <v/>
      </c>
      <c r="AB931">
        <f>IF($Y931="","",INDEX($L$6:$L$40000,$Y931)&amp;"")</f>
        <v/>
      </c>
    </row>
    <row r="932">
      <c r="Y932" s="47">
        <f>IFERROR(MATCH(Library!M932,$M$6:$M$40000,0),"")</f>
        <v/>
      </c>
      <c r="Z932">
        <f>IF($Y932="","",INDEX($C$6:$C$40000,$Y932)&amp;"")</f>
        <v/>
      </c>
      <c r="AA932" s="59">
        <f>IF($Y932="","",IF(INDEX($D$6:$D$40000,$Y932)="","",INDEX($D$6:$D$40000,$Y932)))</f>
        <v/>
      </c>
      <c r="AB932">
        <f>IF($Y932="","",INDEX($L$6:$L$40000,$Y932)&amp;"")</f>
        <v/>
      </c>
    </row>
    <row r="933">
      <c r="Y933" s="47">
        <f>IFERROR(MATCH(Library!M933,$M$6:$M$40000,0),"")</f>
        <v/>
      </c>
      <c r="Z933">
        <f>IF($Y933="","",INDEX($C$6:$C$40000,$Y933)&amp;"")</f>
        <v/>
      </c>
      <c r="AA933" s="59">
        <f>IF($Y933="","",IF(INDEX($D$6:$D$40000,$Y933)="","",INDEX($D$6:$D$40000,$Y933)))</f>
        <v/>
      </c>
      <c r="AB933">
        <f>IF($Y933="","",INDEX($L$6:$L$40000,$Y933)&amp;"")</f>
        <v/>
      </c>
    </row>
    <row r="934">
      <c r="Y934" s="47">
        <f>IFERROR(MATCH(Library!M934,$M$6:$M$40000,0),"")</f>
        <v/>
      </c>
      <c r="Z934">
        <f>IF($Y934="","",INDEX($C$6:$C$40000,$Y934)&amp;"")</f>
        <v/>
      </c>
      <c r="AA934" s="59">
        <f>IF($Y934="","",IF(INDEX($D$6:$D$40000,$Y934)="","",INDEX($D$6:$D$40000,$Y934)))</f>
        <v/>
      </c>
      <c r="AB934">
        <f>IF($Y934="","",INDEX($L$6:$L$40000,$Y934)&amp;"")</f>
        <v/>
      </c>
    </row>
    <row r="935">
      <c r="Y935" s="47">
        <f>IFERROR(MATCH(Library!M935,$M$6:$M$40000,0),"")</f>
        <v/>
      </c>
      <c r="Z935">
        <f>IF($Y935="","",INDEX($C$6:$C$40000,$Y935)&amp;"")</f>
        <v/>
      </c>
      <c r="AA935" s="59">
        <f>IF($Y935="","",IF(INDEX($D$6:$D$40000,$Y935)="","",INDEX($D$6:$D$40000,$Y935)))</f>
        <v/>
      </c>
      <c r="AB935">
        <f>IF($Y935="","",INDEX($L$6:$L$40000,$Y935)&amp;"")</f>
        <v/>
      </c>
    </row>
    <row r="936">
      <c r="Y936" s="47">
        <f>IFERROR(MATCH(Library!M936,$M$6:$M$40000,0),"")</f>
        <v/>
      </c>
      <c r="Z936">
        <f>IF($Y936="","",INDEX($C$6:$C$40000,$Y936)&amp;"")</f>
        <v/>
      </c>
      <c r="AA936" s="59">
        <f>IF($Y936="","",IF(INDEX($D$6:$D$40000,$Y936)="","",INDEX($D$6:$D$40000,$Y936)))</f>
        <v/>
      </c>
      <c r="AB936">
        <f>IF($Y936="","",INDEX($L$6:$L$40000,$Y936)&amp;"")</f>
        <v/>
      </c>
    </row>
    <row r="937">
      <c r="Y937" s="47">
        <f>IFERROR(MATCH(Library!M937,$M$6:$M$40000,0),"")</f>
        <v/>
      </c>
      <c r="Z937">
        <f>IF($Y937="","",INDEX($C$6:$C$40000,$Y937)&amp;"")</f>
        <v/>
      </c>
      <c r="AA937" s="59">
        <f>IF($Y937="","",IF(INDEX($D$6:$D$40000,$Y937)="","",INDEX($D$6:$D$40000,$Y937)))</f>
        <v/>
      </c>
      <c r="AB937">
        <f>IF($Y937="","",INDEX($L$6:$L$40000,$Y937)&amp;"")</f>
        <v/>
      </c>
    </row>
    <row r="938">
      <c r="Y938" s="47">
        <f>IFERROR(MATCH(Library!M938,$M$6:$M$40000,0),"")</f>
        <v/>
      </c>
      <c r="Z938">
        <f>IF($Y938="","",INDEX($C$6:$C$40000,$Y938)&amp;"")</f>
        <v/>
      </c>
      <c r="AA938" s="59">
        <f>IF($Y938="","",IF(INDEX($D$6:$D$40000,$Y938)="","",INDEX($D$6:$D$40000,$Y938)))</f>
        <v/>
      </c>
      <c r="AB938">
        <f>IF($Y938="","",INDEX($L$6:$L$40000,$Y938)&amp;"")</f>
        <v/>
      </c>
    </row>
    <row r="939">
      <c r="Y939" s="47">
        <f>IFERROR(MATCH(Library!M939,$M$6:$M$40000,0),"")</f>
        <v/>
      </c>
      <c r="Z939">
        <f>IF($Y939="","",INDEX($C$6:$C$40000,$Y939)&amp;"")</f>
        <v/>
      </c>
      <c r="AA939" s="59">
        <f>IF($Y939="","",IF(INDEX($D$6:$D$40000,$Y939)="","",INDEX($D$6:$D$40000,$Y939)))</f>
        <v/>
      </c>
      <c r="AB939">
        <f>IF($Y939="","",INDEX($L$6:$L$40000,$Y939)&amp;"")</f>
        <v/>
      </c>
    </row>
    <row r="940">
      <c r="Y940" s="47">
        <f>IFERROR(MATCH(Library!M940,$M$6:$M$40000,0),"")</f>
        <v/>
      </c>
      <c r="Z940">
        <f>IF($Y940="","",INDEX($C$6:$C$40000,$Y940)&amp;"")</f>
        <v/>
      </c>
      <c r="AA940" s="59">
        <f>IF($Y940="","",IF(INDEX($D$6:$D$40000,$Y940)="","",INDEX($D$6:$D$40000,$Y940)))</f>
        <v/>
      </c>
      <c r="AB940">
        <f>IF($Y940="","",INDEX($L$6:$L$40000,$Y940)&amp;"")</f>
        <v/>
      </c>
    </row>
    <row r="941">
      <c r="Y941" s="47">
        <f>IFERROR(MATCH(Library!M941,$M$6:$M$40000,0),"")</f>
        <v/>
      </c>
      <c r="Z941">
        <f>IF($Y941="","",INDEX($C$6:$C$40000,$Y941)&amp;"")</f>
        <v/>
      </c>
      <c r="AA941" s="59">
        <f>IF($Y941="","",IF(INDEX($D$6:$D$40000,$Y941)="","",INDEX($D$6:$D$40000,$Y941)))</f>
        <v/>
      </c>
      <c r="AB941">
        <f>IF($Y941="","",INDEX($L$6:$L$40000,$Y941)&amp;"")</f>
        <v/>
      </c>
    </row>
    <row r="942">
      <c r="Y942" s="47">
        <f>IFERROR(MATCH(Library!M942,$M$6:$M$40000,0),"")</f>
        <v/>
      </c>
      <c r="Z942">
        <f>IF($Y942="","",INDEX($C$6:$C$40000,$Y942)&amp;"")</f>
        <v/>
      </c>
      <c r="AA942" s="59">
        <f>IF($Y942="","",IF(INDEX($D$6:$D$40000,$Y942)="","",INDEX($D$6:$D$40000,$Y942)))</f>
        <v/>
      </c>
      <c r="AB942">
        <f>IF($Y942="","",INDEX($L$6:$L$40000,$Y942)&amp;"")</f>
        <v/>
      </c>
    </row>
    <row r="943">
      <c r="Y943" s="47">
        <f>IFERROR(MATCH(Library!M943,$M$6:$M$40000,0),"")</f>
        <v/>
      </c>
      <c r="Z943">
        <f>IF($Y943="","",INDEX($C$6:$C$40000,$Y943)&amp;"")</f>
        <v/>
      </c>
      <c r="AA943" s="59">
        <f>IF($Y943="","",IF(INDEX($D$6:$D$40000,$Y943)="","",INDEX($D$6:$D$40000,$Y943)))</f>
        <v/>
      </c>
      <c r="AB943">
        <f>IF($Y943="","",INDEX($L$6:$L$40000,$Y943)&amp;"")</f>
        <v/>
      </c>
    </row>
    <row r="944">
      <c r="Y944" s="47">
        <f>IFERROR(MATCH(Library!M944,$M$6:$M$40000,0),"")</f>
        <v/>
      </c>
      <c r="Z944">
        <f>IF($Y944="","",INDEX($C$6:$C$40000,$Y944)&amp;"")</f>
        <v/>
      </c>
      <c r="AA944" s="59">
        <f>IF($Y944="","",IF(INDEX($D$6:$D$40000,$Y944)="","",INDEX($D$6:$D$40000,$Y944)))</f>
        <v/>
      </c>
      <c r="AB944">
        <f>IF($Y944="","",INDEX($L$6:$L$40000,$Y944)&amp;"")</f>
        <v/>
      </c>
    </row>
    <row r="945">
      <c r="Y945" s="47">
        <f>IFERROR(MATCH(Library!M945,$M$6:$M$40000,0),"")</f>
        <v/>
      </c>
      <c r="Z945">
        <f>IF($Y945="","",INDEX($C$6:$C$40000,$Y945)&amp;"")</f>
        <v/>
      </c>
      <c r="AA945" s="59">
        <f>IF($Y945="","",IF(INDEX($D$6:$D$40000,$Y945)="","",INDEX($D$6:$D$40000,$Y945)))</f>
        <v/>
      </c>
      <c r="AB945">
        <f>IF($Y945="","",INDEX($L$6:$L$40000,$Y945)&amp;"")</f>
        <v/>
      </c>
    </row>
    <row r="946">
      <c r="Y946" s="47">
        <f>IFERROR(MATCH(Library!M946,$M$6:$M$40000,0),"")</f>
        <v/>
      </c>
      <c r="Z946">
        <f>IF($Y946="","",INDEX($C$6:$C$40000,$Y946)&amp;"")</f>
        <v/>
      </c>
      <c r="AA946" s="59">
        <f>IF($Y946="","",IF(INDEX($D$6:$D$40000,$Y946)="","",INDEX($D$6:$D$40000,$Y946)))</f>
        <v/>
      </c>
      <c r="AB946">
        <f>IF($Y946="","",INDEX($L$6:$L$40000,$Y946)&amp;"")</f>
        <v/>
      </c>
    </row>
    <row r="947">
      <c r="Y947" s="47">
        <f>IFERROR(MATCH(Library!M947,$M$6:$M$40000,0),"")</f>
        <v/>
      </c>
      <c r="Z947">
        <f>IF($Y947="","",INDEX($C$6:$C$40000,$Y947)&amp;"")</f>
        <v/>
      </c>
      <c r="AA947" s="59">
        <f>IF($Y947="","",IF(INDEX($D$6:$D$40000,$Y947)="","",INDEX($D$6:$D$40000,$Y947)))</f>
        <v/>
      </c>
      <c r="AB947">
        <f>IF($Y947="","",INDEX($L$6:$L$40000,$Y947)&amp;"")</f>
        <v/>
      </c>
    </row>
    <row r="948">
      <c r="Y948" s="47">
        <f>IFERROR(MATCH(Library!M948,$M$6:$M$40000,0),"")</f>
        <v/>
      </c>
      <c r="Z948">
        <f>IF($Y948="","",INDEX($C$6:$C$40000,$Y948)&amp;"")</f>
        <v/>
      </c>
      <c r="AA948" s="59">
        <f>IF($Y948="","",IF(INDEX($D$6:$D$40000,$Y948)="","",INDEX($D$6:$D$40000,$Y948)))</f>
        <v/>
      </c>
      <c r="AB948">
        <f>IF($Y948="","",INDEX($L$6:$L$40000,$Y948)&amp;"")</f>
        <v/>
      </c>
    </row>
    <row r="949">
      <c r="Y949" s="47">
        <f>IFERROR(MATCH(Library!M949,$M$6:$M$40000,0),"")</f>
        <v/>
      </c>
      <c r="Z949">
        <f>IF($Y949="","",INDEX($C$6:$C$40000,$Y949)&amp;"")</f>
        <v/>
      </c>
      <c r="AA949" s="59">
        <f>IF($Y949="","",IF(INDEX($D$6:$D$40000,$Y949)="","",INDEX($D$6:$D$40000,$Y949)))</f>
        <v/>
      </c>
      <c r="AB949">
        <f>IF($Y949="","",INDEX($L$6:$L$40000,$Y949)&amp;"")</f>
        <v/>
      </c>
    </row>
    <row r="950">
      <c r="Y950" s="47">
        <f>IFERROR(MATCH(Library!M950,$M$6:$M$40000,0),"")</f>
        <v/>
      </c>
      <c r="Z950">
        <f>IF($Y950="","",INDEX($C$6:$C$40000,$Y950)&amp;"")</f>
        <v/>
      </c>
      <c r="AA950" s="59">
        <f>IF($Y950="","",IF(INDEX($D$6:$D$40000,$Y950)="","",INDEX($D$6:$D$40000,$Y950)))</f>
        <v/>
      </c>
      <c r="AB950">
        <f>IF($Y950="","",INDEX($L$6:$L$40000,$Y950)&amp;"")</f>
        <v/>
      </c>
    </row>
    <row r="951">
      <c r="Y951" s="47">
        <f>IFERROR(MATCH(Library!M951,$M$6:$M$40000,0),"")</f>
        <v/>
      </c>
      <c r="Z951">
        <f>IF($Y951="","",INDEX($C$6:$C$40000,$Y951)&amp;"")</f>
        <v/>
      </c>
      <c r="AA951" s="59">
        <f>IF($Y951="","",IF(INDEX($D$6:$D$40000,$Y951)="","",INDEX($D$6:$D$40000,$Y951)))</f>
        <v/>
      </c>
      <c r="AB951">
        <f>IF($Y951="","",INDEX($L$6:$L$40000,$Y951)&amp;"")</f>
        <v/>
      </c>
    </row>
    <row r="952">
      <c r="Y952" s="47">
        <f>IFERROR(MATCH(Library!M952,$M$6:$M$40000,0),"")</f>
        <v/>
      </c>
      <c r="Z952">
        <f>IF($Y952="","",INDEX($C$6:$C$40000,$Y952)&amp;"")</f>
        <v/>
      </c>
      <c r="AA952" s="59">
        <f>IF($Y952="","",IF(INDEX($D$6:$D$40000,$Y952)="","",INDEX($D$6:$D$40000,$Y952)))</f>
        <v/>
      </c>
      <c r="AB952">
        <f>IF($Y952="","",INDEX($L$6:$L$40000,$Y952)&amp;"")</f>
        <v/>
      </c>
    </row>
    <row r="953">
      <c r="Y953" s="47">
        <f>IFERROR(MATCH(Library!M953,$M$6:$M$40000,0),"")</f>
        <v/>
      </c>
      <c r="Z953">
        <f>IF($Y953="","",INDEX($C$6:$C$40000,$Y953)&amp;"")</f>
        <v/>
      </c>
      <c r="AA953" s="59">
        <f>IF($Y953="","",IF(INDEX($D$6:$D$40000,$Y953)="","",INDEX($D$6:$D$40000,$Y953)))</f>
        <v/>
      </c>
      <c r="AB953">
        <f>IF($Y953="","",INDEX($L$6:$L$40000,$Y953)&amp;"")</f>
        <v/>
      </c>
    </row>
    <row r="954">
      <c r="Y954" s="47">
        <f>IFERROR(MATCH(Library!M954,$M$6:$M$40000,0),"")</f>
        <v/>
      </c>
      <c r="Z954">
        <f>IF($Y954="","",INDEX($C$6:$C$40000,$Y954)&amp;"")</f>
        <v/>
      </c>
      <c r="AA954" s="59">
        <f>IF($Y954="","",IF(INDEX($D$6:$D$40000,$Y954)="","",INDEX($D$6:$D$40000,$Y954)))</f>
        <v/>
      </c>
      <c r="AB954">
        <f>IF($Y954="","",INDEX($L$6:$L$40000,$Y954)&amp;"")</f>
        <v/>
      </c>
    </row>
    <row r="955">
      <c r="Y955" s="47">
        <f>IFERROR(MATCH(Library!M955,$M$6:$M$40000,0),"")</f>
        <v/>
      </c>
      <c r="Z955">
        <f>IF($Y955="","",INDEX($C$6:$C$40000,$Y955)&amp;"")</f>
        <v/>
      </c>
      <c r="AA955" s="59">
        <f>IF($Y955="","",IF(INDEX($D$6:$D$40000,$Y955)="","",INDEX($D$6:$D$40000,$Y955)))</f>
        <v/>
      </c>
      <c r="AB955">
        <f>IF($Y955="","",INDEX($L$6:$L$40000,$Y955)&amp;"")</f>
        <v/>
      </c>
    </row>
    <row r="956">
      <c r="Y956" s="47">
        <f>IFERROR(MATCH(Library!M956,$M$6:$M$40000,0),"")</f>
        <v/>
      </c>
      <c r="Z956">
        <f>IF($Y956="","",INDEX($C$6:$C$40000,$Y956)&amp;"")</f>
        <v/>
      </c>
      <c r="AA956" s="59">
        <f>IF($Y956="","",IF(INDEX($D$6:$D$40000,$Y956)="","",INDEX($D$6:$D$40000,$Y956)))</f>
        <v/>
      </c>
      <c r="AB956">
        <f>IF($Y956="","",INDEX($L$6:$L$40000,$Y956)&amp;"")</f>
        <v/>
      </c>
    </row>
    <row r="957">
      <c r="Y957" s="47">
        <f>IFERROR(MATCH(Library!M957,$M$6:$M$40000,0),"")</f>
        <v/>
      </c>
      <c r="Z957">
        <f>IF($Y957="","",INDEX($C$6:$C$40000,$Y957)&amp;"")</f>
        <v/>
      </c>
      <c r="AA957" s="59">
        <f>IF($Y957="","",IF(INDEX($D$6:$D$40000,$Y957)="","",INDEX($D$6:$D$40000,$Y957)))</f>
        <v/>
      </c>
      <c r="AB957">
        <f>IF($Y957="","",INDEX($L$6:$L$40000,$Y957)&amp;"")</f>
        <v/>
      </c>
    </row>
    <row r="958">
      <c r="Y958" s="47">
        <f>IFERROR(MATCH(Library!M958,$M$6:$M$40000,0),"")</f>
        <v/>
      </c>
      <c r="Z958">
        <f>IF($Y958="","",INDEX($C$6:$C$40000,$Y958)&amp;"")</f>
        <v/>
      </c>
      <c r="AA958" s="59">
        <f>IF($Y958="","",IF(INDEX($D$6:$D$40000,$Y958)="","",INDEX($D$6:$D$40000,$Y958)))</f>
        <v/>
      </c>
      <c r="AB958">
        <f>IF($Y958="","",INDEX($L$6:$L$40000,$Y958)&amp;"")</f>
        <v/>
      </c>
    </row>
    <row r="959">
      <c r="Y959" s="47">
        <f>IFERROR(MATCH(Library!M959,$M$6:$M$40000,0),"")</f>
        <v/>
      </c>
      <c r="Z959">
        <f>IF($Y959="","",INDEX($C$6:$C$40000,$Y959)&amp;"")</f>
        <v/>
      </c>
      <c r="AA959" s="59">
        <f>IF($Y959="","",IF(INDEX($D$6:$D$40000,$Y959)="","",INDEX($D$6:$D$40000,$Y959)))</f>
        <v/>
      </c>
      <c r="AB959">
        <f>IF($Y959="","",INDEX($L$6:$L$40000,$Y959)&amp;"")</f>
        <v/>
      </c>
    </row>
    <row r="960">
      <c r="Y960" s="47">
        <f>IFERROR(MATCH(Library!M960,$M$6:$M$40000,0),"")</f>
        <v/>
      </c>
      <c r="Z960">
        <f>IF($Y960="","",INDEX($C$6:$C$40000,$Y960)&amp;"")</f>
        <v/>
      </c>
      <c r="AA960" s="59">
        <f>IF($Y960="","",IF(INDEX($D$6:$D$40000,$Y960)="","",INDEX($D$6:$D$40000,$Y960)))</f>
        <v/>
      </c>
      <c r="AB960">
        <f>IF($Y960="","",INDEX($L$6:$L$40000,$Y960)&amp;"")</f>
        <v/>
      </c>
    </row>
    <row r="961">
      <c r="Y961" s="47">
        <f>IFERROR(MATCH(Library!M961,$M$6:$M$40000,0),"")</f>
        <v/>
      </c>
      <c r="Z961">
        <f>IF($Y961="","",INDEX($C$6:$C$40000,$Y961)&amp;"")</f>
        <v/>
      </c>
      <c r="AA961" s="59">
        <f>IF($Y961="","",IF(INDEX($D$6:$D$40000,$Y961)="","",INDEX($D$6:$D$40000,$Y961)))</f>
        <v/>
      </c>
      <c r="AB961">
        <f>IF($Y961="","",INDEX($L$6:$L$40000,$Y961)&amp;"")</f>
        <v/>
      </c>
    </row>
    <row r="962">
      <c r="Y962" s="47">
        <f>IFERROR(MATCH(Library!M962,$M$6:$M$40000,0),"")</f>
        <v/>
      </c>
      <c r="Z962">
        <f>IF($Y962="","",INDEX($C$6:$C$40000,$Y962)&amp;"")</f>
        <v/>
      </c>
      <c r="AA962" s="59">
        <f>IF($Y962="","",IF(INDEX($D$6:$D$40000,$Y962)="","",INDEX($D$6:$D$40000,$Y962)))</f>
        <v/>
      </c>
      <c r="AB962">
        <f>IF($Y962="","",INDEX($L$6:$L$40000,$Y962)&amp;"")</f>
        <v/>
      </c>
    </row>
    <row r="963">
      <c r="Y963" s="47">
        <f>IFERROR(MATCH(Library!M963,$M$6:$M$40000,0),"")</f>
        <v/>
      </c>
      <c r="Z963">
        <f>IF($Y963="","",INDEX($C$6:$C$40000,$Y963)&amp;"")</f>
        <v/>
      </c>
      <c r="AA963" s="59">
        <f>IF($Y963="","",IF(INDEX($D$6:$D$40000,$Y963)="","",INDEX($D$6:$D$40000,$Y963)))</f>
        <v/>
      </c>
      <c r="AB963">
        <f>IF($Y963="","",INDEX($L$6:$L$40000,$Y963)&amp;"")</f>
        <v/>
      </c>
    </row>
    <row r="964">
      <c r="Y964" s="47">
        <f>IFERROR(MATCH(Library!M964,$M$6:$M$40000,0),"")</f>
        <v/>
      </c>
      <c r="Z964">
        <f>IF($Y964="","",INDEX($C$6:$C$40000,$Y964)&amp;"")</f>
        <v/>
      </c>
      <c r="AA964" s="59">
        <f>IF($Y964="","",IF(INDEX($D$6:$D$40000,$Y964)="","",INDEX($D$6:$D$40000,$Y964)))</f>
        <v/>
      </c>
      <c r="AB964">
        <f>IF($Y964="","",INDEX($L$6:$L$40000,$Y964)&amp;"")</f>
        <v/>
      </c>
    </row>
    <row r="965">
      <c r="Y965" s="47">
        <f>IFERROR(MATCH(Library!M965,$M$6:$M$40000,0),"")</f>
        <v/>
      </c>
      <c r="Z965">
        <f>IF($Y965="","",INDEX($C$6:$C$40000,$Y965)&amp;"")</f>
        <v/>
      </c>
      <c r="AA965" s="59">
        <f>IF($Y965="","",IF(INDEX($D$6:$D$40000,$Y965)="","",INDEX($D$6:$D$40000,$Y965)))</f>
        <v/>
      </c>
      <c r="AB965">
        <f>IF($Y965="","",INDEX($L$6:$L$40000,$Y965)&amp;"")</f>
        <v/>
      </c>
    </row>
    <row r="966">
      <c r="Y966" s="47">
        <f>IFERROR(MATCH(Library!M966,$M$6:$M$40000,0),"")</f>
        <v/>
      </c>
      <c r="Z966">
        <f>IF($Y966="","",INDEX($C$6:$C$40000,$Y966)&amp;"")</f>
        <v/>
      </c>
      <c r="AA966" s="59">
        <f>IF($Y966="","",IF(INDEX($D$6:$D$40000,$Y966)="","",INDEX($D$6:$D$40000,$Y966)))</f>
        <v/>
      </c>
      <c r="AB966">
        <f>IF($Y966="","",INDEX($L$6:$L$40000,$Y966)&amp;"")</f>
        <v/>
      </c>
    </row>
    <row r="967">
      <c r="Y967" s="47">
        <f>IFERROR(MATCH(Library!M967,$M$6:$M$40000,0),"")</f>
        <v/>
      </c>
      <c r="Z967">
        <f>IF($Y967="","",INDEX($C$6:$C$40000,$Y967)&amp;"")</f>
        <v/>
      </c>
      <c r="AA967" s="59">
        <f>IF($Y967="","",IF(INDEX($D$6:$D$40000,$Y967)="","",INDEX($D$6:$D$40000,$Y967)))</f>
        <v/>
      </c>
      <c r="AB967">
        <f>IF($Y967="","",INDEX($L$6:$L$40000,$Y967)&amp;"")</f>
        <v/>
      </c>
    </row>
    <row r="968">
      <c r="Y968" s="47">
        <f>IFERROR(MATCH(Library!M968,$M$6:$M$40000,0),"")</f>
        <v/>
      </c>
      <c r="Z968">
        <f>IF($Y968="","",INDEX($C$6:$C$40000,$Y968)&amp;"")</f>
        <v/>
      </c>
      <c r="AA968" s="59">
        <f>IF($Y968="","",IF(INDEX($D$6:$D$40000,$Y968)="","",INDEX($D$6:$D$40000,$Y968)))</f>
        <v/>
      </c>
      <c r="AB968">
        <f>IF($Y968="","",INDEX($L$6:$L$40000,$Y968)&amp;"")</f>
        <v/>
      </c>
    </row>
    <row r="969">
      <c r="Y969" s="47">
        <f>IFERROR(MATCH(Library!M969,$M$6:$M$40000,0),"")</f>
        <v/>
      </c>
      <c r="Z969">
        <f>IF($Y969="","",INDEX($C$6:$C$40000,$Y969)&amp;"")</f>
        <v/>
      </c>
      <c r="AA969" s="59">
        <f>IF($Y969="","",IF(INDEX($D$6:$D$40000,$Y969)="","",INDEX($D$6:$D$40000,$Y969)))</f>
        <v/>
      </c>
      <c r="AB969">
        <f>IF($Y969="","",INDEX($L$6:$L$40000,$Y969)&amp;"")</f>
        <v/>
      </c>
    </row>
    <row r="970">
      <c r="Y970" s="47">
        <f>IFERROR(MATCH(Library!M970,$M$6:$M$40000,0),"")</f>
        <v/>
      </c>
      <c r="Z970">
        <f>IF($Y970="","",INDEX($C$6:$C$40000,$Y970)&amp;"")</f>
        <v/>
      </c>
      <c r="AA970" s="59">
        <f>IF($Y970="","",IF(INDEX($D$6:$D$40000,$Y970)="","",INDEX($D$6:$D$40000,$Y970)))</f>
        <v/>
      </c>
      <c r="AB970">
        <f>IF($Y970="","",INDEX($L$6:$L$40000,$Y970)&amp;"")</f>
        <v/>
      </c>
    </row>
    <row r="971">
      <c r="Y971" s="47">
        <f>IFERROR(MATCH(Library!M971,$M$6:$M$40000,0),"")</f>
        <v/>
      </c>
      <c r="Z971">
        <f>IF($Y971="","",INDEX($C$6:$C$40000,$Y971)&amp;"")</f>
        <v/>
      </c>
      <c r="AA971" s="59">
        <f>IF($Y971="","",IF(INDEX($D$6:$D$40000,$Y971)="","",INDEX($D$6:$D$40000,$Y971)))</f>
        <v/>
      </c>
      <c r="AB971">
        <f>IF($Y971="","",INDEX($L$6:$L$40000,$Y971)&amp;"")</f>
        <v/>
      </c>
    </row>
    <row r="972">
      <c r="Y972" s="47">
        <f>IFERROR(MATCH(Library!M972,$M$6:$M$40000,0),"")</f>
        <v/>
      </c>
      <c r="Z972">
        <f>IF($Y972="","",INDEX($C$6:$C$40000,$Y972)&amp;"")</f>
        <v/>
      </c>
      <c r="AA972" s="59">
        <f>IF($Y972="","",IF(INDEX($D$6:$D$40000,$Y972)="","",INDEX($D$6:$D$40000,$Y972)))</f>
        <v/>
      </c>
      <c r="AB972">
        <f>IF($Y972="","",INDEX($L$6:$L$40000,$Y972)&amp;"")</f>
        <v/>
      </c>
    </row>
    <row r="973">
      <c r="Y973" s="47">
        <f>IFERROR(MATCH(Library!M973,$M$6:$M$40000,0),"")</f>
        <v/>
      </c>
      <c r="Z973">
        <f>IF($Y973="","",INDEX($C$6:$C$40000,$Y973)&amp;"")</f>
        <v/>
      </c>
      <c r="AA973" s="59">
        <f>IF($Y973="","",IF(INDEX($D$6:$D$40000,$Y973)="","",INDEX($D$6:$D$40000,$Y973)))</f>
        <v/>
      </c>
      <c r="AB973">
        <f>IF($Y973="","",INDEX($L$6:$L$40000,$Y973)&amp;"")</f>
        <v/>
      </c>
    </row>
    <row r="974">
      <c r="Y974" s="47">
        <f>IFERROR(MATCH(Library!M974,$M$6:$M$40000,0),"")</f>
        <v/>
      </c>
      <c r="Z974">
        <f>IF($Y974="","",INDEX($C$6:$C$40000,$Y974)&amp;"")</f>
        <v/>
      </c>
      <c r="AA974" s="59">
        <f>IF($Y974="","",IF(INDEX($D$6:$D$40000,$Y974)="","",INDEX($D$6:$D$40000,$Y974)))</f>
        <v/>
      </c>
      <c r="AB974">
        <f>IF($Y974="","",INDEX($L$6:$L$40000,$Y974)&amp;"")</f>
        <v/>
      </c>
    </row>
    <row r="975">
      <c r="Y975" s="47">
        <f>IFERROR(MATCH(Library!M975,$M$6:$M$40000,0),"")</f>
        <v/>
      </c>
      <c r="Z975">
        <f>IF($Y975="","",INDEX($C$6:$C$40000,$Y975)&amp;"")</f>
        <v/>
      </c>
      <c r="AA975" s="59">
        <f>IF($Y975="","",IF(INDEX($D$6:$D$40000,$Y975)="","",INDEX($D$6:$D$40000,$Y975)))</f>
        <v/>
      </c>
      <c r="AB975">
        <f>IF($Y975="","",INDEX($L$6:$L$40000,$Y975)&amp;"")</f>
        <v/>
      </c>
    </row>
    <row r="976">
      <c r="Y976" s="47">
        <f>IFERROR(MATCH(Library!M976,$M$6:$M$40000,0),"")</f>
        <v/>
      </c>
      <c r="Z976">
        <f>IF($Y976="","",INDEX($C$6:$C$40000,$Y976)&amp;"")</f>
        <v/>
      </c>
      <c r="AA976" s="59">
        <f>IF($Y976="","",IF(INDEX($D$6:$D$40000,$Y976)="","",INDEX($D$6:$D$40000,$Y976)))</f>
        <v/>
      </c>
      <c r="AB976">
        <f>IF($Y976="","",INDEX($L$6:$L$40000,$Y976)&amp;"")</f>
        <v/>
      </c>
    </row>
    <row r="977">
      <c r="Y977" s="47">
        <f>IFERROR(MATCH(Library!M977,$M$6:$M$40000,0),"")</f>
        <v/>
      </c>
      <c r="Z977">
        <f>IF($Y977="","",INDEX($C$6:$C$40000,$Y977)&amp;"")</f>
        <v/>
      </c>
      <c r="AA977" s="59">
        <f>IF($Y977="","",IF(INDEX($D$6:$D$40000,$Y977)="","",INDEX($D$6:$D$40000,$Y977)))</f>
        <v/>
      </c>
      <c r="AB977">
        <f>IF($Y977="","",INDEX($L$6:$L$40000,$Y977)&amp;"")</f>
        <v/>
      </c>
    </row>
    <row r="978">
      <c r="Y978" s="47">
        <f>IFERROR(MATCH(Library!M978,$M$6:$M$40000,0),"")</f>
        <v/>
      </c>
      <c r="Z978">
        <f>IF($Y978="","",INDEX($C$6:$C$40000,$Y978)&amp;"")</f>
        <v/>
      </c>
      <c r="AA978" s="59">
        <f>IF($Y978="","",IF(INDEX($D$6:$D$40000,$Y978)="","",INDEX($D$6:$D$40000,$Y978)))</f>
        <v/>
      </c>
      <c r="AB978">
        <f>IF($Y978="","",INDEX($L$6:$L$40000,$Y978)&amp;"")</f>
        <v/>
      </c>
    </row>
    <row r="979">
      <c r="Y979" s="47">
        <f>IFERROR(MATCH(Library!M979,$M$6:$M$40000,0),"")</f>
        <v/>
      </c>
      <c r="Z979">
        <f>IF($Y979="","",INDEX($C$6:$C$40000,$Y979)&amp;"")</f>
        <v/>
      </c>
      <c r="AA979" s="59">
        <f>IF($Y979="","",IF(INDEX($D$6:$D$40000,$Y979)="","",INDEX($D$6:$D$40000,$Y979)))</f>
        <v/>
      </c>
      <c r="AB979">
        <f>IF($Y979="","",INDEX($L$6:$L$40000,$Y979)&amp;"")</f>
        <v/>
      </c>
    </row>
    <row r="980">
      <c r="Y980" s="47">
        <f>IFERROR(MATCH(Library!M980,$M$6:$M$40000,0),"")</f>
        <v/>
      </c>
      <c r="Z980">
        <f>IF($Y980="","",INDEX($C$6:$C$40000,$Y980)&amp;"")</f>
        <v/>
      </c>
      <c r="AA980" s="59">
        <f>IF($Y980="","",IF(INDEX($D$6:$D$40000,$Y980)="","",INDEX($D$6:$D$40000,$Y980)))</f>
        <v/>
      </c>
      <c r="AB980">
        <f>IF($Y980="","",INDEX($L$6:$L$40000,$Y980)&amp;"")</f>
        <v/>
      </c>
    </row>
    <row r="981">
      <c r="Y981" s="47">
        <f>IFERROR(MATCH(Library!M981,$M$6:$M$40000,0),"")</f>
        <v/>
      </c>
      <c r="Z981">
        <f>IF($Y981="","",INDEX($C$6:$C$40000,$Y981)&amp;"")</f>
        <v/>
      </c>
      <c r="AA981" s="59">
        <f>IF($Y981="","",IF(INDEX($D$6:$D$40000,$Y981)="","",INDEX($D$6:$D$40000,$Y981)))</f>
        <v/>
      </c>
      <c r="AB981">
        <f>IF($Y981="","",INDEX($L$6:$L$40000,$Y981)&amp;"")</f>
        <v/>
      </c>
    </row>
    <row r="982">
      <c r="Y982" s="47">
        <f>IFERROR(MATCH(Library!M982,$M$6:$M$40000,0),"")</f>
        <v/>
      </c>
      <c r="Z982">
        <f>IF($Y982="","",INDEX($C$6:$C$40000,$Y982)&amp;"")</f>
        <v/>
      </c>
      <c r="AA982" s="59">
        <f>IF($Y982="","",IF(INDEX($D$6:$D$40000,$Y982)="","",INDEX($D$6:$D$40000,$Y982)))</f>
        <v/>
      </c>
      <c r="AB982">
        <f>IF($Y982="","",INDEX($L$6:$L$40000,$Y982)&amp;"")</f>
        <v/>
      </c>
    </row>
    <row r="983">
      <c r="Y983" s="47">
        <f>IFERROR(MATCH(Library!M983,$M$6:$M$40000,0),"")</f>
        <v/>
      </c>
      <c r="Z983">
        <f>IF($Y983="","",INDEX($C$6:$C$40000,$Y983)&amp;"")</f>
        <v/>
      </c>
      <c r="AA983" s="59">
        <f>IF($Y983="","",IF(INDEX($D$6:$D$40000,$Y983)="","",INDEX($D$6:$D$40000,$Y983)))</f>
        <v/>
      </c>
      <c r="AB983">
        <f>IF($Y983="","",INDEX($L$6:$L$40000,$Y983)&amp;"")</f>
        <v/>
      </c>
    </row>
    <row r="984">
      <c r="Y984" s="47">
        <f>IFERROR(MATCH(Library!M984,$M$6:$M$40000,0),"")</f>
        <v/>
      </c>
      <c r="Z984">
        <f>IF($Y984="","",INDEX($C$6:$C$40000,$Y984)&amp;"")</f>
        <v/>
      </c>
      <c r="AA984" s="59">
        <f>IF($Y984="","",IF(INDEX($D$6:$D$40000,$Y984)="","",INDEX($D$6:$D$40000,$Y984)))</f>
        <v/>
      </c>
      <c r="AB984">
        <f>IF($Y984="","",INDEX($L$6:$L$40000,$Y984)&amp;"")</f>
        <v/>
      </c>
    </row>
    <row r="985">
      <c r="Y985" s="47">
        <f>IFERROR(MATCH(Library!M985,$M$6:$M$40000,0),"")</f>
        <v/>
      </c>
      <c r="Z985">
        <f>IF($Y985="","",INDEX($C$6:$C$40000,$Y985)&amp;"")</f>
        <v/>
      </c>
      <c r="AA985" s="59">
        <f>IF($Y985="","",IF(INDEX($D$6:$D$40000,$Y985)="","",INDEX($D$6:$D$40000,$Y985)))</f>
        <v/>
      </c>
      <c r="AB985">
        <f>IF($Y985="","",INDEX($L$6:$L$40000,$Y985)&amp;"")</f>
        <v/>
      </c>
    </row>
    <row r="986">
      <c r="Y986" s="47">
        <f>IFERROR(MATCH(Library!M986,$M$6:$M$40000,0),"")</f>
        <v/>
      </c>
      <c r="Z986">
        <f>IF($Y986="","",INDEX($C$6:$C$40000,$Y986)&amp;"")</f>
        <v/>
      </c>
      <c r="AA986" s="59">
        <f>IF($Y986="","",IF(INDEX($D$6:$D$40000,$Y986)="","",INDEX($D$6:$D$40000,$Y986)))</f>
        <v/>
      </c>
      <c r="AB986">
        <f>IF($Y986="","",INDEX($L$6:$L$40000,$Y986)&amp;"")</f>
        <v/>
      </c>
    </row>
    <row r="987">
      <c r="Y987" s="47">
        <f>IFERROR(MATCH(Library!M987,$M$6:$M$40000,0),"")</f>
        <v/>
      </c>
      <c r="Z987">
        <f>IF($Y987="","",INDEX($C$6:$C$40000,$Y987)&amp;"")</f>
        <v/>
      </c>
      <c r="AA987" s="59">
        <f>IF($Y987="","",IF(INDEX($D$6:$D$40000,$Y987)="","",INDEX($D$6:$D$40000,$Y987)))</f>
        <v/>
      </c>
      <c r="AB987">
        <f>IF($Y987="","",INDEX($L$6:$L$40000,$Y987)&amp;"")</f>
        <v/>
      </c>
    </row>
    <row r="988">
      <c r="Y988" s="47">
        <f>IFERROR(MATCH(Library!M988,$M$6:$M$40000,0),"")</f>
        <v/>
      </c>
      <c r="Z988">
        <f>IF($Y988="","",INDEX($C$6:$C$40000,$Y988)&amp;"")</f>
        <v/>
      </c>
      <c r="AA988" s="59">
        <f>IF($Y988="","",IF(INDEX($D$6:$D$40000,$Y988)="","",INDEX($D$6:$D$40000,$Y988)))</f>
        <v/>
      </c>
      <c r="AB988">
        <f>IF($Y988="","",INDEX($L$6:$L$40000,$Y988)&amp;"")</f>
        <v/>
      </c>
    </row>
    <row r="989">
      <c r="Y989" s="47">
        <f>IFERROR(MATCH(Library!M989,$M$6:$M$40000,0),"")</f>
        <v/>
      </c>
      <c r="Z989">
        <f>IF($Y989="","",INDEX($C$6:$C$40000,$Y989)&amp;"")</f>
        <v/>
      </c>
      <c r="AA989" s="59">
        <f>IF($Y989="","",IF(INDEX($D$6:$D$40000,$Y989)="","",INDEX($D$6:$D$40000,$Y989)))</f>
        <v/>
      </c>
      <c r="AB989">
        <f>IF($Y989="","",INDEX($L$6:$L$40000,$Y989)&amp;"")</f>
        <v/>
      </c>
    </row>
    <row r="990">
      <c r="Y990" s="47">
        <f>IFERROR(MATCH(Library!M990,$M$6:$M$40000,0),"")</f>
        <v/>
      </c>
      <c r="Z990">
        <f>IF($Y990="","",INDEX($C$6:$C$40000,$Y990)&amp;"")</f>
        <v/>
      </c>
      <c r="AA990" s="59">
        <f>IF($Y990="","",IF(INDEX($D$6:$D$40000,$Y990)="","",INDEX($D$6:$D$40000,$Y990)))</f>
        <v/>
      </c>
      <c r="AB990">
        <f>IF($Y990="","",INDEX($L$6:$L$40000,$Y990)&amp;"")</f>
        <v/>
      </c>
    </row>
    <row r="991">
      <c r="Y991" s="47">
        <f>IFERROR(MATCH(Library!M991,$M$6:$M$40000,0),"")</f>
        <v/>
      </c>
      <c r="Z991">
        <f>IF($Y991="","",INDEX($C$6:$C$40000,$Y991)&amp;"")</f>
        <v/>
      </c>
      <c r="AA991" s="59">
        <f>IF($Y991="","",IF(INDEX($D$6:$D$40000,$Y991)="","",INDEX($D$6:$D$40000,$Y991)))</f>
        <v/>
      </c>
      <c r="AB991">
        <f>IF($Y991="","",INDEX($L$6:$L$40000,$Y991)&amp;"")</f>
        <v/>
      </c>
    </row>
    <row r="992">
      <c r="Y992" s="47">
        <f>IFERROR(MATCH(Library!M992,$M$6:$M$40000,0),"")</f>
        <v/>
      </c>
      <c r="Z992">
        <f>IF($Y992="","",INDEX($C$6:$C$40000,$Y992)&amp;"")</f>
        <v/>
      </c>
      <c r="AA992" s="59">
        <f>IF($Y992="","",IF(INDEX($D$6:$D$40000,$Y992)="","",INDEX($D$6:$D$40000,$Y992)))</f>
        <v/>
      </c>
      <c r="AB992">
        <f>IF($Y992="","",INDEX($L$6:$L$40000,$Y992)&amp;"")</f>
        <v/>
      </c>
    </row>
    <row r="993">
      <c r="Y993" s="47">
        <f>IFERROR(MATCH(Library!M993,$M$6:$M$40000,0),"")</f>
        <v/>
      </c>
      <c r="Z993">
        <f>IF($Y993="","",INDEX($C$6:$C$40000,$Y993)&amp;"")</f>
        <v/>
      </c>
      <c r="AA993" s="59">
        <f>IF($Y993="","",IF(INDEX($D$6:$D$40000,$Y993)="","",INDEX($D$6:$D$40000,$Y993)))</f>
        <v/>
      </c>
      <c r="AB993">
        <f>IF($Y993="","",INDEX($L$6:$L$40000,$Y993)&amp;"")</f>
        <v/>
      </c>
    </row>
    <row r="994">
      <c r="Y994" s="47">
        <f>IFERROR(MATCH(Library!M994,$M$6:$M$40000,0),"")</f>
        <v/>
      </c>
      <c r="Z994">
        <f>IF($Y994="","",INDEX($C$6:$C$40000,$Y994)&amp;"")</f>
        <v/>
      </c>
      <c r="AA994" s="59">
        <f>IF($Y994="","",IF(INDEX($D$6:$D$40000,$Y994)="","",INDEX($D$6:$D$40000,$Y994)))</f>
        <v/>
      </c>
      <c r="AB994">
        <f>IF($Y994="","",INDEX($L$6:$L$40000,$Y994)&amp;"")</f>
        <v/>
      </c>
    </row>
    <row r="995">
      <c r="Y995" s="47">
        <f>IFERROR(MATCH(Library!M995,$M$6:$M$40000,0),"")</f>
        <v/>
      </c>
      <c r="Z995">
        <f>IF($Y995="","",INDEX($C$6:$C$40000,$Y995)&amp;"")</f>
        <v/>
      </c>
      <c r="AA995" s="59">
        <f>IF($Y995="","",IF(INDEX($D$6:$D$40000,$Y995)="","",INDEX($D$6:$D$40000,$Y995)))</f>
        <v/>
      </c>
      <c r="AB995">
        <f>IF($Y995="","",INDEX($L$6:$L$40000,$Y995)&amp;"")</f>
        <v/>
      </c>
    </row>
    <row r="996">
      <c r="Y996" s="47">
        <f>IFERROR(MATCH(Library!M996,$M$6:$M$40000,0),"")</f>
        <v/>
      </c>
      <c r="Z996">
        <f>IF($Y996="","",INDEX($C$6:$C$40000,$Y996)&amp;"")</f>
        <v/>
      </c>
      <c r="AA996" s="59">
        <f>IF($Y996="","",IF(INDEX($D$6:$D$40000,$Y996)="","",INDEX($D$6:$D$40000,$Y996)))</f>
        <v/>
      </c>
      <c r="AB996">
        <f>IF($Y996="","",INDEX($L$6:$L$40000,$Y996)&amp;"")</f>
        <v/>
      </c>
    </row>
    <row r="997">
      <c r="Y997" s="47">
        <f>IFERROR(MATCH(Library!M997,$M$6:$M$40000,0),"")</f>
        <v/>
      </c>
      <c r="Z997">
        <f>IF($Y997="","",INDEX($C$6:$C$40000,$Y997)&amp;"")</f>
        <v/>
      </c>
      <c r="AA997" s="59">
        <f>IF($Y997="","",IF(INDEX($D$6:$D$40000,$Y997)="","",INDEX($D$6:$D$40000,$Y997)))</f>
        <v/>
      </c>
      <c r="AB997">
        <f>IF($Y997="","",INDEX($L$6:$L$40000,$Y997)&amp;"")</f>
        <v/>
      </c>
    </row>
    <row r="998">
      <c r="Y998" s="47">
        <f>IFERROR(MATCH(Library!M998,$M$6:$M$40000,0),"")</f>
        <v/>
      </c>
      <c r="Z998">
        <f>IF($Y998="","",INDEX($C$6:$C$40000,$Y998)&amp;"")</f>
        <v/>
      </c>
      <c r="AA998" s="59">
        <f>IF($Y998="","",IF(INDEX($D$6:$D$40000,$Y998)="","",INDEX($D$6:$D$40000,$Y998)))</f>
        <v/>
      </c>
      <c r="AB998">
        <f>IF($Y998="","",INDEX($L$6:$L$40000,$Y998)&amp;"")</f>
        <v/>
      </c>
    </row>
    <row r="999">
      <c r="Y999" s="47">
        <f>IFERROR(MATCH(Library!M999,$M$6:$M$40000,0),"")</f>
        <v/>
      </c>
      <c r="Z999">
        <f>IF($Y999="","",INDEX($C$6:$C$40000,$Y999)&amp;"")</f>
        <v/>
      </c>
      <c r="AA999" s="59">
        <f>IF($Y999="","",IF(INDEX($D$6:$D$40000,$Y999)="","",INDEX($D$6:$D$40000,$Y999)))</f>
        <v/>
      </c>
      <c r="AB999">
        <f>IF($Y999="","",INDEX($L$6:$L$40000,$Y999)&amp;"")</f>
        <v/>
      </c>
    </row>
    <row r="1000">
      <c r="Y1000" s="47">
        <f>IFERROR(MATCH(Library!M1000,$M$6:$M$40000,0),"")</f>
        <v/>
      </c>
      <c r="Z1000">
        <f>IF($Y1000="","",INDEX($C$6:$C$40000,$Y1000)&amp;"")</f>
        <v/>
      </c>
      <c r="AA1000" s="59">
        <f>IF($Y1000="","",IF(INDEX($D$6:$D$40000,$Y1000)="","",INDEX($D$6:$D$40000,$Y1000)))</f>
        <v/>
      </c>
      <c r="AB1000">
        <f>IF($Y1000="","",INDEX($L$6:$L$40000,$Y1000)&amp;"")</f>
        <v/>
      </c>
    </row>
    <row r="1001">
      <c r="Y1001" s="47">
        <f>IFERROR(MATCH(Library!M1001,$M$6:$M$40000,0),"")</f>
        <v/>
      </c>
      <c r="Z1001">
        <f>IF($Y1001="","",INDEX($C$6:$C$40000,$Y1001)&amp;"")</f>
        <v/>
      </c>
      <c r="AA1001" s="59">
        <f>IF($Y1001="","",IF(INDEX($D$6:$D$40000,$Y1001)="","",INDEX($D$6:$D$40000,$Y1001)))</f>
        <v/>
      </c>
      <c r="AB1001">
        <f>IF($Y1001="","",INDEX($L$6:$L$40000,$Y1001)&amp;"")</f>
        <v/>
      </c>
    </row>
    <row r="1002">
      <c r="Y1002" s="47">
        <f>IFERROR(MATCH(Library!M1002,$M$6:$M$40000,0),"")</f>
        <v/>
      </c>
      <c r="Z1002">
        <f>IF($Y1002="","",INDEX($C$6:$C$40000,$Y1002)&amp;"")</f>
        <v/>
      </c>
      <c r="AA1002" s="59">
        <f>IF($Y1002="","",IF(INDEX($D$6:$D$40000,$Y1002)="","",INDEX($D$6:$D$40000,$Y1002)))</f>
        <v/>
      </c>
      <c r="AB1002">
        <f>IF($Y1002="","",INDEX($L$6:$L$40000,$Y1002)&amp;"")</f>
        <v/>
      </c>
    </row>
    <row r="1003">
      <c r="Y1003" s="47">
        <f>IFERROR(MATCH(Library!M1003,$M$6:$M$40000,0),"")</f>
        <v/>
      </c>
      <c r="Z1003">
        <f>IF($Y1003="","",INDEX($C$6:$C$40000,$Y1003)&amp;"")</f>
        <v/>
      </c>
      <c r="AA1003" s="59">
        <f>IF($Y1003="","",IF(INDEX($D$6:$D$40000,$Y1003)="","",INDEX($D$6:$D$40000,$Y1003)))</f>
        <v/>
      </c>
      <c r="AB1003">
        <f>IF($Y1003="","",INDEX($L$6:$L$40000,$Y1003)&amp;"")</f>
        <v/>
      </c>
    </row>
    <row r="1004">
      <c r="Y1004" s="47">
        <f>IFERROR(MATCH(Library!M1004,$M$6:$M$40000,0),"")</f>
        <v/>
      </c>
      <c r="Z1004">
        <f>IF($Y1004="","",INDEX($C$6:$C$40000,$Y1004)&amp;"")</f>
        <v/>
      </c>
      <c r="AA1004" s="59">
        <f>IF($Y1004="","",IF(INDEX($D$6:$D$40000,$Y1004)="","",INDEX($D$6:$D$40000,$Y1004)))</f>
        <v/>
      </c>
      <c r="AB1004">
        <f>IF($Y1004="","",INDEX($L$6:$L$40000,$Y1004)&amp;"")</f>
        <v/>
      </c>
    </row>
    <row r="1005">
      <c r="Y1005" s="47">
        <f>IFERROR(MATCH(Library!M1005,$M$6:$M$40000,0),"")</f>
        <v/>
      </c>
      <c r="Z1005">
        <f>IF($Y1005="","",INDEX($C$6:$C$40000,$Y1005)&amp;"")</f>
        <v/>
      </c>
      <c r="AA1005" s="59">
        <f>IF($Y1005="","",IF(INDEX($D$6:$D$40000,$Y1005)="","",INDEX($D$6:$D$40000,$Y1005)))</f>
        <v/>
      </c>
      <c r="AB1005">
        <f>IF($Y1005="","",INDEX($L$6:$L$40000,$Y1005)&amp;"")</f>
        <v/>
      </c>
    </row>
    <row r="1006">
      <c r="Y1006" s="47">
        <f>IFERROR(MATCH(Library!M1006,$M$6:$M$40000,0),"")</f>
        <v/>
      </c>
      <c r="Z1006">
        <f>IF($Y1006="","",INDEX($C$6:$C$40000,$Y1006)&amp;"")</f>
        <v/>
      </c>
      <c r="AA1006" s="59">
        <f>IF($Y1006="","",IF(INDEX($D$6:$D$40000,$Y1006)="","",INDEX($D$6:$D$40000,$Y1006)))</f>
        <v/>
      </c>
      <c r="AB1006">
        <f>IF($Y1006="","",INDEX($L$6:$L$40000,$Y1006)&amp;"")</f>
        <v/>
      </c>
    </row>
    <row r="1007">
      <c r="Y1007" s="47">
        <f>IFERROR(MATCH(Library!M1007,$M$6:$M$40000,0),"")</f>
        <v/>
      </c>
      <c r="Z1007">
        <f>IF($Y1007="","",INDEX($C$6:$C$40000,$Y1007)&amp;"")</f>
        <v/>
      </c>
      <c r="AA1007" s="59">
        <f>IF($Y1007="","",IF(INDEX($D$6:$D$40000,$Y1007)="","",INDEX($D$6:$D$40000,$Y1007)))</f>
        <v/>
      </c>
      <c r="AB1007">
        <f>IF($Y1007="","",INDEX($L$6:$L$40000,$Y1007)&amp;"")</f>
        <v/>
      </c>
    </row>
    <row r="1008">
      <c r="Y1008" s="47">
        <f>IFERROR(MATCH(Library!M1008,$M$6:$M$40000,0),"")</f>
        <v/>
      </c>
      <c r="Z1008">
        <f>IF($Y1008="","",INDEX($C$6:$C$40000,$Y1008)&amp;"")</f>
        <v/>
      </c>
      <c r="AA1008" s="59">
        <f>IF($Y1008="","",IF(INDEX($D$6:$D$40000,$Y1008)="","",INDEX($D$6:$D$40000,$Y1008)))</f>
        <v/>
      </c>
      <c r="AB1008">
        <f>IF($Y1008="","",INDEX($L$6:$L$40000,$Y1008)&amp;"")</f>
        <v/>
      </c>
    </row>
    <row r="1009">
      <c r="Y1009" s="47">
        <f>IFERROR(MATCH(Library!M1009,$M$6:$M$40000,0),"")</f>
        <v/>
      </c>
      <c r="Z1009">
        <f>IF($Y1009="","",INDEX($C$6:$C$40000,$Y1009)&amp;"")</f>
        <v/>
      </c>
      <c r="AA1009" s="59">
        <f>IF($Y1009="","",IF(INDEX($D$6:$D$40000,$Y1009)="","",INDEX($D$6:$D$40000,$Y1009)))</f>
        <v/>
      </c>
      <c r="AB1009">
        <f>IF($Y1009="","",INDEX($L$6:$L$40000,$Y1009)&amp;"")</f>
        <v/>
      </c>
    </row>
    <row r="1010">
      <c r="Y1010" s="47">
        <f>IFERROR(MATCH(Library!M1010,$M$6:$M$40000,0),"")</f>
        <v/>
      </c>
      <c r="Z1010">
        <f>IF($Y1010="","",INDEX($C$6:$C$40000,$Y1010)&amp;"")</f>
        <v/>
      </c>
      <c r="AA1010" s="59">
        <f>IF($Y1010="","",IF(INDEX($D$6:$D$40000,$Y1010)="","",INDEX($D$6:$D$40000,$Y1010)))</f>
        <v/>
      </c>
      <c r="AB1010">
        <f>IF($Y1010="","",INDEX($L$6:$L$40000,$Y1010)&amp;"")</f>
        <v/>
      </c>
    </row>
    <row r="1011">
      <c r="Y1011" s="47">
        <f>IFERROR(MATCH(Library!M1011,$M$6:$M$40000,0),"")</f>
        <v/>
      </c>
      <c r="Z1011">
        <f>IF($Y1011="","",INDEX($C$6:$C$40000,$Y1011)&amp;"")</f>
        <v/>
      </c>
      <c r="AA1011" s="59">
        <f>IF($Y1011="","",IF(INDEX($D$6:$D$40000,$Y1011)="","",INDEX($D$6:$D$40000,$Y1011)))</f>
        <v/>
      </c>
      <c r="AB1011">
        <f>IF($Y1011="","",INDEX($L$6:$L$40000,$Y1011)&amp;"")</f>
        <v/>
      </c>
    </row>
    <row r="1012">
      <c r="Y1012" s="47">
        <f>IFERROR(MATCH(Library!M1012,$M$6:$M$40000,0),"")</f>
        <v/>
      </c>
      <c r="Z1012">
        <f>IF($Y1012="","",INDEX($C$6:$C$40000,$Y1012)&amp;"")</f>
        <v/>
      </c>
      <c r="AA1012" s="59">
        <f>IF($Y1012="","",IF(INDEX($D$6:$D$40000,$Y1012)="","",INDEX($D$6:$D$40000,$Y1012)))</f>
        <v/>
      </c>
      <c r="AB1012">
        <f>IF($Y1012="","",INDEX($L$6:$L$40000,$Y1012)&amp;"")</f>
        <v/>
      </c>
    </row>
    <row r="1013">
      <c r="Y1013" s="47">
        <f>IFERROR(MATCH(Library!M1013,$M$6:$M$40000,0),"")</f>
        <v/>
      </c>
      <c r="Z1013">
        <f>IF($Y1013="","",INDEX($C$6:$C$40000,$Y1013)&amp;"")</f>
        <v/>
      </c>
      <c r="AA1013" s="59">
        <f>IF($Y1013="","",IF(INDEX($D$6:$D$40000,$Y1013)="","",INDEX($D$6:$D$40000,$Y1013)))</f>
        <v/>
      </c>
      <c r="AB1013">
        <f>IF($Y1013="","",INDEX($L$6:$L$40000,$Y1013)&amp;"")</f>
        <v/>
      </c>
    </row>
    <row r="1014">
      <c r="Y1014" s="47">
        <f>IFERROR(MATCH(Library!M1014,$M$6:$M$40000,0),"")</f>
        <v/>
      </c>
      <c r="Z1014">
        <f>IF($Y1014="","",INDEX($C$6:$C$40000,$Y1014)&amp;"")</f>
        <v/>
      </c>
      <c r="AA1014" s="59">
        <f>IF($Y1014="","",IF(INDEX($D$6:$D$40000,$Y1014)="","",INDEX($D$6:$D$40000,$Y1014)))</f>
        <v/>
      </c>
      <c r="AB1014">
        <f>IF($Y1014="","",INDEX($L$6:$L$40000,$Y1014)&amp;"")</f>
        <v/>
      </c>
    </row>
    <row r="1015">
      <c r="Y1015" s="47">
        <f>IFERROR(MATCH(Library!M1015,$M$6:$M$40000,0),"")</f>
        <v/>
      </c>
      <c r="Z1015">
        <f>IF($Y1015="","",INDEX($C$6:$C$40000,$Y1015)&amp;"")</f>
        <v/>
      </c>
      <c r="AA1015" s="59">
        <f>IF($Y1015="","",IF(INDEX($D$6:$D$40000,$Y1015)="","",INDEX($D$6:$D$40000,$Y1015)))</f>
        <v/>
      </c>
      <c r="AB1015">
        <f>IF($Y1015="","",INDEX($L$6:$L$40000,$Y1015)&amp;"")</f>
        <v/>
      </c>
    </row>
    <row r="1016">
      <c r="Y1016" s="47">
        <f>IFERROR(MATCH(Library!M1016,$M$6:$M$40000,0),"")</f>
        <v/>
      </c>
      <c r="Z1016">
        <f>IF($Y1016="","",INDEX($C$6:$C$40000,$Y1016)&amp;"")</f>
        <v/>
      </c>
      <c r="AA1016" s="59">
        <f>IF($Y1016="","",IF(INDEX($D$6:$D$40000,$Y1016)="","",INDEX($D$6:$D$40000,$Y1016)))</f>
        <v/>
      </c>
      <c r="AB1016">
        <f>IF($Y1016="","",INDEX($L$6:$L$40000,$Y1016)&amp;"")</f>
        <v/>
      </c>
    </row>
    <row r="1017">
      <c r="Y1017" s="47">
        <f>IFERROR(MATCH(Library!M1017,$M$6:$M$40000,0),"")</f>
        <v/>
      </c>
      <c r="Z1017">
        <f>IF($Y1017="","",INDEX($C$6:$C$40000,$Y1017)&amp;"")</f>
        <v/>
      </c>
      <c r="AA1017" s="59">
        <f>IF($Y1017="","",IF(INDEX($D$6:$D$40000,$Y1017)="","",INDEX($D$6:$D$40000,$Y1017)))</f>
        <v/>
      </c>
      <c r="AB1017">
        <f>IF($Y1017="","",INDEX($L$6:$L$40000,$Y1017)&amp;"")</f>
        <v/>
      </c>
    </row>
    <row r="1018">
      <c r="Y1018" s="47">
        <f>IFERROR(MATCH(Library!M1018,$M$6:$M$40000,0),"")</f>
        <v/>
      </c>
      <c r="Z1018">
        <f>IF($Y1018="","",INDEX($C$6:$C$40000,$Y1018)&amp;"")</f>
        <v/>
      </c>
      <c r="AA1018" s="59">
        <f>IF($Y1018="","",IF(INDEX($D$6:$D$40000,$Y1018)="","",INDEX($D$6:$D$40000,$Y1018)))</f>
        <v/>
      </c>
      <c r="AB1018">
        <f>IF($Y1018="","",INDEX($L$6:$L$40000,$Y1018)&amp;"")</f>
        <v/>
      </c>
    </row>
    <row r="1019">
      <c r="Y1019" s="47">
        <f>IFERROR(MATCH(Library!M1019,$M$6:$M$40000,0),"")</f>
        <v/>
      </c>
      <c r="Z1019">
        <f>IF($Y1019="","",INDEX($C$6:$C$40000,$Y1019)&amp;"")</f>
        <v/>
      </c>
      <c r="AA1019" s="59">
        <f>IF($Y1019="","",IF(INDEX($D$6:$D$40000,$Y1019)="","",INDEX($D$6:$D$40000,$Y1019)))</f>
        <v/>
      </c>
      <c r="AB1019">
        <f>IF($Y1019="","",INDEX($L$6:$L$40000,$Y1019)&amp;"")</f>
        <v/>
      </c>
    </row>
    <row r="1020">
      <c r="Y1020" s="47">
        <f>IFERROR(MATCH(Library!M1020,$M$6:$M$40000,0),"")</f>
        <v/>
      </c>
      <c r="Z1020">
        <f>IF($Y1020="","",INDEX($C$6:$C$40000,$Y1020)&amp;"")</f>
        <v/>
      </c>
      <c r="AA1020" s="59">
        <f>IF($Y1020="","",IF(INDEX($D$6:$D$40000,$Y1020)="","",INDEX($D$6:$D$40000,$Y1020)))</f>
        <v/>
      </c>
      <c r="AB1020">
        <f>IF($Y1020="","",INDEX($L$6:$L$40000,$Y1020)&amp;"")</f>
        <v/>
      </c>
    </row>
    <row r="1021">
      <c r="Y1021" s="47">
        <f>IFERROR(MATCH(Library!M1021,$M$6:$M$40000,0),"")</f>
        <v/>
      </c>
      <c r="Z1021">
        <f>IF($Y1021="","",INDEX($C$6:$C$40000,$Y1021)&amp;"")</f>
        <v/>
      </c>
      <c r="AA1021" s="59">
        <f>IF($Y1021="","",IF(INDEX($D$6:$D$40000,$Y1021)="","",INDEX($D$6:$D$40000,$Y1021)))</f>
        <v/>
      </c>
      <c r="AB1021">
        <f>IF($Y1021="","",INDEX($L$6:$L$40000,$Y1021)&amp;"")</f>
        <v/>
      </c>
    </row>
    <row r="1022">
      <c r="Y1022" s="47">
        <f>IFERROR(MATCH(Library!M1022,$M$6:$M$40000,0),"")</f>
        <v/>
      </c>
      <c r="Z1022">
        <f>IF($Y1022="","",INDEX($C$6:$C$40000,$Y1022)&amp;"")</f>
        <v/>
      </c>
      <c r="AA1022" s="59">
        <f>IF($Y1022="","",IF(INDEX($D$6:$D$40000,$Y1022)="","",INDEX($D$6:$D$40000,$Y1022)))</f>
        <v/>
      </c>
      <c r="AB1022">
        <f>IF($Y1022="","",INDEX($L$6:$L$40000,$Y1022)&amp;"")</f>
        <v/>
      </c>
    </row>
    <row r="1023">
      <c r="Y1023" s="47">
        <f>IFERROR(MATCH(Library!M1023,$M$6:$M$40000,0),"")</f>
        <v/>
      </c>
      <c r="Z1023">
        <f>IF($Y1023="","",INDEX($C$6:$C$40000,$Y1023)&amp;"")</f>
        <v/>
      </c>
      <c r="AA1023" s="59">
        <f>IF($Y1023="","",IF(INDEX($D$6:$D$40000,$Y1023)="","",INDEX($D$6:$D$40000,$Y1023)))</f>
        <v/>
      </c>
      <c r="AB1023">
        <f>IF($Y1023="","",INDEX($L$6:$L$40000,$Y1023)&amp;"")</f>
        <v/>
      </c>
    </row>
    <row r="1024">
      <c r="Y1024" s="47">
        <f>IFERROR(MATCH(Library!M1024,$M$6:$M$40000,0),"")</f>
        <v/>
      </c>
      <c r="Z1024">
        <f>IF($Y1024="","",INDEX($C$6:$C$40000,$Y1024)&amp;"")</f>
        <v/>
      </c>
      <c r="AA1024" s="59">
        <f>IF($Y1024="","",IF(INDEX($D$6:$D$40000,$Y1024)="","",INDEX($D$6:$D$40000,$Y1024)))</f>
        <v/>
      </c>
      <c r="AB1024">
        <f>IF($Y1024="","",INDEX($L$6:$L$40000,$Y1024)&amp;"")</f>
        <v/>
      </c>
    </row>
    <row r="1025">
      <c r="Y1025" s="47">
        <f>IFERROR(MATCH(Library!M1025,$M$6:$M$40000,0),"")</f>
        <v/>
      </c>
      <c r="Z1025">
        <f>IF($Y1025="","",INDEX($C$6:$C$40000,$Y1025)&amp;"")</f>
        <v/>
      </c>
      <c r="AA1025" s="59">
        <f>IF($Y1025="","",IF(INDEX($D$6:$D$40000,$Y1025)="","",INDEX($D$6:$D$40000,$Y1025)))</f>
        <v/>
      </c>
      <c r="AB1025">
        <f>IF($Y1025="","",INDEX($L$6:$L$40000,$Y1025)&amp;"")</f>
        <v/>
      </c>
    </row>
    <row r="1026">
      <c r="Y1026" s="47">
        <f>IFERROR(MATCH(Library!M1026,$M$6:$M$40000,0),"")</f>
        <v/>
      </c>
      <c r="Z1026">
        <f>IF($Y1026="","",INDEX($C$6:$C$40000,$Y1026)&amp;"")</f>
        <v/>
      </c>
      <c r="AA1026" s="59">
        <f>IF($Y1026="","",IF(INDEX($D$6:$D$40000,$Y1026)="","",INDEX($D$6:$D$40000,$Y1026)))</f>
        <v/>
      </c>
      <c r="AB1026">
        <f>IF($Y1026="","",INDEX($L$6:$L$40000,$Y1026)&amp;"")</f>
        <v/>
      </c>
    </row>
    <row r="1027">
      <c r="Y1027" s="47">
        <f>IFERROR(MATCH(Library!M1027,$M$6:$M$40000,0),"")</f>
        <v/>
      </c>
      <c r="Z1027">
        <f>IF($Y1027="","",INDEX($C$6:$C$40000,$Y1027)&amp;"")</f>
        <v/>
      </c>
      <c r="AA1027" s="59">
        <f>IF($Y1027="","",IF(INDEX($D$6:$D$40000,$Y1027)="","",INDEX($D$6:$D$40000,$Y1027)))</f>
        <v/>
      </c>
      <c r="AB1027">
        <f>IF($Y1027="","",INDEX($L$6:$L$40000,$Y1027)&amp;"")</f>
        <v/>
      </c>
    </row>
    <row r="1028">
      <c r="Y1028" s="47">
        <f>IFERROR(MATCH(Library!M1028,$M$6:$M$40000,0),"")</f>
        <v/>
      </c>
      <c r="Z1028">
        <f>IF($Y1028="","",INDEX($C$6:$C$40000,$Y1028)&amp;"")</f>
        <v/>
      </c>
      <c r="AA1028" s="59">
        <f>IF($Y1028="","",IF(INDEX($D$6:$D$40000,$Y1028)="","",INDEX($D$6:$D$40000,$Y1028)))</f>
        <v/>
      </c>
      <c r="AB1028">
        <f>IF($Y1028="","",INDEX($L$6:$L$40000,$Y1028)&amp;"")</f>
        <v/>
      </c>
    </row>
    <row r="1029">
      <c r="Y1029" s="47">
        <f>IFERROR(MATCH(Library!M1029,$M$6:$M$40000,0),"")</f>
        <v/>
      </c>
      <c r="Z1029">
        <f>IF($Y1029="","",INDEX($C$6:$C$40000,$Y1029)&amp;"")</f>
        <v/>
      </c>
      <c r="AA1029" s="59">
        <f>IF($Y1029="","",IF(INDEX($D$6:$D$40000,$Y1029)="","",INDEX($D$6:$D$40000,$Y1029)))</f>
        <v/>
      </c>
      <c r="AB1029">
        <f>IF($Y1029="","",INDEX($L$6:$L$40000,$Y1029)&amp;"")</f>
        <v/>
      </c>
    </row>
    <row r="1030">
      <c r="Y1030" s="47">
        <f>IFERROR(MATCH(Library!M1030,$M$6:$M$40000,0),"")</f>
        <v/>
      </c>
      <c r="Z1030">
        <f>IF($Y1030="","",INDEX($C$6:$C$40000,$Y1030)&amp;"")</f>
        <v/>
      </c>
      <c r="AA1030" s="59">
        <f>IF($Y1030="","",IF(INDEX($D$6:$D$40000,$Y1030)="","",INDEX($D$6:$D$40000,$Y1030)))</f>
        <v/>
      </c>
      <c r="AB1030">
        <f>IF($Y1030="","",INDEX($L$6:$L$40000,$Y1030)&amp;"")</f>
        <v/>
      </c>
    </row>
    <row r="1031">
      <c r="Y1031" s="47">
        <f>IFERROR(MATCH(Library!M1031,$M$6:$M$40000,0),"")</f>
        <v/>
      </c>
      <c r="Z1031">
        <f>IF($Y1031="","",INDEX($C$6:$C$40000,$Y1031)&amp;"")</f>
        <v/>
      </c>
      <c r="AA1031" s="59">
        <f>IF($Y1031="","",IF(INDEX($D$6:$D$40000,$Y1031)="","",INDEX($D$6:$D$40000,$Y1031)))</f>
        <v/>
      </c>
      <c r="AB1031">
        <f>IF($Y1031="","",INDEX($L$6:$L$40000,$Y1031)&amp;"")</f>
        <v/>
      </c>
    </row>
    <row r="1032">
      <c r="Y1032" s="47">
        <f>IFERROR(MATCH(Library!M1032,$M$6:$M$40000,0),"")</f>
        <v/>
      </c>
      <c r="Z1032">
        <f>IF($Y1032="","",INDEX($C$6:$C$40000,$Y1032)&amp;"")</f>
        <v/>
      </c>
      <c r="AA1032" s="59">
        <f>IF($Y1032="","",IF(INDEX($D$6:$D$40000,$Y1032)="","",INDEX($D$6:$D$40000,$Y1032)))</f>
        <v/>
      </c>
      <c r="AB1032">
        <f>IF($Y1032="","",INDEX($L$6:$L$40000,$Y1032)&amp;"")</f>
        <v/>
      </c>
    </row>
    <row r="1033">
      <c r="Y1033" s="47">
        <f>IFERROR(MATCH(Library!M1033,$M$6:$M$40000,0),"")</f>
        <v/>
      </c>
      <c r="Z1033">
        <f>IF($Y1033="","",INDEX($C$6:$C$40000,$Y1033)&amp;"")</f>
        <v/>
      </c>
      <c r="AA1033" s="59">
        <f>IF($Y1033="","",IF(INDEX($D$6:$D$40000,$Y1033)="","",INDEX($D$6:$D$40000,$Y1033)))</f>
        <v/>
      </c>
      <c r="AB1033">
        <f>IF($Y1033="","",INDEX($L$6:$L$40000,$Y1033)&amp;"")</f>
        <v/>
      </c>
    </row>
    <row r="1034">
      <c r="Y1034" s="47">
        <f>IFERROR(MATCH(Library!M1034,$M$6:$M$40000,0),"")</f>
        <v/>
      </c>
      <c r="Z1034">
        <f>IF($Y1034="","",INDEX($C$6:$C$40000,$Y1034)&amp;"")</f>
        <v/>
      </c>
      <c r="AA1034" s="59">
        <f>IF($Y1034="","",IF(INDEX($D$6:$D$40000,$Y1034)="","",INDEX($D$6:$D$40000,$Y1034)))</f>
        <v/>
      </c>
      <c r="AB1034">
        <f>IF($Y1034="","",INDEX($L$6:$L$40000,$Y1034)&amp;"")</f>
        <v/>
      </c>
    </row>
    <row r="1035">
      <c r="Y1035" s="47">
        <f>IFERROR(MATCH(Library!M1035,$M$6:$M$40000,0),"")</f>
        <v/>
      </c>
      <c r="Z1035">
        <f>IF($Y1035="","",INDEX($C$6:$C$40000,$Y1035)&amp;"")</f>
        <v/>
      </c>
      <c r="AA1035" s="59">
        <f>IF($Y1035="","",IF(INDEX($D$6:$D$40000,$Y1035)="","",INDEX($D$6:$D$40000,$Y1035)))</f>
        <v/>
      </c>
      <c r="AB1035">
        <f>IF($Y1035="","",INDEX($L$6:$L$40000,$Y1035)&amp;"")</f>
        <v/>
      </c>
    </row>
    <row r="1036">
      <c r="Y1036" s="47">
        <f>IFERROR(MATCH(Library!M1036,$M$6:$M$40000,0),"")</f>
        <v/>
      </c>
      <c r="Z1036">
        <f>IF($Y1036="","",INDEX($C$6:$C$40000,$Y1036)&amp;"")</f>
        <v/>
      </c>
      <c r="AA1036" s="59">
        <f>IF($Y1036="","",IF(INDEX($D$6:$D$40000,$Y1036)="","",INDEX($D$6:$D$40000,$Y1036)))</f>
        <v/>
      </c>
      <c r="AB1036">
        <f>IF($Y1036="","",INDEX($L$6:$L$40000,$Y1036)&amp;"")</f>
        <v/>
      </c>
    </row>
    <row r="1037">
      <c r="Y1037" s="47">
        <f>IFERROR(MATCH(Library!M1037,$M$6:$M$40000,0),"")</f>
        <v/>
      </c>
      <c r="Z1037">
        <f>IF($Y1037="","",INDEX($C$6:$C$40000,$Y1037)&amp;"")</f>
        <v/>
      </c>
      <c r="AA1037" s="59">
        <f>IF($Y1037="","",IF(INDEX($D$6:$D$40000,$Y1037)="","",INDEX($D$6:$D$40000,$Y1037)))</f>
        <v/>
      </c>
      <c r="AB1037">
        <f>IF($Y1037="","",INDEX($L$6:$L$40000,$Y1037)&amp;"")</f>
        <v/>
      </c>
    </row>
    <row r="1038">
      <c r="Y1038" s="47">
        <f>IFERROR(MATCH(Library!M1038,$M$6:$M$40000,0),"")</f>
        <v/>
      </c>
      <c r="Z1038">
        <f>IF($Y1038="","",INDEX($C$6:$C$40000,$Y1038)&amp;"")</f>
        <v/>
      </c>
      <c r="AA1038" s="59">
        <f>IF($Y1038="","",IF(INDEX($D$6:$D$40000,$Y1038)="","",INDEX($D$6:$D$40000,$Y1038)))</f>
        <v/>
      </c>
      <c r="AB1038">
        <f>IF($Y1038="","",INDEX($L$6:$L$40000,$Y1038)&amp;"")</f>
        <v/>
      </c>
    </row>
    <row r="1039">
      <c r="Y1039" s="47">
        <f>IFERROR(MATCH(Library!M1039,$M$6:$M$40000,0),"")</f>
        <v/>
      </c>
      <c r="Z1039">
        <f>IF($Y1039="","",INDEX($C$6:$C$40000,$Y1039)&amp;"")</f>
        <v/>
      </c>
      <c r="AA1039" s="59">
        <f>IF($Y1039="","",IF(INDEX($D$6:$D$40000,$Y1039)="","",INDEX($D$6:$D$40000,$Y1039)))</f>
        <v/>
      </c>
      <c r="AB1039">
        <f>IF($Y1039="","",INDEX($L$6:$L$40000,$Y1039)&amp;"")</f>
        <v/>
      </c>
    </row>
    <row r="1040">
      <c r="Y1040" s="47">
        <f>IFERROR(MATCH(Library!M1040,$M$6:$M$40000,0),"")</f>
        <v/>
      </c>
      <c r="Z1040">
        <f>IF($Y1040="","",INDEX($C$6:$C$40000,$Y1040)&amp;"")</f>
        <v/>
      </c>
      <c r="AA1040" s="59">
        <f>IF($Y1040="","",IF(INDEX($D$6:$D$40000,$Y1040)="","",INDEX($D$6:$D$40000,$Y1040)))</f>
        <v/>
      </c>
      <c r="AB1040">
        <f>IF($Y1040="","",INDEX($L$6:$L$40000,$Y1040)&amp;"")</f>
        <v/>
      </c>
    </row>
    <row r="1041">
      <c r="Y1041" s="47">
        <f>IFERROR(MATCH(Library!M1041,$M$6:$M$40000,0),"")</f>
        <v/>
      </c>
      <c r="Z1041">
        <f>IF($Y1041="","",INDEX($C$6:$C$40000,$Y1041)&amp;"")</f>
        <v/>
      </c>
      <c r="AA1041" s="59">
        <f>IF($Y1041="","",IF(INDEX($D$6:$D$40000,$Y1041)="","",INDEX($D$6:$D$40000,$Y1041)))</f>
        <v/>
      </c>
      <c r="AB1041">
        <f>IF($Y1041="","",INDEX($L$6:$L$40000,$Y1041)&amp;"")</f>
        <v/>
      </c>
    </row>
    <row r="1042">
      <c r="Y1042" s="47">
        <f>IFERROR(MATCH(Library!M1042,$M$6:$M$40000,0),"")</f>
        <v/>
      </c>
      <c r="Z1042">
        <f>IF($Y1042="","",INDEX($C$6:$C$40000,$Y1042)&amp;"")</f>
        <v/>
      </c>
      <c r="AA1042" s="59">
        <f>IF($Y1042="","",IF(INDEX($D$6:$D$40000,$Y1042)="","",INDEX($D$6:$D$40000,$Y1042)))</f>
        <v/>
      </c>
      <c r="AB1042">
        <f>IF($Y1042="","",INDEX($L$6:$L$40000,$Y1042)&amp;"")</f>
        <v/>
      </c>
    </row>
    <row r="1043">
      <c r="Y1043" s="47">
        <f>IFERROR(MATCH(Library!M1043,$M$6:$M$40000,0),"")</f>
        <v/>
      </c>
      <c r="Z1043">
        <f>IF($Y1043="","",INDEX($C$6:$C$40000,$Y1043)&amp;"")</f>
        <v/>
      </c>
      <c r="AA1043" s="59">
        <f>IF($Y1043="","",IF(INDEX($D$6:$D$40000,$Y1043)="","",INDEX($D$6:$D$40000,$Y1043)))</f>
        <v/>
      </c>
      <c r="AB1043">
        <f>IF($Y1043="","",INDEX($L$6:$L$40000,$Y1043)&amp;"")</f>
        <v/>
      </c>
    </row>
    <row r="1044">
      <c r="Y1044" s="47">
        <f>IFERROR(MATCH(Library!M1044,$M$6:$M$40000,0),"")</f>
        <v/>
      </c>
      <c r="Z1044">
        <f>IF($Y1044="","",INDEX($C$6:$C$40000,$Y1044)&amp;"")</f>
        <v/>
      </c>
      <c r="AA1044" s="59">
        <f>IF($Y1044="","",IF(INDEX($D$6:$D$40000,$Y1044)="","",INDEX($D$6:$D$40000,$Y1044)))</f>
        <v/>
      </c>
      <c r="AB1044">
        <f>IF($Y1044="","",INDEX($L$6:$L$40000,$Y1044)&amp;"")</f>
        <v/>
      </c>
    </row>
    <row r="1045">
      <c r="Y1045" s="47">
        <f>IFERROR(MATCH(Library!M1045,$M$6:$M$40000,0),"")</f>
        <v/>
      </c>
      <c r="Z1045">
        <f>IF($Y1045="","",INDEX($C$6:$C$40000,$Y1045)&amp;"")</f>
        <v/>
      </c>
      <c r="AA1045" s="59">
        <f>IF($Y1045="","",IF(INDEX($D$6:$D$40000,$Y1045)="","",INDEX($D$6:$D$40000,$Y1045)))</f>
        <v/>
      </c>
      <c r="AB1045">
        <f>IF($Y1045="","",INDEX($L$6:$L$40000,$Y1045)&amp;"")</f>
        <v/>
      </c>
    </row>
    <row r="1046">
      <c r="Y1046" s="47">
        <f>IFERROR(MATCH(Library!M1046,$M$6:$M$40000,0),"")</f>
        <v/>
      </c>
      <c r="Z1046">
        <f>IF($Y1046="","",INDEX($C$6:$C$40000,$Y1046)&amp;"")</f>
        <v/>
      </c>
      <c r="AA1046" s="59">
        <f>IF($Y1046="","",IF(INDEX($D$6:$D$40000,$Y1046)="","",INDEX($D$6:$D$40000,$Y1046)))</f>
        <v/>
      </c>
      <c r="AB1046">
        <f>IF($Y1046="","",INDEX($L$6:$L$40000,$Y1046)&amp;"")</f>
        <v/>
      </c>
    </row>
    <row r="1047">
      <c r="Y1047" s="47">
        <f>IFERROR(MATCH(Library!M1047,$M$6:$M$40000,0),"")</f>
        <v/>
      </c>
      <c r="Z1047">
        <f>IF($Y1047="","",INDEX($C$6:$C$40000,$Y1047)&amp;"")</f>
        <v/>
      </c>
      <c r="AA1047" s="59">
        <f>IF($Y1047="","",IF(INDEX($D$6:$D$40000,$Y1047)="","",INDEX($D$6:$D$40000,$Y1047)))</f>
        <v/>
      </c>
      <c r="AB1047">
        <f>IF($Y1047="","",INDEX($L$6:$L$40000,$Y1047)&amp;"")</f>
        <v/>
      </c>
    </row>
    <row r="1048">
      <c r="Y1048" s="47">
        <f>IFERROR(MATCH(Library!M1048,$M$6:$M$40000,0),"")</f>
        <v/>
      </c>
      <c r="Z1048">
        <f>IF($Y1048="","",INDEX($C$6:$C$40000,$Y1048)&amp;"")</f>
        <v/>
      </c>
      <c r="AA1048" s="59">
        <f>IF($Y1048="","",IF(INDEX($D$6:$D$40000,$Y1048)="","",INDEX($D$6:$D$40000,$Y1048)))</f>
        <v/>
      </c>
      <c r="AB1048">
        <f>IF($Y1048="","",INDEX($L$6:$L$40000,$Y1048)&amp;"")</f>
        <v/>
      </c>
    </row>
    <row r="1049">
      <c r="Y1049" s="47">
        <f>IFERROR(MATCH(Library!M1049,$M$6:$M$40000,0),"")</f>
        <v/>
      </c>
      <c r="Z1049">
        <f>IF($Y1049="","",INDEX($C$6:$C$40000,$Y1049)&amp;"")</f>
        <v/>
      </c>
      <c r="AA1049" s="59">
        <f>IF($Y1049="","",IF(INDEX($D$6:$D$40000,$Y1049)="","",INDEX($D$6:$D$40000,$Y1049)))</f>
        <v/>
      </c>
      <c r="AB1049">
        <f>IF($Y1049="","",INDEX($L$6:$L$40000,$Y1049)&amp;"")</f>
        <v/>
      </c>
    </row>
    <row r="1050">
      <c r="Y1050" s="47">
        <f>IFERROR(MATCH(Library!M1050,$M$6:$M$40000,0),"")</f>
        <v/>
      </c>
      <c r="Z1050">
        <f>IF($Y1050="","",INDEX($C$6:$C$40000,$Y1050)&amp;"")</f>
        <v/>
      </c>
      <c r="AA1050" s="59">
        <f>IF($Y1050="","",IF(INDEX($D$6:$D$40000,$Y1050)="","",INDEX($D$6:$D$40000,$Y1050)))</f>
        <v/>
      </c>
      <c r="AB1050">
        <f>IF($Y1050="","",INDEX($L$6:$L$40000,$Y1050)&amp;"")</f>
        <v/>
      </c>
    </row>
    <row r="1051">
      <c r="Y1051" s="47">
        <f>IFERROR(MATCH(Library!M1051,$M$6:$M$40000,0),"")</f>
        <v/>
      </c>
      <c r="Z1051">
        <f>IF($Y1051="","",INDEX($C$6:$C$40000,$Y1051)&amp;"")</f>
        <v/>
      </c>
      <c r="AA1051" s="59">
        <f>IF($Y1051="","",IF(INDEX($D$6:$D$40000,$Y1051)="","",INDEX($D$6:$D$40000,$Y1051)))</f>
        <v/>
      </c>
      <c r="AB1051">
        <f>IF($Y1051="","",INDEX($L$6:$L$40000,$Y1051)&amp;"")</f>
        <v/>
      </c>
    </row>
    <row r="1052">
      <c r="Y1052" s="47">
        <f>IFERROR(MATCH(Library!M1052,$M$6:$M$40000,0),"")</f>
        <v/>
      </c>
      <c r="Z1052">
        <f>IF($Y1052="","",INDEX($C$6:$C$40000,$Y1052)&amp;"")</f>
        <v/>
      </c>
      <c r="AA1052" s="59">
        <f>IF($Y1052="","",IF(INDEX($D$6:$D$40000,$Y1052)="","",INDEX($D$6:$D$40000,$Y1052)))</f>
        <v/>
      </c>
      <c r="AB1052">
        <f>IF($Y1052="","",INDEX($L$6:$L$40000,$Y1052)&amp;"")</f>
        <v/>
      </c>
    </row>
    <row r="1053">
      <c r="Y1053" s="47">
        <f>IFERROR(MATCH(Library!M1053,$M$6:$M$40000,0),"")</f>
        <v/>
      </c>
      <c r="Z1053">
        <f>IF($Y1053="","",INDEX($C$6:$C$40000,$Y1053)&amp;"")</f>
        <v/>
      </c>
      <c r="AA1053" s="59">
        <f>IF($Y1053="","",IF(INDEX($D$6:$D$40000,$Y1053)="","",INDEX($D$6:$D$40000,$Y1053)))</f>
        <v/>
      </c>
      <c r="AB1053">
        <f>IF($Y1053="","",INDEX($L$6:$L$40000,$Y1053)&amp;"")</f>
        <v/>
      </c>
    </row>
    <row r="1054">
      <c r="Y1054" s="47">
        <f>IFERROR(MATCH(Library!M1054,$M$6:$M$40000,0),"")</f>
        <v/>
      </c>
      <c r="Z1054">
        <f>IF($Y1054="","",INDEX($C$6:$C$40000,$Y1054)&amp;"")</f>
        <v/>
      </c>
      <c r="AA1054" s="59">
        <f>IF($Y1054="","",IF(INDEX($D$6:$D$40000,$Y1054)="","",INDEX($D$6:$D$40000,$Y1054)))</f>
        <v/>
      </c>
      <c r="AB1054">
        <f>IF($Y1054="","",INDEX($L$6:$L$40000,$Y1054)&amp;"")</f>
        <v/>
      </c>
    </row>
    <row r="1055">
      <c r="Y1055" s="47">
        <f>IFERROR(MATCH(Library!M1055,$M$6:$M$40000,0),"")</f>
        <v/>
      </c>
      <c r="Z1055">
        <f>IF($Y1055="","",INDEX($C$6:$C$40000,$Y1055)&amp;"")</f>
        <v/>
      </c>
      <c r="AA1055" s="59">
        <f>IF($Y1055="","",IF(INDEX($D$6:$D$40000,$Y1055)="","",INDEX($D$6:$D$40000,$Y1055)))</f>
        <v/>
      </c>
      <c r="AB1055">
        <f>IF($Y1055="","",INDEX($L$6:$L$40000,$Y1055)&amp;"")</f>
        <v/>
      </c>
    </row>
    <row r="1056">
      <c r="Y1056" s="47">
        <f>IFERROR(MATCH(Library!M1056,$M$6:$M$40000,0),"")</f>
        <v/>
      </c>
      <c r="Z1056">
        <f>IF($Y1056="","",INDEX($C$6:$C$40000,$Y1056)&amp;"")</f>
        <v/>
      </c>
      <c r="AA1056" s="59">
        <f>IF($Y1056="","",IF(INDEX($D$6:$D$40000,$Y1056)="","",INDEX($D$6:$D$40000,$Y1056)))</f>
        <v/>
      </c>
      <c r="AB1056">
        <f>IF($Y1056="","",INDEX($L$6:$L$40000,$Y1056)&amp;"")</f>
        <v/>
      </c>
    </row>
    <row r="1057">
      <c r="Y1057" s="47">
        <f>IFERROR(MATCH(Library!M1057,$M$6:$M$40000,0),"")</f>
        <v/>
      </c>
      <c r="Z1057">
        <f>IF($Y1057="","",INDEX($C$6:$C$40000,$Y1057)&amp;"")</f>
        <v/>
      </c>
      <c r="AA1057" s="59">
        <f>IF($Y1057="","",IF(INDEX($D$6:$D$40000,$Y1057)="","",INDEX($D$6:$D$40000,$Y1057)))</f>
        <v/>
      </c>
      <c r="AB1057">
        <f>IF($Y1057="","",INDEX($L$6:$L$40000,$Y1057)&amp;"")</f>
        <v/>
      </c>
    </row>
    <row r="1058">
      <c r="Y1058" s="47">
        <f>IFERROR(MATCH(Library!M1058,$M$6:$M$40000,0),"")</f>
        <v/>
      </c>
      <c r="Z1058">
        <f>IF($Y1058="","",INDEX($C$6:$C$40000,$Y1058)&amp;"")</f>
        <v/>
      </c>
      <c r="AA1058" s="59">
        <f>IF($Y1058="","",IF(INDEX($D$6:$D$40000,$Y1058)="","",INDEX($D$6:$D$40000,$Y1058)))</f>
        <v/>
      </c>
      <c r="AB1058">
        <f>IF($Y1058="","",INDEX($L$6:$L$40000,$Y1058)&amp;"")</f>
        <v/>
      </c>
    </row>
    <row r="1059">
      <c r="Y1059" s="47">
        <f>IFERROR(MATCH(Library!M1059,$M$6:$M$40000,0),"")</f>
        <v/>
      </c>
      <c r="Z1059">
        <f>IF($Y1059="","",INDEX($C$6:$C$40000,$Y1059)&amp;"")</f>
        <v/>
      </c>
      <c r="AA1059" s="59">
        <f>IF($Y1059="","",IF(INDEX($D$6:$D$40000,$Y1059)="","",INDEX($D$6:$D$40000,$Y1059)))</f>
        <v/>
      </c>
      <c r="AB1059">
        <f>IF($Y1059="","",INDEX($L$6:$L$40000,$Y1059)&amp;"")</f>
        <v/>
      </c>
    </row>
    <row r="1060">
      <c r="Y1060" s="47">
        <f>IFERROR(MATCH(Library!M1060,$M$6:$M$40000,0),"")</f>
        <v/>
      </c>
      <c r="Z1060">
        <f>IF($Y1060="","",INDEX($C$6:$C$40000,$Y1060)&amp;"")</f>
        <v/>
      </c>
      <c r="AA1060" s="59">
        <f>IF($Y1060="","",IF(INDEX($D$6:$D$40000,$Y1060)="","",INDEX($D$6:$D$40000,$Y1060)))</f>
        <v/>
      </c>
      <c r="AB1060">
        <f>IF($Y1060="","",INDEX($L$6:$L$40000,$Y1060)&amp;"")</f>
        <v/>
      </c>
    </row>
    <row r="1061">
      <c r="Y1061" s="47">
        <f>IFERROR(MATCH(Library!M1061,$M$6:$M$40000,0),"")</f>
        <v/>
      </c>
      <c r="Z1061">
        <f>IF($Y1061="","",INDEX($C$6:$C$40000,$Y1061)&amp;"")</f>
        <v/>
      </c>
      <c r="AA1061" s="59">
        <f>IF($Y1061="","",IF(INDEX($D$6:$D$40000,$Y1061)="","",INDEX($D$6:$D$40000,$Y1061)))</f>
        <v/>
      </c>
      <c r="AB1061">
        <f>IF($Y1061="","",INDEX($L$6:$L$40000,$Y1061)&amp;"")</f>
        <v/>
      </c>
    </row>
    <row r="1062">
      <c r="Y1062" s="47">
        <f>IFERROR(MATCH(Library!M1062,$M$6:$M$40000,0),"")</f>
        <v/>
      </c>
      <c r="Z1062">
        <f>IF($Y1062="","",INDEX($C$6:$C$40000,$Y1062)&amp;"")</f>
        <v/>
      </c>
      <c r="AA1062" s="59">
        <f>IF($Y1062="","",IF(INDEX($D$6:$D$40000,$Y1062)="","",INDEX($D$6:$D$40000,$Y1062)))</f>
        <v/>
      </c>
      <c r="AB1062">
        <f>IF($Y1062="","",INDEX($L$6:$L$40000,$Y1062)&amp;"")</f>
        <v/>
      </c>
    </row>
    <row r="1063">
      <c r="Y1063" s="47">
        <f>IFERROR(MATCH(Library!M1063,$M$6:$M$40000,0),"")</f>
        <v/>
      </c>
      <c r="Z1063">
        <f>IF($Y1063="","",INDEX($C$6:$C$40000,$Y1063)&amp;"")</f>
        <v/>
      </c>
      <c r="AA1063" s="59">
        <f>IF($Y1063="","",IF(INDEX($D$6:$D$40000,$Y1063)="","",INDEX($D$6:$D$40000,$Y1063)))</f>
        <v/>
      </c>
      <c r="AB1063">
        <f>IF($Y1063="","",INDEX($L$6:$L$40000,$Y1063)&amp;"")</f>
        <v/>
      </c>
    </row>
    <row r="1064">
      <c r="Y1064" s="47">
        <f>IFERROR(MATCH(Library!M1064,$M$6:$M$40000,0),"")</f>
        <v/>
      </c>
      <c r="Z1064">
        <f>IF($Y1064="","",INDEX($C$6:$C$40000,$Y1064)&amp;"")</f>
        <v/>
      </c>
      <c r="AA1064" s="59">
        <f>IF($Y1064="","",IF(INDEX($D$6:$D$40000,$Y1064)="","",INDEX($D$6:$D$40000,$Y1064)))</f>
        <v/>
      </c>
      <c r="AB1064">
        <f>IF($Y1064="","",INDEX($L$6:$L$40000,$Y1064)&amp;"")</f>
        <v/>
      </c>
    </row>
    <row r="1065">
      <c r="Y1065" s="47">
        <f>IFERROR(MATCH(Library!M1065,$M$6:$M$40000,0),"")</f>
        <v/>
      </c>
      <c r="Z1065">
        <f>IF($Y1065="","",INDEX($C$6:$C$40000,$Y1065)&amp;"")</f>
        <v/>
      </c>
      <c r="AA1065" s="59">
        <f>IF($Y1065="","",IF(INDEX($D$6:$D$40000,$Y1065)="","",INDEX($D$6:$D$40000,$Y1065)))</f>
        <v/>
      </c>
      <c r="AB1065">
        <f>IF($Y1065="","",INDEX($L$6:$L$40000,$Y1065)&amp;"")</f>
        <v/>
      </c>
    </row>
    <row r="1066">
      <c r="Y1066" s="47">
        <f>IFERROR(MATCH(Library!M1066,$M$6:$M$40000,0),"")</f>
        <v/>
      </c>
      <c r="Z1066">
        <f>IF($Y1066="","",INDEX($C$6:$C$40000,$Y1066)&amp;"")</f>
        <v/>
      </c>
      <c r="AA1066" s="59">
        <f>IF($Y1066="","",IF(INDEX($D$6:$D$40000,$Y1066)="","",INDEX($D$6:$D$40000,$Y1066)))</f>
        <v/>
      </c>
      <c r="AB1066">
        <f>IF($Y1066="","",INDEX($L$6:$L$40000,$Y1066)&amp;"")</f>
        <v/>
      </c>
    </row>
    <row r="1067">
      <c r="Y1067" s="47">
        <f>IFERROR(MATCH(Library!M1067,$M$6:$M$40000,0),"")</f>
        <v/>
      </c>
      <c r="Z1067">
        <f>IF($Y1067="","",INDEX($C$6:$C$40000,$Y1067)&amp;"")</f>
        <v/>
      </c>
      <c r="AA1067" s="59">
        <f>IF($Y1067="","",IF(INDEX($D$6:$D$40000,$Y1067)="","",INDEX($D$6:$D$40000,$Y1067)))</f>
        <v/>
      </c>
      <c r="AB1067">
        <f>IF($Y1067="","",INDEX($L$6:$L$40000,$Y1067)&amp;"")</f>
        <v/>
      </c>
    </row>
    <row r="1068">
      <c r="Y1068" s="47">
        <f>IFERROR(MATCH(Library!M1068,$M$6:$M$40000,0),"")</f>
        <v/>
      </c>
      <c r="Z1068">
        <f>IF($Y1068="","",INDEX($C$6:$C$40000,$Y1068)&amp;"")</f>
        <v/>
      </c>
      <c r="AA1068" s="59">
        <f>IF($Y1068="","",IF(INDEX($D$6:$D$40000,$Y1068)="","",INDEX($D$6:$D$40000,$Y1068)))</f>
        <v/>
      </c>
      <c r="AB1068">
        <f>IF($Y1068="","",INDEX($L$6:$L$40000,$Y1068)&amp;"")</f>
        <v/>
      </c>
    </row>
    <row r="1069">
      <c r="Y1069" s="47">
        <f>IFERROR(MATCH(Library!M1069,$M$6:$M$40000,0),"")</f>
        <v/>
      </c>
      <c r="Z1069">
        <f>IF($Y1069="","",INDEX($C$6:$C$40000,$Y1069)&amp;"")</f>
        <v/>
      </c>
      <c r="AA1069" s="59">
        <f>IF($Y1069="","",IF(INDEX($D$6:$D$40000,$Y1069)="","",INDEX($D$6:$D$40000,$Y1069)))</f>
        <v/>
      </c>
      <c r="AB1069">
        <f>IF($Y1069="","",INDEX($L$6:$L$40000,$Y1069)&amp;"")</f>
        <v/>
      </c>
    </row>
    <row r="1070">
      <c r="Y1070" s="47">
        <f>IFERROR(MATCH(Library!M1070,$M$6:$M$40000,0),"")</f>
        <v/>
      </c>
      <c r="Z1070">
        <f>IF($Y1070="","",INDEX($C$6:$C$40000,$Y1070)&amp;"")</f>
        <v/>
      </c>
      <c r="AA1070" s="59">
        <f>IF($Y1070="","",IF(INDEX($D$6:$D$40000,$Y1070)="","",INDEX($D$6:$D$40000,$Y1070)))</f>
        <v/>
      </c>
      <c r="AB1070">
        <f>IF($Y1070="","",INDEX($L$6:$L$40000,$Y1070)&amp;"")</f>
        <v/>
      </c>
    </row>
    <row r="1071">
      <c r="Y1071" s="47">
        <f>IFERROR(MATCH(Library!M1071,$M$6:$M$40000,0),"")</f>
        <v/>
      </c>
      <c r="Z1071">
        <f>IF($Y1071="","",INDEX($C$6:$C$40000,$Y1071)&amp;"")</f>
        <v/>
      </c>
      <c r="AA1071" s="59">
        <f>IF($Y1071="","",IF(INDEX($D$6:$D$40000,$Y1071)="","",INDEX($D$6:$D$40000,$Y1071)))</f>
        <v/>
      </c>
      <c r="AB1071">
        <f>IF($Y1071="","",INDEX($L$6:$L$40000,$Y1071)&amp;"")</f>
        <v/>
      </c>
    </row>
    <row r="1072">
      <c r="Y1072" s="47">
        <f>IFERROR(MATCH(Library!M1072,$M$6:$M$40000,0),"")</f>
        <v/>
      </c>
      <c r="Z1072">
        <f>IF($Y1072="","",INDEX($C$6:$C$40000,$Y1072)&amp;"")</f>
        <v/>
      </c>
      <c r="AA1072" s="59">
        <f>IF($Y1072="","",IF(INDEX($D$6:$D$40000,$Y1072)="","",INDEX($D$6:$D$40000,$Y1072)))</f>
        <v/>
      </c>
      <c r="AB1072">
        <f>IF($Y1072="","",INDEX($L$6:$L$40000,$Y1072)&amp;"")</f>
        <v/>
      </c>
    </row>
    <row r="1073">
      <c r="Y1073" s="47">
        <f>IFERROR(MATCH(Library!M1073,$M$6:$M$40000,0),"")</f>
        <v/>
      </c>
      <c r="Z1073">
        <f>IF($Y1073="","",INDEX($C$6:$C$40000,$Y1073)&amp;"")</f>
        <v/>
      </c>
      <c r="AA1073" s="59">
        <f>IF($Y1073="","",IF(INDEX($D$6:$D$40000,$Y1073)="","",INDEX($D$6:$D$40000,$Y1073)))</f>
        <v/>
      </c>
      <c r="AB1073">
        <f>IF($Y1073="","",INDEX($L$6:$L$40000,$Y1073)&amp;"")</f>
        <v/>
      </c>
    </row>
    <row r="1074">
      <c r="Y1074" s="47">
        <f>IFERROR(MATCH(Library!M1074,$M$6:$M$40000,0),"")</f>
        <v/>
      </c>
      <c r="Z1074">
        <f>IF($Y1074="","",INDEX($C$6:$C$40000,$Y1074)&amp;"")</f>
        <v/>
      </c>
      <c r="AA1074" s="59">
        <f>IF($Y1074="","",IF(INDEX($D$6:$D$40000,$Y1074)="","",INDEX($D$6:$D$40000,$Y1074)))</f>
        <v/>
      </c>
      <c r="AB1074">
        <f>IF($Y1074="","",INDEX($L$6:$L$40000,$Y1074)&amp;"")</f>
        <v/>
      </c>
    </row>
    <row r="1075">
      <c r="Y1075" s="47">
        <f>IFERROR(MATCH(Library!M1075,$M$6:$M$40000,0),"")</f>
        <v/>
      </c>
      <c r="Z1075">
        <f>IF($Y1075="","",INDEX($C$6:$C$40000,$Y1075)&amp;"")</f>
        <v/>
      </c>
      <c r="AA1075" s="59">
        <f>IF($Y1075="","",IF(INDEX($D$6:$D$40000,$Y1075)="","",INDEX($D$6:$D$40000,$Y1075)))</f>
        <v/>
      </c>
      <c r="AB1075">
        <f>IF($Y1075="","",INDEX($L$6:$L$40000,$Y1075)&amp;"")</f>
        <v/>
      </c>
    </row>
    <row r="1076">
      <c r="Y1076" s="47">
        <f>IFERROR(MATCH(Library!M1076,$M$6:$M$40000,0),"")</f>
        <v/>
      </c>
      <c r="Z1076">
        <f>IF($Y1076="","",INDEX($C$6:$C$40000,$Y1076)&amp;"")</f>
        <v/>
      </c>
      <c r="AA1076" s="59">
        <f>IF($Y1076="","",IF(INDEX($D$6:$D$40000,$Y1076)="","",INDEX($D$6:$D$40000,$Y1076)))</f>
        <v/>
      </c>
      <c r="AB1076">
        <f>IF($Y1076="","",INDEX($L$6:$L$40000,$Y1076)&amp;"")</f>
        <v/>
      </c>
    </row>
    <row r="1077">
      <c r="Y1077" s="47">
        <f>IFERROR(MATCH(Library!M1077,$M$6:$M$40000,0),"")</f>
        <v/>
      </c>
      <c r="Z1077">
        <f>IF($Y1077="","",INDEX($C$6:$C$40000,$Y1077)&amp;"")</f>
        <v/>
      </c>
      <c r="AA1077" s="59">
        <f>IF($Y1077="","",IF(INDEX($D$6:$D$40000,$Y1077)="","",INDEX($D$6:$D$40000,$Y1077)))</f>
        <v/>
      </c>
      <c r="AB1077">
        <f>IF($Y1077="","",INDEX($L$6:$L$40000,$Y1077)&amp;"")</f>
        <v/>
      </c>
    </row>
    <row r="1078">
      <c r="Y1078" s="47">
        <f>IFERROR(MATCH(Library!M1078,$M$6:$M$40000,0),"")</f>
        <v/>
      </c>
      <c r="Z1078">
        <f>IF($Y1078="","",INDEX($C$6:$C$40000,$Y1078)&amp;"")</f>
        <v/>
      </c>
      <c r="AA1078" s="59">
        <f>IF($Y1078="","",IF(INDEX($D$6:$D$40000,$Y1078)="","",INDEX($D$6:$D$40000,$Y1078)))</f>
        <v/>
      </c>
      <c r="AB1078">
        <f>IF($Y1078="","",INDEX($L$6:$L$40000,$Y1078)&amp;"")</f>
        <v/>
      </c>
    </row>
    <row r="1079">
      <c r="Y1079" s="47">
        <f>IFERROR(MATCH(Library!M1079,$M$6:$M$40000,0),"")</f>
        <v/>
      </c>
      <c r="Z1079">
        <f>IF($Y1079="","",INDEX($C$6:$C$40000,$Y1079)&amp;"")</f>
        <v/>
      </c>
      <c r="AA1079" s="59">
        <f>IF($Y1079="","",IF(INDEX($D$6:$D$40000,$Y1079)="","",INDEX($D$6:$D$40000,$Y1079)))</f>
        <v/>
      </c>
      <c r="AB1079">
        <f>IF($Y1079="","",INDEX($L$6:$L$40000,$Y1079)&amp;"")</f>
        <v/>
      </c>
    </row>
    <row r="1080">
      <c r="Y1080" s="47">
        <f>IFERROR(MATCH(Library!M1080,$M$6:$M$40000,0),"")</f>
        <v/>
      </c>
      <c r="Z1080">
        <f>IF($Y1080="","",INDEX($C$6:$C$40000,$Y1080)&amp;"")</f>
        <v/>
      </c>
      <c r="AA1080" s="59">
        <f>IF($Y1080="","",IF(INDEX($D$6:$D$40000,$Y1080)="","",INDEX($D$6:$D$40000,$Y1080)))</f>
        <v/>
      </c>
      <c r="AB1080">
        <f>IF($Y1080="","",INDEX($L$6:$L$40000,$Y1080)&amp;"")</f>
        <v/>
      </c>
    </row>
    <row r="1081">
      <c r="Y1081" s="47">
        <f>IFERROR(MATCH(Library!M1081,$M$6:$M$40000,0),"")</f>
        <v/>
      </c>
      <c r="Z1081">
        <f>IF($Y1081="","",INDEX($C$6:$C$40000,$Y1081)&amp;"")</f>
        <v/>
      </c>
      <c r="AA1081" s="59">
        <f>IF($Y1081="","",IF(INDEX($D$6:$D$40000,$Y1081)="","",INDEX($D$6:$D$40000,$Y1081)))</f>
        <v/>
      </c>
      <c r="AB1081">
        <f>IF($Y1081="","",INDEX($L$6:$L$40000,$Y1081)&amp;"")</f>
        <v/>
      </c>
    </row>
    <row r="1082">
      <c r="Y1082" s="47">
        <f>IFERROR(MATCH(Library!M1082,$M$6:$M$40000,0),"")</f>
        <v/>
      </c>
      <c r="Z1082">
        <f>IF($Y1082="","",INDEX($C$6:$C$40000,$Y1082)&amp;"")</f>
        <v/>
      </c>
      <c r="AA1082" s="59">
        <f>IF($Y1082="","",IF(INDEX($D$6:$D$40000,$Y1082)="","",INDEX($D$6:$D$40000,$Y1082)))</f>
        <v/>
      </c>
      <c r="AB1082">
        <f>IF($Y1082="","",INDEX($L$6:$L$40000,$Y1082)&amp;"")</f>
        <v/>
      </c>
    </row>
    <row r="1083">
      <c r="Y1083" s="47">
        <f>IFERROR(MATCH(Library!M1083,$M$6:$M$40000,0),"")</f>
        <v/>
      </c>
      <c r="Z1083">
        <f>IF($Y1083="","",INDEX($C$6:$C$40000,$Y1083)&amp;"")</f>
        <v/>
      </c>
      <c r="AA1083" s="59">
        <f>IF($Y1083="","",IF(INDEX($D$6:$D$40000,$Y1083)="","",INDEX($D$6:$D$40000,$Y1083)))</f>
        <v/>
      </c>
      <c r="AB1083">
        <f>IF($Y1083="","",INDEX($L$6:$L$40000,$Y1083)&amp;"")</f>
        <v/>
      </c>
    </row>
    <row r="1084">
      <c r="Y1084" s="47">
        <f>IFERROR(MATCH(Library!M1084,$M$6:$M$40000,0),"")</f>
        <v/>
      </c>
      <c r="Z1084">
        <f>IF($Y1084="","",INDEX($C$6:$C$40000,$Y1084)&amp;"")</f>
        <v/>
      </c>
      <c r="AA1084" s="59">
        <f>IF($Y1084="","",IF(INDEX($D$6:$D$40000,$Y1084)="","",INDEX($D$6:$D$40000,$Y1084)))</f>
        <v/>
      </c>
      <c r="AB1084">
        <f>IF($Y1084="","",INDEX($L$6:$L$40000,$Y1084)&amp;"")</f>
        <v/>
      </c>
    </row>
    <row r="1085">
      <c r="Y1085" s="47">
        <f>IFERROR(MATCH(Library!M1085,$M$6:$M$40000,0),"")</f>
        <v/>
      </c>
      <c r="Z1085">
        <f>IF($Y1085="","",INDEX($C$6:$C$40000,$Y1085)&amp;"")</f>
        <v/>
      </c>
      <c r="AA1085" s="59">
        <f>IF($Y1085="","",IF(INDEX($D$6:$D$40000,$Y1085)="","",INDEX($D$6:$D$40000,$Y1085)))</f>
        <v/>
      </c>
      <c r="AB1085">
        <f>IF($Y1085="","",INDEX($L$6:$L$40000,$Y1085)&amp;"")</f>
        <v/>
      </c>
    </row>
    <row r="1086">
      <c r="Y1086" s="47">
        <f>IFERROR(MATCH(Library!M1086,$M$6:$M$40000,0),"")</f>
        <v/>
      </c>
      <c r="Z1086">
        <f>IF($Y1086="","",INDEX($C$6:$C$40000,$Y1086)&amp;"")</f>
        <v/>
      </c>
      <c r="AA1086" s="59">
        <f>IF($Y1086="","",IF(INDEX($D$6:$D$40000,$Y1086)="","",INDEX($D$6:$D$40000,$Y1086)))</f>
        <v/>
      </c>
      <c r="AB1086">
        <f>IF($Y1086="","",INDEX($L$6:$L$40000,$Y1086)&amp;"")</f>
        <v/>
      </c>
    </row>
    <row r="1087">
      <c r="Y1087" s="47">
        <f>IFERROR(MATCH(Library!M1087,$M$6:$M$40000,0),"")</f>
        <v/>
      </c>
      <c r="Z1087">
        <f>IF($Y1087="","",INDEX($C$6:$C$40000,$Y1087)&amp;"")</f>
        <v/>
      </c>
      <c r="AA1087" s="59">
        <f>IF($Y1087="","",IF(INDEX($D$6:$D$40000,$Y1087)="","",INDEX($D$6:$D$40000,$Y1087)))</f>
        <v/>
      </c>
      <c r="AB1087">
        <f>IF($Y1087="","",INDEX($L$6:$L$40000,$Y1087)&amp;"")</f>
        <v/>
      </c>
    </row>
    <row r="1088">
      <c r="Y1088" s="47">
        <f>IFERROR(MATCH(Library!M1088,$M$6:$M$40000,0),"")</f>
        <v/>
      </c>
      <c r="Z1088">
        <f>IF($Y1088="","",INDEX($C$6:$C$40000,$Y1088)&amp;"")</f>
        <v/>
      </c>
      <c r="AA1088" s="59">
        <f>IF($Y1088="","",IF(INDEX($D$6:$D$40000,$Y1088)="","",INDEX($D$6:$D$40000,$Y1088)))</f>
        <v/>
      </c>
      <c r="AB1088">
        <f>IF($Y1088="","",INDEX($L$6:$L$40000,$Y1088)&amp;"")</f>
        <v/>
      </c>
    </row>
    <row r="1089">
      <c r="Y1089" s="47">
        <f>IFERROR(MATCH(Library!M1089,$M$6:$M$40000,0),"")</f>
        <v/>
      </c>
      <c r="Z1089">
        <f>IF($Y1089="","",INDEX($C$6:$C$40000,$Y1089)&amp;"")</f>
        <v/>
      </c>
      <c r="AA1089" s="59">
        <f>IF($Y1089="","",IF(INDEX($D$6:$D$40000,$Y1089)="","",INDEX($D$6:$D$40000,$Y1089)))</f>
        <v/>
      </c>
      <c r="AB1089">
        <f>IF($Y1089="","",INDEX($L$6:$L$40000,$Y1089)&amp;"")</f>
        <v/>
      </c>
    </row>
    <row r="1090">
      <c r="Y1090" s="47">
        <f>IFERROR(MATCH(Library!M1090,$M$6:$M$40000,0),"")</f>
        <v/>
      </c>
      <c r="Z1090">
        <f>IF($Y1090="","",INDEX($C$6:$C$40000,$Y1090)&amp;"")</f>
        <v/>
      </c>
      <c r="AA1090" s="59">
        <f>IF($Y1090="","",IF(INDEX($D$6:$D$40000,$Y1090)="","",INDEX($D$6:$D$40000,$Y1090)))</f>
        <v/>
      </c>
      <c r="AB1090">
        <f>IF($Y1090="","",INDEX($L$6:$L$40000,$Y1090)&amp;"")</f>
        <v/>
      </c>
    </row>
    <row r="1091">
      <c r="Y1091" s="47">
        <f>IFERROR(MATCH(Library!M1091,$M$6:$M$40000,0),"")</f>
        <v/>
      </c>
      <c r="Z1091">
        <f>IF($Y1091="","",INDEX($C$6:$C$40000,$Y1091)&amp;"")</f>
        <v/>
      </c>
      <c r="AA1091" s="59">
        <f>IF($Y1091="","",IF(INDEX($D$6:$D$40000,$Y1091)="","",INDEX($D$6:$D$40000,$Y1091)))</f>
        <v/>
      </c>
      <c r="AB1091">
        <f>IF($Y1091="","",INDEX($L$6:$L$40000,$Y1091)&amp;"")</f>
        <v/>
      </c>
    </row>
    <row r="1092">
      <c r="Y1092" s="47">
        <f>IFERROR(MATCH(Library!M1092,$M$6:$M$40000,0),"")</f>
        <v/>
      </c>
      <c r="Z1092">
        <f>IF($Y1092="","",INDEX($C$6:$C$40000,$Y1092)&amp;"")</f>
        <v/>
      </c>
      <c r="AA1092" s="59">
        <f>IF($Y1092="","",IF(INDEX($D$6:$D$40000,$Y1092)="","",INDEX($D$6:$D$40000,$Y1092)))</f>
        <v/>
      </c>
      <c r="AB1092">
        <f>IF($Y1092="","",INDEX($L$6:$L$40000,$Y1092)&amp;"")</f>
        <v/>
      </c>
    </row>
    <row r="1093">
      <c r="Y1093" s="47">
        <f>IFERROR(MATCH(Library!M1093,$M$6:$M$40000,0),"")</f>
        <v/>
      </c>
      <c r="Z1093">
        <f>IF($Y1093="","",INDEX($C$6:$C$40000,$Y1093)&amp;"")</f>
        <v/>
      </c>
      <c r="AA1093" s="59">
        <f>IF($Y1093="","",IF(INDEX($D$6:$D$40000,$Y1093)="","",INDEX($D$6:$D$40000,$Y1093)))</f>
        <v/>
      </c>
      <c r="AB1093">
        <f>IF($Y1093="","",INDEX($L$6:$L$40000,$Y1093)&amp;"")</f>
        <v/>
      </c>
    </row>
    <row r="1094">
      <c r="Y1094" s="47">
        <f>IFERROR(MATCH(Library!M1094,$M$6:$M$40000,0),"")</f>
        <v/>
      </c>
      <c r="Z1094">
        <f>IF($Y1094="","",INDEX($C$6:$C$40000,$Y1094)&amp;"")</f>
        <v/>
      </c>
      <c r="AA1094" s="59">
        <f>IF($Y1094="","",IF(INDEX($D$6:$D$40000,$Y1094)="","",INDEX($D$6:$D$40000,$Y1094)))</f>
        <v/>
      </c>
      <c r="AB1094">
        <f>IF($Y1094="","",INDEX($L$6:$L$40000,$Y1094)&amp;"")</f>
        <v/>
      </c>
    </row>
    <row r="1095">
      <c r="Y1095" s="47">
        <f>IFERROR(MATCH(Library!M1095,$M$6:$M$40000,0),"")</f>
        <v/>
      </c>
      <c r="Z1095">
        <f>IF($Y1095="","",INDEX($C$6:$C$40000,$Y1095)&amp;"")</f>
        <v/>
      </c>
      <c r="AA1095" s="59">
        <f>IF($Y1095="","",IF(INDEX($D$6:$D$40000,$Y1095)="","",INDEX($D$6:$D$40000,$Y1095)))</f>
        <v/>
      </c>
      <c r="AB1095">
        <f>IF($Y1095="","",INDEX($L$6:$L$40000,$Y1095)&amp;"")</f>
        <v/>
      </c>
    </row>
    <row r="1096">
      <c r="Y1096" s="47">
        <f>IFERROR(MATCH(Library!M1096,$M$6:$M$40000,0),"")</f>
        <v/>
      </c>
      <c r="Z1096">
        <f>IF($Y1096="","",INDEX($C$6:$C$40000,$Y1096)&amp;"")</f>
        <v/>
      </c>
      <c r="AA1096" s="59">
        <f>IF($Y1096="","",IF(INDEX($D$6:$D$40000,$Y1096)="","",INDEX($D$6:$D$40000,$Y1096)))</f>
        <v/>
      </c>
      <c r="AB1096">
        <f>IF($Y1096="","",INDEX($L$6:$L$40000,$Y1096)&amp;"")</f>
        <v/>
      </c>
    </row>
    <row r="1097">
      <c r="Y1097" s="47">
        <f>IFERROR(MATCH(Library!M1097,$M$6:$M$40000,0),"")</f>
        <v/>
      </c>
      <c r="Z1097">
        <f>IF($Y1097="","",INDEX($C$6:$C$40000,$Y1097)&amp;"")</f>
        <v/>
      </c>
      <c r="AA1097" s="59">
        <f>IF($Y1097="","",IF(INDEX($D$6:$D$40000,$Y1097)="","",INDEX($D$6:$D$40000,$Y1097)))</f>
        <v/>
      </c>
      <c r="AB1097">
        <f>IF($Y1097="","",INDEX($L$6:$L$40000,$Y1097)&amp;"")</f>
        <v/>
      </c>
    </row>
    <row r="1098">
      <c r="Y1098" s="47">
        <f>IFERROR(MATCH(Library!M1098,$M$6:$M$40000,0),"")</f>
        <v/>
      </c>
      <c r="Z1098">
        <f>IF($Y1098="","",INDEX($C$6:$C$40000,$Y1098)&amp;"")</f>
        <v/>
      </c>
      <c r="AA1098" s="59">
        <f>IF($Y1098="","",IF(INDEX($D$6:$D$40000,$Y1098)="","",INDEX($D$6:$D$40000,$Y1098)))</f>
        <v/>
      </c>
      <c r="AB1098">
        <f>IF($Y1098="","",INDEX($L$6:$L$40000,$Y1098)&amp;"")</f>
        <v/>
      </c>
    </row>
    <row r="1099">
      <c r="Y1099" s="47">
        <f>IFERROR(MATCH(Library!M1099,$M$6:$M$40000,0),"")</f>
        <v/>
      </c>
      <c r="Z1099">
        <f>IF($Y1099="","",INDEX($C$6:$C$40000,$Y1099)&amp;"")</f>
        <v/>
      </c>
      <c r="AA1099" s="59">
        <f>IF($Y1099="","",IF(INDEX($D$6:$D$40000,$Y1099)="","",INDEX($D$6:$D$40000,$Y1099)))</f>
        <v/>
      </c>
      <c r="AB1099">
        <f>IF($Y1099="","",INDEX($L$6:$L$40000,$Y1099)&amp;"")</f>
        <v/>
      </c>
    </row>
    <row r="1100">
      <c r="Y1100" s="47">
        <f>IFERROR(MATCH(Library!M1100,$M$6:$M$40000,0),"")</f>
        <v/>
      </c>
      <c r="Z1100">
        <f>IF($Y1100="","",INDEX($C$6:$C$40000,$Y1100)&amp;"")</f>
        <v/>
      </c>
      <c r="AA1100" s="59">
        <f>IF($Y1100="","",IF(INDEX($D$6:$D$40000,$Y1100)="","",INDEX($D$6:$D$40000,$Y1100)))</f>
        <v/>
      </c>
      <c r="AB1100">
        <f>IF($Y1100="","",INDEX($L$6:$L$40000,$Y1100)&amp;"")</f>
        <v/>
      </c>
    </row>
    <row r="1101">
      <c r="Y1101" s="47">
        <f>IFERROR(MATCH(Library!M1101,$M$6:$M$40000,0),"")</f>
        <v/>
      </c>
      <c r="Z1101">
        <f>IF($Y1101="","",INDEX($C$6:$C$40000,$Y1101)&amp;"")</f>
        <v/>
      </c>
      <c r="AA1101" s="59">
        <f>IF($Y1101="","",IF(INDEX($D$6:$D$40000,$Y1101)="","",INDEX($D$6:$D$40000,$Y1101)))</f>
        <v/>
      </c>
      <c r="AB1101">
        <f>IF($Y1101="","",INDEX($L$6:$L$40000,$Y1101)&amp;"")</f>
        <v/>
      </c>
    </row>
    <row r="1102">
      <c r="Y1102" s="47">
        <f>IFERROR(MATCH(Library!M1102,$M$6:$M$40000,0),"")</f>
        <v/>
      </c>
      <c r="Z1102">
        <f>IF($Y1102="","",INDEX($C$6:$C$40000,$Y1102)&amp;"")</f>
        <v/>
      </c>
      <c r="AA1102" s="59">
        <f>IF($Y1102="","",IF(INDEX($D$6:$D$40000,$Y1102)="","",INDEX($D$6:$D$40000,$Y1102)))</f>
        <v/>
      </c>
      <c r="AB1102">
        <f>IF($Y1102="","",INDEX($L$6:$L$40000,$Y1102)&amp;"")</f>
        <v/>
      </c>
    </row>
    <row r="1103">
      <c r="Y1103" s="47">
        <f>IFERROR(MATCH(Library!M1103,$M$6:$M$40000,0),"")</f>
        <v/>
      </c>
      <c r="Z1103">
        <f>IF($Y1103="","",INDEX($C$6:$C$40000,$Y1103)&amp;"")</f>
        <v/>
      </c>
      <c r="AA1103" s="59">
        <f>IF($Y1103="","",IF(INDEX($D$6:$D$40000,$Y1103)="","",INDEX($D$6:$D$40000,$Y1103)))</f>
        <v/>
      </c>
      <c r="AB1103">
        <f>IF($Y1103="","",INDEX($L$6:$L$40000,$Y1103)&amp;"")</f>
        <v/>
      </c>
    </row>
    <row r="1104">
      <c r="Y1104" s="47">
        <f>IFERROR(MATCH(Library!M1104,$M$6:$M$40000,0),"")</f>
        <v/>
      </c>
      <c r="Z1104">
        <f>IF($Y1104="","",INDEX($C$6:$C$40000,$Y1104)&amp;"")</f>
        <v/>
      </c>
      <c r="AA1104" s="59">
        <f>IF($Y1104="","",IF(INDEX($D$6:$D$40000,$Y1104)="","",INDEX($D$6:$D$40000,$Y1104)))</f>
        <v/>
      </c>
      <c r="AB1104">
        <f>IF($Y1104="","",INDEX($L$6:$L$40000,$Y1104)&amp;"")</f>
        <v/>
      </c>
    </row>
    <row r="1105">
      <c r="Y1105" s="47">
        <f>IFERROR(MATCH(Library!M1105,$M$6:$M$40000,0),"")</f>
        <v/>
      </c>
      <c r="Z1105">
        <f>IF($Y1105="","",INDEX($C$6:$C$40000,$Y1105)&amp;"")</f>
        <v/>
      </c>
      <c r="AA1105" s="59">
        <f>IF($Y1105="","",IF(INDEX($D$6:$D$40000,$Y1105)="","",INDEX($D$6:$D$40000,$Y1105)))</f>
        <v/>
      </c>
      <c r="AB1105">
        <f>IF($Y1105="","",INDEX($L$6:$L$40000,$Y1105)&amp;"")</f>
        <v/>
      </c>
    </row>
    <row r="1106">
      <c r="Y1106" s="47">
        <f>IFERROR(MATCH(Library!M1106,$M$6:$M$40000,0),"")</f>
        <v/>
      </c>
      <c r="Z1106">
        <f>IF($Y1106="","",INDEX($C$6:$C$40000,$Y1106)&amp;"")</f>
        <v/>
      </c>
      <c r="AA1106" s="59">
        <f>IF($Y1106="","",IF(INDEX($D$6:$D$40000,$Y1106)="","",INDEX($D$6:$D$40000,$Y1106)))</f>
        <v/>
      </c>
      <c r="AB1106">
        <f>IF($Y1106="","",INDEX($L$6:$L$40000,$Y1106)&amp;"")</f>
        <v/>
      </c>
    </row>
    <row r="1107">
      <c r="Y1107" s="47">
        <f>IFERROR(MATCH(Library!M1107,$M$6:$M$40000,0),"")</f>
        <v/>
      </c>
      <c r="Z1107">
        <f>IF($Y1107="","",INDEX($C$6:$C$40000,$Y1107)&amp;"")</f>
        <v/>
      </c>
      <c r="AA1107" s="59">
        <f>IF($Y1107="","",IF(INDEX($D$6:$D$40000,$Y1107)="","",INDEX($D$6:$D$40000,$Y1107)))</f>
        <v/>
      </c>
      <c r="AB1107">
        <f>IF($Y1107="","",INDEX($L$6:$L$40000,$Y1107)&amp;"")</f>
        <v/>
      </c>
    </row>
    <row r="1108">
      <c r="Y1108" s="47">
        <f>IFERROR(MATCH(Library!M1108,$M$6:$M$40000,0),"")</f>
        <v/>
      </c>
      <c r="Z1108">
        <f>IF($Y1108="","",INDEX($C$6:$C$40000,$Y1108)&amp;"")</f>
        <v/>
      </c>
      <c r="AA1108" s="59">
        <f>IF($Y1108="","",IF(INDEX($D$6:$D$40000,$Y1108)="","",INDEX($D$6:$D$40000,$Y1108)))</f>
        <v/>
      </c>
      <c r="AB1108">
        <f>IF($Y1108="","",INDEX($L$6:$L$40000,$Y1108)&amp;"")</f>
        <v/>
      </c>
    </row>
    <row r="1109">
      <c r="Y1109" s="47">
        <f>IFERROR(MATCH(Library!M1109,$M$6:$M$40000,0),"")</f>
        <v/>
      </c>
      <c r="Z1109">
        <f>IF($Y1109="","",INDEX($C$6:$C$40000,$Y1109)&amp;"")</f>
        <v/>
      </c>
      <c r="AA1109" s="59">
        <f>IF($Y1109="","",IF(INDEX($D$6:$D$40000,$Y1109)="","",INDEX($D$6:$D$40000,$Y1109)))</f>
        <v/>
      </c>
      <c r="AB1109">
        <f>IF($Y1109="","",INDEX($L$6:$L$40000,$Y1109)&amp;"")</f>
        <v/>
      </c>
    </row>
    <row r="1110">
      <c r="Y1110" s="47">
        <f>IFERROR(MATCH(Library!M1110,$M$6:$M$40000,0),"")</f>
        <v/>
      </c>
      <c r="Z1110">
        <f>IF($Y1110="","",INDEX($C$6:$C$40000,$Y1110)&amp;"")</f>
        <v/>
      </c>
      <c r="AA1110" s="59">
        <f>IF($Y1110="","",IF(INDEX($D$6:$D$40000,$Y1110)="","",INDEX($D$6:$D$40000,$Y1110)))</f>
        <v/>
      </c>
      <c r="AB1110">
        <f>IF($Y1110="","",INDEX($L$6:$L$40000,$Y1110)&amp;"")</f>
        <v/>
      </c>
    </row>
    <row r="1111">
      <c r="Y1111" s="47">
        <f>IFERROR(MATCH(Library!M1111,$M$6:$M$40000,0),"")</f>
        <v/>
      </c>
      <c r="Z1111">
        <f>IF($Y1111="","",INDEX($C$6:$C$40000,$Y1111)&amp;"")</f>
        <v/>
      </c>
      <c r="AA1111" s="59">
        <f>IF($Y1111="","",IF(INDEX($D$6:$D$40000,$Y1111)="","",INDEX($D$6:$D$40000,$Y1111)))</f>
        <v/>
      </c>
      <c r="AB1111">
        <f>IF($Y1111="","",INDEX($L$6:$L$40000,$Y1111)&amp;"")</f>
        <v/>
      </c>
    </row>
    <row r="1112">
      <c r="Y1112" s="47">
        <f>IFERROR(MATCH(Library!M1112,$M$6:$M$40000,0),"")</f>
        <v/>
      </c>
      <c r="Z1112">
        <f>IF($Y1112="","",INDEX($C$6:$C$40000,$Y1112)&amp;"")</f>
        <v/>
      </c>
      <c r="AA1112" s="59">
        <f>IF($Y1112="","",IF(INDEX($D$6:$D$40000,$Y1112)="","",INDEX($D$6:$D$40000,$Y1112)))</f>
        <v/>
      </c>
      <c r="AB1112">
        <f>IF($Y1112="","",INDEX($L$6:$L$40000,$Y1112)&amp;"")</f>
        <v/>
      </c>
    </row>
    <row r="1113">
      <c r="Y1113" s="47">
        <f>IFERROR(MATCH(Library!M1113,$M$6:$M$40000,0),"")</f>
        <v/>
      </c>
      <c r="Z1113">
        <f>IF($Y1113="","",INDEX($C$6:$C$40000,$Y1113)&amp;"")</f>
        <v/>
      </c>
      <c r="AA1113" s="59">
        <f>IF($Y1113="","",IF(INDEX($D$6:$D$40000,$Y1113)="","",INDEX($D$6:$D$40000,$Y1113)))</f>
        <v/>
      </c>
      <c r="AB1113">
        <f>IF($Y1113="","",INDEX($L$6:$L$40000,$Y1113)&amp;"")</f>
        <v/>
      </c>
    </row>
    <row r="1114">
      <c r="Y1114" s="47">
        <f>IFERROR(MATCH(Library!M1114,$M$6:$M$40000,0),"")</f>
        <v/>
      </c>
      <c r="Z1114">
        <f>IF($Y1114="","",INDEX($C$6:$C$40000,$Y1114)&amp;"")</f>
        <v/>
      </c>
      <c r="AA1114" s="59">
        <f>IF($Y1114="","",IF(INDEX($D$6:$D$40000,$Y1114)="","",INDEX($D$6:$D$40000,$Y1114)))</f>
        <v/>
      </c>
      <c r="AB1114">
        <f>IF($Y1114="","",INDEX($L$6:$L$40000,$Y1114)&amp;"")</f>
        <v/>
      </c>
    </row>
    <row r="1115">
      <c r="Y1115" s="47">
        <f>IFERROR(MATCH(Library!M1115,$M$6:$M$40000,0),"")</f>
        <v/>
      </c>
      <c r="Z1115">
        <f>IF($Y1115="","",INDEX($C$6:$C$40000,$Y1115)&amp;"")</f>
        <v/>
      </c>
      <c r="AA1115" s="59">
        <f>IF($Y1115="","",IF(INDEX($D$6:$D$40000,$Y1115)="","",INDEX($D$6:$D$40000,$Y1115)))</f>
        <v/>
      </c>
      <c r="AB1115">
        <f>IF($Y1115="","",INDEX($L$6:$L$40000,$Y1115)&amp;"")</f>
        <v/>
      </c>
    </row>
    <row r="1116">
      <c r="Y1116" s="47">
        <f>IFERROR(MATCH(Library!M1116,$M$6:$M$40000,0),"")</f>
        <v/>
      </c>
      <c r="Z1116">
        <f>IF($Y1116="","",INDEX($C$6:$C$40000,$Y1116)&amp;"")</f>
        <v/>
      </c>
      <c r="AA1116" s="59">
        <f>IF($Y1116="","",IF(INDEX($D$6:$D$40000,$Y1116)="","",INDEX($D$6:$D$40000,$Y1116)))</f>
        <v/>
      </c>
      <c r="AB1116">
        <f>IF($Y1116="","",INDEX($L$6:$L$40000,$Y1116)&amp;"")</f>
        <v/>
      </c>
    </row>
    <row r="1117">
      <c r="Y1117" s="47">
        <f>IFERROR(MATCH(Library!M1117,$M$6:$M$40000,0),"")</f>
        <v/>
      </c>
      <c r="Z1117">
        <f>IF($Y1117="","",INDEX($C$6:$C$40000,$Y1117)&amp;"")</f>
        <v/>
      </c>
      <c r="AA1117" s="59">
        <f>IF($Y1117="","",IF(INDEX($D$6:$D$40000,$Y1117)="","",INDEX($D$6:$D$40000,$Y1117)))</f>
        <v/>
      </c>
      <c r="AB1117">
        <f>IF($Y1117="","",INDEX($L$6:$L$40000,$Y1117)&amp;"")</f>
        <v/>
      </c>
    </row>
    <row r="1118">
      <c r="Y1118" s="47">
        <f>IFERROR(MATCH(Library!M1118,$M$6:$M$40000,0),"")</f>
        <v/>
      </c>
      <c r="Z1118">
        <f>IF($Y1118="","",INDEX($C$6:$C$40000,$Y1118)&amp;"")</f>
        <v/>
      </c>
      <c r="AA1118" s="59">
        <f>IF($Y1118="","",IF(INDEX($D$6:$D$40000,$Y1118)="","",INDEX($D$6:$D$40000,$Y1118)))</f>
        <v/>
      </c>
      <c r="AB1118">
        <f>IF($Y1118="","",INDEX($L$6:$L$40000,$Y1118)&amp;"")</f>
        <v/>
      </c>
    </row>
    <row r="1119">
      <c r="Y1119" s="47">
        <f>IFERROR(MATCH(Library!M1119,$M$6:$M$40000,0),"")</f>
        <v/>
      </c>
      <c r="Z1119">
        <f>IF($Y1119="","",INDEX($C$6:$C$40000,$Y1119)&amp;"")</f>
        <v/>
      </c>
      <c r="AA1119" s="59">
        <f>IF($Y1119="","",IF(INDEX($D$6:$D$40000,$Y1119)="","",INDEX($D$6:$D$40000,$Y1119)))</f>
        <v/>
      </c>
      <c r="AB1119">
        <f>IF($Y1119="","",INDEX($L$6:$L$40000,$Y1119)&amp;"")</f>
        <v/>
      </c>
    </row>
    <row r="1120">
      <c r="Y1120" s="47">
        <f>IFERROR(MATCH(Library!M1120,$M$6:$M$40000,0),"")</f>
        <v/>
      </c>
      <c r="Z1120">
        <f>IF($Y1120="","",INDEX($C$6:$C$40000,$Y1120)&amp;"")</f>
        <v/>
      </c>
      <c r="AA1120" s="59">
        <f>IF($Y1120="","",IF(INDEX($D$6:$D$40000,$Y1120)="","",INDEX($D$6:$D$40000,$Y1120)))</f>
        <v/>
      </c>
      <c r="AB1120">
        <f>IF($Y1120="","",INDEX($L$6:$L$40000,$Y1120)&amp;"")</f>
        <v/>
      </c>
    </row>
    <row r="1121">
      <c r="Y1121" s="47">
        <f>IFERROR(MATCH(Library!M1121,$M$6:$M$40000,0),"")</f>
        <v/>
      </c>
      <c r="Z1121">
        <f>IF($Y1121="","",INDEX($C$6:$C$40000,$Y1121)&amp;"")</f>
        <v/>
      </c>
      <c r="AA1121" s="59">
        <f>IF($Y1121="","",IF(INDEX($D$6:$D$40000,$Y1121)="","",INDEX($D$6:$D$40000,$Y1121)))</f>
        <v/>
      </c>
      <c r="AB1121">
        <f>IF($Y1121="","",INDEX($L$6:$L$40000,$Y1121)&amp;"")</f>
        <v/>
      </c>
    </row>
    <row r="1122">
      <c r="Y1122" s="47">
        <f>IFERROR(MATCH(Library!M1122,$M$6:$M$40000,0),"")</f>
        <v/>
      </c>
      <c r="Z1122">
        <f>IF($Y1122="","",INDEX($C$6:$C$40000,$Y1122)&amp;"")</f>
        <v/>
      </c>
      <c r="AA1122" s="59">
        <f>IF($Y1122="","",IF(INDEX($D$6:$D$40000,$Y1122)="","",INDEX($D$6:$D$40000,$Y1122)))</f>
        <v/>
      </c>
      <c r="AB1122">
        <f>IF($Y1122="","",INDEX($L$6:$L$40000,$Y1122)&amp;"")</f>
        <v/>
      </c>
    </row>
    <row r="1123">
      <c r="Y1123" s="47">
        <f>IFERROR(MATCH(Library!M1123,$M$6:$M$40000,0),"")</f>
        <v/>
      </c>
      <c r="Z1123">
        <f>IF($Y1123="","",INDEX($C$6:$C$40000,$Y1123)&amp;"")</f>
        <v/>
      </c>
      <c r="AA1123" s="59">
        <f>IF($Y1123="","",IF(INDEX($D$6:$D$40000,$Y1123)="","",INDEX($D$6:$D$40000,$Y1123)))</f>
        <v/>
      </c>
      <c r="AB1123">
        <f>IF($Y1123="","",INDEX($L$6:$L$40000,$Y1123)&amp;"")</f>
        <v/>
      </c>
    </row>
    <row r="1124">
      <c r="Y1124" s="47">
        <f>IFERROR(MATCH(Library!M1124,$M$6:$M$40000,0),"")</f>
        <v/>
      </c>
      <c r="Z1124">
        <f>IF($Y1124="","",INDEX($C$6:$C$40000,$Y1124)&amp;"")</f>
        <v/>
      </c>
      <c r="AA1124" s="59">
        <f>IF($Y1124="","",IF(INDEX($D$6:$D$40000,$Y1124)="","",INDEX($D$6:$D$40000,$Y1124)))</f>
        <v/>
      </c>
      <c r="AB1124">
        <f>IF($Y1124="","",INDEX($L$6:$L$40000,$Y1124)&amp;"")</f>
        <v/>
      </c>
    </row>
    <row r="1125">
      <c r="Y1125" s="47">
        <f>IFERROR(MATCH(Library!M1125,$M$6:$M$40000,0),"")</f>
        <v/>
      </c>
      <c r="Z1125">
        <f>IF($Y1125="","",INDEX($C$6:$C$40000,$Y1125)&amp;"")</f>
        <v/>
      </c>
      <c r="AA1125" s="59">
        <f>IF($Y1125="","",IF(INDEX($D$6:$D$40000,$Y1125)="","",INDEX($D$6:$D$40000,$Y1125)))</f>
        <v/>
      </c>
      <c r="AB1125">
        <f>IF($Y1125="","",INDEX($L$6:$L$40000,$Y1125)&amp;"")</f>
        <v/>
      </c>
    </row>
    <row r="1126">
      <c r="Y1126" s="47">
        <f>IFERROR(MATCH(Library!M1126,$M$6:$M$40000,0),"")</f>
        <v/>
      </c>
      <c r="Z1126">
        <f>IF($Y1126="","",INDEX($C$6:$C$40000,$Y1126)&amp;"")</f>
        <v/>
      </c>
      <c r="AA1126" s="59">
        <f>IF($Y1126="","",IF(INDEX($D$6:$D$40000,$Y1126)="","",INDEX($D$6:$D$40000,$Y1126)))</f>
        <v/>
      </c>
      <c r="AB1126">
        <f>IF($Y1126="","",INDEX($L$6:$L$40000,$Y1126)&amp;"")</f>
        <v/>
      </c>
    </row>
    <row r="1127">
      <c r="Y1127" s="47">
        <f>IFERROR(MATCH(Library!M1127,$M$6:$M$40000,0),"")</f>
        <v/>
      </c>
      <c r="Z1127">
        <f>IF($Y1127="","",INDEX($C$6:$C$40000,$Y1127)&amp;"")</f>
        <v/>
      </c>
      <c r="AA1127" s="59">
        <f>IF($Y1127="","",IF(INDEX($D$6:$D$40000,$Y1127)="","",INDEX($D$6:$D$40000,$Y1127)))</f>
        <v/>
      </c>
      <c r="AB1127">
        <f>IF($Y1127="","",INDEX($L$6:$L$40000,$Y1127)&amp;"")</f>
        <v/>
      </c>
    </row>
    <row r="1128">
      <c r="Y1128" s="47">
        <f>IFERROR(MATCH(Library!M1128,$M$6:$M$40000,0),"")</f>
        <v/>
      </c>
      <c r="Z1128">
        <f>IF($Y1128="","",INDEX($C$6:$C$40000,$Y1128)&amp;"")</f>
        <v/>
      </c>
      <c r="AA1128" s="59">
        <f>IF($Y1128="","",IF(INDEX($D$6:$D$40000,$Y1128)="","",INDEX($D$6:$D$40000,$Y1128)))</f>
        <v/>
      </c>
      <c r="AB1128">
        <f>IF($Y1128="","",INDEX($L$6:$L$40000,$Y1128)&amp;"")</f>
        <v/>
      </c>
    </row>
    <row r="1129">
      <c r="Y1129" s="47">
        <f>IFERROR(MATCH(Library!M1129,$M$6:$M$40000,0),"")</f>
        <v/>
      </c>
      <c r="Z1129">
        <f>IF($Y1129="","",INDEX($C$6:$C$40000,$Y1129)&amp;"")</f>
        <v/>
      </c>
      <c r="AA1129" s="59">
        <f>IF($Y1129="","",IF(INDEX($D$6:$D$40000,$Y1129)="","",INDEX($D$6:$D$40000,$Y1129)))</f>
        <v/>
      </c>
      <c r="AB1129">
        <f>IF($Y1129="","",INDEX($L$6:$L$40000,$Y1129)&amp;"")</f>
        <v/>
      </c>
    </row>
    <row r="1130">
      <c r="Y1130" s="47">
        <f>IFERROR(MATCH(Library!M1130,$M$6:$M$40000,0),"")</f>
        <v/>
      </c>
      <c r="Z1130">
        <f>IF($Y1130="","",INDEX($C$6:$C$40000,$Y1130)&amp;"")</f>
        <v/>
      </c>
      <c r="AA1130" s="59">
        <f>IF($Y1130="","",IF(INDEX($D$6:$D$40000,$Y1130)="","",INDEX($D$6:$D$40000,$Y1130)))</f>
        <v/>
      </c>
      <c r="AB1130">
        <f>IF($Y1130="","",INDEX($L$6:$L$40000,$Y1130)&amp;"")</f>
        <v/>
      </c>
    </row>
    <row r="1131">
      <c r="Y1131" s="47">
        <f>IFERROR(MATCH(Library!M1131,$M$6:$M$40000,0),"")</f>
        <v/>
      </c>
      <c r="Z1131">
        <f>IF($Y1131="","",INDEX($C$6:$C$40000,$Y1131)&amp;"")</f>
        <v/>
      </c>
      <c r="AA1131" s="59">
        <f>IF($Y1131="","",IF(INDEX($D$6:$D$40000,$Y1131)="","",INDEX($D$6:$D$40000,$Y1131)))</f>
        <v/>
      </c>
      <c r="AB1131">
        <f>IF($Y1131="","",INDEX($L$6:$L$40000,$Y1131)&amp;"")</f>
        <v/>
      </c>
    </row>
    <row r="1132">
      <c r="Y1132" s="47">
        <f>IFERROR(MATCH(Library!M1132,$M$6:$M$40000,0),"")</f>
        <v/>
      </c>
      <c r="Z1132">
        <f>IF($Y1132="","",INDEX($C$6:$C$40000,$Y1132)&amp;"")</f>
        <v/>
      </c>
      <c r="AA1132" s="59">
        <f>IF($Y1132="","",IF(INDEX($D$6:$D$40000,$Y1132)="","",INDEX($D$6:$D$40000,$Y1132)))</f>
        <v/>
      </c>
      <c r="AB1132">
        <f>IF($Y1132="","",INDEX($L$6:$L$40000,$Y1132)&amp;"")</f>
        <v/>
      </c>
    </row>
    <row r="1133">
      <c r="Y1133" s="47">
        <f>IFERROR(MATCH(Library!M1133,$M$6:$M$40000,0),"")</f>
        <v/>
      </c>
      <c r="Z1133">
        <f>IF($Y1133="","",INDEX($C$6:$C$40000,$Y1133)&amp;"")</f>
        <v/>
      </c>
      <c r="AA1133" s="59">
        <f>IF($Y1133="","",IF(INDEX($D$6:$D$40000,$Y1133)="","",INDEX($D$6:$D$40000,$Y1133)))</f>
        <v/>
      </c>
      <c r="AB1133">
        <f>IF($Y1133="","",INDEX($L$6:$L$40000,$Y1133)&amp;"")</f>
        <v/>
      </c>
    </row>
    <row r="1134">
      <c r="Y1134" s="47">
        <f>IFERROR(MATCH(Library!M1134,$M$6:$M$40000,0),"")</f>
        <v/>
      </c>
      <c r="Z1134">
        <f>IF($Y1134="","",INDEX($C$6:$C$40000,$Y1134)&amp;"")</f>
        <v/>
      </c>
      <c r="AA1134" s="59">
        <f>IF($Y1134="","",IF(INDEX($D$6:$D$40000,$Y1134)="","",INDEX($D$6:$D$40000,$Y1134)))</f>
        <v/>
      </c>
      <c r="AB1134">
        <f>IF($Y1134="","",INDEX($L$6:$L$40000,$Y1134)&amp;"")</f>
        <v/>
      </c>
    </row>
    <row r="1135">
      <c r="Y1135" s="47">
        <f>IFERROR(MATCH(Library!M1135,$M$6:$M$40000,0),"")</f>
        <v/>
      </c>
      <c r="Z1135">
        <f>IF($Y1135="","",INDEX($C$6:$C$40000,$Y1135)&amp;"")</f>
        <v/>
      </c>
      <c r="AA1135" s="59">
        <f>IF($Y1135="","",IF(INDEX($D$6:$D$40000,$Y1135)="","",INDEX($D$6:$D$40000,$Y1135)))</f>
        <v/>
      </c>
      <c r="AB1135">
        <f>IF($Y1135="","",INDEX($L$6:$L$40000,$Y1135)&amp;"")</f>
        <v/>
      </c>
    </row>
    <row r="1136">
      <c r="Y1136" s="47">
        <f>IFERROR(MATCH(Library!M1136,$M$6:$M$40000,0),"")</f>
        <v/>
      </c>
      <c r="Z1136">
        <f>IF($Y1136="","",INDEX($C$6:$C$40000,$Y1136)&amp;"")</f>
        <v/>
      </c>
      <c r="AA1136" s="59">
        <f>IF($Y1136="","",IF(INDEX($D$6:$D$40000,$Y1136)="","",INDEX($D$6:$D$40000,$Y1136)))</f>
        <v/>
      </c>
      <c r="AB1136">
        <f>IF($Y1136="","",INDEX($L$6:$L$40000,$Y1136)&amp;"")</f>
        <v/>
      </c>
    </row>
    <row r="1137">
      <c r="Y1137" s="47">
        <f>IFERROR(MATCH(Library!M1137,$M$6:$M$40000,0),"")</f>
        <v/>
      </c>
      <c r="Z1137">
        <f>IF($Y1137="","",INDEX($C$6:$C$40000,$Y1137)&amp;"")</f>
        <v/>
      </c>
      <c r="AA1137" s="59">
        <f>IF($Y1137="","",IF(INDEX($D$6:$D$40000,$Y1137)="","",INDEX($D$6:$D$40000,$Y1137)))</f>
        <v/>
      </c>
      <c r="AB1137">
        <f>IF($Y1137="","",INDEX($L$6:$L$40000,$Y1137)&amp;"")</f>
        <v/>
      </c>
    </row>
    <row r="1138">
      <c r="Y1138" s="47">
        <f>IFERROR(MATCH(Library!M1138,$M$6:$M$40000,0),"")</f>
        <v/>
      </c>
      <c r="Z1138">
        <f>IF($Y1138="","",INDEX($C$6:$C$40000,$Y1138)&amp;"")</f>
        <v/>
      </c>
      <c r="AA1138" s="59">
        <f>IF($Y1138="","",IF(INDEX($D$6:$D$40000,$Y1138)="","",INDEX($D$6:$D$40000,$Y1138)))</f>
        <v/>
      </c>
      <c r="AB1138">
        <f>IF($Y1138="","",INDEX($L$6:$L$40000,$Y1138)&amp;"")</f>
        <v/>
      </c>
    </row>
    <row r="1139">
      <c r="Y1139" s="47">
        <f>IFERROR(MATCH(Library!M1139,$M$6:$M$40000,0),"")</f>
        <v/>
      </c>
      <c r="Z1139">
        <f>IF($Y1139="","",INDEX($C$6:$C$40000,$Y1139)&amp;"")</f>
        <v/>
      </c>
      <c r="AA1139" s="59">
        <f>IF($Y1139="","",IF(INDEX($D$6:$D$40000,$Y1139)="","",INDEX($D$6:$D$40000,$Y1139)))</f>
        <v/>
      </c>
      <c r="AB1139">
        <f>IF($Y1139="","",INDEX($L$6:$L$40000,$Y1139)&amp;"")</f>
        <v/>
      </c>
    </row>
    <row r="1140">
      <c r="Y1140" s="47">
        <f>IFERROR(MATCH(Library!M1140,$M$6:$M$40000,0),"")</f>
        <v/>
      </c>
      <c r="Z1140">
        <f>IF($Y1140="","",INDEX($C$6:$C$40000,$Y1140)&amp;"")</f>
        <v/>
      </c>
      <c r="AA1140" s="59">
        <f>IF($Y1140="","",IF(INDEX($D$6:$D$40000,$Y1140)="","",INDEX($D$6:$D$40000,$Y1140)))</f>
        <v/>
      </c>
      <c r="AB1140">
        <f>IF($Y1140="","",INDEX($L$6:$L$40000,$Y1140)&amp;"")</f>
        <v/>
      </c>
    </row>
    <row r="1141">
      <c r="Y1141" s="47">
        <f>IFERROR(MATCH(Library!M1141,$M$6:$M$40000,0),"")</f>
        <v/>
      </c>
      <c r="Z1141">
        <f>IF($Y1141="","",INDEX($C$6:$C$40000,$Y1141)&amp;"")</f>
        <v/>
      </c>
      <c r="AA1141" s="59">
        <f>IF($Y1141="","",IF(INDEX($D$6:$D$40000,$Y1141)="","",INDEX($D$6:$D$40000,$Y1141)))</f>
        <v/>
      </c>
      <c r="AB1141">
        <f>IF($Y1141="","",INDEX($L$6:$L$40000,$Y1141)&amp;"")</f>
        <v/>
      </c>
    </row>
    <row r="1142">
      <c r="Y1142" s="47">
        <f>IFERROR(MATCH(Library!M1142,$M$6:$M$40000,0),"")</f>
        <v/>
      </c>
      <c r="Z1142">
        <f>IF($Y1142="","",INDEX($C$6:$C$40000,$Y1142)&amp;"")</f>
        <v/>
      </c>
      <c r="AA1142" s="59">
        <f>IF($Y1142="","",IF(INDEX($D$6:$D$40000,$Y1142)="","",INDEX($D$6:$D$40000,$Y1142)))</f>
        <v/>
      </c>
      <c r="AB1142">
        <f>IF($Y1142="","",INDEX($L$6:$L$40000,$Y1142)&amp;"")</f>
        <v/>
      </c>
    </row>
    <row r="1143">
      <c r="Y1143" s="47">
        <f>IFERROR(MATCH(Library!M1143,$M$6:$M$40000,0),"")</f>
        <v/>
      </c>
      <c r="Z1143">
        <f>IF($Y1143="","",INDEX($C$6:$C$40000,$Y1143)&amp;"")</f>
        <v/>
      </c>
      <c r="AA1143" s="59">
        <f>IF($Y1143="","",IF(INDEX($D$6:$D$40000,$Y1143)="","",INDEX($D$6:$D$40000,$Y1143)))</f>
        <v/>
      </c>
      <c r="AB1143">
        <f>IF($Y1143="","",INDEX($L$6:$L$40000,$Y1143)&amp;"")</f>
        <v/>
      </c>
    </row>
    <row r="1144">
      <c r="Y1144" s="47">
        <f>IFERROR(MATCH(Library!M1144,$M$6:$M$40000,0),"")</f>
        <v/>
      </c>
      <c r="Z1144">
        <f>IF($Y1144="","",INDEX($C$6:$C$40000,$Y1144)&amp;"")</f>
        <v/>
      </c>
      <c r="AA1144" s="59">
        <f>IF($Y1144="","",IF(INDEX($D$6:$D$40000,$Y1144)="","",INDEX($D$6:$D$40000,$Y1144)))</f>
        <v/>
      </c>
      <c r="AB1144">
        <f>IF($Y1144="","",INDEX($L$6:$L$40000,$Y1144)&amp;"")</f>
        <v/>
      </c>
    </row>
    <row r="1145">
      <c r="Y1145" s="47">
        <f>IFERROR(MATCH(Library!M1145,$M$6:$M$40000,0),"")</f>
        <v/>
      </c>
      <c r="Z1145">
        <f>IF($Y1145="","",INDEX($C$6:$C$40000,$Y1145)&amp;"")</f>
        <v/>
      </c>
      <c r="AA1145" s="59">
        <f>IF($Y1145="","",IF(INDEX($D$6:$D$40000,$Y1145)="","",INDEX($D$6:$D$40000,$Y1145)))</f>
        <v/>
      </c>
      <c r="AB1145">
        <f>IF($Y1145="","",INDEX($L$6:$L$40000,$Y1145)&amp;"")</f>
        <v/>
      </c>
    </row>
    <row r="1146">
      <c r="Y1146" s="47">
        <f>IFERROR(MATCH(Library!M1146,$M$6:$M$40000,0),"")</f>
        <v/>
      </c>
      <c r="Z1146">
        <f>IF($Y1146="","",INDEX($C$6:$C$40000,$Y1146)&amp;"")</f>
        <v/>
      </c>
      <c r="AA1146" s="59">
        <f>IF($Y1146="","",IF(INDEX($D$6:$D$40000,$Y1146)="","",INDEX($D$6:$D$40000,$Y1146)))</f>
        <v/>
      </c>
      <c r="AB1146">
        <f>IF($Y1146="","",INDEX($L$6:$L$40000,$Y1146)&amp;"")</f>
        <v/>
      </c>
    </row>
    <row r="1147">
      <c r="Y1147" s="47">
        <f>IFERROR(MATCH(Library!M1147,$M$6:$M$40000,0),"")</f>
        <v/>
      </c>
      <c r="Z1147">
        <f>IF($Y1147="","",INDEX($C$6:$C$40000,$Y1147)&amp;"")</f>
        <v/>
      </c>
      <c r="AA1147" s="59">
        <f>IF($Y1147="","",IF(INDEX($D$6:$D$40000,$Y1147)="","",INDEX($D$6:$D$40000,$Y1147)))</f>
        <v/>
      </c>
      <c r="AB1147">
        <f>IF($Y1147="","",INDEX($L$6:$L$40000,$Y1147)&amp;"")</f>
        <v/>
      </c>
    </row>
    <row r="1148">
      <c r="Y1148" s="47">
        <f>IFERROR(MATCH(Library!M1148,$M$6:$M$40000,0),"")</f>
        <v/>
      </c>
      <c r="Z1148">
        <f>IF($Y1148="","",INDEX($C$6:$C$40000,$Y1148)&amp;"")</f>
        <v/>
      </c>
      <c r="AA1148" s="59">
        <f>IF($Y1148="","",IF(INDEX($D$6:$D$40000,$Y1148)="","",INDEX($D$6:$D$40000,$Y1148)))</f>
        <v/>
      </c>
      <c r="AB1148">
        <f>IF($Y1148="","",INDEX($L$6:$L$40000,$Y1148)&amp;"")</f>
        <v/>
      </c>
    </row>
    <row r="1149">
      <c r="Y1149" s="47">
        <f>IFERROR(MATCH(Library!M1149,$M$6:$M$40000,0),"")</f>
        <v/>
      </c>
      <c r="Z1149">
        <f>IF($Y1149="","",INDEX($C$6:$C$40000,$Y1149)&amp;"")</f>
        <v/>
      </c>
      <c r="AA1149" s="59">
        <f>IF($Y1149="","",IF(INDEX($D$6:$D$40000,$Y1149)="","",INDEX($D$6:$D$40000,$Y1149)))</f>
        <v/>
      </c>
      <c r="AB1149">
        <f>IF($Y1149="","",INDEX($L$6:$L$40000,$Y1149)&amp;"")</f>
        <v/>
      </c>
    </row>
    <row r="1150">
      <c r="Y1150" s="47">
        <f>IFERROR(MATCH(Library!M1150,$M$6:$M$40000,0),"")</f>
        <v/>
      </c>
      <c r="Z1150">
        <f>IF($Y1150="","",INDEX($C$6:$C$40000,$Y1150)&amp;"")</f>
        <v/>
      </c>
      <c r="AA1150" s="59">
        <f>IF($Y1150="","",IF(INDEX($D$6:$D$40000,$Y1150)="","",INDEX($D$6:$D$40000,$Y1150)))</f>
        <v/>
      </c>
      <c r="AB1150">
        <f>IF($Y1150="","",INDEX($L$6:$L$40000,$Y1150)&amp;"")</f>
        <v/>
      </c>
    </row>
    <row r="1151">
      <c r="Y1151" s="47">
        <f>IFERROR(MATCH(Library!M1151,$M$6:$M$40000,0),"")</f>
        <v/>
      </c>
      <c r="Z1151">
        <f>IF($Y1151="","",INDEX($C$6:$C$40000,$Y1151)&amp;"")</f>
        <v/>
      </c>
      <c r="AA1151" s="59">
        <f>IF($Y1151="","",IF(INDEX($D$6:$D$40000,$Y1151)="","",INDEX($D$6:$D$40000,$Y1151)))</f>
        <v/>
      </c>
      <c r="AB1151">
        <f>IF($Y1151="","",INDEX($L$6:$L$40000,$Y1151)&amp;"")</f>
        <v/>
      </c>
    </row>
    <row r="1152">
      <c r="Y1152" s="47">
        <f>IFERROR(MATCH(Library!M1152,$M$6:$M$40000,0),"")</f>
        <v/>
      </c>
      <c r="Z1152">
        <f>IF($Y1152="","",INDEX($C$6:$C$40000,$Y1152)&amp;"")</f>
        <v/>
      </c>
      <c r="AA1152" s="59">
        <f>IF($Y1152="","",IF(INDEX($D$6:$D$40000,$Y1152)="","",INDEX($D$6:$D$40000,$Y1152)))</f>
        <v/>
      </c>
      <c r="AB1152">
        <f>IF($Y1152="","",INDEX($L$6:$L$40000,$Y1152)&amp;"")</f>
        <v/>
      </c>
    </row>
    <row r="1153">
      <c r="Y1153" s="47">
        <f>IFERROR(MATCH(Library!M1153,$M$6:$M$40000,0),"")</f>
        <v/>
      </c>
      <c r="Z1153">
        <f>IF($Y1153="","",INDEX($C$6:$C$40000,$Y1153)&amp;"")</f>
        <v/>
      </c>
      <c r="AA1153" s="59">
        <f>IF($Y1153="","",IF(INDEX($D$6:$D$40000,$Y1153)="","",INDEX($D$6:$D$40000,$Y1153)))</f>
        <v/>
      </c>
      <c r="AB1153">
        <f>IF($Y1153="","",INDEX($L$6:$L$40000,$Y1153)&amp;"")</f>
        <v/>
      </c>
    </row>
    <row r="1154">
      <c r="Y1154" s="47">
        <f>IFERROR(MATCH(Library!M1154,$M$6:$M$40000,0),"")</f>
        <v/>
      </c>
      <c r="Z1154">
        <f>IF($Y1154="","",INDEX($C$6:$C$40000,$Y1154)&amp;"")</f>
        <v/>
      </c>
      <c r="AA1154" s="59">
        <f>IF($Y1154="","",IF(INDEX($D$6:$D$40000,$Y1154)="","",INDEX($D$6:$D$40000,$Y1154)))</f>
        <v/>
      </c>
      <c r="AB1154">
        <f>IF($Y1154="","",INDEX($L$6:$L$40000,$Y1154)&amp;"")</f>
        <v/>
      </c>
    </row>
    <row r="1155">
      <c r="Y1155" s="47">
        <f>IFERROR(MATCH(Library!M1155,$M$6:$M$40000,0),"")</f>
        <v/>
      </c>
      <c r="Z1155">
        <f>IF($Y1155="","",INDEX($C$6:$C$40000,$Y1155)&amp;"")</f>
        <v/>
      </c>
      <c r="AA1155" s="59">
        <f>IF($Y1155="","",IF(INDEX($D$6:$D$40000,$Y1155)="","",INDEX($D$6:$D$40000,$Y1155)))</f>
        <v/>
      </c>
      <c r="AB1155">
        <f>IF($Y1155="","",INDEX($L$6:$L$40000,$Y1155)&amp;"")</f>
        <v/>
      </c>
    </row>
    <row r="1156">
      <c r="Y1156" s="47">
        <f>IFERROR(MATCH(Library!M1156,$M$6:$M$40000,0),"")</f>
        <v/>
      </c>
      <c r="Z1156">
        <f>IF($Y1156="","",INDEX($C$6:$C$40000,$Y1156)&amp;"")</f>
        <v/>
      </c>
      <c r="AA1156" s="59">
        <f>IF($Y1156="","",IF(INDEX($D$6:$D$40000,$Y1156)="","",INDEX($D$6:$D$40000,$Y1156)))</f>
        <v/>
      </c>
      <c r="AB1156">
        <f>IF($Y1156="","",INDEX($L$6:$L$40000,$Y1156)&amp;"")</f>
        <v/>
      </c>
    </row>
    <row r="1157">
      <c r="Y1157" s="47">
        <f>IFERROR(MATCH(Library!M1157,$M$6:$M$40000,0),"")</f>
        <v/>
      </c>
      <c r="Z1157">
        <f>IF($Y1157="","",INDEX($C$6:$C$40000,$Y1157)&amp;"")</f>
        <v/>
      </c>
      <c r="AA1157" s="59">
        <f>IF($Y1157="","",IF(INDEX($D$6:$D$40000,$Y1157)="","",INDEX($D$6:$D$40000,$Y1157)))</f>
        <v/>
      </c>
      <c r="AB1157">
        <f>IF($Y1157="","",INDEX($L$6:$L$40000,$Y1157)&amp;"")</f>
        <v/>
      </c>
    </row>
    <row r="1158">
      <c r="Y1158" s="47">
        <f>IFERROR(MATCH(Library!M1158,$M$6:$M$40000,0),"")</f>
        <v/>
      </c>
      <c r="Z1158">
        <f>IF($Y1158="","",INDEX($C$6:$C$40000,$Y1158)&amp;"")</f>
        <v/>
      </c>
      <c r="AA1158" s="59">
        <f>IF($Y1158="","",IF(INDEX($D$6:$D$40000,$Y1158)="","",INDEX($D$6:$D$40000,$Y1158)))</f>
        <v/>
      </c>
      <c r="AB1158">
        <f>IF($Y1158="","",INDEX($L$6:$L$40000,$Y1158)&amp;"")</f>
        <v/>
      </c>
    </row>
    <row r="1159">
      <c r="Y1159" s="47">
        <f>IFERROR(MATCH(Library!M1159,$M$6:$M$40000,0),"")</f>
        <v/>
      </c>
      <c r="Z1159">
        <f>IF($Y1159="","",INDEX($C$6:$C$40000,$Y1159)&amp;"")</f>
        <v/>
      </c>
      <c r="AA1159" s="59">
        <f>IF($Y1159="","",IF(INDEX($D$6:$D$40000,$Y1159)="","",INDEX($D$6:$D$40000,$Y1159)))</f>
        <v/>
      </c>
      <c r="AB1159">
        <f>IF($Y1159="","",INDEX($L$6:$L$40000,$Y1159)&amp;"")</f>
        <v/>
      </c>
    </row>
    <row r="1160">
      <c r="Y1160" s="47">
        <f>IFERROR(MATCH(Library!M1160,$M$6:$M$40000,0),"")</f>
        <v/>
      </c>
      <c r="Z1160">
        <f>IF($Y1160="","",INDEX($C$6:$C$40000,$Y1160)&amp;"")</f>
        <v/>
      </c>
      <c r="AA1160" s="59">
        <f>IF($Y1160="","",IF(INDEX($D$6:$D$40000,$Y1160)="","",INDEX($D$6:$D$40000,$Y1160)))</f>
        <v/>
      </c>
      <c r="AB1160">
        <f>IF($Y1160="","",INDEX($L$6:$L$40000,$Y1160)&amp;"")</f>
        <v/>
      </c>
    </row>
    <row r="1161">
      <c r="Y1161" s="47">
        <f>IFERROR(MATCH(Library!M1161,$M$6:$M$40000,0),"")</f>
        <v/>
      </c>
      <c r="Z1161">
        <f>IF($Y1161="","",INDEX($C$6:$C$40000,$Y1161)&amp;"")</f>
        <v/>
      </c>
      <c r="AA1161" s="59">
        <f>IF($Y1161="","",IF(INDEX($D$6:$D$40000,$Y1161)="","",INDEX($D$6:$D$40000,$Y1161)))</f>
        <v/>
      </c>
      <c r="AB1161">
        <f>IF($Y1161="","",INDEX($L$6:$L$40000,$Y1161)&amp;"")</f>
        <v/>
      </c>
    </row>
    <row r="1162">
      <c r="Y1162" s="47">
        <f>IFERROR(MATCH(Library!M1162,$M$6:$M$40000,0),"")</f>
        <v/>
      </c>
      <c r="Z1162">
        <f>IF($Y1162="","",INDEX($C$6:$C$40000,$Y1162)&amp;"")</f>
        <v/>
      </c>
      <c r="AA1162" s="59">
        <f>IF($Y1162="","",IF(INDEX($D$6:$D$40000,$Y1162)="","",INDEX($D$6:$D$40000,$Y1162)))</f>
        <v/>
      </c>
      <c r="AB1162">
        <f>IF($Y1162="","",INDEX($L$6:$L$40000,$Y1162)&amp;"")</f>
        <v/>
      </c>
    </row>
    <row r="1163">
      <c r="Y1163" s="47">
        <f>IFERROR(MATCH(Library!M1163,$M$6:$M$40000,0),"")</f>
        <v/>
      </c>
      <c r="Z1163">
        <f>IF($Y1163="","",INDEX($C$6:$C$40000,$Y1163)&amp;"")</f>
        <v/>
      </c>
      <c r="AA1163" s="59">
        <f>IF($Y1163="","",IF(INDEX($D$6:$D$40000,$Y1163)="","",INDEX($D$6:$D$40000,$Y1163)))</f>
        <v/>
      </c>
      <c r="AB1163">
        <f>IF($Y1163="","",INDEX($L$6:$L$40000,$Y1163)&amp;"")</f>
        <v/>
      </c>
    </row>
    <row r="1164">
      <c r="Y1164" s="47">
        <f>IFERROR(MATCH(Library!M1164,$M$6:$M$40000,0),"")</f>
        <v/>
      </c>
      <c r="Z1164">
        <f>IF($Y1164="","",INDEX($C$6:$C$40000,$Y1164)&amp;"")</f>
        <v/>
      </c>
      <c r="AA1164" s="59">
        <f>IF($Y1164="","",IF(INDEX($D$6:$D$40000,$Y1164)="","",INDEX($D$6:$D$40000,$Y1164)))</f>
        <v/>
      </c>
      <c r="AB1164">
        <f>IF($Y1164="","",INDEX($L$6:$L$40000,$Y1164)&amp;"")</f>
        <v/>
      </c>
    </row>
    <row r="1165">
      <c r="Y1165" s="47">
        <f>IFERROR(MATCH(Library!M1165,$M$6:$M$40000,0),"")</f>
        <v/>
      </c>
      <c r="Z1165">
        <f>IF($Y1165="","",INDEX($C$6:$C$40000,$Y1165)&amp;"")</f>
        <v/>
      </c>
      <c r="AA1165" s="59">
        <f>IF($Y1165="","",IF(INDEX($D$6:$D$40000,$Y1165)="","",INDEX($D$6:$D$40000,$Y1165)))</f>
        <v/>
      </c>
      <c r="AB1165">
        <f>IF($Y1165="","",INDEX($L$6:$L$40000,$Y1165)&amp;"")</f>
        <v/>
      </c>
    </row>
    <row r="1166">
      <c r="Y1166" s="47">
        <f>IFERROR(MATCH(Library!M1166,$M$6:$M$40000,0),"")</f>
        <v/>
      </c>
      <c r="Z1166">
        <f>IF($Y1166="","",INDEX($C$6:$C$40000,$Y1166)&amp;"")</f>
        <v/>
      </c>
      <c r="AA1166" s="59">
        <f>IF($Y1166="","",IF(INDEX($D$6:$D$40000,$Y1166)="","",INDEX($D$6:$D$40000,$Y1166)))</f>
        <v/>
      </c>
      <c r="AB1166">
        <f>IF($Y1166="","",INDEX($L$6:$L$40000,$Y1166)&amp;"")</f>
        <v/>
      </c>
    </row>
    <row r="1167">
      <c r="Y1167" s="47">
        <f>IFERROR(MATCH(Library!M1167,$M$6:$M$40000,0),"")</f>
        <v/>
      </c>
      <c r="Z1167">
        <f>IF($Y1167="","",INDEX($C$6:$C$40000,$Y1167)&amp;"")</f>
        <v/>
      </c>
      <c r="AA1167" s="59">
        <f>IF($Y1167="","",IF(INDEX($D$6:$D$40000,$Y1167)="","",INDEX($D$6:$D$40000,$Y1167)))</f>
        <v/>
      </c>
      <c r="AB1167">
        <f>IF($Y1167="","",INDEX($L$6:$L$40000,$Y1167)&amp;"")</f>
        <v/>
      </c>
    </row>
    <row r="1168">
      <c r="Y1168" s="47">
        <f>IFERROR(MATCH(Library!M1168,$M$6:$M$40000,0),"")</f>
        <v/>
      </c>
      <c r="Z1168">
        <f>IF($Y1168="","",INDEX($C$6:$C$40000,$Y1168)&amp;"")</f>
        <v/>
      </c>
      <c r="AA1168" s="59">
        <f>IF($Y1168="","",IF(INDEX($D$6:$D$40000,$Y1168)="","",INDEX($D$6:$D$40000,$Y1168)))</f>
        <v/>
      </c>
      <c r="AB1168">
        <f>IF($Y1168="","",INDEX($L$6:$L$40000,$Y1168)&amp;"")</f>
        <v/>
      </c>
    </row>
    <row r="1169">
      <c r="Y1169" s="47">
        <f>IFERROR(MATCH(Library!M1169,$M$6:$M$40000,0),"")</f>
        <v/>
      </c>
      <c r="Z1169">
        <f>IF($Y1169="","",INDEX($C$6:$C$40000,$Y1169)&amp;"")</f>
        <v/>
      </c>
      <c r="AA1169" s="59">
        <f>IF($Y1169="","",IF(INDEX($D$6:$D$40000,$Y1169)="","",INDEX($D$6:$D$40000,$Y1169)))</f>
        <v/>
      </c>
      <c r="AB1169">
        <f>IF($Y1169="","",INDEX($L$6:$L$40000,$Y1169)&amp;"")</f>
        <v/>
      </c>
    </row>
    <row r="1170">
      <c r="Y1170" s="47">
        <f>IFERROR(MATCH(Library!M1170,$M$6:$M$40000,0),"")</f>
        <v/>
      </c>
      <c r="Z1170">
        <f>IF($Y1170="","",INDEX($C$6:$C$40000,$Y1170)&amp;"")</f>
        <v/>
      </c>
      <c r="AA1170" s="59">
        <f>IF($Y1170="","",IF(INDEX($D$6:$D$40000,$Y1170)="","",INDEX($D$6:$D$40000,$Y1170)))</f>
        <v/>
      </c>
      <c r="AB1170">
        <f>IF($Y1170="","",INDEX($L$6:$L$40000,$Y1170)&amp;"")</f>
        <v/>
      </c>
    </row>
    <row r="1171">
      <c r="Y1171" s="47">
        <f>IFERROR(MATCH(Library!M1171,$M$6:$M$40000,0),"")</f>
        <v/>
      </c>
      <c r="Z1171">
        <f>IF($Y1171="","",INDEX($C$6:$C$40000,$Y1171)&amp;"")</f>
        <v/>
      </c>
      <c r="AA1171" s="59">
        <f>IF($Y1171="","",IF(INDEX($D$6:$D$40000,$Y1171)="","",INDEX($D$6:$D$40000,$Y1171)))</f>
        <v/>
      </c>
      <c r="AB1171">
        <f>IF($Y1171="","",INDEX($L$6:$L$40000,$Y1171)&amp;"")</f>
        <v/>
      </c>
    </row>
    <row r="1172">
      <c r="Y1172" s="47">
        <f>IFERROR(MATCH(Library!M1172,$M$6:$M$40000,0),"")</f>
        <v/>
      </c>
      <c r="Z1172">
        <f>IF($Y1172="","",INDEX($C$6:$C$40000,$Y1172)&amp;"")</f>
        <v/>
      </c>
      <c r="AA1172" s="59">
        <f>IF($Y1172="","",IF(INDEX($D$6:$D$40000,$Y1172)="","",INDEX($D$6:$D$40000,$Y1172)))</f>
        <v/>
      </c>
      <c r="AB1172">
        <f>IF($Y1172="","",INDEX($L$6:$L$40000,$Y1172)&amp;"")</f>
        <v/>
      </c>
    </row>
    <row r="1173">
      <c r="Y1173" s="47">
        <f>IFERROR(MATCH(Library!M1173,$M$6:$M$40000,0),"")</f>
        <v/>
      </c>
      <c r="Z1173">
        <f>IF($Y1173="","",INDEX($C$6:$C$40000,$Y1173)&amp;"")</f>
        <v/>
      </c>
      <c r="AA1173" s="59">
        <f>IF($Y1173="","",IF(INDEX($D$6:$D$40000,$Y1173)="","",INDEX($D$6:$D$40000,$Y1173)))</f>
        <v/>
      </c>
      <c r="AB1173">
        <f>IF($Y1173="","",INDEX($L$6:$L$40000,$Y1173)&amp;"")</f>
        <v/>
      </c>
    </row>
    <row r="1174">
      <c r="Y1174" s="47">
        <f>IFERROR(MATCH(Library!M1174,$M$6:$M$40000,0),"")</f>
        <v/>
      </c>
      <c r="Z1174">
        <f>IF($Y1174="","",INDEX($C$6:$C$40000,$Y1174)&amp;"")</f>
        <v/>
      </c>
      <c r="AA1174" s="59">
        <f>IF($Y1174="","",IF(INDEX($D$6:$D$40000,$Y1174)="","",INDEX($D$6:$D$40000,$Y1174)))</f>
        <v/>
      </c>
      <c r="AB1174">
        <f>IF($Y1174="","",INDEX($L$6:$L$40000,$Y1174)&amp;"")</f>
        <v/>
      </c>
    </row>
    <row r="1175">
      <c r="Y1175" s="47">
        <f>IFERROR(MATCH(Library!M1175,$M$6:$M$40000,0),"")</f>
        <v/>
      </c>
      <c r="Z1175">
        <f>IF($Y1175="","",INDEX($C$6:$C$40000,$Y1175)&amp;"")</f>
        <v/>
      </c>
      <c r="AA1175" s="59">
        <f>IF($Y1175="","",IF(INDEX($D$6:$D$40000,$Y1175)="","",INDEX($D$6:$D$40000,$Y1175)))</f>
        <v/>
      </c>
      <c r="AB1175">
        <f>IF($Y1175="","",INDEX($L$6:$L$40000,$Y1175)&amp;"")</f>
        <v/>
      </c>
    </row>
    <row r="1176">
      <c r="Y1176" s="47">
        <f>IFERROR(MATCH(Library!M1176,$M$6:$M$40000,0),"")</f>
        <v/>
      </c>
      <c r="Z1176">
        <f>IF($Y1176="","",INDEX($C$6:$C$40000,$Y1176)&amp;"")</f>
        <v/>
      </c>
      <c r="AA1176" s="59">
        <f>IF($Y1176="","",IF(INDEX($D$6:$D$40000,$Y1176)="","",INDEX($D$6:$D$40000,$Y1176)))</f>
        <v/>
      </c>
      <c r="AB1176">
        <f>IF($Y1176="","",INDEX($L$6:$L$40000,$Y1176)&amp;"")</f>
        <v/>
      </c>
    </row>
    <row r="1177">
      <c r="Y1177" s="47">
        <f>IFERROR(MATCH(Library!M1177,$M$6:$M$40000,0),"")</f>
        <v/>
      </c>
      <c r="Z1177">
        <f>IF($Y1177="","",INDEX($C$6:$C$40000,$Y1177)&amp;"")</f>
        <v/>
      </c>
      <c r="AA1177" s="59">
        <f>IF($Y1177="","",IF(INDEX($D$6:$D$40000,$Y1177)="","",INDEX($D$6:$D$40000,$Y1177)))</f>
        <v/>
      </c>
      <c r="AB1177">
        <f>IF($Y1177="","",INDEX($L$6:$L$40000,$Y1177)&amp;"")</f>
        <v/>
      </c>
    </row>
    <row r="1178">
      <c r="Y1178" s="47">
        <f>IFERROR(MATCH(Library!M1178,$M$6:$M$40000,0),"")</f>
        <v/>
      </c>
      <c r="Z1178">
        <f>IF($Y1178="","",INDEX($C$6:$C$40000,$Y1178)&amp;"")</f>
        <v/>
      </c>
      <c r="AA1178" s="59">
        <f>IF($Y1178="","",IF(INDEX($D$6:$D$40000,$Y1178)="","",INDEX($D$6:$D$40000,$Y1178)))</f>
        <v/>
      </c>
      <c r="AB1178">
        <f>IF($Y1178="","",INDEX($L$6:$L$40000,$Y1178)&amp;"")</f>
        <v/>
      </c>
    </row>
    <row r="1179">
      <c r="Y1179" s="47">
        <f>IFERROR(MATCH(Library!M1179,$M$6:$M$40000,0),"")</f>
        <v/>
      </c>
      <c r="Z1179">
        <f>IF($Y1179="","",INDEX($C$6:$C$40000,$Y1179)&amp;"")</f>
        <v/>
      </c>
      <c r="AA1179" s="59">
        <f>IF($Y1179="","",IF(INDEX($D$6:$D$40000,$Y1179)="","",INDEX($D$6:$D$40000,$Y1179)))</f>
        <v/>
      </c>
      <c r="AB1179">
        <f>IF($Y1179="","",INDEX($L$6:$L$40000,$Y1179)&amp;"")</f>
        <v/>
      </c>
    </row>
    <row r="1180">
      <c r="Y1180" s="47">
        <f>IFERROR(MATCH(Library!M1180,$M$6:$M$40000,0),"")</f>
        <v/>
      </c>
      <c r="Z1180">
        <f>IF($Y1180="","",INDEX($C$6:$C$40000,$Y1180)&amp;"")</f>
        <v/>
      </c>
      <c r="AA1180" s="59">
        <f>IF($Y1180="","",IF(INDEX($D$6:$D$40000,$Y1180)="","",INDEX($D$6:$D$40000,$Y1180)))</f>
        <v/>
      </c>
      <c r="AB1180">
        <f>IF($Y1180="","",INDEX($L$6:$L$40000,$Y1180)&amp;"")</f>
        <v/>
      </c>
    </row>
    <row r="1181">
      <c r="Y1181" s="47">
        <f>IFERROR(MATCH(Library!M1181,$M$6:$M$40000,0),"")</f>
        <v/>
      </c>
      <c r="Z1181">
        <f>IF($Y1181="","",INDEX($C$6:$C$40000,$Y1181)&amp;"")</f>
        <v/>
      </c>
      <c r="AA1181" s="59">
        <f>IF($Y1181="","",IF(INDEX($D$6:$D$40000,$Y1181)="","",INDEX($D$6:$D$40000,$Y1181)))</f>
        <v/>
      </c>
      <c r="AB1181">
        <f>IF($Y1181="","",INDEX($L$6:$L$40000,$Y1181)&amp;"")</f>
        <v/>
      </c>
    </row>
    <row r="1182">
      <c r="Y1182" s="47">
        <f>IFERROR(MATCH(Library!M1182,$M$6:$M$40000,0),"")</f>
        <v/>
      </c>
      <c r="Z1182">
        <f>IF($Y1182="","",INDEX($C$6:$C$40000,$Y1182)&amp;"")</f>
        <v/>
      </c>
      <c r="AA1182" s="59">
        <f>IF($Y1182="","",IF(INDEX($D$6:$D$40000,$Y1182)="","",INDEX($D$6:$D$40000,$Y1182)))</f>
        <v/>
      </c>
      <c r="AB1182">
        <f>IF($Y1182="","",INDEX($L$6:$L$40000,$Y1182)&amp;"")</f>
        <v/>
      </c>
    </row>
    <row r="1183">
      <c r="Y1183" s="47">
        <f>IFERROR(MATCH(Library!M1183,$M$6:$M$40000,0),"")</f>
        <v/>
      </c>
      <c r="Z1183">
        <f>IF($Y1183="","",INDEX($C$6:$C$40000,$Y1183)&amp;"")</f>
        <v/>
      </c>
      <c r="AA1183" s="59">
        <f>IF($Y1183="","",IF(INDEX($D$6:$D$40000,$Y1183)="","",INDEX($D$6:$D$40000,$Y1183)))</f>
        <v/>
      </c>
      <c r="AB1183">
        <f>IF($Y1183="","",INDEX($L$6:$L$40000,$Y1183)&amp;"")</f>
        <v/>
      </c>
    </row>
    <row r="1184">
      <c r="Y1184" s="47">
        <f>IFERROR(MATCH(Library!M1184,$M$6:$M$40000,0),"")</f>
        <v/>
      </c>
      <c r="Z1184">
        <f>IF($Y1184="","",INDEX($C$6:$C$40000,$Y1184)&amp;"")</f>
        <v/>
      </c>
      <c r="AA1184" s="59">
        <f>IF($Y1184="","",IF(INDEX($D$6:$D$40000,$Y1184)="","",INDEX($D$6:$D$40000,$Y1184)))</f>
        <v/>
      </c>
      <c r="AB1184">
        <f>IF($Y1184="","",INDEX($L$6:$L$40000,$Y1184)&amp;"")</f>
        <v/>
      </c>
    </row>
    <row r="1185">
      <c r="Y1185" s="47">
        <f>IFERROR(MATCH(Library!M1185,$M$6:$M$40000,0),"")</f>
        <v/>
      </c>
      <c r="Z1185">
        <f>IF($Y1185="","",INDEX($C$6:$C$40000,$Y1185)&amp;"")</f>
        <v/>
      </c>
      <c r="AA1185" s="59">
        <f>IF($Y1185="","",IF(INDEX($D$6:$D$40000,$Y1185)="","",INDEX($D$6:$D$40000,$Y1185)))</f>
        <v/>
      </c>
      <c r="AB1185">
        <f>IF($Y1185="","",INDEX($L$6:$L$40000,$Y1185)&amp;"")</f>
        <v/>
      </c>
    </row>
    <row r="1186">
      <c r="Y1186" s="47">
        <f>IFERROR(MATCH(Library!M1186,$M$6:$M$40000,0),"")</f>
        <v/>
      </c>
      <c r="Z1186">
        <f>IF($Y1186="","",INDEX($C$6:$C$40000,$Y1186)&amp;"")</f>
        <v/>
      </c>
      <c r="AA1186" s="59">
        <f>IF($Y1186="","",IF(INDEX($D$6:$D$40000,$Y1186)="","",INDEX($D$6:$D$40000,$Y1186)))</f>
        <v/>
      </c>
      <c r="AB1186">
        <f>IF($Y1186="","",INDEX($L$6:$L$40000,$Y1186)&amp;"")</f>
        <v/>
      </c>
    </row>
    <row r="1187">
      <c r="Y1187" s="47">
        <f>IFERROR(MATCH(Library!M1187,$M$6:$M$40000,0),"")</f>
        <v/>
      </c>
      <c r="Z1187">
        <f>IF($Y1187="","",INDEX($C$6:$C$40000,$Y1187)&amp;"")</f>
        <v/>
      </c>
      <c r="AA1187" s="59">
        <f>IF($Y1187="","",IF(INDEX($D$6:$D$40000,$Y1187)="","",INDEX($D$6:$D$40000,$Y1187)))</f>
        <v/>
      </c>
      <c r="AB1187">
        <f>IF($Y1187="","",INDEX($L$6:$L$40000,$Y1187)&amp;"")</f>
        <v/>
      </c>
    </row>
    <row r="1188">
      <c r="Y1188" s="47">
        <f>IFERROR(MATCH(Library!M1188,$M$6:$M$40000,0),"")</f>
        <v/>
      </c>
      <c r="Z1188">
        <f>IF($Y1188="","",INDEX($C$6:$C$40000,$Y1188)&amp;"")</f>
        <v/>
      </c>
      <c r="AA1188" s="59">
        <f>IF($Y1188="","",IF(INDEX($D$6:$D$40000,$Y1188)="","",INDEX($D$6:$D$40000,$Y1188)))</f>
        <v/>
      </c>
      <c r="AB1188">
        <f>IF($Y1188="","",INDEX($L$6:$L$40000,$Y1188)&amp;"")</f>
        <v/>
      </c>
    </row>
    <row r="1189">
      <c r="Y1189" s="47">
        <f>IFERROR(MATCH(Library!M1189,$M$6:$M$40000,0),"")</f>
        <v/>
      </c>
      <c r="Z1189">
        <f>IF($Y1189="","",INDEX($C$6:$C$40000,$Y1189)&amp;"")</f>
        <v/>
      </c>
      <c r="AA1189" s="59">
        <f>IF($Y1189="","",IF(INDEX($D$6:$D$40000,$Y1189)="","",INDEX($D$6:$D$40000,$Y1189)))</f>
        <v/>
      </c>
      <c r="AB1189">
        <f>IF($Y1189="","",INDEX($L$6:$L$40000,$Y1189)&amp;"")</f>
        <v/>
      </c>
    </row>
    <row r="1190">
      <c r="Y1190" s="47">
        <f>IFERROR(MATCH(Library!M1190,$M$6:$M$40000,0),"")</f>
        <v/>
      </c>
      <c r="Z1190">
        <f>IF($Y1190="","",INDEX($C$6:$C$40000,$Y1190)&amp;"")</f>
        <v/>
      </c>
      <c r="AA1190" s="59">
        <f>IF($Y1190="","",IF(INDEX($D$6:$D$40000,$Y1190)="","",INDEX($D$6:$D$40000,$Y1190)))</f>
        <v/>
      </c>
      <c r="AB1190">
        <f>IF($Y1190="","",INDEX($L$6:$L$40000,$Y1190)&amp;"")</f>
        <v/>
      </c>
    </row>
    <row r="1191">
      <c r="Y1191" s="47">
        <f>IFERROR(MATCH(Library!M1191,$M$6:$M$40000,0),"")</f>
        <v/>
      </c>
      <c r="Z1191">
        <f>IF($Y1191="","",INDEX($C$6:$C$40000,$Y1191)&amp;"")</f>
        <v/>
      </c>
      <c r="AA1191" s="59">
        <f>IF($Y1191="","",IF(INDEX($D$6:$D$40000,$Y1191)="","",INDEX($D$6:$D$40000,$Y1191)))</f>
        <v/>
      </c>
      <c r="AB1191">
        <f>IF($Y1191="","",INDEX($L$6:$L$40000,$Y1191)&amp;"")</f>
        <v/>
      </c>
    </row>
    <row r="1192">
      <c r="Y1192" s="47">
        <f>IFERROR(MATCH(Library!M1192,$M$6:$M$40000,0),"")</f>
        <v/>
      </c>
      <c r="Z1192">
        <f>IF($Y1192="","",INDEX($C$6:$C$40000,$Y1192)&amp;"")</f>
        <v/>
      </c>
      <c r="AA1192" s="59">
        <f>IF($Y1192="","",IF(INDEX($D$6:$D$40000,$Y1192)="","",INDEX($D$6:$D$40000,$Y1192)))</f>
        <v/>
      </c>
      <c r="AB1192">
        <f>IF($Y1192="","",INDEX($L$6:$L$40000,$Y1192)&amp;"")</f>
        <v/>
      </c>
    </row>
    <row r="1193">
      <c r="Y1193" s="47">
        <f>IFERROR(MATCH(Library!M1193,$M$6:$M$40000,0),"")</f>
        <v/>
      </c>
      <c r="Z1193">
        <f>IF($Y1193="","",INDEX($C$6:$C$40000,$Y1193)&amp;"")</f>
        <v/>
      </c>
      <c r="AA1193" s="59">
        <f>IF($Y1193="","",IF(INDEX($D$6:$D$40000,$Y1193)="","",INDEX($D$6:$D$40000,$Y1193)))</f>
        <v/>
      </c>
      <c r="AB1193">
        <f>IF($Y1193="","",INDEX($L$6:$L$40000,$Y1193)&amp;"")</f>
        <v/>
      </c>
    </row>
    <row r="1194">
      <c r="Y1194" s="47">
        <f>IFERROR(MATCH(Library!M1194,$M$6:$M$40000,0),"")</f>
        <v/>
      </c>
      <c r="Z1194">
        <f>IF($Y1194="","",INDEX($C$6:$C$40000,$Y1194)&amp;"")</f>
        <v/>
      </c>
      <c r="AA1194" s="59">
        <f>IF($Y1194="","",IF(INDEX($D$6:$D$40000,$Y1194)="","",INDEX($D$6:$D$40000,$Y1194)))</f>
        <v/>
      </c>
      <c r="AB1194">
        <f>IF($Y1194="","",INDEX($L$6:$L$40000,$Y1194)&amp;"")</f>
        <v/>
      </c>
    </row>
    <row r="1195">
      <c r="Y1195" s="47">
        <f>IFERROR(MATCH(Library!M1195,$M$6:$M$40000,0),"")</f>
        <v/>
      </c>
      <c r="Z1195">
        <f>IF($Y1195="","",INDEX($C$6:$C$40000,$Y1195)&amp;"")</f>
        <v/>
      </c>
      <c r="AA1195" s="59">
        <f>IF($Y1195="","",IF(INDEX($D$6:$D$40000,$Y1195)="","",INDEX($D$6:$D$40000,$Y1195)))</f>
        <v/>
      </c>
      <c r="AB1195">
        <f>IF($Y1195="","",INDEX($L$6:$L$40000,$Y1195)&amp;"")</f>
        <v/>
      </c>
    </row>
    <row r="1196">
      <c r="Y1196" s="47">
        <f>IFERROR(MATCH(Library!M1196,$M$6:$M$40000,0),"")</f>
        <v/>
      </c>
      <c r="Z1196">
        <f>IF($Y1196="","",INDEX($C$6:$C$40000,$Y1196)&amp;"")</f>
        <v/>
      </c>
      <c r="AA1196" s="59">
        <f>IF($Y1196="","",IF(INDEX($D$6:$D$40000,$Y1196)="","",INDEX($D$6:$D$40000,$Y1196)))</f>
        <v/>
      </c>
      <c r="AB1196">
        <f>IF($Y1196="","",INDEX($L$6:$L$40000,$Y1196)&amp;"")</f>
        <v/>
      </c>
    </row>
    <row r="1197">
      <c r="Y1197" s="47">
        <f>IFERROR(MATCH(Library!M1197,$M$6:$M$40000,0),"")</f>
        <v/>
      </c>
      <c r="Z1197">
        <f>IF($Y1197="","",INDEX($C$6:$C$40000,$Y1197)&amp;"")</f>
        <v/>
      </c>
      <c r="AA1197" s="59">
        <f>IF($Y1197="","",IF(INDEX($D$6:$D$40000,$Y1197)="","",INDEX($D$6:$D$40000,$Y1197)))</f>
        <v/>
      </c>
      <c r="AB1197">
        <f>IF($Y1197="","",INDEX($L$6:$L$40000,$Y1197)&amp;"")</f>
        <v/>
      </c>
    </row>
    <row r="1198">
      <c r="Y1198" s="47">
        <f>IFERROR(MATCH(Library!M1198,$M$6:$M$40000,0),"")</f>
        <v/>
      </c>
      <c r="Z1198">
        <f>IF($Y1198="","",INDEX($C$6:$C$40000,$Y1198)&amp;"")</f>
        <v/>
      </c>
      <c r="AA1198" s="59">
        <f>IF($Y1198="","",IF(INDEX($D$6:$D$40000,$Y1198)="","",INDEX($D$6:$D$40000,$Y1198)))</f>
        <v/>
      </c>
      <c r="AB1198">
        <f>IF($Y1198="","",INDEX($L$6:$L$40000,$Y1198)&amp;"")</f>
        <v/>
      </c>
    </row>
    <row r="1199">
      <c r="Y1199" s="47">
        <f>IFERROR(MATCH(Library!M1199,$M$6:$M$40000,0),"")</f>
        <v/>
      </c>
      <c r="Z1199">
        <f>IF($Y1199="","",INDEX($C$6:$C$40000,$Y1199)&amp;"")</f>
        <v/>
      </c>
      <c r="AA1199" s="59">
        <f>IF($Y1199="","",IF(INDEX($D$6:$D$40000,$Y1199)="","",INDEX($D$6:$D$40000,$Y1199)))</f>
        <v/>
      </c>
      <c r="AB1199">
        <f>IF($Y1199="","",INDEX($L$6:$L$40000,$Y1199)&amp;"")</f>
        <v/>
      </c>
    </row>
    <row r="1200">
      <c r="Y1200" s="47">
        <f>IFERROR(MATCH(Library!M1200,$M$6:$M$40000,0),"")</f>
        <v/>
      </c>
      <c r="Z1200">
        <f>IF($Y1200="","",INDEX($C$6:$C$40000,$Y1200)&amp;"")</f>
        <v/>
      </c>
      <c r="AA1200" s="59">
        <f>IF($Y1200="","",IF(INDEX($D$6:$D$40000,$Y1200)="","",INDEX($D$6:$D$40000,$Y1200)))</f>
        <v/>
      </c>
      <c r="AB1200">
        <f>IF($Y1200="","",INDEX($L$6:$L$40000,$Y1200)&amp;"")</f>
        <v/>
      </c>
    </row>
    <row r="1201">
      <c r="Y1201" s="47">
        <f>IFERROR(MATCH(Library!M1201,$M$6:$M$40000,0),"")</f>
        <v/>
      </c>
      <c r="Z1201">
        <f>IF($Y1201="","",INDEX($C$6:$C$40000,$Y1201)&amp;"")</f>
        <v/>
      </c>
      <c r="AA1201" s="59">
        <f>IF($Y1201="","",IF(INDEX($D$6:$D$40000,$Y1201)="","",INDEX($D$6:$D$40000,$Y1201)))</f>
        <v/>
      </c>
      <c r="AB1201">
        <f>IF($Y1201="","",INDEX($L$6:$L$40000,$Y1201)&amp;"")</f>
        <v/>
      </c>
    </row>
    <row r="1202">
      <c r="Y1202" s="47">
        <f>IFERROR(MATCH(Library!M1202,$M$6:$M$40000,0),"")</f>
        <v/>
      </c>
      <c r="Z1202">
        <f>IF($Y1202="","",INDEX($C$6:$C$40000,$Y1202)&amp;"")</f>
        <v/>
      </c>
      <c r="AA1202" s="59">
        <f>IF($Y1202="","",IF(INDEX($D$6:$D$40000,$Y1202)="","",INDEX($D$6:$D$40000,$Y1202)))</f>
        <v/>
      </c>
      <c r="AB1202">
        <f>IF($Y1202="","",INDEX($L$6:$L$40000,$Y1202)&amp;"")</f>
        <v/>
      </c>
    </row>
    <row r="1203">
      <c r="Y1203" s="47">
        <f>IFERROR(MATCH(Library!M1203,$M$6:$M$40000,0),"")</f>
        <v/>
      </c>
      <c r="Z1203">
        <f>IF($Y1203="","",INDEX($C$6:$C$40000,$Y1203)&amp;"")</f>
        <v/>
      </c>
      <c r="AA1203" s="59">
        <f>IF($Y1203="","",IF(INDEX($D$6:$D$40000,$Y1203)="","",INDEX($D$6:$D$40000,$Y1203)))</f>
        <v/>
      </c>
      <c r="AB1203">
        <f>IF($Y1203="","",INDEX($L$6:$L$40000,$Y1203)&amp;"")</f>
        <v/>
      </c>
    </row>
    <row r="1204">
      <c r="Y1204" s="47">
        <f>IFERROR(MATCH(Library!M1204,$M$6:$M$40000,0),"")</f>
        <v/>
      </c>
      <c r="Z1204">
        <f>IF($Y1204="","",INDEX($C$6:$C$40000,$Y1204)&amp;"")</f>
        <v/>
      </c>
      <c r="AA1204" s="59">
        <f>IF($Y1204="","",IF(INDEX($D$6:$D$40000,$Y1204)="","",INDEX($D$6:$D$40000,$Y1204)))</f>
        <v/>
      </c>
      <c r="AB1204">
        <f>IF($Y1204="","",INDEX($L$6:$L$40000,$Y1204)&amp;"")</f>
        <v/>
      </c>
    </row>
    <row r="1205">
      <c r="Y1205" s="47">
        <f>IFERROR(MATCH(Library!M1205,$M$6:$M$40000,0),"")</f>
        <v/>
      </c>
      <c r="Z1205">
        <f>IF($Y1205="","",INDEX($C$6:$C$40000,$Y1205)&amp;"")</f>
        <v/>
      </c>
      <c r="AA1205" s="59">
        <f>IF($Y1205="","",IF(INDEX($D$6:$D$40000,$Y1205)="","",INDEX($D$6:$D$40000,$Y1205)))</f>
        <v/>
      </c>
      <c r="AB1205">
        <f>IF($Y1205="","",INDEX($L$6:$L$40000,$Y1205)&amp;"")</f>
        <v/>
      </c>
    </row>
    <row r="1206">
      <c r="Y1206" s="47">
        <f>IFERROR(MATCH(Library!M1206,$M$6:$M$40000,0),"")</f>
        <v/>
      </c>
      <c r="Z1206">
        <f>IF($Y1206="","",INDEX($C$6:$C$40000,$Y1206)&amp;"")</f>
        <v/>
      </c>
      <c r="AA1206" s="59">
        <f>IF($Y1206="","",IF(INDEX($D$6:$D$40000,$Y1206)="","",INDEX($D$6:$D$40000,$Y1206)))</f>
        <v/>
      </c>
      <c r="AB1206">
        <f>IF($Y1206="","",INDEX($L$6:$L$40000,$Y1206)&amp;"")</f>
        <v/>
      </c>
    </row>
    <row r="1207">
      <c r="Y1207" s="47">
        <f>IFERROR(MATCH(Library!M1207,$M$6:$M$40000,0),"")</f>
        <v/>
      </c>
      <c r="Z1207">
        <f>IF($Y1207="","",INDEX($C$6:$C$40000,$Y1207)&amp;"")</f>
        <v/>
      </c>
      <c r="AA1207" s="59">
        <f>IF($Y1207="","",IF(INDEX($D$6:$D$40000,$Y1207)="","",INDEX($D$6:$D$40000,$Y1207)))</f>
        <v/>
      </c>
      <c r="AB1207">
        <f>IF($Y1207="","",INDEX($L$6:$L$40000,$Y1207)&amp;"")</f>
        <v/>
      </c>
    </row>
    <row r="1208">
      <c r="Y1208" s="47">
        <f>IFERROR(MATCH(Library!M1208,$M$6:$M$40000,0),"")</f>
        <v/>
      </c>
      <c r="Z1208">
        <f>IF($Y1208="","",INDEX($C$6:$C$40000,$Y1208)&amp;"")</f>
        <v/>
      </c>
      <c r="AA1208" s="59">
        <f>IF($Y1208="","",IF(INDEX($D$6:$D$40000,$Y1208)="","",INDEX($D$6:$D$40000,$Y1208)))</f>
        <v/>
      </c>
      <c r="AB1208">
        <f>IF($Y1208="","",INDEX($L$6:$L$40000,$Y1208)&amp;"")</f>
        <v/>
      </c>
    </row>
    <row r="1209">
      <c r="Y1209" s="47">
        <f>IFERROR(MATCH(Library!M1209,$M$6:$M$40000,0),"")</f>
        <v/>
      </c>
      <c r="Z1209">
        <f>IF($Y1209="","",INDEX($C$6:$C$40000,$Y1209)&amp;"")</f>
        <v/>
      </c>
      <c r="AA1209" s="59">
        <f>IF($Y1209="","",IF(INDEX($D$6:$D$40000,$Y1209)="","",INDEX($D$6:$D$40000,$Y1209)))</f>
        <v/>
      </c>
      <c r="AB1209">
        <f>IF($Y1209="","",INDEX($L$6:$L$40000,$Y1209)&amp;"")</f>
        <v/>
      </c>
    </row>
    <row r="1210">
      <c r="Y1210" s="47">
        <f>IFERROR(MATCH(Library!M1210,$M$6:$M$40000,0),"")</f>
        <v/>
      </c>
      <c r="Z1210">
        <f>IF($Y1210="","",INDEX($C$6:$C$40000,$Y1210)&amp;"")</f>
        <v/>
      </c>
      <c r="AA1210" s="59">
        <f>IF($Y1210="","",IF(INDEX($D$6:$D$40000,$Y1210)="","",INDEX($D$6:$D$40000,$Y1210)))</f>
        <v/>
      </c>
      <c r="AB1210">
        <f>IF($Y1210="","",INDEX($L$6:$L$40000,$Y1210)&amp;"")</f>
        <v/>
      </c>
    </row>
    <row r="1211">
      <c r="Y1211" s="47">
        <f>IFERROR(MATCH(Library!M1211,$M$6:$M$40000,0),"")</f>
        <v/>
      </c>
      <c r="Z1211">
        <f>IF($Y1211="","",INDEX($C$6:$C$40000,$Y1211)&amp;"")</f>
        <v/>
      </c>
      <c r="AA1211" s="59">
        <f>IF($Y1211="","",IF(INDEX($D$6:$D$40000,$Y1211)="","",INDEX($D$6:$D$40000,$Y1211)))</f>
        <v/>
      </c>
      <c r="AB1211">
        <f>IF($Y1211="","",INDEX($L$6:$L$40000,$Y1211)&amp;"")</f>
        <v/>
      </c>
    </row>
    <row r="1212">
      <c r="Y1212" s="47">
        <f>IFERROR(MATCH(Library!M1212,$M$6:$M$40000,0),"")</f>
        <v/>
      </c>
      <c r="Z1212">
        <f>IF($Y1212="","",INDEX($C$6:$C$40000,$Y1212)&amp;"")</f>
        <v/>
      </c>
      <c r="AA1212" s="59">
        <f>IF($Y1212="","",IF(INDEX($D$6:$D$40000,$Y1212)="","",INDEX($D$6:$D$40000,$Y1212)))</f>
        <v/>
      </c>
      <c r="AB1212">
        <f>IF($Y1212="","",INDEX($L$6:$L$40000,$Y1212)&amp;"")</f>
        <v/>
      </c>
    </row>
    <row r="1213">
      <c r="Y1213" s="47">
        <f>IFERROR(MATCH(Library!M1213,$M$6:$M$40000,0),"")</f>
        <v/>
      </c>
      <c r="Z1213">
        <f>IF($Y1213="","",INDEX($C$6:$C$40000,$Y1213)&amp;"")</f>
        <v/>
      </c>
      <c r="AA1213" s="59">
        <f>IF($Y1213="","",IF(INDEX($D$6:$D$40000,$Y1213)="","",INDEX($D$6:$D$40000,$Y1213)))</f>
        <v/>
      </c>
      <c r="AB1213">
        <f>IF($Y1213="","",INDEX($L$6:$L$40000,$Y1213)&amp;"")</f>
        <v/>
      </c>
    </row>
    <row r="1214">
      <c r="Y1214" s="47">
        <f>IFERROR(MATCH(Library!M1214,$M$6:$M$40000,0),"")</f>
        <v/>
      </c>
      <c r="Z1214">
        <f>IF($Y1214="","",INDEX($C$6:$C$40000,$Y1214)&amp;"")</f>
        <v/>
      </c>
      <c r="AA1214" s="59">
        <f>IF($Y1214="","",IF(INDEX($D$6:$D$40000,$Y1214)="","",INDEX($D$6:$D$40000,$Y1214)))</f>
        <v/>
      </c>
      <c r="AB1214">
        <f>IF($Y1214="","",INDEX($L$6:$L$40000,$Y1214)&amp;"")</f>
        <v/>
      </c>
    </row>
    <row r="1215">
      <c r="Y1215" s="47">
        <f>IFERROR(MATCH(Library!M1215,$M$6:$M$40000,0),"")</f>
        <v/>
      </c>
      <c r="Z1215">
        <f>IF($Y1215="","",INDEX($C$6:$C$40000,$Y1215)&amp;"")</f>
        <v/>
      </c>
      <c r="AA1215" s="59">
        <f>IF($Y1215="","",IF(INDEX($D$6:$D$40000,$Y1215)="","",INDEX($D$6:$D$40000,$Y1215)))</f>
        <v/>
      </c>
      <c r="AB1215">
        <f>IF($Y1215="","",INDEX($L$6:$L$40000,$Y1215)&amp;"")</f>
        <v/>
      </c>
    </row>
    <row r="1216">
      <c r="Y1216" s="47">
        <f>IFERROR(MATCH(Library!M1216,$M$6:$M$40000,0),"")</f>
        <v/>
      </c>
      <c r="Z1216">
        <f>IF($Y1216="","",INDEX($C$6:$C$40000,$Y1216)&amp;"")</f>
        <v/>
      </c>
      <c r="AA1216" s="59">
        <f>IF($Y1216="","",IF(INDEX($D$6:$D$40000,$Y1216)="","",INDEX($D$6:$D$40000,$Y1216)))</f>
        <v/>
      </c>
      <c r="AB1216">
        <f>IF($Y1216="","",INDEX($L$6:$L$40000,$Y1216)&amp;"")</f>
        <v/>
      </c>
    </row>
    <row r="1217">
      <c r="Y1217" s="47">
        <f>IFERROR(MATCH(Library!M1217,$M$6:$M$40000,0),"")</f>
        <v/>
      </c>
      <c r="Z1217">
        <f>IF($Y1217="","",INDEX($C$6:$C$40000,$Y1217)&amp;"")</f>
        <v/>
      </c>
      <c r="AA1217" s="59">
        <f>IF($Y1217="","",IF(INDEX($D$6:$D$40000,$Y1217)="","",INDEX($D$6:$D$40000,$Y1217)))</f>
        <v/>
      </c>
      <c r="AB1217">
        <f>IF($Y1217="","",INDEX($L$6:$L$40000,$Y1217)&amp;"")</f>
        <v/>
      </c>
    </row>
    <row r="1218">
      <c r="Y1218" s="47">
        <f>IFERROR(MATCH(Library!M1218,$M$6:$M$40000,0),"")</f>
        <v/>
      </c>
      <c r="Z1218">
        <f>IF($Y1218="","",INDEX($C$6:$C$40000,$Y1218)&amp;"")</f>
        <v/>
      </c>
      <c r="AA1218" s="59">
        <f>IF($Y1218="","",IF(INDEX($D$6:$D$40000,$Y1218)="","",INDEX($D$6:$D$40000,$Y1218)))</f>
        <v/>
      </c>
      <c r="AB1218">
        <f>IF($Y1218="","",INDEX($L$6:$L$40000,$Y1218)&amp;"")</f>
        <v/>
      </c>
    </row>
    <row r="1219">
      <c r="Y1219" s="47">
        <f>IFERROR(MATCH(Library!M1219,$M$6:$M$40000,0),"")</f>
        <v/>
      </c>
      <c r="Z1219">
        <f>IF($Y1219="","",INDEX($C$6:$C$40000,$Y1219)&amp;"")</f>
        <v/>
      </c>
      <c r="AA1219" s="59">
        <f>IF($Y1219="","",IF(INDEX($D$6:$D$40000,$Y1219)="","",INDEX($D$6:$D$40000,$Y1219)))</f>
        <v/>
      </c>
      <c r="AB1219">
        <f>IF($Y1219="","",INDEX($L$6:$L$40000,$Y1219)&amp;"")</f>
        <v/>
      </c>
    </row>
    <row r="1220">
      <c r="Y1220" s="47">
        <f>IFERROR(MATCH(Library!M1220,$M$6:$M$40000,0),"")</f>
        <v/>
      </c>
      <c r="Z1220">
        <f>IF($Y1220="","",INDEX($C$6:$C$40000,$Y1220)&amp;"")</f>
        <v/>
      </c>
      <c r="AA1220" s="59">
        <f>IF($Y1220="","",IF(INDEX($D$6:$D$40000,$Y1220)="","",INDEX($D$6:$D$40000,$Y1220)))</f>
        <v/>
      </c>
      <c r="AB1220">
        <f>IF($Y1220="","",INDEX($L$6:$L$40000,$Y1220)&amp;"")</f>
        <v/>
      </c>
    </row>
    <row r="1221">
      <c r="Y1221" s="47">
        <f>IFERROR(MATCH(Library!M1221,$M$6:$M$40000,0),"")</f>
        <v/>
      </c>
      <c r="Z1221">
        <f>IF($Y1221="","",INDEX($C$6:$C$40000,$Y1221)&amp;"")</f>
        <v/>
      </c>
      <c r="AA1221" s="59">
        <f>IF($Y1221="","",IF(INDEX($D$6:$D$40000,$Y1221)="","",INDEX($D$6:$D$40000,$Y1221)))</f>
        <v/>
      </c>
      <c r="AB1221">
        <f>IF($Y1221="","",INDEX($L$6:$L$40000,$Y1221)&amp;"")</f>
        <v/>
      </c>
    </row>
    <row r="1222">
      <c r="Y1222" s="47">
        <f>IFERROR(MATCH(Library!M1222,$M$6:$M$40000,0),"")</f>
        <v/>
      </c>
      <c r="Z1222">
        <f>IF($Y1222="","",INDEX($C$6:$C$40000,$Y1222)&amp;"")</f>
        <v/>
      </c>
      <c r="AA1222" s="59">
        <f>IF($Y1222="","",IF(INDEX($D$6:$D$40000,$Y1222)="","",INDEX($D$6:$D$40000,$Y1222)))</f>
        <v/>
      </c>
      <c r="AB1222">
        <f>IF($Y1222="","",INDEX($L$6:$L$40000,$Y1222)&amp;"")</f>
        <v/>
      </c>
    </row>
    <row r="1223">
      <c r="Y1223" s="47">
        <f>IFERROR(MATCH(Library!M1223,$M$6:$M$40000,0),"")</f>
        <v/>
      </c>
      <c r="Z1223">
        <f>IF($Y1223="","",INDEX($C$6:$C$40000,$Y1223)&amp;"")</f>
        <v/>
      </c>
      <c r="AA1223" s="59">
        <f>IF($Y1223="","",IF(INDEX($D$6:$D$40000,$Y1223)="","",INDEX($D$6:$D$40000,$Y1223)))</f>
        <v/>
      </c>
      <c r="AB1223">
        <f>IF($Y1223="","",INDEX($L$6:$L$40000,$Y1223)&amp;"")</f>
        <v/>
      </c>
    </row>
    <row r="1224">
      <c r="Y1224" s="47">
        <f>IFERROR(MATCH(Library!M1224,$M$6:$M$40000,0),"")</f>
        <v/>
      </c>
      <c r="Z1224">
        <f>IF($Y1224="","",INDEX($C$6:$C$40000,$Y1224)&amp;"")</f>
        <v/>
      </c>
      <c r="AA1224" s="59">
        <f>IF($Y1224="","",IF(INDEX($D$6:$D$40000,$Y1224)="","",INDEX($D$6:$D$40000,$Y1224)))</f>
        <v/>
      </c>
      <c r="AB1224">
        <f>IF($Y1224="","",INDEX($L$6:$L$40000,$Y1224)&amp;"")</f>
        <v/>
      </c>
    </row>
    <row r="1225">
      <c r="Y1225" s="47">
        <f>IFERROR(MATCH(Library!M1225,$M$6:$M$40000,0),"")</f>
        <v/>
      </c>
      <c r="Z1225">
        <f>IF($Y1225="","",INDEX($C$6:$C$40000,$Y1225)&amp;"")</f>
        <v/>
      </c>
      <c r="AA1225" s="59">
        <f>IF($Y1225="","",IF(INDEX($D$6:$D$40000,$Y1225)="","",INDEX($D$6:$D$40000,$Y1225)))</f>
        <v/>
      </c>
      <c r="AB1225">
        <f>IF($Y1225="","",INDEX($L$6:$L$40000,$Y1225)&amp;"")</f>
        <v/>
      </c>
    </row>
    <row r="1226">
      <c r="Y1226" s="47">
        <f>IFERROR(MATCH(Library!M1226,$M$6:$M$40000,0),"")</f>
        <v/>
      </c>
      <c r="Z1226">
        <f>IF($Y1226="","",INDEX($C$6:$C$40000,$Y1226)&amp;"")</f>
        <v/>
      </c>
      <c r="AA1226" s="59">
        <f>IF($Y1226="","",IF(INDEX($D$6:$D$40000,$Y1226)="","",INDEX($D$6:$D$40000,$Y1226)))</f>
        <v/>
      </c>
      <c r="AB1226">
        <f>IF($Y1226="","",INDEX($L$6:$L$40000,$Y1226)&amp;"")</f>
        <v/>
      </c>
    </row>
    <row r="1227">
      <c r="Y1227" s="47">
        <f>IFERROR(MATCH(Library!M1227,$M$6:$M$40000,0),"")</f>
        <v/>
      </c>
      <c r="Z1227">
        <f>IF($Y1227="","",INDEX($C$6:$C$40000,$Y1227)&amp;"")</f>
        <v/>
      </c>
      <c r="AA1227" s="59">
        <f>IF($Y1227="","",IF(INDEX($D$6:$D$40000,$Y1227)="","",INDEX($D$6:$D$40000,$Y1227)))</f>
        <v/>
      </c>
      <c r="AB1227">
        <f>IF($Y1227="","",INDEX($L$6:$L$40000,$Y1227)&amp;"")</f>
        <v/>
      </c>
    </row>
    <row r="1228">
      <c r="Y1228" s="47">
        <f>IFERROR(MATCH(Library!M1228,$M$6:$M$40000,0),"")</f>
        <v/>
      </c>
      <c r="Z1228">
        <f>IF($Y1228="","",INDEX($C$6:$C$40000,$Y1228)&amp;"")</f>
        <v/>
      </c>
      <c r="AA1228" s="59">
        <f>IF($Y1228="","",IF(INDEX($D$6:$D$40000,$Y1228)="","",INDEX($D$6:$D$40000,$Y1228)))</f>
        <v/>
      </c>
      <c r="AB1228">
        <f>IF($Y1228="","",INDEX($L$6:$L$40000,$Y1228)&amp;"")</f>
        <v/>
      </c>
    </row>
    <row r="1229">
      <c r="Y1229" s="47">
        <f>IFERROR(MATCH(Library!M1229,$M$6:$M$40000,0),"")</f>
        <v/>
      </c>
      <c r="Z1229">
        <f>IF($Y1229="","",INDEX($C$6:$C$40000,$Y1229)&amp;"")</f>
        <v/>
      </c>
      <c r="AA1229" s="59">
        <f>IF($Y1229="","",IF(INDEX($D$6:$D$40000,$Y1229)="","",INDEX($D$6:$D$40000,$Y1229)))</f>
        <v/>
      </c>
      <c r="AB1229">
        <f>IF($Y1229="","",INDEX($L$6:$L$40000,$Y1229)&amp;"")</f>
        <v/>
      </c>
    </row>
    <row r="1230">
      <c r="Y1230" s="47">
        <f>IFERROR(MATCH(Library!M1230,$M$6:$M$40000,0),"")</f>
        <v/>
      </c>
      <c r="Z1230">
        <f>IF($Y1230="","",INDEX($C$6:$C$40000,$Y1230)&amp;"")</f>
        <v/>
      </c>
      <c r="AA1230" s="59">
        <f>IF($Y1230="","",IF(INDEX($D$6:$D$40000,$Y1230)="","",INDEX($D$6:$D$40000,$Y1230)))</f>
        <v/>
      </c>
      <c r="AB1230">
        <f>IF($Y1230="","",INDEX($L$6:$L$40000,$Y1230)&amp;"")</f>
        <v/>
      </c>
    </row>
    <row r="1231">
      <c r="Y1231" s="47">
        <f>IFERROR(MATCH(Library!M1231,$M$6:$M$40000,0),"")</f>
        <v/>
      </c>
      <c r="Z1231">
        <f>IF($Y1231="","",INDEX($C$6:$C$40000,$Y1231)&amp;"")</f>
        <v/>
      </c>
      <c r="AA1231" s="59">
        <f>IF($Y1231="","",IF(INDEX($D$6:$D$40000,$Y1231)="","",INDEX($D$6:$D$40000,$Y1231)))</f>
        <v/>
      </c>
      <c r="AB1231">
        <f>IF($Y1231="","",INDEX($L$6:$L$40000,$Y1231)&amp;"")</f>
        <v/>
      </c>
    </row>
    <row r="1232">
      <c r="Y1232" s="47">
        <f>IFERROR(MATCH(Library!M1232,$M$6:$M$40000,0),"")</f>
        <v/>
      </c>
      <c r="Z1232">
        <f>IF($Y1232="","",INDEX($C$6:$C$40000,$Y1232)&amp;"")</f>
        <v/>
      </c>
      <c r="AA1232" s="59">
        <f>IF($Y1232="","",IF(INDEX($D$6:$D$40000,$Y1232)="","",INDEX($D$6:$D$40000,$Y1232)))</f>
        <v/>
      </c>
      <c r="AB1232">
        <f>IF($Y1232="","",INDEX($L$6:$L$40000,$Y1232)&amp;"")</f>
        <v/>
      </c>
    </row>
    <row r="1233">
      <c r="Y1233" s="47">
        <f>IFERROR(MATCH(Library!M1233,$M$6:$M$40000,0),"")</f>
        <v/>
      </c>
      <c r="Z1233">
        <f>IF($Y1233="","",INDEX($C$6:$C$40000,$Y1233)&amp;"")</f>
        <v/>
      </c>
      <c r="AA1233" s="59">
        <f>IF($Y1233="","",IF(INDEX($D$6:$D$40000,$Y1233)="","",INDEX($D$6:$D$40000,$Y1233)))</f>
        <v/>
      </c>
      <c r="AB1233">
        <f>IF($Y1233="","",INDEX($L$6:$L$40000,$Y1233)&amp;"")</f>
        <v/>
      </c>
    </row>
    <row r="1234">
      <c r="Y1234" s="47">
        <f>IFERROR(MATCH(Library!M1234,$M$6:$M$40000,0),"")</f>
        <v/>
      </c>
      <c r="Z1234">
        <f>IF($Y1234="","",INDEX($C$6:$C$40000,$Y1234)&amp;"")</f>
        <v/>
      </c>
      <c r="AA1234" s="59">
        <f>IF($Y1234="","",IF(INDEX($D$6:$D$40000,$Y1234)="","",INDEX($D$6:$D$40000,$Y1234)))</f>
        <v/>
      </c>
      <c r="AB1234">
        <f>IF($Y1234="","",INDEX($L$6:$L$40000,$Y1234)&amp;"")</f>
        <v/>
      </c>
    </row>
    <row r="1235">
      <c r="Y1235" s="47">
        <f>IFERROR(MATCH(Library!M1235,$M$6:$M$40000,0),"")</f>
        <v/>
      </c>
      <c r="Z1235">
        <f>IF($Y1235="","",INDEX($C$6:$C$40000,$Y1235)&amp;"")</f>
        <v/>
      </c>
      <c r="AA1235" s="59">
        <f>IF($Y1235="","",IF(INDEX($D$6:$D$40000,$Y1235)="","",INDEX($D$6:$D$40000,$Y1235)))</f>
        <v/>
      </c>
      <c r="AB1235">
        <f>IF($Y1235="","",INDEX($L$6:$L$40000,$Y1235)&amp;"")</f>
        <v/>
      </c>
    </row>
    <row r="1236">
      <c r="Y1236" s="47">
        <f>IFERROR(MATCH(Library!M1236,$M$6:$M$40000,0),"")</f>
        <v/>
      </c>
      <c r="Z1236">
        <f>IF($Y1236="","",INDEX($C$6:$C$40000,$Y1236)&amp;"")</f>
        <v/>
      </c>
      <c r="AA1236" s="59">
        <f>IF($Y1236="","",IF(INDEX($D$6:$D$40000,$Y1236)="","",INDEX($D$6:$D$40000,$Y1236)))</f>
        <v/>
      </c>
      <c r="AB1236">
        <f>IF($Y1236="","",INDEX($L$6:$L$40000,$Y1236)&amp;"")</f>
        <v/>
      </c>
    </row>
    <row r="1237">
      <c r="Y1237" s="47">
        <f>IFERROR(MATCH(Library!M1237,$M$6:$M$40000,0),"")</f>
        <v/>
      </c>
      <c r="Z1237">
        <f>IF($Y1237="","",INDEX($C$6:$C$40000,$Y1237)&amp;"")</f>
        <v/>
      </c>
      <c r="AA1237" s="59">
        <f>IF($Y1237="","",IF(INDEX($D$6:$D$40000,$Y1237)="","",INDEX($D$6:$D$40000,$Y1237)))</f>
        <v/>
      </c>
      <c r="AB1237">
        <f>IF($Y1237="","",INDEX($L$6:$L$40000,$Y1237)&amp;"")</f>
        <v/>
      </c>
    </row>
    <row r="1238">
      <c r="Y1238" s="47">
        <f>IFERROR(MATCH(Library!M1238,$M$6:$M$40000,0),"")</f>
        <v/>
      </c>
      <c r="Z1238">
        <f>IF($Y1238="","",INDEX($C$6:$C$40000,$Y1238)&amp;"")</f>
        <v/>
      </c>
      <c r="AA1238" s="59">
        <f>IF($Y1238="","",IF(INDEX($D$6:$D$40000,$Y1238)="","",INDEX($D$6:$D$40000,$Y1238)))</f>
        <v/>
      </c>
      <c r="AB1238">
        <f>IF($Y1238="","",INDEX($L$6:$L$40000,$Y1238)&amp;"")</f>
        <v/>
      </c>
    </row>
    <row r="1239">
      <c r="Y1239" s="47">
        <f>IFERROR(MATCH(Library!M1239,$M$6:$M$40000,0),"")</f>
        <v/>
      </c>
      <c r="Z1239">
        <f>IF($Y1239="","",INDEX($C$6:$C$40000,$Y1239)&amp;"")</f>
        <v/>
      </c>
      <c r="AA1239" s="59">
        <f>IF($Y1239="","",IF(INDEX($D$6:$D$40000,$Y1239)="","",INDEX($D$6:$D$40000,$Y1239)))</f>
        <v/>
      </c>
      <c r="AB1239">
        <f>IF($Y1239="","",INDEX($L$6:$L$40000,$Y1239)&amp;"")</f>
        <v/>
      </c>
    </row>
    <row r="1240">
      <c r="Y1240" s="47">
        <f>IFERROR(MATCH(Library!M1240,$M$6:$M$40000,0),"")</f>
        <v/>
      </c>
      <c r="Z1240">
        <f>IF($Y1240="","",INDEX($C$6:$C$40000,$Y1240)&amp;"")</f>
        <v/>
      </c>
      <c r="AA1240" s="59">
        <f>IF($Y1240="","",IF(INDEX($D$6:$D$40000,$Y1240)="","",INDEX($D$6:$D$40000,$Y1240)))</f>
        <v/>
      </c>
      <c r="AB1240">
        <f>IF($Y1240="","",INDEX($L$6:$L$40000,$Y1240)&amp;"")</f>
        <v/>
      </c>
    </row>
    <row r="1241">
      <c r="Y1241" s="47">
        <f>IFERROR(MATCH(Library!M1241,$M$6:$M$40000,0),"")</f>
        <v/>
      </c>
      <c r="Z1241">
        <f>IF($Y1241="","",INDEX($C$6:$C$40000,$Y1241)&amp;"")</f>
        <v/>
      </c>
      <c r="AA1241" s="59">
        <f>IF($Y1241="","",IF(INDEX($D$6:$D$40000,$Y1241)="","",INDEX($D$6:$D$40000,$Y1241)))</f>
        <v/>
      </c>
      <c r="AB1241">
        <f>IF($Y1241="","",INDEX($L$6:$L$40000,$Y1241)&amp;"")</f>
        <v/>
      </c>
    </row>
    <row r="1242">
      <c r="Y1242" s="47">
        <f>IFERROR(MATCH(Library!M1242,$M$6:$M$40000,0),"")</f>
        <v/>
      </c>
      <c r="Z1242">
        <f>IF($Y1242="","",INDEX($C$6:$C$40000,$Y1242)&amp;"")</f>
        <v/>
      </c>
      <c r="AA1242" s="59">
        <f>IF($Y1242="","",IF(INDEX($D$6:$D$40000,$Y1242)="","",INDEX($D$6:$D$40000,$Y1242)))</f>
        <v/>
      </c>
      <c r="AB1242">
        <f>IF($Y1242="","",INDEX($L$6:$L$40000,$Y1242)&amp;"")</f>
        <v/>
      </c>
    </row>
    <row r="1243">
      <c r="Y1243" s="47">
        <f>IFERROR(MATCH(Library!M1243,$M$6:$M$40000,0),"")</f>
        <v/>
      </c>
      <c r="Z1243">
        <f>IF($Y1243="","",INDEX($C$6:$C$40000,$Y1243)&amp;"")</f>
        <v/>
      </c>
      <c r="AA1243" s="59">
        <f>IF($Y1243="","",IF(INDEX($D$6:$D$40000,$Y1243)="","",INDEX($D$6:$D$40000,$Y1243)))</f>
        <v/>
      </c>
      <c r="AB1243">
        <f>IF($Y1243="","",INDEX($L$6:$L$40000,$Y1243)&amp;"")</f>
        <v/>
      </c>
    </row>
    <row r="1244">
      <c r="Y1244" s="47">
        <f>IFERROR(MATCH(Library!M1244,$M$6:$M$40000,0),"")</f>
        <v/>
      </c>
      <c r="Z1244">
        <f>IF($Y1244="","",INDEX($C$6:$C$40000,$Y1244)&amp;"")</f>
        <v/>
      </c>
      <c r="AA1244" s="59">
        <f>IF($Y1244="","",IF(INDEX($D$6:$D$40000,$Y1244)="","",INDEX($D$6:$D$40000,$Y1244)))</f>
        <v/>
      </c>
      <c r="AB1244">
        <f>IF($Y1244="","",INDEX($L$6:$L$40000,$Y1244)&amp;"")</f>
        <v/>
      </c>
    </row>
    <row r="1245">
      <c r="Y1245" s="47">
        <f>IFERROR(MATCH(Library!M1245,$M$6:$M$40000,0),"")</f>
        <v/>
      </c>
      <c r="Z1245">
        <f>IF($Y1245="","",INDEX($C$6:$C$40000,$Y1245)&amp;"")</f>
        <v/>
      </c>
      <c r="AA1245" s="59">
        <f>IF($Y1245="","",IF(INDEX($D$6:$D$40000,$Y1245)="","",INDEX($D$6:$D$40000,$Y1245)))</f>
        <v/>
      </c>
      <c r="AB1245">
        <f>IF($Y1245="","",INDEX($L$6:$L$40000,$Y1245)&amp;"")</f>
        <v/>
      </c>
    </row>
    <row r="1246">
      <c r="Y1246" s="47">
        <f>IFERROR(MATCH(Library!M1246,$M$6:$M$40000,0),"")</f>
        <v/>
      </c>
      <c r="Z1246">
        <f>IF($Y1246="","",INDEX($C$6:$C$40000,$Y1246)&amp;"")</f>
        <v/>
      </c>
      <c r="AA1246" s="59">
        <f>IF($Y1246="","",IF(INDEX($D$6:$D$40000,$Y1246)="","",INDEX($D$6:$D$40000,$Y1246)))</f>
        <v/>
      </c>
      <c r="AB1246">
        <f>IF($Y1246="","",INDEX($L$6:$L$40000,$Y1246)&amp;"")</f>
        <v/>
      </c>
    </row>
    <row r="1247">
      <c r="Y1247" s="47">
        <f>IFERROR(MATCH(Library!M1247,$M$6:$M$40000,0),"")</f>
        <v/>
      </c>
      <c r="Z1247">
        <f>IF($Y1247="","",INDEX($C$6:$C$40000,$Y1247)&amp;"")</f>
        <v/>
      </c>
      <c r="AA1247" s="59">
        <f>IF($Y1247="","",IF(INDEX($D$6:$D$40000,$Y1247)="","",INDEX($D$6:$D$40000,$Y1247)))</f>
        <v/>
      </c>
      <c r="AB1247">
        <f>IF($Y1247="","",INDEX($L$6:$L$40000,$Y1247)&amp;"")</f>
        <v/>
      </c>
    </row>
    <row r="1248">
      <c r="Y1248" s="47">
        <f>IFERROR(MATCH(Library!M1248,$M$6:$M$40000,0),"")</f>
        <v/>
      </c>
      <c r="Z1248">
        <f>IF($Y1248="","",INDEX($C$6:$C$40000,$Y1248)&amp;"")</f>
        <v/>
      </c>
      <c r="AA1248" s="59">
        <f>IF($Y1248="","",IF(INDEX($D$6:$D$40000,$Y1248)="","",INDEX($D$6:$D$40000,$Y1248)))</f>
        <v/>
      </c>
      <c r="AB1248">
        <f>IF($Y1248="","",INDEX($L$6:$L$40000,$Y1248)&amp;"")</f>
        <v/>
      </c>
    </row>
    <row r="1249">
      <c r="Y1249" s="47">
        <f>IFERROR(MATCH(Library!M1249,$M$6:$M$40000,0),"")</f>
        <v/>
      </c>
      <c r="Z1249">
        <f>IF($Y1249="","",INDEX($C$6:$C$40000,$Y1249)&amp;"")</f>
        <v/>
      </c>
      <c r="AA1249" s="59">
        <f>IF($Y1249="","",IF(INDEX($D$6:$D$40000,$Y1249)="","",INDEX($D$6:$D$40000,$Y1249)))</f>
        <v/>
      </c>
      <c r="AB1249">
        <f>IF($Y1249="","",INDEX($L$6:$L$40000,$Y1249)&amp;"")</f>
        <v/>
      </c>
    </row>
    <row r="1250">
      <c r="Y1250" s="47">
        <f>IFERROR(MATCH(Library!M1250,$M$6:$M$40000,0),"")</f>
        <v/>
      </c>
      <c r="Z1250">
        <f>IF($Y1250="","",INDEX($C$6:$C$40000,$Y1250)&amp;"")</f>
        <v/>
      </c>
      <c r="AA1250" s="59">
        <f>IF($Y1250="","",IF(INDEX($D$6:$D$40000,$Y1250)="","",INDEX($D$6:$D$40000,$Y1250)))</f>
        <v/>
      </c>
      <c r="AB1250">
        <f>IF($Y1250="","",INDEX($L$6:$L$40000,$Y1250)&amp;"")</f>
        <v/>
      </c>
    </row>
    <row r="1251">
      <c r="Y1251" s="47">
        <f>IFERROR(MATCH(Library!M1251,$M$6:$M$40000,0),"")</f>
        <v/>
      </c>
      <c r="Z1251">
        <f>IF($Y1251="","",INDEX($C$6:$C$40000,$Y1251)&amp;"")</f>
        <v/>
      </c>
      <c r="AA1251" s="59">
        <f>IF($Y1251="","",IF(INDEX($D$6:$D$40000,$Y1251)="","",INDEX($D$6:$D$40000,$Y1251)))</f>
        <v/>
      </c>
      <c r="AB1251">
        <f>IF($Y1251="","",INDEX($L$6:$L$40000,$Y1251)&amp;"")</f>
        <v/>
      </c>
    </row>
    <row r="1252">
      <c r="Y1252" s="47">
        <f>IFERROR(MATCH(Library!M1252,$M$6:$M$40000,0),"")</f>
        <v/>
      </c>
      <c r="Z1252">
        <f>IF($Y1252="","",INDEX($C$6:$C$40000,$Y1252)&amp;"")</f>
        <v/>
      </c>
      <c r="AA1252" s="59">
        <f>IF($Y1252="","",IF(INDEX($D$6:$D$40000,$Y1252)="","",INDEX($D$6:$D$40000,$Y1252)))</f>
        <v/>
      </c>
      <c r="AB1252">
        <f>IF($Y1252="","",INDEX($L$6:$L$40000,$Y1252)&amp;"")</f>
        <v/>
      </c>
    </row>
    <row r="1253">
      <c r="Y1253" s="47">
        <f>IFERROR(MATCH(Library!M1253,$M$6:$M$40000,0),"")</f>
        <v/>
      </c>
      <c r="Z1253">
        <f>IF($Y1253="","",INDEX($C$6:$C$40000,$Y1253)&amp;"")</f>
        <v/>
      </c>
      <c r="AA1253" s="59">
        <f>IF($Y1253="","",IF(INDEX($D$6:$D$40000,$Y1253)="","",INDEX($D$6:$D$40000,$Y1253)))</f>
        <v/>
      </c>
      <c r="AB1253">
        <f>IF($Y1253="","",INDEX($L$6:$L$40000,$Y1253)&amp;"")</f>
        <v/>
      </c>
    </row>
    <row r="1254">
      <c r="Y1254" s="47">
        <f>IFERROR(MATCH(Library!M1254,$M$6:$M$40000,0),"")</f>
        <v/>
      </c>
      <c r="Z1254">
        <f>IF($Y1254="","",INDEX($C$6:$C$40000,$Y1254)&amp;"")</f>
        <v/>
      </c>
      <c r="AA1254" s="59">
        <f>IF($Y1254="","",IF(INDEX($D$6:$D$40000,$Y1254)="","",INDEX($D$6:$D$40000,$Y1254)))</f>
        <v/>
      </c>
      <c r="AB1254">
        <f>IF($Y1254="","",INDEX($L$6:$L$40000,$Y1254)&amp;"")</f>
        <v/>
      </c>
    </row>
    <row r="1255">
      <c r="Y1255" s="47">
        <f>IFERROR(MATCH(Library!M1255,$M$6:$M$40000,0),"")</f>
        <v/>
      </c>
      <c r="Z1255">
        <f>IF($Y1255="","",INDEX($C$6:$C$40000,$Y1255)&amp;"")</f>
        <v/>
      </c>
      <c r="AA1255" s="59">
        <f>IF($Y1255="","",IF(INDEX($D$6:$D$40000,$Y1255)="","",INDEX($D$6:$D$40000,$Y1255)))</f>
        <v/>
      </c>
      <c r="AB1255">
        <f>IF($Y1255="","",INDEX($L$6:$L$40000,$Y1255)&amp;"")</f>
        <v/>
      </c>
    </row>
    <row r="1256">
      <c r="Y1256" s="47">
        <f>IFERROR(MATCH(Library!M1256,$M$6:$M$40000,0),"")</f>
        <v/>
      </c>
      <c r="Z1256">
        <f>IF($Y1256="","",INDEX($C$6:$C$40000,$Y1256)&amp;"")</f>
        <v/>
      </c>
      <c r="AA1256" s="59">
        <f>IF($Y1256="","",IF(INDEX($D$6:$D$40000,$Y1256)="","",INDEX($D$6:$D$40000,$Y1256)))</f>
        <v/>
      </c>
      <c r="AB1256">
        <f>IF($Y1256="","",INDEX($L$6:$L$40000,$Y1256)&amp;"")</f>
        <v/>
      </c>
    </row>
    <row r="1257">
      <c r="Y1257" s="47">
        <f>IFERROR(MATCH(Library!M1257,$M$6:$M$40000,0),"")</f>
        <v/>
      </c>
      <c r="Z1257">
        <f>IF($Y1257="","",INDEX($C$6:$C$40000,$Y1257)&amp;"")</f>
        <v/>
      </c>
      <c r="AA1257" s="59">
        <f>IF($Y1257="","",IF(INDEX($D$6:$D$40000,$Y1257)="","",INDEX($D$6:$D$40000,$Y1257)))</f>
        <v/>
      </c>
      <c r="AB1257">
        <f>IF($Y1257="","",INDEX($L$6:$L$40000,$Y1257)&amp;"")</f>
        <v/>
      </c>
    </row>
    <row r="1258">
      <c r="Y1258" s="47">
        <f>IFERROR(MATCH(Library!M1258,$M$6:$M$40000,0),"")</f>
        <v/>
      </c>
      <c r="Z1258">
        <f>IF($Y1258="","",INDEX($C$6:$C$40000,$Y1258)&amp;"")</f>
        <v/>
      </c>
      <c r="AA1258" s="59">
        <f>IF($Y1258="","",IF(INDEX($D$6:$D$40000,$Y1258)="","",INDEX($D$6:$D$40000,$Y1258)))</f>
        <v/>
      </c>
      <c r="AB1258">
        <f>IF($Y1258="","",INDEX($L$6:$L$40000,$Y1258)&amp;"")</f>
        <v/>
      </c>
    </row>
    <row r="1259">
      <c r="Y1259" s="47">
        <f>IFERROR(MATCH(Library!M1259,$M$6:$M$40000,0),"")</f>
        <v/>
      </c>
      <c r="Z1259">
        <f>IF($Y1259="","",INDEX($C$6:$C$40000,$Y1259)&amp;"")</f>
        <v/>
      </c>
      <c r="AA1259" s="59">
        <f>IF($Y1259="","",IF(INDEX($D$6:$D$40000,$Y1259)="","",INDEX($D$6:$D$40000,$Y1259)))</f>
        <v/>
      </c>
      <c r="AB1259">
        <f>IF($Y1259="","",INDEX($L$6:$L$40000,$Y1259)&amp;"")</f>
        <v/>
      </c>
    </row>
    <row r="1260">
      <c r="Y1260" s="47">
        <f>IFERROR(MATCH(Library!M1260,$M$6:$M$40000,0),"")</f>
        <v/>
      </c>
      <c r="Z1260">
        <f>IF($Y1260="","",INDEX($C$6:$C$40000,$Y1260)&amp;"")</f>
        <v/>
      </c>
      <c r="AA1260" s="59">
        <f>IF($Y1260="","",IF(INDEX($D$6:$D$40000,$Y1260)="","",INDEX($D$6:$D$40000,$Y1260)))</f>
        <v/>
      </c>
      <c r="AB1260">
        <f>IF($Y1260="","",INDEX($L$6:$L$40000,$Y1260)&amp;"")</f>
        <v/>
      </c>
    </row>
    <row r="1261">
      <c r="Y1261" s="47">
        <f>IFERROR(MATCH(Library!M1261,$M$6:$M$40000,0),"")</f>
        <v/>
      </c>
      <c r="Z1261">
        <f>IF($Y1261="","",INDEX($C$6:$C$40000,$Y1261)&amp;"")</f>
        <v/>
      </c>
      <c r="AA1261" s="59">
        <f>IF($Y1261="","",IF(INDEX($D$6:$D$40000,$Y1261)="","",INDEX($D$6:$D$40000,$Y1261)))</f>
        <v/>
      </c>
      <c r="AB1261">
        <f>IF($Y1261="","",INDEX($L$6:$L$40000,$Y1261)&amp;"")</f>
        <v/>
      </c>
    </row>
    <row r="1262">
      <c r="Y1262" s="47">
        <f>IFERROR(MATCH(Library!M1262,$M$6:$M$40000,0),"")</f>
        <v/>
      </c>
      <c r="Z1262">
        <f>IF($Y1262="","",INDEX($C$6:$C$40000,$Y1262)&amp;"")</f>
        <v/>
      </c>
      <c r="AA1262" s="59">
        <f>IF($Y1262="","",IF(INDEX($D$6:$D$40000,$Y1262)="","",INDEX($D$6:$D$40000,$Y1262)))</f>
        <v/>
      </c>
      <c r="AB1262">
        <f>IF($Y1262="","",INDEX($L$6:$L$40000,$Y1262)&amp;"")</f>
        <v/>
      </c>
    </row>
    <row r="1263">
      <c r="Y1263" s="47">
        <f>IFERROR(MATCH(Library!M1263,$M$6:$M$40000,0),"")</f>
        <v/>
      </c>
      <c r="Z1263">
        <f>IF($Y1263="","",INDEX($C$6:$C$40000,$Y1263)&amp;"")</f>
        <v/>
      </c>
      <c r="AA1263" s="59">
        <f>IF($Y1263="","",IF(INDEX($D$6:$D$40000,$Y1263)="","",INDEX($D$6:$D$40000,$Y1263)))</f>
        <v/>
      </c>
      <c r="AB1263">
        <f>IF($Y1263="","",INDEX($L$6:$L$40000,$Y1263)&amp;"")</f>
        <v/>
      </c>
    </row>
    <row r="1264">
      <c r="Y1264" s="47">
        <f>IFERROR(MATCH(Library!M1264,$M$6:$M$40000,0),"")</f>
        <v/>
      </c>
      <c r="Z1264">
        <f>IF($Y1264="","",INDEX($C$6:$C$40000,$Y1264)&amp;"")</f>
        <v/>
      </c>
      <c r="AA1264" s="59">
        <f>IF($Y1264="","",IF(INDEX($D$6:$D$40000,$Y1264)="","",INDEX($D$6:$D$40000,$Y1264)))</f>
        <v/>
      </c>
      <c r="AB1264">
        <f>IF($Y1264="","",INDEX($L$6:$L$40000,$Y1264)&amp;"")</f>
        <v/>
      </c>
    </row>
    <row r="1265">
      <c r="Y1265" s="47">
        <f>IFERROR(MATCH(Library!M1265,$M$6:$M$40000,0),"")</f>
        <v/>
      </c>
      <c r="Z1265">
        <f>IF($Y1265="","",INDEX($C$6:$C$40000,$Y1265)&amp;"")</f>
        <v/>
      </c>
      <c r="AA1265" s="59">
        <f>IF($Y1265="","",IF(INDEX($D$6:$D$40000,$Y1265)="","",INDEX($D$6:$D$40000,$Y1265)))</f>
        <v/>
      </c>
      <c r="AB1265">
        <f>IF($Y1265="","",INDEX($L$6:$L$40000,$Y1265)&amp;"")</f>
        <v/>
      </c>
    </row>
    <row r="1266">
      <c r="Y1266" s="47">
        <f>IFERROR(MATCH(Library!M1266,$M$6:$M$40000,0),"")</f>
        <v/>
      </c>
      <c r="Z1266">
        <f>IF($Y1266="","",INDEX($C$6:$C$40000,$Y1266)&amp;"")</f>
        <v/>
      </c>
      <c r="AA1266" s="59">
        <f>IF($Y1266="","",IF(INDEX($D$6:$D$40000,$Y1266)="","",INDEX($D$6:$D$40000,$Y1266)))</f>
        <v/>
      </c>
      <c r="AB1266">
        <f>IF($Y1266="","",INDEX($L$6:$L$40000,$Y1266)&amp;"")</f>
        <v/>
      </c>
    </row>
    <row r="1267">
      <c r="Y1267" s="47">
        <f>IFERROR(MATCH(Library!M1267,$M$6:$M$40000,0),"")</f>
        <v/>
      </c>
      <c r="Z1267">
        <f>IF($Y1267="","",INDEX($C$6:$C$40000,$Y1267)&amp;"")</f>
        <v/>
      </c>
      <c r="AA1267" s="59">
        <f>IF($Y1267="","",IF(INDEX($D$6:$D$40000,$Y1267)="","",INDEX($D$6:$D$40000,$Y1267)))</f>
        <v/>
      </c>
      <c r="AB1267">
        <f>IF($Y1267="","",INDEX($L$6:$L$40000,$Y1267)&amp;"")</f>
        <v/>
      </c>
    </row>
    <row r="1268">
      <c r="Y1268" s="47">
        <f>IFERROR(MATCH(Library!M1268,$M$6:$M$40000,0),"")</f>
        <v/>
      </c>
      <c r="Z1268">
        <f>IF($Y1268="","",INDEX($C$6:$C$40000,$Y1268)&amp;"")</f>
        <v/>
      </c>
      <c r="AA1268" s="59">
        <f>IF($Y1268="","",IF(INDEX($D$6:$D$40000,$Y1268)="","",INDEX($D$6:$D$40000,$Y1268)))</f>
        <v/>
      </c>
      <c r="AB1268">
        <f>IF($Y1268="","",INDEX($L$6:$L$40000,$Y1268)&amp;"")</f>
        <v/>
      </c>
    </row>
    <row r="1269">
      <c r="Y1269" s="47">
        <f>IFERROR(MATCH(Library!M1269,$M$6:$M$40000,0),"")</f>
        <v/>
      </c>
      <c r="Z1269">
        <f>IF($Y1269="","",INDEX($C$6:$C$40000,$Y1269)&amp;"")</f>
        <v/>
      </c>
      <c r="AA1269" s="59">
        <f>IF($Y1269="","",IF(INDEX($D$6:$D$40000,$Y1269)="","",INDEX($D$6:$D$40000,$Y1269)))</f>
        <v/>
      </c>
      <c r="AB1269">
        <f>IF($Y1269="","",INDEX($L$6:$L$40000,$Y1269)&amp;"")</f>
        <v/>
      </c>
    </row>
    <row r="1270">
      <c r="Y1270" s="47">
        <f>IFERROR(MATCH(Library!M1270,$M$6:$M$40000,0),"")</f>
        <v/>
      </c>
      <c r="Z1270">
        <f>IF($Y1270="","",INDEX($C$6:$C$40000,$Y1270)&amp;"")</f>
        <v/>
      </c>
      <c r="AA1270" s="59">
        <f>IF($Y1270="","",IF(INDEX($D$6:$D$40000,$Y1270)="","",INDEX($D$6:$D$40000,$Y1270)))</f>
        <v/>
      </c>
      <c r="AB1270">
        <f>IF($Y1270="","",INDEX($L$6:$L$40000,$Y1270)&amp;"")</f>
        <v/>
      </c>
    </row>
    <row r="1271">
      <c r="Y1271" s="47">
        <f>IFERROR(MATCH(Library!M1271,$M$6:$M$40000,0),"")</f>
        <v/>
      </c>
      <c r="Z1271">
        <f>IF($Y1271="","",INDEX($C$6:$C$40000,$Y1271)&amp;"")</f>
        <v/>
      </c>
      <c r="AA1271" s="59">
        <f>IF($Y1271="","",IF(INDEX($D$6:$D$40000,$Y1271)="","",INDEX($D$6:$D$40000,$Y1271)))</f>
        <v/>
      </c>
      <c r="AB1271">
        <f>IF($Y1271="","",INDEX($L$6:$L$40000,$Y1271)&amp;"")</f>
        <v/>
      </c>
    </row>
    <row r="1272">
      <c r="Y1272" s="47">
        <f>IFERROR(MATCH(Library!M1272,$M$6:$M$40000,0),"")</f>
        <v/>
      </c>
      <c r="Z1272">
        <f>IF($Y1272="","",INDEX($C$6:$C$40000,$Y1272)&amp;"")</f>
        <v/>
      </c>
      <c r="AA1272" s="59">
        <f>IF($Y1272="","",IF(INDEX($D$6:$D$40000,$Y1272)="","",INDEX($D$6:$D$40000,$Y1272)))</f>
        <v/>
      </c>
      <c r="AB1272">
        <f>IF($Y1272="","",INDEX($L$6:$L$40000,$Y1272)&amp;"")</f>
        <v/>
      </c>
    </row>
    <row r="1273">
      <c r="Y1273" s="47">
        <f>IFERROR(MATCH(Library!M1273,$M$6:$M$40000,0),"")</f>
        <v/>
      </c>
      <c r="Z1273">
        <f>IF($Y1273="","",INDEX($C$6:$C$40000,$Y1273)&amp;"")</f>
        <v/>
      </c>
      <c r="AA1273" s="59">
        <f>IF($Y1273="","",IF(INDEX($D$6:$D$40000,$Y1273)="","",INDEX($D$6:$D$40000,$Y1273)))</f>
        <v/>
      </c>
      <c r="AB1273">
        <f>IF($Y1273="","",INDEX($L$6:$L$40000,$Y1273)&amp;"")</f>
        <v/>
      </c>
    </row>
    <row r="1274">
      <c r="Y1274" s="47">
        <f>IFERROR(MATCH(Library!M1274,$M$6:$M$40000,0),"")</f>
        <v/>
      </c>
      <c r="Z1274">
        <f>IF($Y1274="","",INDEX($C$6:$C$40000,$Y1274)&amp;"")</f>
        <v/>
      </c>
      <c r="AA1274" s="59">
        <f>IF($Y1274="","",IF(INDEX($D$6:$D$40000,$Y1274)="","",INDEX($D$6:$D$40000,$Y1274)))</f>
        <v/>
      </c>
      <c r="AB1274">
        <f>IF($Y1274="","",INDEX($L$6:$L$40000,$Y1274)&amp;"")</f>
        <v/>
      </c>
    </row>
    <row r="1275">
      <c r="Y1275" s="47">
        <f>IFERROR(MATCH(Library!M1275,$M$6:$M$40000,0),"")</f>
        <v/>
      </c>
      <c r="Z1275">
        <f>IF($Y1275="","",INDEX($C$6:$C$40000,$Y1275)&amp;"")</f>
        <v/>
      </c>
      <c r="AA1275" s="59">
        <f>IF($Y1275="","",IF(INDEX($D$6:$D$40000,$Y1275)="","",INDEX($D$6:$D$40000,$Y1275)))</f>
        <v/>
      </c>
      <c r="AB1275">
        <f>IF($Y1275="","",INDEX($L$6:$L$40000,$Y1275)&amp;"")</f>
        <v/>
      </c>
    </row>
    <row r="1276">
      <c r="Y1276" s="47">
        <f>IFERROR(MATCH(Library!M1276,$M$6:$M$40000,0),"")</f>
        <v/>
      </c>
      <c r="Z1276">
        <f>IF($Y1276="","",INDEX($C$6:$C$40000,$Y1276)&amp;"")</f>
        <v/>
      </c>
      <c r="AA1276" s="59">
        <f>IF($Y1276="","",IF(INDEX($D$6:$D$40000,$Y1276)="","",INDEX($D$6:$D$40000,$Y1276)))</f>
        <v/>
      </c>
      <c r="AB1276">
        <f>IF($Y1276="","",INDEX($L$6:$L$40000,$Y1276)&amp;"")</f>
        <v/>
      </c>
    </row>
    <row r="1277">
      <c r="Y1277" s="47">
        <f>IFERROR(MATCH(Library!M1277,$M$6:$M$40000,0),"")</f>
        <v/>
      </c>
      <c r="Z1277">
        <f>IF($Y1277="","",INDEX($C$6:$C$40000,$Y1277)&amp;"")</f>
        <v/>
      </c>
      <c r="AA1277" s="59">
        <f>IF($Y1277="","",IF(INDEX($D$6:$D$40000,$Y1277)="","",INDEX($D$6:$D$40000,$Y1277)))</f>
        <v/>
      </c>
      <c r="AB1277">
        <f>IF($Y1277="","",INDEX($L$6:$L$40000,$Y1277)&amp;"")</f>
        <v/>
      </c>
    </row>
    <row r="1278">
      <c r="Y1278" s="47">
        <f>IFERROR(MATCH(Library!M1278,$M$6:$M$40000,0),"")</f>
        <v/>
      </c>
      <c r="Z1278">
        <f>IF($Y1278="","",INDEX($C$6:$C$40000,$Y1278)&amp;"")</f>
        <v/>
      </c>
      <c r="AA1278" s="59">
        <f>IF($Y1278="","",IF(INDEX($D$6:$D$40000,$Y1278)="","",INDEX($D$6:$D$40000,$Y1278)))</f>
        <v/>
      </c>
      <c r="AB1278">
        <f>IF($Y1278="","",INDEX($L$6:$L$40000,$Y1278)&amp;"")</f>
        <v/>
      </c>
    </row>
    <row r="1279">
      <c r="Y1279" s="47">
        <f>IFERROR(MATCH(Library!M1279,$M$6:$M$40000,0),"")</f>
        <v/>
      </c>
      <c r="Z1279">
        <f>IF($Y1279="","",INDEX($C$6:$C$40000,$Y1279)&amp;"")</f>
        <v/>
      </c>
      <c r="AA1279" s="59">
        <f>IF($Y1279="","",IF(INDEX($D$6:$D$40000,$Y1279)="","",INDEX($D$6:$D$40000,$Y1279)))</f>
        <v/>
      </c>
      <c r="AB1279">
        <f>IF($Y1279="","",INDEX($L$6:$L$40000,$Y1279)&amp;"")</f>
        <v/>
      </c>
    </row>
    <row r="1280">
      <c r="Y1280" s="47">
        <f>IFERROR(MATCH(Library!M1280,$M$6:$M$40000,0),"")</f>
        <v/>
      </c>
      <c r="Z1280">
        <f>IF($Y1280="","",INDEX($C$6:$C$40000,$Y1280)&amp;"")</f>
        <v/>
      </c>
      <c r="AA1280" s="59">
        <f>IF($Y1280="","",IF(INDEX($D$6:$D$40000,$Y1280)="","",INDEX($D$6:$D$40000,$Y1280)))</f>
        <v/>
      </c>
      <c r="AB1280">
        <f>IF($Y1280="","",INDEX($L$6:$L$40000,$Y1280)&amp;"")</f>
        <v/>
      </c>
    </row>
    <row r="1281">
      <c r="Y1281" s="47">
        <f>IFERROR(MATCH(Library!M1281,$M$6:$M$40000,0),"")</f>
        <v/>
      </c>
      <c r="Z1281">
        <f>IF($Y1281="","",INDEX($C$6:$C$40000,$Y1281)&amp;"")</f>
        <v/>
      </c>
      <c r="AA1281" s="59">
        <f>IF($Y1281="","",IF(INDEX($D$6:$D$40000,$Y1281)="","",INDEX($D$6:$D$40000,$Y1281)))</f>
        <v/>
      </c>
      <c r="AB1281">
        <f>IF($Y1281="","",INDEX($L$6:$L$40000,$Y1281)&amp;"")</f>
        <v/>
      </c>
    </row>
    <row r="1282">
      <c r="Y1282" s="47">
        <f>IFERROR(MATCH(Library!M1282,$M$6:$M$40000,0),"")</f>
        <v/>
      </c>
      <c r="Z1282">
        <f>IF($Y1282="","",INDEX($C$6:$C$40000,$Y1282)&amp;"")</f>
        <v/>
      </c>
      <c r="AA1282" s="59">
        <f>IF($Y1282="","",IF(INDEX($D$6:$D$40000,$Y1282)="","",INDEX($D$6:$D$40000,$Y1282)))</f>
        <v/>
      </c>
      <c r="AB1282">
        <f>IF($Y1282="","",INDEX($L$6:$L$40000,$Y1282)&amp;"")</f>
        <v/>
      </c>
    </row>
    <row r="1283">
      <c r="Y1283" s="47">
        <f>IFERROR(MATCH(Library!M1283,$M$6:$M$40000,0),"")</f>
        <v/>
      </c>
      <c r="Z1283">
        <f>IF($Y1283="","",INDEX($C$6:$C$40000,$Y1283)&amp;"")</f>
        <v/>
      </c>
      <c r="AA1283" s="59">
        <f>IF($Y1283="","",IF(INDEX($D$6:$D$40000,$Y1283)="","",INDEX($D$6:$D$40000,$Y1283)))</f>
        <v/>
      </c>
      <c r="AB1283">
        <f>IF($Y1283="","",INDEX($L$6:$L$40000,$Y1283)&amp;"")</f>
        <v/>
      </c>
    </row>
    <row r="1284">
      <c r="Y1284" s="47">
        <f>IFERROR(MATCH(Library!M1284,$M$6:$M$40000,0),"")</f>
        <v/>
      </c>
      <c r="Z1284">
        <f>IF($Y1284="","",INDEX($C$6:$C$40000,$Y1284)&amp;"")</f>
        <v/>
      </c>
      <c r="AA1284" s="59">
        <f>IF($Y1284="","",IF(INDEX($D$6:$D$40000,$Y1284)="","",INDEX($D$6:$D$40000,$Y1284)))</f>
        <v/>
      </c>
      <c r="AB1284">
        <f>IF($Y1284="","",INDEX($L$6:$L$40000,$Y1284)&amp;"")</f>
        <v/>
      </c>
    </row>
    <row r="1285">
      <c r="Y1285" s="47">
        <f>IFERROR(MATCH(Library!M1285,$M$6:$M$40000,0),"")</f>
        <v/>
      </c>
      <c r="Z1285">
        <f>IF($Y1285="","",INDEX($C$6:$C$40000,$Y1285)&amp;"")</f>
        <v/>
      </c>
      <c r="AA1285" s="59">
        <f>IF($Y1285="","",IF(INDEX($D$6:$D$40000,$Y1285)="","",INDEX($D$6:$D$40000,$Y1285)))</f>
        <v/>
      </c>
      <c r="AB1285">
        <f>IF($Y1285="","",INDEX($L$6:$L$40000,$Y1285)&amp;"")</f>
        <v/>
      </c>
    </row>
    <row r="1286">
      <c r="Y1286" s="47">
        <f>IFERROR(MATCH(Library!M1286,$M$6:$M$40000,0),"")</f>
        <v/>
      </c>
      <c r="Z1286">
        <f>IF($Y1286="","",INDEX($C$6:$C$40000,$Y1286)&amp;"")</f>
        <v/>
      </c>
      <c r="AA1286" s="59">
        <f>IF($Y1286="","",IF(INDEX($D$6:$D$40000,$Y1286)="","",INDEX($D$6:$D$40000,$Y1286)))</f>
        <v/>
      </c>
      <c r="AB1286">
        <f>IF($Y1286="","",INDEX($L$6:$L$40000,$Y1286)&amp;"")</f>
        <v/>
      </c>
    </row>
    <row r="1287">
      <c r="Y1287" s="47">
        <f>IFERROR(MATCH(Library!M1287,$M$6:$M$40000,0),"")</f>
        <v/>
      </c>
      <c r="Z1287">
        <f>IF($Y1287="","",INDEX($C$6:$C$40000,$Y1287)&amp;"")</f>
        <v/>
      </c>
      <c r="AA1287" s="59">
        <f>IF($Y1287="","",IF(INDEX($D$6:$D$40000,$Y1287)="","",INDEX($D$6:$D$40000,$Y1287)))</f>
        <v/>
      </c>
      <c r="AB1287">
        <f>IF($Y1287="","",INDEX($L$6:$L$40000,$Y1287)&amp;"")</f>
        <v/>
      </c>
    </row>
    <row r="1288">
      <c r="Y1288" s="47">
        <f>IFERROR(MATCH(Library!M1288,$M$6:$M$40000,0),"")</f>
        <v/>
      </c>
      <c r="Z1288">
        <f>IF($Y1288="","",INDEX($C$6:$C$40000,$Y1288)&amp;"")</f>
        <v/>
      </c>
      <c r="AA1288" s="59">
        <f>IF($Y1288="","",IF(INDEX($D$6:$D$40000,$Y1288)="","",INDEX($D$6:$D$40000,$Y1288)))</f>
        <v/>
      </c>
      <c r="AB1288">
        <f>IF($Y1288="","",INDEX($L$6:$L$40000,$Y1288)&amp;"")</f>
        <v/>
      </c>
    </row>
    <row r="1289">
      <c r="Y1289" s="47">
        <f>IFERROR(MATCH(Library!M1289,$M$6:$M$40000,0),"")</f>
        <v/>
      </c>
      <c r="Z1289">
        <f>IF($Y1289="","",INDEX($C$6:$C$40000,$Y1289)&amp;"")</f>
        <v/>
      </c>
      <c r="AA1289" s="59">
        <f>IF($Y1289="","",IF(INDEX($D$6:$D$40000,$Y1289)="","",INDEX($D$6:$D$40000,$Y1289)))</f>
        <v/>
      </c>
      <c r="AB1289">
        <f>IF($Y1289="","",INDEX($L$6:$L$40000,$Y1289)&amp;"")</f>
        <v/>
      </c>
    </row>
    <row r="1290">
      <c r="Y1290" s="47">
        <f>IFERROR(MATCH(Library!M1290,$M$6:$M$40000,0),"")</f>
        <v/>
      </c>
      <c r="Z1290">
        <f>IF($Y1290="","",INDEX($C$6:$C$40000,$Y1290)&amp;"")</f>
        <v/>
      </c>
      <c r="AA1290" s="59">
        <f>IF($Y1290="","",IF(INDEX($D$6:$D$40000,$Y1290)="","",INDEX($D$6:$D$40000,$Y1290)))</f>
        <v/>
      </c>
      <c r="AB1290">
        <f>IF($Y1290="","",INDEX($L$6:$L$40000,$Y1290)&amp;"")</f>
        <v/>
      </c>
    </row>
    <row r="1291">
      <c r="Y1291" s="47">
        <f>IFERROR(MATCH(Library!M1291,$M$6:$M$40000,0),"")</f>
        <v/>
      </c>
      <c r="Z1291">
        <f>IF($Y1291="","",INDEX($C$6:$C$40000,$Y1291)&amp;"")</f>
        <v/>
      </c>
      <c r="AA1291" s="59">
        <f>IF($Y1291="","",IF(INDEX($D$6:$D$40000,$Y1291)="","",INDEX($D$6:$D$40000,$Y1291)))</f>
        <v/>
      </c>
      <c r="AB1291">
        <f>IF($Y1291="","",INDEX($L$6:$L$40000,$Y1291)&amp;"")</f>
        <v/>
      </c>
    </row>
    <row r="1292">
      <c r="Y1292" s="47">
        <f>IFERROR(MATCH(Library!M1292,$M$6:$M$40000,0),"")</f>
        <v/>
      </c>
      <c r="Z1292">
        <f>IF($Y1292="","",INDEX($C$6:$C$40000,$Y1292)&amp;"")</f>
        <v/>
      </c>
      <c r="AA1292" s="59">
        <f>IF($Y1292="","",IF(INDEX($D$6:$D$40000,$Y1292)="","",INDEX($D$6:$D$40000,$Y1292)))</f>
        <v/>
      </c>
      <c r="AB1292">
        <f>IF($Y1292="","",INDEX($L$6:$L$40000,$Y1292)&amp;"")</f>
        <v/>
      </c>
    </row>
    <row r="1293">
      <c r="Y1293" s="47">
        <f>IFERROR(MATCH(Library!M1293,$M$6:$M$40000,0),"")</f>
        <v/>
      </c>
      <c r="Z1293">
        <f>IF($Y1293="","",INDEX($C$6:$C$40000,$Y1293)&amp;"")</f>
        <v/>
      </c>
      <c r="AA1293" s="59">
        <f>IF($Y1293="","",IF(INDEX($D$6:$D$40000,$Y1293)="","",INDEX($D$6:$D$40000,$Y1293)))</f>
        <v/>
      </c>
      <c r="AB1293">
        <f>IF($Y1293="","",INDEX($L$6:$L$40000,$Y1293)&amp;"")</f>
        <v/>
      </c>
    </row>
    <row r="1294">
      <c r="Y1294" s="47">
        <f>IFERROR(MATCH(Library!M1294,$M$6:$M$40000,0),"")</f>
        <v/>
      </c>
      <c r="Z1294">
        <f>IF($Y1294="","",INDEX($C$6:$C$40000,$Y1294)&amp;"")</f>
        <v/>
      </c>
      <c r="AA1294" s="59">
        <f>IF($Y1294="","",IF(INDEX($D$6:$D$40000,$Y1294)="","",INDEX($D$6:$D$40000,$Y1294)))</f>
        <v/>
      </c>
      <c r="AB1294">
        <f>IF($Y1294="","",INDEX($L$6:$L$40000,$Y1294)&amp;"")</f>
        <v/>
      </c>
    </row>
    <row r="1295">
      <c r="Y1295" s="47">
        <f>IFERROR(MATCH(Library!M1295,$M$6:$M$40000,0),"")</f>
        <v/>
      </c>
      <c r="Z1295">
        <f>IF($Y1295="","",INDEX($C$6:$C$40000,$Y1295)&amp;"")</f>
        <v/>
      </c>
      <c r="AA1295" s="59">
        <f>IF($Y1295="","",IF(INDEX($D$6:$D$40000,$Y1295)="","",INDEX($D$6:$D$40000,$Y1295)))</f>
        <v/>
      </c>
      <c r="AB1295">
        <f>IF($Y1295="","",INDEX($L$6:$L$40000,$Y1295)&amp;"")</f>
        <v/>
      </c>
    </row>
    <row r="1296">
      <c r="Y1296" s="47">
        <f>IFERROR(MATCH(Library!M1296,$M$6:$M$40000,0),"")</f>
        <v/>
      </c>
      <c r="Z1296">
        <f>IF($Y1296="","",INDEX($C$6:$C$40000,$Y1296)&amp;"")</f>
        <v/>
      </c>
      <c r="AA1296" s="59">
        <f>IF($Y1296="","",IF(INDEX($D$6:$D$40000,$Y1296)="","",INDEX($D$6:$D$40000,$Y1296)))</f>
        <v/>
      </c>
      <c r="AB1296">
        <f>IF($Y1296="","",INDEX($L$6:$L$40000,$Y1296)&amp;"")</f>
        <v/>
      </c>
    </row>
    <row r="1297">
      <c r="Y1297" s="47">
        <f>IFERROR(MATCH(Library!M1297,$M$6:$M$40000,0),"")</f>
        <v/>
      </c>
      <c r="Z1297">
        <f>IF($Y1297="","",INDEX($C$6:$C$40000,$Y1297)&amp;"")</f>
        <v/>
      </c>
      <c r="AA1297" s="59">
        <f>IF($Y1297="","",IF(INDEX($D$6:$D$40000,$Y1297)="","",INDEX($D$6:$D$40000,$Y1297)))</f>
        <v/>
      </c>
      <c r="AB1297">
        <f>IF($Y1297="","",INDEX($L$6:$L$40000,$Y1297)&amp;"")</f>
        <v/>
      </c>
    </row>
    <row r="1298">
      <c r="Y1298" s="47">
        <f>IFERROR(MATCH(Library!M1298,$M$6:$M$40000,0),"")</f>
        <v/>
      </c>
      <c r="Z1298">
        <f>IF($Y1298="","",INDEX($C$6:$C$40000,$Y1298)&amp;"")</f>
        <v/>
      </c>
      <c r="AA1298" s="59">
        <f>IF($Y1298="","",IF(INDEX($D$6:$D$40000,$Y1298)="","",INDEX($D$6:$D$40000,$Y1298)))</f>
        <v/>
      </c>
      <c r="AB1298">
        <f>IF($Y1298="","",INDEX($L$6:$L$40000,$Y1298)&amp;"")</f>
        <v/>
      </c>
    </row>
    <row r="1299">
      <c r="Y1299" s="47">
        <f>IFERROR(MATCH(Library!M1299,$M$6:$M$40000,0),"")</f>
        <v/>
      </c>
      <c r="Z1299">
        <f>IF($Y1299="","",INDEX($C$6:$C$40000,$Y1299)&amp;"")</f>
        <v/>
      </c>
      <c r="AA1299" s="59">
        <f>IF($Y1299="","",IF(INDEX($D$6:$D$40000,$Y1299)="","",INDEX($D$6:$D$40000,$Y1299)))</f>
        <v/>
      </c>
      <c r="AB1299">
        <f>IF($Y1299="","",INDEX($L$6:$L$40000,$Y1299)&amp;"")</f>
        <v/>
      </c>
    </row>
    <row r="1300">
      <c r="Y1300" s="47">
        <f>IFERROR(MATCH(Library!M1300,$M$6:$M$40000,0),"")</f>
        <v/>
      </c>
      <c r="Z1300">
        <f>IF($Y1300="","",INDEX($C$6:$C$40000,$Y1300)&amp;"")</f>
        <v/>
      </c>
      <c r="AA1300" s="59">
        <f>IF($Y1300="","",IF(INDEX($D$6:$D$40000,$Y1300)="","",INDEX($D$6:$D$40000,$Y1300)))</f>
        <v/>
      </c>
      <c r="AB1300">
        <f>IF($Y1300="","",INDEX($L$6:$L$40000,$Y1300)&amp;"")</f>
        <v/>
      </c>
    </row>
    <row r="1301">
      <c r="Y1301" s="47">
        <f>IFERROR(MATCH(Library!M1301,$M$6:$M$40000,0),"")</f>
        <v/>
      </c>
      <c r="Z1301">
        <f>IF($Y1301="","",INDEX($C$6:$C$40000,$Y1301)&amp;"")</f>
        <v/>
      </c>
      <c r="AA1301" s="59">
        <f>IF($Y1301="","",IF(INDEX($D$6:$D$40000,$Y1301)="","",INDEX($D$6:$D$40000,$Y1301)))</f>
        <v/>
      </c>
      <c r="AB1301">
        <f>IF($Y1301="","",INDEX($L$6:$L$40000,$Y1301)&amp;"")</f>
        <v/>
      </c>
    </row>
    <row r="1302">
      <c r="Y1302" s="47">
        <f>IFERROR(MATCH(Library!M1302,$M$6:$M$40000,0),"")</f>
        <v/>
      </c>
      <c r="Z1302">
        <f>IF($Y1302="","",INDEX($C$6:$C$40000,$Y1302)&amp;"")</f>
        <v/>
      </c>
      <c r="AA1302" s="59">
        <f>IF($Y1302="","",IF(INDEX($D$6:$D$40000,$Y1302)="","",INDEX($D$6:$D$40000,$Y1302)))</f>
        <v/>
      </c>
      <c r="AB1302">
        <f>IF($Y1302="","",INDEX($L$6:$L$40000,$Y1302)&amp;"")</f>
        <v/>
      </c>
    </row>
    <row r="1303">
      <c r="Y1303" s="47">
        <f>IFERROR(MATCH(Library!M1303,$M$6:$M$40000,0),"")</f>
        <v/>
      </c>
      <c r="Z1303">
        <f>IF($Y1303="","",INDEX($C$6:$C$40000,$Y1303)&amp;"")</f>
        <v/>
      </c>
      <c r="AA1303" s="59">
        <f>IF($Y1303="","",IF(INDEX($D$6:$D$40000,$Y1303)="","",INDEX($D$6:$D$40000,$Y1303)))</f>
        <v/>
      </c>
      <c r="AB1303">
        <f>IF($Y1303="","",INDEX($L$6:$L$40000,$Y1303)&amp;"")</f>
        <v/>
      </c>
    </row>
    <row r="1304">
      <c r="Y1304" s="47">
        <f>IFERROR(MATCH(Library!M1304,$M$6:$M$40000,0),"")</f>
        <v/>
      </c>
      <c r="Z1304">
        <f>IF($Y1304="","",INDEX($C$6:$C$40000,$Y1304)&amp;"")</f>
        <v/>
      </c>
      <c r="AA1304" s="59">
        <f>IF($Y1304="","",IF(INDEX($D$6:$D$40000,$Y1304)="","",INDEX($D$6:$D$40000,$Y1304)))</f>
        <v/>
      </c>
      <c r="AB1304">
        <f>IF($Y1304="","",INDEX($L$6:$L$40000,$Y1304)&amp;"")</f>
        <v/>
      </c>
    </row>
    <row r="1305">
      <c r="Y1305" s="47">
        <f>IFERROR(MATCH(Library!M1305,$M$6:$M$40000,0),"")</f>
        <v/>
      </c>
      <c r="Z1305">
        <f>IF($Y1305="","",INDEX($C$6:$C$40000,$Y1305)&amp;"")</f>
        <v/>
      </c>
      <c r="AA1305" s="59">
        <f>IF($Y1305="","",IF(INDEX($D$6:$D$40000,$Y1305)="","",INDEX($D$6:$D$40000,$Y1305)))</f>
        <v/>
      </c>
      <c r="AB1305">
        <f>IF($Y1305="","",INDEX($L$6:$L$40000,$Y1305)&amp;"")</f>
        <v/>
      </c>
    </row>
    <row r="1306">
      <c r="Y1306" s="47">
        <f>IFERROR(MATCH(Library!M1306,$M$6:$M$40000,0),"")</f>
        <v/>
      </c>
      <c r="Z1306">
        <f>IF($Y1306="","",INDEX($C$6:$C$40000,$Y1306)&amp;"")</f>
        <v/>
      </c>
      <c r="AA1306" s="59">
        <f>IF($Y1306="","",IF(INDEX($D$6:$D$40000,$Y1306)="","",INDEX($D$6:$D$40000,$Y1306)))</f>
        <v/>
      </c>
      <c r="AB1306">
        <f>IF($Y1306="","",INDEX($L$6:$L$40000,$Y1306)&amp;"")</f>
        <v/>
      </c>
    </row>
    <row r="1307">
      <c r="Y1307" s="47">
        <f>IFERROR(MATCH(Library!M1307,$M$6:$M$40000,0),"")</f>
        <v/>
      </c>
      <c r="Z1307">
        <f>IF($Y1307="","",INDEX($C$6:$C$40000,$Y1307)&amp;"")</f>
        <v/>
      </c>
      <c r="AA1307" s="59">
        <f>IF($Y1307="","",IF(INDEX($D$6:$D$40000,$Y1307)="","",INDEX($D$6:$D$40000,$Y1307)))</f>
        <v/>
      </c>
      <c r="AB1307">
        <f>IF($Y1307="","",INDEX($L$6:$L$40000,$Y1307)&amp;"")</f>
        <v/>
      </c>
    </row>
    <row r="1308">
      <c r="Y1308" s="47">
        <f>IFERROR(MATCH(Library!M1308,$M$6:$M$40000,0),"")</f>
        <v/>
      </c>
      <c r="Z1308">
        <f>IF($Y1308="","",INDEX($C$6:$C$40000,$Y1308)&amp;"")</f>
        <v/>
      </c>
      <c r="AA1308" s="59">
        <f>IF($Y1308="","",IF(INDEX($D$6:$D$40000,$Y1308)="","",INDEX($D$6:$D$40000,$Y1308)))</f>
        <v/>
      </c>
      <c r="AB1308">
        <f>IF($Y1308="","",INDEX($L$6:$L$40000,$Y1308)&amp;"")</f>
        <v/>
      </c>
    </row>
    <row r="1309">
      <c r="Y1309" s="47">
        <f>IFERROR(MATCH(Library!M1309,$M$6:$M$40000,0),"")</f>
        <v/>
      </c>
      <c r="Z1309">
        <f>IF($Y1309="","",INDEX($C$6:$C$40000,$Y1309)&amp;"")</f>
        <v/>
      </c>
      <c r="AA1309" s="59">
        <f>IF($Y1309="","",IF(INDEX($D$6:$D$40000,$Y1309)="","",INDEX($D$6:$D$40000,$Y1309)))</f>
        <v/>
      </c>
      <c r="AB1309">
        <f>IF($Y1309="","",INDEX($L$6:$L$40000,$Y1309)&amp;"")</f>
        <v/>
      </c>
    </row>
    <row r="1310">
      <c r="Y1310" s="47">
        <f>IFERROR(MATCH(Library!M1310,$M$6:$M$40000,0),"")</f>
        <v/>
      </c>
      <c r="Z1310">
        <f>IF($Y1310="","",INDEX($C$6:$C$40000,$Y1310)&amp;"")</f>
        <v/>
      </c>
      <c r="AA1310" s="59">
        <f>IF($Y1310="","",IF(INDEX($D$6:$D$40000,$Y1310)="","",INDEX($D$6:$D$40000,$Y1310)))</f>
        <v/>
      </c>
      <c r="AB1310">
        <f>IF($Y1310="","",INDEX($L$6:$L$40000,$Y1310)&amp;"")</f>
        <v/>
      </c>
    </row>
    <row r="1311">
      <c r="Y1311" s="47">
        <f>IFERROR(MATCH(Library!M1311,$M$6:$M$40000,0),"")</f>
        <v/>
      </c>
      <c r="Z1311">
        <f>IF($Y1311="","",INDEX($C$6:$C$40000,$Y1311)&amp;"")</f>
        <v/>
      </c>
      <c r="AA1311" s="59">
        <f>IF($Y1311="","",IF(INDEX($D$6:$D$40000,$Y1311)="","",INDEX($D$6:$D$40000,$Y1311)))</f>
        <v/>
      </c>
      <c r="AB1311">
        <f>IF($Y1311="","",INDEX($L$6:$L$40000,$Y1311)&amp;"")</f>
        <v/>
      </c>
    </row>
    <row r="1312">
      <c r="Y1312" s="47">
        <f>IFERROR(MATCH(Library!M1312,$M$6:$M$40000,0),"")</f>
        <v/>
      </c>
      <c r="Z1312">
        <f>IF($Y1312="","",INDEX($C$6:$C$40000,$Y1312)&amp;"")</f>
        <v/>
      </c>
      <c r="AA1312" s="59">
        <f>IF($Y1312="","",IF(INDEX($D$6:$D$40000,$Y1312)="","",INDEX($D$6:$D$40000,$Y1312)))</f>
        <v/>
      </c>
      <c r="AB1312">
        <f>IF($Y1312="","",INDEX($L$6:$L$40000,$Y1312)&amp;"")</f>
        <v/>
      </c>
    </row>
    <row r="1313">
      <c r="Y1313" s="47">
        <f>IFERROR(MATCH(Library!M1313,$M$6:$M$40000,0),"")</f>
        <v/>
      </c>
      <c r="Z1313">
        <f>IF($Y1313="","",INDEX($C$6:$C$40000,$Y1313)&amp;"")</f>
        <v/>
      </c>
      <c r="AA1313" s="59">
        <f>IF($Y1313="","",IF(INDEX($D$6:$D$40000,$Y1313)="","",INDEX($D$6:$D$40000,$Y1313)))</f>
        <v/>
      </c>
      <c r="AB1313">
        <f>IF($Y1313="","",INDEX($L$6:$L$40000,$Y1313)&amp;"")</f>
        <v/>
      </c>
    </row>
    <row r="1314">
      <c r="Y1314" s="47">
        <f>IFERROR(MATCH(Library!M1314,$M$6:$M$40000,0),"")</f>
        <v/>
      </c>
      <c r="Z1314">
        <f>IF($Y1314="","",INDEX($C$6:$C$40000,$Y1314)&amp;"")</f>
        <v/>
      </c>
      <c r="AA1314" s="59">
        <f>IF($Y1314="","",IF(INDEX($D$6:$D$40000,$Y1314)="","",INDEX($D$6:$D$40000,$Y1314)))</f>
        <v/>
      </c>
      <c r="AB1314">
        <f>IF($Y1314="","",INDEX($L$6:$L$40000,$Y1314)&amp;"")</f>
        <v/>
      </c>
    </row>
    <row r="1315">
      <c r="Y1315" s="47">
        <f>IFERROR(MATCH(Library!M1315,$M$6:$M$40000,0),"")</f>
        <v/>
      </c>
      <c r="Z1315">
        <f>IF($Y1315="","",INDEX($C$6:$C$40000,$Y1315)&amp;"")</f>
        <v/>
      </c>
      <c r="AA1315" s="59">
        <f>IF($Y1315="","",IF(INDEX($D$6:$D$40000,$Y1315)="","",INDEX($D$6:$D$40000,$Y1315)))</f>
        <v/>
      </c>
      <c r="AB1315">
        <f>IF($Y1315="","",INDEX($L$6:$L$40000,$Y1315)&amp;"")</f>
        <v/>
      </c>
    </row>
    <row r="1316">
      <c r="Y1316" s="47">
        <f>IFERROR(MATCH(Library!M1316,$M$6:$M$40000,0),"")</f>
        <v/>
      </c>
      <c r="Z1316">
        <f>IF($Y1316="","",INDEX($C$6:$C$40000,$Y1316)&amp;"")</f>
        <v/>
      </c>
      <c r="AA1316" s="59">
        <f>IF($Y1316="","",IF(INDEX($D$6:$D$40000,$Y1316)="","",INDEX($D$6:$D$40000,$Y1316)))</f>
        <v/>
      </c>
      <c r="AB1316">
        <f>IF($Y1316="","",INDEX($L$6:$L$40000,$Y1316)&amp;"")</f>
        <v/>
      </c>
    </row>
    <row r="1317">
      <c r="Y1317" s="47">
        <f>IFERROR(MATCH(Library!M1317,$M$6:$M$40000,0),"")</f>
        <v/>
      </c>
      <c r="Z1317">
        <f>IF($Y1317="","",INDEX($C$6:$C$40000,$Y1317)&amp;"")</f>
        <v/>
      </c>
      <c r="AA1317" s="59">
        <f>IF($Y1317="","",IF(INDEX($D$6:$D$40000,$Y1317)="","",INDEX($D$6:$D$40000,$Y1317)))</f>
        <v/>
      </c>
      <c r="AB1317">
        <f>IF($Y1317="","",INDEX($L$6:$L$40000,$Y1317)&amp;"")</f>
        <v/>
      </c>
    </row>
    <row r="1318">
      <c r="Y1318" s="47">
        <f>IFERROR(MATCH(Library!M1318,$M$6:$M$40000,0),"")</f>
        <v/>
      </c>
      <c r="Z1318">
        <f>IF($Y1318="","",INDEX($C$6:$C$40000,$Y1318)&amp;"")</f>
        <v/>
      </c>
      <c r="AA1318" s="59">
        <f>IF($Y1318="","",IF(INDEX($D$6:$D$40000,$Y1318)="","",INDEX($D$6:$D$40000,$Y1318)))</f>
        <v/>
      </c>
      <c r="AB1318">
        <f>IF($Y1318="","",INDEX($L$6:$L$40000,$Y1318)&amp;"")</f>
        <v/>
      </c>
    </row>
    <row r="1319">
      <c r="Y1319" s="47">
        <f>IFERROR(MATCH(Library!M1319,$M$6:$M$40000,0),"")</f>
        <v/>
      </c>
      <c r="Z1319">
        <f>IF($Y1319="","",INDEX($C$6:$C$40000,$Y1319)&amp;"")</f>
        <v/>
      </c>
      <c r="AA1319" s="59">
        <f>IF($Y1319="","",IF(INDEX($D$6:$D$40000,$Y1319)="","",INDEX($D$6:$D$40000,$Y1319)))</f>
        <v/>
      </c>
      <c r="AB1319">
        <f>IF($Y1319="","",INDEX($L$6:$L$40000,$Y1319)&amp;"")</f>
        <v/>
      </c>
    </row>
    <row r="1320">
      <c r="Y1320" s="47">
        <f>IFERROR(MATCH(Library!M1320,$M$6:$M$40000,0),"")</f>
        <v/>
      </c>
      <c r="Z1320">
        <f>IF($Y1320="","",INDEX($C$6:$C$40000,$Y1320)&amp;"")</f>
        <v/>
      </c>
      <c r="AA1320" s="59">
        <f>IF($Y1320="","",IF(INDEX($D$6:$D$40000,$Y1320)="","",INDEX($D$6:$D$40000,$Y1320)))</f>
        <v/>
      </c>
      <c r="AB1320">
        <f>IF($Y1320="","",INDEX($L$6:$L$40000,$Y1320)&amp;"")</f>
        <v/>
      </c>
    </row>
    <row r="1321">
      <c r="Y1321" s="47">
        <f>IFERROR(MATCH(Library!M1321,$M$6:$M$40000,0),"")</f>
        <v/>
      </c>
      <c r="Z1321">
        <f>IF($Y1321="","",INDEX($C$6:$C$40000,$Y1321)&amp;"")</f>
        <v/>
      </c>
      <c r="AA1321" s="59">
        <f>IF($Y1321="","",IF(INDEX($D$6:$D$40000,$Y1321)="","",INDEX($D$6:$D$40000,$Y1321)))</f>
        <v/>
      </c>
      <c r="AB1321">
        <f>IF($Y1321="","",INDEX($L$6:$L$40000,$Y1321)&amp;"")</f>
        <v/>
      </c>
    </row>
    <row r="1322">
      <c r="Y1322" s="47">
        <f>IFERROR(MATCH(Library!M1322,$M$6:$M$40000,0),"")</f>
        <v/>
      </c>
      <c r="Z1322">
        <f>IF($Y1322="","",INDEX($C$6:$C$40000,$Y1322)&amp;"")</f>
        <v/>
      </c>
      <c r="AA1322" s="59">
        <f>IF($Y1322="","",IF(INDEX($D$6:$D$40000,$Y1322)="","",INDEX($D$6:$D$40000,$Y1322)))</f>
        <v/>
      </c>
      <c r="AB1322">
        <f>IF($Y1322="","",INDEX($L$6:$L$40000,$Y1322)&amp;"")</f>
        <v/>
      </c>
    </row>
    <row r="1323">
      <c r="Y1323" s="47">
        <f>IFERROR(MATCH(Library!M1323,$M$6:$M$40000,0),"")</f>
        <v/>
      </c>
      <c r="Z1323">
        <f>IF($Y1323="","",INDEX($C$6:$C$40000,$Y1323)&amp;"")</f>
        <v/>
      </c>
      <c r="AA1323" s="59">
        <f>IF($Y1323="","",IF(INDEX($D$6:$D$40000,$Y1323)="","",INDEX($D$6:$D$40000,$Y1323)))</f>
        <v/>
      </c>
      <c r="AB1323">
        <f>IF($Y1323="","",INDEX($L$6:$L$40000,$Y1323)&amp;"")</f>
        <v/>
      </c>
    </row>
    <row r="1324">
      <c r="Y1324" s="47">
        <f>IFERROR(MATCH(Library!M1324,$M$6:$M$40000,0),"")</f>
        <v/>
      </c>
      <c r="Z1324">
        <f>IF($Y1324="","",INDEX($C$6:$C$40000,$Y1324)&amp;"")</f>
        <v/>
      </c>
      <c r="AA1324" s="59">
        <f>IF($Y1324="","",IF(INDEX($D$6:$D$40000,$Y1324)="","",INDEX($D$6:$D$40000,$Y1324)))</f>
        <v/>
      </c>
      <c r="AB1324">
        <f>IF($Y1324="","",INDEX($L$6:$L$40000,$Y1324)&amp;"")</f>
        <v/>
      </c>
    </row>
    <row r="1325">
      <c r="Y1325" s="47">
        <f>IFERROR(MATCH(Library!M1325,$M$6:$M$40000,0),"")</f>
        <v/>
      </c>
      <c r="Z1325">
        <f>IF($Y1325="","",INDEX($C$6:$C$40000,$Y1325)&amp;"")</f>
        <v/>
      </c>
      <c r="AA1325" s="59">
        <f>IF($Y1325="","",IF(INDEX($D$6:$D$40000,$Y1325)="","",INDEX($D$6:$D$40000,$Y1325)))</f>
        <v/>
      </c>
      <c r="AB1325">
        <f>IF($Y1325="","",INDEX($L$6:$L$40000,$Y1325)&amp;"")</f>
        <v/>
      </c>
    </row>
    <row r="1326">
      <c r="Y1326" s="47">
        <f>IFERROR(MATCH(Library!M1326,$M$6:$M$40000,0),"")</f>
        <v/>
      </c>
      <c r="Z1326">
        <f>IF($Y1326="","",INDEX($C$6:$C$40000,$Y1326)&amp;"")</f>
        <v/>
      </c>
      <c r="AA1326" s="59">
        <f>IF($Y1326="","",IF(INDEX($D$6:$D$40000,$Y1326)="","",INDEX($D$6:$D$40000,$Y1326)))</f>
        <v/>
      </c>
      <c r="AB1326">
        <f>IF($Y1326="","",INDEX($L$6:$L$40000,$Y1326)&amp;"")</f>
        <v/>
      </c>
    </row>
    <row r="1327">
      <c r="Y1327" s="47">
        <f>IFERROR(MATCH(Library!M1327,$M$6:$M$40000,0),"")</f>
        <v/>
      </c>
      <c r="Z1327">
        <f>IF($Y1327="","",INDEX($C$6:$C$40000,$Y1327)&amp;"")</f>
        <v/>
      </c>
      <c r="AA1327" s="59">
        <f>IF($Y1327="","",IF(INDEX($D$6:$D$40000,$Y1327)="","",INDEX($D$6:$D$40000,$Y1327)))</f>
        <v/>
      </c>
      <c r="AB1327">
        <f>IF($Y1327="","",INDEX($L$6:$L$40000,$Y1327)&amp;"")</f>
        <v/>
      </c>
    </row>
    <row r="1328">
      <c r="Y1328" s="47">
        <f>IFERROR(MATCH(Library!M1328,$M$6:$M$40000,0),"")</f>
        <v/>
      </c>
      <c r="Z1328">
        <f>IF($Y1328="","",INDEX($C$6:$C$40000,$Y1328)&amp;"")</f>
        <v/>
      </c>
      <c r="AA1328" s="59">
        <f>IF($Y1328="","",IF(INDEX($D$6:$D$40000,$Y1328)="","",INDEX($D$6:$D$40000,$Y1328)))</f>
        <v/>
      </c>
      <c r="AB1328">
        <f>IF($Y1328="","",INDEX($L$6:$L$40000,$Y1328)&amp;"")</f>
        <v/>
      </c>
    </row>
    <row r="1329">
      <c r="Y1329" s="47">
        <f>IFERROR(MATCH(Library!M1329,$M$6:$M$40000,0),"")</f>
        <v/>
      </c>
      <c r="Z1329">
        <f>IF($Y1329="","",INDEX($C$6:$C$40000,$Y1329)&amp;"")</f>
        <v/>
      </c>
      <c r="AA1329" s="59">
        <f>IF($Y1329="","",IF(INDEX($D$6:$D$40000,$Y1329)="","",INDEX($D$6:$D$40000,$Y1329)))</f>
        <v/>
      </c>
      <c r="AB1329">
        <f>IF($Y1329="","",INDEX($L$6:$L$40000,$Y1329)&amp;"")</f>
        <v/>
      </c>
    </row>
    <row r="1330">
      <c r="Y1330" s="47">
        <f>IFERROR(MATCH(Library!M1330,$M$6:$M$40000,0),"")</f>
        <v/>
      </c>
      <c r="Z1330">
        <f>IF($Y1330="","",INDEX($C$6:$C$40000,$Y1330)&amp;"")</f>
        <v/>
      </c>
      <c r="AA1330" s="59">
        <f>IF($Y1330="","",IF(INDEX($D$6:$D$40000,$Y1330)="","",INDEX($D$6:$D$40000,$Y1330)))</f>
        <v/>
      </c>
      <c r="AB1330">
        <f>IF($Y1330="","",INDEX($L$6:$L$40000,$Y1330)&amp;"")</f>
        <v/>
      </c>
    </row>
    <row r="1331">
      <c r="Y1331" s="47">
        <f>IFERROR(MATCH(Library!M1331,$M$6:$M$40000,0),"")</f>
        <v/>
      </c>
      <c r="Z1331">
        <f>IF($Y1331="","",INDEX($C$6:$C$40000,$Y1331)&amp;"")</f>
        <v/>
      </c>
      <c r="AA1331" s="59">
        <f>IF($Y1331="","",IF(INDEX($D$6:$D$40000,$Y1331)="","",INDEX($D$6:$D$40000,$Y1331)))</f>
        <v/>
      </c>
      <c r="AB1331">
        <f>IF($Y1331="","",INDEX($L$6:$L$40000,$Y1331)&amp;"")</f>
        <v/>
      </c>
    </row>
    <row r="1332">
      <c r="Y1332" s="47">
        <f>IFERROR(MATCH(Library!M1332,$M$6:$M$40000,0),"")</f>
        <v/>
      </c>
      <c r="Z1332">
        <f>IF($Y1332="","",INDEX($C$6:$C$40000,$Y1332)&amp;"")</f>
        <v/>
      </c>
      <c r="AA1332" s="59">
        <f>IF($Y1332="","",IF(INDEX($D$6:$D$40000,$Y1332)="","",INDEX($D$6:$D$40000,$Y1332)))</f>
        <v/>
      </c>
      <c r="AB1332">
        <f>IF($Y1332="","",INDEX($L$6:$L$40000,$Y1332)&amp;"")</f>
        <v/>
      </c>
    </row>
    <row r="1333">
      <c r="Y1333" s="47">
        <f>IFERROR(MATCH(Library!M1333,$M$6:$M$40000,0),"")</f>
        <v/>
      </c>
      <c r="Z1333">
        <f>IF($Y1333="","",INDEX($C$6:$C$40000,$Y1333)&amp;"")</f>
        <v/>
      </c>
      <c r="AA1333" s="59">
        <f>IF($Y1333="","",IF(INDEX($D$6:$D$40000,$Y1333)="","",INDEX($D$6:$D$40000,$Y1333)))</f>
        <v/>
      </c>
      <c r="AB1333">
        <f>IF($Y1333="","",INDEX($L$6:$L$40000,$Y1333)&amp;"")</f>
        <v/>
      </c>
    </row>
    <row r="1334">
      <c r="Y1334" s="47">
        <f>IFERROR(MATCH(Library!M1334,$M$6:$M$40000,0),"")</f>
        <v/>
      </c>
      <c r="Z1334">
        <f>IF($Y1334="","",INDEX($C$6:$C$40000,$Y1334)&amp;"")</f>
        <v/>
      </c>
      <c r="AA1334" s="59">
        <f>IF($Y1334="","",IF(INDEX($D$6:$D$40000,$Y1334)="","",INDEX($D$6:$D$40000,$Y1334)))</f>
        <v/>
      </c>
      <c r="AB1334">
        <f>IF($Y1334="","",INDEX($L$6:$L$40000,$Y1334)&amp;"")</f>
        <v/>
      </c>
    </row>
    <row r="1335">
      <c r="Y1335" s="47">
        <f>IFERROR(MATCH(Library!M1335,$M$6:$M$40000,0),"")</f>
        <v/>
      </c>
      <c r="Z1335">
        <f>IF($Y1335="","",INDEX($C$6:$C$40000,$Y1335)&amp;"")</f>
        <v/>
      </c>
      <c r="AA1335" s="59">
        <f>IF($Y1335="","",IF(INDEX($D$6:$D$40000,$Y1335)="","",INDEX($D$6:$D$40000,$Y1335)))</f>
        <v/>
      </c>
      <c r="AB1335">
        <f>IF($Y1335="","",INDEX($L$6:$L$40000,$Y1335)&amp;"")</f>
        <v/>
      </c>
    </row>
    <row r="1336">
      <c r="Y1336" s="47">
        <f>IFERROR(MATCH(Library!M1336,$M$6:$M$40000,0),"")</f>
        <v/>
      </c>
      <c r="Z1336">
        <f>IF($Y1336="","",INDEX($C$6:$C$40000,$Y1336)&amp;"")</f>
        <v/>
      </c>
      <c r="AA1336" s="59">
        <f>IF($Y1336="","",IF(INDEX($D$6:$D$40000,$Y1336)="","",INDEX($D$6:$D$40000,$Y1336)))</f>
        <v/>
      </c>
      <c r="AB1336">
        <f>IF($Y1336="","",INDEX($L$6:$L$40000,$Y1336)&amp;"")</f>
        <v/>
      </c>
    </row>
    <row r="1337">
      <c r="Y1337" s="47">
        <f>IFERROR(MATCH(Library!M1337,$M$6:$M$40000,0),"")</f>
        <v/>
      </c>
      <c r="Z1337">
        <f>IF($Y1337="","",INDEX($C$6:$C$40000,$Y1337)&amp;"")</f>
        <v/>
      </c>
      <c r="AA1337" s="59">
        <f>IF($Y1337="","",IF(INDEX($D$6:$D$40000,$Y1337)="","",INDEX($D$6:$D$40000,$Y1337)))</f>
        <v/>
      </c>
      <c r="AB1337">
        <f>IF($Y1337="","",INDEX($L$6:$L$40000,$Y1337)&amp;"")</f>
        <v/>
      </c>
    </row>
    <row r="1338">
      <c r="Y1338" s="47">
        <f>IFERROR(MATCH(Library!M1338,$M$6:$M$40000,0),"")</f>
        <v/>
      </c>
      <c r="Z1338">
        <f>IF($Y1338="","",INDEX($C$6:$C$40000,$Y1338)&amp;"")</f>
        <v/>
      </c>
      <c r="AA1338" s="59">
        <f>IF($Y1338="","",IF(INDEX($D$6:$D$40000,$Y1338)="","",INDEX($D$6:$D$40000,$Y1338)))</f>
        <v/>
      </c>
      <c r="AB1338">
        <f>IF($Y1338="","",INDEX($L$6:$L$40000,$Y1338)&amp;"")</f>
        <v/>
      </c>
    </row>
    <row r="1339">
      <c r="Y1339" s="47">
        <f>IFERROR(MATCH(Library!M1339,$M$6:$M$40000,0),"")</f>
        <v/>
      </c>
      <c r="Z1339">
        <f>IF($Y1339="","",INDEX($C$6:$C$40000,$Y1339)&amp;"")</f>
        <v/>
      </c>
      <c r="AA1339" s="59">
        <f>IF($Y1339="","",IF(INDEX($D$6:$D$40000,$Y1339)="","",INDEX($D$6:$D$40000,$Y1339)))</f>
        <v/>
      </c>
      <c r="AB1339">
        <f>IF($Y1339="","",INDEX($L$6:$L$40000,$Y1339)&amp;"")</f>
        <v/>
      </c>
    </row>
    <row r="1340">
      <c r="Y1340" s="47">
        <f>IFERROR(MATCH(Library!M1340,$M$6:$M$40000,0),"")</f>
        <v/>
      </c>
      <c r="Z1340">
        <f>IF($Y1340="","",INDEX($C$6:$C$40000,$Y1340)&amp;"")</f>
        <v/>
      </c>
      <c r="AA1340" s="59">
        <f>IF($Y1340="","",IF(INDEX($D$6:$D$40000,$Y1340)="","",INDEX($D$6:$D$40000,$Y1340)))</f>
        <v/>
      </c>
      <c r="AB1340">
        <f>IF($Y1340="","",INDEX($L$6:$L$40000,$Y1340)&amp;"")</f>
        <v/>
      </c>
    </row>
    <row r="1341">
      <c r="Y1341" s="47">
        <f>IFERROR(MATCH(Library!M1341,$M$6:$M$40000,0),"")</f>
        <v/>
      </c>
      <c r="Z1341">
        <f>IF($Y1341="","",INDEX($C$6:$C$40000,$Y1341)&amp;"")</f>
        <v/>
      </c>
      <c r="AA1341" s="59">
        <f>IF($Y1341="","",IF(INDEX($D$6:$D$40000,$Y1341)="","",INDEX($D$6:$D$40000,$Y1341)))</f>
        <v/>
      </c>
      <c r="AB1341">
        <f>IF($Y1341="","",INDEX($L$6:$L$40000,$Y1341)&amp;"")</f>
        <v/>
      </c>
    </row>
    <row r="1342">
      <c r="Y1342" s="47">
        <f>IFERROR(MATCH(Library!M1342,$M$6:$M$40000,0),"")</f>
        <v/>
      </c>
      <c r="Z1342">
        <f>IF($Y1342="","",INDEX($C$6:$C$40000,$Y1342)&amp;"")</f>
        <v/>
      </c>
      <c r="AA1342" s="59">
        <f>IF($Y1342="","",IF(INDEX($D$6:$D$40000,$Y1342)="","",INDEX($D$6:$D$40000,$Y1342)))</f>
        <v/>
      </c>
      <c r="AB1342">
        <f>IF($Y1342="","",INDEX($L$6:$L$40000,$Y1342)&amp;"")</f>
        <v/>
      </c>
    </row>
    <row r="1343">
      <c r="Y1343" s="47">
        <f>IFERROR(MATCH(Library!M1343,$M$6:$M$40000,0),"")</f>
        <v/>
      </c>
      <c r="Z1343">
        <f>IF($Y1343="","",INDEX($C$6:$C$40000,$Y1343)&amp;"")</f>
        <v/>
      </c>
      <c r="AA1343" s="59">
        <f>IF($Y1343="","",IF(INDEX($D$6:$D$40000,$Y1343)="","",INDEX($D$6:$D$40000,$Y1343)))</f>
        <v/>
      </c>
      <c r="AB1343">
        <f>IF($Y1343="","",INDEX($L$6:$L$40000,$Y1343)&amp;"")</f>
        <v/>
      </c>
    </row>
    <row r="1344">
      <c r="Y1344" s="47">
        <f>IFERROR(MATCH(Library!M1344,$M$6:$M$40000,0),"")</f>
        <v/>
      </c>
      <c r="Z1344">
        <f>IF($Y1344="","",INDEX($C$6:$C$40000,$Y1344)&amp;"")</f>
        <v/>
      </c>
      <c r="AA1344" s="59">
        <f>IF($Y1344="","",IF(INDEX($D$6:$D$40000,$Y1344)="","",INDEX($D$6:$D$40000,$Y1344)))</f>
        <v/>
      </c>
      <c r="AB1344">
        <f>IF($Y1344="","",INDEX($L$6:$L$40000,$Y1344)&amp;"")</f>
        <v/>
      </c>
    </row>
    <row r="1345">
      <c r="Y1345" s="47">
        <f>IFERROR(MATCH(Library!M1345,$M$6:$M$40000,0),"")</f>
        <v/>
      </c>
      <c r="Z1345">
        <f>IF($Y1345="","",INDEX($C$6:$C$40000,$Y1345)&amp;"")</f>
        <v/>
      </c>
      <c r="AA1345" s="59">
        <f>IF($Y1345="","",IF(INDEX($D$6:$D$40000,$Y1345)="","",INDEX($D$6:$D$40000,$Y1345)))</f>
        <v/>
      </c>
      <c r="AB1345">
        <f>IF($Y1345="","",INDEX($L$6:$L$40000,$Y1345)&amp;"")</f>
        <v/>
      </c>
    </row>
    <row r="1346">
      <c r="Y1346" s="47">
        <f>IFERROR(MATCH(Library!M1346,$M$6:$M$40000,0),"")</f>
        <v/>
      </c>
      <c r="Z1346">
        <f>IF($Y1346="","",INDEX($C$6:$C$40000,$Y1346)&amp;"")</f>
        <v/>
      </c>
      <c r="AA1346" s="59">
        <f>IF($Y1346="","",IF(INDEX($D$6:$D$40000,$Y1346)="","",INDEX($D$6:$D$40000,$Y1346)))</f>
        <v/>
      </c>
      <c r="AB1346">
        <f>IF($Y1346="","",INDEX($L$6:$L$40000,$Y1346)&amp;"")</f>
        <v/>
      </c>
    </row>
    <row r="1347">
      <c r="Y1347" s="47">
        <f>IFERROR(MATCH(Library!M1347,$M$6:$M$40000,0),"")</f>
        <v/>
      </c>
      <c r="Z1347">
        <f>IF($Y1347="","",INDEX($C$6:$C$40000,$Y1347)&amp;"")</f>
        <v/>
      </c>
      <c r="AA1347" s="59">
        <f>IF($Y1347="","",IF(INDEX($D$6:$D$40000,$Y1347)="","",INDEX($D$6:$D$40000,$Y1347)))</f>
        <v/>
      </c>
      <c r="AB1347">
        <f>IF($Y1347="","",INDEX($L$6:$L$40000,$Y1347)&amp;"")</f>
        <v/>
      </c>
    </row>
    <row r="1348">
      <c r="Y1348" s="47">
        <f>IFERROR(MATCH(Library!M1348,$M$6:$M$40000,0),"")</f>
        <v/>
      </c>
      <c r="Z1348">
        <f>IF($Y1348="","",INDEX($C$6:$C$40000,$Y1348)&amp;"")</f>
        <v/>
      </c>
      <c r="AA1348" s="59">
        <f>IF($Y1348="","",IF(INDEX($D$6:$D$40000,$Y1348)="","",INDEX($D$6:$D$40000,$Y1348)))</f>
        <v/>
      </c>
      <c r="AB1348">
        <f>IF($Y1348="","",INDEX($L$6:$L$40000,$Y1348)&amp;"")</f>
        <v/>
      </c>
    </row>
    <row r="1349">
      <c r="Y1349" s="47">
        <f>IFERROR(MATCH(Library!M1349,$M$6:$M$40000,0),"")</f>
        <v/>
      </c>
      <c r="Z1349">
        <f>IF($Y1349="","",INDEX($C$6:$C$40000,$Y1349)&amp;"")</f>
        <v/>
      </c>
      <c r="AA1349" s="59">
        <f>IF($Y1349="","",IF(INDEX($D$6:$D$40000,$Y1349)="","",INDEX($D$6:$D$40000,$Y1349)))</f>
        <v/>
      </c>
      <c r="AB1349">
        <f>IF($Y1349="","",INDEX($L$6:$L$40000,$Y1349)&amp;"")</f>
        <v/>
      </c>
    </row>
    <row r="1350">
      <c r="Y1350" s="47">
        <f>IFERROR(MATCH(Library!M1350,$M$6:$M$40000,0),"")</f>
        <v/>
      </c>
      <c r="Z1350">
        <f>IF($Y1350="","",INDEX($C$6:$C$40000,$Y1350)&amp;"")</f>
        <v/>
      </c>
      <c r="AA1350" s="59">
        <f>IF($Y1350="","",IF(INDEX($D$6:$D$40000,$Y1350)="","",INDEX($D$6:$D$40000,$Y1350)))</f>
        <v/>
      </c>
      <c r="AB1350">
        <f>IF($Y1350="","",INDEX($L$6:$L$40000,$Y1350)&amp;"")</f>
        <v/>
      </c>
    </row>
    <row r="1351">
      <c r="Y1351" s="47">
        <f>IFERROR(MATCH(Library!M1351,$M$6:$M$40000,0),"")</f>
        <v/>
      </c>
      <c r="Z1351">
        <f>IF($Y1351="","",INDEX($C$6:$C$40000,$Y1351)&amp;"")</f>
        <v/>
      </c>
      <c r="AA1351" s="59">
        <f>IF($Y1351="","",IF(INDEX($D$6:$D$40000,$Y1351)="","",INDEX($D$6:$D$40000,$Y1351)))</f>
        <v/>
      </c>
      <c r="AB1351">
        <f>IF($Y1351="","",INDEX($L$6:$L$40000,$Y1351)&amp;"")</f>
        <v/>
      </c>
    </row>
    <row r="1352">
      <c r="Y1352" s="47">
        <f>IFERROR(MATCH(Library!M1352,$M$6:$M$40000,0),"")</f>
        <v/>
      </c>
      <c r="Z1352">
        <f>IF($Y1352="","",INDEX($C$6:$C$40000,$Y1352)&amp;"")</f>
        <v/>
      </c>
      <c r="AA1352" s="59">
        <f>IF($Y1352="","",IF(INDEX($D$6:$D$40000,$Y1352)="","",INDEX($D$6:$D$40000,$Y1352)))</f>
        <v/>
      </c>
      <c r="AB1352">
        <f>IF($Y1352="","",INDEX($L$6:$L$40000,$Y1352)&amp;"")</f>
        <v/>
      </c>
    </row>
    <row r="1353">
      <c r="Y1353" s="47">
        <f>IFERROR(MATCH(Library!M1353,$M$6:$M$40000,0),"")</f>
        <v/>
      </c>
      <c r="Z1353">
        <f>IF($Y1353="","",INDEX($C$6:$C$40000,$Y1353)&amp;"")</f>
        <v/>
      </c>
      <c r="AA1353" s="59">
        <f>IF($Y1353="","",IF(INDEX($D$6:$D$40000,$Y1353)="","",INDEX($D$6:$D$40000,$Y1353)))</f>
        <v/>
      </c>
      <c r="AB1353">
        <f>IF($Y1353="","",INDEX($L$6:$L$40000,$Y1353)&amp;"")</f>
        <v/>
      </c>
    </row>
    <row r="1354">
      <c r="Y1354" s="47">
        <f>IFERROR(MATCH(Library!M1354,$M$6:$M$40000,0),"")</f>
        <v/>
      </c>
      <c r="Z1354">
        <f>IF($Y1354="","",INDEX($C$6:$C$40000,$Y1354)&amp;"")</f>
        <v/>
      </c>
      <c r="AA1354" s="59">
        <f>IF($Y1354="","",IF(INDEX($D$6:$D$40000,$Y1354)="","",INDEX($D$6:$D$40000,$Y1354)))</f>
        <v/>
      </c>
      <c r="AB1354">
        <f>IF($Y1354="","",INDEX($L$6:$L$40000,$Y1354)&amp;"")</f>
        <v/>
      </c>
    </row>
    <row r="1355">
      <c r="Y1355" s="47">
        <f>IFERROR(MATCH(Library!M1355,$M$6:$M$40000,0),"")</f>
        <v/>
      </c>
      <c r="Z1355">
        <f>IF($Y1355="","",INDEX($C$6:$C$40000,$Y1355)&amp;"")</f>
        <v/>
      </c>
      <c r="AA1355" s="59">
        <f>IF($Y1355="","",IF(INDEX($D$6:$D$40000,$Y1355)="","",INDEX($D$6:$D$40000,$Y1355)))</f>
        <v/>
      </c>
      <c r="AB1355">
        <f>IF($Y1355="","",INDEX($L$6:$L$40000,$Y1355)&amp;"")</f>
        <v/>
      </c>
    </row>
    <row r="1356">
      <c r="Y1356" s="47">
        <f>IFERROR(MATCH(Library!M1356,$M$6:$M$40000,0),"")</f>
        <v/>
      </c>
      <c r="Z1356">
        <f>IF($Y1356="","",INDEX($C$6:$C$40000,$Y1356)&amp;"")</f>
        <v/>
      </c>
      <c r="AA1356" s="59">
        <f>IF($Y1356="","",IF(INDEX($D$6:$D$40000,$Y1356)="","",INDEX($D$6:$D$40000,$Y1356)))</f>
        <v/>
      </c>
      <c r="AB1356">
        <f>IF($Y1356="","",INDEX($L$6:$L$40000,$Y1356)&amp;"")</f>
        <v/>
      </c>
    </row>
    <row r="1357">
      <c r="Y1357" s="47">
        <f>IFERROR(MATCH(Library!M1357,$M$6:$M$40000,0),"")</f>
        <v/>
      </c>
      <c r="Z1357">
        <f>IF($Y1357="","",INDEX($C$6:$C$40000,$Y1357)&amp;"")</f>
        <v/>
      </c>
      <c r="AA1357" s="59">
        <f>IF($Y1357="","",IF(INDEX($D$6:$D$40000,$Y1357)="","",INDEX($D$6:$D$40000,$Y1357)))</f>
        <v/>
      </c>
      <c r="AB1357">
        <f>IF($Y1357="","",INDEX($L$6:$L$40000,$Y1357)&amp;"")</f>
        <v/>
      </c>
    </row>
    <row r="1358">
      <c r="Y1358" s="47">
        <f>IFERROR(MATCH(Library!M1358,$M$6:$M$40000,0),"")</f>
        <v/>
      </c>
      <c r="Z1358">
        <f>IF($Y1358="","",INDEX($C$6:$C$40000,$Y1358)&amp;"")</f>
        <v/>
      </c>
      <c r="AA1358" s="59">
        <f>IF($Y1358="","",IF(INDEX($D$6:$D$40000,$Y1358)="","",INDEX($D$6:$D$40000,$Y1358)))</f>
        <v/>
      </c>
      <c r="AB1358">
        <f>IF($Y1358="","",INDEX($L$6:$L$40000,$Y1358)&amp;"")</f>
        <v/>
      </c>
    </row>
    <row r="1359">
      <c r="Y1359" s="47">
        <f>IFERROR(MATCH(Library!M1359,$M$6:$M$40000,0),"")</f>
        <v/>
      </c>
      <c r="Z1359">
        <f>IF($Y1359="","",INDEX($C$6:$C$40000,$Y1359)&amp;"")</f>
        <v/>
      </c>
      <c r="AA1359" s="59">
        <f>IF($Y1359="","",IF(INDEX($D$6:$D$40000,$Y1359)="","",INDEX($D$6:$D$40000,$Y1359)))</f>
        <v/>
      </c>
      <c r="AB1359">
        <f>IF($Y1359="","",INDEX($L$6:$L$40000,$Y1359)&amp;"")</f>
        <v/>
      </c>
    </row>
    <row r="1360">
      <c r="Y1360" s="47">
        <f>IFERROR(MATCH(Library!M1360,$M$6:$M$40000,0),"")</f>
        <v/>
      </c>
      <c r="Z1360">
        <f>IF($Y1360="","",INDEX($C$6:$C$40000,$Y1360)&amp;"")</f>
        <v/>
      </c>
      <c r="AA1360" s="59">
        <f>IF($Y1360="","",IF(INDEX($D$6:$D$40000,$Y1360)="","",INDEX($D$6:$D$40000,$Y1360)))</f>
        <v/>
      </c>
      <c r="AB1360">
        <f>IF($Y1360="","",INDEX($L$6:$L$40000,$Y1360)&amp;"")</f>
        <v/>
      </c>
    </row>
    <row r="1361">
      <c r="Y1361" s="47">
        <f>IFERROR(MATCH(Library!M1361,$M$6:$M$40000,0),"")</f>
        <v/>
      </c>
      <c r="Z1361">
        <f>IF($Y1361="","",INDEX($C$6:$C$40000,$Y1361)&amp;"")</f>
        <v/>
      </c>
      <c r="AA1361" s="59">
        <f>IF($Y1361="","",IF(INDEX($D$6:$D$40000,$Y1361)="","",INDEX($D$6:$D$40000,$Y1361)))</f>
        <v/>
      </c>
      <c r="AB1361">
        <f>IF($Y1361="","",INDEX($L$6:$L$40000,$Y1361)&amp;"")</f>
        <v/>
      </c>
    </row>
    <row r="1362">
      <c r="Y1362" s="47">
        <f>IFERROR(MATCH(Library!M1362,$M$6:$M$40000,0),"")</f>
        <v/>
      </c>
      <c r="Z1362">
        <f>IF($Y1362="","",INDEX($C$6:$C$40000,$Y1362)&amp;"")</f>
        <v/>
      </c>
      <c r="AA1362" s="59">
        <f>IF($Y1362="","",IF(INDEX($D$6:$D$40000,$Y1362)="","",INDEX($D$6:$D$40000,$Y1362)))</f>
        <v/>
      </c>
      <c r="AB1362">
        <f>IF($Y1362="","",INDEX($L$6:$L$40000,$Y1362)&amp;"")</f>
        <v/>
      </c>
    </row>
    <row r="1363">
      <c r="Y1363" s="47">
        <f>IFERROR(MATCH(Library!M1363,$M$6:$M$40000,0),"")</f>
        <v/>
      </c>
      <c r="Z1363">
        <f>IF($Y1363="","",INDEX($C$6:$C$40000,$Y1363)&amp;"")</f>
        <v/>
      </c>
      <c r="AA1363" s="59">
        <f>IF($Y1363="","",IF(INDEX($D$6:$D$40000,$Y1363)="","",INDEX($D$6:$D$40000,$Y1363)))</f>
        <v/>
      </c>
      <c r="AB1363">
        <f>IF($Y1363="","",INDEX($L$6:$L$40000,$Y1363)&amp;"")</f>
        <v/>
      </c>
    </row>
    <row r="1364">
      <c r="Y1364" s="47">
        <f>IFERROR(MATCH(Library!M1364,$M$6:$M$40000,0),"")</f>
        <v/>
      </c>
      <c r="Z1364">
        <f>IF($Y1364="","",INDEX($C$6:$C$40000,$Y1364)&amp;"")</f>
        <v/>
      </c>
      <c r="AA1364" s="59">
        <f>IF($Y1364="","",IF(INDEX($D$6:$D$40000,$Y1364)="","",INDEX($D$6:$D$40000,$Y1364)))</f>
        <v/>
      </c>
      <c r="AB1364">
        <f>IF($Y1364="","",INDEX($L$6:$L$40000,$Y1364)&amp;"")</f>
        <v/>
      </c>
    </row>
    <row r="1365">
      <c r="Y1365" s="47">
        <f>IFERROR(MATCH(Library!M1365,$M$6:$M$40000,0),"")</f>
        <v/>
      </c>
      <c r="Z1365">
        <f>IF($Y1365="","",INDEX($C$6:$C$40000,$Y1365)&amp;"")</f>
        <v/>
      </c>
      <c r="AA1365" s="59">
        <f>IF($Y1365="","",IF(INDEX($D$6:$D$40000,$Y1365)="","",INDEX($D$6:$D$40000,$Y1365)))</f>
        <v/>
      </c>
      <c r="AB1365">
        <f>IF($Y1365="","",INDEX($L$6:$L$40000,$Y1365)&amp;"")</f>
        <v/>
      </c>
    </row>
    <row r="1366">
      <c r="Y1366" s="47">
        <f>IFERROR(MATCH(Library!M1366,$M$6:$M$40000,0),"")</f>
        <v/>
      </c>
      <c r="Z1366">
        <f>IF($Y1366="","",INDEX($C$6:$C$40000,$Y1366)&amp;"")</f>
        <v/>
      </c>
      <c r="AA1366" s="59">
        <f>IF($Y1366="","",IF(INDEX($D$6:$D$40000,$Y1366)="","",INDEX($D$6:$D$40000,$Y1366)))</f>
        <v/>
      </c>
      <c r="AB1366">
        <f>IF($Y1366="","",INDEX($L$6:$L$40000,$Y1366)&amp;"")</f>
        <v/>
      </c>
    </row>
    <row r="1367">
      <c r="Y1367" s="47">
        <f>IFERROR(MATCH(Library!M1367,$M$6:$M$40000,0),"")</f>
        <v/>
      </c>
      <c r="Z1367">
        <f>IF($Y1367="","",INDEX($C$6:$C$40000,$Y1367)&amp;"")</f>
        <v/>
      </c>
      <c r="AA1367" s="59">
        <f>IF($Y1367="","",IF(INDEX($D$6:$D$40000,$Y1367)="","",INDEX($D$6:$D$40000,$Y1367)))</f>
        <v/>
      </c>
      <c r="AB1367">
        <f>IF($Y1367="","",INDEX($L$6:$L$40000,$Y1367)&amp;"")</f>
        <v/>
      </c>
    </row>
    <row r="1368">
      <c r="Y1368" s="47">
        <f>IFERROR(MATCH(Library!M1368,$M$6:$M$40000,0),"")</f>
        <v/>
      </c>
      <c r="Z1368">
        <f>IF($Y1368="","",INDEX($C$6:$C$40000,$Y1368)&amp;"")</f>
        <v/>
      </c>
      <c r="AA1368" s="59">
        <f>IF($Y1368="","",IF(INDEX($D$6:$D$40000,$Y1368)="","",INDEX($D$6:$D$40000,$Y1368)))</f>
        <v/>
      </c>
      <c r="AB1368">
        <f>IF($Y1368="","",INDEX($L$6:$L$40000,$Y1368)&amp;"")</f>
        <v/>
      </c>
    </row>
    <row r="1369">
      <c r="Y1369" s="47">
        <f>IFERROR(MATCH(Library!M1369,$M$6:$M$40000,0),"")</f>
        <v/>
      </c>
      <c r="Z1369">
        <f>IF($Y1369="","",INDEX($C$6:$C$40000,$Y1369)&amp;"")</f>
        <v/>
      </c>
      <c r="AA1369" s="59">
        <f>IF($Y1369="","",IF(INDEX($D$6:$D$40000,$Y1369)="","",INDEX($D$6:$D$40000,$Y1369)))</f>
        <v/>
      </c>
      <c r="AB1369">
        <f>IF($Y1369="","",INDEX($L$6:$L$40000,$Y1369)&amp;"")</f>
        <v/>
      </c>
    </row>
    <row r="1370">
      <c r="Y1370" s="47">
        <f>IFERROR(MATCH(Library!M1370,$M$6:$M$40000,0),"")</f>
        <v/>
      </c>
      <c r="Z1370">
        <f>IF($Y1370="","",INDEX($C$6:$C$40000,$Y1370)&amp;"")</f>
        <v/>
      </c>
      <c r="AA1370" s="59">
        <f>IF($Y1370="","",IF(INDEX($D$6:$D$40000,$Y1370)="","",INDEX($D$6:$D$40000,$Y1370)))</f>
        <v/>
      </c>
      <c r="AB1370">
        <f>IF($Y1370="","",INDEX($L$6:$L$40000,$Y1370)&amp;"")</f>
        <v/>
      </c>
    </row>
    <row r="1371">
      <c r="Y1371" s="47">
        <f>IFERROR(MATCH(Library!M1371,$M$6:$M$40000,0),"")</f>
        <v/>
      </c>
      <c r="Z1371">
        <f>IF($Y1371="","",INDEX($C$6:$C$40000,$Y1371)&amp;"")</f>
        <v/>
      </c>
      <c r="AA1371" s="59">
        <f>IF($Y1371="","",IF(INDEX($D$6:$D$40000,$Y1371)="","",INDEX($D$6:$D$40000,$Y1371)))</f>
        <v/>
      </c>
      <c r="AB1371">
        <f>IF($Y1371="","",INDEX($L$6:$L$40000,$Y1371)&amp;"")</f>
        <v/>
      </c>
    </row>
    <row r="1372">
      <c r="Y1372" s="47">
        <f>IFERROR(MATCH(Library!M1372,$M$6:$M$40000,0),"")</f>
        <v/>
      </c>
      <c r="Z1372">
        <f>IF($Y1372="","",INDEX($C$6:$C$40000,$Y1372)&amp;"")</f>
        <v/>
      </c>
      <c r="AA1372" s="59">
        <f>IF($Y1372="","",IF(INDEX($D$6:$D$40000,$Y1372)="","",INDEX($D$6:$D$40000,$Y1372)))</f>
        <v/>
      </c>
      <c r="AB1372">
        <f>IF($Y1372="","",INDEX($L$6:$L$40000,$Y1372)&amp;"")</f>
        <v/>
      </c>
    </row>
    <row r="1373">
      <c r="Y1373" s="47">
        <f>IFERROR(MATCH(Library!M1373,$M$6:$M$40000,0),"")</f>
        <v/>
      </c>
      <c r="Z1373">
        <f>IF($Y1373="","",INDEX($C$6:$C$40000,$Y1373)&amp;"")</f>
        <v/>
      </c>
      <c r="AA1373" s="59">
        <f>IF($Y1373="","",IF(INDEX($D$6:$D$40000,$Y1373)="","",INDEX($D$6:$D$40000,$Y1373)))</f>
        <v/>
      </c>
      <c r="AB1373">
        <f>IF($Y1373="","",INDEX($L$6:$L$40000,$Y1373)&amp;"")</f>
        <v/>
      </c>
    </row>
    <row r="1374">
      <c r="Y1374" s="47">
        <f>IFERROR(MATCH(Library!M1374,$M$6:$M$40000,0),"")</f>
        <v/>
      </c>
      <c r="Z1374">
        <f>IF($Y1374="","",INDEX($C$6:$C$40000,$Y1374)&amp;"")</f>
        <v/>
      </c>
      <c r="AA1374" s="59">
        <f>IF($Y1374="","",IF(INDEX($D$6:$D$40000,$Y1374)="","",INDEX($D$6:$D$40000,$Y1374)))</f>
        <v/>
      </c>
      <c r="AB1374">
        <f>IF($Y1374="","",INDEX($L$6:$L$40000,$Y1374)&amp;"")</f>
        <v/>
      </c>
    </row>
    <row r="1375">
      <c r="Y1375" s="47">
        <f>IFERROR(MATCH(Library!M1375,$M$6:$M$40000,0),"")</f>
        <v/>
      </c>
      <c r="Z1375">
        <f>IF($Y1375="","",INDEX($C$6:$C$40000,$Y1375)&amp;"")</f>
        <v/>
      </c>
      <c r="AA1375" s="59">
        <f>IF($Y1375="","",IF(INDEX($D$6:$D$40000,$Y1375)="","",INDEX($D$6:$D$40000,$Y1375)))</f>
        <v/>
      </c>
      <c r="AB1375">
        <f>IF($Y1375="","",INDEX($L$6:$L$40000,$Y1375)&amp;"")</f>
        <v/>
      </c>
    </row>
    <row r="1376">
      <c r="Y1376" s="47">
        <f>IFERROR(MATCH(Library!M1376,$M$6:$M$40000,0),"")</f>
        <v/>
      </c>
      <c r="Z1376">
        <f>IF($Y1376="","",INDEX($C$6:$C$40000,$Y1376)&amp;"")</f>
        <v/>
      </c>
      <c r="AA1376" s="59">
        <f>IF($Y1376="","",IF(INDEX($D$6:$D$40000,$Y1376)="","",INDEX($D$6:$D$40000,$Y1376)))</f>
        <v/>
      </c>
      <c r="AB1376">
        <f>IF($Y1376="","",INDEX($L$6:$L$40000,$Y1376)&amp;"")</f>
        <v/>
      </c>
    </row>
    <row r="1377">
      <c r="Y1377" s="47">
        <f>IFERROR(MATCH(Library!M1377,$M$6:$M$40000,0),"")</f>
        <v/>
      </c>
      <c r="Z1377">
        <f>IF($Y1377="","",INDEX($C$6:$C$40000,$Y1377)&amp;"")</f>
        <v/>
      </c>
      <c r="AA1377" s="59">
        <f>IF($Y1377="","",IF(INDEX($D$6:$D$40000,$Y1377)="","",INDEX($D$6:$D$40000,$Y1377)))</f>
        <v/>
      </c>
      <c r="AB1377">
        <f>IF($Y1377="","",INDEX($L$6:$L$40000,$Y1377)&amp;"")</f>
        <v/>
      </c>
    </row>
    <row r="1378">
      <c r="Y1378" s="47">
        <f>IFERROR(MATCH(Library!M1378,$M$6:$M$40000,0),"")</f>
        <v/>
      </c>
      <c r="Z1378">
        <f>IF($Y1378="","",INDEX($C$6:$C$40000,$Y1378)&amp;"")</f>
        <v/>
      </c>
      <c r="AA1378" s="59">
        <f>IF($Y1378="","",IF(INDEX($D$6:$D$40000,$Y1378)="","",INDEX($D$6:$D$40000,$Y1378)))</f>
        <v/>
      </c>
      <c r="AB1378">
        <f>IF($Y1378="","",INDEX($L$6:$L$40000,$Y1378)&amp;"")</f>
        <v/>
      </c>
    </row>
    <row r="1379">
      <c r="Y1379" s="47">
        <f>IFERROR(MATCH(Library!M1379,$M$6:$M$40000,0),"")</f>
        <v/>
      </c>
      <c r="Z1379">
        <f>IF($Y1379="","",INDEX($C$6:$C$40000,$Y1379)&amp;"")</f>
        <v/>
      </c>
      <c r="AA1379" s="59">
        <f>IF($Y1379="","",IF(INDEX($D$6:$D$40000,$Y1379)="","",INDEX($D$6:$D$40000,$Y1379)))</f>
        <v/>
      </c>
      <c r="AB1379">
        <f>IF($Y1379="","",INDEX($L$6:$L$40000,$Y1379)&amp;"")</f>
        <v/>
      </c>
    </row>
    <row r="1380">
      <c r="Y1380" s="47">
        <f>IFERROR(MATCH(Library!M1380,$M$6:$M$40000,0),"")</f>
        <v/>
      </c>
      <c r="Z1380">
        <f>IF($Y1380="","",INDEX($C$6:$C$40000,$Y1380)&amp;"")</f>
        <v/>
      </c>
      <c r="AA1380" s="59">
        <f>IF($Y1380="","",IF(INDEX($D$6:$D$40000,$Y1380)="","",INDEX($D$6:$D$40000,$Y1380)))</f>
        <v/>
      </c>
      <c r="AB1380">
        <f>IF($Y1380="","",INDEX($L$6:$L$40000,$Y1380)&amp;"")</f>
        <v/>
      </c>
    </row>
    <row r="1381">
      <c r="Y1381" s="47">
        <f>IFERROR(MATCH(Library!M1381,$M$6:$M$40000,0),"")</f>
        <v/>
      </c>
      <c r="Z1381">
        <f>IF($Y1381="","",INDEX($C$6:$C$40000,$Y1381)&amp;"")</f>
        <v/>
      </c>
      <c r="AA1381" s="59">
        <f>IF($Y1381="","",IF(INDEX($D$6:$D$40000,$Y1381)="","",INDEX($D$6:$D$40000,$Y1381)))</f>
        <v/>
      </c>
      <c r="AB1381">
        <f>IF($Y1381="","",INDEX($L$6:$L$40000,$Y1381)&amp;"")</f>
        <v/>
      </c>
    </row>
    <row r="1382">
      <c r="Y1382" s="47">
        <f>IFERROR(MATCH(Library!M1382,$M$6:$M$40000,0),"")</f>
        <v/>
      </c>
      <c r="Z1382">
        <f>IF($Y1382="","",INDEX($C$6:$C$40000,$Y1382)&amp;"")</f>
        <v/>
      </c>
      <c r="AA1382" s="59">
        <f>IF($Y1382="","",IF(INDEX($D$6:$D$40000,$Y1382)="","",INDEX($D$6:$D$40000,$Y1382)))</f>
        <v/>
      </c>
      <c r="AB1382">
        <f>IF($Y1382="","",INDEX($L$6:$L$40000,$Y1382)&amp;"")</f>
        <v/>
      </c>
    </row>
    <row r="1383">
      <c r="Y1383" s="47">
        <f>IFERROR(MATCH(Library!M1383,$M$6:$M$40000,0),"")</f>
        <v/>
      </c>
      <c r="Z1383">
        <f>IF($Y1383="","",INDEX($C$6:$C$40000,$Y1383)&amp;"")</f>
        <v/>
      </c>
      <c r="AA1383" s="59">
        <f>IF($Y1383="","",IF(INDEX($D$6:$D$40000,$Y1383)="","",INDEX($D$6:$D$40000,$Y1383)))</f>
        <v/>
      </c>
      <c r="AB1383">
        <f>IF($Y1383="","",INDEX($L$6:$L$40000,$Y1383)&amp;"")</f>
        <v/>
      </c>
    </row>
    <row r="1384">
      <c r="Y1384" s="47">
        <f>IFERROR(MATCH(Library!M1384,$M$6:$M$40000,0),"")</f>
        <v/>
      </c>
      <c r="Z1384">
        <f>IF($Y1384="","",INDEX($C$6:$C$40000,$Y1384)&amp;"")</f>
        <v/>
      </c>
      <c r="AA1384" s="59">
        <f>IF($Y1384="","",IF(INDEX($D$6:$D$40000,$Y1384)="","",INDEX($D$6:$D$40000,$Y1384)))</f>
        <v/>
      </c>
      <c r="AB1384">
        <f>IF($Y1384="","",INDEX($L$6:$L$40000,$Y1384)&amp;"")</f>
        <v/>
      </c>
    </row>
    <row r="1385">
      <c r="Y1385" s="47">
        <f>IFERROR(MATCH(Library!M1385,$M$6:$M$40000,0),"")</f>
        <v/>
      </c>
      <c r="Z1385">
        <f>IF($Y1385="","",INDEX($C$6:$C$40000,$Y1385)&amp;"")</f>
        <v/>
      </c>
      <c r="AA1385" s="59">
        <f>IF($Y1385="","",IF(INDEX($D$6:$D$40000,$Y1385)="","",INDEX($D$6:$D$40000,$Y1385)))</f>
        <v/>
      </c>
      <c r="AB1385">
        <f>IF($Y1385="","",INDEX($L$6:$L$40000,$Y1385)&amp;"")</f>
        <v/>
      </c>
    </row>
    <row r="1386">
      <c r="Y1386" s="47">
        <f>IFERROR(MATCH(Library!M1386,$M$6:$M$40000,0),"")</f>
        <v/>
      </c>
      <c r="Z1386">
        <f>IF($Y1386="","",INDEX($C$6:$C$40000,$Y1386)&amp;"")</f>
        <v/>
      </c>
      <c r="AA1386" s="59">
        <f>IF($Y1386="","",IF(INDEX($D$6:$D$40000,$Y1386)="","",INDEX($D$6:$D$40000,$Y1386)))</f>
        <v/>
      </c>
      <c r="AB1386">
        <f>IF($Y1386="","",INDEX($L$6:$L$40000,$Y1386)&amp;"")</f>
        <v/>
      </c>
    </row>
    <row r="1387">
      <c r="Y1387" s="47">
        <f>IFERROR(MATCH(Library!M1387,$M$6:$M$40000,0),"")</f>
        <v/>
      </c>
      <c r="Z1387">
        <f>IF($Y1387="","",INDEX($C$6:$C$40000,$Y1387)&amp;"")</f>
        <v/>
      </c>
      <c r="AA1387" s="59">
        <f>IF($Y1387="","",IF(INDEX($D$6:$D$40000,$Y1387)="","",INDEX($D$6:$D$40000,$Y1387)))</f>
        <v/>
      </c>
      <c r="AB1387">
        <f>IF($Y1387="","",INDEX($L$6:$L$40000,$Y1387)&amp;"")</f>
        <v/>
      </c>
    </row>
    <row r="1388">
      <c r="Y1388" s="47">
        <f>IFERROR(MATCH(Library!M1388,$M$6:$M$40000,0),"")</f>
        <v/>
      </c>
      <c r="Z1388">
        <f>IF($Y1388="","",INDEX($C$6:$C$40000,$Y1388)&amp;"")</f>
        <v/>
      </c>
      <c r="AA1388" s="59">
        <f>IF($Y1388="","",IF(INDEX($D$6:$D$40000,$Y1388)="","",INDEX($D$6:$D$40000,$Y1388)))</f>
        <v/>
      </c>
      <c r="AB1388">
        <f>IF($Y1388="","",INDEX($L$6:$L$40000,$Y1388)&amp;"")</f>
        <v/>
      </c>
    </row>
    <row r="1389">
      <c r="Y1389" s="47">
        <f>IFERROR(MATCH(Library!M1389,$M$6:$M$40000,0),"")</f>
        <v/>
      </c>
      <c r="Z1389">
        <f>IF($Y1389="","",INDEX($C$6:$C$40000,$Y1389)&amp;"")</f>
        <v/>
      </c>
      <c r="AA1389" s="59">
        <f>IF($Y1389="","",IF(INDEX($D$6:$D$40000,$Y1389)="","",INDEX($D$6:$D$40000,$Y1389)))</f>
        <v/>
      </c>
      <c r="AB1389">
        <f>IF($Y1389="","",INDEX($L$6:$L$40000,$Y1389)&amp;"")</f>
        <v/>
      </c>
    </row>
    <row r="1390">
      <c r="Y1390" s="47">
        <f>IFERROR(MATCH(Library!M1390,$M$6:$M$40000,0),"")</f>
        <v/>
      </c>
      <c r="Z1390">
        <f>IF($Y1390="","",INDEX($C$6:$C$40000,$Y1390)&amp;"")</f>
        <v/>
      </c>
      <c r="AA1390" s="59">
        <f>IF($Y1390="","",IF(INDEX($D$6:$D$40000,$Y1390)="","",INDEX($D$6:$D$40000,$Y1390)))</f>
        <v/>
      </c>
      <c r="AB1390">
        <f>IF($Y1390="","",INDEX($L$6:$L$40000,$Y1390)&amp;"")</f>
        <v/>
      </c>
    </row>
    <row r="1391">
      <c r="Y1391" s="47">
        <f>IFERROR(MATCH(Library!M1391,$M$6:$M$40000,0),"")</f>
        <v/>
      </c>
      <c r="Z1391">
        <f>IF($Y1391="","",INDEX($C$6:$C$40000,$Y1391)&amp;"")</f>
        <v/>
      </c>
      <c r="AA1391" s="59">
        <f>IF($Y1391="","",IF(INDEX($D$6:$D$40000,$Y1391)="","",INDEX($D$6:$D$40000,$Y1391)))</f>
        <v/>
      </c>
      <c r="AB1391">
        <f>IF($Y1391="","",INDEX($L$6:$L$40000,$Y1391)&amp;"")</f>
        <v/>
      </c>
    </row>
    <row r="1392">
      <c r="Y1392" s="47">
        <f>IFERROR(MATCH(Library!M1392,$M$6:$M$40000,0),"")</f>
        <v/>
      </c>
      <c r="Z1392">
        <f>IF($Y1392="","",INDEX($C$6:$C$40000,$Y1392)&amp;"")</f>
        <v/>
      </c>
      <c r="AA1392" s="59">
        <f>IF($Y1392="","",IF(INDEX($D$6:$D$40000,$Y1392)="","",INDEX($D$6:$D$40000,$Y1392)))</f>
        <v/>
      </c>
      <c r="AB1392">
        <f>IF($Y1392="","",INDEX($L$6:$L$40000,$Y1392)&amp;"")</f>
        <v/>
      </c>
    </row>
    <row r="1393">
      <c r="Y1393" s="47">
        <f>IFERROR(MATCH(Library!M1393,$M$6:$M$40000,0),"")</f>
        <v/>
      </c>
      <c r="Z1393">
        <f>IF($Y1393="","",INDEX($C$6:$C$40000,$Y1393)&amp;"")</f>
        <v/>
      </c>
      <c r="AA1393" s="59">
        <f>IF($Y1393="","",IF(INDEX($D$6:$D$40000,$Y1393)="","",INDEX($D$6:$D$40000,$Y1393)))</f>
        <v/>
      </c>
      <c r="AB1393">
        <f>IF($Y1393="","",INDEX($L$6:$L$40000,$Y1393)&amp;"")</f>
        <v/>
      </c>
    </row>
    <row r="1394">
      <c r="Y1394" s="47">
        <f>IFERROR(MATCH(Library!M1394,$M$6:$M$40000,0),"")</f>
        <v/>
      </c>
      <c r="Z1394">
        <f>IF($Y1394="","",INDEX($C$6:$C$40000,$Y1394)&amp;"")</f>
        <v/>
      </c>
      <c r="AA1394" s="59">
        <f>IF($Y1394="","",IF(INDEX($D$6:$D$40000,$Y1394)="","",INDEX($D$6:$D$40000,$Y1394)))</f>
        <v/>
      </c>
      <c r="AB1394">
        <f>IF($Y1394="","",INDEX($L$6:$L$40000,$Y1394)&amp;"")</f>
        <v/>
      </c>
    </row>
    <row r="1395">
      <c r="Y1395" s="47">
        <f>IFERROR(MATCH(Library!M1395,$M$6:$M$40000,0),"")</f>
        <v/>
      </c>
      <c r="Z1395">
        <f>IF($Y1395="","",INDEX($C$6:$C$40000,$Y1395)&amp;"")</f>
        <v/>
      </c>
      <c r="AA1395" s="59">
        <f>IF($Y1395="","",IF(INDEX($D$6:$D$40000,$Y1395)="","",INDEX($D$6:$D$40000,$Y1395)))</f>
        <v/>
      </c>
      <c r="AB1395">
        <f>IF($Y1395="","",INDEX($L$6:$L$40000,$Y1395)&amp;"")</f>
        <v/>
      </c>
    </row>
    <row r="1396">
      <c r="Y1396" s="47">
        <f>IFERROR(MATCH(Library!M1396,$M$6:$M$40000,0),"")</f>
        <v/>
      </c>
      <c r="Z1396">
        <f>IF($Y1396="","",INDEX($C$6:$C$40000,$Y1396)&amp;"")</f>
        <v/>
      </c>
      <c r="AA1396" s="59">
        <f>IF($Y1396="","",IF(INDEX($D$6:$D$40000,$Y1396)="","",INDEX($D$6:$D$40000,$Y1396)))</f>
        <v/>
      </c>
      <c r="AB1396">
        <f>IF($Y1396="","",INDEX($L$6:$L$40000,$Y1396)&amp;"")</f>
        <v/>
      </c>
    </row>
    <row r="1397">
      <c r="Y1397" s="47">
        <f>IFERROR(MATCH(Library!M1397,$M$6:$M$40000,0),"")</f>
        <v/>
      </c>
      <c r="Z1397">
        <f>IF($Y1397="","",INDEX($C$6:$C$40000,$Y1397)&amp;"")</f>
        <v/>
      </c>
      <c r="AA1397" s="59">
        <f>IF($Y1397="","",IF(INDEX($D$6:$D$40000,$Y1397)="","",INDEX($D$6:$D$40000,$Y1397)))</f>
        <v/>
      </c>
      <c r="AB1397">
        <f>IF($Y1397="","",INDEX($L$6:$L$40000,$Y1397)&amp;"")</f>
        <v/>
      </c>
    </row>
    <row r="1398">
      <c r="Y1398" s="47">
        <f>IFERROR(MATCH(Library!M1398,$M$6:$M$40000,0),"")</f>
        <v/>
      </c>
      <c r="Z1398">
        <f>IF($Y1398="","",INDEX($C$6:$C$40000,$Y1398)&amp;"")</f>
        <v/>
      </c>
      <c r="AA1398" s="59">
        <f>IF($Y1398="","",IF(INDEX($D$6:$D$40000,$Y1398)="","",INDEX($D$6:$D$40000,$Y1398)))</f>
        <v/>
      </c>
      <c r="AB1398">
        <f>IF($Y1398="","",INDEX($L$6:$L$40000,$Y1398)&amp;"")</f>
        <v/>
      </c>
    </row>
    <row r="1399">
      <c r="Y1399" s="47">
        <f>IFERROR(MATCH(Library!M1399,$M$6:$M$40000,0),"")</f>
        <v/>
      </c>
      <c r="Z1399">
        <f>IF($Y1399="","",INDEX($C$6:$C$40000,$Y1399)&amp;"")</f>
        <v/>
      </c>
      <c r="AA1399" s="59">
        <f>IF($Y1399="","",IF(INDEX($D$6:$D$40000,$Y1399)="","",INDEX($D$6:$D$40000,$Y1399)))</f>
        <v/>
      </c>
      <c r="AB1399">
        <f>IF($Y1399="","",INDEX($L$6:$L$40000,$Y1399)&amp;"")</f>
        <v/>
      </c>
    </row>
    <row r="1400">
      <c r="Y1400" s="47">
        <f>IFERROR(MATCH(Library!M1400,$M$6:$M$40000,0),"")</f>
        <v/>
      </c>
      <c r="Z1400">
        <f>IF($Y1400="","",INDEX($C$6:$C$40000,$Y1400)&amp;"")</f>
        <v/>
      </c>
      <c r="AA1400" s="59">
        <f>IF($Y1400="","",IF(INDEX($D$6:$D$40000,$Y1400)="","",INDEX($D$6:$D$40000,$Y1400)))</f>
        <v/>
      </c>
      <c r="AB1400">
        <f>IF($Y1400="","",INDEX($L$6:$L$40000,$Y1400)&amp;"")</f>
        <v/>
      </c>
    </row>
    <row r="1401">
      <c r="Y1401" s="47">
        <f>IFERROR(MATCH(Library!M1401,$M$6:$M$40000,0),"")</f>
        <v/>
      </c>
      <c r="Z1401">
        <f>IF($Y1401="","",INDEX($C$6:$C$40000,$Y1401)&amp;"")</f>
        <v/>
      </c>
      <c r="AA1401" s="59">
        <f>IF($Y1401="","",IF(INDEX($D$6:$D$40000,$Y1401)="","",INDEX($D$6:$D$40000,$Y1401)))</f>
        <v/>
      </c>
      <c r="AB1401">
        <f>IF($Y1401="","",INDEX($L$6:$L$40000,$Y1401)&amp;"")</f>
        <v/>
      </c>
    </row>
    <row r="1402">
      <c r="Y1402" s="47">
        <f>IFERROR(MATCH(Library!M1402,$M$6:$M$40000,0),"")</f>
        <v/>
      </c>
      <c r="Z1402">
        <f>IF($Y1402="","",INDEX($C$6:$C$40000,$Y1402)&amp;"")</f>
        <v/>
      </c>
      <c r="AA1402" s="59">
        <f>IF($Y1402="","",IF(INDEX($D$6:$D$40000,$Y1402)="","",INDEX($D$6:$D$40000,$Y1402)))</f>
        <v/>
      </c>
      <c r="AB1402">
        <f>IF($Y1402="","",INDEX($L$6:$L$40000,$Y1402)&amp;"")</f>
        <v/>
      </c>
    </row>
    <row r="1403">
      <c r="Y1403" s="47">
        <f>IFERROR(MATCH(Library!M1403,$M$6:$M$40000,0),"")</f>
        <v/>
      </c>
      <c r="Z1403">
        <f>IF($Y1403="","",INDEX($C$6:$C$40000,$Y1403)&amp;"")</f>
        <v/>
      </c>
      <c r="AA1403" s="59">
        <f>IF($Y1403="","",IF(INDEX($D$6:$D$40000,$Y1403)="","",INDEX($D$6:$D$40000,$Y1403)))</f>
        <v/>
      </c>
      <c r="AB1403">
        <f>IF($Y1403="","",INDEX($L$6:$L$40000,$Y1403)&amp;"")</f>
        <v/>
      </c>
    </row>
    <row r="1404">
      <c r="Y1404" s="47">
        <f>IFERROR(MATCH(Library!M1404,$M$6:$M$40000,0),"")</f>
        <v/>
      </c>
      <c r="Z1404">
        <f>IF($Y1404="","",INDEX($C$6:$C$40000,$Y1404)&amp;"")</f>
        <v/>
      </c>
      <c r="AA1404" s="59">
        <f>IF($Y1404="","",IF(INDEX($D$6:$D$40000,$Y1404)="","",INDEX($D$6:$D$40000,$Y1404)))</f>
        <v/>
      </c>
      <c r="AB1404">
        <f>IF($Y1404="","",INDEX($L$6:$L$40000,$Y1404)&amp;"")</f>
        <v/>
      </c>
    </row>
    <row r="1405">
      <c r="Y1405" s="47">
        <f>IFERROR(MATCH(Library!M1405,$M$6:$M$40000,0),"")</f>
        <v/>
      </c>
      <c r="Z1405">
        <f>IF($Y1405="","",INDEX($C$6:$C$40000,$Y1405)&amp;"")</f>
        <v/>
      </c>
      <c r="AA1405" s="59">
        <f>IF($Y1405="","",IF(INDEX($D$6:$D$40000,$Y1405)="","",INDEX($D$6:$D$40000,$Y1405)))</f>
        <v/>
      </c>
      <c r="AB1405">
        <f>IF($Y1405="","",INDEX($L$6:$L$40000,$Y1405)&amp;"")</f>
        <v/>
      </c>
    </row>
    <row r="1406">
      <c r="Y1406" s="47">
        <f>IFERROR(MATCH(Library!M1406,$M$6:$M$40000,0),"")</f>
        <v/>
      </c>
      <c r="Z1406">
        <f>IF($Y1406="","",INDEX($C$6:$C$40000,$Y1406)&amp;"")</f>
        <v/>
      </c>
      <c r="AA1406" s="59">
        <f>IF($Y1406="","",IF(INDEX($D$6:$D$40000,$Y1406)="","",INDEX($D$6:$D$40000,$Y1406)))</f>
        <v/>
      </c>
      <c r="AB1406">
        <f>IF($Y1406="","",INDEX($L$6:$L$40000,$Y1406)&amp;"")</f>
        <v/>
      </c>
    </row>
    <row r="1407">
      <c r="Y1407" s="47">
        <f>IFERROR(MATCH(Library!M1407,$M$6:$M$40000,0),"")</f>
        <v/>
      </c>
      <c r="Z1407">
        <f>IF($Y1407="","",INDEX($C$6:$C$40000,$Y1407)&amp;"")</f>
        <v/>
      </c>
      <c r="AA1407" s="59">
        <f>IF($Y1407="","",IF(INDEX($D$6:$D$40000,$Y1407)="","",INDEX($D$6:$D$40000,$Y1407)))</f>
        <v/>
      </c>
      <c r="AB1407">
        <f>IF($Y1407="","",INDEX($L$6:$L$40000,$Y1407)&amp;"")</f>
        <v/>
      </c>
    </row>
    <row r="1408">
      <c r="Y1408" s="47">
        <f>IFERROR(MATCH(Library!M1408,$M$6:$M$40000,0),"")</f>
        <v/>
      </c>
      <c r="Z1408">
        <f>IF($Y1408="","",INDEX($C$6:$C$40000,$Y1408)&amp;"")</f>
        <v/>
      </c>
      <c r="AA1408" s="59">
        <f>IF($Y1408="","",IF(INDEX($D$6:$D$40000,$Y1408)="","",INDEX($D$6:$D$40000,$Y1408)))</f>
        <v/>
      </c>
      <c r="AB1408">
        <f>IF($Y1408="","",INDEX($L$6:$L$40000,$Y1408)&amp;"")</f>
        <v/>
      </c>
    </row>
    <row r="1409">
      <c r="Y1409" s="47">
        <f>IFERROR(MATCH(Library!M1409,$M$6:$M$40000,0),"")</f>
        <v/>
      </c>
      <c r="Z1409">
        <f>IF($Y1409="","",INDEX($C$6:$C$40000,$Y1409)&amp;"")</f>
        <v/>
      </c>
      <c r="AA1409" s="59">
        <f>IF($Y1409="","",IF(INDEX($D$6:$D$40000,$Y1409)="","",INDEX($D$6:$D$40000,$Y1409)))</f>
        <v/>
      </c>
      <c r="AB1409">
        <f>IF($Y1409="","",INDEX($L$6:$L$40000,$Y1409)&amp;"")</f>
        <v/>
      </c>
    </row>
    <row r="1410">
      <c r="Y1410" s="47">
        <f>IFERROR(MATCH(Library!M1410,$M$6:$M$40000,0),"")</f>
        <v/>
      </c>
      <c r="Z1410">
        <f>IF($Y1410="","",INDEX($C$6:$C$40000,$Y1410)&amp;"")</f>
        <v/>
      </c>
      <c r="AA1410" s="59">
        <f>IF($Y1410="","",IF(INDEX($D$6:$D$40000,$Y1410)="","",INDEX($D$6:$D$40000,$Y1410)))</f>
        <v/>
      </c>
      <c r="AB1410">
        <f>IF($Y1410="","",INDEX($L$6:$L$40000,$Y1410)&amp;"")</f>
        <v/>
      </c>
    </row>
    <row r="1411">
      <c r="Y1411" s="47">
        <f>IFERROR(MATCH(Library!M1411,$M$6:$M$40000,0),"")</f>
        <v/>
      </c>
      <c r="Z1411">
        <f>IF($Y1411="","",INDEX($C$6:$C$40000,$Y1411)&amp;"")</f>
        <v/>
      </c>
      <c r="AA1411" s="59">
        <f>IF($Y1411="","",IF(INDEX($D$6:$D$40000,$Y1411)="","",INDEX($D$6:$D$40000,$Y1411)))</f>
        <v/>
      </c>
      <c r="AB1411">
        <f>IF($Y1411="","",INDEX($L$6:$L$40000,$Y1411)&amp;"")</f>
        <v/>
      </c>
    </row>
    <row r="1412">
      <c r="Y1412" s="47">
        <f>IFERROR(MATCH(Library!M1412,$M$6:$M$40000,0),"")</f>
        <v/>
      </c>
      <c r="Z1412">
        <f>IF($Y1412="","",INDEX($C$6:$C$40000,$Y1412)&amp;"")</f>
        <v/>
      </c>
      <c r="AA1412" s="59">
        <f>IF($Y1412="","",IF(INDEX($D$6:$D$40000,$Y1412)="","",INDEX($D$6:$D$40000,$Y1412)))</f>
        <v/>
      </c>
      <c r="AB1412">
        <f>IF($Y1412="","",INDEX($L$6:$L$40000,$Y1412)&amp;"")</f>
        <v/>
      </c>
    </row>
    <row r="1413">
      <c r="Y1413" s="47">
        <f>IFERROR(MATCH(Library!M1413,$M$6:$M$40000,0),"")</f>
        <v/>
      </c>
      <c r="Z1413">
        <f>IF($Y1413="","",INDEX($C$6:$C$40000,$Y1413)&amp;"")</f>
        <v/>
      </c>
      <c r="AA1413" s="59">
        <f>IF($Y1413="","",IF(INDEX($D$6:$D$40000,$Y1413)="","",INDEX($D$6:$D$40000,$Y1413)))</f>
        <v/>
      </c>
      <c r="AB1413">
        <f>IF($Y1413="","",INDEX($L$6:$L$40000,$Y1413)&amp;"")</f>
        <v/>
      </c>
    </row>
    <row r="1414">
      <c r="Y1414" s="47">
        <f>IFERROR(MATCH(Library!M1414,$M$6:$M$40000,0),"")</f>
        <v/>
      </c>
      <c r="Z1414">
        <f>IF($Y1414="","",INDEX($C$6:$C$40000,$Y1414)&amp;"")</f>
        <v/>
      </c>
      <c r="AA1414" s="59">
        <f>IF($Y1414="","",IF(INDEX($D$6:$D$40000,$Y1414)="","",INDEX($D$6:$D$40000,$Y1414)))</f>
        <v/>
      </c>
      <c r="AB1414">
        <f>IF($Y1414="","",INDEX($L$6:$L$40000,$Y1414)&amp;"")</f>
        <v/>
      </c>
    </row>
    <row r="1415">
      <c r="Y1415" s="47">
        <f>IFERROR(MATCH(Library!M1415,$M$6:$M$40000,0),"")</f>
        <v/>
      </c>
      <c r="Z1415">
        <f>IF($Y1415="","",INDEX($C$6:$C$40000,$Y1415)&amp;"")</f>
        <v/>
      </c>
      <c r="AA1415" s="59">
        <f>IF($Y1415="","",IF(INDEX($D$6:$D$40000,$Y1415)="","",INDEX($D$6:$D$40000,$Y1415)))</f>
        <v/>
      </c>
      <c r="AB1415">
        <f>IF($Y1415="","",INDEX($L$6:$L$40000,$Y1415)&amp;"")</f>
        <v/>
      </c>
    </row>
    <row r="1416">
      <c r="Y1416" s="47">
        <f>IFERROR(MATCH(Library!M1416,$M$6:$M$40000,0),"")</f>
        <v/>
      </c>
      <c r="Z1416">
        <f>IF($Y1416="","",INDEX($C$6:$C$40000,$Y1416)&amp;"")</f>
        <v/>
      </c>
      <c r="AA1416" s="59">
        <f>IF($Y1416="","",IF(INDEX($D$6:$D$40000,$Y1416)="","",INDEX($D$6:$D$40000,$Y1416)))</f>
        <v/>
      </c>
      <c r="AB1416">
        <f>IF($Y1416="","",INDEX($L$6:$L$40000,$Y1416)&amp;"")</f>
        <v/>
      </c>
    </row>
    <row r="1417">
      <c r="Y1417" s="47">
        <f>IFERROR(MATCH(Library!M1417,$M$6:$M$40000,0),"")</f>
        <v/>
      </c>
      <c r="Z1417">
        <f>IF($Y1417="","",INDEX($C$6:$C$40000,$Y1417)&amp;"")</f>
        <v/>
      </c>
      <c r="AA1417" s="59">
        <f>IF($Y1417="","",IF(INDEX($D$6:$D$40000,$Y1417)="","",INDEX($D$6:$D$40000,$Y1417)))</f>
        <v/>
      </c>
      <c r="AB1417">
        <f>IF($Y1417="","",INDEX($L$6:$L$40000,$Y1417)&amp;"")</f>
        <v/>
      </c>
    </row>
    <row r="1418">
      <c r="Y1418" s="47">
        <f>IFERROR(MATCH(Library!M1418,$M$6:$M$40000,0),"")</f>
        <v/>
      </c>
      <c r="Z1418">
        <f>IF($Y1418="","",INDEX($C$6:$C$40000,$Y1418)&amp;"")</f>
        <v/>
      </c>
      <c r="AA1418" s="59">
        <f>IF($Y1418="","",IF(INDEX($D$6:$D$40000,$Y1418)="","",INDEX($D$6:$D$40000,$Y1418)))</f>
        <v/>
      </c>
      <c r="AB1418">
        <f>IF($Y1418="","",INDEX($L$6:$L$40000,$Y1418)&amp;"")</f>
        <v/>
      </c>
    </row>
    <row r="1419">
      <c r="Y1419" s="47">
        <f>IFERROR(MATCH(Library!M1419,$M$6:$M$40000,0),"")</f>
        <v/>
      </c>
      <c r="Z1419">
        <f>IF($Y1419="","",INDEX($C$6:$C$40000,$Y1419)&amp;"")</f>
        <v/>
      </c>
      <c r="AA1419" s="59">
        <f>IF($Y1419="","",IF(INDEX($D$6:$D$40000,$Y1419)="","",INDEX($D$6:$D$40000,$Y1419)))</f>
        <v/>
      </c>
      <c r="AB1419">
        <f>IF($Y1419="","",INDEX($L$6:$L$40000,$Y1419)&amp;"")</f>
        <v/>
      </c>
    </row>
    <row r="1420">
      <c r="Y1420" s="47">
        <f>IFERROR(MATCH(Library!M1420,$M$6:$M$40000,0),"")</f>
        <v/>
      </c>
      <c r="Z1420">
        <f>IF($Y1420="","",INDEX($C$6:$C$40000,$Y1420)&amp;"")</f>
        <v/>
      </c>
      <c r="AA1420" s="59">
        <f>IF($Y1420="","",IF(INDEX($D$6:$D$40000,$Y1420)="","",INDEX($D$6:$D$40000,$Y1420)))</f>
        <v/>
      </c>
      <c r="AB1420">
        <f>IF($Y1420="","",INDEX($L$6:$L$40000,$Y1420)&amp;"")</f>
        <v/>
      </c>
    </row>
    <row r="1421">
      <c r="Y1421" s="47">
        <f>IFERROR(MATCH(Library!M1421,$M$6:$M$40000,0),"")</f>
        <v/>
      </c>
      <c r="Z1421">
        <f>IF($Y1421="","",INDEX($C$6:$C$40000,$Y1421)&amp;"")</f>
        <v/>
      </c>
      <c r="AA1421" s="59">
        <f>IF($Y1421="","",IF(INDEX($D$6:$D$40000,$Y1421)="","",INDEX($D$6:$D$40000,$Y1421)))</f>
        <v/>
      </c>
      <c r="AB1421">
        <f>IF($Y1421="","",INDEX($L$6:$L$40000,$Y1421)&amp;"")</f>
        <v/>
      </c>
    </row>
    <row r="1422">
      <c r="Y1422" s="47">
        <f>IFERROR(MATCH(Library!M1422,$M$6:$M$40000,0),"")</f>
        <v/>
      </c>
      <c r="Z1422">
        <f>IF($Y1422="","",INDEX($C$6:$C$40000,$Y1422)&amp;"")</f>
        <v/>
      </c>
      <c r="AA1422" s="59">
        <f>IF($Y1422="","",IF(INDEX($D$6:$D$40000,$Y1422)="","",INDEX($D$6:$D$40000,$Y1422)))</f>
        <v/>
      </c>
      <c r="AB1422">
        <f>IF($Y1422="","",INDEX($L$6:$L$40000,$Y1422)&amp;"")</f>
        <v/>
      </c>
    </row>
    <row r="1423">
      <c r="Y1423" s="47">
        <f>IFERROR(MATCH(Library!M1423,$M$6:$M$40000,0),"")</f>
        <v/>
      </c>
      <c r="Z1423">
        <f>IF($Y1423="","",INDEX($C$6:$C$40000,$Y1423)&amp;"")</f>
        <v/>
      </c>
      <c r="AA1423" s="59">
        <f>IF($Y1423="","",IF(INDEX($D$6:$D$40000,$Y1423)="","",INDEX($D$6:$D$40000,$Y1423)))</f>
        <v/>
      </c>
      <c r="AB1423">
        <f>IF($Y1423="","",INDEX($L$6:$L$40000,$Y1423)&amp;"")</f>
        <v/>
      </c>
    </row>
    <row r="1424">
      <c r="Y1424" s="47">
        <f>IFERROR(MATCH(Library!M1424,$M$6:$M$40000,0),"")</f>
        <v/>
      </c>
      <c r="Z1424">
        <f>IF($Y1424="","",INDEX($C$6:$C$40000,$Y1424)&amp;"")</f>
        <v/>
      </c>
      <c r="AA1424" s="59">
        <f>IF($Y1424="","",IF(INDEX($D$6:$D$40000,$Y1424)="","",INDEX($D$6:$D$40000,$Y1424)))</f>
        <v/>
      </c>
      <c r="AB1424">
        <f>IF($Y1424="","",INDEX($L$6:$L$40000,$Y1424)&amp;"")</f>
        <v/>
      </c>
    </row>
    <row r="1425">
      <c r="Y1425" s="47">
        <f>IFERROR(MATCH(Library!M1425,$M$6:$M$40000,0),"")</f>
        <v/>
      </c>
      <c r="Z1425">
        <f>IF($Y1425="","",INDEX($C$6:$C$40000,$Y1425)&amp;"")</f>
        <v/>
      </c>
      <c r="AA1425" s="59">
        <f>IF($Y1425="","",IF(INDEX($D$6:$D$40000,$Y1425)="","",INDEX($D$6:$D$40000,$Y1425)))</f>
        <v/>
      </c>
      <c r="AB1425">
        <f>IF($Y1425="","",INDEX($L$6:$L$40000,$Y1425)&amp;"")</f>
        <v/>
      </c>
    </row>
    <row r="1426">
      <c r="Y1426" s="47">
        <f>IFERROR(MATCH(Library!M1426,$M$6:$M$40000,0),"")</f>
        <v/>
      </c>
      <c r="Z1426">
        <f>IF($Y1426="","",INDEX($C$6:$C$40000,$Y1426)&amp;"")</f>
        <v/>
      </c>
      <c r="AA1426" s="59">
        <f>IF($Y1426="","",IF(INDEX($D$6:$D$40000,$Y1426)="","",INDEX($D$6:$D$40000,$Y1426)))</f>
        <v/>
      </c>
      <c r="AB1426">
        <f>IF($Y1426="","",INDEX($L$6:$L$40000,$Y1426)&amp;"")</f>
        <v/>
      </c>
    </row>
    <row r="1427">
      <c r="Y1427" s="47">
        <f>IFERROR(MATCH(Library!M1427,$M$6:$M$40000,0),"")</f>
        <v/>
      </c>
      <c r="Z1427">
        <f>IF($Y1427="","",INDEX($C$6:$C$40000,$Y1427)&amp;"")</f>
        <v/>
      </c>
      <c r="AA1427" s="59">
        <f>IF($Y1427="","",IF(INDEX($D$6:$D$40000,$Y1427)="","",INDEX($D$6:$D$40000,$Y1427)))</f>
        <v/>
      </c>
      <c r="AB1427">
        <f>IF($Y1427="","",INDEX($L$6:$L$40000,$Y1427)&amp;"")</f>
        <v/>
      </c>
    </row>
    <row r="1428">
      <c r="Y1428" s="47">
        <f>IFERROR(MATCH(Library!M1428,$M$6:$M$40000,0),"")</f>
        <v/>
      </c>
      <c r="Z1428">
        <f>IF($Y1428="","",INDEX($C$6:$C$40000,$Y1428)&amp;"")</f>
        <v/>
      </c>
      <c r="AA1428" s="59">
        <f>IF($Y1428="","",IF(INDEX($D$6:$D$40000,$Y1428)="","",INDEX($D$6:$D$40000,$Y1428)))</f>
        <v/>
      </c>
      <c r="AB1428">
        <f>IF($Y1428="","",INDEX($L$6:$L$40000,$Y1428)&amp;"")</f>
        <v/>
      </c>
    </row>
    <row r="1429">
      <c r="Y1429" s="47">
        <f>IFERROR(MATCH(Library!M1429,$M$6:$M$40000,0),"")</f>
        <v/>
      </c>
      <c r="Z1429">
        <f>IF($Y1429="","",INDEX($C$6:$C$40000,$Y1429)&amp;"")</f>
        <v/>
      </c>
      <c r="AA1429" s="59">
        <f>IF($Y1429="","",IF(INDEX($D$6:$D$40000,$Y1429)="","",INDEX($D$6:$D$40000,$Y1429)))</f>
        <v/>
      </c>
      <c r="AB1429">
        <f>IF($Y1429="","",INDEX($L$6:$L$40000,$Y1429)&amp;"")</f>
        <v/>
      </c>
    </row>
    <row r="1430">
      <c r="Y1430" s="47">
        <f>IFERROR(MATCH(Library!M1430,$M$6:$M$40000,0),"")</f>
        <v/>
      </c>
      <c r="Z1430">
        <f>IF($Y1430="","",INDEX($C$6:$C$40000,$Y1430)&amp;"")</f>
        <v/>
      </c>
      <c r="AA1430" s="59">
        <f>IF($Y1430="","",IF(INDEX($D$6:$D$40000,$Y1430)="","",INDEX($D$6:$D$40000,$Y1430)))</f>
        <v/>
      </c>
      <c r="AB1430">
        <f>IF($Y1430="","",INDEX($L$6:$L$40000,$Y1430)&amp;"")</f>
        <v/>
      </c>
    </row>
    <row r="1431">
      <c r="Y1431" s="47">
        <f>IFERROR(MATCH(Library!M1431,$M$6:$M$40000,0),"")</f>
        <v/>
      </c>
      <c r="Z1431">
        <f>IF($Y1431="","",INDEX($C$6:$C$40000,$Y1431)&amp;"")</f>
        <v/>
      </c>
      <c r="AA1431" s="59">
        <f>IF($Y1431="","",IF(INDEX($D$6:$D$40000,$Y1431)="","",INDEX($D$6:$D$40000,$Y1431)))</f>
        <v/>
      </c>
      <c r="AB1431">
        <f>IF($Y1431="","",INDEX($L$6:$L$40000,$Y1431)&amp;"")</f>
        <v/>
      </c>
    </row>
    <row r="1432">
      <c r="Y1432" s="47">
        <f>IFERROR(MATCH(Library!M1432,$M$6:$M$40000,0),"")</f>
        <v/>
      </c>
      <c r="Z1432">
        <f>IF($Y1432="","",INDEX($C$6:$C$40000,$Y1432)&amp;"")</f>
        <v/>
      </c>
      <c r="AA1432" s="59">
        <f>IF($Y1432="","",IF(INDEX($D$6:$D$40000,$Y1432)="","",INDEX($D$6:$D$40000,$Y1432)))</f>
        <v/>
      </c>
      <c r="AB1432">
        <f>IF($Y1432="","",INDEX($L$6:$L$40000,$Y1432)&amp;"")</f>
        <v/>
      </c>
    </row>
    <row r="1433">
      <c r="Y1433" s="47">
        <f>IFERROR(MATCH(Library!M1433,$M$6:$M$40000,0),"")</f>
        <v/>
      </c>
      <c r="Z1433">
        <f>IF($Y1433="","",INDEX($C$6:$C$40000,$Y1433)&amp;"")</f>
        <v/>
      </c>
      <c r="AA1433" s="59">
        <f>IF($Y1433="","",IF(INDEX($D$6:$D$40000,$Y1433)="","",INDEX($D$6:$D$40000,$Y1433)))</f>
        <v/>
      </c>
      <c r="AB1433">
        <f>IF($Y1433="","",INDEX($L$6:$L$40000,$Y1433)&amp;"")</f>
        <v/>
      </c>
    </row>
    <row r="1434">
      <c r="Y1434" s="47">
        <f>IFERROR(MATCH(Library!M1434,$M$6:$M$40000,0),"")</f>
        <v/>
      </c>
      <c r="Z1434">
        <f>IF($Y1434="","",INDEX($C$6:$C$40000,$Y1434)&amp;"")</f>
        <v/>
      </c>
      <c r="AA1434" s="59">
        <f>IF($Y1434="","",IF(INDEX($D$6:$D$40000,$Y1434)="","",INDEX($D$6:$D$40000,$Y1434)))</f>
        <v/>
      </c>
      <c r="AB1434">
        <f>IF($Y1434="","",INDEX($L$6:$L$40000,$Y1434)&amp;"")</f>
        <v/>
      </c>
    </row>
    <row r="1435">
      <c r="Y1435" s="47">
        <f>IFERROR(MATCH(Library!M1435,$M$6:$M$40000,0),"")</f>
        <v/>
      </c>
      <c r="Z1435">
        <f>IF($Y1435="","",INDEX($C$6:$C$40000,$Y1435)&amp;"")</f>
        <v/>
      </c>
      <c r="AA1435" s="59">
        <f>IF($Y1435="","",IF(INDEX($D$6:$D$40000,$Y1435)="","",INDEX($D$6:$D$40000,$Y1435)))</f>
        <v/>
      </c>
      <c r="AB1435">
        <f>IF($Y1435="","",INDEX($L$6:$L$40000,$Y1435)&amp;"")</f>
        <v/>
      </c>
    </row>
    <row r="1436">
      <c r="Y1436" s="47">
        <f>IFERROR(MATCH(Library!M1436,$M$6:$M$40000,0),"")</f>
        <v/>
      </c>
      <c r="Z1436">
        <f>IF($Y1436="","",INDEX($C$6:$C$40000,$Y1436)&amp;"")</f>
        <v/>
      </c>
      <c r="AA1436" s="59">
        <f>IF($Y1436="","",IF(INDEX($D$6:$D$40000,$Y1436)="","",INDEX($D$6:$D$40000,$Y1436)))</f>
        <v/>
      </c>
      <c r="AB1436">
        <f>IF($Y1436="","",INDEX($L$6:$L$40000,$Y1436)&amp;"")</f>
        <v/>
      </c>
    </row>
    <row r="1437">
      <c r="Y1437" s="47">
        <f>IFERROR(MATCH(Library!M1437,$M$6:$M$40000,0),"")</f>
        <v/>
      </c>
      <c r="Z1437">
        <f>IF($Y1437="","",INDEX($C$6:$C$40000,$Y1437)&amp;"")</f>
        <v/>
      </c>
      <c r="AA1437" s="59">
        <f>IF($Y1437="","",IF(INDEX($D$6:$D$40000,$Y1437)="","",INDEX($D$6:$D$40000,$Y1437)))</f>
        <v/>
      </c>
      <c r="AB1437">
        <f>IF($Y1437="","",INDEX($L$6:$L$40000,$Y1437)&amp;"")</f>
        <v/>
      </c>
    </row>
    <row r="1438">
      <c r="Y1438" s="47">
        <f>IFERROR(MATCH(Library!M1438,$M$6:$M$40000,0),"")</f>
        <v/>
      </c>
      <c r="Z1438">
        <f>IF($Y1438="","",INDEX($C$6:$C$40000,$Y1438)&amp;"")</f>
        <v/>
      </c>
      <c r="AA1438" s="59">
        <f>IF($Y1438="","",IF(INDEX($D$6:$D$40000,$Y1438)="","",INDEX($D$6:$D$40000,$Y1438)))</f>
        <v/>
      </c>
      <c r="AB1438">
        <f>IF($Y1438="","",INDEX($L$6:$L$40000,$Y1438)&amp;"")</f>
        <v/>
      </c>
    </row>
    <row r="1439">
      <c r="Y1439" s="47">
        <f>IFERROR(MATCH(Library!M1439,$M$6:$M$40000,0),"")</f>
        <v/>
      </c>
      <c r="Z1439">
        <f>IF($Y1439="","",INDEX($C$6:$C$40000,$Y1439)&amp;"")</f>
        <v/>
      </c>
      <c r="AA1439" s="59">
        <f>IF($Y1439="","",IF(INDEX($D$6:$D$40000,$Y1439)="","",INDEX($D$6:$D$40000,$Y1439)))</f>
        <v/>
      </c>
      <c r="AB1439">
        <f>IF($Y1439="","",INDEX($L$6:$L$40000,$Y1439)&amp;"")</f>
        <v/>
      </c>
    </row>
    <row r="1440">
      <c r="Y1440" s="47">
        <f>IFERROR(MATCH(Library!M1440,$M$6:$M$40000,0),"")</f>
        <v/>
      </c>
      <c r="Z1440">
        <f>IF($Y1440="","",INDEX($C$6:$C$40000,$Y1440)&amp;"")</f>
        <v/>
      </c>
      <c r="AA1440" s="59">
        <f>IF($Y1440="","",IF(INDEX($D$6:$D$40000,$Y1440)="","",INDEX($D$6:$D$40000,$Y1440)))</f>
        <v/>
      </c>
      <c r="AB1440">
        <f>IF($Y1440="","",INDEX($L$6:$L$40000,$Y1440)&amp;"")</f>
        <v/>
      </c>
    </row>
    <row r="1441">
      <c r="Y1441" s="47">
        <f>IFERROR(MATCH(Library!M1441,$M$6:$M$40000,0),"")</f>
        <v/>
      </c>
      <c r="Z1441">
        <f>IF($Y1441="","",INDEX($C$6:$C$40000,$Y1441)&amp;"")</f>
        <v/>
      </c>
      <c r="AA1441" s="59">
        <f>IF($Y1441="","",IF(INDEX($D$6:$D$40000,$Y1441)="","",INDEX($D$6:$D$40000,$Y1441)))</f>
        <v/>
      </c>
      <c r="AB1441">
        <f>IF($Y1441="","",INDEX($L$6:$L$40000,$Y1441)&amp;"")</f>
        <v/>
      </c>
    </row>
    <row r="1442">
      <c r="Y1442" s="47">
        <f>IFERROR(MATCH(Library!M1442,$M$6:$M$40000,0),"")</f>
        <v/>
      </c>
      <c r="Z1442">
        <f>IF($Y1442="","",INDEX($C$6:$C$40000,$Y1442)&amp;"")</f>
        <v/>
      </c>
      <c r="AA1442" s="59">
        <f>IF($Y1442="","",IF(INDEX($D$6:$D$40000,$Y1442)="","",INDEX($D$6:$D$40000,$Y1442)))</f>
        <v/>
      </c>
      <c r="AB1442">
        <f>IF($Y1442="","",INDEX($L$6:$L$40000,$Y1442)&amp;"")</f>
        <v/>
      </c>
    </row>
    <row r="1443">
      <c r="Y1443" s="47">
        <f>IFERROR(MATCH(Library!M1443,$M$6:$M$40000,0),"")</f>
        <v/>
      </c>
      <c r="Z1443">
        <f>IF($Y1443="","",INDEX($C$6:$C$40000,$Y1443)&amp;"")</f>
        <v/>
      </c>
      <c r="AA1443" s="59">
        <f>IF($Y1443="","",IF(INDEX($D$6:$D$40000,$Y1443)="","",INDEX($D$6:$D$40000,$Y1443)))</f>
        <v/>
      </c>
      <c r="AB1443">
        <f>IF($Y1443="","",INDEX($L$6:$L$40000,$Y1443)&amp;"")</f>
        <v/>
      </c>
    </row>
    <row r="1444">
      <c r="Y1444" s="47">
        <f>IFERROR(MATCH(Library!M1444,$M$6:$M$40000,0),"")</f>
        <v/>
      </c>
      <c r="Z1444">
        <f>IF($Y1444="","",INDEX($C$6:$C$40000,$Y1444)&amp;"")</f>
        <v/>
      </c>
      <c r="AA1444" s="59">
        <f>IF($Y1444="","",IF(INDEX($D$6:$D$40000,$Y1444)="","",INDEX($D$6:$D$40000,$Y1444)))</f>
        <v/>
      </c>
      <c r="AB1444">
        <f>IF($Y1444="","",INDEX($L$6:$L$40000,$Y1444)&amp;"")</f>
        <v/>
      </c>
    </row>
    <row r="1445">
      <c r="Y1445" s="47">
        <f>IFERROR(MATCH(Library!M1445,$M$6:$M$40000,0),"")</f>
        <v/>
      </c>
      <c r="Z1445">
        <f>IF($Y1445="","",INDEX($C$6:$C$40000,$Y1445)&amp;"")</f>
        <v/>
      </c>
      <c r="AA1445" s="59">
        <f>IF($Y1445="","",IF(INDEX($D$6:$D$40000,$Y1445)="","",INDEX($D$6:$D$40000,$Y1445)))</f>
        <v/>
      </c>
      <c r="AB1445">
        <f>IF($Y1445="","",INDEX($L$6:$L$40000,$Y1445)&amp;"")</f>
        <v/>
      </c>
    </row>
    <row r="1446">
      <c r="Y1446" s="47">
        <f>IFERROR(MATCH(Library!M1446,$M$6:$M$40000,0),"")</f>
        <v/>
      </c>
      <c r="Z1446">
        <f>IF($Y1446="","",INDEX($C$6:$C$40000,$Y1446)&amp;"")</f>
        <v/>
      </c>
      <c r="AA1446" s="59">
        <f>IF($Y1446="","",IF(INDEX($D$6:$D$40000,$Y1446)="","",INDEX($D$6:$D$40000,$Y1446)))</f>
        <v/>
      </c>
      <c r="AB1446">
        <f>IF($Y1446="","",INDEX($L$6:$L$40000,$Y1446)&amp;"")</f>
        <v/>
      </c>
    </row>
    <row r="1447">
      <c r="Y1447" s="47">
        <f>IFERROR(MATCH(Library!M1447,$M$6:$M$40000,0),"")</f>
        <v/>
      </c>
      <c r="Z1447">
        <f>IF($Y1447="","",INDEX($C$6:$C$40000,$Y1447)&amp;"")</f>
        <v/>
      </c>
      <c r="AA1447" s="59">
        <f>IF($Y1447="","",IF(INDEX($D$6:$D$40000,$Y1447)="","",INDEX($D$6:$D$40000,$Y1447)))</f>
        <v/>
      </c>
      <c r="AB1447">
        <f>IF($Y1447="","",INDEX($L$6:$L$40000,$Y1447)&amp;"")</f>
        <v/>
      </c>
    </row>
    <row r="1448">
      <c r="Y1448" s="47">
        <f>IFERROR(MATCH(Library!M1448,$M$6:$M$40000,0),"")</f>
        <v/>
      </c>
      <c r="Z1448">
        <f>IF($Y1448="","",INDEX($C$6:$C$40000,$Y1448)&amp;"")</f>
        <v/>
      </c>
      <c r="AA1448" s="59">
        <f>IF($Y1448="","",IF(INDEX($D$6:$D$40000,$Y1448)="","",INDEX($D$6:$D$40000,$Y1448)))</f>
        <v/>
      </c>
      <c r="AB1448">
        <f>IF($Y1448="","",INDEX($L$6:$L$40000,$Y1448)&amp;"")</f>
        <v/>
      </c>
    </row>
    <row r="1449">
      <c r="Y1449" s="47">
        <f>IFERROR(MATCH(Library!M1449,$M$6:$M$40000,0),"")</f>
        <v/>
      </c>
      <c r="Z1449">
        <f>IF($Y1449="","",INDEX($C$6:$C$40000,$Y1449)&amp;"")</f>
        <v/>
      </c>
      <c r="AA1449" s="59">
        <f>IF($Y1449="","",IF(INDEX($D$6:$D$40000,$Y1449)="","",INDEX($D$6:$D$40000,$Y1449)))</f>
        <v/>
      </c>
      <c r="AB1449">
        <f>IF($Y1449="","",INDEX($L$6:$L$40000,$Y1449)&amp;"")</f>
        <v/>
      </c>
    </row>
    <row r="1450">
      <c r="Y1450" s="47">
        <f>IFERROR(MATCH(Library!M1450,$M$6:$M$40000,0),"")</f>
        <v/>
      </c>
      <c r="Z1450">
        <f>IF($Y1450="","",INDEX($C$6:$C$40000,$Y1450)&amp;"")</f>
        <v/>
      </c>
      <c r="AA1450" s="59">
        <f>IF($Y1450="","",IF(INDEX($D$6:$D$40000,$Y1450)="","",INDEX($D$6:$D$40000,$Y1450)))</f>
        <v/>
      </c>
      <c r="AB1450">
        <f>IF($Y1450="","",INDEX($L$6:$L$40000,$Y1450)&amp;"")</f>
        <v/>
      </c>
    </row>
    <row r="1451">
      <c r="Y1451" s="47">
        <f>IFERROR(MATCH(Library!M1451,$M$6:$M$40000,0),"")</f>
        <v/>
      </c>
      <c r="Z1451">
        <f>IF($Y1451="","",INDEX($C$6:$C$40000,$Y1451)&amp;"")</f>
        <v/>
      </c>
      <c r="AA1451" s="59">
        <f>IF($Y1451="","",IF(INDEX($D$6:$D$40000,$Y1451)="","",INDEX($D$6:$D$40000,$Y1451)))</f>
        <v/>
      </c>
      <c r="AB1451">
        <f>IF($Y1451="","",INDEX($L$6:$L$40000,$Y1451)&amp;"")</f>
        <v/>
      </c>
    </row>
    <row r="1452">
      <c r="Y1452" s="47">
        <f>IFERROR(MATCH(Library!M1452,$M$6:$M$40000,0),"")</f>
        <v/>
      </c>
      <c r="Z1452">
        <f>IF($Y1452="","",INDEX($C$6:$C$40000,$Y1452)&amp;"")</f>
        <v/>
      </c>
      <c r="AA1452" s="59">
        <f>IF($Y1452="","",IF(INDEX($D$6:$D$40000,$Y1452)="","",INDEX($D$6:$D$40000,$Y1452)))</f>
        <v/>
      </c>
      <c r="AB1452">
        <f>IF($Y1452="","",INDEX($L$6:$L$40000,$Y1452)&amp;"")</f>
        <v/>
      </c>
    </row>
    <row r="1453">
      <c r="Y1453" s="47">
        <f>IFERROR(MATCH(Library!M1453,$M$6:$M$40000,0),"")</f>
        <v/>
      </c>
      <c r="Z1453">
        <f>IF($Y1453="","",INDEX($C$6:$C$40000,$Y1453)&amp;"")</f>
        <v/>
      </c>
      <c r="AA1453" s="59">
        <f>IF($Y1453="","",IF(INDEX($D$6:$D$40000,$Y1453)="","",INDEX($D$6:$D$40000,$Y1453)))</f>
        <v/>
      </c>
      <c r="AB1453">
        <f>IF($Y1453="","",INDEX($L$6:$L$40000,$Y1453)&amp;"")</f>
        <v/>
      </c>
    </row>
    <row r="1454">
      <c r="Y1454" s="47">
        <f>IFERROR(MATCH(Library!M1454,$M$6:$M$40000,0),"")</f>
        <v/>
      </c>
      <c r="Z1454">
        <f>IF($Y1454="","",INDEX($C$6:$C$40000,$Y1454)&amp;"")</f>
        <v/>
      </c>
      <c r="AA1454" s="59">
        <f>IF($Y1454="","",IF(INDEX($D$6:$D$40000,$Y1454)="","",INDEX($D$6:$D$40000,$Y1454)))</f>
        <v/>
      </c>
      <c r="AB1454">
        <f>IF($Y1454="","",INDEX($L$6:$L$40000,$Y1454)&amp;"")</f>
        <v/>
      </c>
    </row>
    <row r="1455">
      <c r="Y1455" s="47">
        <f>IFERROR(MATCH(Library!M1455,$M$6:$M$40000,0),"")</f>
        <v/>
      </c>
      <c r="Z1455">
        <f>IF($Y1455="","",INDEX($C$6:$C$40000,$Y1455)&amp;"")</f>
        <v/>
      </c>
      <c r="AA1455" s="59">
        <f>IF($Y1455="","",IF(INDEX($D$6:$D$40000,$Y1455)="","",INDEX($D$6:$D$40000,$Y1455)))</f>
        <v/>
      </c>
      <c r="AB1455">
        <f>IF($Y1455="","",INDEX($L$6:$L$40000,$Y1455)&amp;"")</f>
        <v/>
      </c>
    </row>
    <row r="1456">
      <c r="Y1456" s="47">
        <f>IFERROR(MATCH(Library!M1456,$M$6:$M$40000,0),"")</f>
        <v/>
      </c>
      <c r="Z1456">
        <f>IF($Y1456="","",INDEX($C$6:$C$40000,$Y1456)&amp;"")</f>
        <v/>
      </c>
      <c r="AA1456" s="59">
        <f>IF($Y1456="","",IF(INDEX($D$6:$D$40000,$Y1456)="","",INDEX($D$6:$D$40000,$Y1456)))</f>
        <v/>
      </c>
      <c r="AB1456">
        <f>IF($Y1456="","",INDEX($L$6:$L$40000,$Y1456)&amp;"")</f>
        <v/>
      </c>
    </row>
    <row r="1457">
      <c r="Y1457" s="47">
        <f>IFERROR(MATCH(Library!M1457,$M$6:$M$40000,0),"")</f>
        <v/>
      </c>
      <c r="Z1457">
        <f>IF($Y1457="","",INDEX($C$6:$C$40000,$Y1457)&amp;"")</f>
        <v/>
      </c>
      <c r="AA1457" s="59">
        <f>IF($Y1457="","",IF(INDEX($D$6:$D$40000,$Y1457)="","",INDEX($D$6:$D$40000,$Y1457)))</f>
        <v/>
      </c>
      <c r="AB1457">
        <f>IF($Y1457="","",INDEX($L$6:$L$40000,$Y1457)&amp;"")</f>
        <v/>
      </c>
    </row>
    <row r="1458">
      <c r="Y1458" s="47">
        <f>IFERROR(MATCH(Library!M1458,$M$6:$M$40000,0),"")</f>
        <v/>
      </c>
      <c r="Z1458">
        <f>IF($Y1458="","",INDEX($C$6:$C$40000,$Y1458)&amp;"")</f>
        <v/>
      </c>
      <c r="AA1458" s="59">
        <f>IF($Y1458="","",IF(INDEX($D$6:$D$40000,$Y1458)="","",INDEX($D$6:$D$40000,$Y1458)))</f>
        <v/>
      </c>
      <c r="AB1458">
        <f>IF($Y1458="","",INDEX($L$6:$L$40000,$Y1458)&amp;"")</f>
        <v/>
      </c>
    </row>
    <row r="1459">
      <c r="Y1459" s="47">
        <f>IFERROR(MATCH(Library!M1459,$M$6:$M$40000,0),"")</f>
        <v/>
      </c>
      <c r="Z1459">
        <f>IF($Y1459="","",INDEX($C$6:$C$40000,$Y1459)&amp;"")</f>
        <v/>
      </c>
      <c r="AA1459" s="59">
        <f>IF($Y1459="","",IF(INDEX($D$6:$D$40000,$Y1459)="","",INDEX($D$6:$D$40000,$Y1459)))</f>
        <v/>
      </c>
      <c r="AB1459">
        <f>IF($Y1459="","",INDEX($L$6:$L$40000,$Y1459)&amp;"")</f>
        <v/>
      </c>
    </row>
    <row r="1460">
      <c r="Y1460" s="47">
        <f>IFERROR(MATCH(Library!M1460,$M$6:$M$40000,0),"")</f>
        <v/>
      </c>
      <c r="Z1460">
        <f>IF($Y1460="","",INDEX($C$6:$C$40000,$Y1460)&amp;"")</f>
        <v/>
      </c>
      <c r="AA1460" s="59">
        <f>IF($Y1460="","",IF(INDEX($D$6:$D$40000,$Y1460)="","",INDEX($D$6:$D$40000,$Y1460)))</f>
        <v/>
      </c>
      <c r="AB1460">
        <f>IF($Y1460="","",INDEX($L$6:$L$40000,$Y1460)&amp;"")</f>
        <v/>
      </c>
    </row>
    <row r="1461">
      <c r="Y1461" s="47">
        <f>IFERROR(MATCH(Library!M1461,$M$6:$M$40000,0),"")</f>
        <v/>
      </c>
      <c r="Z1461">
        <f>IF($Y1461="","",INDEX($C$6:$C$40000,$Y1461)&amp;"")</f>
        <v/>
      </c>
      <c r="AA1461" s="59">
        <f>IF($Y1461="","",IF(INDEX($D$6:$D$40000,$Y1461)="","",INDEX($D$6:$D$40000,$Y1461)))</f>
        <v/>
      </c>
      <c r="AB1461">
        <f>IF($Y1461="","",INDEX($L$6:$L$40000,$Y1461)&amp;"")</f>
        <v/>
      </c>
    </row>
    <row r="1462">
      <c r="Y1462" s="47">
        <f>IFERROR(MATCH(Library!M1462,$M$6:$M$40000,0),"")</f>
        <v/>
      </c>
      <c r="Z1462">
        <f>IF($Y1462="","",INDEX($C$6:$C$40000,$Y1462)&amp;"")</f>
        <v/>
      </c>
      <c r="AA1462" s="59">
        <f>IF($Y1462="","",IF(INDEX($D$6:$D$40000,$Y1462)="","",INDEX($D$6:$D$40000,$Y1462)))</f>
        <v/>
      </c>
      <c r="AB1462">
        <f>IF($Y1462="","",INDEX($L$6:$L$40000,$Y1462)&amp;"")</f>
        <v/>
      </c>
    </row>
    <row r="1463">
      <c r="Y1463" s="47">
        <f>IFERROR(MATCH(Library!M1463,$M$6:$M$40000,0),"")</f>
        <v/>
      </c>
      <c r="Z1463">
        <f>IF($Y1463="","",INDEX($C$6:$C$40000,$Y1463)&amp;"")</f>
        <v/>
      </c>
      <c r="AA1463" s="59">
        <f>IF($Y1463="","",IF(INDEX($D$6:$D$40000,$Y1463)="","",INDEX($D$6:$D$40000,$Y1463)))</f>
        <v/>
      </c>
      <c r="AB1463">
        <f>IF($Y1463="","",INDEX($L$6:$L$40000,$Y1463)&amp;"")</f>
        <v/>
      </c>
    </row>
    <row r="1464">
      <c r="Y1464" s="47">
        <f>IFERROR(MATCH(Library!M1464,$M$6:$M$40000,0),"")</f>
        <v/>
      </c>
      <c r="Z1464">
        <f>IF($Y1464="","",INDEX($C$6:$C$40000,$Y1464)&amp;"")</f>
        <v/>
      </c>
      <c r="AA1464" s="59">
        <f>IF($Y1464="","",IF(INDEX($D$6:$D$40000,$Y1464)="","",INDEX($D$6:$D$40000,$Y1464)))</f>
        <v/>
      </c>
      <c r="AB1464">
        <f>IF($Y1464="","",INDEX($L$6:$L$40000,$Y1464)&amp;"")</f>
        <v/>
      </c>
    </row>
    <row r="1465">
      <c r="Y1465" s="47">
        <f>IFERROR(MATCH(Library!M1465,$M$6:$M$40000,0),"")</f>
        <v/>
      </c>
      <c r="Z1465">
        <f>IF($Y1465="","",INDEX($C$6:$C$40000,$Y1465)&amp;"")</f>
        <v/>
      </c>
      <c r="AA1465" s="59">
        <f>IF($Y1465="","",IF(INDEX($D$6:$D$40000,$Y1465)="","",INDEX($D$6:$D$40000,$Y1465)))</f>
        <v/>
      </c>
      <c r="AB1465">
        <f>IF($Y1465="","",INDEX($L$6:$L$40000,$Y1465)&amp;"")</f>
        <v/>
      </c>
    </row>
    <row r="1466">
      <c r="Y1466" s="47">
        <f>IFERROR(MATCH(Library!M1466,$M$6:$M$40000,0),"")</f>
        <v/>
      </c>
      <c r="Z1466">
        <f>IF($Y1466="","",INDEX($C$6:$C$40000,$Y1466)&amp;"")</f>
        <v/>
      </c>
      <c r="AA1466" s="59">
        <f>IF($Y1466="","",IF(INDEX($D$6:$D$40000,$Y1466)="","",INDEX($D$6:$D$40000,$Y1466)))</f>
        <v/>
      </c>
      <c r="AB1466">
        <f>IF($Y1466="","",INDEX($L$6:$L$40000,$Y1466)&amp;"")</f>
        <v/>
      </c>
    </row>
    <row r="1467">
      <c r="Y1467" s="47">
        <f>IFERROR(MATCH(Library!M1467,$M$6:$M$40000,0),"")</f>
        <v/>
      </c>
      <c r="Z1467">
        <f>IF($Y1467="","",INDEX($C$6:$C$40000,$Y1467)&amp;"")</f>
        <v/>
      </c>
      <c r="AA1467" s="59">
        <f>IF($Y1467="","",IF(INDEX($D$6:$D$40000,$Y1467)="","",INDEX($D$6:$D$40000,$Y1467)))</f>
        <v/>
      </c>
      <c r="AB1467">
        <f>IF($Y1467="","",INDEX($L$6:$L$40000,$Y1467)&amp;"")</f>
        <v/>
      </c>
    </row>
    <row r="1468">
      <c r="Y1468" s="47">
        <f>IFERROR(MATCH(Library!M1468,$M$6:$M$40000,0),"")</f>
        <v/>
      </c>
      <c r="Z1468">
        <f>IF($Y1468="","",INDEX($C$6:$C$40000,$Y1468)&amp;"")</f>
        <v/>
      </c>
      <c r="AA1468" s="59">
        <f>IF($Y1468="","",IF(INDEX($D$6:$D$40000,$Y1468)="","",INDEX($D$6:$D$40000,$Y1468)))</f>
        <v/>
      </c>
      <c r="AB1468">
        <f>IF($Y1468="","",INDEX($L$6:$L$40000,$Y1468)&amp;"")</f>
        <v/>
      </c>
    </row>
    <row r="1469">
      <c r="Y1469" s="47">
        <f>IFERROR(MATCH(Library!M1469,$M$6:$M$40000,0),"")</f>
        <v/>
      </c>
      <c r="Z1469">
        <f>IF($Y1469="","",INDEX($C$6:$C$40000,$Y1469)&amp;"")</f>
        <v/>
      </c>
      <c r="AA1469" s="59">
        <f>IF($Y1469="","",IF(INDEX($D$6:$D$40000,$Y1469)="","",INDEX($D$6:$D$40000,$Y1469)))</f>
        <v/>
      </c>
      <c r="AB1469">
        <f>IF($Y1469="","",INDEX($L$6:$L$40000,$Y1469)&amp;"")</f>
        <v/>
      </c>
    </row>
    <row r="1470">
      <c r="Y1470" s="47">
        <f>IFERROR(MATCH(Library!M1470,$M$6:$M$40000,0),"")</f>
        <v/>
      </c>
      <c r="Z1470">
        <f>IF($Y1470="","",INDEX($C$6:$C$40000,$Y1470)&amp;"")</f>
        <v/>
      </c>
      <c r="AA1470" s="59">
        <f>IF($Y1470="","",IF(INDEX($D$6:$D$40000,$Y1470)="","",INDEX($D$6:$D$40000,$Y1470)))</f>
        <v/>
      </c>
      <c r="AB1470">
        <f>IF($Y1470="","",INDEX($L$6:$L$40000,$Y1470)&amp;"")</f>
        <v/>
      </c>
    </row>
    <row r="1471">
      <c r="Y1471" s="47">
        <f>IFERROR(MATCH(Library!M1471,$M$6:$M$40000,0),"")</f>
        <v/>
      </c>
      <c r="Z1471">
        <f>IF($Y1471="","",INDEX($C$6:$C$40000,$Y1471)&amp;"")</f>
        <v/>
      </c>
      <c r="AA1471" s="59">
        <f>IF($Y1471="","",IF(INDEX($D$6:$D$40000,$Y1471)="","",INDEX($D$6:$D$40000,$Y1471)))</f>
        <v/>
      </c>
      <c r="AB1471">
        <f>IF($Y1471="","",INDEX($L$6:$L$40000,$Y1471)&amp;"")</f>
        <v/>
      </c>
    </row>
    <row r="1472">
      <c r="Y1472" s="47">
        <f>IFERROR(MATCH(Library!M1472,$M$6:$M$40000,0),"")</f>
        <v/>
      </c>
      <c r="Z1472">
        <f>IF($Y1472="","",INDEX($C$6:$C$40000,$Y1472)&amp;"")</f>
        <v/>
      </c>
      <c r="AA1472" s="59">
        <f>IF($Y1472="","",IF(INDEX($D$6:$D$40000,$Y1472)="","",INDEX($D$6:$D$40000,$Y1472)))</f>
        <v/>
      </c>
      <c r="AB1472">
        <f>IF($Y1472="","",INDEX($L$6:$L$40000,$Y1472)&amp;"")</f>
        <v/>
      </c>
    </row>
    <row r="1473">
      <c r="Y1473" s="47">
        <f>IFERROR(MATCH(Library!M1473,$M$6:$M$40000,0),"")</f>
        <v/>
      </c>
      <c r="Z1473">
        <f>IF($Y1473="","",INDEX($C$6:$C$40000,$Y1473)&amp;"")</f>
        <v/>
      </c>
      <c r="AA1473" s="59">
        <f>IF($Y1473="","",IF(INDEX($D$6:$D$40000,$Y1473)="","",INDEX($D$6:$D$40000,$Y1473)))</f>
        <v/>
      </c>
      <c r="AB1473">
        <f>IF($Y1473="","",INDEX($L$6:$L$40000,$Y1473)&amp;"")</f>
        <v/>
      </c>
    </row>
    <row r="1474">
      <c r="Y1474" s="47">
        <f>IFERROR(MATCH(Library!M1474,$M$6:$M$40000,0),"")</f>
        <v/>
      </c>
      <c r="Z1474">
        <f>IF($Y1474="","",INDEX($C$6:$C$40000,$Y1474)&amp;"")</f>
        <v/>
      </c>
      <c r="AA1474" s="59">
        <f>IF($Y1474="","",IF(INDEX($D$6:$D$40000,$Y1474)="","",INDEX($D$6:$D$40000,$Y1474)))</f>
        <v/>
      </c>
      <c r="AB1474">
        <f>IF($Y1474="","",INDEX($L$6:$L$40000,$Y1474)&amp;"")</f>
        <v/>
      </c>
    </row>
    <row r="1475">
      <c r="Y1475" s="47">
        <f>IFERROR(MATCH(Library!M1475,$M$6:$M$40000,0),"")</f>
        <v/>
      </c>
      <c r="Z1475">
        <f>IF($Y1475="","",INDEX($C$6:$C$40000,$Y1475)&amp;"")</f>
        <v/>
      </c>
      <c r="AA1475" s="59">
        <f>IF($Y1475="","",IF(INDEX($D$6:$D$40000,$Y1475)="","",INDEX($D$6:$D$40000,$Y1475)))</f>
        <v/>
      </c>
      <c r="AB1475">
        <f>IF($Y1475="","",INDEX($L$6:$L$40000,$Y1475)&amp;"")</f>
        <v/>
      </c>
    </row>
    <row r="1476">
      <c r="Y1476" s="47">
        <f>IFERROR(MATCH(Library!M1476,$M$6:$M$40000,0),"")</f>
        <v/>
      </c>
      <c r="Z1476">
        <f>IF($Y1476="","",INDEX($C$6:$C$40000,$Y1476)&amp;"")</f>
        <v/>
      </c>
      <c r="AA1476" s="59">
        <f>IF($Y1476="","",IF(INDEX($D$6:$D$40000,$Y1476)="","",INDEX($D$6:$D$40000,$Y1476)))</f>
        <v/>
      </c>
      <c r="AB1476">
        <f>IF($Y1476="","",INDEX($L$6:$L$40000,$Y1476)&amp;"")</f>
        <v/>
      </c>
    </row>
    <row r="1477">
      <c r="Y1477" s="47">
        <f>IFERROR(MATCH(Library!M1477,$M$6:$M$40000,0),"")</f>
        <v/>
      </c>
      <c r="Z1477">
        <f>IF($Y1477="","",INDEX($C$6:$C$40000,$Y1477)&amp;"")</f>
        <v/>
      </c>
      <c r="AA1477" s="59">
        <f>IF($Y1477="","",IF(INDEX($D$6:$D$40000,$Y1477)="","",INDEX($D$6:$D$40000,$Y1477)))</f>
        <v/>
      </c>
      <c r="AB1477">
        <f>IF($Y1477="","",INDEX($L$6:$L$40000,$Y1477)&amp;"")</f>
        <v/>
      </c>
    </row>
    <row r="1478">
      <c r="Y1478" s="47">
        <f>IFERROR(MATCH(Library!M1478,$M$6:$M$40000,0),"")</f>
        <v/>
      </c>
      <c r="Z1478">
        <f>IF($Y1478="","",INDEX($C$6:$C$40000,$Y1478)&amp;"")</f>
        <v/>
      </c>
      <c r="AA1478" s="59">
        <f>IF($Y1478="","",IF(INDEX($D$6:$D$40000,$Y1478)="","",INDEX($D$6:$D$40000,$Y1478)))</f>
        <v/>
      </c>
      <c r="AB1478">
        <f>IF($Y1478="","",INDEX($L$6:$L$40000,$Y1478)&amp;"")</f>
        <v/>
      </c>
    </row>
    <row r="1479">
      <c r="Y1479" s="47">
        <f>IFERROR(MATCH(Library!M1479,$M$6:$M$40000,0),"")</f>
        <v/>
      </c>
      <c r="Z1479">
        <f>IF($Y1479="","",INDEX($C$6:$C$40000,$Y1479)&amp;"")</f>
        <v/>
      </c>
      <c r="AA1479" s="59">
        <f>IF($Y1479="","",IF(INDEX($D$6:$D$40000,$Y1479)="","",INDEX($D$6:$D$40000,$Y1479)))</f>
        <v/>
      </c>
      <c r="AB1479">
        <f>IF($Y1479="","",INDEX($L$6:$L$40000,$Y1479)&amp;"")</f>
        <v/>
      </c>
    </row>
    <row r="1480">
      <c r="Y1480" s="47">
        <f>IFERROR(MATCH(Library!M1480,$M$6:$M$40000,0),"")</f>
        <v/>
      </c>
      <c r="Z1480">
        <f>IF($Y1480="","",INDEX($C$6:$C$40000,$Y1480)&amp;"")</f>
        <v/>
      </c>
      <c r="AA1480" s="59">
        <f>IF($Y1480="","",IF(INDEX($D$6:$D$40000,$Y1480)="","",INDEX($D$6:$D$40000,$Y1480)))</f>
        <v/>
      </c>
      <c r="AB1480">
        <f>IF($Y1480="","",INDEX($L$6:$L$40000,$Y1480)&amp;"")</f>
        <v/>
      </c>
    </row>
    <row r="1481">
      <c r="Y1481" s="47">
        <f>IFERROR(MATCH(Library!M1481,$M$6:$M$40000,0),"")</f>
        <v/>
      </c>
      <c r="Z1481">
        <f>IF($Y1481="","",INDEX($C$6:$C$40000,$Y1481)&amp;"")</f>
        <v/>
      </c>
      <c r="AA1481" s="59">
        <f>IF($Y1481="","",IF(INDEX($D$6:$D$40000,$Y1481)="","",INDEX($D$6:$D$40000,$Y1481)))</f>
        <v/>
      </c>
      <c r="AB1481">
        <f>IF($Y1481="","",INDEX($L$6:$L$40000,$Y1481)&amp;"")</f>
        <v/>
      </c>
    </row>
    <row r="1482">
      <c r="Y1482" s="47">
        <f>IFERROR(MATCH(Library!M1482,$M$6:$M$40000,0),"")</f>
        <v/>
      </c>
      <c r="Z1482">
        <f>IF($Y1482="","",INDEX($C$6:$C$40000,$Y1482)&amp;"")</f>
        <v/>
      </c>
      <c r="AA1482" s="59">
        <f>IF($Y1482="","",IF(INDEX($D$6:$D$40000,$Y1482)="","",INDEX($D$6:$D$40000,$Y1482)))</f>
        <v/>
      </c>
      <c r="AB1482">
        <f>IF($Y1482="","",INDEX($L$6:$L$40000,$Y1482)&amp;"")</f>
        <v/>
      </c>
    </row>
    <row r="1483">
      <c r="Y1483" s="47">
        <f>IFERROR(MATCH(Library!M1483,$M$6:$M$40000,0),"")</f>
        <v/>
      </c>
      <c r="Z1483">
        <f>IF($Y1483="","",INDEX($C$6:$C$40000,$Y1483)&amp;"")</f>
        <v/>
      </c>
      <c r="AA1483" s="59">
        <f>IF($Y1483="","",IF(INDEX($D$6:$D$40000,$Y1483)="","",INDEX($D$6:$D$40000,$Y1483)))</f>
        <v/>
      </c>
      <c r="AB1483">
        <f>IF($Y1483="","",INDEX($L$6:$L$40000,$Y1483)&amp;"")</f>
        <v/>
      </c>
    </row>
    <row r="1484">
      <c r="Y1484" s="47">
        <f>IFERROR(MATCH(Library!M1484,$M$6:$M$40000,0),"")</f>
        <v/>
      </c>
      <c r="Z1484">
        <f>IF($Y1484="","",INDEX($C$6:$C$40000,$Y1484)&amp;"")</f>
        <v/>
      </c>
      <c r="AA1484" s="59">
        <f>IF($Y1484="","",IF(INDEX($D$6:$D$40000,$Y1484)="","",INDEX($D$6:$D$40000,$Y1484)))</f>
        <v/>
      </c>
      <c r="AB1484">
        <f>IF($Y1484="","",INDEX($L$6:$L$40000,$Y1484)&amp;"")</f>
        <v/>
      </c>
    </row>
    <row r="1485">
      <c r="Y1485" s="47">
        <f>IFERROR(MATCH(Library!M1485,$M$6:$M$40000,0),"")</f>
        <v/>
      </c>
      <c r="Z1485">
        <f>IF($Y1485="","",INDEX($C$6:$C$40000,$Y1485)&amp;"")</f>
        <v/>
      </c>
      <c r="AA1485" s="59">
        <f>IF($Y1485="","",IF(INDEX($D$6:$D$40000,$Y1485)="","",INDEX($D$6:$D$40000,$Y1485)))</f>
        <v/>
      </c>
      <c r="AB1485">
        <f>IF($Y1485="","",INDEX($L$6:$L$40000,$Y1485)&amp;"")</f>
        <v/>
      </c>
    </row>
    <row r="1486">
      <c r="Y1486" s="47">
        <f>IFERROR(MATCH(Library!M1486,$M$6:$M$40000,0),"")</f>
        <v/>
      </c>
      <c r="Z1486">
        <f>IF($Y1486="","",INDEX($C$6:$C$40000,$Y1486)&amp;"")</f>
        <v/>
      </c>
      <c r="AA1486" s="59">
        <f>IF($Y1486="","",IF(INDEX($D$6:$D$40000,$Y1486)="","",INDEX($D$6:$D$40000,$Y1486)))</f>
        <v/>
      </c>
      <c r="AB1486">
        <f>IF($Y1486="","",INDEX($L$6:$L$40000,$Y1486)&amp;"")</f>
        <v/>
      </c>
    </row>
    <row r="1487">
      <c r="Y1487" s="47">
        <f>IFERROR(MATCH(Library!M1487,$M$6:$M$40000,0),"")</f>
        <v/>
      </c>
      <c r="Z1487">
        <f>IF($Y1487="","",INDEX($C$6:$C$40000,$Y1487)&amp;"")</f>
        <v/>
      </c>
      <c r="AA1487" s="59">
        <f>IF($Y1487="","",IF(INDEX($D$6:$D$40000,$Y1487)="","",INDEX($D$6:$D$40000,$Y1487)))</f>
        <v/>
      </c>
      <c r="AB1487">
        <f>IF($Y1487="","",INDEX($L$6:$L$40000,$Y1487)&amp;"")</f>
        <v/>
      </c>
    </row>
    <row r="1488">
      <c r="Y1488" s="47">
        <f>IFERROR(MATCH(Library!M1488,$M$6:$M$40000,0),"")</f>
        <v/>
      </c>
      <c r="Z1488">
        <f>IF($Y1488="","",INDEX($C$6:$C$40000,$Y1488)&amp;"")</f>
        <v/>
      </c>
      <c r="AA1488" s="59">
        <f>IF($Y1488="","",IF(INDEX($D$6:$D$40000,$Y1488)="","",INDEX($D$6:$D$40000,$Y1488)))</f>
        <v/>
      </c>
      <c r="AB1488">
        <f>IF($Y1488="","",INDEX($L$6:$L$40000,$Y1488)&amp;"")</f>
        <v/>
      </c>
    </row>
    <row r="1489">
      <c r="Y1489" s="47">
        <f>IFERROR(MATCH(Library!M1489,$M$6:$M$40000,0),"")</f>
        <v/>
      </c>
      <c r="Z1489">
        <f>IF($Y1489="","",INDEX($C$6:$C$40000,$Y1489)&amp;"")</f>
        <v/>
      </c>
      <c r="AA1489" s="59">
        <f>IF($Y1489="","",IF(INDEX($D$6:$D$40000,$Y1489)="","",INDEX($D$6:$D$40000,$Y1489)))</f>
        <v/>
      </c>
      <c r="AB1489">
        <f>IF($Y1489="","",INDEX($L$6:$L$40000,$Y1489)&amp;"")</f>
        <v/>
      </c>
    </row>
    <row r="1490">
      <c r="Y1490" s="47">
        <f>IFERROR(MATCH(Library!M1490,$M$6:$M$40000,0),"")</f>
        <v/>
      </c>
      <c r="Z1490">
        <f>IF($Y1490="","",INDEX($C$6:$C$40000,$Y1490)&amp;"")</f>
        <v/>
      </c>
      <c r="AA1490" s="59">
        <f>IF($Y1490="","",IF(INDEX($D$6:$D$40000,$Y1490)="","",INDEX($D$6:$D$40000,$Y1490)))</f>
        <v/>
      </c>
      <c r="AB1490">
        <f>IF($Y1490="","",INDEX($L$6:$L$40000,$Y1490)&amp;"")</f>
        <v/>
      </c>
    </row>
    <row r="1491">
      <c r="Y1491" s="47">
        <f>IFERROR(MATCH(Library!M1491,$M$6:$M$40000,0),"")</f>
        <v/>
      </c>
      <c r="Z1491">
        <f>IF($Y1491="","",INDEX($C$6:$C$40000,$Y1491)&amp;"")</f>
        <v/>
      </c>
      <c r="AA1491" s="59">
        <f>IF($Y1491="","",IF(INDEX($D$6:$D$40000,$Y1491)="","",INDEX($D$6:$D$40000,$Y1491)))</f>
        <v/>
      </c>
      <c r="AB1491">
        <f>IF($Y1491="","",INDEX($L$6:$L$40000,$Y1491)&amp;"")</f>
        <v/>
      </c>
    </row>
    <row r="1492">
      <c r="Y1492" s="47">
        <f>IFERROR(MATCH(Library!M1492,$M$6:$M$40000,0),"")</f>
        <v/>
      </c>
      <c r="Z1492">
        <f>IF($Y1492="","",INDEX($C$6:$C$40000,$Y1492)&amp;"")</f>
        <v/>
      </c>
      <c r="AA1492" s="59">
        <f>IF($Y1492="","",IF(INDEX($D$6:$D$40000,$Y1492)="","",INDEX($D$6:$D$40000,$Y1492)))</f>
        <v/>
      </c>
      <c r="AB1492">
        <f>IF($Y1492="","",INDEX($L$6:$L$40000,$Y1492)&amp;"")</f>
        <v/>
      </c>
    </row>
    <row r="1493">
      <c r="Y1493" s="47">
        <f>IFERROR(MATCH(Library!M1493,$M$6:$M$40000,0),"")</f>
        <v/>
      </c>
      <c r="Z1493">
        <f>IF($Y1493="","",INDEX($C$6:$C$40000,$Y1493)&amp;"")</f>
        <v/>
      </c>
      <c r="AA1493" s="59">
        <f>IF($Y1493="","",IF(INDEX($D$6:$D$40000,$Y1493)="","",INDEX($D$6:$D$40000,$Y1493)))</f>
        <v/>
      </c>
      <c r="AB1493">
        <f>IF($Y1493="","",INDEX($L$6:$L$40000,$Y1493)&amp;"")</f>
        <v/>
      </c>
    </row>
    <row r="1494">
      <c r="Y1494" s="47">
        <f>IFERROR(MATCH(Library!M1494,$M$6:$M$40000,0),"")</f>
        <v/>
      </c>
      <c r="Z1494">
        <f>IF($Y1494="","",INDEX($C$6:$C$40000,$Y1494)&amp;"")</f>
        <v/>
      </c>
      <c r="AA1494" s="59">
        <f>IF($Y1494="","",IF(INDEX($D$6:$D$40000,$Y1494)="","",INDEX($D$6:$D$40000,$Y1494)))</f>
        <v/>
      </c>
      <c r="AB1494">
        <f>IF($Y1494="","",INDEX($L$6:$L$40000,$Y1494)&amp;"")</f>
        <v/>
      </c>
    </row>
    <row r="1495">
      <c r="Y1495" s="47">
        <f>IFERROR(MATCH(Library!M1495,$M$6:$M$40000,0),"")</f>
        <v/>
      </c>
      <c r="Z1495">
        <f>IF($Y1495="","",INDEX($C$6:$C$40000,$Y1495)&amp;"")</f>
        <v/>
      </c>
      <c r="AA1495" s="59">
        <f>IF($Y1495="","",IF(INDEX($D$6:$D$40000,$Y1495)="","",INDEX($D$6:$D$40000,$Y1495)))</f>
        <v/>
      </c>
      <c r="AB1495">
        <f>IF($Y1495="","",INDEX($L$6:$L$40000,$Y1495)&amp;"")</f>
        <v/>
      </c>
    </row>
    <row r="1496">
      <c r="Y1496" s="47">
        <f>IFERROR(MATCH(Library!M1496,$M$6:$M$40000,0),"")</f>
        <v/>
      </c>
      <c r="Z1496">
        <f>IF($Y1496="","",INDEX($C$6:$C$40000,$Y1496)&amp;"")</f>
        <v/>
      </c>
      <c r="AA1496" s="59">
        <f>IF($Y1496="","",IF(INDEX($D$6:$D$40000,$Y1496)="","",INDEX($D$6:$D$40000,$Y1496)))</f>
        <v/>
      </c>
      <c r="AB1496">
        <f>IF($Y1496="","",INDEX($L$6:$L$40000,$Y1496)&amp;"")</f>
        <v/>
      </c>
    </row>
    <row r="1497">
      <c r="Y1497" s="47">
        <f>IFERROR(MATCH(Library!M1497,$M$6:$M$40000,0),"")</f>
        <v/>
      </c>
      <c r="Z1497">
        <f>IF($Y1497="","",INDEX($C$6:$C$40000,$Y1497)&amp;"")</f>
        <v/>
      </c>
      <c r="AA1497" s="59">
        <f>IF($Y1497="","",IF(INDEX($D$6:$D$40000,$Y1497)="","",INDEX($D$6:$D$40000,$Y1497)))</f>
        <v/>
      </c>
      <c r="AB1497">
        <f>IF($Y1497="","",INDEX($L$6:$L$40000,$Y1497)&amp;"")</f>
        <v/>
      </c>
    </row>
    <row r="1498">
      <c r="Y1498" s="47">
        <f>IFERROR(MATCH(Library!M1498,$M$6:$M$40000,0),"")</f>
        <v/>
      </c>
      <c r="Z1498">
        <f>IF($Y1498="","",INDEX($C$6:$C$40000,$Y1498)&amp;"")</f>
        <v/>
      </c>
      <c r="AA1498" s="59">
        <f>IF($Y1498="","",IF(INDEX($D$6:$D$40000,$Y1498)="","",INDEX($D$6:$D$40000,$Y1498)))</f>
        <v/>
      </c>
      <c r="AB1498">
        <f>IF($Y1498="","",INDEX($L$6:$L$40000,$Y1498)&amp;"")</f>
        <v/>
      </c>
    </row>
    <row r="1499">
      <c r="Y1499" s="47">
        <f>IFERROR(MATCH(Library!M1499,$M$6:$M$40000,0),"")</f>
        <v/>
      </c>
      <c r="Z1499">
        <f>IF($Y1499="","",INDEX($C$6:$C$40000,$Y1499)&amp;"")</f>
        <v/>
      </c>
      <c r="AA1499" s="59">
        <f>IF($Y1499="","",IF(INDEX($D$6:$D$40000,$Y1499)="","",INDEX($D$6:$D$40000,$Y1499)))</f>
        <v/>
      </c>
      <c r="AB1499">
        <f>IF($Y1499="","",INDEX($L$6:$L$40000,$Y1499)&amp;"")</f>
        <v/>
      </c>
    </row>
    <row r="1500">
      <c r="Y1500" s="47">
        <f>IFERROR(MATCH(Library!M1500,$M$6:$M$40000,0),"")</f>
        <v/>
      </c>
      <c r="Z1500">
        <f>IF($Y1500="","",INDEX($C$6:$C$40000,$Y1500)&amp;"")</f>
        <v/>
      </c>
      <c r="AA1500" s="59">
        <f>IF($Y1500="","",IF(INDEX($D$6:$D$40000,$Y1500)="","",INDEX($D$6:$D$40000,$Y1500)))</f>
        <v/>
      </c>
      <c r="AB1500">
        <f>IF($Y1500="","",INDEX($L$6:$L$40000,$Y1500)&amp;"")</f>
        <v/>
      </c>
    </row>
    <row r="1501">
      <c r="Y1501" s="47">
        <f>IFERROR(MATCH(Library!M1501,$M$6:$M$40000,0),"")</f>
        <v/>
      </c>
      <c r="Z1501">
        <f>IF($Y1501="","",INDEX($C$6:$C$40000,$Y1501)&amp;"")</f>
        <v/>
      </c>
      <c r="AA1501" s="59">
        <f>IF($Y1501="","",IF(INDEX($D$6:$D$40000,$Y1501)="","",INDEX($D$6:$D$40000,$Y1501)))</f>
        <v/>
      </c>
      <c r="AB1501">
        <f>IF($Y1501="","",INDEX($L$6:$L$40000,$Y1501)&amp;"")</f>
        <v/>
      </c>
    </row>
    <row r="1502">
      <c r="Y1502" s="47">
        <f>IFERROR(MATCH(Library!M1502,$M$6:$M$40000,0),"")</f>
        <v/>
      </c>
      <c r="Z1502">
        <f>IF($Y1502="","",INDEX($C$6:$C$40000,$Y1502)&amp;"")</f>
        <v/>
      </c>
      <c r="AA1502" s="59">
        <f>IF($Y1502="","",IF(INDEX($D$6:$D$40000,$Y1502)="","",INDEX($D$6:$D$40000,$Y1502)))</f>
        <v/>
      </c>
      <c r="AB1502">
        <f>IF($Y1502="","",INDEX($L$6:$L$40000,$Y1502)&amp;"")</f>
        <v/>
      </c>
    </row>
    <row r="1503">
      <c r="Y1503" s="47">
        <f>IFERROR(MATCH(Library!M1503,$M$6:$M$40000,0),"")</f>
        <v/>
      </c>
      <c r="Z1503">
        <f>IF($Y1503="","",INDEX($C$6:$C$40000,$Y1503)&amp;"")</f>
        <v/>
      </c>
      <c r="AA1503" s="59">
        <f>IF($Y1503="","",IF(INDEX($D$6:$D$40000,$Y1503)="","",INDEX($D$6:$D$40000,$Y1503)))</f>
        <v/>
      </c>
      <c r="AB1503">
        <f>IF($Y1503="","",INDEX($L$6:$L$40000,$Y1503)&amp;"")</f>
        <v/>
      </c>
    </row>
    <row r="1504">
      <c r="Y1504" s="47">
        <f>IFERROR(MATCH(Library!M1504,$M$6:$M$40000,0),"")</f>
        <v/>
      </c>
      <c r="Z1504">
        <f>IF($Y1504="","",INDEX($C$6:$C$40000,$Y1504)&amp;"")</f>
        <v/>
      </c>
      <c r="AA1504" s="59">
        <f>IF($Y1504="","",IF(INDEX($D$6:$D$40000,$Y1504)="","",INDEX($D$6:$D$40000,$Y1504)))</f>
        <v/>
      </c>
      <c r="AB1504">
        <f>IF($Y1504="","",INDEX($L$6:$L$40000,$Y1504)&amp;"")</f>
        <v/>
      </c>
    </row>
    <row r="1505">
      <c r="Y1505" s="47">
        <f>IFERROR(MATCH(Library!M1505,$M$6:$M$40000,0),"")</f>
        <v/>
      </c>
      <c r="Z1505">
        <f>IF($Y1505="","",INDEX($C$6:$C$40000,$Y1505)&amp;"")</f>
        <v/>
      </c>
      <c r="AA1505" s="59">
        <f>IF($Y1505="","",IF(INDEX($D$6:$D$40000,$Y1505)="","",INDEX($D$6:$D$40000,$Y1505)))</f>
        <v/>
      </c>
      <c r="AB1505">
        <f>IF($Y1505="","",INDEX($L$6:$L$40000,$Y1505)&amp;"")</f>
        <v/>
      </c>
    </row>
    <row r="1506">
      <c r="Y1506" s="47">
        <f>IFERROR(MATCH(Library!M1506,$M$6:$M$40000,0),"")</f>
        <v/>
      </c>
      <c r="Z1506">
        <f>IF($Y1506="","",INDEX($C$6:$C$40000,$Y1506)&amp;"")</f>
        <v/>
      </c>
      <c r="AA1506" s="59">
        <f>IF($Y1506="","",IF(INDEX($D$6:$D$40000,$Y1506)="","",INDEX($D$6:$D$40000,$Y1506)))</f>
        <v/>
      </c>
      <c r="AB1506">
        <f>IF($Y1506="","",INDEX($L$6:$L$40000,$Y1506)&amp;"")</f>
        <v/>
      </c>
    </row>
    <row r="1507">
      <c r="Y1507" s="47">
        <f>IFERROR(MATCH(Library!M1507,$M$6:$M$40000,0),"")</f>
        <v/>
      </c>
      <c r="Z1507">
        <f>IF($Y1507="","",INDEX($C$6:$C$40000,$Y1507)&amp;"")</f>
        <v/>
      </c>
      <c r="AA1507" s="59">
        <f>IF($Y1507="","",IF(INDEX($D$6:$D$40000,$Y1507)="","",INDEX($D$6:$D$40000,$Y1507)))</f>
        <v/>
      </c>
      <c r="AB1507">
        <f>IF($Y1507="","",INDEX($L$6:$L$40000,$Y1507)&amp;"")</f>
        <v/>
      </c>
    </row>
    <row r="1508">
      <c r="Y1508" s="47">
        <f>IFERROR(MATCH(Library!M1508,$M$6:$M$40000,0),"")</f>
        <v/>
      </c>
      <c r="Z1508">
        <f>IF($Y1508="","",INDEX($C$6:$C$40000,$Y1508)&amp;"")</f>
        <v/>
      </c>
      <c r="AA1508" s="59">
        <f>IF($Y1508="","",IF(INDEX($D$6:$D$40000,$Y1508)="","",INDEX($D$6:$D$40000,$Y1508)))</f>
        <v/>
      </c>
      <c r="AB1508">
        <f>IF($Y1508="","",INDEX($L$6:$L$40000,$Y1508)&amp;"")</f>
        <v/>
      </c>
    </row>
    <row r="1509">
      <c r="Y1509" s="47">
        <f>IFERROR(MATCH(Library!M1509,$M$6:$M$40000,0),"")</f>
        <v/>
      </c>
      <c r="Z1509">
        <f>IF($Y1509="","",INDEX($C$6:$C$40000,$Y1509)&amp;"")</f>
        <v/>
      </c>
      <c r="AA1509" s="59">
        <f>IF($Y1509="","",IF(INDEX($D$6:$D$40000,$Y1509)="","",INDEX($D$6:$D$40000,$Y1509)))</f>
        <v/>
      </c>
      <c r="AB1509">
        <f>IF($Y1509="","",INDEX($L$6:$L$40000,$Y1509)&amp;"")</f>
        <v/>
      </c>
    </row>
    <row r="1510">
      <c r="Y1510" s="47">
        <f>IFERROR(MATCH(Library!M1510,$M$6:$M$40000,0),"")</f>
        <v/>
      </c>
      <c r="Z1510">
        <f>IF($Y1510="","",INDEX($C$6:$C$40000,$Y1510)&amp;"")</f>
        <v/>
      </c>
      <c r="AA1510" s="59">
        <f>IF($Y1510="","",IF(INDEX($D$6:$D$40000,$Y1510)="","",INDEX($D$6:$D$40000,$Y1510)))</f>
        <v/>
      </c>
      <c r="AB1510">
        <f>IF($Y1510="","",INDEX($L$6:$L$40000,$Y1510)&amp;"")</f>
        <v/>
      </c>
    </row>
    <row r="1511">
      <c r="Y1511" s="47">
        <f>IFERROR(MATCH(Library!M1511,$M$6:$M$40000,0),"")</f>
        <v/>
      </c>
      <c r="Z1511">
        <f>IF($Y1511="","",INDEX($C$6:$C$40000,$Y1511)&amp;"")</f>
        <v/>
      </c>
      <c r="AA1511" s="59">
        <f>IF($Y1511="","",IF(INDEX($D$6:$D$40000,$Y1511)="","",INDEX($D$6:$D$40000,$Y1511)))</f>
        <v/>
      </c>
      <c r="AB1511">
        <f>IF($Y1511="","",INDEX($L$6:$L$40000,$Y1511)&amp;"")</f>
        <v/>
      </c>
    </row>
    <row r="1512">
      <c r="Y1512" s="47">
        <f>IFERROR(MATCH(Library!M1512,$M$6:$M$40000,0),"")</f>
        <v/>
      </c>
      <c r="Z1512">
        <f>IF($Y1512="","",INDEX($C$6:$C$40000,$Y1512)&amp;"")</f>
        <v/>
      </c>
      <c r="AA1512" s="59">
        <f>IF($Y1512="","",IF(INDEX($D$6:$D$40000,$Y1512)="","",INDEX($D$6:$D$40000,$Y1512)))</f>
        <v/>
      </c>
      <c r="AB1512">
        <f>IF($Y1512="","",INDEX($L$6:$L$40000,$Y1512)&amp;"")</f>
        <v/>
      </c>
    </row>
    <row r="1513">
      <c r="Y1513" s="47">
        <f>IFERROR(MATCH(Library!M1513,$M$6:$M$40000,0),"")</f>
        <v/>
      </c>
      <c r="Z1513">
        <f>IF($Y1513="","",INDEX($C$6:$C$40000,$Y1513)&amp;"")</f>
        <v/>
      </c>
      <c r="AA1513" s="59">
        <f>IF($Y1513="","",IF(INDEX($D$6:$D$40000,$Y1513)="","",INDEX($D$6:$D$40000,$Y1513)))</f>
        <v/>
      </c>
      <c r="AB1513">
        <f>IF($Y1513="","",INDEX($L$6:$L$40000,$Y1513)&amp;"")</f>
        <v/>
      </c>
    </row>
    <row r="1514">
      <c r="Y1514" s="47">
        <f>IFERROR(MATCH(Library!M1514,$M$6:$M$40000,0),"")</f>
        <v/>
      </c>
      <c r="Z1514">
        <f>IF($Y1514="","",INDEX($C$6:$C$40000,$Y1514)&amp;"")</f>
        <v/>
      </c>
      <c r="AA1514" s="59">
        <f>IF($Y1514="","",IF(INDEX($D$6:$D$40000,$Y1514)="","",INDEX($D$6:$D$40000,$Y1514)))</f>
        <v/>
      </c>
      <c r="AB1514">
        <f>IF($Y1514="","",INDEX($L$6:$L$40000,$Y1514)&amp;"")</f>
        <v/>
      </c>
    </row>
    <row r="1515">
      <c r="Y1515" s="47">
        <f>IFERROR(MATCH(Library!M1515,$M$6:$M$40000,0),"")</f>
        <v/>
      </c>
      <c r="Z1515">
        <f>IF($Y1515="","",INDEX($C$6:$C$40000,$Y1515)&amp;"")</f>
        <v/>
      </c>
      <c r="AA1515" s="59">
        <f>IF($Y1515="","",IF(INDEX($D$6:$D$40000,$Y1515)="","",INDEX($D$6:$D$40000,$Y1515)))</f>
        <v/>
      </c>
      <c r="AB1515">
        <f>IF($Y1515="","",INDEX($L$6:$L$40000,$Y1515)&amp;"")</f>
        <v/>
      </c>
    </row>
    <row r="1516">
      <c r="Y1516" s="47">
        <f>IFERROR(MATCH(Library!M1516,$M$6:$M$40000,0),"")</f>
        <v/>
      </c>
      <c r="Z1516">
        <f>IF($Y1516="","",INDEX($C$6:$C$40000,$Y1516)&amp;"")</f>
        <v/>
      </c>
      <c r="AA1516" s="59">
        <f>IF($Y1516="","",IF(INDEX($D$6:$D$40000,$Y1516)="","",INDEX($D$6:$D$40000,$Y1516)))</f>
        <v/>
      </c>
      <c r="AB1516">
        <f>IF($Y1516="","",INDEX($L$6:$L$40000,$Y1516)&amp;"")</f>
        <v/>
      </c>
    </row>
    <row r="1517">
      <c r="Y1517" s="47">
        <f>IFERROR(MATCH(Library!M1517,$M$6:$M$40000,0),"")</f>
        <v/>
      </c>
      <c r="Z1517">
        <f>IF($Y1517="","",INDEX($C$6:$C$40000,$Y1517)&amp;"")</f>
        <v/>
      </c>
      <c r="AA1517" s="59">
        <f>IF($Y1517="","",IF(INDEX($D$6:$D$40000,$Y1517)="","",INDEX($D$6:$D$40000,$Y1517)))</f>
        <v/>
      </c>
      <c r="AB1517">
        <f>IF($Y1517="","",INDEX($L$6:$L$40000,$Y1517)&amp;"")</f>
        <v/>
      </c>
    </row>
    <row r="1518">
      <c r="Y1518" s="47">
        <f>IFERROR(MATCH(Library!M1518,$M$6:$M$40000,0),"")</f>
        <v/>
      </c>
      <c r="Z1518">
        <f>IF($Y1518="","",INDEX($C$6:$C$40000,$Y1518)&amp;"")</f>
        <v/>
      </c>
      <c r="AA1518" s="59">
        <f>IF($Y1518="","",IF(INDEX($D$6:$D$40000,$Y1518)="","",INDEX($D$6:$D$40000,$Y1518)))</f>
        <v/>
      </c>
      <c r="AB1518">
        <f>IF($Y1518="","",INDEX($L$6:$L$40000,$Y1518)&amp;"")</f>
        <v/>
      </c>
    </row>
    <row r="1519">
      <c r="Y1519" s="47">
        <f>IFERROR(MATCH(Library!M1519,$M$6:$M$40000,0),"")</f>
        <v/>
      </c>
      <c r="Z1519">
        <f>IF($Y1519="","",INDEX($C$6:$C$40000,$Y1519)&amp;"")</f>
        <v/>
      </c>
      <c r="AA1519" s="59">
        <f>IF($Y1519="","",IF(INDEX($D$6:$D$40000,$Y1519)="","",INDEX($D$6:$D$40000,$Y1519)))</f>
        <v/>
      </c>
      <c r="AB1519">
        <f>IF($Y1519="","",INDEX($L$6:$L$40000,$Y1519)&amp;"")</f>
        <v/>
      </c>
    </row>
    <row r="1520">
      <c r="Y1520" s="47">
        <f>IFERROR(MATCH(Library!M1520,$M$6:$M$40000,0),"")</f>
        <v/>
      </c>
      <c r="Z1520">
        <f>IF($Y1520="","",INDEX($C$6:$C$40000,$Y1520)&amp;"")</f>
        <v/>
      </c>
      <c r="AA1520" s="59">
        <f>IF($Y1520="","",IF(INDEX($D$6:$D$40000,$Y1520)="","",INDEX($D$6:$D$40000,$Y1520)))</f>
        <v/>
      </c>
      <c r="AB1520">
        <f>IF($Y1520="","",INDEX($L$6:$L$40000,$Y1520)&amp;"")</f>
        <v/>
      </c>
    </row>
    <row r="1521">
      <c r="Y1521" s="47">
        <f>IFERROR(MATCH(Library!M1521,$M$6:$M$40000,0),"")</f>
        <v/>
      </c>
      <c r="Z1521">
        <f>IF($Y1521="","",INDEX($C$6:$C$40000,$Y1521)&amp;"")</f>
        <v/>
      </c>
      <c r="AA1521" s="59">
        <f>IF($Y1521="","",IF(INDEX($D$6:$D$40000,$Y1521)="","",INDEX($D$6:$D$40000,$Y1521)))</f>
        <v/>
      </c>
      <c r="AB1521">
        <f>IF($Y1521="","",INDEX($L$6:$L$40000,$Y1521)&amp;"")</f>
        <v/>
      </c>
    </row>
    <row r="1522">
      <c r="Y1522" s="47">
        <f>IFERROR(MATCH(Library!M1522,$M$6:$M$40000,0),"")</f>
        <v/>
      </c>
      <c r="Z1522">
        <f>IF($Y1522="","",INDEX($C$6:$C$40000,$Y1522)&amp;"")</f>
        <v/>
      </c>
      <c r="AA1522" s="59">
        <f>IF($Y1522="","",IF(INDEX($D$6:$D$40000,$Y1522)="","",INDEX($D$6:$D$40000,$Y1522)))</f>
        <v/>
      </c>
      <c r="AB1522">
        <f>IF($Y1522="","",INDEX($L$6:$L$40000,$Y1522)&amp;"")</f>
        <v/>
      </c>
    </row>
    <row r="1523">
      <c r="Y1523" s="47">
        <f>IFERROR(MATCH(Library!M1523,$M$6:$M$40000,0),"")</f>
        <v/>
      </c>
      <c r="Z1523">
        <f>IF($Y1523="","",INDEX($C$6:$C$40000,$Y1523)&amp;"")</f>
        <v/>
      </c>
      <c r="AA1523" s="59">
        <f>IF($Y1523="","",IF(INDEX($D$6:$D$40000,$Y1523)="","",INDEX($D$6:$D$40000,$Y1523)))</f>
        <v/>
      </c>
      <c r="AB1523">
        <f>IF($Y1523="","",INDEX($L$6:$L$40000,$Y1523)&amp;"")</f>
        <v/>
      </c>
    </row>
    <row r="1524">
      <c r="Y1524" s="47">
        <f>IFERROR(MATCH(Library!M1524,$M$6:$M$40000,0),"")</f>
        <v/>
      </c>
      <c r="Z1524">
        <f>IF($Y1524="","",INDEX($C$6:$C$40000,$Y1524)&amp;"")</f>
        <v/>
      </c>
      <c r="AA1524" s="59">
        <f>IF($Y1524="","",IF(INDEX($D$6:$D$40000,$Y1524)="","",INDEX($D$6:$D$40000,$Y1524)))</f>
        <v/>
      </c>
      <c r="AB1524">
        <f>IF($Y1524="","",INDEX($L$6:$L$40000,$Y1524)&amp;"")</f>
        <v/>
      </c>
    </row>
    <row r="1525">
      <c r="Y1525" s="47">
        <f>IFERROR(MATCH(Library!M1525,$M$6:$M$40000,0),"")</f>
        <v/>
      </c>
      <c r="Z1525">
        <f>IF($Y1525="","",INDEX($C$6:$C$40000,$Y1525)&amp;"")</f>
        <v/>
      </c>
      <c r="AA1525" s="59">
        <f>IF($Y1525="","",IF(INDEX($D$6:$D$40000,$Y1525)="","",INDEX($D$6:$D$40000,$Y1525)))</f>
        <v/>
      </c>
      <c r="AB1525">
        <f>IF($Y1525="","",INDEX($L$6:$L$40000,$Y1525)&amp;"")</f>
        <v/>
      </c>
    </row>
    <row r="1526">
      <c r="Y1526" s="47">
        <f>IFERROR(MATCH(Library!M1526,$M$6:$M$40000,0),"")</f>
        <v/>
      </c>
      <c r="Z1526">
        <f>IF($Y1526="","",INDEX($C$6:$C$40000,$Y1526)&amp;"")</f>
        <v/>
      </c>
      <c r="AA1526" s="59">
        <f>IF($Y1526="","",IF(INDEX($D$6:$D$40000,$Y1526)="","",INDEX($D$6:$D$40000,$Y1526)))</f>
        <v/>
      </c>
      <c r="AB1526">
        <f>IF($Y1526="","",INDEX($L$6:$L$40000,$Y1526)&amp;"")</f>
        <v/>
      </c>
    </row>
    <row r="1527">
      <c r="Y1527" s="47">
        <f>IFERROR(MATCH(Library!M1527,$M$6:$M$40000,0),"")</f>
        <v/>
      </c>
      <c r="Z1527">
        <f>IF($Y1527="","",INDEX($C$6:$C$40000,$Y1527)&amp;"")</f>
        <v/>
      </c>
      <c r="AA1527" s="59">
        <f>IF($Y1527="","",IF(INDEX($D$6:$D$40000,$Y1527)="","",INDEX($D$6:$D$40000,$Y1527)))</f>
        <v/>
      </c>
      <c r="AB1527">
        <f>IF($Y1527="","",INDEX($L$6:$L$40000,$Y1527)&amp;"")</f>
        <v/>
      </c>
    </row>
    <row r="1528">
      <c r="Y1528" s="47">
        <f>IFERROR(MATCH(Library!M1528,$M$6:$M$40000,0),"")</f>
        <v/>
      </c>
      <c r="Z1528">
        <f>IF($Y1528="","",INDEX($C$6:$C$40000,$Y1528)&amp;"")</f>
        <v/>
      </c>
      <c r="AA1528" s="59">
        <f>IF($Y1528="","",IF(INDEX($D$6:$D$40000,$Y1528)="","",INDEX($D$6:$D$40000,$Y1528)))</f>
        <v/>
      </c>
      <c r="AB1528">
        <f>IF($Y1528="","",INDEX($L$6:$L$40000,$Y1528)&amp;"")</f>
        <v/>
      </c>
    </row>
    <row r="1529">
      <c r="Y1529" s="47">
        <f>IFERROR(MATCH(Library!M1529,$M$6:$M$40000,0),"")</f>
        <v/>
      </c>
      <c r="Z1529">
        <f>IF($Y1529="","",INDEX($C$6:$C$40000,$Y1529)&amp;"")</f>
        <v/>
      </c>
      <c r="AA1529" s="59">
        <f>IF($Y1529="","",IF(INDEX($D$6:$D$40000,$Y1529)="","",INDEX($D$6:$D$40000,$Y1529)))</f>
        <v/>
      </c>
      <c r="AB1529">
        <f>IF($Y1529="","",INDEX($L$6:$L$40000,$Y1529)&amp;"")</f>
        <v/>
      </c>
    </row>
    <row r="1530">
      <c r="Y1530" s="47">
        <f>IFERROR(MATCH(Library!M1530,$M$6:$M$40000,0),"")</f>
        <v/>
      </c>
      <c r="Z1530">
        <f>IF($Y1530="","",INDEX($C$6:$C$40000,$Y1530)&amp;"")</f>
        <v/>
      </c>
      <c r="AA1530" s="59">
        <f>IF($Y1530="","",IF(INDEX($D$6:$D$40000,$Y1530)="","",INDEX($D$6:$D$40000,$Y1530)))</f>
        <v/>
      </c>
      <c r="AB1530">
        <f>IF($Y1530="","",INDEX($L$6:$L$40000,$Y1530)&amp;"")</f>
        <v/>
      </c>
    </row>
    <row r="1531">
      <c r="Y1531" s="47">
        <f>IFERROR(MATCH(Library!M1531,$M$6:$M$40000,0),"")</f>
        <v/>
      </c>
      <c r="Z1531">
        <f>IF($Y1531="","",INDEX($C$6:$C$40000,$Y1531)&amp;"")</f>
        <v/>
      </c>
      <c r="AA1531" s="59">
        <f>IF($Y1531="","",IF(INDEX($D$6:$D$40000,$Y1531)="","",INDEX($D$6:$D$40000,$Y1531)))</f>
        <v/>
      </c>
      <c r="AB1531">
        <f>IF($Y1531="","",INDEX($L$6:$L$40000,$Y1531)&amp;"")</f>
        <v/>
      </c>
    </row>
    <row r="1532">
      <c r="Y1532" s="47">
        <f>IFERROR(MATCH(Library!M1532,$M$6:$M$40000,0),"")</f>
        <v/>
      </c>
      <c r="Z1532">
        <f>IF($Y1532="","",INDEX($C$6:$C$40000,$Y1532)&amp;"")</f>
        <v/>
      </c>
      <c r="AA1532" s="59">
        <f>IF($Y1532="","",IF(INDEX($D$6:$D$40000,$Y1532)="","",INDEX($D$6:$D$40000,$Y1532)))</f>
        <v/>
      </c>
      <c r="AB1532">
        <f>IF($Y1532="","",INDEX($L$6:$L$40000,$Y1532)&amp;"")</f>
        <v/>
      </c>
    </row>
    <row r="1533">
      <c r="Y1533" s="47">
        <f>IFERROR(MATCH(Library!M1533,$M$6:$M$40000,0),"")</f>
        <v/>
      </c>
      <c r="Z1533">
        <f>IF($Y1533="","",INDEX($C$6:$C$40000,$Y1533)&amp;"")</f>
        <v/>
      </c>
      <c r="AA1533" s="59">
        <f>IF($Y1533="","",IF(INDEX($D$6:$D$40000,$Y1533)="","",INDEX($D$6:$D$40000,$Y1533)))</f>
        <v/>
      </c>
      <c r="AB1533">
        <f>IF($Y1533="","",INDEX($L$6:$L$40000,$Y1533)&amp;"")</f>
        <v/>
      </c>
    </row>
    <row r="1534">
      <c r="Y1534" s="47">
        <f>IFERROR(MATCH(Library!M1534,$M$6:$M$40000,0),"")</f>
        <v/>
      </c>
      <c r="Z1534">
        <f>IF($Y1534="","",INDEX($C$6:$C$40000,$Y1534)&amp;"")</f>
        <v/>
      </c>
      <c r="AA1534" s="59">
        <f>IF($Y1534="","",IF(INDEX($D$6:$D$40000,$Y1534)="","",INDEX($D$6:$D$40000,$Y1534)))</f>
        <v/>
      </c>
      <c r="AB1534">
        <f>IF($Y1534="","",INDEX($L$6:$L$40000,$Y1534)&amp;"")</f>
        <v/>
      </c>
    </row>
    <row r="1535">
      <c r="Y1535" s="47">
        <f>IFERROR(MATCH(Library!M1535,$M$6:$M$40000,0),"")</f>
        <v/>
      </c>
      <c r="Z1535">
        <f>IF($Y1535="","",INDEX($C$6:$C$40000,$Y1535)&amp;"")</f>
        <v/>
      </c>
      <c r="AA1535" s="59">
        <f>IF($Y1535="","",IF(INDEX($D$6:$D$40000,$Y1535)="","",INDEX($D$6:$D$40000,$Y1535)))</f>
        <v/>
      </c>
      <c r="AB1535">
        <f>IF($Y1535="","",INDEX($L$6:$L$40000,$Y1535)&amp;"")</f>
        <v/>
      </c>
    </row>
    <row r="1536">
      <c r="Y1536" s="47">
        <f>IFERROR(MATCH(Library!M1536,$M$6:$M$40000,0),"")</f>
        <v/>
      </c>
      <c r="Z1536">
        <f>IF($Y1536="","",INDEX($C$6:$C$40000,$Y1536)&amp;"")</f>
        <v/>
      </c>
      <c r="AA1536" s="59">
        <f>IF($Y1536="","",IF(INDEX($D$6:$D$40000,$Y1536)="","",INDEX($D$6:$D$40000,$Y1536)))</f>
        <v/>
      </c>
      <c r="AB1536">
        <f>IF($Y1536="","",INDEX($L$6:$L$40000,$Y1536)&amp;"")</f>
        <v/>
      </c>
    </row>
    <row r="1537">
      <c r="Y1537" s="47">
        <f>IFERROR(MATCH(Library!M1537,$M$6:$M$40000,0),"")</f>
        <v/>
      </c>
      <c r="Z1537">
        <f>IF($Y1537="","",INDEX($C$6:$C$40000,$Y1537)&amp;"")</f>
        <v/>
      </c>
      <c r="AA1537" s="59">
        <f>IF($Y1537="","",IF(INDEX($D$6:$D$40000,$Y1537)="","",INDEX($D$6:$D$40000,$Y1537)))</f>
        <v/>
      </c>
      <c r="AB1537">
        <f>IF($Y1537="","",INDEX($L$6:$L$40000,$Y1537)&amp;"")</f>
        <v/>
      </c>
    </row>
    <row r="1538">
      <c r="Y1538" s="47">
        <f>IFERROR(MATCH(Library!M1538,$M$6:$M$40000,0),"")</f>
        <v/>
      </c>
      <c r="Z1538">
        <f>IF($Y1538="","",INDEX($C$6:$C$40000,$Y1538)&amp;"")</f>
        <v/>
      </c>
      <c r="AA1538" s="59">
        <f>IF($Y1538="","",IF(INDEX($D$6:$D$40000,$Y1538)="","",INDEX($D$6:$D$40000,$Y1538)))</f>
        <v/>
      </c>
      <c r="AB1538">
        <f>IF($Y1538="","",INDEX($L$6:$L$40000,$Y1538)&amp;"")</f>
        <v/>
      </c>
    </row>
    <row r="1539">
      <c r="Y1539" s="47">
        <f>IFERROR(MATCH(Library!M1539,$M$6:$M$40000,0),"")</f>
        <v/>
      </c>
      <c r="Z1539">
        <f>IF($Y1539="","",INDEX($C$6:$C$40000,$Y1539)&amp;"")</f>
        <v/>
      </c>
      <c r="AA1539" s="59">
        <f>IF($Y1539="","",IF(INDEX($D$6:$D$40000,$Y1539)="","",INDEX($D$6:$D$40000,$Y1539)))</f>
        <v/>
      </c>
      <c r="AB1539">
        <f>IF($Y1539="","",INDEX($L$6:$L$40000,$Y1539)&amp;"")</f>
        <v/>
      </c>
    </row>
    <row r="1540">
      <c r="Y1540" s="47">
        <f>IFERROR(MATCH(Library!M1540,$M$6:$M$40000,0),"")</f>
        <v/>
      </c>
      <c r="Z1540">
        <f>IF($Y1540="","",INDEX($C$6:$C$40000,$Y1540)&amp;"")</f>
        <v/>
      </c>
      <c r="AA1540" s="59">
        <f>IF($Y1540="","",IF(INDEX($D$6:$D$40000,$Y1540)="","",INDEX($D$6:$D$40000,$Y1540)))</f>
        <v/>
      </c>
      <c r="AB1540">
        <f>IF($Y1540="","",INDEX($L$6:$L$40000,$Y1540)&amp;"")</f>
        <v/>
      </c>
    </row>
    <row r="1541">
      <c r="Y1541" s="47">
        <f>IFERROR(MATCH(Library!M1541,$M$6:$M$40000,0),"")</f>
        <v/>
      </c>
      <c r="Z1541">
        <f>IF($Y1541="","",INDEX($C$6:$C$40000,$Y1541)&amp;"")</f>
        <v/>
      </c>
      <c r="AA1541" s="59">
        <f>IF($Y1541="","",IF(INDEX($D$6:$D$40000,$Y1541)="","",INDEX($D$6:$D$40000,$Y1541)))</f>
        <v/>
      </c>
      <c r="AB1541">
        <f>IF($Y1541="","",INDEX($L$6:$L$40000,$Y1541)&amp;"")</f>
        <v/>
      </c>
    </row>
    <row r="1542">
      <c r="Y1542" s="47">
        <f>IFERROR(MATCH(Library!M1542,$M$6:$M$40000,0),"")</f>
        <v/>
      </c>
      <c r="Z1542">
        <f>IF($Y1542="","",INDEX($C$6:$C$40000,$Y1542)&amp;"")</f>
        <v/>
      </c>
      <c r="AA1542" s="59">
        <f>IF($Y1542="","",IF(INDEX($D$6:$D$40000,$Y1542)="","",INDEX($D$6:$D$40000,$Y1542)))</f>
        <v/>
      </c>
      <c r="AB1542">
        <f>IF($Y1542="","",INDEX($L$6:$L$40000,$Y1542)&amp;"")</f>
        <v/>
      </c>
    </row>
    <row r="1543">
      <c r="Y1543" s="47">
        <f>IFERROR(MATCH(Library!M1543,$M$6:$M$40000,0),"")</f>
        <v/>
      </c>
      <c r="Z1543">
        <f>IF($Y1543="","",INDEX($C$6:$C$40000,$Y1543)&amp;"")</f>
        <v/>
      </c>
      <c r="AA1543" s="59">
        <f>IF($Y1543="","",IF(INDEX($D$6:$D$40000,$Y1543)="","",INDEX($D$6:$D$40000,$Y1543)))</f>
        <v/>
      </c>
      <c r="AB1543">
        <f>IF($Y1543="","",INDEX($L$6:$L$40000,$Y1543)&amp;"")</f>
        <v/>
      </c>
    </row>
    <row r="1544">
      <c r="Y1544" s="47">
        <f>IFERROR(MATCH(Library!M1544,$M$6:$M$40000,0),"")</f>
        <v/>
      </c>
      <c r="Z1544">
        <f>IF($Y1544="","",INDEX($C$6:$C$40000,$Y1544)&amp;"")</f>
        <v/>
      </c>
      <c r="AA1544" s="59">
        <f>IF($Y1544="","",IF(INDEX($D$6:$D$40000,$Y1544)="","",INDEX($D$6:$D$40000,$Y1544)))</f>
        <v/>
      </c>
      <c r="AB1544">
        <f>IF($Y1544="","",INDEX($L$6:$L$40000,$Y1544)&amp;"")</f>
        <v/>
      </c>
    </row>
    <row r="1545">
      <c r="Y1545" s="47">
        <f>IFERROR(MATCH(Library!M1545,$M$6:$M$40000,0),"")</f>
        <v/>
      </c>
      <c r="Z1545">
        <f>IF($Y1545="","",INDEX($C$6:$C$40000,$Y1545)&amp;"")</f>
        <v/>
      </c>
      <c r="AA1545" s="59">
        <f>IF($Y1545="","",IF(INDEX($D$6:$D$40000,$Y1545)="","",INDEX($D$6:$D$40000,$Y1545)))</f>
        <v/>
      </c>
      <c r="AB1545">
        <f>IF($Y1545="","",INDEX($L$6:$L$40000,$Y1545)&amp;"")</f>
        <v/>
      </c>
    </row>
    <row r="1546">
      <c r="Y1546" s="47">
        <f>IFERROR(MATCH(Library!M1546,$M$6:$M$40000,0),"")</f>
        <v/>
      </c>
      <c r="Z1546">
        <f>IF($Y1546="","",INDEX($C$6:$C$40000,$Y1546)&amp;"")</f>
        <v/>
      </c>
      <c r="AA1546" s="59">
        <f>IF($Y1546="","",IF(INDEX($D$6:$D$40000,$Y1546)="","",INDEX($D$6:$D$40000,$Y1546)))</f>
        <v/>
      </c>
      <c r="AB1546">
        <f>IF($Y1546="","",INDEX($L$6:$L$40000,$Y1546)&amp;"")</f>
        <v/>
      </c>
    </row>
    <row r="1547">
      <c r="Y1547" s="47">
        <f>IFERROR(MATCH(Library!M1547,$M$6:$M$40000,0),"")</f>
        <v/>
      </c>
      <c r="Z1547">
        <f>IF($Y1547="","",INDEX($C$6:$C$40000,$Y1547)&amp;"")</f>
        <v/>
      </c>
      <c r="AA1547" s="59">
        <f>IF($Y1547="","",IF(INDEX($D$6:$D$40000,$Y1547)="","",INDEX($D$6:$D$40000,$Y1547)))</f>
        <v/>
      </c>
      <c r="AB1547">
        <f>IF($Y1547="","",INDEX($L$6:$L$40000,$Y1547)&amp;"")</f>
        <v/>
      </c>
    </row>
    <row r="1548">
      <c r="Y1548" s="47">
        <f>IFERROR(MATCH(Library!M1548,$M$6:$M$40000,0),"")</f>
        <v/>
      </c>
      <c r="Z1548">
        <f>IF($Y1548="","",INDEX($C$6:$C$40000,$Y1548)&amp;"")</f>
        <v/>
      </c>
      <c r="AA1548" s="59">
        <f>IF($Y1548="","",IF(INDEX($D$6:$D$40000,$Y1548)="","",INDEX($D$6:$D$40000,$Y1548)))</f>
        <v/>
      </c>
      <c r="AB1548">
        <f>IF($Y1548="","",INDEX($L$6:$L$40000,$Y1548)&amp;"")</f>
        <v/>
      </c>
    </row>
    <row r="1549">
      <c r="Y1549" s="47">
        <f>IFERROR(MATCH(Library!M1549,$M$6:$M$40000,0),"")</f>
        <v/>
      </c>
      <c r="Z1549">
        <f>IF($Y1549="","",INDEX($C$6:$C$40000,$Y1549)&amp;"")</f>
        <v/>
      </c>
      <c r="AA1549" s="59">
        <f>IF($Y1549="","",IF(INDEX($D$6:$D$40000,$Y1549)="","",INDEX($D$6:$D$40000,$Y1549)))</f>
        <v/>
      </c>
      <c r="AB1549">
        <f>IF($Y1549="","",INDEX($L$6:$L$40000,$Y1549)&amp;"")</f>
        <v/>
      </c>
    </row>
    <row r="1550">
      <c r="Y1550" s="47">
        <f>IFERROR(MATCH(Library!M1550,$M$6:$M$40000,0),"")</f>
        <v/>
      </c>
      <c r="Z1550">
        <f>IF($Y1550="","",INDEX($C$6:$C$40000,$Y1550)&amp;"")</f>
        <v/>
      </c>
      <c r="AA1550" s="59">
        <f>IF($Y1550="","",IF(INDEX($D$6:$D$40000,$Y1550)="","",INDEX($D$6:$D$40000,$Y1550)))</f>
        <v/>
      </c>
      <c r="AB1550">
        <f>IF($Y1550="","",INDEX($L$6:$L$40000,$Y1550)&amp;"")</f>
        <v/>
      </c>
    </row>
    <row r="1551">
      <c r="Y1551" s="47">
        <f>IFERROR(MATCH(Library!M1551,$M$6:$M$40000,0),"")</f>
        <v/>
      </c>
      <c r="Z1551">
        <f>IF($Y1551="","",INDEX($C$6:$C$40000,$Y1551)&amp;"")</f>
        <v/>
      </c>
      <c r="AA1551" s="59">
        <f>IF($Y1551="","",IF(INDEX($D$6:$D$40000,$Y1551)="","",INDEX($D$6:$D$40000,$Y1551)))</f>
        <v/>
      </c>
      <c r="AB1551">
        <f>IF($Y1551="","",INDEX($L$6:$L$40000,$Y1551)&amp;"")</f>
        <v/>
      </c>
    </row>
    <row r="1552">
      <c r="Y1552" s="47">
        <f>IFERROR(MATCH(Library!M1552,$M$6:$M$40000,0),"")</f>
        <v/>
      </c>
      <c r="Z1552">
        <f>IF($Y1552="","",INDEX($C$6:$C$40000,$Y1552)&amp;"")</f>
        <v/>
      </c>
      <c r="AA1552" s="59">
        <f>IF($Y1552="","",IF(INDEX($D$6:$D$40000,$Y1552)="","",INDEX($D$6:$D$40000,$Y1552)))</f>
        <v/>
      </c>
      <c r="AB1552">
        <f>IF($Y1552="","",INDEX($L$6:$L$40000,$Y1552)&amp;"")</f>
        <v/>
      </c>
    </row>
    <row r="1553">
      <c r="Y1553" s="47">
        <f>IFERROR(MATCH(Library!M1553,$M$6:$M$40000,0),"")</f>
        <v/>
      </c>
      <c r="Z1553">
        <f>IF($Y1553="","",INDEX($C$6:$C$40000,$Y1553)&amp;"")</f>
        <v/>
      </c>
      <c r="AA1553" s="59">
        <f>IF($Y1553="","",IF(INDEX($D$6:$D$40000,$Y1553)="","",INDEX($D$6:$D$40000,$Y1553)))</f>
        <v/>
      </c>
      <c r="AB1553">
        <f>IF($Y1553="","",INDEX($L$6:$L$40000,$Y1553)&amp;"")</f>
        <v/>
      </c>
    </row>
    <row r="1554">
      <c r="Y1554" s="47">
        <f>IFERROR(MATCH(Library!M1554,$M$6:$M$40000,0),"")</f>
        <v/>
      </c>
      <c r="Z1554">
        <f>IF($Y1554="","",INDEX($C$6:$C$40000,$Y1554)&amp;"")</f>
        <v/>
      </c>
      <c r="AA1554" s="59">
        <f>IF($Y1554="","",IF(INDEX($D$6:$D$40000,$Y1554)="","",INDEX($D$6:$D$40000,$Y1554)))</f>
        <v/>
      </c>
      <c r="AB1554">
        <f>IF($Y1554="","",INDEX($L$6:$L$40000,$Y1554)&amp;"")</f>
        <v/>
      </c>
    </row>
    <row r="1555">
      <c r="Y1555" s="47">
        <f>IFERROR(MATCH(Library!M1555,$M$6:$M$40000,0),"")</f>
        <v/>
      </c>
      <c r="Z1555">
        <f>IF($Y1555="","",INDEX($C$6:$C$40000,$Y1555)&amp;"")</f>
        <v/>
      </c>
      <c r="AA1555" s="59">
        <f>IF($Y1555="","",IF(INDEX($D$6:$D$40000,$Y1555)="","",INDEX($D$6:$D$40000,$Y1555)))</f>
        <v/>
      </c>
      <c r="AB1555">
        <f>IF($Y1555="","",INDEX($L$6:$L$40000,$Y1555)&amp;"")</f>
        <v/>
      </c>
    </row>
    <row r="1556">
      <c r="Y1556" s="47">
        <f>IFERROR(MATCH(Library!M1556,$M$6:$M$40000,0),"")</f>
        <v/>
      </c>
      <c r="Z1556">
        <f>IF($Y1556="","",INDEX($C$6:$C$40000,$Y1556)&amp;"")</f>
        <v/>
      </c>
      <c r="AA1556" s="59">
        <f>IF($Y1556="","",IF(INDEX($D$6:$D$40000,$Y1556)="","",INDEX($D$6:$D$40000,$Y1556)))</f>
        <v/>
      </c>
      <c r="AB1556">
        <f>IF($Y1556="","",INDEX($L$6:$L$40000,$Y1556)&amp;"")</f>
        <v/>
      </c>
    </row>
    <row r="1557">
      <c r="Y1557" s="47">
        <f>IFERROR(MATCH(Library!M1557,$M$6:$M$40000,0),"")</f>
        <v/>
      </c>
      <c r="Z1557">
        <f>IF($Y1557="","",INDEX($C$6:$C$40000,$Y1557)&amp;"")</f>
        <v/>
      </c>
      <c r="AA1557" s="59">
        <f>IF($Y1557="","",IF(INDEX($D$6:$D$40000,$Y1557)="","",INDEX($D$6:$D$40000,$Y1557)))</f>
        <v/>
      </c>
      <c r="AB1557">
        <f>IF($Y1557="","",INDEX($L$6:$L$40000,$Y1557)&amp;"")</f>
        <v/>
      </c>
    </row>
    <row r="1558">
      <c r="Y1558" s="47">
        <f>IFERROR(MATCH(Library!M1558,$M$6:$M$40000,0),"")</f>
        <v/>
      </c>
      <c r="Z1558">
        <f>IF($Y1558="","",INDEX($C$6:$C$40000,$Y1558)&amp;"")</f>
        <v/>
      </c>
      <c r="AA1558" s="59">
        <f>IF($Y1558="","",IF(INDEX($D$6:$D$40000,$Y1558)="","",INDEX($D$6:$D$40000,$Y1558)))</f>
        <v/>
      </c>
      <c r="AB1558">
        <f>IF($Y1558="","",INDEX($L$6:$L$40000,$Y1558)&amp;"")</f>
        <v/>
      </c>
    </row>
    <row r="1559">
      <c r="Y1559" s="47">
        <f>IFERROR(MATCH(Library!M1559,$M$6:$M$40000,0),"")</f>
        <v/>
      </c>
      <c r="Z1559">
        <f>IF($Y1559="","",INDEX($C$6:$C$40000,$Y1559)&amp;"")</f>
        <v/>
      </c>
      <c r="AA1559" s="59">
        <f>IF($Y1559="","",IF(INDEX($D$6:$D$40000,$Y1559)="","",INDEX($D$6:$D$40000,$Y1559)))</f>
        <v/>
      </c>
      <c r="AB1559">
        <f>IF($Y1559="","",INDEX($L$6:$L$40000,$Y1559)&amp;"")</f>
        <v/>
      </c>
    </row>
    <row r="1560">
      <c r="Y1560" s="47">
        <f>IFERROR(MATCH(Library!M1560,$M$6:$M$40000,0),"")</f>
        <v/>
      </c>
      <c r="Z1560">
        <f>IF($Y1560="","",INDEX($C$6:$C$40000,$Y1560)&amp;"")</f>
        <v/>
      </c>
      <c r="AA1560" s="59">
        <f>IF($Y1560="","",IF(INDEX($D$6:$D$40000,$Y1560)="","",INDEX($D$6:$D$40000,$Y1560)))</f>
        <v/>
      </c>
      <c r="AB1560">
        <f>IF($Y1560="","",INDEX($L$6:$L$40000,$Y1560)&amp;"")</f>
        <v/>
      </c>
    </row>
    <row r="1561">
      <c r="Y1561" s="47">
        <f>IFERROR(MATCH(Library!M1561,$M$6:$M$40000,0),"")</f>
        <v/>
      </c>
      <c r="Z1561">
        <f>IF($Y1561="","",INDEX($C$6:$C$40000,$Y1561)&amp;"")</f>
        <v/>
      </c>
      <c r="AA1561" s="59">
        <f>IF($Y1561="","",IF(INDEX($D$6:$D$40000,$Y1561)="","",INDEX($D$6:$D$40000,$Y1561)))</f>
        <v/>
      </c>
      <c r="AB1561">
        <f>IF($Y1561="","",INDEX($L$6:$L$40000,$Y1561)&amp;"")</f>
        <v/>
      </c>
    </row>
    <row r="1562">
      <c r="Y1562" s="47">
        <f>IFERROR(MATCH(Library!M1562,$M$6:$M$40000,0),"")</f>
        <v/>
      </c>
      <c r="Z1562">
        <f>IF($Y1562="","",INDEX($C$6:$C$40000,$Y1562)&amp;"")</f>
        <v/>
      </c>
      <c r="AA1562" s="59">
        <f>IF($Y1562="","",IF(INDEX($D$6:$D$40000,$Y1562)="","",INDEX($D$6:$D$40000,$Y1562)))</f>
        <v/>
      </c>
      <c r="AB1562">
        <f>IF($Y1562="","",INDEX($L$6:$L$40000,$Y1562)&amp;"")</f>
        <v/>
      </c>
    </row>
    <row r="1563">
      <c r="Y1563" s="47">
        <f>IFERROR(MATCH(Library!M1563,$M$6:$M$40000,0),"")</f>
        <v/>
      </c>
      <c r="Z1563">
        <f>IF($Y1563="","",INDEX($C$6:$C$40000,$Y1563)&amp;"")</f>
        <v/>
      </c>
      <c r="AA1563" s="59">
        <f>IF($Y1563="","",IF(INDEX($D$6:$D$40000,$Y1563)="","",INDEX($D$6:$D$40000,$Y1563)))</f>
        <v/>
      </c>
      <c r="AB1563">
        <f>IF($Y1563="","",INDEX($L$6:$L$40000,$Y1563)&amp;"")</f>
        <v/>
      </c>
    </row>
    <row r="1564">
      <c r="Y1564" s="47">
        <f>IFERROR(MATCH(Library!M1564,$M$6:$M$40000,0),"")</f>
        <v/>
      </c>
      <c r="Z1564">
        <f>IF($Y1564="","",INDEX($C$6:$C$40000,$Y1564)&amp;"")</f>
        <v/>
      </c>
      <c r="AA1564" s="59">
        <f>IF($Y1564="","",IF(INDEX($D$6:$D$40000,$Y1564)="","",INDEX($D$6:$D$40000,$Y1564)))</f>
        <v/>
      </c>
      <c r="AB1564">
        <f>IF($Y1564="","",INDEX($L$6:$L$40000,$Y1564)&amp;"")</f>
        <v/>
      </c>
    </row>
    <row r="1565">
      <c r="Y1565" s="47">
        <f>IFERROR(MATCH(Library!M1565,$M$6:$M$40000,0),"")</f>
        <v/>
      </c>
      <c r="Z1565">
        <f>IF($Y1565="","",INDEX($C$6:$C$40000,$Y1565)&amp;"")</f>
        <v/>
      </c>
      <c r="AA1565" s="59">
        <f>IF($Y1565="","",IF(INDEX($D$6:$D$40000,$Y1565)="","",INDEX($D$6:$D$40000,$Y1565)))</f>
        <v/>
      </c>
      <c r="AB1565">
        <f>IF($Y1565="","",INDEX($L$6:$L$40000,$Y1565)&amp;"")</f>
        <v/>
      </c>
    </row>
    <row r="1566">
      <c r="Y1566" s="47">
        <f>IFERROR(MATCH(Library!M1566,$M$6:$M$40000,0),"")</f>
        <v/>
      </c>
      <c r="Z1566">
        <f>IF($Y1566="","",INDEX($C$6:$C$40000,$Y1566)&amp;"")</f>
        <v/>
      </c>
      <c r="AA1566" s="59">
        <f>IF($Y1566="","",IF(INDEX($D$6:$D$40000,$Y1566)="","",INDEX($D$6:$D$40000,$Y1566)))</f>
        <v/>
      </c>
      <c r="AB1566">
        <f>IF($Y1566="","",INDEX($L$6:$L$40000,$Y1566)&amp;"")</f>
        <v/>
      </c>
    </row>
    <row r="1567">
      <c r="Y1567" s="47">
        <f>IFERROR(MATCH(Library!M1567,$M$6:$M$40000,0),"")</f>
        <v/>
      </c>
      <c r="Z1567">
        <f>IF($Y1567="","",INDEX($C$6:$C$40000,$Y1567)&amp;"")</f>
        <v/>
      </c>
      <c r="AA1567" s="59">
        <f>IF($Y1567="","",IF(INDEX($D$6:$D$40000,$Y1567)="","",INDEX($D$6:$D$40000,$Y1567)))</f>
        <v/>
      </c>
      <c r="AB1567">
        <f>IF($Y1567="","",INDEX($L$6:$L$40000,$Y1567)&amp;"")</f>
        <v/>
      </c>
    </row>
    <row r="1568">
      <c r="Y1568" s="47">
        <f>IFERROR(MATCH(Library!M1568,$M$6:$M$40000,0),"")</f>
        <v/>
      </c>
      <c r="Z1568">
        <f>IF($Y1568="","",INDEX($C$6:$C$40000,$Y1568)&amp;"")</f>
        <v/>
      </c>
      <c r="AA1568" s="59">
        <f>IF($Y1568="","",IF(INDEX($D$6:$D$40000,$Y1568)="","",INDEX($D$6:$D$40000,$Y1568)))</f>
        <v/>
      </c>
      <c r="AB1568">
        <f>IF($Y1568="","",INDEX($L$6:$L$40000,$Y1568)&amp;"")</f>
        <v/>
      </c>
    </row>
    <row r="1569">
      <c r="Y1569" s="47">
        <f>IFERROR(MATCH(Library!M1569,$M$6:$M$40000,0),"")</f>
        <v/>
      </c>
      <c r="Z1569">
        <f>IF($Y1569="","",INDEX($C$6:$C$40000,$Y1569)&amp;"")</f>
        <v/>
      </c>
      <c r="AA1569" s="59">
        <f>IF($Y1569="","",IF(INDEX($D$6:$D$40000,$Y1569)="","",INDEX($D$6:$D$40000,$Y1569)))</f>
        <v/>
      </c>
      <c r="AB1569">
        <f>IF($Y1569="","",INDEX($L$6:$L$40000,$Y1569)&amp;"")</f>
        <v/>
      </c>
    </row>
    <row r="1570">
      <c r="Y1570" s="47">
        <f>IFERROR(MATCH(Library!M1570,$M$6:$M$40000,0),"")</f>
        <v/>
      </c>
      <c r="Z1570">
        <f>IF($Y1570="","",INDEX($C$6:$C$40000,$Y1570)&amp;"")</f>
        <v/>
      </c>
      <c r="AA1570" s="59">
        <f>IF($Y1570="","",IF(INDEX($D$6:$D$40000,$Y1570)="","",INDEX($D$6:$D$40000,$Y1570)))</f>
        <v/>
      </c>
      <c r="AB1570">
        <f>IF($Y1570="","",INDEX($L$6:$L$40000,$Y1570)&amp;"")</f>
        <v/>
      </c>
    </row>
    <row r="1571">
      <c r="Y1571" s="47">
        <f>IFERROR(MATCH(Library!M1571,$M$6:$M$40000,0),"")</f>
        <v/>
      </c>
      <c r="Z1571">
        <f>IF($Y1571="","",INDEX($C$6:$C$40000,$Y1571)&amp;"")</f>
        <v/>
      </c>
      <c r="AA1571" s="59">
        <f>IF($Y1571="","",IF(INDEX($D$6:$D$40000,$Y1571)="","",INDEX($D$6:$D$40000,$Y1571)))</f>
        <v/>
      </c>
      <c r="AB1571">
        <f>IF($Y1571="","",INDEX($L$6:$L$40000,$Y1571)&amp;"")</f>
        <v/>
      </c>
    </row>
    <row r="1572">
      <c r="Y1572" s="47">
        <f>IFERROR(MATCH(Library!M1572,$M$6:$M$40000,0),"")</f>
        <v/>
      </c>
      <c r="Z1572">
        <f>IF($Y1572="","",INDEX($C$6:$C$40000,$Y1572)&amp;"")</f>
        <v/>
      </c>
      <c r="AA1572" s="59">
        <f>IF($Y1572="","",IF(INDEX($D$6:$D$40000,$Y1572)="","",INDEX($D$6:$D$40000,$Y1572)))</f>
        <v/>
      </c>
      <c r="AB1572">
        <f>IF($Y1572="","",INDEX($L$6:$L$40000,$Y1572)&amp;"")</f>
        <v/>
      </c>
    </row>
    <row r="1573">
      <c r="Y1573" s="47">
        <f>IFERROR(MATCH(Library!M1573,$M$6:$M$40000,0),"")</f>
        <v/>
      </c>
      <c r="Z1573">
        <f>IF($Y1573="","",INDEX($C$6:$C$40000,$Y1573)&amp;"")</f>
        <v/>
      </c>
      <c r="AA1573" s="59">
        <f>IF($Y1573="","",IF(INDEX($D$6:$D$40000,$Y1573)="","",INDEX($D$6:$D$40000,$Y1573)))</f>
        <v/>
      </c>
      <c r="AB1573">
        <f>IF($Y1573="","",INDEX($L$6:$L$40000,$Y1573)&amp;"")</f>
        <v/>
      </c>
    </row>
    <row r="1574">
      <c r="Y1574" s="47">
        <f>IFERROR(MATCH(Library!M1574,$M$6:$M$40000,0),"")</f>
        <v/>
      </c>
      <c r="Z1574">
        <f>IF($Y1574="","",INDEX($C$6:$C$40000,$Y1574)&amp;"")</f>
        <v/>
      </c>
      <c r="AA1574" s="59">
        <f>IF($Y1574="","",IF(INDEX($D$6:$D$40000,$Y1574)="","",INDEX($D$6:$D$40000,$Y1574)))</f>
        <v/>
      </c>
      <c r="AB1574">
        <f>IF($Y1574="","",INDEX($L$6:$L$40000,$Y1574)&amp;"")</f>
        <v/>
      </c>
    </row>
    <row r="1575">
      <c r="Y1575" s="47">
        <f>IFERROR(MATCH(Library!M1575,$M$6:$M$40000,0),"")</f>
        <v/>
      </c>
      <c r="Z1575">
        <f>IF($Y1575="","",INDEX($C$6:$C$40000,$Y1575)&amp;"")</f>
        <v/>
      </c>
      <c r="AA1575" s="59">
        <f>IF($Y1575="","",IF(INDEX($D$6:$D$40000,$Y1575)="","",INDEX($D$6:$D$40000,$Y1575)))</f>
        <v/>
      </c>
      <c r="AB1575">
        <f>IF($Y1575="","",INDEX($L$6:$L$40000,$Y1575)&amp;"")</f>
        <v/>
      </c>
    </row>
    <row r="1576">
      <c r="Y1576" s="47">
        <f>IFERROR(MATCH(Library!M1576,$M$6:$M$40000,0),"")</f>
        <v/>
      </c>
      <c r="Z1576">
        <f>IF($Y1576="","",INDEX($C$6:$C$40000,$Y1576)&amp;"")</f>
        <v/>
      </c>
      <c r="AA1576" s="59">
        <f>IF($Y1576="","",IF(INDEX($D$6:$D$40000,$Y1576)="","",INDEX($D$6:$D$40000,$Y1576)))</f>
        <v/>
      </c>
      <c r="AB1576">
        <f>IF($Y1576="","",INDEX($L$6:$L$40000,$Y1576)&amp;"")</f>
        <v/>
      </c>
    </row>
    <row r="1577">
      <c r="Y1577" s="47">
        <f>IFERROR(MATCH(Library!M1577,$M$6:$M$40000,0),"")</f>
        <v/>
      </c>
      <c r="Z1577">
        <f>IF($Y1577="","",INDEX($C$6:$C$40000,$Y1577)&amp;"")</f>
        <v/>
      </c>
      <c r="AA1577" s="59">
        <f>IF($Y1577="","",IF(INDEX($D$6:$D$40000,$Y1577)="","",INDEX($D$6:$D$40000,$Y1577)))</f>
        <v/>
      </c>
      <c r="AB1577">
        <f>IF($Y1577="","",INDEX($L$6:$L$40000,$Y1577)&amp;"")</f>
        <v/>
      </c>
    </row>
    <row r="1578">
      <c r="Y1578" s="47">
        <f>IFERROR(MATCH(Library!M1578,$M$6:$M$40000,0),"")</f>
        <v/>
      </c>
      <c r="Z1578">
        <f>IF($Y1578="","",INDEX($C$6:$C$40000,$Y1578)&amp;"")</f>
        <v/>
      </c>
      <c r="AA1578" s="59">
        <f>IF($Y1578="","",IF(INDEX($D$6:$D$40000,$Y1578)="","",INDEX($D$6:$D$40000,$Y1578)))</f>
        <v/>
      </c>
      <c r="AB1578">
        <f>IF($Y1578="","",INDEX($L$6:$L$40000,$Y1578)&amp;"")</f>
        <v/>
      </c>
    </row>
    <row r="1579">
      <c r="Y1579" s="47">
        <f>IFERROR(MATCH(Library!M1579,$M$6:$M$40000,0),"")</f>
        <v/>
      </c>
      <c r="Z1579">
        <f>IF($Y1579="","",INDEX($C$6:$C$40000,$Y1579)&amp;"")</f>
        <v/>
      </c>
      <c r="AA1579" s="59">
        <f>IF($Y1579="","",IF(INDEX($D$6:$D$40000,$Y1579)="","",INDEX($D$6:$D$40000,$Y1579)))</f>
        <v/>
      </c>
      <c r="AB1579">
        <f>IF($Y1579="","",INDEX($L$6:$L$40000,$Y1579)&amp;"")</f>
        <v/>
      </c>
    </row>
    <row r="1580">
      <c r="Y1580" s="47">
        <f>IFERROR(MATCH(Library!M1580,$M$6:$M$40000,0),"")</f>
        <v/>
      </c>
      <c r="Z1580">
        <f>IF($Y1580="","",INDEX($C$6:$C$40000,$Y1580)&amp;"")</f>
        <v/>
      </c>
      <c r="AA1580" s="59">
        <f>IF($Y1580="","",IF(INDEX($D$6:$D$40000,$Y1580)="","",INDEX($D$6:$D$40000,$Y1580)))</f>
        <v/>
      </c>
      <c r="AB1580">
        <f>IF($Y1580="","",INDEX($L$6:$L$40000,$Y1580)&amp;"")</f>
        <v/>
      </c>
    </row>
    <row r="1581">
      <c r="Y1581" s="47">
        <f>IFERROR(MATCH(Library!M1581,$M$6:$M$40000,0),"")</f>
        <v/>
      </c>
      <c r="Z1581">
        <f>IF($Y1581="","",INDEX($C$6:$C$40000,$Y1581)&amp;"")</f>
        <v/>
      </c>
      <c r="AA1581" s="59">
        <f>IF($Y1581="","",IF(INDEX($D$6:$D$40000,$Y1581)="","",INDEX($D$6:$D$40000,$Y1581)))</f>
        <v/>
      </c>
      <c r="AB1581">
        <f>IF($Y1581="","",INDEX($L$6:$L$40000,$Y1581)&amp;"")</f>
        <v/>
      </c>
    </row>
    <row r="1582">
      <c r="Y1582" s="47">
        <f>IFERROR(MATCH(Library!M1582,$M$6:$M$40000,0),"")</f>
        <v/>
      </c>
      <c r="Z1582">
        <f>IF($Y1582="","",INDEX($C$6:$C$40000,$Y1582)&amp;"")</f>
        <v/>
      </c>
      <c r="AA1582" s="59">
        <f>IF($Y1582="","",IF(INDEX($D$6:$D$40000,$Y1582)="","",INDEX($D$6:$D$40000,$Y1582)))</f>
        <v/>
      </c>
      <c r="AB1582">
        <f>IF($Y1582="","",INDEX($L$6:$L$40000,$Y1582)&amp;"")</f>
        <v/>
      </c>
    </row>
    <row r="1583">
      <c r="Y1583" s="47">
        <f>IFERROR(MATCH(Library!M1583,$M$6:$M$40000,0),"")</f>
        <v/>
      </c>
      <c r="Z1583">
        <f>IF($Y1583="","",INDEX($C$6:$C$40000,$Y1583)&amp;"")</f>
        <v/>
      </c>
      <c r="AA1583" s="59">
        <f>IF($Y1583="","",IF(INDEX($D$6:$D$40000,$Y1583)="","",INDEX($D$6:$D$40000,$Y1583)))</f>
        <v/>
      </c>
      <c r="AB1583">
        <f>IF($Y1583="","",INDEX($L$6:$L$40000,$Y1583)&amp;"")</f>
        <v/>
      </c>
    </row>
    <row r="1584">
      <c r="Y1584" s="47">
        <f>IFERROR(MATCH(Library!M1584,$M$6:$M$40000,0),"")</f>
        <v/>
      </c>
      <c r="Z1584">
        <f>IF($Y1584="","",INDEX($C$6:$C$40000,$Y1584)&amp;"")</f>
        <v/>
      </c>
      <c r="AA1584" s="59">
        <f>IF($Y1584="","",IF(INDEX($D$6:$D$40000,$Y1584)="","",INDEX($D$6:$D$40000,$Y1584)))</f>
        <v/>
      </c>
      <c r="AB1584">
        <f>IF($Y1584="","",INDEX($L$6:$L$40000,$Y1584)&amp;"")</f>
        <v/>
      </c>
    </row>
    <row r="1585">
      <c r="Y1585" s="47">
        <f>IFERROR(MATCH(Library!M1585,$M$6:$M$40000,0),"")</f>
        <v/>
      </c>
      <c r="Z1585">
        <f>IF($Y1585="","",INDEX($C$6:$C$40000,$Y1585)&amp;"")</f>
        <v/>
      </c>
      <c r="AA1585" s="59">
        <f>IF($Y1585="","",IF(INDEX($D$6:$D$40000,$Y1585)="","",INDEX($D$6:$D$40000,$Y1585)))</f>
        <v/>
      </c>
      <c r="AB1585">
        <f>IF($Y1585="","",INDEX($L$6:$L$40000,$Y1585)&amp;"")</f>
        <v/>
      </c>
    </row>
    <row r="1586">
      <c r="Y1586" s="47">
        <f>IFERROR(MATCH(Library!M1586,$M$6:$M$40000,0),"")</f>
        <v/>
      </c>
      <c r="Z1586">
        <f>IF($Y1586="","",INDEX($C$6:$C$40000,$Y1586)&amp;"")</f>
        <v/>
      </c>
      <c r="AA1586" s="59">
        <f>IF($Y1586="","",IF(INDEX($D$6:$D$40000,$Y1586)="","",INDEX($D$6:$D$40000,$Y1586)))</f>
        <v/>
      </c>
      <c r="AB1586">
        <f>IF($Y1586="","",INDEX($L$6:$L$40000,$Y1586)&amp;"")</f>
        <v/>
      </c>
    </row>
    <row r="1587">
      <c r="Y1587" s="47">
        <f>IFERROR(MATCH(Library!M1587,$M$6:$M$40000,0),"")</f>
        <v/>
      </c>
      <c r="Z1587">
        <f>IF($Y1587="","",INDEX($C$6:$C$40000,$Y1587)&amp;"")</f>
        <v/>
      </c>
      <c r="AA1587" s="59">
        <f>IF($Y1587="","",IF(INDEX($D$6:$D$40000,$Y1587)="","",INDEX($D$6:$D$40000,$Y1587)))</f>
        <v/>
      </c>
      <c r="AB1587">
        <f>IF($Y1587="","",INDEX($L$6:$L$40000,$Y1587)&amp;"")</f>
        <v/>
      </c>
    </row>
    <row r="1588">
      <c r="Y1588" s="47">
        <f>IFERROR(MATCH(Library!M1588,$M$6:$M$40000,0),"")</f>
        <v/>
      </c>
      <c r="Z1588">
        <f>IF($Y1588="","",INDEX($C$6:$C$40000,$Y1588)&amp;"")</f>
        <v/>
      </c>
      <c r="AA1588" s="59">
        <f>IF($Y1588="","",IF(INDEX($D$6:$D$40000,$Y1588)="","",INDEX($D$6:$D$40000,$Y1588)))</f>
        <v/>
      </c>
      <c r="AB1588">
        <f>IF($Y1588="","",INDEX($L$6:$L$40000,$Y1588)&amp;"")</f>
        <v/>
      </c>
    </row>
    <row r="1589">
      <c r="Y1589" s="47">
        <f>IFERROR(MATCH(Library!M1589,$M$6:$M$40000,0),"")</f>
        <v/>
      </c>
      <c r="Z1589">
        <f>IF($Y1589="","",INDEX($C$6:$C$40000,$Y1589)&amp;"")</f>
        <v/>
      </c>
      <c r="AA1589" s="59">
        <f>IF($Y1589="","",IF(INDEX($D$6:$D$40000,$Y1589)="","",INDEX($D$6:$D$40000,$Y1589)))</f>
        <v/>
      </c>
      <c r="AB1589">
        <f>IF($Y1589="","",INDEX($L$6:$L$40000,$Y1589)&amp;"")</f>
        <v/>
      </c>
    </row>
    <row r="1590">
      <c r="Y1590" s="47">
        <f>IFERROR(MATCH(Library!M1590,$M$6:$M$40000,0),"")</f>
        <v/>
      </c>
      <c r="Z1590">
        <f>IF($Y1590="","",INDEX($C$6:$C$40000,$Y1590)&amp;"")</f>
        <v/>
      </c>
      <c r="AA1590" s="59">
        <f>IF($Y1590="","",IF(INDEX($D$6:$D$40000,$Y1590)="","",INDEX($D$6:$D$40000,$Y1590)))</f>
        <v/>
      </c>
      <c r="AB1590">
        <f>IF($Y1590="","",INDEX($L$6:$L$40000,$Y1590)&amp;"")</f>
        <v/>
      </c>
    </row>
    <row r="1591">
      <c r="Y1591" s="47">
        <f>IFERROR(MATCH(Library!M1591,$M$6:$M$40000,0),"")</f>
        <v/>
      </c>
      <c r="Z1591">
        <f>IF($Y1591="","",INDEX($C$6:$C$40000,$Y1591)&amp;"")</f>
        <v/>
      </c>
      <c r="AA1591" s="59">
        <f>IF($Y1591="","",IF(INDEX($D$6:$D$40000,$Y1591)="","",INDEX($D$6:$D$40000,$Y1591)))</f>
        <v/>
      </c>
      <c r="AB1591">
        <f>IF($Y1591="","",INDEX($L$6:$L$40000,$Y1591)&amp;"")</f>
        <v/>
      </c>
    </row>
    <row r="1592">
      <c r="Y1592" s="47">
        <f>IFERROR(MATCH(Library!M1592,$M$6:$M$40000,0),"")</f>
        <v/>
      </c>
      <c r="Z1592">
        <f>IF($Y1592="","",INDEX($C$6:$C$40000,$Y1592)&amp;"")</f>
        <v/>
      </c>
      <c r="AA1592" s="59">
        <f>IF($Y1592="","",IF(INDEX($D$6:$D$40000,$Y1592)="","",INDEX($D$6:$D$40000,$Y1592)))</f>
        <v/>
      </c>
      <c r="AB1592">
        <f>IF($Y1592="","",INDEX($L$6:$L$40000,$Y1592)&amp;"")</f>
        <v/>
      </c>
    </row>
    <row r="1593">
      <c r="Y1593" s="47">
        <f>IFERROR(MATCH(Library!M1593,$M$6:$M$40000,0),"")</f>
        <v/>
      </c>
      <c r="Z1593">
        <f>IF($Y1593="","",INDEX($C$6:$C$40000,$Y1593)&amp;"")</f>
        <v/>
      </c>
      <c r="AA1593" s="59">
        <f>IF($Y1593="","",IF(INDEX($D$6:$D$40000,$Y1593)="","",INDEX($D$6:$D$40000,$Y1593)))</f>
        <v/>
      </c>
      <c r="AB1593">
        <f>IF($Y1593="","",INDEX($L$6:$L$40000,$Y1593)&amp;"")</f>
        <v/>
      </c>
    </row>
    <row r="1594">
      <c r="Y1594" s="47">
        <f>IFERROR(MATCH(Library!M1594,$M$6:$M$40000,0),"")</f>
        <v/>
      </c>
      <c r="Z1594">
        <f>IF($Y1594="","",INDEX($C$6:$C$40000,$Y1594)&amp;"")</f>
        <v/>
      </c>
      <c r="AA1594" s="59">
        <f>IF($Y1594="","",IF(INDEX($D$6:$D$40000,$Y1594)="","",INDEX($D$6:$D$40000,$Y1594)))</f>
        <v/>
      </c>
      <c r="AB1594">
        <f>IF($Y1594="","",INDEX($L$6:$L$40000,$Y1594)&amp;"")</f>
        <v/>
      </c>
    </row>
    <row r="1595">
      <c r="Y1595" s="47">
        <f>IFERROR(MATCH(Library!M1595,$M$6:$M$40000,0),"")</f>
        <v/>
      </c>
      <c r="Z1595">
        <f>IF($Y1595="","",INDEX($C$6:$C$40000,$Y1595)&amp;"")</f>
        <v/>
      </c>
      <c r="AA1595" s="59">
        <f>IF($Y1595="","",IF(INDEX($D$6:$D$40000,$Y1595)="","",INDEX($D$6:$D$40000,$Y1595)))</f>
        <v/>
      </c>
      <c r="AB1595">
        <f>IF($Y1595="","",INDEX($L$6:$L$40000,$Y1595)&amp;"")</f>
        <v/>
      </c>
    </row>
    <row r="1596">
      <c r="Y1596" s="47">
        <f>IFERROR(MATCH(Library!M1596,$M$6:$M$40000,0),"")</f>
        <v/>
      </c>
      <c r="Z1596">
        <f>IF($Y1596="","",INDEX($C$6:$C$40000,$Y1596)&amp;"")</f>
        <v/>
      </c>
      <c r="AA1596" s="59">
        <f>IF($Y1596="","",IF(INDEX($D$6:$D$40000,$Y1596)="","",INDEX($D$6:$D$40000,$Y1596)))</f>
        <v/>
      </c>
      <c r="AB1596">
        <f>IF($Y1596="","",INDEX($L$6:$L$40000,$Y1596)&amp;"")</f>
        <v/>
      </c>
    </row>
    <row r="1597">
      <c r="Y1597" s="47">
        <f>IFERROR(MATCH(Library!M1597,$M$6:$M$40000,0),"")</f>
        <v/>
      </c>
      <c r="Z1597">
        <f>IF($Y1597="","",INDEX($C$6:$C$40000,$Y1597)&amp;"")</f>
        <v/>
      </c>
      <c r="AA1597" s="59">
        <f>IF($Y1597="","",IF(INDEX($D$6:$D$40000,$Y1597)="","",INDEX($D$6:$D$40000,$Y1597)))</f>
        <v/>
      </c>
      <c r="AB1597">
        <f>IF($Y1597="","",INDEX($L$6:$L$40000,$Y1597)&amp;"")</f>
        <v/>
      </c>
    </row>
    <row r="1598">
      <c r="Y1598" s="47">
        <f>IFERROR(MATCH(Library!M1598,$M$6:$M$40000,0),"")</f>
        <v/>
      </c>
      <c r="Z1598">
        <f>IF($Y1598="","",INDEX($C$6:$C$40000,$Y1598)&amp;"")</f>
        <v/>
      </c>
      <c r="AA1598" s="59">
        <f>IF($Y1598="","",IF(INDEX($D$6:$D$40000,$Y1598)="","",INDEX($D$6:$D$40000,$Y1598)))</f>
        <v/>
      </c>
      <c r="AB1598">
        <f>IF($Y1598="","",INDEX($L$6:$L$40000,$Y1598)&amp;"")</f>
        <v/>
      </c>
    </row>
    <row r="1599">
      <c r="Y1599" s="47">
        <f>IFERROR(MATCH(Library!M1599,$M$6:$M$40000,0),"")</f>
        <v/>
      </c>
      <c r="Z1599">
        <f>IF($Y1599="","",INDEX($C$6:$C$40000,$Y1599)&amp;"")</f>
        <v/>
      </c>
      <c r="AA1599" s="59">
        <f>IF($Y1599="","",IF(INDEX($D$6:$D$40000,$Y1599)="","",INDEX($D$6:$D$40000,$Y1599)))</f>
        <v/>
      </c>
      <c r="AB1599">
        <f>IF($Y1599="","",INDEX($L$6:$L$40000,$Y1599)&amp;"")</f>
        <v/>
      </c>
    </row>
    <row r="1600">
      <c r="Y1600" s="47">
        <f>IFERROR(MATCH(Library!M1600,$M$6:$M$40000,0),"")</f>
        <v/>
      </c>
      <c r="Z1600">
        <f>IF($Y1600="","",INDEX($C$6:$C$40000,$Y1600)&amp;"")</f>
        <v/>
      </c>
      <c r="AA1600" s="59">
        <f>IF($Y1600="","",IF(INDEX($D$6:$D$40000,$Y1600)="","",INDEX($D$6:$D$40000,$Y1600)))</f>
        <v/>
      </c>
      <c r="AB1600">
        <f>IF($Y1600="","",INDEX($L$6:$L$40000,$Y1600)&amp;"")</f>
        <v/>
      </c>
    </row>
    <row r="1601">
      <c r="Y1601" s="47">
        <f>IFERROR(MATCH(Library!M1601,$M$6:$M$40000,0),"")</f>
        <v/>
      </c>
      <c r="Z1601">
        <f>IF($Y1601="","",INDEX($C$6:$C$40000,$Y1601)&amp;"")</f>
        <v/>
      </c>
      <c r="AA1601" s="59">
        <f>IF($Y1601="","",IF(INDEX($D$6:$D$40000,$Y1601)="","",INDEX($D$6:$D$40000,$Y1601)))</f>
        <v/>
      </c>
      <c r="AB1601">
        <f>IF($Y1601="","",INDEX($L$6:$L$40000,$Y1601)&amp;"")</f>
        <v/>
      </c>
    </row>
    <row r="1602">
      <c r="Y1602" s="47">
        <f>IFERROR(MATCH(Library!M1602,$M$6:$M$40000,0),"")</f>
        <v/>
      </c>
      <c r="Z1602">
        <f>IF($Y1602="","",INDEX($C$6:$C$40000,$Y1602)&amp;"")</f>
        <v/>
      </c>
      <c r="AA1602" s="59">
        <f>IF($Y1602="","",IF(INDEX($D$6:$D$40000,$Y1602)="","",INDEX($D$6:$D$40000,$Y1602)))</f>
        <v/>
      </c>
      <c r="AB1602">
        <f>IF($Y1602="","",INDEX($L$6:$L$40000,$Y1602)&amp;"")</f>
        <v/>
      </c>
    </row>
    <row r="1603">
      <c r="Y1603" s="47">
        <f>IFERROR(MATCH(Library!M1603,$M$6:$M$40000,0),"")</f>
        <v/>
      </c>
      <c r="Z1603">
        <f>IF($Y1603="","",INDEX($C$6:$C$40000,$Y1603)&amp;"")</f>
        <v/>
      </c>
      <c r="AA1603" s="59">
        <f>IF($Y1603="","",IF(INDEX($D$6:$D$40000,$Y1603)="","",INDEX($D$6:$D$40000,$Y1603)))</f>
        <v/>
      </c>
      <c r="AB1603">
        <f>IF($Y1603="","",INDEX($L$6:$L$40000,$Y1603)&amp;"")</f>
        <v/>
      </c>
    </row>
    <row r="1604">
      <c r="Y1604" s="47">
        <f>IFERROR(MATCH(Library!M1604,$M$6:$M$40000,0),"")</f>
        <v/>
      </c>
      <c r="Z1604">
        <f>IF($Y1604="","",INDEX($C$6:$C$40000,$Y1604)&amp;"")</f>
        <v/>
      </c>
      <c r="AA1604" s="59">
        <f>IF($Y1604="","",IF(INDEX($D$6:$D$40000,$Y1604)="","",INDEX($D$6:$D$40000,$Y1604)))</f>
        <v/>
      </c>
      <c r="AB1604">
        <f>IF($Y1604="","",INDEX($L$6:$L$40000,$Y1604)&amp;"")</f>
        <v/>
      </c>
    </row>
    <row r="1605">
      <c r="Y1605" s="47">
        <f>IFERROR(MATCH(Library!M1605,$M$6:$M$40000,0),"")</f>
        <v/>
      </c>
      <c r="Z1605">
        <f>IF($Y1605="","",INDEX($C$6:$C$40000,$Y1605)&amp;"")</f>
        <v/>
      </c>
      <c r="AA1605" s="59">
        <f>IF($Y1605="","",IF(INDEX($D$6:$D$40000,$Y1605)="","",INDEX($D$6:$D$40000,$Y1605)))</f>
        <v/>
      </c>
      <c r="AB1605">
        <f>IF($Y1605="","",INDEX($L$6:$L$40000,$Y1605)&amp;"")</f>
        <v/>
      </c>
    </row>
    <row r="1606">
      <c r="Y1606" s="47">
        <f>IFERROR(MATCH(Library!M1606,$M$6:$M$40000,0),"")</f>
        <v/>
      </c>
      <c r="Z1606">
        <f>IF($Y1606="","",INDEX($C$6:$C$40000,$Y1606)&amp;"")</f>
        <v/>
      </c>
      <c r="AA1606" s="59">
        <f>IF($Y1606="","",IF(INDEX($D$6:$D$40000,$Y1606)="","",INDEX($D$6:$D$40000,$Y1606)))</f>
        <v/>
      </c>
      <c r="AB1606">
        <f>IF($Y1606="","",INDEX($L$6:$L$40000,$Y1606)&amp;"")</f>
        <v/>
      </c>
    </row>
    <row r="1607">
      <c r="Y1607" s="47">
        <f>IFERROR(MATCH(Library!M1607,$M$6:$M$40000,0),"")</f>
        <v/>
      </c>
      <c r="Z1607">
        <f>IF($Y1607="","",INDEX($C$6:$C$40000,$Y1607)&amp;"")</f>
        <v/>
      </c>
      <c r="AA1607" s="59">
        <f>IF($Y1607="","",IF(INDEX($D$6:$D$40000,$Y1607)="","",INDEX($D$6:$D$40000,$Y1607)))</f>
        <v/>
      </c>
      <c r="AB1607">
        <f>IF($Y1607="","",INDEX($L$6:$L$40000,$Y1607)&amp;"")</f>
        <v/>
      </c>
    </row>
    <row r="1608">
      <c r="Y1608" s="47">
        <f>IFERROR(MATCH(Library!M1608,$M$6:$M$40000,0),"")</f>
        <v/>
      </c>
      <c r="Z1608">
        <f>IF($Y1608="","",INDEX($C$6:$C$40000,$Y1608)&amp;"")</f>
        <v/>
      </c>
      <c r="AA1608" s="59">
        <f>IF($Y1608="","",IF(INDEX($D$6:$D$40000,$Y1608)="","",INDEX($D$6:$D$40000,$Y1608)))</f>
        <v/>
      </c>
      <c r="AB1608">
        <f>IF($Y1608="","",INDEX($L$6:$L$40000,$Y1608)&amp;"")</f>
        <v/>
      </c>
    </row>
    <row r="1609">
      <c r="Y1609" s="47">
        <f>IFERROR(MATCH(Library!M1609,$M$6:$M$40000,0),"")</f>
        <v/>
      </c>
      <c r="Z1609">
        <f>IF($Y1609="","",INDEX($C$6:$C$40000,$Y1609)&amp;"")</f>
        <v/>
      </c>
      <c r="AA1609" s="59">
        <f>IF($Y1609="","",IF(INDEX($D$6:$D$40000,$Y1609)="","",INDEX($D$6:$D$40000,$Y1609)))</f>
        <v/>
      </c>
      <c r="AB1609">
        <f>IF($Y1609="","",INDEX($L$6:$L$40000,$Y1609)&amp;"")</f>
        <v/>
      </c>
    </row>
    <row r="1610">
      <c r="Y1610" s="47">
        <f>IFERROR(MATCH(Library!M1610,$M$6:$M$40000,0),"")</f>
        <v/>
      </c>
      <c r="Z1610">
        <f>IF($Y1610="","",INDEX($C$6:$C$40000,$Y1610)&amp;"")</f>
        <v/>
      </c>
      <c r="AA1610" s="59">
        <f>IF($Y1610="","",IF(INDEX($D$6:$D$40000,$Y1610)="","",INDEX($D$6:$D$40000,$Y1610)))</f>
        <v/>
      </c>
      <c r="AB1610">
        <f>IF($Y1610="","",INDEX($L$6:$L$40000,$Y1610)&amp;"")</f>
        <v/>
      </c>
    </row>
    <row r="1611">
      <c r="Y1611" s="47">
        <f>IFERROR(MATCH(Library!M1611,$M$6:$M$40000,0),"")</f>
        <v/>
      </c>
      <c r="Z1611">
        <f>IF($Y1611="","",INDEX($C$6:$C$40000,$Y1611)&amp;"")</f>
        <v/>
      </c>
      <c r="AA1611" s="59">
        <f>IF($Y1611="","",IF(INDEX($D$6:$D$40000,$Y1611)="","",INDEX($D$6:$D$40000,$Y1611)))</f>
        <v/>
      </c>
      <c r="AB1611">
        <f>IF($Y1611="","",INDEX($L$6:$L$40000,$Y1611)&amp;"")</f>
        <v/>
      </c>
    </row>
    <row r="1612">
      <c r="Y1612" s="47">
        <f>IFERROR(MATCH(Library!M1612,$M$6:$M$40000,0),"")</f>
        <v/>
      </c>
      <c r="Z1612">
        <f>IF($Y1612="","",INDEX($C$6:$C$40000,$Y1612)&amp;"")</f>
        <v/>
      </c>
      <c r="AA1612" s="59">
        <f>IF($Y1612="","",IF(INDEX($D$6:$D$40000,$Y1612)="","",INDEX($D$6:$D$40000,$Y1612)))</f>
        <v/>
      </c>
      <c r="AB1612">
        <f>IF($Y1612="","",INDEX($L$6:$L$40000,$Y1612)&amp;"")</f>
        <v/>
      </c>
    </row>
    <row r="1613">
      <c r="Y1613" s="47">
        <f>IFERROR(MATCH(Library!M1613,$M$6:$M$40000,0),"")</f>
        <v/>
      </c>
      <c r="Z1613">
        <f>IF($Y1613="","",INDEX($C$6:$C$40000,$Y1613)&amp;"")</f>
        <v/>
      </c>
      <c r="AA1613" s="59">
        <f>IF($Y1613="","",IF(INDEX($D$6:$D$40000,$Y1613)="","",INDEX($D$6:$D$40000,$Y1613)))</f>
        <v/>
      </c>
      <c r="AB1613">
        <f>IF($Y1613="","",INDEX($L$6:$L$40000,$Y1613)&amp;"")</f>
        <v/>
      </c>
    </row>
    <row r="1614">
      <c r="Y1614" s="47">
        <f>IFERROR(MATCH(Library!M1614,$M$6:$M$40000,0),"")</f>
        <v/>
      </c>
      <c r="Z1614">
        <f>IF($Y1614="","",INDEX($C$6:$C$40000,$Y1614)&amp;"")</f>
        <v/>
      </c>
      <c r="AA1614" s="59">
        <f>IF($Y1614="","",IF(INDEX($D$6:$D$40000,$Y1614)="","",INDEX($D$6:$D$40000,$Y1614)))</f>
        <v/>
      </c>
      <c r="AB1614">
        <f>IF($Y1614="","",INDEX($L$6:$L$40000,$Y1614)&amp;"")</f>
        <v/>
      </c>
    </row>
    <row r="1615">
      <c r="Y1615" s="47">
        <f>IFERROR(MATCH(Library!M1615,$M$6:$M$40000,0),"")</f>
        <v/>
      </c>
      <c r="Z1615">
        <f>IF($Y1615="","",INDEX($C$6:$C$40000,$Y1615)&amp;"")</f>
        <v/>
      </c>
      <c r="AA1615" s="59">
        <f>IF($Y1615="","",IF(INDEX($D$6:$D$40000,$Y1615)="","",INDEX($D$6:$D$40000,$Y1615)))</f>
        <v/>
      </c>
      <c r="AB1615">
        <f>IF($Y1615="","",INDEX($L$6:$L$40000,$Y1615)&amp;"")</f>
        <v/>
      </c>
    </row>
    <row r="1616">
      <c r="Y1616" s="47">
        <f>IFERROR(MATCH(Library!M1616,$M$6:$M$40000,0),"")</f>
        <v/>
      </c>
      <c r="Z1616">
        <f>IF($Y1616="","",INDEX($C$6:$C$40000,$Y1616)&amp;"")</f>
        <v/>
      </c>
      <c r="AA1616" s="59">
        <f>IF($Y1616="","",IF(INDEX($D$6:$D$40000,$Y1616)="","",INDEX($D$6:$D$40000,$Y1616)))</f>
        <v/>
      </c>
      <c r="AB1616">
        <f>IF($Y1616="","",INDEX($L$6:$L$40000,$Y1616)&amp;"")</f>
        <v/>
      </c>
    </row>
    <row r="1617">
      <c r="Y1617" s="47">
        <f>IFERROR(MATCH(Library!M1617,$M$6:$M$40000,0),"")</f>
        <v/>
      </c>
      <c r="Z1617">
        <f>IF($Y1617="","",INDEX($C$6:$C$40000,$Y1617)&amp;"")</f>
        <v/>
      </c>
      <c r="AA1617" s="59">
        <f>IF($Y1617="","",IF(INDEX($D$6:$D$40000,$Y1617)="","",INDEX($D$6:$D$40000,$Y1617)))</f>
        <v/>
      </c>
      <c r="AB1617">
        <f>IF($Y1617="","",INDEX($L$6:$L$40000,$Y1617)&amp;"")</f>
        <v/>
      </c>
    </row>
    <row r="1618">
      <c r="Y1618" s="47">
        <f>IFERROR(MATCH(Library!M1618,$M$6:$M$40000,0),"")</f>
        <v/>
      </c>
      <c r="Z1618">
        <f>IF($Y1618="","",INDEX($C$6:$C$40000,$Y1618)&amp;"")</f>
        <v/>
      </c>
      <c r="AA1618" s="59">
        <f>IF($Y1618="","",IF(INDEX($D$6:$D$40000,$Y1618)="","",INDEX($D$6:$D$40000,$Y1618)))</f>
        <v/>
      </c>
      <c r="AB1618">
        <f>IF($Y1618="","",INDEX($L$6:$L$40000,$Y1618)&amp;"")</f>
        <v/>
      </c>
    </row>
    <row r="1619">
      <c r="Y1619" s="47">
        <f>IFERROR(MATCH(Library!M1619,$M$6:$M$40000,0),"")</f>
        <v/>
      </c>
      <c r="Z1619">
        <f>IF($Y1619="","",INDEX($C$6:$C$40000,$Y1619)&amp;"")</f>
        <v/>
      </c>
      <c r="AA1619" s="59">
        <f>IF($Y1619="","",IF(INDEX($D$6:$D$40000,$Y1619)="","",INDEX($D$6:$D$40000,$Y1619)))</f>
        <v/>
      </c>
      <c r="AB1619">
        <f>IF($Y1619="","",INDEX($L$6:$L$40000,$Y1619)&amp;"")</f>
        <v/>
      </c>
    </row>
    <row r="1620">
      <c r="Y1620" s="47">
        <f>IFERROR(MATCH(Library!M1620,$M$6:$M$40000,0),"")</f>
        <v/>
      </c>
      <c r="Z1620">
        <f>IF($Y1620="","",INDEX($C$6:$C$40000,$Y1620)&amp;"")</f>
        <v/>
      </c>
      <c r="AA1620" s="59">
        <f>IF($Y1620="","",IF(INDEX($D$6:$D$40000,$Y1620)="","",INDEX($D$6:$D$40000,$Y1620)))</f>
        <v/>
      </c>
      <c r="AB1620">
        <f>IF($Y1620="","",INDEX($L$6:$L$40000,$Y1620)&amp;"")</f>
        <v/>
      </c>
    </row>
    <row r="1621">
      <c r="Y1621" s="47">
        <f>IFERROR(MATCH(Library!M1621,$M$6:$M$40000,0),"")</f>
        <v/>
      </c>
      <c r="Z1621">
        <f>IF($Y1621="","",INDEX($C$6:$C$40000,$Y1621)&amp;"")</f>
        <v/>
      </c>
      <c r="AA1621" s="59">
        <f>IF($Y1621="","",IF(INDEX($D$6:$D$40000,$Y1621)="","",INDEX($D$6:$D$40000,$Y1621)))</f>
        <v/>
      </c>
      <c r="AB1621">
        <f>IF($Y1621="","",INDEX($L$6:$L$40000,$Y1621)&amp;"")</f>
        <v/>
      </c>
    </row>
    <row r="1622">
      <c r="Y1622" s="47">
        <f>IFERROR(MATCH(Library!M1622,$M$6:$M$40000,0),"")</f>
        <v/>
      </c>
      <c r="Z1622">
        <f>IF($Y1622="","",INDEX($C$6:$C$40000,$Y1622)&amp;"")</f>
        <v/>
      </c>
      <c r="AA1622" s="59">
        <f>IF($Y1622="","",IF(INDEX($D$6:$D$40000,$Y1622)="","",INDEX($D$6:$D$40000,$Y1622)))</f>
        <v/>
      </c>
      <c r="AB1622">
        <f>IF($Y1622="","",INDEX($L$6:$L$40000,$Y1622)&amp;"")</f>
        <v/>
      </c>
    </row>
    <row r="1623">
      <c r="Y1623" s="47">
        <f>IFERROR(MATCH(Library!M1623,$M$6:$M$40000,0),"")</f>
        <v/>
      </c>
      <c r="Z1623">
        <f>IF($Y1623="","",INDEX($C$6:$C$40000,$Y1623)&amp;"")</f>
        <v/>
      </c>
      <c r="AA1623" s="59">
        <f>IF($Y1623="","",IF(INDEX($D$6:$D$40000,$Y1623)="","",INDEX($D$6:$D$40000,$Y1623)))</f>
        <v/>
      </c>
      <c r="AB1623">
        <f>IF($Y1623="","",INDEX($L$6:$L$40000,$Y1623)&amp;"")</f>
        <v/>
      </c>
    </row>
    <row r="1624">
      <c r="Y1624" s="47">
        <f>IFERROR(MATCH(Library!M1624,$M$6:$M$40000,0),"")</f>
        <v/>
      </c>
      <c r="Z1624">
        <f>IF($Y1624="","",INDEX($C$6:$C$40000,$Y1624)&amp;"")</f>
        <v/>
      </c>
      <c r="AA1624" s="59">
        <f>IF($Y1624="","",IF(INDEX($D$6:$D$40000,$Y1624)="","",INDEX($D$6:$D$40000,$Y1624)))</f>
        <v/>
      </c>
      <c r="AB1624">
        <f>IF($Y1624="","",INDEX($L$6:$L$40000,$Y1624)&amp;"")</f>
        <v/>
      </c>
    </row>
    <row r="1625">
      <c r="Y1625" s="47">
        <f>IFERROR(MATCH(Library!M1625,$M$6:$M$40000,0),"")</f>
        <v/>
      </c>
      <c r="Z1625">
        <f>IF($Y1625="","",INDEX($C$6:$C$40000,$Y1625)&amp;"")</f>
        <v/>
      </c>
      <c r="AA1625" s="59">
        <f>IF($Y1625="","",IF(INDEX($D$6:$D$40000,$Y1625)="","",INDEX($D$6:$D$40000,$Y1625)))</f>
        <v/>
      </c>
      <c r="AB1625">
        <f>IF($Y1625="","",INDEX($L$6:$L$40000,$Y1625)&amp;"")</f>
        <v/>
      </c>
    </row>
    <row r="1626">
      <c r="Y1626" s="47">
        <f>IFERROR(MATCH(Library!M1626,$M$6:$M$40000,0),"")</f>
        <v/>
      </c>
      <c r="Z1626">
        <f>IF($Y1626="","",INDEX($C$6:$C$40000,$Y1626)&amp;"")</f>
        <v/>
      </c>
      <c r="AA1626" s="59">
        <f>IF($Y1626="","",IF(INDEX($D$6:$D$40000,$Y1626)="","",INDEX($D$6:$D$40000,$Y1626)))</f>
        <v/>
      </c>
      <c r="AB1626">
        <f>IF($Y1626="","",INDEX($L$6:$L$40000,$Y1626)&amp;"")</f>
        <v/>
      </c>
    </row>
    <row r="1627">
      <c r="Y1627" s="47">
        <f>IFERROR(MATCH(Library!M1627,$M$6:$M$40000,0),"")</f>
        <v/>
      </c>
      <c r="Z1627">
        <f>IF($Y1627="","",INDEX($C$6:$C$40000,$Y1627)&amp;"")</f>
        <v/>
      </c>
      <c r="AA1627" s="59">
        <f>IF($Y1627="","",IF(INDEX($D$6:$D$40000,$Y1627)="","",INDEX($D$6:$D$40000,$Y1627)))</f>
        <v/>
      </c>
      <c r="AB1627">
        <f>IF($Y1627="","",INDEX($L$6:$L$40000,$Y1627)&amp;"")</f>
        <v/>
      </c>
    </row>
    <row r="1628">
      <c r="Y1628" s="47">
        <f>IFERROR(MATCH(Library!M1628,$M$6:$M$40000,0),"")</f>
        <v/>
      </c>
      <c r="Z1628">
        <f>IF($Y1628="","",INDEX($C$6:$C$40000,$Y1628)&amp;"")</f>
        <v/>
      </c>
      <c r="AA1628" s="59">
        <f>IF($Y1628="","",IF(INDEX($D$6:$D$40000,$Y1628)="","",INDEX($D$6:$D$40000,$Y1628)))</f>
        <v/>
      </c>
      <c r="AB1628">
        <f>IF($Y1628="","",INDEX($L$6:$L$40000,$Y1628)&amp;"")</f>
        <v/>
      </c>
    </row>
    <row r="1629">
      <c r="Y1629" s="47">
        <f>IFERROR(MATCH(Library!M1629,$M$6:$M$40000,0),"")</f>
        <v/>
      </c>
      <c r="Z1629">
        <f>IF($Y1629="","",INDEX($C$6:$C$40000,$Y1629)&amp;"")</f>
        <v/>
      </c>
      <c r="AA1629" s="59">
        <f>IF($Y1629="","",IF(INDEX($D$6:$D$40000,$Y1629)="","",INDEX($D$6:$D$40000,$Y1629)))</f>
        <v/>
      </c>
      <c r="AB1629">
        <f>IF($Y1629="","",INDEX($L$6:$L$40000,$Y1629)&amp;"")</f>
        <v/>
      </c>
    </row>
    <row r="1630">
      <c r="Y1630" s="47">
        <f>IFERROR(MATCH(Library!M1630,$M$6:$M$40000,0),"")</f>
        <v/>
      </c>
      <c r="Z1630">
        <f>IF($Y1630="","",INDEX($C$6:$C$40000,$Y1630)&amp;"")</f>
        <v/>
      </c>
      <c r="AA1630" s="59">
        <f>IF($Y1630="","",IF(INDEX($D$6:$D$40000,$Y1630)="","",INDEX($D$6:$D$40000,$Y1630)))</f>
        <v/>
      </c>
      <c r="AB1630">
        <f>IF($Y1630="","",INDEX($L$6:$L$40000,$Y1630)&amp;"")</f>
        <v/>
      </c>
    </row>
    <row r="1631">
      <c r="Y1631" s="47">
        <f>IFERROR(MATCH(Library!M1631,$M$6:$M$40000,0),"")</f>
        <v/>
      </c>
      <c r="Z1631">
        <f>IF($Y1631="","",INDEX($C$6:$C$40000,$Y1631)&amp;"")</f>
        <v/>
      </c>
      <c r="AA1631" s="59">
        <f>IF($Y1631="","",IF(INDEX($D$6:$D$40000,$Y1631)="","",INDEX($D$6:$D$40000,$Y1631)))</f>
        <v/>
      </c>
      <c r="AB1631">
        <f>IF($Y1631="","",INDEX($L$6:$L$40000,$Y1631)&amp;"")</f>
        <v/>
      </c>
    </row>
    <row r="1632">
      <c r="Y1632" s="47">
        <f>IFERROR(MATCH(Library!M1632,$M$6:$M$40000,0),"")</f>
        <v/>
      </c>
      <c r="Z1632">
        <f>IF($Y1632="","",INDEX($C$6:$C$40000,$Y1632)&amp;"")</f>
        <v/>
      </c>
      <c r="AA1632" s="59">
        <f>IF($Y1632="","",IF(INDEX($D$6:$D$40000,$Y1632)="","",INDEX($D$6:$D$40000,$Y1632)))</f>
        <v/>
      </c>
      <c r="AB1632">
        <f>IF($Y1632="","",INDEX($L$6:$L$40000,$Y1632)&amp;"")</f>
        <v/>
      </c>
    </row>
    <row r="1633">
      <c r="Y1633" s="47">
        <f>IFERROR(MATCH(Library!M1633,$M$6:$M$40000,0),"")</f>
        <v/>
      </c>
      <c r="Z1633">
        <f>IF($Y1633="","",INDEX($C$6:$C$40000,$Y1633)&amp;"")</f>
        <v/>
      </c>
      <c r="AA1633" s="59">
        <f>IF($Y1633="","",IF(INDEX($D$6:$D$40000,$Y1633)="","",INDEX($D$6:$D$40000,$Y1633)))</f>
        <v/>
      </c>
      <c r="AB1633">
        <f>IF($Y1633="","",INDEX($L$6:$L$40000,$Y1633)&amp;"")</f>
        <v/>
      </c>
    </row>
    <row r="1634">
      <c r="Y1634" s="47">
        <f>IFERROR(MATCH(Library!M1634,$M$6:$M$40000,0),"")</f>
        <v/>
      </c>
      <c r="Z1634">
        <f>IF($Y1634="","",INDEX($C$6:$C$40000,$Y1634)&amp;"")</f>
        <v/>
      </c>
      <c r="AA1634" s="59">
        <f>IF($Y1634="","",IF(INDEX($D$6:$D$40000,$Y1634)="","",INDEX($D$6:$D$40000,$Y1634)))</f>
        <v/>
      </c>
      <c r="AB1634">
        <f>IF($Y1634="","",INDEX($L$6:$L$40000,$Y1634)&amp;"")</f>
        <v/>
      </c>
    </row>
    <row r="1635">
      <c r="Y1635" s="47">
        <f>IFERROR(MATCH(Library!M1635,$M$6:$M$40000,0),"")</f>
        <v/>
      </c>
      <c r="Z1635">
        <f>IF($Y1635="","",INDEX($C$6:$C$40000,$Y1635)&amp;"")</f>
        <v/>
      </c>
      <c r="AA1635" s="59">
        <f>IF($Y1635="","",IF(INDEX($D$6:$D$40000,$Y1635)="","",INDEX($D$6:$D$40000,$Y1635)))</f>
        <v/>
      </c>
      <c r="AB1635">
        <f>IF($Y1635="","",INDEX($L$6:$L$40000,$Y1635)&amp;"")</f>
        <v/>
      </c>
    </row>
    <row r="1636">
      <c r="Y1636" s="47">
        <f>IFERROR(MATCH(Library!M1636,$M$6:$M$40000,0),"")</f>
        <v/>
      </c>
      <c r="Z1636">
        <f>IF($Y1636="","",INDEX($C$6:$C$40000,$Y1636)&amp;"")</f>
        <v/>
      </c>
      <c r="AA1636" s="59">
        <f>IF($Y1636="","",IF(INDEX($D$6:$D$40000,$Y1636)="","",INDEX($D$6:$D$40000,$Y1636)))</f>
        <v/>
      </c>
      <c r="AB1636">
        <f>IF($Y1636="","",INDEX($L$6:$L$40000,$Y1636)&amp;"")</f>
        <v/>
      </c>
    </row>
    <row r="1637">
      <c r="Y1637" s="47">
        <f>IFERROR(MATCH(Library!M1637,$M$6:$M$40000,0),"")</f>
        <v/>
      </c>
      <c r="Z1637">
        <f>IF($Y1637="","",INDEX($C$6:$C$40000,$Y1637)&amp;"")</f>
        <v/>
      </c>
      <c r="AA1637" s="59">
        <f>IF($Y1637="","",IF(INDEX($D$6:$D$40000,$Y1637)="","",INDEX($D$6:$D$40000,$Y1637)))</f>
        <v/>
      </c>
      <c r="AB1637">
        <f>IF($Y1637="","",INDEX($L$6:$L$40000,$Y1637)&amp;"")</f>
        <v/>
      </c>
    </row>
    <row r="1638">
      <c r="Y1638" s="47">
        <f>IFERROR(MATCH(Library!M1638,$M$6:$M$40000,0),"")</f>
        <v/>
      </c>
      <c r="Z1638">
        <f>IF($Y1638="","",INDEX($C$6:$C$40000,$Y1638)&amp;"")</f>
        <v/>
      </c>
      <c r="AA1638" s="59">
        <f>IF($Y1638="","",IF(INDEX($D$6:$D$40000,$Y1638)="","",INDEX($D$6:$D$40000,$Y1638)))</f>
        <v/>
      </c>
      <c r="AB1638">
        <f>IF($Y1638="","",INDEX($L$6:$L$40000,$Y1638)&amp;"")</f>
        <v/>
      </c>
    </row>
    <row r="1639">
      <c r="Y1639" s="47">
        <f>IFERROR(MATCH(Library!M1639,$M$6:$M$40000,0),"")</f>
        <v/>
      </c>
      <c r="Z1639">
        <f>IF($Y1639="","",INDEX($C$6:$C$40000,$Y1639)&amp;"")</f>
        <v/>
      </c>
      <c r="AA1639" s="59">
        <f>IF($Y1639="","",IF(INDEX($D$6:$D$40000,$Y1639)="","",INDEX($D$6:$D$40000,$Y1639)))</f>
        <v/>
      </c>
      <c r="AB1639">
        <f>IF($Y1639="","",INDEX($L$6:$L$40000,$Y1639)&amp;"")</f>
        <v/>
      </c>
    </row>
    <row r="1640">
      <c r="Y1640" s="47">
        <f>IFERROR(MATCH(Library!M1640,$M$6:$M$40000,0),"")</f>
        <v/>
      </c>
      <c r="Z1640">
        <f>IF($Y1640="","",INDEX($C$6:$C$40000,$Y1640)&amp;"")</f>
        <v/>
      </c>
      <c r="AA1640" s="59">
        <f>IF($Y1640="","",IF(INDEX($D$6:$D$40000,$Y1640)="","",INDEX($D$6:$D$40000,$Y1640)))</f>
        <v/>
      </c>
      <c r="AB1640">
        <f>IF($Y1640="","",INDEX($L$6:$L$40000,$Y1640)&amp;"")</f>
        <v/>
      </c>
    </row>
    <row r="1641">
      <c r="Y1641" s="47">
        <f>IFERROR(MATCH(Library!M1641,$M$6:$M$40000,0),"")</f>
        <v/>
      </c>
      <c r="Z1641">
        <f>IF($Y1641="","",INDEX($C$6:$C$40000,$Y1641)&amp;"")</f>
        <v/>
      </c>
      <c r="AA1641" s="59">
        <f>IF($Y1641="","",IF(INDEX($D$6:$D$40000,$Y1641)="","",INDEX($D$6:$D$40000,$Y1641)))</f>
        <v/>
      </c>
      <c r="AB1641">
        <f>IF($Y1641="","",INDEX($L$6:$L$40000,$Y1641)&amp;"")</f>
        <v/>
      </c>
    </row>
    <row r="1642">
      <c r="Y1642" s="47">
        <f>IFERROR(MATCH(Library!M1642,$M$6:$M$40000,0),"")</f>
        <v/>
      </c>
      <c r="Z1642">
        <f>IF($Y1642="","",INDEX($C$6:$C$40000,$Y1642)&amp;"")</f>
        <v/>
      </c>
      <c r="AA1642" s="59">
        <f>IF($Y1642="","",IF(INDEX($D$6:$D$40000,$Y1642)="","",INDEX($D$6:$D$40000,$Y1642)))</f>
        <v/>
      </c>
      <c r="AB1642">
        <f>IF($Y1642="","",INDEX($L$6:$L$40000,$Y1642)&amp;"")</f>
        <v/>
      </c>
    </row>
    <row r="1643">
      <c r="Y1643" s="47">
        <f>IFERROR(MATCH(Library!M1643,$M$6:$M$40000,0),"")</f>
        <v/>
      </c>
      <c r="Z1643">
        <f>IF($Y1643="","",INDEX($C$6:$C$40000,$Y1643)&amp;"")</f>
        <v/>
      </c>
      <c r="AA1643" s="59">
        <f>IF($Y1643="","",IF(INDEX($D$6:$D$40000,$Y1643)="","",INDEX($D$6:$D$40000,$Y1643)))</f>
        <v/>
      </c>
      <c r="AB1643">
        <f>IF($Y1643="","",INDEX($L$6:$L$40000,$Y1643)&amp;"")</f>
        <v/>
      </c>
    </row>
    <row r="1644">
      <c r="Y1644" s="47">
        <f>IFERROR(MATCH(Library!M1644,$M$6:$M$40000,0),"")</f>
        <v/>
      </c>
      <c r="Z1644">
        <f>IF($Y1644="","",INDEX($C$6:$C$40000,$Y1644)&amp;"")</f>
        <v/>
      </c>
      <c r="AA1644" s="59">
        <f>IF($Y1644="","",IF(INDEX($D$6:$D$40000,$Y1644)="","",INDEX($D$6:$D$40000,$Y1644)))</f>
        <v/>
      </c>
      <c r="AB1644">
        <f>IF($Y1644="","",INDEX($L$6:$L$40000,$Y1644)&amp;"")</f>
        <v/>
      </c>
    </row>
    <row r="1645">
      <c r="Y1645" s="47">
        <f>IFERROR(MATCH(Library!M1645,$M$6:$M$40000,0),"")</f>
        <v/>
      </c>
      <c r="Z1645">
        <f>IF($Y1645="","",INDEX($C$6:$C$40000,$Y1645)&amp;"")</f>
        <v/>
      </c>
      <c r="AA1645" s="59">
        <f>IF($Y1645="","",IF(INDEX($D$6:$D$40000,$Y1645)="","",INDEX($D$6:$D$40000,$Y1645)))</f>
        <v/>
      </c>
      <c r="AB1645">
        <f>IF($Y1645="","",INDEX($L$6:$L$40000,$Y1645)&amp;"")</f>
        <v/>
      </c>
    </row>
    <row r="1646">
      <c r="Y1646" s="47">
        <f>IFERROR(MATCH(Library!M1646,$M$6:$M$40000,0),"")</f>
        <v/>
      </c>
      <c r="Z1646">
        <f>IF($Y1646="","",INDEX($C$6:$C$40000,$Y1646)&amp;"")</f>
        <v/>
      </c>
      <c r="AA1646" s="59">
        <f>IF($Y1646="","",IF(INDEX($D$6:$D$40000,$Y1646)="","",INDEX($D$6:$D$40000,$Y1646)))</f>
        <v/>
      </c>
      <c r="AB1646">
        <f>IF($Y1646="","",INDEX($L$6:$L$40000,$Y1646)&amp;"")</f>
        <v/>
      </c>
    </row>
    <row r="1647">
      <c r="Y1647" s="47">
        <f>IFERROR(MATCH(Library!M1647,$M$6:$M$40000,0),"")</f>
        <v/>
      </c>
      <c r="Z1647">
        <f>IF($Y1647="","",INDEX($C$6:$C$40000,$Y1647)&amp;"")</f>
        <v/>
      </c>
      <c r="AA1647" s="59">
        <f>IF($Y1647="","",IF(INDEX($D$6:$D$40000,$Y1647)="","",INDEX($D$6:$D$40000,$Y1647)))</f>
        <v/>
      </c>
      <c r="AB1647">
        <f>IF($Y1647="","",INDEX($L$6:$L$40000,$Y1647)&amp;"")</f>
        <v/>
      </c>
    </row>
    <row r="1648">
      <c r="Y1648" s="47">
        <f>IFERROR(MATCH(Library!M1648,$M$6:$M$40000,0),"")</f>
        <v/>
      </c>
      <c r="Z1648">
        <f>IF($Y1648="","",INDEX($C$6:$C$40000,$Y1648)&amp;"")</f>
        <v/>
      </c>
      <c r="AA1648" s="59">
        <f>IF($Y1648="","",IF(INDEX($D$6:$D$40000,$Y1648)="","",INDEX($D$6:$D$40000,$Y1648)))</f>
        <v/>
      </c>
      <c r="AB1648">
        <f>IF($Y1648="","",INDEX($L$6:$L$40000,$Y1648)&amp;"")</f>
        <v/>
      </c>
    </row>
    <row r="1649">
      <c r="Y1649" s="47">
        <f>IFERROR(MATCH(Library!M1649,$M$6:$M$40000,0),"")</f>
        <v/>
      </c>
      <c r="Z1649">
        <f>IF($Y1649="","",INDEX($C$6:$C$40000,$Y1649)&amp;"")</f>
        <v/>
      </c>
      <c r="AA1649" s="59">
        <f>IF($Y1649="","",IF(INDEX($D$6:$D$40000,$Y1649)="","",INDEX($D$6:$D$40000,$Y1649)))</f>
        <v/>
      </c>
      <c r="AB1649">
        <f>IF($Y1649="","",INDEX($L$6:$L$40000,$Y1649)&amp;"")</f>
        <v/>
      </c>
    </row>
    <row r="1650">
      <c r="Y1650" s="47">
        <f>IFERROR(MATCH(Library!M1650,$M$6:$M$40000,0),"")</f>
        <v/>
      </c>
      <c r="Z1650">
        <f>IF($Y1650="","",INDEX($C$6:$C$40000,$Y1650)&amp;"")</f>
        <v/>
      </c>
      <c r="AA1650" s="59">
        <f>IF($Y1650="","",IF(INDEX($D$6:$D$40000,$Y1650)="","",INDEX($D$6:$D$40000,$Y1650)))</f>
        <v/>
      </c>
      <c r="AB1650">
        <f>IF($Y1650="","",INDEX($L$6:$L$40000,$Y1650)&amp;"")</f>
        <v/>
      </c>
    </row>
    <row r="1651">
      <c r="Y1651" s="47">
        <f>IFERROR(MATCH(Library!M1651,$M$6:$M$40000,0),"")</f>
        <v/>
      </c>
      <c r="Z1651">
        <f>IF($Y1651="","",INDEX($C$6:$C$40000,$Y1651)&amp;"")</f>
        <v/>
      </c>
      <c r="AA1651" s="59">
        <f>IF($Y1651="","",IF(INDEX($D$6:$D$40000,$Y1651)="","",INDEX($D$6:$D$40000,$Y1651)))</f>
        <v/>
      </c>
      <c r="AB1651">
        <f>IF($Y1651="","",INDEX($L$6:$L$40000,$Y1651)&amp;"")</f>
        <v/>
      </c>
    </row>
    <row r="1652">
      <c r="Y1652" s="47">
        <f>IFERROR(MATCH(Library!M1652,$M$6:$M$40000,0),"")</f>
        <v/>
      </c>
      <c r="Z1652">
        <f>IF($Y1652="","",INDEX($C$6:$C$40000,$Y1652)&amp;"")</f>
        <v/>
      </c>
      <c r="AA1652" s="59">
        <f>IF($Y1652="","",IF(INDEX($D$6:$D$40000,$Y1652)="","",INDEX($D$6:$D$40000,$Y1652)))</f>
        <v/>
      </c>
      <c r="AB1652">
        <f>IF($Y1652="","",INDEX($L$6:$L$40000,$Y1652)&amp;"")</f>
        <v/>
      </c>
    </row>
    <row r="1653">
      <c r="Y1653" s="47">
        <f>IFERROR(MATCH(Library!M1653,$M$6:$M$40000,0),"")</f>
        <v/>
      </c>
      <c r="Z1653">
        <f>IF($Y1653="","",INDEX($C$6:$C$40000,$Y1653)&amp;"")</f>
        <v/>
      </c>
      <c r="AA1653" s="59">
        <f>IF($Y1653="","",IF(INDEX($D$6:$D$40000,$Y1653)="","",INDEX($D$6:$D$40000,$Y1653)))</f>
        <v/>
      </c>
      <c r="AB1653">
        <f>IF($Y1653="","",INDEX($L$6:$L$40000,$Y1653)&amp;"")</f>
        <v/>
      </c>
    </row>
    <row r="1654">
      <c r="Y1654" s="47">
        <f>IFERROR(MATCH(Library!M1654,$M$6:$M$40000,0),"")</f>
        <v/>
      </c>
      <c r="Z1654">
        <f>IF($Y1654="","",INDEX($C$6:$C$40000,$Y1654)&amp;"")</f>
        <v/>
      </c>
      <c r="AA1654" s="59">
        <f>IF($Y1654="","",IF(INDEX($D$6:$D$40000,$Y1654)="","",INDEX($D$6:$D$40000,$Y1654)))</f>
        <v/>
      </c>
      <c r="AB1654">
        <f>IF($Y1654="","",INDEX($L$6:$L$40000,$Y1654)&amp;"")</f>
        <v/>
      </c>
    </row>
    <row r="1655">
      <c r="Y1655" s="47">
        <f>IFERROR(MATCH(Library!M1655,$M$6:$M$40000,0),"")</f>
        <v/>
      </c>
      <c r="Z1655">
        <f>IF($Y1655="","",INDEX($C$6:$C$40000,$Y1655)&amp;"")</f>
        <v/>
      </c>
      <c r="AA1655" s="59">
        <f>IF($Y1655="","",IF(INDEX($D$6:$D$40000,$Y1655)="","",INDEX($D$6:$D$40000,$Y1655)))</f>
        <v/>
      </c>
      <c r="AB1655">
        <f>IF($Y1655="","",INDEX($L$6:$L$40000,$Y1655)&amp;"")</f>
        <v/>
      </c>
    </row>
    <row r="1656">
      <c r="Y1656" s="47">
        <f>IFERROR(MATCH(Library!M1656,$M$6:$M$40000,0),"")</f>
        <v/>
      </c>
      <c r="Z1656">
        <f>IF($Y1656="","",INDEX($C$6:$C$40000,$Y1656)&amp;"")</f>
        <v/>
      </c>
      <c r="AA1656" s="59">
        <f>IF($Y1656="","",IF(INDEX($D$6:$D$40000,$Y1656)="","",INDEX($D$6:$D$40000,$Y1656)))</f>
        <v/>
      </c>
      <c r="AB1656">
        <f>IF($Y1656="","",INDEX($L$6:$L$40000,$Y1656)&amp;"")</f>
        <v/>
      </c>
    </row>
    <row r="1657">
      <c r="Y1657" s="47">
        <f>IFERROR(MATCH(Library!M1657,$M$6:$M$40000,0),"")</f>
        <v/>
      </c>
      <c r="Z1657">
        <f>IF($Y1657="","",INDEX($C$6:$C$40000,$Y1657)&amp;"")</f>
        <v/>
      </c>
      <c r="AA1657" s="59">
        <f>IF($Y1657="","",IF(INDEX($D$6:$D$40000,$Y1657)="","",INDEX($D$6:$D$40000,$Y1657)))</f>
        <v/>
      </c>
      <c r="AB1657">
        <f>IF($Y1657="","",INDEX($L$6:$L$40000,$Y1657)&amp;"")</f>
        <v/>
      </c>
    </row>
    <row r="1658">
      <c r="Y1658" s="47">
        <f>IFERROR(MATCH(Library!M1658,$M$6:$M$40000,0),"")</f>
        <v/>
      </c>
      <c r="Z1658">
        <f>IF($Y1658="","",INDEX($C$6:$C$40000,$Y1658)&amp;"")</f>
        <v/>
      </c>
      <c r="AA1658" s="59">
        <f>IF($Y1658="","",IF(INDEX($D$6:$D$40000,$Y1658)="","",INDEX($D$6:$D$40000,$Y1658)))</f>
        <v/>
      </c>
      <c r="AB1658">
        <f>IF($Y1658="","",INDEX($L$6:$L$40000,$Y1658)&amp;"")</f>
        <v/>
      </c>
    </row>
    <row r="1659">
      <c r="Y1659" s="47">
        <f>IFERROR(MATCH(Library!M1659,$M$6:$M$40000,0),"")</f>
        <v/>
      </c>
      <c r="Z1659">
        <f>IF($Y1659="","",INDEX($C$6:$C$40000,$Y1659)&amp;"")</f>
        <v/>
      </c>
      <c r="AA1659" s="59">
        <f>IF($Y1659="","",IF(INDEX($D$6:$D$40000,$Y1659)="","",INDEX($D$6:$D$40000,$Y1659)))</f>
        <v/>
      </c>
      <c r="AB1659">
        <f>IF($Y1659="","",INDEX($L$6:$L$40000,$Y1659)&amp;"")</f>
        <v/>
      </c>
    </row>
    <row r="1660">
      <c r="Y1660" s="47">
        <f>IFERROR(MATCH(Library!M1660,$M$6:$M$40000,0),"")</f>
        <v/>
      </c>
      <c r="Z1660">
        <f>IF($Y1660="","",INDEX($C$6:$C$40000,$Y1660)&amp;"")</f>
        <v/>
      </c>
      <c r="AA1660" s="59">
        <f>IF($Y1660="","",IF(INDEX($D$6:$D$40000,$Y1660)="","",INDEX($D$6:$D$40000,$Y1660)))</f>
        <v/>
      </c>
      <c r="AB1660">
        <f>IF($Y1660="","",INDEX($L$6:$L$40000,$Y1660)&amp;"")</f>
        <v/>
      </c>
    </row>
    <row r="1661">
      <c r="Y1661" s="47">
        <f>IFERROR(MATCH(Library!M1661,$M$6:$M$40000,0),"")</f>
        <v/>
      </c>
      <c r="Z1661">
        <f>IF($Y1661="","",INDEX($C$6:$C$40000,$Y1661)&amp;"")</f>
        <v/>
      </c>
      <c r="AA1661" s="59">
        <f>IF($Y1661="","",IF(INDEX($D$6:$D$40000,$Y1661)="","",INDEX($D$6:$D$40000,$Y1661)))</f>
        <v/>
      </c>
      <c r="AB1661">
        <f>IF($Y1661="","",INDEX($L$6:$L$40000,$Y1661)&amp;"")</f>
        <v/>
      </c>
    </row>
    <row r="1662">
      <c r="Y1662" s="47">
        <f>IFERROR(MATCH(Library!M1662,$M$6:$M$40000,0),"")</f>
        <v/>
      </c>
      <c r="Z1662">
        <f>IF($Y1662="","",INDEX($C$6:$C$40000,$Y1662)&amp;"")</f>
        <v/>
      </c>
      <c r="AA1662" s="59">
        <f>IF($Y1662="","",IF(INDEX($D$6:$D$40000,$Y1662)="","",INDEX($D$6:$D$40000,$Y1662)))</f>
        <v/>
      </c>
      <c r="AB1662">
        <f>IF($Y1662="","",INDEX($L$6:$L$40000,$Y1662)&amp;"")</f>
        <v/>
      </c>
    </row>
    <row r="1663">
      <c r="Y1663" s="47">
        <f>IFERROR(MATCH(Library!M1663,$M$6:$M$40000,0),"")</f>
        <v/>
      </c>
      <c r="Z1663">
        <f>IF($Y1663="","",INDEX($C$6:$C$40000,$Y1663)&amp;"")</f>
        <v/>
      </c>
      <c r="AA1663" s="59">
        <f>IF($Y1663="","",IF(INDEX($D$6:$D$40000,$Y1663)="","",INDEX($D$6:$D$40000,$Y1663)))</f>
        <v/>
      </c>
      <c r="AB1663">
        <f>IF($Y1663="","",INDEX($L$6:$L$40000,$Y1663)&amp;"")</f>
        <v/>
      </c>
    </row>
    <row r="1664">
      <c r="Y1664" s="47">
        <f>IFERROR(MATCH(Library!M1664,$M$6:$M$40000,0),"")</f>
        <v/>
      </c>
      <c r="Z1664">
        <f>IF($Y1664="","",INDEX($C$6:$C$40000,$Y1664)&amp;"")</f>
        <v/>
      </c>
      <c r="AA1664" s="59">
        <f>IF($Y1664="","",IF(INDEX($D$6:$D$40000,$Y1664)="","",INDEX($D$6:$D$40000,$Y1664)))</f>
        <v/>
      </c>
      <c r="AB1664">
        <f>IF($Y1664="","",INDEX($L$6:$L$40000,$Y1664)&amp;"")</f>
        <v/>
      </c>
    </row>
    <row r="1665">
      <c r="Y1665" s="47">
        <f>IFERROR(MATCH(Library!M1665,$M$6:$M$40000,0),"")</f>
        <v/>
      </c>
      <c r="Z1665">
        <f>IF($Y1665="","",INDEX($C$6:$C$40000,$Y1665)&amp;"")</f>
        <v/>
      </c>
      <c r="AA1665" s="59">
        <f>IF($Y1665="","",IF(INDEX($D$6:$D$40000,$Y1665)="","",INDEX($D$6:$D$40000,$Y1665)))</f>
        <v/>
      </c>
      <c r="AB1665">
        <f>IF($Y1665="","",INDEX($L$6:$L$40000,$Y1665)&amp;"")</f>
        <v/>
      </c>
    </row>
    <row r="1666">
      <c r="Y1666" s="47">
        <f>IFERROR(MATCH(Library!M1666,$M$6:$M$40000,0),"")</f>
        <v/>
      </c>
      <c r="Z1666">
        <f>IF($Y1666="","",INDEX($C$6:$C$40000,$Y1666)&amp;"")</f>
        <v/>
      </c>
      <c r="AA1666" s="59">
        <f>IF($Y1666="","",IF(INDEX($D$6:$D$40000,$Y1666)="","",INDEX($D$6:$D$40000,$Y1666)))</f>
        <v/>
      </c>
      <c r="AB1666">
        <f>IF($Y1666="","",INDEX($L$6:$L$40000,$Y1666)&amp;"")</f>
        <v/>
      </c>
    </row>
    <row r="1667">
      <c r="Y1667" s="47">
        <f>IFERROR(MATCH(Library!M1667,$M$6:$M$40000,0),"")</f>
        <v/>
      </c>
      <c r="Z1667">
        <f>IF($Y1667="","",INDEX($C$6:$C$40000,$Y1667)&amp;"")</f>
        <v/>
      </c>
      <c r="AA1667" s="59">
        <f>IF($Y1667="","",IF(INDEX($D$6:$D$40000,$Y1667)="","",INDEX($D$6:$D$40000,$Y1667)))</f>
        <v/>
      </c>
      <c r="AB1667">
        <f>IF($Y1667="","",INDEX($L$6:$L$40000,$Y1667)&amp;"")</f>
        <v/>
      </c>
    </row>
    <row r="1668">
      <c r="Y1668" s="47">
        <f>IFERROR(MATCH(Library!M1668,$M$6:$M$40000,0),"")</f>
        <v/>
      </c>
      <c r="Z1668">
        <f>IF($Y1668="","",INDEX($C$6:$C$40000,$Y1668)&amp;"")</f>
        <v/>
      </c>
      <c r="AA1668" s="59">
        <f>IF($Y1668="","",IF(INDEX($D$6:$D$40000,$Y1668)="","",INDEX($D$6:$D$40000,$Y1668)))</f>
        <v/>
      </c>
      <c r="AB1668">
        <f>IF($Y1668="","",INDEX($L$6:$L$40000,$Y1668)&amp;"")</f>
        <v/>
      </c>
    </row>
    <row r="1669">
      <c r="Y1669" s="47">
        <f>IFERROR(MATCH(Library!M1669,$M$6:$M$40000,0),"")</f>
        <v/>
      </c>
      <c r="Z1669">
        <f>IF($Y1669="","",INDEX($C$6:$C$40000,$Y1669)&amp;"")</f>
        <v/>
      </c>
      <c r="AA1669" s="59">
        <f>IF($Y1669="","",IF(INDEX($D$6:$D$40000,$Y1669)="","",INDEX($D$6:$D$40000,$Y1669)))</f>
        <v/>
      </c>
      <c r="AB1669">
        <f>IF($Y1669="","",INDEX($L$6:$L$40000,$Y1669)&amp;"")</f>
        <v/>
      </c>
    </row>
    <row r="1670">
      <c r="Y1670" s="47">
        <f>IFERROR(MATCH(Library!M1670,$M$6:$M$40000,0),"")</f>
        <v/>
      </c>
      <c r="Z1670">
        <f>IF($Y1670="","",INDEX($C$6:$C$40000,$Y1670)&amp;"")</f>
        <v/>
      </c>
      <c r="AA1670" s="59">
        <f>IF($Y1670="","",IF(INDEX($D$6:$D$40000,$Y1670)="","",INDEX($D$6:$D$40000,$Y1670)))</f>
        <v/>
      </c>
      <c r="AB1670">
        <f>IF($Y1670="","",INDEX($L$6:$L$40000,$Y1670)&amp;"")</f>
        <v/>
      </c>
    </row>
    <row r="1671">
      <c r="Y1671" s="47">
        <f>IFERROR(MATCH(Library!M1671,$M$6:$M$40000,0),"")</f>
        <v/>
      </c>
      <c r="Z1671">
        <f>IF($Y1671="","",INDEX($C$6:$C$40000,$Y1671)&amp;"")</f>
        <v/>
      </c>
      <c r="AA1671" s="59">
        <f>IF($Y1671="","",IF(INDEX($D$6:$D$40000,$Y1671)="","",INDEX($D$6:$D$40000,$Y1671)))</f>
        <v/>
      </c>
      <c r="AB1671">
        <f>IF($Y1671="","",INDEX($L$6:$L$40000,$Y1671)&amp;"")</f>
        <v/>
      </c>
    </row>
    <row r="1672">
      <c r="Y1672" s="47">
        <f>IFERROR(MATCH(Library!M1672,$M$6:$M$40000,0),"")</f>
        <v/>
      </c>
      <c r="Z1672">
        <f>IF($Y1672="","",INDEX($C$6:$C$40000,$Y1672)&amp;"")</f>
        <v/>
      </c>
      <c r="AA1672" s="59">
        <f>IF($Y1672="","",IF(INDEX($D$6:$D$40000,$Y1672)="","",INDEX($D$6:$D$40000,$Y1672)))</f>
        <v/>
      </c>
      <c r="AB1672">
        <f>IF($Y1672="","",INDEX($L$6:$L$40000,$Y1672)&amp;"")</f>
        <v/>
      </c>
    </row>
    <row r="1673">
      <c r="Y1673" s="47">
        <f>IFERROR(MATCH(Library!M1673,$M$6:$M$40000,0),"")</f>
        <v/>
      </c>
      <c r="Z1673">
        <f>IF($Y1673="","",INDEX($C$6:$C$40000,$Y1673)&amp;"")</f>
        <v/>
      </c>
      <c r="AA1673" s="59">
        <f>IF($Y1673="","",IF(INDEX($D$6:$D$40000,$Y1673)="","",INDEX($D$6:$D$40000,$Y1673)))</f>
        <v/>
      </c>
      <c r="AB1673">
        <f>IF($Y1673="","",INDEX($L$6:$L$40000,$Y1673)&amp;"")</f>
        <v/>
      </c>
    </row>
    <row r="1674">
      <c r="Y1674" s="47">
        <f>IFERROR(MATCH(Library!M1674,$M$6:$M$40000,0),"")</f>
        <v/>
      </c>
      <c r="Z1674">
        <f>IF($Y1674="","",INDEX($C$6:$C$40000,$Y1674)&amp;"")</f>
        <v/>
      </c>
      <c r="AA1674" s="59">
        <f>IF($Y1674="","",IF(INDEX($D$6:$D$40000,$Y1674)="","",INDEX($D$6:$D$40000,$Y1674)))</f>
        <v/>
      </c>
      <c r="AB1674">
        <f>IF($Y1674="","",INDEX($L$6:$L$40000,$Y1674)&amp;"")</f>
        <v/>
      </c>
    </row>
    <row r="1675">
      <c r="Y1675" s="47">
        <f>IFERROR(MATCH(Library!M1675,$M$6:$M$40000,0),"")</f>
        <v/>
      </c>
      <c r="Z1675">
        <f>IF($Y1675="","",INDEX($C$6:$C$40000,$Y1675)&amp;"")</f>
        <v/>
      </c>
      <c r="AA1675" s="59">
        <f>IF($Y1675="","",IF(INDEX($D$6:$D$40000,$Y1675)="","",INDEX($D$6:$D$40000,$Y1675)))</f>
        <v/>
      </c>
      <c r="AB1675">
        <f>IF($Y1675="","",INDEX($L$6:$L$40000,$Y1675)&amp;"")</f>
        <v/>
      </c>
    </row>
    <row r="1676">
      <c r="Y1676" s="47">
        <f>IFERROR(MATCH(Library!M1676,$M$6:$M$40000,0),"")</f>
        <v/>
      </c>
      <c r="Z1676">
        <f>IF($Y1676="","",INDEX($C$6:$C$40000,$Y1676)&amp;"")</f>
        <v/>
      </c>
      <c r="AA1676" s="59">
        <f>IF($Y1676="","",IF(INDEX($D$6:$D$40000,$Y1676)="","",INDEX($D$6:$D$40000,$Y1676)))</f>
        <v/>
      </c>
      <c r="AB1676">
        <f>IF($Y1676="","",INDEX($L$6:$L$40000,$Y1676)&amp;"")</f>
        <v/>
      </c>
    </row>
    <row r="1677">
      <c r="Y1677" s="47">
        <f>IFERROR(MATCH(Library!M1677,$M$6:$M$40000,0),"")</f>
        <v/>
      </c>
      <c r="Z1677">
        <f>IF($Y1677="","",INDEX($C$6:$C$40000,$Y1677)&amp;"")</f>
        <v/>
      </c>
      <c r="AA1677" s="59">
        <f>IF($Y1677="","",IF(INDEX($D$6:$D$40000,$Y1677)="","",INDEX($D$6:$D$40000,$Y1677)))</f>
        <v/>
      </c>
      <c r="AB1677">
        <f>IF($Y1677="","",INDEX($L$6:$L$40000,$Y1677)&amp;"")</f>
        <v/>
      </c>
    </row>
    <row r="1678">
      <c r="Y1678" s="47">
        <f>IFERROR(MATCH(Library!M1678,$M$6:$M$40000,0),"")</f>
        <v/>
      </c>
      <c r="Z1678">
        <f>IF($Y1678="","",INDEX($C$6:$C$40000,$Y1678)&amp;"")</f>
        <v/>
      </c>
      <c r="AA1678" s="59">
        <f>IF($Y1678="","",IF(INDEX($D$6:$D$40000,$Y1678)="","",INDEX($D$6:$D$40000,$Y1678)))</f>
        <v/>
      </c>
      <c r="AB1678">
        <f>IF($Y1678="","",INDEX($L$6:$L$40000,$Y1678)&amp;"")</f>
        <v/>
      </c>
    </row>
    <row r="1679">
      <c r="Y1679" s="47">
        <f>IFERROR(MATCH(Library!M1679,$M$6:$M$40000,0),"")</f>
        <v/>
      </c>
      <c r="Z1679">
        <f>IF($Y1679="","",INDEX($C$6:$C$40000,$Y1679)&amp;"")</f>
        <v/>
      </c>
      <c r="AA1679" s="59">
        <f>IF($Y1679="","",IF(INDEX($D$6:$D$40000,$Y1679)="","",INDEX($D$6:$D$40000,$Y1679)))</f>
        <v/>
      </c>
      <c r="AB1679">
        <f>IF($Y1679="","",INDEX($L$6:$L$40000,$Y1679)&amp;"")</f>
        <v/>
      </c>
    </row>
    <row r="1680">
      <c r="Y1680" s="47">
        <f>IFERROR(MATCH(Library!M1680,$M$6:$M$40000,0),"")</f>
        <v/>
      </c>
      <c r="Z1680">
        <f>IF($Y1680="","",INDEX($C$6:$C$40000,$Y1680)&amp;"")</f>
        <v/>
      </c>
      <c r="AA1680" s="59">
        <f>IF($Y1680="","",IF(INDEX($D$6:$D$40000,$Y1680)="","",INDEX($D$6:$D$40000,$Y1680)))</f>
        <v/>
      </c>
      <c r="AB1680">
        <f>IF($Y1680="","",INDEX($L$6:$L$40000,$Y1680)&amp;"")</f>
        <v/>
      </c>
    </row>
    <row r="1681">
      <c r="Y1681" s="47">
        <f>IFERROR(MATCH(Library!M1681,$M$6:$M$40000,0),"")</f>
        <v/>
      </c>
      <c r="Z1681">
        <f>IF($Y1681="","",INDEX($C$6:$C$40000,$Y1681)&amp;"")</f>
        <v/>
      </c>
      <c r="AA1681" s="59">
        <f>IF($Y1681="","",IF(INDEX($D$6:$D$40000,$Y1681)="","",INDEX($D$6:$D$40000,$Y1681)))</f>
        <v/>
      </c>
      <c r="AB1681">
        <f>IF($Y1681="","",INDEX($L$6:$L$40000,$Y1681)&amp;"")</f>
        <v/>
      </c>
    </row>
    <row r="1682">
      <c r="Y1682" s="47">
        <f>IFERROR(MATCH(Library!M1682,$M$6:$M$40000,0),"")</f>
        <v/>
      </c>
      <c r="Z1682">
        <f>IF($Y1682="","",INDEX($C$6:$C$40000,$Y1682)&amp;"")</f>
        <v/>
      </c>
      <c r="AA1682" s="59">
        <f>IF($Y1682="","",IF(INDEX($D$6:$D$40000,$Y1682)="","",INDEX($D$6:$D$40000,$Y1682)))</f>
        <v/>
      </c>
      <c r="AB1682">
        <f>IF($Y1682="","",INDEX($L$6:$L$40000,$Y1682)&amp;"")</f>
        <v/>
      </c>
    </row>
    <row r="1683">
      <c r="Y1683" s="47">
        <f>IFERROR(MATCH(Library!M1683,$M$6:$M$40000,0),"")</f>
        <v/>
      </c>
      <c r="Z1683">
        <f>IF($Y1683="","",INDEX($C$6:$C$40000,$Y1683)&amp;"")</f>
        <v/>
      </c>
      <c r="AA1683" s="59">
        <f>IF($Y1683="","",IF(INDEX($D$6:$D$40000,$Y1683)="","",INDEX($D$6:$D$40000,$Y1683)))</f>
        <v/>
      </c>
      <c r="AB1683">
        <f>IF($Y1683="","",INDEX($L$6:$L$40000,$Y1683)&amp;"")</f>
        <v/>
      </c>
    </row>
    <row r="1684">
      <c r="Y1684" s="47">
        <f>IFERROR(MATCH(Library!M1684,$M$6:$M$40000,0),"")</f>
        <v/>
      </c>
      <c r="Z1684">
        <f>IF($Y1684="","",INDEX($C$6:$C$40000,$Y1684)&amp;"")</f>
        <v/>
      </c>
      <c r="AA1684" s="59">
        <f>IF($Y1684="","",IF(INDEX($D$6:$D$40000,$Y1684)="","",INDEX($D$6:$D$40000,$Y1684)))</f>
        <v/>
      </c>
      <c r="AB1684">
        <f>IF($Y1684="","",INDEX($L$6:$L$40000,$Y1684)&amp;"")</f>
        <v/>
      </c>
    </row>
    <row r="1685">
      <c r="Y1685" s="47">
        <f>IFERROR(MATCH(Library!M1685,$M$6:$M$40000,0),"")</f>
        <v/>
      </c>
      <c r="Z1685">
        <f>IF($Y1685="","",INDEX($C$6:$C$40000,$Y1685)&amp;"")</f>
        <v/>
      </c>
      <c r="AA1685" s="59">
        <f>IF($Y1685="","",IF(INDEX($D$6:$D$40000,$Y1685)="","",INDEX($D$6:$D$40000,$Y1685)))</f>
        <v/>
      </c>
      <c r="AB1685">
        <f>IF($Y1685="","",INDEX($L$6:$L$40000,$Y1685)&amp;"")</f>
        <v/>
      </c>
    </row>
    <row r="1686">
      <c r="Y1686" s="47">
        <f>IFERROR(MATCH(Library!M1686,$M$6:$M$40000,0),"")</f>
        <v/>
      </c>
      <c r="Z1686">
        <f>IF($Y1686="","",INDEX($C$6:$C$40000,$Y1686)&amp;"")</f>
        <v/>
      </c>
      <c r="AA1686" s="59">
        <f>IF($Y1686="","",IF(INDEX($D$6:$D$40000,$Y1686)="","",INDEX($D$6:$D$40000,$Y1686)))</f>
        <v/>
      </c>
      <c r="AB1686">
        <f>IF($Y1686="","",INDEX($L$6:$L$40000,$Y1686)&amp;"")</f>
        <v/>
      </c>
    </row>
    <row r="1687">
      <c r="Y1687" s="47">
        <f>IFERROR(MATCH(Library!M1687,$M$6:$M$40000,0),"")</f>
        <v/>
      </c>
      <c r="Z1687">
        <f>IF($Y1687="","",INDEX($C$6:$C$40000,$Y1687)&amp;"")</f>
        <v/>
      </c>
      <c r="AA1687" s="59">
        <f>IF($Y1687="","",IF(INDEX($D$6:$D$40000,$Y1687)="","",INDEX($D$6:$D$40000,$Y1687)))</f>
        <v/>
      </c>
      <c r="AB1687">
        <f>IF($Y1687="","",INDEX($L$6:$L$40000,$Y1687)&amp;"")</f>
        <v/>
      </c>
    </row>
    <row r="1688">
      <c r="Y1688" s="47">
        <f>IFERROR(MATCH(Library!M1688,$M$6:$M$40000,0),"")</f>
        <v/>
      </c>
      <c r="Z1688">
        <f>IF($Y1688="","",INDEX($C$6:$C$40000,$Y1688)&amp;"")</f>
        <v/>
      </c>
      <c r="AA1688" s="59">
        <f>IF($Y1688="","",IF(INDEX($D$6:$D$40000,$Y1688)="","",INDEX($D$6:$D$40000,$Y1688)))</f>
        <v/>
      </c>
      <c r="AB1688">
        <f>IF($Y1688="","",INDEX($L$6:$L$40000,$Y1688)&amp;"")</f>
        <v/>
      </c>
    </row>
    <row r="1689">
      <c r="Y1689" s="47">
        <f>IFERROR(MATCH(Library!M1689,$M$6:$M$40000,0),"")</f>
        <v/>
      </c>
      <c r="Z1689">
        <f>IF($Y1689="","",INDEX($C$6:$C$40000,$Y1689)&amp;"")</f>
        <v/>
      </c>
      <c r="AA1689" s="59">
        <f>IF($Y1689="","",IF(INDEX($D$6:$D$40000,$Y1689)="","",INDEX($D$6:$D$40000,$Y1689)))</f>
        <v/>
      </c>
      <c r="AB1689">
        <f>IF($Y1689="","",INDEX($L$6:$L$40000,$Y1689)&amp;"")</f>
        <v/>
      </c>
    </row>
    <row r="1690">
      <c r="Y1690" s="47">
        <f>IFERROR(MATCH(Library!M1690,$M$6:$M$40000,0),"")</f>
        <v/>
      </c>
      <c r="Z1690">
        <f>IF($Y1690="","",INDEX($C$6:$C$40000,$Y1690)&amp;"")</f>
        <v/>
      </c>
      <c r="AA1690" s="59">
        <f>IF($Y1690="","",IF(INDEX($D$6:$D$40000,$Y1690)="","",INDEX($D$6:$D$40000,$Y1690)))</f>
        <v/>
      </c>
      <c r="AB1690">
        <f>IF($Y1690="","",INDEX($L$6:$L$40000,$Y1690)&amp;"")</f>
        <v/>
      </c>
    </row>
    <row r="1691">
      <c r="Y1691" s="47">
        <f>IFERROR(MATCH(Library!M1691,$M$6:$M$40000,0),"")</f>
        <v/>
      </c>
      <c r="Z1691">
        <f>IF($Y1691="","",INDEX($C$6:$C$40000,$Y1691)&amp;"")</f>
        <v/>
      </c>
      <c r="AA1691" s="59">
        <f>IF($Y1691="","",IF(INDEX($D$6:$D$40000,$Y1691)="","",INDEX($D$6:$D$40000,$Y1691)))</f>
        <v/>
      </c>
      <c r="AB1691">
        <f>IF($Y1691="","",INDEX($L$6:$L$40000,$Y1691)&amp;"")</f>
        <v/>
      </c>
    </row>
    <row r="1692">
      <c r="Y1692" s="47">
        <f>IFERROR(MATCH(Library!M1692,$M$6:$M$40000,0),"")</f>
        <v/>
      </c>
      <c r="Z1692">
        <f>IF($Y1692="","",INDEX($C$6:$C$40000,$Y1692)&amp;"")</f>
        <v/>
      </c>
      <c r="AA1692" s="59">
        <f>IF($Y1692="","",IF(INDEX($D$6:$D$40000,$Y1692)="","",INDEX($D$6:$D$40000,$Y1692)))</f>
        <v/>
      </c>
      <c r="AB1692">
        <f>IF($Y1692="","",INDEX($L$6:$L$40000,$Y1692)&amp;"")</f>
        <v/>
      </c>
    </row>
    <row r="1693">
      <c r="Y1693" s="47">
        <f>IFERROR(MATCH(Library!M1693,$M$6:$M$40000,0),"")</f>
        <v/>
      </c>
      <c r="Z1693">
        <f>IF($Y1693="","",INDEX($C$6:$C$40000,$Y1693)&amp;"")</f>
        <v/>
      </c>
      <c r="AA1693" s="59">
        <f>IF($Y1693="","",IF(INDEX($D$6:$D$40000,$Y1693)="","",INDEX($D$6:$D$40000,$Y1693)))</f>
        <v/>
      </c>
      <c r="AB1693">
        <f>IF($Y1693="","",INDEX($L$6:$L$40000,$Y1693)&amp;"")</f>
        <v/>
      </c>
    </row>
    <row r="1694">
      <c r="Y1694" s="47">
        <f>IFERROR(MATCH(Library!M1694,$M$6:$M$40000,0),"")</f>
        <v/>
      </c>
      <c r="Z1694">
        <f>IF($Y1694="","",INDEX($C$6:$C$40000,$Y1694)&amp;"")</f>
        <v/>
      </c>
      <c r="AA1694" s="59">
        <f>IF($Y1694="","",IF(INDEX($D$6:$D$40000,$Y1694)="","",INDEX($D$6:$D$40000,$Y1694)))</f>
        <v/>
      </c>
      <c r="AB1694">
        <f>IF($Y1694="","",INDEX($L$6:$L$40000,$Y1694)&amp;"")</f>
        <v/>
      </c>
    </row>
    <row r="1695">
      <c r="Y1695" s="47">
        <f>IFERROR(MATCH(Library!M1695,$M$6:$M$40000,0),"")</f>
        <v/>
      </c>
      <c r="Z1695">
        <f>IF($Y1695="","",INDEX($C$6:$C$40000,$Y1695)&amp;"")</f>
        <v/>
      </c>
      <c r="AA1695" s="59">
        <f>IF($Y1695="","",IF(INDEX($D$6:$D$40000,$Y1695)="","",INDEX($D$6:$D$40000,$Y1695)))</f>
        <v/>
      </c>
      <c r="AB1695">
        <f>IF($Y1695="","",INDEX($L$6:$L$40000,$Y1695)&amp;"")</f>
        <v/>
      </c>
    </row>
    <row r="1696">
      <c r="Y1696" s="47">
        <f>IFERROR(MATCH(Library!M1696,$M$6:$M$40000,0),"")</f>
        <v/>
      </c>
      <c r="Z1696">
        <f>IF($Y1696="","",INDEX($C$6:$C$40000,$Y1696)&amp;"")</f>
        <v/>
      </c>
      <c r="AA1696" s="59">
        <f>IF($Y1696="","",IF(INDEX($D$6:$D$40000,$Y1696)="","",INDEX($D$6:$D$40000,$Y1696)))</f>
        <v/>
      </c>
      <c r="AB1696">
        <f>IF($Y1696="","",INDEX($L$6:$L$40000,$Y1696)&amp;"")</f>
        <v/>
      </c>
    </row>
    <row r="1697">
      <c r="Y1697" s="47">
        <f>IFERROR(MATCH(Library!M1697,$M$6:$M$40000,0),"")</f>
        <v/>
      </c>
      <c r="Z1697">
        <f>IF($Y1697="","",INDEX($C$6:$C$40000,$Y1697)&amp;"")</f>
        <v/>
      </c>
      <c r="AA1697" s="59">
        <f>IF($Y1697="","",IF(INDEX($D$6:$D$40000,$Y1697)="","",INDEX($D$6:$D$40000,$Y1697)))</f>
        <v/>
      </c>
      <c r="AB1697">
        <f>IF($Y1697="","",INDEX($L$6:$L$40000,$Y1697)&amp;"")</f>
        <v/>
      </c>
    </row>
    <row r="1698">
      <c r="Y1698" s="47">
        <f>IFERROR(MATCH(Library!M1698,$M$6:$M$40000,0),"")</f>
        <v/>
      </c>
      <c r="Z1698">
        <f>IF($Y1698="","",INDEX($C$6:$C$40000,$Y1698)&amp;"")</f>
        <v/>
      </c>
      <c r="AA1698" s="59">
        <f>IF($Y1698="","",IF(INDEX($D$6:$D$40000,$Y1698)="","",INDEX($D$6:$D$40000,$Y1698)))</f>
        <v/>
      </c>
      <c r="AB1698">
        <f>IF($Y1698="","",INDEX($L$6:$L$40000,$Y1698)&amp;"")</f>
        <v/>
      </c>
    </row>
    <row r="1699">
      <c r="Y1699" s="47">
        <f>IFERROR(MATCH(Library!M1699,$M$6:$M$40000,0),"")</f>
        <v/>
      </c>
      <c r="Z1699">
        <f>IF($Y1699="","",INDEX($C$6:$C$40000,$Y1699)&amp;"")</f>
        <v/>
      </c>
      <c r="AA1699" s="59">
        <f>IF($Y1699="","",IF(INDEX($D$6:$D$40000,$Y1699)="","",INDEX($D$6:$D$40000,$Y1699)))</f>
        <v/>
      </c>
      <c r="AB1699">
        <f>IF($Y1699="","",INDEX($L$6:$L$40000,$Y1699)&amp;"")</f>
        <v/>
      </c>
    </row>
    <row r="1700">
      <c r="Y1700" s="47">
        <f>IFERROR(MATCH(Library!M1700,$M$6:$M$40000,0),"")</f>
        <v/>
      </c>
      <c r="Z1700">
        <f>IF($Y1700="","",INDEX($C$6:$C$40000,$Y1700)&amp;"")</f>
        <v/>
      </c>
      <c r="AA1700" s="59">
        <f>IF($Y1700="","",IF(INDEX($D$6:$D$40000,$Y1700)="","",INDEX($D$6:$D$40000,$Y1700)))</f>
        <v/>
      </c>
      <c r="AB1700">
        <f>IF($Y1700="","",INDEX($L$6:$L$40000,$Y1700)&amp;"")</f>
        <v/>
      </c>
    </row>
    <row r="1701">
      <c r="Y1701" s="47">
        <f>IFERROR(MATCH(Library!M1701,$M$6:$M$40000,0),"")</f>
        <v/>
      </c>
      <c r="Z1701">
        <f>IF($Y1701="","",INDEX($C$6:$C$40000,$Y1701)&amp;"")</f>
        <v/>
      </c>
      <c r="AA1701" s="59">
        <f>IF($Y1701="","",IF(INDEX($D$6:$D$40000,$Y1701)="","",INDEX($D$6:$D$40000,$Y1701)))</f>
        <v/>
      </c>
      <c r="AB1701">
        <f>IF($Y1701="","",INDEX($L$6:$L$40000,$Y1701)&amp;"")</f>
        <v/>
      </c>
    </row>
    <row r="1702">
      <c r="Y1702" s="47">
        <f>IFERROR(MATCH(Library!M1702,$M$6:$M$40000,0),"")</f>
        <v/>
      </c>
      <c r="Z1702">
        <f>IF($Y1702="","",INDEX($C$6:$C$40000,$Y1702)&amp;"")</f>
        <v/>
      </c>
      <c r="AA1702" s="59">
        <f>IF($Y1702="","",IF(INDEX($D$6:$D$40000,$Y1702)="","",INDEX($D$6:$D$40000,$Y1702)))</f>
        <v/>
      </c>
      <c r="AB1702">
        <f>IF($Y1702="","",INDEX($L$6:$L$40000,$Y1702)&amp;"")</f>
        <v/>
      </c>
    </row>
    <row r="1703">
      <c r="Y1703" s="47">
        <f>IFERROR(MATCH(Library!M1703,$M$6:$M$40000,0),"")</f>
        <v/>
      </c>
      <c r="Z1703">
        <f>IF($Y1703="","",INDEX($C$6:$C$40000,$Y1703)&amp;"")</f>
        <v/>
      </c>
      <c r="AA1703" s="59">
        <f>IF($Y1703="","",IF(INDEX($D$6:$D$40000,$Y1703)="","",INDEX($D$6:$D$40000,$Y1703)))</f>
        <v/>
      </c>
      <c r="AB1703">
        <f>IF($Y1703="","",INDEX($L$6:$L$40000,$Y1703)&amp;"")</f>
        <v/>
      </c>
    </row>
    <row r="1704">
      <c r="Y1704" s="47">
        <f>IFERROR(MATCH(Library!M1704,$M$6:$M$40000,0),"")</f>
        <v/>
      </c>
      <c r="Z1704">
        <f>IF($Y1704="","",INDEX($C$6:$C$40000,$Y1704)&amp;"")</f>
        <v/>
      </c>
      <c r="AA1704" s="59">
        <f>IF($Y1704="","",IF(INDEX($D$6:$D$40000,$Y1704)="","",INDEX($D$6:$D$40000,$Y1704)))</f>
        <v/>
      </c>
      <c r="AB1704">
        <f>IF($Y1704="","",INDEX($L$6:$L$40000,$Y1704)&amp;"")</f>
        <v/>
      </c>
    </row>
    <row r="1705">
      <c r="Y1705" s="47">
        <f>IFERROR(MATCH(Library!M1705,$M$6:$M$40000,0),"")</f>
        <v/>
      </c>
      <c r="Z1705">
        <f>IF($Y1705="","",INDEX($C$6:$C$40000,$Y1705)&amp;"")</f>
        <v/>
      </c>
      <c r="AA1705" s="59">
        <f>IF($Y1705="","",IF(INDEX($D$6:$D$40000,$Y1705)="","",INDEX($D$6:$D$40000,$Y1705)))</f>
        <v/>
      </c>
      <c r="AB1705">
        <f>IF($Y1705="","",INDEX($L$6:$L$40000,$Y1705)&amp;"")</f>
        <v/>
      </c>
    </row>
    <row r="1706">
      <c r="Y1706" s="47">
        <f>IFERROR(MATCH(Library!M1706,$M$6:$M$40000,0),"")</f>
        <v/>
      </c>
      <c r="Z1706">
        <f>IF($Y1706="","",INDEX($C$6:$C$40000,$Y1706)&amp;"")</f>
        <v/>
      </c>
      <c r="AA1706" s="59">
        <f>IF($Y1706="","",IF(INDEX($D$6:$D$40000,$Y1706)="","",INDEX($D$6:$D$40000,$Y1706)))</f>
        <v/>
      </c>
      <c r="AB1706">
        <f>IF($Y1706="","",INDEX($L$6:$L$40000,$Y1706)&amp;"")</f>
        <v/>
      </c>
    </row>
    <row r="1707">
      <c r="Y1707" s="47">
        <f>IFERROR(MATCH(Library!M1707,$M$6:$M$40000,0),"")</f>
        <v/>
      </c>
      <c r="Z1707">
        <f>IF($Y1707="","",INDEX($C$6:$C$40000,$Y1707)&amp;"")</f>
        <v/>
      </c>
      <c r="AA1707" s="59">
        <f>IF($Y1707="","",IF(INDEX($D$6:$D$40000,$Y1707)="","",INDEX($D$6:$D$40000,$Y1707)))</f>
        <v/>
      </c>
      <c r="AB1707">
        <f>IF($Y1707="","",INDEX($L$6:$L$40000,$Y1707)&amp;"")</f>
        <v/>
      </c>
    </row>
    <row r="1708">
      <c r="Y1708" s="47">
        <f>IFERROR(MATCH(Library!M1708,$M$6:$M$40000,0),"")</f>
        <v/>
      </c>
      <c r="Z1708">
        <f>IF($Y1708="","",INDEX($C$6:$C$40000,$Y1708)&amp;"")</f>
        <v/>
      </c>
      <c r="AA1708" s="59">
        <f>IF($Y1708="","",IF(INDEX($D$6:$D$40000,$Y1708)="","",INDEX($D$6:$D$40000,$Y1708)))</f>
        <v/>
      </c>
      <c r="AB1708">
        <f>IF($Y1708="","",INDEX($L$6:$L$40000,$Y1708)&amp;"")</f>
        <v/>
      </c>
    </row>
    <row r="1709">
      <c r="Y1709" s="47">
        <f>IFERROR(MATCH(Library!M1709,$M$6:$M$40000,0),"")</f>
        <v/>
      </c>
      <c r="Z1709">
        <f>IF($Y1709="","",INDEX($C$6:$C$40000,$Y1709)&amp;"")</f>
        <v/>
      </c>
      <c r="AA1709" s="59">
        <f>IF($Y1709="","",IF(INDEX($D$6:$D$40000,$Y1709)="","",INDEX($D$6:$D$40000,$Y1709)))</f>
        <v/>
      </c>
      <c r="AB1709">
        <f>IF($Y1709="","",INDEX($L$6:$L$40000,$Y1709)&amp;"")</f>
        <v/>
      </c>
    </row>
    <row r="1710">
      <c r="Y1710" s="47">
        <f>IFERROR(MATCH(Library!M1710,$M$6:$M$40000,0),"")</f>
        <v/>
      </c>
      <c r="Z1710">
        <f>IF($Y1710="","",INDEX($C$6:$C$40000,$Y1710)&amp;"")</f>
        <v/>
      </c>
      <c r="AA1710" s="59">
        <f>IF($Y1710="","",IF(INDEX($D$6:$D$40000,$Y1710)="","",INDEX($D$6:$D$40000,$Y1710)))</f>
        <v/>
      </c>
      <c r="AB1710">
        <f>IF($Y1710="","",INDEX($L$6:$L$40000,$Y1710)&amp;"")</f>
        <v/>
      </c>
    </row>
    <row r="1711">
      <c r="Y1711" s="47">
        <f>IFERROR(MATCH(Library!M1711,$M$6:$M$40000,0),"")</f>
        <v/>
      </c>
      <c r="Z1711">
        <f>IF($Y1711="","",INDEX($C$6:$C$40000,$Y1711)&amp;"")</f>
        <v/>
      </c>
      <c r="AA1711" s="59">
        <f>IF($Y1711="","",IF(INDEX($D$6:$D$40000,$Y1711)="","",INDEX($D$6:$D$40000,$Y1711)))</f>
        <v/>
      </c>
      <c r="AB1711">
        <f>IF($Y1711="","",INDEX($L$6:$L$40000,$Y1711)&amp;"")</f>
        <v/>
      </c>
    </row>
    <row r="1712">
      <c r="Y1712" s="47">
        <f>IFERROR(MATCH(Library!M1712,$M$6:$M$40000,0),"")</f>
        <v/>
      </c>
      <c r="Z1712">
        <f>IF($Y1712="","",INDEX($C$6:$C$40000,$Y1712)&amp;"")</f>
        <v/>
      </c>
      <c r="AA1712" s="59">
        <f>IF($Y1712="","",IF(INDEX($D$6:$D$40000,$Y1712)="","",INDEX($D$6:$D$40000,$Y1712)))</f>
        <v/>
      </c>
      <c r="AB1712">
        <f>IF($Y1712="","",INDEX($L$6:$L$40000,$Y1712)&amp;"")</f>
        <v/>
      </c>
    </row>
    <row r="1713">
      <c r="Y1713" s="47">
        <f>IFERROR(MATCH(Library!M1713,$M$6:$M$40000,0),"")</f>
        <v/>
      </c>
      <c r="Z1713">
        <f>IF($Y1713="","",INDEX($C$6:$C$40000,$Y1713)&amp;"")</f>
        <v/>
      </c>
      <c r="AA1713" s="59">
        <f>IF($Y1713="","",IF(INDEX($D$6:$D$40000,$Y1713)="","",INDEX($D$6:$D$40000,$Y1713)))</f>
        <v/>
      </c>
      <c r="AB1713">
        <f>IF($Y1713="","",INDEX($L$6:$L$40000,$Y1713)&amp;"")</f>
        <v/>
      </c>
    </row>
    <row r="1714">
      <c r="Y1714" s="47">
        <f>IFERROR(MATCH(Library!M1714,$M$6:$M$40000,0),"")</f>
        <v/>
      </c>
      <c r="Z1714">
        <f>IF($Y1714="","",INDEX($C$6:$C$40000,$Y1714)&amp;"")</f>
        <v/>
      </c>
      <c r="AA1714" s="59">
        <f>IF($Y1714="","",IF(INDEX($D$6:$D$40000,$Y1714)="","",INDEX($D$6:$D$40000,$Y1714)))</f>
        <v/>
      </c>
      <c r="AB1714">
        <f>IF($Y1714="","",INDEX($L$6:$L$40000,$Y1714)&amp;"")</f>
        <v/>
      </c>
    </row>
    <row r="1715">
      <c r="Y1715" s="47">
        <f>IFERROR(MATCH(Library!M1715,$M$6:$M$40000,0),"")</f>
        <v/>
      </c>
      <c r="Z1715">
        <f>IF($Y1715="","",INDEX($C$6:$C$40000,$Y1715)&amp;"")</f>
        <v/>
      </c>
      <c r="AA1715" s="59">
        <f>IF($Y1715="","",IF(INDEX($D$6:$D$40000,$Y1715)="","",INDEX($D$6:$D$40000,$Y1715)))</f>
        <v/>
      </c>
      <c r="AB1715">
        <f>IF($Y1715="","",INDEX($L$6:$L$40000,$Y1715)&amp;"")</f>
        <v/>
      </c>
    </row>
    <row r="1716">
      <c r="Y1716" s="47">
        <f>IFERROR(MATCH(Library!M1716,$M$6:$M$40000,0),"")</f>
        <v/>
      </c>
      <c r="Z1716">
        <f>IF($Y1716="","",INDEX($C$6:$C$40000,$Y1716)&amp;"")</f>
        <v/>
      </c>
      <c r="AA1716" s="59">
        <f>IF($Y1716="","",IF(INDEX($D$6:$D$40000,$Y1716)="","",INDEX($D$6:$D$40000,$Y1716)))</f>
        <v/>
      </c>
      <c r="AB1716">
        <f>IF($Y1716="","",INDEX($L$6:$L$40000,$Y1716)&amp;"")</f>
        <v/>
      </c>
    </row>
    <row r="1717">
      <c r="Y1717" s="47">
        <f>IFERROR(MATCH(Library!M1717,$M$6:$M$40000,0),"")</f>
        <v/>
      </c>
      <c r="Z1717">
        <f>IF($Y1717="","",INDEX($C$6:$C$40000,$Y1717)&amp;"")</f>
        <v/>
      </c>
      <c r="AA1717" s="59">
        <f>IF($Y1717="","",IF(INDEX($D$6:$D$40000,$Y1717)="","",INDEX($D$6:$D$40000,$Y1717)))</f>
        <v/>
      </c>
      <c r="AB1717">
        <f>IF($Y1717="","",INDEX($L$6:$L$40000,$Y1717)&amp;"")</f>
        <v/>
      </c>
    </row>
    <row r="1718">
      <c r="Y1718" s="47">
        <f>IFERROR(MATCH(Library!M1718,$M$6:$M$40000,0),"")</f>
        <v/>
      </c>
      <c r="Z1718">
        <f>IF($Y1718="","",INDEX($C$6:$C$40000,$Y1718)&amp;"")</f>
        <v/>
      </c>
      <c r="AA1718" s="59">
        <f>IF($Y1718="","",IF(INDEX($D$6:$D$40000,$Y1718)="","",INDEX($D$6:$D$40000,$Y1718)))</f>
        <v/>
      </c>
      <c r="AB1718">
        <f>IF($Y1718="","",INDEX($L$6:$L$40000,$Y1718)&amp;"")</f>
        <v/>
      </c>
    </row>
    <row r="1719">
      <c r="Y1719" s="47">
        <f>IFERROR(MATCH(Library!M1719,$M$6:$M$40000,0),"")</f>
        <v/>
      </c>
      <c r="Z1719">
        <f>IF($Y1719="","",INDEX($C$6:$C$40000,$Y1719)&amp;"")</f>
        <v/>
      </c>
      <c r="AA1719" s="59">
        <f>IF($Y1719="","",IF(INDEX($D$6:$D$40000,$Y1719)="","",INDEX($D$6:$D$40000,$Y1719)))</f>
        <v/>
      </c>
      <c r="AB1719">
        <f>IF($Y1719="","",INDEX($L$6:$L$40000,$Y1719)&amp;"")</f>
        <v/>
      </c>
    </row>
    <row r="1720">
      <c r="Y1720" s="47">
        <f>IFERROR(MATCH(Library!M1720,$M$6:$M$40000,0),"")</f>
        <v/>
      </c>
      <c r="Z1720">
        <f>IF($Y1720="","",INDEX($C$6:$C$40000,$Y1720)&amp;"")</f>
        <v/>
      </c>
      <c r="AA1720" s="59">
        <f>IF($Y1720="","",IF(INDEX($D$6:$D$40000,$Y1720)="","",INDEX($D$6:$D$40000,$Y1720)))</f>
        <v/>
      </c>
      <c r="AB1720">
        <f>IF($Y1720="","",INDEX($L$6:$L$40000,$Y1720)&amp;"")</f>
        <v/>
      </c>
    </row>
    <row r="1721">
      <c r="Y1721" s="47">
        <f>IFERROR(MATCH(Library!M1721,$M$6:$M$40000,0),"")</f>
        <v/>
      </c>
      <c r="Z1721">
        <f>IF($Y1721="","",INDEX($C$6:$C$40000,$Y1721)&amp;"")</f>
        <v/>
      </c>
      <c r="AA1721" s="59">
        <f>IF($Y1721="","",IF(INDEX($D$6:$D$40000,$Y1721)="","",INDEX($D$6:$D$40000,$Y1721)))</f>
        <v/>
      </c>
      <c r="AB1721">
        <f>IF($Y1721="","",INDEX($L$6:$L$40000,$Y1721)&amp;"")</f>
        <v/>
      </c>
    </row>
    <row r="1722">
      <c r="Y1722" s="47">
        <f>IFERROR(MATCH(Library!M1722,$M$6:$M$40000,0),"")</f>
        <v/>
      </c>
      <c r="Z1722">
        <f>IF($Y1722="","",INDEX($C$6:$C$40000,$Y1722)&amp;"")</f>
        <v/>
      </c>
      <c r="AA1722" s="59">
        <f>IF($Y1722="","",IF(INDEX($D$6:$D$40000,$Y1722)="","",INDEX($D$6:$D$40000,$Y1722)))</f>
        <v/>
      </c>
      <c r="AB1722">
        <f>IF($Y1722="","",INDEX($L$6:$L$40000,$Y1722)&amp;"")</f>
        <v/>
      </c>
    </row>
    <row r="1723">
      <c r="Y1723" s="47">
        <f>IFERROR(MATCH(Library!M1723,$M$6:$M$40000,0),"")</f>
        <v/>
      </c>
      <c r="Z1723">
        <f>IF($Y1723="","",INDEX($C$6:$C$40000,$Y1723)&amp;"")</f>
        <v/>
      </c>
      <c r="AA1723" s="59">
        <f>IF($Y1723="","",IF(INDEX($D$6:$D$40000,$Y1723)="","",INDEX($D$6:$D$40000,$Y1723)))</f>
        <v/>
      </c>
      <c r="AB1723">
        <f>IF($Y1723="","",INDEX($L$6:$L$40000,$Y1723)&amp;"")</f>
        <v/>
      </c>
    </row>
    <row r="1724">
      <c r="Y1724" s="47">
        <f>IFERROR(MATCH(Library!M1724,$M$6:$M$40000,0),"")</f>
        <v/>
      </c>
      <c r="Z1724">
        <f>IF($Y1724="","",INDEX($C$6:$C$40000,$Y1724)&amp;"")</f>
        <v/>
      </c>
      <c r="AA1724" s="59">
        <f>IF($Y1724="","",IF(INDEX($D$6:$D$40000,$Y1724)="","",INDEX($D$6:$D$40000,$Y1724)))</f>
        <v/>
      </c>
      <c r="AB1724">
        <f>IF($Y1724="","",INDEX($L$6:$L$40000,$Y1724)&amp;"")</f>
        <v/>
      </c>
    </row>
    <row r="1725">
      <c r="Y1725" s="47">
        <f>IFERROR(MATCH(Library!M1725,$M$6:$M$40000,0),"")</f>
        <v/>
      </c>
      <c r="Z1725">
        <f>IF($Y1725="","",INDEX($C$6:$C$40000,$Y1725)&amp;"")</f>
        <v/>
      </c>
      <c r="AA1725" s="59">
        <f>IF($Y1725="","",IF(INDEX($D$6:$D$40000,$Y1725)="","",INDEX($D$6:$D$40000,$Y1725)))</f>
        <v/>
      </c>
      <c r="AB1725">
        <f>IF($Y1725="","",INDEX($L$6:$L$40000,$Y1725)&amp;"")</f>
        <v/>
      </c>
    </row>
    <row r="1726">
      <c r="Y1726" s="47">
        <f>IFERROR(MATCH(Library!M1726,$M$6:$M$40000,0),"")</f>
        <v/>
      </c>
      <c r="Z1726">
        <f>IF($Y1726="","",INDEX($C$6:$C$40000,$Y1726)&amp;"")</f>
        <v/>
      </c>
      <c r="AA1726" s="59">
        <f>IF($Y1726="","",IF(INDEX($D$6:$D$40000,$Y1726)="","",INDEX($D$6:$D$40000,$Y1726)))</f>
        <v/>
      </c>
      <c r="AB1726">
        <f>IF($Y1726="","",INDEX($L$6:$L$40000,$Y1726)&amp;"")</f>
        <v/>
      </c>
    </row>
    <row r="1727">
      <c r="Y1727" s="47">
        <f>IFERROR(MATCH(Library!M1727,$M$6:$M$40000,0),"")</f>
        <v/>
      </c>
      <c r="Z1727">
        <f>IF($Y1727="","",INDEX($C$6:$C$40000,$Y1727)&amp;"")</f>
        <v/>
      </c>
      <c r="AA1727" s="59">
        <f>IF($Y1727="","",IF(INDEX($D$6:$D$40000,$Y1727)="","",INDEX($D$6:$D$40000,$Y1727)))</f>
        <v/>
      </c>
      <c r="AB1727">
        <f>IF($Y1727="","",INDEX($L$6:$L$40000,$Y1727)&amp;"")</f>
        <v/>
      </c>
    </row>
    <row r="1728">
      <c r="Y1728" s="47">
        <f>IFERROR(MATCH(Library!M1728,$M$6:$M$40000,0),"")</f>
        <v/>
      </c>
      <c r="Z1728">
        <f>IF($Y1728="","",INDEX($C$6:$C$40000,$Y1728)&amp;"")</f>
        <v/>
      </c>
      <c r="AA1728" s="59">
        <f>IF($Y1728="","",IF(INDEX($D$6:$D$40000,$Y1728)="","",INDEX($D$6:$D$40000,$Y1728)))</f>
        <v/>
      </c>
      <c r="AB1728">
        <f>IF($Y1728="","",INDEX($L$6:$L$40000,$Y1728)&amp;"")</f>
        <v/>
      </c>
    </row>
    <row r="1729">
      <c r="Y1729" s="47">
        <f>IFERROR(MATCH(Library!M1729,$M$6:$M$40000,0),"")</f>
        <v/>
      </c>
      <c r="Z1729">
        <f>IF($Y1729="","",INDEX($C$6:$C$40000,$Y1729)&amp;"")</f>
        <v/>
      </c>
      <c r="AA1729" s="59">
        <f>IF($Y1729="","",IF(INDEX($D$6:$D$40000,$Y1729)="","",INDEX($D$6:$D$40000,$Y1729)))</f>
        <v/>
      </c>
      <c r="AB1729">
        <f>IF($Y1729="","",INDEX($L$6:$L$40000,$Y1729)&amp;"")</f>
        <v/>
      </c>
    </row>
    <row r="1730">
      <c r="Y1730" s="47">
        <f>IFERROR(MATCH(Library!M1730,$M$6:$M$40000,0),"")</f>
        <v/>
      </c>
      <c r="Z1730">
        <f>IF($Y1730="","",INDEX($C$6:$C$40000,$Y1730)&amp;"")</f>
        <v/>
      </c>
      <c r="AA1730" s="59">
        <f>IF($Y1730="","",IF(INDEX($D$6:$D$40000,$Y1730)="","",INDEX($D$6:$D$40000,$Y1730)))</f>
        <v/>
      </c>
      <c r="AB1730">
        <f>IF($Y1730="","",INDEX($L$6:$L$40000,$Y1730)&amp;"")</f>
        <v/>
      </c>
    </row>
    <row r="1731">
      <c r="Y1731" s="47">
        <f>IFERROR(MATCH(Library!M1731,$M$6:$M$40000,0),"")</f>
        <v/>
      </c>
      <c r="Z1731">
        <f>IF($Y1731="","",INDEX($C$6:$C$40000,$Y1731)&amp;"")</f>
        <v/>
      </c>
      <c r="AA1731" s="59">
        <f>IF($Y1731="","",IF(INDEX($D$6:$D$40000,$Y1731)="","",INDEX($D$6:$D$40000,$Y1731)))</f>
        <v/>
      </c>
      <c r="AB1731">
        <f>IF($Y1731="","",INDEX($L$6:$L$40000,$Y1731)&amp;"")</f>
        <v/>
      </c>
    </row>
    <row r="1732">
      <c r="Y1732" s="47">
        <f>IFERROR(MATCH(Library!M1732,$M$6:$M$40000,0),"")</f>
        <v/>
      </c>
      <c r="Z1732">
        <f>IF($Y1732="","",INDEX($C$6:$C$40000,$Y1732)&amp;"")</f>
        <v/>
      </c>
      <c r="AA1732" s="59">
        <f>IF($Y1732="","",IF(INDEX($D$6:$D$40000,$Y1732)="","",INDEX($D$6:$D$40000,$Y1732)))</f>
        <v/>
      </c>
      <c r="AB1732">
        <f>IF($Y1732="","",INDEX($L$6:$L$40000,$Y1732)&amp;"")</f>
        <v/>
      </c>
    </row>
    <row r="1733">
      <c r="Y1733" s="47">
        <f>IFERROR(MATCH(Library!M1733,$M$6:$M$40000,0),"")</f>
        <v/>
      </c>
      <c r="Z1733">
        <f>IF($Y1733="","",INDEX($C$6:$C$40000,$Y1733)&amp;"")</f>
        <v/>
      </c>
      <c r="AA1733" s="59">
        <f>IF($Y1733="","",IF(INDEX($D$6:$D$40000,$Y1733)="","",INDEX($D$6:$D$40000,$Y1733)))</f>
        <v/>
      </c>
      <c r="AB1733">
        <f>IF($Y1733="","",INDEX($L$6:$L$40000,$Y1733)&amp;"")</f>
        <v/>
      </c>
    </row>
    <row r="1734">
      <c r="Y1734" s="47">
        <f>IFERROR(MATCH(Library!M1734,$M$6:$M$40000,0),"")</f>
        <v/>
      </c>
      <c r="Z1734">
        <f>IF($Y1734="","",INDEX($C$6:$C$40000,$Y1734)&amp;"")</f>
        <v/>
      </c>
      <c r="AA1734" s="59">
        <f>IF($Y1734="","",IF(INDEX($D$6:$D$40000,$Y1734)="","",INDEX($D$6:$D$40000,$Y1734)))</f>
        <v/>
      </c>
      <c r="AB1734">
        <f>IF($Y1734="","",INDEX($L$6:$L$40000,$Y1734)&amp;"")</f>
        <v/>
      </c>
    </row>
    <row r="1735">
      <c r="Y1735" s="47">
        <f>IFERROR(MATCH(Library!M1735,$M$6:$M$40000,0),"")</f>
        <v/>
      </c>
      <c r="Z1735">
        <f>IF($Y1735="","",INDEX($C$6:$C$40000,$Y1735)&amp;"")</f>
        <v/>
      </c>
      <c r="AA1735" s="59">
        <f>IF($Y1735="","",IF(INDEX($D$6:$D$40000,$Y1735)="","",INDEX($D$6:$D$40000,$Y1735)))</f>
        <v/>
      </c>
      <c r="AB1735">
        <f>IF($Y1735="","",INDEX($L$6:$L$40000,$Y1735)&amp;"")</f>
        <v/>
      </c>
    </row>
    <row r="1736">
      <c r="Y1736" s="47">
        <f>IFERROR(MATCH(Library!M1736,$M$6:$M$40000,0),"")</f>
        <v/>
      </c>
      <c r="Z1736">
        <f>IF($Y1736="","",INDEX($C$6:$C$40000,$Y1736)&amp;"")</f>
        <v/>
      </c>
      <c r="AA1736" s="59">
        <f>IF($Y1736="","",IF(INDEX($D$6:$D$40000,$Y1736)="","",INDEX($D$6:$D$40000,$Y1736)))</f>
        <v/>
      </c>
      <c r="AB1736">
        <f>IF($Y1736="","",INDEX($L$6:$L$40000,$Y1736)&amp;"")</f>
        <v/>
      </c>
    </row>
    <row r="1737">
      <c r="Y1737" s="47">
        <f>IFERROR(MATCH(Library!M1737,$M$6:$M$40000,0),"")</f>
        <v/>
      </c>
      <c r="Z1737">
        <f>IF($Y1737="","",INDEX($C$6:$C$40000,$Y1737)&amp;"")</f>
        <v/>
      </c>
      <c r="AA1737" s="59">
        <f>IF($Y1737="","",IF(INDEX($D$6:$D$40000,$Y1737)="","",INDEX($D$6:$D$40000,$Y1737)))</f>
        <v/>
      </c>
      <c r="AB1737">
        <f>IF($Y1737="","",INDEX($L$6:$L$40000,$Y1737)&amp;"")</f>
        <v/>
      </c>
    </row>
    <row r="1738">
      <c r="Y1738" s="47">
        <f>IFERROR(MATCH(Library!M1738,$M$6:$M$40000,0),"")</f>
        <v/>
      </c>
      <c r="Z1738">
        <f>IF($Y1738="","",INDEX($C$6:$C$40000,$Y1738)&amp;"")</f>
        <v/>
      </c>
      <c r="AA1738" s="59">
        <f>IF($Y1738="","",IF(INDEX($D$6:$D$40000,$Y1738)="","",INDEX($D$6:$D$40000,$Y1738)))</f>
        <v/>
      </c>
      <c r="AB1738">
        <f>IF($Y1738="","",INDEX($L$6:$L$40000,$Y1738)&amp;"")</f>
        <v/>
      </c>
    </row>
    <row r="1739">
      <c r="Y1739" s="47">
        <f>IFERROR(MATCH(Library!M1739,$M$6:$M$40000,0),"")</f>
        <v/>
      </c>
      <c r="Z1739">
        <f>IF($Y1739="","",INDEX($C$6:$C$40000,$Y1739)&amp;"")</f>
        <v/>
      </c>
      <c r="AA1739" s="59">
        <f>IF($Y1739="","",IF(INDEX($D$6:$D$40000,$Y1739)="","",INDEX($D$6:$D$40000,$Y1739)))</f>
        <v/>
      </c>
      <c r="AB1739">
        <f>IF($Y1739="","",INDEX($L$6:$L$40000,$Y1739)&amp;"")</f>
        <v/>
      </c>
    </row>
    <row r="1740">
      <c r="Y1740" s="47">
        <f>IFERROR(MATCH(Library!M1740,$M$6:$M$40000,0),"")</f>
        <v/>
      </c>
      <c r="Z1740">
        <f>IF($Y1740="","",INDEX($C$6:$C$40000,$Y1740)&amp;"")</f>
        <v/>
      </c>
      <c r="AA1740" s="59">
        <f>IF($Y1740="","",IF(INDEX($D$6:$D$40000,$Y1740)="","",INDEX($D$6:$D$40000,$Y1740)))</f>
        <v/>
      </c>
      <c r="AB1740">
        <f>IF($Y1740="","",INDEX($L$6:$L$40000,$Y1740)&amp;"")</f>
        <v/>
      </c>
    </row>
    <row r="1741">
      <c r="Y1741" s="47">
        <f>IFERROR(MATCH(Library!M1741,$M$6:$M$40000,0),"")</f>
        <v/>
      </c>
      <c r="Z1741">
        <f>IF($Y1741="","",INDEX($C$6:$C$40000,$Y1741)&amp;"")</f>
        <v/>
      </c>
      <c r="AA1741" s="59">
        <f>IF($Y1741="","",IF(INDEX($D$6:$D$40000,$Y1741)="","",INDEX($D$6:$D$40000,$Y1741)))</f>
        <v/>
      </c>
      <c r="AB1741">
        <f>IF($Y1741="","",INDEX($L$6:$L$40000,$Y1741)&amp;"")</f>
        <v/>
      </c>
    </row>
    <row r="1742">
      <c r="Y1742" s="47">
        <f>IFERROR(MATCH(Library!M1742,$M$6:$M$40000,0),"")</f>
        <v/>
      </c>
      <c r="Z1742">
        <f>IF($Y1742="","",INDEX($C$6:$C$40000,$Y1742)&amp;"")</f>
        <v/>
      </c>
      <c r="AA1742" s="59">
        <f>IF($Y1742="","",IF(INDEX($D$6:$D$40000,$Y1742)="","",INDEX($D$6:$D$40000,$Y1742)))</f>
        <v/>
      </c>
      <c r="AB1742">
        <f>IF($Y1742="","",INDEX($L$6:$L$40000,$Y1742)&amp;"")</f>
        <v/>
      </c>
    </row>
    <row r="1743">
      <c r="Y1743" s="47">
        <f>IFERROR(MATCH(Library!M1743,$M$6:$M$40000,0),"")</f>
        <v/>
      </c>
      <c r="Z1743">
        <f>IF($Y1743="","",INDEX($C$6:$C$40000,$Y1743)&amp;"")</f>
        <v/>
      </c>
      <c r="AA1743" s="59">
        <f>IF($Y1743="","",IF(INDEX($D$6:$D$40000,$Y1743)="","",INDEX($D$6:$D$40000,$Y1743)))</f>
        <v/>
      </c>
      <c r="AB1743">
        <f>IF($Y1743="","",INDEX($L$6:$L$40000,$Y1743)&amp;"")</f>
        <v/>
      </c>
    </row>
    <row r="1744">
      <c r="Y1744" s="47">
        <f>IFERROR(MATCH(Library!M1744,$M$6:$M$40000,0),"")</f>
        <v/>
      </c>
      <c r="Z1744">
        <f>IF($Y1744="","",INDEX($C$6:$C$40000,$Y1744)&amp;"")</f>
        <v/>
      </c>
      <c r="AA1744" s="59">
        <f>IF($Y1744="","",IF(INDEX($D$6:$D$40000,$Y1744)="","",INDEX($D$6:$D$40000,$Y1744)))</f>
        <v/>
      </c>
      <c r="AB1744">
        <f>IF($Y1744="","",INDEX($L$6:$L$40000,$Y1744)&amp;"")</f>
        <v/>
      </c>
    </row>
    <row r="1745">
      <c r="Y1745" s="47">
        <f>IFERROR(MATCH(Library!M1745,$M$6:$M$40000,0),"")</f>
        <v/>
      </c>
      <c r="Z1745">
        <f>IF($Y1745="","",INDEX($C$6:$C$40000,$Y1745)&amp;"")</f>
        <v/>
      </c>
      <c r="AA1745" s="59">
        <f>IF($Y1745="","",IF(INDEX($D$6:$D$40000,$Y1745)="","",INDEX($D$6:$D$40000,$Y1745)))</f>
        <v/>
      </c>
      <c r="AB1745">
        <f>IF($Y1745="","",INDEX($L$6:$L$40000,$Y1745)&amp;"")</f>
        <v/>
      </c>
    </row>
    <row r="1746">
      <c r="Y1746" s="47">
        <f>IFERROR(MATCH(Library!M1746,$M$6:$M$40000,0),"")</f>
        <v/>
      </c>
      <c r="Z1746">
        <f>IF($Y1746="","",INDEX($C$6:$C$40000,$Y1746)&amp;"")</f>
        <v/>
      </c>
      <c r="AA1746" s="59">
        <f>IF($Y1746="","",IF(INDEX($D$6:$D$40000,$Y1746)="","",INDEX($D$6:$D$40000,$Y1746)))</f>
        <v/>
      </c>
      <c r="AB1746">
        <f>IF($Y1746="","",INDEX($L$6:$L$40000,$Y1746)&amp;"")</f>
        <v/>
      </c>
    </row>
    <row r="1747">
      <c r="Y1747" s="47">
        <f>IFERROR(MATCH(Library!M1747,$M$6:$M$40000,0),"")</f>
        <v/>
      </c>
      <c r="Z1747">
        <f>IF($Y1747="","",INDEX($C$6:$C$40000,$Y1747)&amp;"")</f>
        <v/>
      </c>
      <c r="AA1747" s="59">
        <f>IF($Y1747="","",IF(INDEX($D$6:$D$40000,$Y1747)="","",INDEX($D$6:$D$40000,$Y1747)))</f>
        <v/>
      </c>
      <c r="AB1747">
        <f>IF($Y1747="","",INDEX($L$6:$L$40000,$Y1747)&amp;"")</f>
        <v/>
      </c>
    </row>
    <row r="1748">
      <c r="Y1748" s="47">
        <f>IFERROR(MATCH(Library!M1748,$M$6:$M$40000,0),"")</f>
        <v/>
      </c>
      <c r="Z1748">
        <f>IF($Y1748="","",INDEX($C$6:$C$40000,$Y1748)&amp;"")</f>
        <v/>
      </c>
      <c r="AA1748" s="59">
        <f>IF($Y1748="","",IF(INDEX($D$6:$D$40000,$Y1748)="","",INDEX($D$6:$D$40000,$Y1748)))</f>
        <v/>
      </c>
      <c r="AB1748">
        <f>IF($Y1748="","",INDEX($L$6:$L$40000,$Y1748)&amp;"")</f>
        <v/>
      </c>
    </row>
    <row r="1749">
      <c r="Y1749" s="47">
        <f>IFERROR(MATCH(Library!M1749,$M$6:$M$40000,0),"")</f>
        <v/>
      </c>
      <c r="Z1749">
        <f>IF($Y1749="","",INDEX($C$6:$C$40000,$Y1749)&amp;"")</f>
        <v/>
      </c>
      <c r="AA1749" s="59">
        <f>IF($Y1749="","",IF(INDEX($D$6:$D$40000,$Y1749)="","",INDEX($D$6:$D$40000,$Y1749)))</f>
        <v/>
      </c>
      <c r="AB1749">
        <f>IF($Y1749="","",INDEX($L$6:$L$40000,$Y1749)&amp;"")</f>
        <v/>
      </c>
    </row>
    <row r="1750">
      <c r="Y1750" s="47">
        <f>IFERROR(MATCH(Library!M1750,$M$6:$M$40000,0),"")</f>
        <v/>
      </c>
      <c r="Z1750">
        <f>IF($Y1750="","",INDEX($C$6:$C$40000,$Y1750)&amp;"")</f>
        <v/>
      </c>
      <c r="AA1750" s="59">
        <f>IF($Y1750="","",IF(INDEX($D$6:$D$40000,$Y1750)="","",INDEX($D$6:$D$40000,$Y1750)))</f>
        <v/>
      </c>
      <c r="AB1750">
        <f>IF($Y1750="","",INDEX($L$6:$L$40000,$Y1750)&amp;"")</f>
        <v/>
      </c>
    </row>
    <row r="1751">
      <c r="Y1751" s="47">
        <f>IFERROR(MATCH(Library!M1751,$M$6:$M$40000,0),"")</f>
        <v/>
      </c>
      <c r="Z1751">
        <f>IF($Y1751="","",INDEX($C$6:$C$40000,$Y1751)&amp;"")</f>
        <v/>
      </c>
      <c r="AA1751" s="59">
        <f>IF($Y1751="","",IF(INDEX($D$6:$D$40000,$Y1751)="","",INDEX($D$6:$D$40000,$Y1751)))</f>
        <v/>
      </c>
      <c r="AB1751">
        <f>IF($Y1751="","",INDEX($L$6:$L$40000,$Y1751)&amp;"")</f>
        <v/>
      </c>
    </row>
    <row r="1752">
      <c r="Y1752" s="47">
        <f>IFERROR(MATCH(Library!M1752,$M$6:$M$40000,0),"")</f>
        <v/>
      </c>
      <c r="Z1752">
        <f>IF($Y1752="","",INDEX($C$6:$C$40000,$Y1752)&amp;"")</f>
        <v/>
      </c>
      <c r="AA1752" s="59">
        <f>IF($Y1752="","",IF(INDEX($D$6:$D$40000,$Y1752)="","",INDEX($D$6:$D$40000,$Y1752)))</f>
        <v/>
      </c>
      <c r="AB1752">
        <f>IF($Y1752="","",INDEX($L$6:$L$40000,$Y1752)&amp;"")</f>
        <v/>
      </c>
    </row>
    <row r="1753">
      <c r="Y1753" s="47">
        <f>IFERROR(MATCH(Library!M1753,$M$6:$M$40000,0),"")</f>
        <v/>
      </c>
      <c r="Z1753">
        <f>IF($Y1753="","",INDEX($C$6:$C$40000,$Y1753)&amp;"")</f>
        <v/>
      </c>
      <c r="AA1753" s="59">
        <f>IF($Y1753="","",IF(INDEX($D$6:$D$40000,$Y1753)="","",INDEX($D$6:$D$40000,$Y1753)))</f>
        <v/>
      </c>
      <c r="AB1753">
        <f>IF($Y1753="","",INDEX($L$6:$L$40000,$Y1753)&amp;"")</f>
        <v/>
      </c>
    </row>
    <row r="1754">
      <c r="Y1754" s="47">
        <f>IFERROR(MATCH(Library!M1754,$M$6:$M$40000,0),"")</f>
        <v/>
      </c>
      <c r="Z1754">
        <f>IF($Y1754="","",INDEX($C$6:$C$40000,$Y1754)&amp;"")</f>
        <v/>
      </c>
      <c r="AA1754" s="59">
        <f>IF($Y1754="","",IF(INDEX($D$6:$D$40000,$Y1754)="","",INDEX($D$6:$D$40000,$Y1754)))</f>
        <v/>
      </c>
      <c r="AB1754">
        <f>IF($Y1754="","",INDEX($L$6:$L$40000,$Y1754)&amp;"")</f>
        <v/>
      </c>
    </row>
    <row r="1755">
      <c r="Y1755" s="47">
        <f>IFERROR(MATCH(Library!M1755,$M$6:$M$40000,0),"")</f>
        <v/>
      </c>
      <c r="Z1755">
        <f>IF($Y1755="","",INDEX($C$6:$C$40000,$Y1755)&amp;"")</f>
        <v/>
      </c>
      <c r="AA1755" s="59">
        <f>IF($Y1755="","",IF(INDEX($D$6:$D$40000,$Y1755)="","",INDEX($D$6:$D$40000,$Y1755)))</f>
        <v/>
      </c>
      <c r="AB1755">
        <f>IF($Y1755="","",INDEX($L$6:$L$40000,$Y1755)&amp;"")</f>
        <v/>
      </c>
    </row>
    <row r="1756">
      <c r="Y1756" s="47">
        <f>IFERROR(MATCH(Library!M1756,$M$6:$M$40000,0),"")</f>
        <v/>
      </c>
      <c r="Z1756">
        <f>IF($Y1756="","",INDEX($C$6:$C$40000,$Y1756)&amp;"")</f>
        <v/>
      </c>
      <c r="AA1756" s="59">
        <f>IF($Y1756="","",IF(INDEX($D$6:$D$40000,$Y1756)="","",INDEX($D$6:$D$40000,$Y1756)))</f>
        <v/>
      </c>
      <c r="AB1756">
        <f>IF($Y1756="","",INDEX($L$6:$L$40000,$Y1756)&amp;"")</f>
        <v/>
      </c>
    </row>
    <row r="1757">
      <c r="Y1757" s="47">
        <f>IFERROR(MATCH(Library!M1757,$M$6:$M$40000,0),"")</f>
        <v/>
      </c>
      <c r="Z1757">
        <f>IF($Y1757="","",INDEX($C$6:$C$40000,$Y1757)&amp;"")</f>
        <v/>
      </c>
      <c r="AA1757" s="59">
        <f>IF($Y1757="","",IF(INDEX($D$6:$D$40000,$Y1757)="","",INDEX($D$6:$D$40000,$Y1757)))</f>
        <v/>
      </c>
      <c r="AB1757">
        <f>IF($Y1757="","",INDEX($L$6:$L$40000,$Y1757)&amp;"")</f>
        <v/>
      </c>
    </row>
    <row r="1758">
      <c r="Y1758" s="47">
        <f>IFERROR(MATCH(Library!M1758,$M$6:$M$40000,0),"")</f>
        <v/>
      </c>
      <c r="Z1758">
        <f>IF($Y1758="","",INDEX($C$6:$C$40000,$Y1758)&amp;"")</f>
        <v/>
      </c>
      <c r="AA1758" s="59">
        <f>IF($Y1758="","",IF(INDEX($D$6:$D$40000,$Y1758)="","",INDEX($D$6:$D$40000,$Y1758)))</f>
        <v/>
      </c>
      <c r="AB1758">
        <f>IF($Y1758="","",INDEX($L$6:$L$40000,$Y1758)&amp;"")</f>
        <v/>
      </c>
    </row>
    <row r="1759">
      <c r="Y1759" s="47">
        <f>IFERROR(MATCH(Library!M1759,$M$6:$M$40000,0),"")</f>
        <v/>
      </c>
      <c r="Z1759">
        <f>IF($Y1759="","",INDEX($C$6:$C$40000,$Y1759)&amp;"")</f>
        <v/>
      </c>
      <c r="AA1759" s="59">
        <f>IF($Y1759="","",IF(INDEX($D$6:$D$40000,$Y1759)="","",INDEX($D$6:$D$40000,$Y1759)))</f>
        <v/>
      </c>
      <c r="AB1759">
        <f>IF($Y1759="","",INDEX($L$6:$L$40000,$Y1759)&amp;"")</f>
        <v/>
      </c>
    </row>
    <row r="1760">
      <c r="Y1760" s="47">
        <f>IFERROR(MATCH(Library!M1760,$M$6:$M$40000,0),"")</f>
        <v/>
      </c>
      <c r="Z1760">
        <f>IF($Y1760="","",INDEX($C$6:$C$40000,$Y1760)&amp;"")</f>
        <v/>
      </c>
      <c r="AA1760" s="59">
        <f>IF($Y1760="","",IF(INDEX($D$6:$D$40000,$Y1760)="","",INDEX($D$6:$D$40000,$Y1760)))</f>
        <v/>
      </c>
      <c r="AB1760">
        <f>IF($Y1760="","",INDEX($L$6:$L$40000,$Y1760)&amp;"")</f>
        <v/>
      </c>
    </row>
    <row r="1761">
      <c r="Y1761" s="47">
        <f>IFERROR(MATCH(Library!M1761,$M$6:$M$40000,0),"")</f>
        <v/>
      </c>
      <c r="Z1761">
        <f>IF($Y1761="","",INDEX($C$6:$C$40000,$Y1761)&amp;"")</f>
        <v/>
      </c>
      <c r="AA1761" s="59">
        <f>IF($Y1761="","",IF(INDEX($D$6:$D$40000,$Y1761)="","",INDEX($D$6:$D$40000,$Y1761)))</f>
        <v/>
      </c>
      <c r="AB1761">
        <f>IF($Y1761="","",INDEX($L$6:$L$40000,$Y1761)&amp;"")</f>
        <v/>
      </c>
    </row>
    <row r="1762">
      <c r="Y1762" s="47">
        <f>IFERROR(MATCH(Library!M1762,$M$6:$M$40000,0),"")</f>
        <v/>
      </c>
      <c r="Z1762">
        <f>IF($Y1762="","",INDEX($C$6:$C$40000,$Y1762)&amp;"")</f>
        <v/>
      </c>
      <c r="AA1762" s="59">
        <f>IF($Y1762="","",IF(INDEX($D$6:$D$40000,$Y1762)="","",INDEX($D$6:$D$40000,$Y1762)))</f>
        <v/>
      </c>
      <c r="AB1762">
        <f>IF($Y1762="","",INDEX($L$6:$L$40000,$Y1762)&amp;"")</f>
        <v/>
      </c>
    </row>
    <row r="1763">
      <c r="Y1763" s="47">
        <f>IFERROR(MATCH(Library!M1763,$M$6:$M$40000,0),"")</f>
        <v/>
      </c>
      <c r="Z1763">
        <f>IF($Y1763="","",INDEX($C$6:$C$40000,$Y1763)&amp;"")</f>
        <v/>
      </c>
      <c r="AA1763" s="59">
        <f>IF($Y1763="","",IF(INDEX($D$6:$D$40000,$Y1763)="","",INDEX($D$6:$D$40000,$Y1763)))</f>
        <v/>
      </c>
      <c r="AB1763">
        <f>IF($Y1763="","",INDEX($L$6:$L$40000,$Y1763)&amp;"")</f>
        <v/>
      </c>
    </row>
    <row r="1764">
      <c r="Y1764" s="47">
        <f>IFERROR(MATCH(Library!M1764,$M$6:$M$40000,0),"")</f>
        <v/>
      </c>
      <c r="Z1764">
        <f>IF($Y1764="","",INDEX($C$6:$C$40000,$Y1764)&amp;"")</f>
        <v/>
      </c>
      <c r="AA1764" s="59">
        <f>IF($Y1764="","",IF(INDEX($D$6:$D$40000,$Y1764)="","",INDEX($D$6:$D$40000,$Y1764)))</f>
        <v/>
      </c>
      <c r="AB1764">
        <f>IF($Y1764="","",INDEX($L$6:$L$40000,$Y1764)&amp;"")</f>
        <v/>
      </c>
    </row>
    <row r="1765">
      <c r="Y1765" s="47">
        <f>IFERROR(MATCH(Library!M1765,$M$6:$M$40000,0),"")</f>
        <v/>
      </c>
      <c r="Z1765">
        <f>IF($Y1765="","",INDEX($C$6:$C$40000,$Y1765)&amp;"")</f>
        <v/>
      </c>
      <c r="AA1765" s="59">
        <f>IF($Y1765="","",IF(INDEX($D$6:$D$40000,$Y1765)="","",INDEX($D$6:$D$40000,$Y1765)))</f>
        <v/>
      </c>
      <c r="AB1765">
        <f>IF($Y1765="","",INDEX($L$6:$L$40000,$Y1765)&amp;"")</f>
        <v/>
      </c>
    </row>
    <row r="1766">
      <c r="Y1766" s="47">
        <f>IFERROR(MATCH(Library!M1766,$M$6:$M$40000,0),"")</f>
        <v/>
      </c>
      <c r="Z1766">
        <f>IF($Y1766="","",INDEX($C$6:$C$40000,$Y1766)&amp;"")</f>
        <v/>
      </c>
      <c r="AA1766" s="59">
        <f>IF($Y1766="","",IF(INDEX($D$6:$D$40000,$Y1766)="","",INDEX($D$6:$D$40000,$Y1766)))</f>
        <v/>
      </c>
      <c r="AB1766">
        <f>IF($Y1766="","",INDEX($L$6:$L$40000,$Y1766)&amp;"")</f>
        <v/>
      </c>
    </row>
    <row r="1767">
      <c r="Y1767" s="47">
        <f>IFERROR(MATCH(Library!M1767,$M$6:$M$40000,0),"")</f>
        <v/>
      </c>
      <c r="Z1767">
        <f>IF($Y1767="","",INDEX($C$6:$C$40000,$Y1767)&amp;"")</f>
        <v/>
      </c>
      <c r="AA1767" s="59">
        <f>IF($Y1767="","",IF(INDEX($D$6:$D$40000,$Y1767)="","",INDEX($D$6:$D$40000,$Y1767)))</f>
        <v/>
      </c>
      <c r="AB1767">
        <f>IF($Y1767="","",INDEX($L$6:$L$40000,$Y1767)&amp;"")</f>
        <v/>
      </c>
    </row>
    <row r="1768">
      <c r="Y1768" s="47">
        <f>IFERROR(MATCH(Library!M1768,$M$6:$M$40000,0),"")</f>
        <v/>
      </c>
      <c r="Z1768">
        <f>IF($Y1768="","",INDEX($C$6:$C$40000,$Y1768)&amp;"")</f>
        <v/>
      </c>
      <c r="AA1768" s="59">
        <f>IF($Y1768="","",IF(INDEX($D$6:$D$40000,$Y1768)="","",INDEX($D$6:$D$40000,$Y1768)))</f>
        <v/>
      </c>
      <c r="AB1768">
        <f>IF($Y1768="","",INDEX($L$6:$L$40000,$Y1768)&amp;"")</f>
        <v/>
      </c>
    </row>
    <row r="1769">
      <c r="Y1769" s="47">
        <f>IFERROR(MATCH(Library!M1769,$M$6:$M$40000,0),"")</f>
        <v/>
      </c>
      <c r="Z1769">
        <f>IF($Y1769="","",INDEX($C$6:$C$40000,$Y1769)&amp;"")</f>
        <v/>
      </c>
      <c r="AA1769" s="59">
        <f>IF($Y1769="","",IF(INDEX($D$6:$D$40000,$Y1769)="","",INDEX($D$6:$D$40000,$Y1769)))</f>
        <v/>
      </c>
      <c r="AB1769">
        <f>IF($Y1769="","",INDEX($L$6:$L$40000,$Y1769)&amp;"")</f>
        <v/>
      </c>
    </row>
    <row r="1770">
      <c r="Y1770" s="47">
        <f>IFERROR(MATCH(Library!M1770,$M$6:$M$40000,0),"")</f>
        <v/>
      </c>
      <c r="Z1770">
        <f>IF($Y1770="","",INDEX($C$6:$C$40000,$Y1770)&amp;"")</f>
        <v/>
      </c>
      <c r="AA1770" s="59">
        <f>IF($Y1770="","",IF(INDEX($D$6:$D$40000,$Y1770)="","",INDEX($D$6:$D$40000,$Y1770)))</f>
        <v/>
      </c>
      <c r="AB1770">
        <f>IF($Y1770="","",INDEX($L$6:$L$40000,$Y1770)&amp;"")</f>
        <v/>
      </c>
    </row>
    <row r="1771">
      <c r="Y1771" s="47">
        <f>IFERROR(MATCH(Library!M1771,$M$6:$M$40000,0),"")</f>
        <v/>
      </c>
      <c r="Z1771">
        <f>IF($Y1771="","",INDEX($C$6:$C$40000,$Y1771)&amp;"")</f>
        <v/>
      </c>
      <c r="AA1771" s="59">
        <f>IF($Y1771="","",IF(INDEX($D$6:$D$40000,$Y1771)="","",INDEX($D$6:$D$40000,$Y1771)))</f>
        <v/>
      </c>
      <c r="AB1771">
        <f>IF($Y1771="","",INDEX($L$6:$L$40000,$Y1771)&amp;"")</f>
        <v/>
      </c>
    </row>
    <row r="1772">
      <c r="Y1772" s="47">
        <f>IFERROR(MATCH(Library!M1772,$M$6:$M$40000,0),"")</f>
        <v/>
      </c>
      <c r="Z1772">
        <f>IF($Y1772="","",INDEX($C$6:$C$40000,$Y1772)&amp;"")</f>
        <v/>
      </c>
      <c r="AA1772" s="59">
        <f>IF($Y1772="","",IF(INDEX($D$6:$D$40000,$Y1772)="","",INDEX($D$6:$D$40000,$Y1772)))</f>
        <v/>
      </c>
      <c r="AB1772">
        <f>IF($Y1772="","",INDEX($L$6:$L$40000,$Y1772)&amp;"")</f>
        <v/>
      </c>
    </row>
    <row r="1773">
      <c r="Y1773" s="47">
        <f>IFERROR(MATCH(Library!M1773,$M$6:$M$40000,0),"")</f>
        <v/>
      </c>
      <c r="Z1773">
        <f>IF($Y1773="","",INDEX($C$6:$C$40000,$Y1773)&amp;"")</f>
        <v/>
      </c>
      <c r="AA1773" s="59">
        <f>IF($Y1773="","",IF(INDEX($D$6:$D$40000,$Y1773)="","",INDEX($D$6:$D$40000,$Y1773)))</f>
        <v/>
      </c>
      <c r="AB1773">
        <f>IF($Y1773="","",INDEX($L$6:$L$40000,$Y1773)&amp;"")</f>
        <v/>
      </c>
    </row>
    <row r="1774">
      <c r="Y1774" s="47">
        <f>IFERROR(MATCH(Library!M1774,$M$6:$M$40000,0),"")</f>
        <v/>
      </c>
      <c r="Z1774">
        <f>IF($Y1774="","",INDEX($C$6:$C$40000,$Y1774)&amp;"")</f>
        <v/>
      </c>
      <c r="AA1774" s="59">
        <f>IF($Y1774="","",IF(INDEX($D$6:$D$40000,$Y1774)="","",INDEX($D$6:$D$40000,$Y1774)))</f>
        <v/>
      </c>
      <c r="AB1774">
        <f>IF($Y1774="","",INDEX($L$6:$L$40000,$Y1774)&amp;"")</f>
        <v/>
      </c>
    </row>
    <row r="1775">
      <c r="Y1775" s="47">
        <f>IFERROR(MATCH(Library!M1775,$M$6:$M$40000,0),"")</f>
        <v/>
      </c>
      <c r="Z1775">
        <f>IF($Y1775="","",INDEX($C$6:$C$40000,$Y1775)&amp;"")</f>
        <v/>
      </c>
      <c r="AA1775" s="59">
        <f>IF($Y1775="","",IF(INDEX($D$6:$D$40000,$Y1775)="","",INDEX($D$6:$D$40000,$Y1775)))</f>
        <v/>
      </c>
      <c r="AB1775">
        <f>IF($Y1775="","",INDEX($L$6:$L$40000,$Y1775)&amp;"")</f>
        <v/>
      </c>
    </row>
    <row r="1776">
      <c r="Y1776" s="47">
        <f>IFERROR(MATCH(Library!M1776,$M$6:$M$40000,0),"")</f>
        <v/>
      </c>
      <c r="Z1776">
        <f>IF($Y1776="","",INDEX($C$6:$C$40000,$Y1776)&amp;"")</f>
        <v/>
      </c>
      <c r="AA1776" s="59">
        <f>IF($Y1776="","",IF(INDEX($D$6:$D$40000,$Y1776)="","",INDEX($D$6:$D$40000,$Y1776)))</f>
        <v/>
      </c>
      <c r="AB1776">
        <f>IF($Y1776="","",INDEX($L$6:$L$40000,$Y1776)&amp;"")</f>
        <v/>
      </c>
    </row>
    <row r="1777">
      <c r="Y1777" s="47">
        <f>IFERROR(MATCH(Library!M1777,$M$6:$M$40000,0),"")</f>
        <v/>
      </c>
      <c r="Z1777">
        <f>IF($Y1777="","",INDEX($C$6:$C$40000,$Y1777)&amp;"")</f>
        <v/>
      </c>
      <c r="AA1777" s="59">
        <f>IF($Y1777="","",IF(INDEX($D$6:$D$40000,$Y1777)="","",INDEX($D$6:$D$40000,$Y1777)))</f>
        <v/>
      </c>
      <c r="AB1777">
        <f>IF($Y1777="","",INDEX($L$6:$L$40000,$Y1777)&amp;"")</f>
        <v/>
      </c>
    </row>
    <row r="1778">
      <c r="Y1778" s="47">
        <f>IFERROR(MATCH(Library!M1778,$M$6:$M$40000,0),"")</f>
        <v/>
      </c>
      <c r="Z1778">
        <f>IF($Y1778="","",INDEX($C$6:$C$40000,$Y1778)&amp;"")</f>
        <v/>
      </c>
      <c r="AA1778" s="59">
        <f>IF($Y1778="","",IF(INDEX($D$6:$D$40000,$Y1778)="","",INDEX($D$6:$D$40000,$Y1778)))</f>
        <v/>
      </c>
      <c r="AB1778">
        <f>IF($Y1778="","",INDEX($L$6:$L$40000,$Y1778)&amp;"")</f>
        <v/>
      </c>
    </row>
    <row r="1779">
      <c r="Y1779" s="47">
        <f>IFERROR(MATCH(Library!M1779,$M$6:$M$40000,0),"")</f>
        <v/>
      </c>
      <c r="Z1779">
        <f>IF($Y1779="","",INDEX($C$6:$C$40000,$Y1779)&amp;"")</f>
        <v/>
      </c>
      <c r="AA1779" s="59">
        <f>IF($Y1779="","",IF(INDEX($D$6:$D$40000,$Y1779)="","",INDEX($D$6:$D$40000,$Y1779)))</f>
        <v/>
      </c>
      <c r="AB1779">
        <f>IF($Y1779="","",INDEX($L$6:$L$40000,$Y1779)&amp;"")</f>
        <v/>
      </c>
    </row>
    <row r="1780">
      <c r="Y1780" s="47">
        <f>IFERROR(MATCH(Library!M1780,$M$6:$M$40000,0),"")</f>
        <v/>
      </c>
      <c r="Z1780">
        <f>IF($Y1780="","",INDEX($C$6:$C$40000,$Y1780)&amp;"")</f>
        <v/>
      </c>
      <c r="AA1780" s="59">
        <f>IF($Y1780="","",IF(INDEX($D$6:$D$40000,$Y1780)="","",INDEX($D$6:$D$40000,$Y1780)))</f>
        <v/>
      </c>
      <c r="AB1780">
        <f>IF($Y1780="","",INDEX($L$6:$L$40000,$Y1780)&amp;"")</f>
        <v/>
      </c>
    </row>
    <row r="1781">
      <c r="Y1781" s="47">
        <f>IFERROR(MATCH(Library!M1781,$M$6:$M$40000,0),"")</f>
        <v/>
      </c>
      <c r="Z1781">
        <f>IF($Y1781="","",INDEX($C$6:$C$40000,$Y1781)&amp;"")</f>
        <v/>
      </c>
      <c r="AA1781" s="59">
        <f>IF($Y1781="","",IF(INDEX($D$6:$D$40000,$Y1781)="","",INDEX($D$6:$D$40000,$Y1781)))</f>
        <v/>
      </c>
      <c r="AB1781">
        <f>IF($Y1781="","",INDEX($L$6:$L$40000,$Y1781)&amp;"")</f>
        <v/>
      </c>
    </row>
    <row r="1782">
      <c r="Y1782" s="47">
        <f>IFERROR(MATCH(Library!M1782,$M$6:$M$40000,0),"")</f>
        <v/>
      </c>
      <c r="Z1782">
        <f>IF($Y1782="","",INDEX($C$6:$C$40000,$Y1782)&amp;"")</f>
        <v/>
      </c>
      <c r="AA1782" s="59">
        <f>IF($Y1782="","",IF(INDEX($D$6:$D$40000,$Y1782)="","",INDEX($D$6:$D$40000,$Y1782)))</f>
        <v/>
      </c>
      <c r="AB1782">
        <f>IF($Y1782="","",INDEX($L$6:$L$40000,$Y1782)&amp;"")</f>
        <v/>
      </c>
    </row>
    <row r="1783">
      <c r="Y1783" s="47">
        <f>IFERROR(MATCH(Library!M1783,$M$6:$M$40000,0),"")</f>
        <v/>
      </c>
      <c r="Z1783">
        <f>IF($Y1783="","",INDEX($C$6:$C$40000,$Y1783)&amp;"")</f>
        <v/>
      </c>
      <c r="AA1783" s="59">
        <f>IF($Y1783="","",IF(INDEX($D$6:$D$40000,$Y1783)="","",INDEX($D$6:$D$40000,$Y1783)))</f>
        <v/>
      </c>
      <c r="AB1783">
        <f>IF($Y1783="","",INDEX($L$6:$L$40000,$Y1783)&amp;"")</f>
        <v/>
      </c>
    </row>
    <row r="1784">
      <c r="Y1784" s="47">
        <f>IFERROR(MATCH(Library!M1784,$M$6:$M$40000,0),"")</f>
        <v/>
      </c>
      <c r="Z1784">
        <f>IF($Y1784="","",INDEX($C$6:$C$40000,$Y1784)&amp;"")</f>
        <v/>
      </c>
      <c r="AA1784" s="59">
        <f>IF($Y1784="","",IF(INDEX($D$6:$D$40000,$Y1784)="","",INDEX($D$6:$D$40000,$Y1784)))</f>
        <v/>
      </c>
      <c r="AB1784">
        <f>IF($Y1784="","",INDEX($L$6:$L$40000,$Y1784)&amp;"")</f>
        <v/>
      </c>
    </row>
    <row r="1785">
      <c r="Y1785" s="47">
        <f>IFERROR(MATCH(Library!M1785,$M$6:$M$40000,0),"")</f>
        <v/>
      </c>
      <c r="Z1785">
        <f>IF($Y1785="","",INDEX($C$6:$C$40000,$Y1785)&amp;"")</f>
        <v/>
      </c>
      <c r="AA1785" s="59">
        <f>IF($Y1785="","",IF(INDEX($D$6:$D$40000,$Y1785)="","",INDEX($D$6:$D$40000,$Y1785)))</f>
        <v/>
      </c>
      <c r="AB1785">
        <f>IF($Y1785="","",INDEX($L$6:$L$40000,$Y1785)&amp;"")</f>
        <v/>
      </c>
    </row>
    <row r="1786">
      <c r="Y1786" s="47">
        <f>IFERROR(MATCH(Library!M1786,$M$6:$M$40000,0),"")</f>
        <v/>
      </c>
      <c r="Z1786">
        <f>IF($Y1786="","",INDEX($C$6:$C$40000,$Y1786)&amp;"")</f>
        <v/>
      </c>
      <c r="AA1786" s="59">
        <f>IF($Y1786="","",IF(INDEX($D$6:$D$40000,$Y1786)="","",INDEX($D$6:$D$40000,$Y1786)))</f>
        <v/>
      </c>
      <c r="AB1786">
        <f>IF($Y1786="","",INDEX($L$6:$L$40000,$Y1786)&amp;"")</f>
        <v/>
      </c>
    </row>
    <row r="1787">
      <c r="Y1787" s="47">
        <f>IFERROR(MATCH(Library!M1787,$M$6:$M$40000,0),"")</f>
        <v/>
      </c>
      <c r="Z1787">
        <f>IF($Y1787="","",INDEX($C$6:$C$40000,$Y1787)&amp;"")</f>
        <v/>
      </c>
      <c r="AA1787" s="59">
        <f>IF($Y1787="","",IF(INDEX($D$6:$D$40000,$Y1787)="","",INDEX($D$6:$D$40000,$Y1787)))</f>
        <v/>
      </c>
      <c r="AB1787">
        <f>IF($Y1787="","",INDEX($L$6:$L$40000,$Y1787)&amp;"")</f>
        <v/>
      </c>
    </row>
    <row r="1788">
      <c r="Y1788" s="47">
        <f>IFERROR(MATCH(Library!M1788,$M$6:$M$40000,0),"")</f>
        <v/>
      </c>
      <c r="Z1788">
        <f>IF($Y1788="","",INDEX($C$6:$C$40000,$Y1788)&amp;"")</f>
        <v/>
      </c>
      <c r="AA1788" s="59">
        <f>IF($Y1788="","",IF(INDEX($D$6:$D$40000,$Y1788)="","",INDEX($D$6:$D$40000,$Y1788)))</f>
        <v/>
      </c>
      <c r="AB1788">
        <f>IF($Y1788="","",INDEX($L$6:$L$40000,$Y1788)&amp;"")</f>
        <v/>
      </c>
    </row>
    <row r="1789">
      <c r="Y1789" s="47">
        <f>IFERROR(MATCH(Library!M1789,$M$6:$M$40000,0),"")</f>
        <v/>
      </c>
      <c r="Z1789">
        <f>IF($Y1789="","",INDEX($C$6:$C$40000,$Y1789)&amp;"")</f>
        <v/>
      </c>
      <c r="AA1789" s="59">
        <f>IF($Y1789="","",IF(INDEX($D$6:$D$40000,$Y1789)="","",INDEX($D$6:$D$40000,$Y1789)))</f>
        <v/>
      </c>
      <c r="AB1789">
        <f>IF($Y1789="","",INDEX($L$6:$L$40000,$Y1789)&amp;"")</f>
        <v/>
      </c>
    </row>
    <row r="1790">
      <c r="Y1790" s="47">
        <f>IFERROR(MATCH(Library!M1790,$M$6:$M$40000,0),"")</f>
        <v/>
      </c>
      <c r="Z1790">
        <f>IF($Y1790="","",INDEX($C$6:$C$40000,$Y1790)&amp;"")</f>
        <v/>
      </c>
      <c r="AA1790" s="59">
        <f>IF($Y1790="","",IF(INDEX($D$6:$D$40000,$Y1790)="","",INDEX($D$6:$D$40000,$Y1790)))</f>
        <v/>
      </c>
      <c r="AB1790">
        <f>IF($Y1790="","",INDEX($L$6:$L$40000,$Y1790)&amp;"")</f>
        <v/>
      </c>
    </row>
    <row r="1791">
      <c r="Y1791" s="47">
        <f>IFERROR(MATCH(Library!M1791,$M$6:$M$40000,0),"")</f>
        <v/>
      </c>
      <c r="Z1791">
        <f>IF($Y1791="","",INDEX($C$6:$C$40000,$Y1791)&amp;"")</f>
        <v/>
      </c>
      <c r="AA1791" s="59">
        <f>IF($Y1791="","",IF(INDEX($D$6:$D$40000,$Y1791)="","",INDEX($D$6:$D$40000,$Y1791)))</f>
        <v/>
      </c>
      <c r="AB1791">
        <f>IF($Y1791="","",INDEX($L$6:$L$40000,$Y1791)&amp;"")</f>
        <v/>
      </c>
    </row>
    <row r="1792">
      <c r="Y1792" s="47">
        <f>IFERROR(MATCH(Library!M1792,$M$6:$M$40000,0),"")</f>
        <v/>
      </c>
      <c r="Z1792">
        <f>IF($Y1792="","",INDEX($C$6:$C$40000,$Y1792)&amp;"")</f>
        <v/>
      </c>
      <c r="AA1792" s="59">
        <f>IF($Y1792="","",IF(INDEX($D$6:$D$40000,$Y1792)="","",INDEX($D$6:$D$40000,$Y1792)))</f>
        <v/>
      </c>
      <c r="AB1792">
        <f>IF($Y1792="","",INDEX($L$6:$L$40000,$Y1792)&amp;"")</f>
        <v/>
      </c>
    </row>
    <row r="1793">
      <c r="Y1793" s="47">
        <f>IFERROR(MATCH(Library!M1793,$M$6:$M$40000,0),"")</f>
        <v/>
      </c>
      <c r="Z1793">
        <f>IF($Y1793="","",INDEX($C$6:$C$40000,$Y1793)&amp;"")</f>
        <v/>
      </c>
      <c r="AA1793" s="59">
        <f>IF($Y1793="","",IF(INDEX($D$6:$D$40000,$Y1793)="","",INDEX($D$6:$D$40000,$Y1793)))</f>
        <v/>
      </c>
      <c r="AB1793">
        <f>IF($Y1793="","",INDEX($L$6:$L$40000,$Y1793)&amp;"")</f>
        <v/>
      </c>
    </row>
    <row r="1794">
      <c r="Y1794" s="47">
        <f>IFERROR(MATCH(Library!M1794,$M$6:$M$40000,0),"")</f>
        <v/>
      </c>
      <c r="Z1794">
        <f>IF($Y1794="","",INDEX($C$6:$C$40000,$Y1794)&amp;"")</f>
        <v/>
      </c>
      <c r="AA1794" s="59">
        <f>IF($Y1794="","",IF(INDEX($D$6:$D$40000,$Y1794)="","",INDEX($D$6:$D$40000,$Y1794)))</f>
        <v/>
      </c>
      <c r="AB1794">
        <f>IF($Y1794="","",INDEX($L$6:$L$40000,$Y1794)&amp;"")</f>
        <v/>
      </c>
    </row>
    <row r="1795">
      <c r="Y1795" s="47">
        <f>IFERROR(MATCH(Library!M1795,$M$6:$M$40000,0),"")</f>
        <v/>
      </c>
      <c r="Z1795">
        <f>IF($Y1795="","",INDEX($C$6:$C$40000,$Y1795)&amp;"")</f>
        <v/>
      </c>
      <c r="AA1795" s="59">
        <f>IF($Y1795="","",IF(INDEX($D$6:$D$40000,$Y1795)="","",INDEX($D$6:$D$40000,$Y1795)))</f>
        <v/>
      </c>
      <c r="AB1795">
        <f>IF($Y1795="","",INDEX($L$6:$L$40000,$Y1795)&amp;"")</f>
        <v/>
      </c>
    </row>
    <row r="1796">
      <c r="Y1796" s="47">
        <f>IFERROR(MATCH(Library!M1796,$M$6:$M$40000,0),"")</f>
        <v/>
      </c>
      <c r="Z1796">
        <f>IF($Y1796="","",INDEX($C$6:$C$40000,$Y1796)&amp;"")</f>
        <v/>
      </c>
      <c r="AA1796" s="59">
        <f>IF($Y1796="","",IF(INDEX($D$6:$D$40000,$Y1796)="","",INDEX($D$6:$D$40000,$Y1796)))</f>
        <v/>
      </c>
      <c r="AB1796">
        <f>IF($Y1796="","",INDEX($L$6:$L$40000,$Y1796)&amp;"")</f>
        <v/>
      </c>
    </row>
    <row r="1797">
      <c r="Y1797" s="47">
        <f>IFERROR(MATCH(Library!M1797,$M$6:$M$40000,0),"")</f>
        <v/>
      </c>
      <c r="Z1797">
        <f>IF($Y1797="","",INDEX($C$6:$C$40000,$Y1797)&amp;"")</f>
        <v/>
      </c>
      <c r="AA1797" s="59">
        <f>IF($Y1797="","",IF(INDEX($D$6:$D$40000,$Y1797)="","",INDEX($D$6:$D$40000,$Y1797)))</f>
        <v/>
      </c>
      <c r="AB1797">
        <f>IF($Y1797="","",INDEX($L$6:$L$40000,$Y1797)&amp;"")</f>
        <v/>
      </c>
    </row>
    <row r="1798">
      <c r="Y1798" s="47">
        <f>IFERROR(MATCH(Library!M1798,$M$6:$M$40000,0),"")</f>
        <v/>
      </c>
      <c r="Z1798">
        <f>IF($Y1798="","",INDEX($C$6:$C$40000,$Y1798)&amp;"")</f>
        <v/>
      </c>
      <c r="AA1798" s="59">
        <f>IF($Y1798="","",IF(INDEX($D$6:$D$40000,$Y1798)="","",INDEX($D$6:$D$40000,$Y1798)))</f>
        <v/>
      </c>
      <c r="AB1798">
        <f>IF($Y1798="","",INDEX($L$6:$L$40000,$Y1798)&amp;"")</f>
        <v/>
      </c>
    </row>
    <row r="1799">
      <c r="Y1799" s="47">
        <f>IFERROR(MATCH(Library!M1799,$M$6:$M$40000,0),"")</f>
        <v/>
      </c>
      <c r="Z1799">
        <f>IF($Y1799="","",INDEX($C$6:$C$40000,$Y1799)&amp;"")</f>
        <v/>
      </c>
      <c r="AA1799" s="59">
        <f>IF($Y1799="","",IF(INDEX($D$6:$D$40000,$Y1799)="","",INDEX($D$6:$D$40000,$Y1799)))</f>
        <v/>
      </c>
      <c r="AB1799">
        <f>IF($Y1799="","",INDEX($L$6:$L$40000,$Y1799)&amp;"")</f>
        <v/>
      </c>
    </row>
    <row r="1800">
      <c r="Y1800" s="47">
        <f>IFERROR(MATCH(Library!M1800,$M$6:$M$40000,0),"")</f>
        <v/>
      </c>
      <c r="Z1800">
        <f>IF($Y1800="","",INDEX($C$6:$C$40000,$Y1800)&amp;"")</f>
        <v/>
      </c>
      <c r="AA1800" s="59">
        <f>IF($Y1800="","",IF(INDEX($D$6:$D$40000,$Y1800)="","",INDEX($D$6:$D$40000,$Y1800)))</f>
        <v/>
      </c>
      <c r="AB1800">
        <f>IF($Y1800="","",INDEX($L$6:$L$40000,$Y1800)&amp;"")</f>
        <v/>
      </c>
    </row>
    <row r="1801">
      <c r="Y1801" s="47">
        <f>IFERROR(MATCH(Library!M1801,$M$6:$M$40000,0),"")</f>
        <v/>
      </c>
      <c r="Z1801">
        <f>IF($Y1801="","",INDEX($C$6:$C$40000,$Y1801)&amp;"")</f>
        <v/>
      </c>
      <c r="AA1801" s="59">
        <f>IF($Y1801="","",IF(INDEX($D$6:$D$40000,$Y1801)="","",INDEX($D$6:$D$40000,$Y1801)))</f>
        <v/>
      </c>
      <c r="AB1801">
        <f>IF($Y1801="","",INDEX($L$6:$L$40000,$Y1801)&amp;"")</f>
        <v/>
      </c>
    </row>
    <row r="1802">
      <c r="Y1802" s="47">
        <f>IFERROR(MATCH(Library!M1802,$M$6:$M$40000,0),"")</f>
        <v/>
      </c>
      <c r="Z1802">
        <f>IF($Y1802="","",INDEX($C$6:$C$40000,$Y1802)&amp;"")</f>
        <v/>
      </c>
      <c r="AA1802" s="59">
        <f>IF($Y1802="","",IF(INDEX($D$6:$D$40000,$Y1802)="","",INDEX($D$6:$D$40000,$Y1802)))</f>
        <v/>
      </c>
      <c r="AB1802">
        <f>IF($Y1802="","",INDEX($L$6:$L$40000,$Y1802)&amp;"")</f>
        <v/>
      </c>
    </row>
    <row r="1803">
      <c r="Y1803" s="47">
        <f>IFERROR(MATCH(Library!M1803,$M$6:$M$40000,0),"")</f>
        <v/>
      </c>
      <c r="Z1803">
        <f>IF($Y1803="","",INDEX($C$6:$C$40000,$Y1803)&amp;"")</f>
        <v/>
      </c>
      <c r="AA1803" s="59">
        <f>IF($Y1803="","",IF(INDEX($D$6:$D$40000,$Y1803)="","",INDEX($D$6:$D$40000,$Y1803)))</f>
        <v/>
      </c>
      <c r="AB1803">
        <f>IF($Y1803="","",INDEX($L$6:$L$40000,$Y1803)&amp;"")</f>
        <v/>
      </c>
    </row>
    <row r="1804">
      <c r="Y1804" s="47">
        <f>IFERROR(MATCH(Library!M1804,$M$6:$M$40000,0),"")</f>
        <v/>
      </c>
      <c r="Z1804">
        <f>IF($Y1804="","",INDEX($C$6:$C$40000,$Y1804)&amp;"")</f>
        <v/>
      </c>
      <c r="AA1804" s="59">
        <f>IF($Y1804="","",IF(INDEX($D$6:$D$40000,$Y1804)="","",INDEX($D$6:$D$40000,$Y1804)))</f>
        <v/>
      </c>
      <c r="AB1804">
        <f>IF($Y1804="","",INDEX($L$6:$L$40000,$Y1804)&amp;"")</f>
        <v/>
      </c>
    </row>
    <row r="1805">
      <c r="Y1805" s="47">
        <f>IFERROR(MATCH(Library!M1805,$M$6:$M$40000,0),"")</f>
        <v/>
      </c>
      <c r="Z1805">
        <f>IF($Y1805="","",INDEX($C$6:$C$40000,$Y1805)&amp;"")</f>
        <v/>
      </c>
      <c r="AA1805" s="59">
        <f>IF($Y1805="","",IF(INDEX($D$6:$D$40000,$Y1805)="","",INDEX($D$6:$D$40000,$Y1805)))</f>
        <v/>
      </c>
      <c r="AB1805">
        <f>IF($Y1805="","",INDEX($L$6:$L$40000,$Y1805)&amp;"")</f>
        <v/>
      </c>
    </row>
    <row r="1806">
      <c r="Y1806" s="47">
        <f>IFERROR(MATCH(Library!M1806,$M$6:$M$40000,0),"")</f>
        <v/>
      </c>
      <c r="Z1806">
        <f>IF($Y1806="","",INDEX($C$6:$C$40000,$Y1806)&amp;"")</f>
        <v/>
      </c>
      <c r="AA1806" s="59">
        <f>IF($Y1806="","",IF(INDEX($D$6:$D$40000,$Y1806)="","",INDEX($D$6:$D$40000,$Y1806)))</f>
        <v/>
      </c>
      <c r="AB1806">
        <f>IF($Y1806="","",INDEX($L$6:$L$40000,$Y1806)&amp;"")</f>
        <v/>
      </c>
    </row>
    <row r="1807">
      <c r="Y1807" s="47">
        <f>IFERROR(MATCH(Library!M1807,$M$6:$M$40000,0),"")</f>
        <v/>
      </c>
      <c r="Z1807">
        <f>IF($Y1807="","",INDEX($C$6:$C$40000,$Y1807)&amp;"")</f>
        <v/>
      </c>
      <c r="AA1807" s="59">
        <f>IF($Y1807="","",IF(INDEX($D$6:$D$40000,$Y1807)="","",INDEX($D$6:$D$40000,$Y1807)))</f>
        <v/>
      </c>
      <c r="AB1807">
        <f>IF($Y1807="","",INDEX($L$6:$L$40000,$Y1807)&amp;"")</f>
        <v/>
      </c>
    </row>
    <row r="1808">
      <c r="Y1808" s="47">
        <f>IFERROR(MATCH(Library!M1808,$M$6:$M$40000,0),"")</f>
        <v/>
      </c>
      <c r="Z1808">
        <f>IF($Y1808="","",INDEX($C$6:$C$40000,$Y1808)&amp;"")</f>
        <v/>
      </c>
      <c r="AA1808" s="59">
        <f>IF($Y1808="","",IF(INDEX($D$6:$D$40000,$Y1808)="","",INDEX($D$6:$D$40000,$Y1808)))</f>
        <v/>
      </c>
      <c r="AB1808">
        <f>IF($Y1808="","",INDEX($L$6:$L$40000,$Y1808)&amp;"")</f>
        <v/>
      </c>
    </row>
    <row r="1809">
      <c r="Y1809" s="47">
        <f>IFERROR(MATCH(Library!M1809,$M$6:$M$40000,0),"")</f>
        <v/>
      </c>
      <c r="Z1809">
        <f>IF($Y1809="","",INDEX($C$6:$C$40000,$Y1809)&amp;"")</f>
        <v/>
      </c>
      <c r="AA1809" s="59">
        <f>IF($Y1809="","",IF(INDEX($D$6:$D$40000,$Y1809)="","",INDEX($D$6:$D$40000,$Y1809)))</f>
        <v/>
      </c>
      <c r="AB1809">
        <f>IF($Y1809="","",INDEX($L$6:$L$40000,$Y1809)&amp;"")</f>
        <v/>
      </c>
    </row>
    <row r="1810">
      <c r="Y1810" s="47">
        <f>IFERROR(MATCH(Library!M1810,$M$6:$M$40000,0),"")</f>
        <v/>
      </c>
      <c r="Z1810">
        <f>IF($Y1810="","",INDEX($C$6:$C$40000,$Y1810)&amp;"")</f>
        <v/>
      </c>
      <c r="AA1810" s="59">
        <f>IF($Y1810="","",IF(INDEX($D$6:$D$40000,$Y1810)="","",INDEX($D$6:$D$40000,$Y1810)))</f>
        <v/>
      </c>
      <c r="AB1810">
        <f>IF($Y1810="","",INDEX($L$6:$L$40000,$Y1810)&amp;"")</f>
        <v/>
      </c>
    </row>
    <row r="1811">
      <c r="Y1811" s="47">
        <f>IFERROR(MATCH(Library!M1811,$M$6:$M$40000,0),"")</f>
        <v/>
      </c>
      <c r="Z1811">
        <f>IF($Y1811="","",INDEX($C$6:$C$40000,$Y1811)&amp;"")</f>
        <v/>
      </c>
      <c r="AA1811" s="59">
        <f>IF($Y1811="","",IF(INDEX($D$6:$D$40000,$Y1811)="","",INDEX($D$6:$D$40000,$Y1811)))</f>
        <v/>
      </c>
      <c r="AB1811">
        <f>IF($Y1811="","",INDEX($L$6:$L$40000,$Y1811)&amp;"")</f>
        <v/>
      </c>
    </row>
    <row r="1812">
      <c r="Y1812" s="47">
        <f>IFERROR(MATCH(Library!M1812,$M$6:$M$40000,0),"")</f>
        <v/>
      </c>
      <c r="Z1812">
        <f>IF($Y1812="","",INDEX($C$6:$C$40000,$Y1812)&amp;"")</f>
        <v/>
      </c>
      <c r="AA1812" s="59">
        <f>IF($Y1812="","",IF(INDEX($D$6:$D$40000,$Y1812)="","",INDEX($D$6:$D$40000,$Y1812)))</f>
        <v/>
      </c>
      <c r="AB1812">
        <f>IF($Y1812="","",INDEX($L$6:$L$40000,$Y1812)&amp;"")</f>
        <v/>
      </c>
    </row>
    <row r="1813">
      <c r="Y1813" s="47">
        <f>IFERROR(MATCH(Library!M1813,$M$6:$M$40000,0),"")</f>
        <v/>
      </c>
      <c r="Z1813">
        <f>IF($Y1813="","",INDEX($C$6:$C$40000,$Y1813)&amp;"")</f>
        <v/>
      </c>
      <c r="AA1813" s="59">
        <f>IF($Y1813="","",IF(INDEX($D$6:$D$40000,$Y1813)="","",INDEX($D$6:$D$40000,$Y1813)))</f>
        <v/>
      </c>
      <c r="AB1813">
        <f>IF($Y1813="","",INDEX($L$6:$L$40000,$Y1813)&amp;"")</f>
        <v/>
      </c>
    </row>
    <row r="1814">
      <c r="Y1814" s="47">
        <f>IFERROR(MATCH(Library!M1814,$M$6:$M$40000,0),"")</f>
        <v/>
      </c>
      <c r="Z1814">
        <f>IF($Y1814="","",INDEX($C$6:$C$40000,$Y1814)&amp;"")</f>
        <v/>
      </c>
      <c r="AA1814" s="59">
        <f>IF($Y1814="","",IF(INDEX($D$6:$D$40000,$Y1814)="","",INDEX($D$6:$D$40000,$Y1814)))</f>
        <v/>
      </c>
      <c r="AB1814">
        <f>IF($Y1814="","",INDEX($L$6:$L$40000,$Y1814)&amp;"")</f>
        <v/>
      </c>
    </row>
    <row r="1815">
      <c r="Y1815" s="47">
        <f>IFERROR(MATCH(Library!M1815,$M$6:$M$40000,0),"")</f>
        <v/>
      </c>
      <c r="Z1815">
        <f>IF($Y1815="","",INDEX($C$6:$C$40000,$Y1815)&amp;"")</f>
        <v/>
      </c>
      <c r="AA1815" s="59">
        <f>IF($Y1815="","",IF(INDEX($D$6:$D$40000,$Y1815)="","",INDEX($D$6:$D$40000,$Y1815)))</f>
        <v/>
      </c>
      <c r="AB1815">
        <f>IF($Y1815="","",INDEX($L$6:$L$40000,$Y1815)&amp;"")</f>
        <v/>
      </c>
    </row>
    <row r="1816">
      <c r="Y1816" s="47">
        <f>IFERROR(MATCH(Library!M1816,$M$6:$M$40000,0),"")</f>
        <v/>
      </c>
      <c r="Z1816">
        <f>IF($Y1816="","",INDEX($C$6:$C$40000,$Y1816)&amp;"")</f>
        <v/>
      </c>
      <c r="AA1816" s="59">
        <f>IF($Y1816="","",IF(INDEX($D$6:$D$40000,$Y1816)="","",INDEX($D$6:$D$40000,$Y1816)))</f>
        <v/>
      </c>
      <c r="AB1816">
        <f>IF($Y1816="","",INDEX($L$6:$L$40000,$Y1816)&amp;"")</f>
        <v/>
      </c>
    </row>
    <row r="1817">
      <c r="Y1817" s="47">
        <f>IFERROR(MATCH(Library!M1817,$M$6:$M$40000,0),"")</f>
        <v/>
      </c>
      <c r="Z1817">
        <f>IF($Y1817="","",INDEX($C$6:$C$40000,$Y1817)&amp;"")</f>
        <v/>
      </c>
      <c r="AA1817" s="59">
        <f>IF($Y1817="","",IF(INDEX($D$6:$D$40000,$Y1817)="","",INDEX($D$6:$D$40000,$Y1817)))</f>
        <v/>
      </c>
      <c r="AB1817">
        <f>IF($Y1817="","",INDEX($L$6:$L$40000,$Y1817)&amp;"")</f>
        <v/>
      </c>
    </row>
    <row r="1818">
      <c r="Y1818" s="47">
        <f>IFERROR(MATCH(Library!M1818,$M$6:$M$40000,0),"")</f>
        <v/>
      </c>
      <c r="Z1818">
        <f>IF($Y1818="","",INDEX($C$6:$C$40000,$Y1818)&amp;"")</f>
        <v/>
      </c>
      <c r="AA1818" s="59">
        <f>IF($Y1818="","",IF(INDEX($D$6:$D$40000,$Y1818)="","",INDEX($D$6:$D$40000,$Y1818)))</f>
        <v/>
      </c>
      <c r="AB1818">
        <f>IF($Y1818="","",INDEX($L$6:$L$40000,$Y1818)&amp;"")</f>
        <v/>
      </c>
    </row>
    <row r="1819">
      <c r="Y1819" s="47">
        <f>IFERROR(MATCH(Library!M1819,$M$6:$M$40000,0),"")</f>
        <v/>
      </c>
      <c r="Z1819">
        <f>IF($Y1819="","",INDEX($C$6:$C$40000,$Y1819)&amp;"")</f>
        <v/>
      </c>
      <c r="AA1819" s="59">
        <f>IF($Y1819="","",IF(INDEX($D$6:$D$40000,$Y1819)="","",INDEX($D$6:$D$40000,$Y1819)))</f>
        <v/>
      </c>
      <c r="AB1819">
        <f>IF($Y1819="","",INDEX($L$6:$L$40000,$Y1819)&amp;"")</f>
        <v/>
      </c>
    </row>
    <row r="1820">
      <c r="Y1820" s="47">
        <f>IFERROR(MATCH(Library!M1820,$M$6:$M$40000,0),"")</f>
        <v/>
      </c>
      <c r="Z1820">
        <f>IF($Y1820="","",INDEX($C$6:$C$40000,$Y1820)&amp;"")</f>
        <v/>
      </c>
      <c r="AA1820" s="59">
        <f>IF($Y1820="","",IF(INDEX($D$6:$D$40000,$Y1820)="","",INDEX($D$6:$D$40000,$Y1820)))</f>
        <v/>
      </c>
      <c r="AB1820">
        <f>IF($Y1820="","",INDEX($L$6:$L$40000,$Y1820)&amp;"")</f>
        <v/>
      </c>
    </row>
    <row r="1821">
      <c r="Y1821" s="47">
        <f>IFERROR(MATCH(Library!M1821,$M$6:$M$40000,0),"")</f>
        <v/>
      </c>
      <c r="Z1821">
        <f>IF($Y1821="","",INDEX($C$6:$C$40000,$Y1821)&amp;"")</f>
        <v/>
      </c>
      <c r="AA1821" s="59">
        <f>IF($Y1821="","",IF(INDEX($D$6:$D$40000,$Y1821)="","",INDEX($D$6:$D$40000,$Y1821)))</f>
        <v/>
      </c>
      <c r="AB1821">
        <f>IF($Y1821="","",INDEX($L$6:$L$40000,$Y1821)&amp;"")</f>
        <v/>
      </c>
    </row>
    <row r="1822">
      <c r="Y1822" s="47">
        <f>IFERROR(MATCH(Library!M1822,$M$6:$M$40000,0),"")</f>
        <v/>
      </c>
      <c r="Z1822">
        <f>IF($Y1822="","",INDEX($C$6:$C$40000,$Y1822)&amp;"")</f>
        <v/>
      </c>
      <c r="AA1822" s="59">
        <f>IF($Y1822="","",IF(INDEX($D$6:$D$40000,$Y1822)="","",INDEX($D$6:$D$40000,$Y1822)))</f>
        <v/>
      </c>
      <c r="AB1822">
        <f>IF($Y1822="","",INDEX($L$6:$L$40000,$Y1822)&amp;"")</f>
        <v/>
      </c>
    </row>
    <row r="1823">
      <c r="Y1823" s="47">
        <f>IFERROR(MATCH(Library!M1823,$M$6:$M$40000,0),"")</f>
        <v/>
      </c>
      <c r="Z1823">
        <f>IF($Y1823="","",INDEX($C$6:$C$40000,$Y1823)&amp;"")</f>
        <v/>
      </c>
      <c r="AA1823" s="59">
        <f>IF($Y1823="","",IF(INDEX($D$6:$D$40000,$Y1823)="","",INDEX($D$6:$D$40000,$Y1823)))</f>
        <v/>
      </c>
      <c r="AB1823">
        <f>IF($Y1823="","",INDEX($L$6:$L$40000,$Y1823)&amp;"")</f>
        <v/>
      </c>
    </row>
    <row r="1824">
      <c r="Y1824" s="47">
        <f>IFERROR(MATCH(Library!M1824,$M$6:$M$40000,0),"")</f>
        <v/>
      </c>
      <c r="Z1824">
        <f>IF($Y1824="","",INDEX($C$6:$C$40000,$Y1824)&amp;"")</f>
        <v/>
      </c>
      <c r="AA1824" s="59">
        <f>IF($Y1824="","",IF(INDEX($D$6:$D$40000,$Y1824)="","",INDEX($D$6:$D$40000,$Y1824)))</f>
        <v/>
      </c>
      <c r="AB1824">
        <f>IF($Y1824="","",INDEX($L$6:$L$40000,$Y1824)&amp;"")</f>
        <v/>
      </c>
    </row>
    <row r="1825">
      <c r="Y1825" s="47">
        <f>IFERROR(MATCH(Library!M1825,$M$6:$M$40000,0),"")</f>
        <v/>
      </c>
      <c r="Z1825">
        <f>IF($Y1825="","",INDEX($C$6:$C$40000,$Y1825)&amp;"")</f>
        <v/>
      </c>
      <c r="AA1825" s="59">
        <f>IF($Y1825="","",IF(INDEX($D$6:$D$40000,$Y1825)="","",INDEX($D$6:$D$40000,$Y1825)))</f>
        <v/>
      </c>
      <c r="AB1825">
        <f>IF($Y1825="","",INDEX($L$6:$L$40000,$Y1825)&amp;"")</f>
        <v/>
      </c>
    </row>
    <row r="1826">
      <c r="Y1826" s="47">
        <f>IFERROR(MATCH(Library!M1826,$M$6:$M$40000,0),"")</f>
        <v/>
      </c>
      <c r="Z1826">
        <f>IF($Y1826="","",INDEX($C$6:$C$40000,$Y1826)&amp;"")</f>
        <v/>
      </c>
      <c r="AA1826" s="59">
        <f>IF($Y1826="","",IF(INDEX($D$6:$D$40000,$Y1826)="","",INDEX($D$6:$D$40000,$Y1826)))</f>
        <v/>
      </c>
      <c r="AB1826">
        <f>IF($Y1826="","",INDEX($L$6:$L$40000,$Y1826)&amp;"")</f>
        <v/>
      </c>
    </row>
    <row r="1827">
      <c r="Y1827" s="47">
        <f>IFERROR(MATCH(Library!M1827,$M$6:$M$40000,0),"")</f>
        <v/>
      </c>
      <c r="Z1827">
        <f>IF($Y1827="","",INDEX($C$6:$C$40000,$Y1827)&amp;"")</f>
        <v/>
      </c>
      <c r="AA1827" s="59">
        <f>IF($Y1827="","",IF(INDEX($D$6:$D$40000,$Y1827)="","",INDEX($D$6:$D$40000,$Y1827)))</f>
        <v/>
      </c>
      <c r="AB1827">
        <f>IF($Y1827="","",INDEX($L$6:$L$40000,$Y1827)&amp;"")</f>
        <v/>
      </c>
    </row>
    <row r="1828">
      <c r="Y1828" s="47">
        <f>IFERROR(MATCH(Library!M1828,$M$6:$M$40000,0),"")</f>
        <v/>
      </c>
      <c r="Z1828">
        <f>IF($Y1828="","",INDEX($C$6:$C$40000,$Y1828)&amp;"")</f>
        <v/>
      </c>
      <c r="AA1828" s="59">
        <f>IF($Y1828="","",IF(INDEX($D$6:$D$40000,$Y1828)="","",INDEX($D$6:$D$40000,$Y1828)))</f>
        <v/>
      </c>
      <c r="AB1828">
        <f>IF($Y1828="","",INDEX($L$6:$L$40000,$Y1828)&amp;"")</f>
        <v/>
      </c>
    </row>
    <row r="1829">
      <c r="Y1829" s="47">
        <f>IFERROR(MATCH(Library!M1829,$M$6:$M$40000,0),"")</f>
        <v/>
      </c>
      <c r="Z1829">
        <f>IF($Y1829="","",INDEX($C$6:$C$40000,$Y1829)&amp;"")</f>
        <v/>
      </c>
      <c r="AA1829" s="59">
        <f>IF($Y1829="","",IF(INDEX($D$6:$D$40000,$Y1829)="","",INDEX($D$6:$D$40000,$Y1829)))</f>
        <v/>
      </c>
      <c r="AB1829">
        <f>IF($Y1829="","",INDEX($L$6:$L$40000,$Y1829)&amp;"")</f>
        <v/>
      </c>
    </row>
    <row r="1830">
      <c r="Y1830" s="47">
        <f>IFERROR(MATCH(Library!M1830,$M$6:$M$40000,0),"")</f>
        <v/>
      </c>
      <c r="Z1830">
        <f>IF($Y1830="","",INDEX($C$6:$C$40000,$Y1830)&amp;"")</f>
        <v/>
      </c>
      <c r="AA1830" s="59">
        <f>IF($Y1830="","",IF(INDEX($D$6:$D$40000,$Y1830)="","",INDEX($D$6:$D$40000,$Y1830)))</f>
        <v/>
      </c>
      <c r="AB1830">
        <f>IF($Y1830="","",INDEX($L$6:$L$40000,$Y1830)&amp;"")</f>
        <v/>
      </c>
    </row>
    <row r="1831">
      <c r="Y1831" s="47">
        <f>IFERROR(MATCH(Library!M1831,$M$6:$M$40000,0),"")</f>
        <v/>
      </c>
      <c r="Z1831">
        <f>IF($Y1831="","",INDEX($C$6:$C$40000,$Y1831)&amp;"")</f>
        <v/>
      </c>
      <c r="AA1831" s="59">
        <f>IF($Y1831="","",IF(INDEX($D$6:$D$40000,$Y1831)="","",INDEX($D$6:$D$40000,$Y1831)))</f>
        <v/>
      </c>
      <c r="AB1831">
        <f>IF($Y1831="","",INDEX($L$6:$L$40000,$Y1831)&amp;"")</f>
        <v/>
      </c>
    </row>
    <row r="1832">
      <c r="Y1832" s="47">
        <f>IFERROR(MATCH(Library!M1832,$M$6:$M$40000,0),"")</f>
        <v/>
      </c>
      <c r="Z1832">
        <f>IF($Y1832="","",INDEX($C$6:$C$40000,$Y1832)&amp;"")</f>
        <v/>
      </c>
      <c r="AA1832" s="59">
        <f>IF($Y1832="","",IF(INDEX($D$6:$D$40000,$Y1832)="","",INDEX($D$6:$D$40000,$Y1832)))</f>
        <v/>
      </c>
      <c r="AB1832">
        <f>IF($Y1832="","",INDEX($L$6:$L$40000,$Y1832)&amp;"")</f>
        <v/>
      </c>
    </row>
    <row r="1833">
      <c r="Y1833" s="47">
        <f>IFERROR(MATCH(Library!M1833,$M$6:$M$40000,0),"")</f>
        <v/>
      </c>
      <c r="Z1833">
        <f>IF($Y1833="","",INDEX($C$6:$C$40000,$Y1833)&amp;"")</f>
        <v/>
      </c>
      <c r="AA1833" s="59">
        <f>IF($Y1833="","",IF(INDEX($D$6:$D$40000,$Y1833)="","",INDEX($D$6:$D$40000,$Y1833)))</f>
        <v/>
      </c>
      <c r="AB1833">
        <f>IF($Y1833="","",INDEX($L$6:$L$40000,$Y1833)&amp;"")</f>
        <v/>
      </c>
    </row>
    <row r="1834">
      <c r="Y1834" s="47">
        <f>IFERROR(MATCH(Library!M1834,$M$6:$M$40000,0),"")</f>
        <v/>
      </c>
      <c r="Z1834">
        <f>IF($Y1834="","",INDEX($C$6:$C$40000,$Y1834)&amp;"")</f>
        <v/>
      </c>
      <c r="AA1834" s="59">
        <f>IF($Y1834="","",IF(INDEX($D$6:$D$40000,$Y1834)="","",INDEX($D$6:$D$40000,$Y1834)))</f>
        <v/>
      </c>
      <c r="AB1834">
        <f>IF($Y1834="","",INDEX($L$6:$L$40000,$Y1834)&amp;"")</f>
        <v/>
      </c>
    </row>
    <row r="1835">
      <c r="Y1835" s="47">
        <f>IFERROR(MATCH(Library!M1835,$M$6:$M$40000,0),"")</f>
        <v/>
      </c>
      <c r="Z1835">
        <f>IF($Y1835="","",INDEX($C$6:$C$40000,$Y1835)&amp;"")</f>
        <v/>
      </c>
      <c r="AA1835" s="59">
        <f>IF($Y1835="","",IF(INDEX($D$6:$D$40000,$Y1835)="","",INDEX($D$6:$D$40000,$Y1835)))</f>
        <v/>
      </c>
      <c r="AB1835">
        <f>IF($Y1835="","",INDEX($L$6:$L$40000,$Y1835)&amp;"")</f>
        <v/>
      </c>
    </row>
    <row r="1836">
      <c r="Y1836" s="47">
        <f>IFERROR(MATCH(Library!M1836,$M$6:$M$40000,0),"")</f>
        <v/>
      </c>
      <c r="Z1836">
        <f>IF($Y1836="","",INDEX($C$6:$C$40000,$Y1836)&amp;"")</f>
        <v/>
      </c>
      <c r="AA1836" s="59">
        <f>IF($Y1836="","",IF(INDEX($D$6:$D$40000,$Y1836)="","",INDEX($D$6:$D$40000,$Y1836)))</f>
        <v/>
      </c>
      <c r="AB1836">
        <f>IF($Y1836="","",INDEX($L$6:$L$40000,$Y1836)&amp;"")</f>
        <v/>
      </c>
    </row>
    <row r="1837">
      <c r="Y1837" s="47">
        <f>IFERROR(MATCH(Library!M1837,$M$6:$M$40000,0),"")</f>
        <v/>
      </c>
      <c r="Z1837">
        <f>IF($Y1837="","",INDEX($C$6:$C$40000,$Y1837)&amp;"")</f>
        <v/>
      </c>
      <c r="AA1837" s="59">
        <f>IF($Y1837="","",IF(INDEX($D$6:$D$40000,$Y1837)="","",INDEX($D$6:$D$40000,$Y1837)))</f>
        <v/>
      </c>
      <c r="AB1837">
        <f>IF($Y1837="","",INDEX($L$6:$L$40000,$Y1837)&amp;"")</f>
        <v/>
      </c>
    </row>
    <row r="1838">
      <c r="Y1838" s="47">
        <f>IFERROR(MATCH(Library!M1838,$M$6:$M$40000,0),"")</f>
        <v/>
      </c>
      <c r="Z1838">
        <f>IF($Y1838="","",INDEX($C$6:$C$40000,$Y1838)&amp;"")</f>
        <v/>
      </c>
      <c r="AA1838" s="59">
        <f>IF($Y1838="","",IF(INDEX($D$6:$D$40000,$Y1838)="","",INDEX($D$6:$D$40000,$Y1838)))</f>
        <v/>
      </c>
      <c r="AB1838">
        <f>IF($Y1838="","",INDEX($L$6:$L$40000,$Y1838)&amp;"")</f>
        <v/>
      </c>
    </row>
    <row r="1839">
      <c r="Y1839" s="47">
        <f>IFERROR(MATCH(Library!M1839,$M$6:$M$40000,0),"")</f>
        <v/>
      </c>
      <c r="Z1839">
        <f>IF($Y1839="","",INDEX($C$6:$C$40000,$Y1839)&amp;"")</f>
        <v/>
      </c>
      <c r="AA1839" s="59">
        <f>IF($Y1839="","",IF(INDEX($D$6:$D$40000,$Y1839)="","",INDEX($D$6:$D$40000,$Y1839)))</f>
        <v/>
      </c>
      <c r="AB1839">
        <f>IF($Y1839="","",INDEX($L$6:$L$40000,$Y1839)&amp;"")</f>
        <v/>
      </c>
    </row>
    <row r="1840">
      <c r="Y1840" s="47">
        <f>IFERROR(MATCH(Library!M1840,$M$6:$M$40000,0),"")</f>
        <v/>
      </c>
      <c r="Z1840">
        <f>IF($Y1840="","",INDEX($C$6:$C$40000,$Y1840)&amp;"")</f>
        <v/>
      </c>
      <c r="AA1840" s="59">
        <f>IF($Y1840="","",IF(INDEX($D$6:$D$40000,$Y1840)="","",INDEX($D$6:$D$40000,$Y1840)))</f>
        <v/>
      </c>
      <c r="AB1840">
        <f>IF($Y1840="","",INDEX($L$6:$L$40000,$Y1840)&amp;"")</f>
        <v/>
      </c>
    </row>
    <row r="1841">
      <c r="Y1841" s="47">
        <f>IFERROR(MATCH(Library!M1841,$M$6:$M$40000,0),"")</f>
        <v/>
      </c>
      <c r="Z1841">
        <f>IF($Y1841="","",INDEX($C$6:$C$40000,$Y1841)&amp;"")</f>
        <v/>
      </c>
      <c r="AA1841" s="59">
        <f>IF($Y1841="","",IF(INDEX($D$6:$D$40000,$Y1841)="","",INDEX($D$6:$D$40000,$Y1841)))</f>
        <v/>
      </c>
      <c r="AB1841">
        <f>IF($Y1841="","",INDEX($L$6:$L$40000,$Y1841)&amp;"")</f>
        <v/>
      </c>
    </row>
    <row r="1842">
      <c r="Y1842" s="47">
        <f>IFERROR(MATCH(Library!M1842,$M$6:$M$40000,0),"")</f>
        <v/>
      </c>
      <c r="Z1842">
        <f>IF($Y1842="","",INDEX($C$6:$C$40000,$Y1842)&amp;"")</f>
        <v/>
      </c>
      <c r="AA1842" s="59">
        <f>IF($Y1842="","",IF(INDEX($D$6:$D$40000,$Y1842)="","",INDEX($D$6:$D$40000,$Y1842)))</f>
        <v/>
      </c>
      <c r="AB1842">
        <f>IF($Y1842="","",INDEX($L$6:$L$40000,$Y1842)&amp;"")</f>
        <v/>
      </c>
    </row>
    <row r="1843">
      <c r="Y1843" s="47">
        <f>IFERROR(MATCH(Library!M1843,$M$6:$M$40000,0),"")</f>
        <v/>
      </c>
      <c r="Z1843">
        <f>IF($Y1843="","",INDEX($C$6:$C$40000,$Y1843)&amp;"")</f>
        <v/>
      </c>
      <c r="AA1843" s="59">
        <f>IF($Y1843="","",IF(INDEX($D$6:$D$40000,$Y1843)="","",INDEX($D$6:$D$40000,$Y1843)))</f>
        <v/>
      </c>
      <c r="AB1843">
        <f>IF($Y1843="","",INDEX($L$6:$L$40000,$Y1843)&amp;"")</f>
        <v/>
      </c>
    </row>
    <row r="1844">
      <c r="Y1844" s="47">
        <f>IFERROR(MATCH(Library!M1844,$M$6:$M$40000,0),"")</f>
        <v/>
      </c>
      <c r="Z1844">
        <f>IF($Y1844="","",INDEX($C$6:$C$40000,$Y1844)&amp;"")</f>
        <v/>
      </c>
      <c r="AA1844" s="59">
        <f>IF($Y1844="","",IF(INDEX($D$6:$D$40000,$Y1844)="","",INDEX($D$6:$D$40000,$Y1844)))</f>
        <v/>
      </c>
      <c r="AB1844">
        <f>IF($Y1844="","",INDEX($L$6:$L$40000,$Y1844)&amp;"")</f>
        <v/>
      </c>
    </row>
    <row r="1845">
      <c r="Y1845" s="47">
        <f>IFERROR(MATCH(Library!M1845,$M$6:$M$40000,0),"")</f>
        <v/>
      </c>
      <c r="Z1845">
        <f>IF($Y1845="","",INDEX($C$6:$C$40000,$Y1845)&amp;"")</f>
        <v/>
      </c>
      <c r="AA1845" s="59">
        <f>IF($Y1845="","",IF(INDEX($D$6:$D$40000,$Y1845)="","",INDEX($D$6:$D$40000,$Y1845)))</f>
        <v/>
      </c>
      <c r="AB1845">
        <f>IF($Y1845="","",INDEX($L$6:$L$40000,$Y1845)&amp;"")</f>
        <v/>
      </c>
    </row>
    <row r="1846">
      <c r="Y1846" s="47">
        <f>IFERROR(MATCH(Library!M1846,$M$6:$M$40000,0),"")</f>
        <v/>
      </c>
      <c r="Z1846">
        <f>IF($Y1846="","",INDEX($C$6:$C$40000,$Y1846)&amp;"")</f>
        <v/>
      </c>
      <c r="AA1846" s="59">
        <f>IF($Y1846="","",IF(INDEX($D$6:$D$40000,$Y1846)="","",INDEX($D$6:$D$40000,$Y1846)))</f>
        <v/>
      </c>
      <c r="AB1846">
        <f>IF($Y1846="","",INDEX($L$6:$L$40000,$Y1846)&amp;"")</f>
        <v/>
      </c>
    </row>
    <row r="1847">
      <c r="Y1847" s="47">
        <f>IFERROR(MATCH(Library!M1847,$M$6:$M$40000,0),"")</f>
        <v/>
      </c>
      <c r="Z1847">
        <f>IF($Y1847="","",INDEX($C$6:$C$40000,$Y1847)&amp;"")</f>
        <v/>
      </c>
      <c r="AA1847" s="59">
        <f>IF($Y1847="","",IF(INDEX($D$6:$D$40000,$Y1847)="","",INDEX($D$6:$D$40000,$Y1847)))</f>
        <v/>
      </c>
      <c r="AB1847">
        <f>IF($Y1847="","",INDEX($L$6:$L$40000,$Y1847)&amp;"")</f>
        <v/>
      </c>
    </row>
    <row r="1848">
      <c r="Y1848" s="47">
        <f>IFERROR(MATCH(Library!M1848,$M$6:$M$40000,0),"")</f>
        <v/>
      </c>
      <c r="Z1848">
        <f>IF($Y1848="","",INDEX($C$6:$C$40000,$Y1848)&amp;"")</f>
        <v/>
      </c>
      <c r="AA1848" s="59">
        <f>IF($Y1848="","",IF(INDEX($D$6:$D$40000,$Y1848)="","",INDEX($D$6:$D$40000,$Y1848)))</f>
        <v/>
      </c>
      <c r="AB1848">
        <f>IF($Y1848="","",INDEX($L$6:$L$40000,$Y1848)&amp;"")</f>
        <v/>
      </c>
    </row>
    <row r="1849">
      <c r="Y1849" s="47">
        <f>IFERROR(MATCH(Library!M1849,$M$6:$M$40000,0),"")</f>
        <v/>
      </c>
      <c r="Z1849">
        <f>IF($Y1849="","",INDEX($C$6:$C$40000,$Y1849)&amp;"")</f>
        <v/>
      </c>
      <c r="AA1849" s="59">
        <f>IF($Y1849="","",IF(INDEX($D$6:$D$40000,$Y1849)="","",INDEX($D$6:$D$40000,$Y1849)))</f>
        <v/>
      </c>
      <c r="AB1849">
        <f>IF($Y1849="","",INDEX($L$6:$L$40000,$Y1849)&amp;"")</f>
        <v/>
      </c>
    </row>
    <row r="1850">
      <c r="Y1850" s="47">
        <f>IFERROR(MATCH(Library!M1850,$M$6:$M$40000,0),"")</f>
        <v/>
      </c>
      <c r="Z1850">
        <f>IF($Y1850="","",INDEX($C$6:$C$40000,$Y1850)&amp;"")</f>
        <v/>
      </c>
      <c r="AA1850" s="59">
        <f>IF($Y1850="","",IF(INDEX($D$6:$D$40000,$Y1850)="","",INDEX($D$6:$D$40000,$Y1850)))</f>
        <v/>
      </c>
      <c r="AB1850">
        <f>IF($Y1850="","",INDEX($L$6:$L$40000,$Y1850)&amp;"")</f>
        <v/>
      </c>
    </row>
    <row r="1851">
      <c r="Y1851" s="47">
        <f>IFERROR(MATCH(Library!M1851,$M$6:$M$40000,0),"")</f>
        <v/>
      </c>
      <c r="Z1851">
        <f>IF($Y1851="","",INDEX($C$6:$C$40000,$Y1851)&amp;"")</f>
        <v/>
      </c>
      <c r="AA1851" s="59">
        <f>IF($Y1851="","",IF(INDEX($D$6:$D$40000,$Y1851)="","",INDEX($D$6:$D$40000,$Y1851)))</f>
        <v/>
      </c>
      <c r="AB1851">
        <f>IF($Y1851="","",INDEX($L$6:$L$40000,$Y1851)&amp;"")</f>
        <v/>
      </c>
    </row>
    <row r="1852">
      <c r="Y1852" s="47">
        <f>IFERROR(MATCH(Library!M1852,$M$6:$M$40000,0),"")</f>
        <v/>
      </c>
      <c r="Z1852">
        <f>IF($Y1852="","",INDEX($C$6:$C$40000,$Y1852)&amp;"")</f>
        <v/>
      </c>
      <c r="AA1852" s="59">
        <f>IF($Y1852="","",IF(INDEX($D$6:$D$40000,$Y1852)="","",INDEX($D$6:$D$40000,$Y1852)))</f>
        <v/>
      </c>
      <c r="AB1852">
        <f>IF($Y1852="","",INDEX($L$6:$L$40000,$Y1852)&amp;"")</f>
        <v/>
      </c>
    </row>
    <row r="1853">
      <c r="Y1853" s="47">
        <f>IFERROR(MATCH(Library!M1853,$M$6:$M$40000,0),"")</f>
        <v/>
      </c>
      <c r="Z1853">
        <f>IF($Y1853="","",INDEX($C$6:$C$40000,$Y1853)&amp;"")</f>
        <v/>
      </c>
      <c r="AA1853" s="59">
        <f>IF($Y1853="","",IF(INDEX($D$6:$D$40000,$Y1853)="","",INDEX($D$6:$D$40000,$Y1853)))</f>
        <v/>
      </c>
      <c r="AB1853">
        <f>IF($Y1853="","",INDEX($L$6:$L$40000,$Y1853)&amp;"")</f>
        <v/>
      </c>
    </row>
    <row r="1854">
      <c r="Y1854" s="47">
        <f>IFERROR(MATCH(Library!M1854,$M$6:$M$40000,0),"")</f>
        <v/>
      </c>
      <c r="Z1854">
        <f>IF($Y1854="","",INDEX($C$6:$C$40000,$Y1854)&amp;"")</f>
        <v/>
      </c>
      <c r="AA1854" s="59">
        <f>IF($Y1854="","",IF(INDEX($D$6:$D$40000,$Y1854)="","",INDEX($D$6:$D$40000,$Y1854)))</f>
        <v/>
      </c>
      <c r="AB1854">
        <f>IF($Y1854="","",INDEX($L$6:$L$40000,$Y1854)&amp;"")</f>
        <v/>
      </c>
    </row>
    <row r="1855">
      <c r="Y1855" s="47">
        <f>IFERROR(MATCH(Library!M1855,$M$6:$M$40000,0),"")</f>
        <v/>
      </c>
      <c r="Z1855">
        <f>IF($Y1855="","",INDEX($C$6:$C$40000,$Y1855)&amp;"")</f>
        <v/>
      </c>
      <c r="AA1855" s="59">
        <f>IF($Y1855="","",IF(INDEX($D$6:$D$40000,$Y1855)="","",INDEX($D$6:$D$40000,$Y1855)))</f>
        <v/>
      </c>
      <c r="AB1855">
        <f>IF($Y1855="","",INDEX($L$6:$L$40000,$Y1855)&amp;"")</f>
        <v/>
      </c>
    </row>
    <row r="1856">
      <c r="Y1856" s="47">
        <f>IFERROR(MATCH(Library!M1856,$M$6:$M$40000,0),"")</f>
        <v/>
      </c>
      <c r="Z1856">
        <f>IF($Y1856="","",INDEX($C$6:$C$40000,$Y1856)&amp;"")</f>
        <v/>
      </c>
      <c r="AA1856" s="59">
        <f>IF($Y1856="","",IF(INDEX($D$6:$D$40000,$Y1856)="","",INDEX($D$6:$D$40000,$Y1856)))</f>
        <v/>
      </c>
      <c r="AB1856">
        <f>IF($Y1856="","",INDEX($L$6:$L$40000,$Y1856)&amp;"")</f>
        <v/>
      </c>
    </row>
    <row r="1857">
      <c r="Y1857" s="47">
        <f>IFERROR(MATCH(Library!M1857,$M$6:$M$40000,0),"")</f>
        <v/>
      </c>
      <c r="Z1857">
        <f>IF($Y1857="","",INDEX($C$6:$C$40000,$Y1857)&amp;"")</f>
        <v/>
      </c>
      <c r="AA1857" s="59">
        <f>IF($Y1857="","",IF(INDEX($D$6:$D$40000,$Y1857)="","",INDEX($D$6:$D$40000,$Y1857)))</f>
        <v/>
      </c>
      <c r="AB1857">
        <f>IF($Y1857="","",INDEX($L$6:$L$40000,$Y1857)&amp;"")</f>
        <v/>
      </c>
    </row>
    <row r="1858">
      <c r="Y1858" s="47">
        <f>IFERROR(MATCH(Library!M1858,$M$6:$M$40000,0),"")</f>
        <v/>
      </c>
      <c r="Z1858">
        <f>IF($Y1858="","",INDEX($C$6:$C$40000,$Y1858)&amp;"")</f>
        <v/>
      </c>
      <c r="AA1858" s="59">
        <f>IF($Y1858="","",IF(INDEX($D$6:$D$40000,$Y1858)="","",INDEX($D$6:$D$40000,$Y1858)))</f>
        <v/>
      </c>
      <c r="AB1858">
        <f>IF($Y1858="","",INDEX($L$6:$L$40000,$Y1858)&amp;"")</f>
        <v/>
      </c>
    </row>
    <row r="1859">
      <c r="Y1859" s="47">
        <f>IFERROR(MATCH(Library!M1859,$M$6:$M$40000,0),"")</f>
        <v/>
      </c>
      <c r="Z1859">
        <f>IF($Y1859="","",INDEX($C$6:$C$40000,$Y1859)&amp;"")</f>
        <v/>
      </c>
      <c r="AA1859" s="59">
        <f>IF($Y1859="","",IF(INDEX($D$6:$D$40000,$Y1859)="","",INDEX($D$6:$D$40000,$Y1859)))</f>
        <v/>
      </c>
      <c r="AB1859">
        <f>IF($Y1859="","",INDEX($L$6:$L$40000,$Y1859)&amp;"")</f>
        <v/>
      </c>
    </row>
    <row r="1860">
      <c r="Y1860" s="47">
        <f>IFERROR(MATCH(Library!M1860,$M$6:$M$40000,0),"")</f>
        <v/>
      </c>
      <c r="Z1860">
        <f>IF($Y1860="","",INDEX($C$6:$C$40000,$Y1860)&amp;"")</f>
        <v/>
      </c>
      <c r="AA1860" s="59">
        <f>IF($Y1860="","",IF(INDEX($D$6:$D$40000,$Y1860)="","",INDEX($D$6:$D$40000,$Y1860)))</f>
        <v/>
      </c>
      <c r="AB1860">
        <f>IF($Y1860="","",INDEX($L$6:$L$40000,$Y1860)&amp;"")</f>
        <v/>
      </c>
    </row>
    <row r="1861">
      <c r="Y1861" s="47">
        <f>IFERROR(MATCH(Library!M1861,$M$6:$M$40000,0),"")</f>
        <v/>
      </c>
      <c r="Z1861">
        <f>IF($Y1861="","",INDEX($C$6:$C$40000,$Y1861)&amp;"")</f>
        <v/>
      </c>
      <c r="AA1861" s="59">
        <f>IF($Y1861="","",IF(INDEX($D$6:$D$40000,$Y1861)="","",INDEX($D$6:$D$40000,$Y1861)))</f>
        <v/>
      </c>
      <c r="AB1861">
        <f>IF($Y1861="","",INDEX($L$6:$L$40000,$Y1861)&amp;"")</f>
        <v/>
      </c>
    </row>
    <row r="1862">
      <c r="Y1862" s="47">
        <f>IFERROR(MATCH(Library!M1862,$M$6:$M$40000,0),"")</f>
        <v/>
      </c>
      <c r="Z1862">
        <f>IF($Y1862="","",INDEX($C$6:$C$40000,$Y1862)&amp;"")</f>
        <v/>
      </c>
      <c r="AA1862" s="59">
        <f>IF($Y1862="","",IF(INDEX($D$6:$D$40000,$Y1862)="","",INDEX($D$6:$D$40000,$Y1862)))</f>
        <v/>
      </c>
      <c r="AB1862">
        <f>IF($Y1862="","",INDEX($L$6:$L$40000,$Y1862)&amp;"")</f>
        <v/>
      </c>
    </row>
    <row r="1863">
      <c r="Y1863" s="47">
        <f>IFERROR(MATCH(Library!M1863,$M$6:$M$40000,0),"")</f>
        <v/>
      </c>
      <c r="Z1863">
        <f>IF($Y1863="","",INDEX($C$6:$C$40000,$Y1863)&amp;"")</f>
        <v/>
      </c>
      <c r="AA1863" s="59">
        <f>IF($Y1863="","",IF(INDEX($D$6:$D$40000,$Y1863)="","",INDEX($D$6:$D$40000,$Y1863)))</f>
        <v/>
      </c>
      <c r="AB1863">
        <f>IF($Y1863="","",INDEX($L$6:$L$40000,$Y1863)&amp;"")</f>
        <v/>
      </c>
    </row>
    <row r="1864">
      <c r="Y1864" s="47">
        <f>IFERROR(MATCH(Library!M1864,$M$6:$M$40000,0),"")</f>
        <v/>
      </c>
      <c r="Z1864">
        <f>IF($Y1864="","",INDEX($C$6:$C$40000,$Y1864)&amp;"")</f>
        <v/>
      </c>
      <c r="AA1864" s="59">
        <f>IF($Y1864="","",IF(INDEX($D$6:$D$40000,$Y1864)="","",INDEX($D$6:$D$40000,$Y1864)))</f>
        <v/>
      </c>
      <c r="AB1864">
        <f>IF($Y1864="","",INDEX($L$6:$L$40000,$Y1864)&amp;"")</f>
        <v/>
      </c>
    </row>
    <row r="1865">
      <c r="Y1865" s="47">
        <f>IFERROR(MATCH(Library!M1865,$M$6:$M$40000,0),"")</f>
        <v/>
      </c>
      <c r="Z1865">
        <f>IF($Y1865="","",INDEX($C$6:$C$40000,$Y1865)&amp;"")</f>
        <v/>
      </c>
      <c r="AA1865" s="59">
        <f>IF($Y1865="","",IF(INDEX($D$6:$D$40000,$Y1865)="","",INDEX($D$6:$D$40000,$Y1865)))</f>
        <v/>
      </c>
      <c r="AB1865">
        <f>IF($Y1865="","",INDEX($L$6:$L$40000,$Y1865)&amp;"")</f>
        <v/>
      </c>
    </row>
    <row r="1866">
      <c r="Y1866" s="47">
        <f>IFERROR(MATCH(Library!M1866,$M$6:$M$40000,0),"")</f>
        <v/>
      </c>
      <c r="Z1866">
        <f>IF($Y1866="","",INDEX($C$6:$C$40000,$Y1866)&amp;"")</f>
        <v/>
      </c>
      <c r="AA1866" s="59">
        <f>IF($Y1866="","",IF(INDEX($D$6:$D$40000,$Y1866)="","",INDEX($D$6:$D$40000,$Y1866)))</f>
        <v/>
      </c>
      <c r="AB1866">
        <f>IF($Y1866="","",INDEX($L$6:$L$40000,$Y1866)&amp;"")</f>
        <v/>
      </c>
    </row>
    <row r="1867">
      <c r="Y1867" s="47">
        <f>IFERROR(MATCH(Library!M1867,$M$6:$M$40000,0),"")</f>
        <v/>
      </c>
      <c r="Z1867">
        <f>IF($Y1867="","",INDEX($C$6:$C$40000,$Y1867)&amp;"")</f>
        <v/>
      </c>
      <c r="AA1867" s="59">
        <f>IF($Y1867="","",IF(INDEX($D$6:$D$40000,$Y1867)="","",INDEX($D$6:$D$40000,$Y1867)))</f>
        <v/>
      </c>
      <c r="AB1867">
        <f>IF($Y1867="","",INDEX($L$6:$L$40000,$Y1867)&amp;"")</f>
        <v/>
      </c>
    </row>
    <row r="1868">
      <c r="Y1868" s="47">
        <f>IFERROR(MATCH(Library!M1868,$M$6:$M$40000,0),"")</f>
        <v/>
      </c>
      <c r="Z1868">
        <f>IF($Y1868="","",INDEX($C$6:$C$40000,$Y1868)&amp;"")</f>
        <v/>
      </c>
      <c r="AA1868" s="59">
        <f>IF($Y1868="","",IF(INDEX($D$6:$D$40000,$Y1868)="","",INDEX($D$6:$D$40000,$Y1868)))</f>
        <v/>
      </c>
      <c r="AB1868">
        <f>IF($Y1868="","",INDEX($L$6:$L$40000,$Y1868)&amp;"")</f>
        <v/>
      </c>
    </row>
    <row r="1869">
      <c r="Y1869" s="47">
        <f>IFERROR(MATCH(Library!M1869,$M$6:$M$40000,0),"")</f>
        <v/>
      </c>
      <c r="Z1869">
        <f>IF($Y1869="","",INDEX($C$6:$C$40000,$Y1869)&amp;"")</f>
        <v/>
      </c>
      <c r="AA1869" s="59">
        <f>IF($Y1869="","",IF(INDEX($D$6:$D$40000,$Y1869)="","",INDEX($D$6:$D$40000,$Y1869)))</f>
        <v/>
      </c>
      <c r="AB1869">
        <f>IF($Y1869="","",INDEX($L$6:$L$40000,$Y1869)&amp;"")</f>
        <v/>
      </c>
    </row>
    <row r="1870">
      <c r="Y1870" s="47">
        <f>IFERROR(MATCH(Library!M1870,$M$6:$M$40000,0),"")</f>
        <v/>
      </c>
      <c r="Z1870">
        <f>IF($Y1870="","",INDEX($C$6:$C$40000,$Y1870)&amp;"")</f>
        <v/>
      </c>
      <c r="AA1870" s="59">
        <f>IF($Y1870="","",IF(INDEX($D$6:$D$40000,$Y1870)="","",INDEX($D$6:$D$40000,$Y1870)))</f>
        <v/>
      </c>
      <c r="AB1870">
        <f>IF($Y1870="","",INDEX($L$6:$L$40000,$Y1870)&amp;"")</f>
        <v/>
      </c>
    </row>
    <row r="1871">
      <c r="Y1871" s="47">
        <f>IFERROR(MATCH(Library!M1871,$M$6:$M$40000,0),"")</f>
        <v/>
      </c>
      <c r="Z1871">
        <f>IF($Y1871="","",INDEX($C$6:$C$40000,$Y1871)&amp;"")</f>
        <v/>
      </c>
      <c r="AA1871" s="59">
        <f>IF($Y1871="","",IF(INDEX($D$6:$D$40000,$Y1871)="","",INDEX($D$6:$D$40000,$Y1871)))</f>
        <v/>
      </c>
      <c r="AB1871">
        <f>IF($Y1871="","",INDEX($L$6:$L$40000,$Y1871)&amp;"")</f>
        <v/>
      </c>
    </row>
    <row r="1872">
      <c r="Y1872" s="47">
        <f>IFERROR(MATCH(Library!M1872,$M$6:$M$40000,0),"")</f>
        <v/>
      </c>
      <c r="Z1872">
        <f>IF($Y1872="","",INDEX($C$6:$C$40000,$Y1872)&amp;"")</f>
        <v/>
      </c>
      <c r="AA1872" s="59">
        <f>IF($Y1872="","",IF(INDEX($D$6:$D$40000,$Y1872)="","",INDEX($D$6:$D$40000,$Y1872)))</f>
        <v/>
      </c>
      <c r="AB1872">
        <f>IF($Y1872="","",INDEX($L$6:$L$40000,$Y1872)&amp;"")</f>
        <v/>
      </c>
    </row>
    <row r="1873">
      <c r="Y1873" s="47">
        <f>IFERROR(MATCH(Library!M1873,$M$6:$M$40000,0),"")</f>
        <v/>
      </c>
      <c r="Z1873">
        <f>IF($Y1873="","",INDEX($C$6:$C$40000,$Y1873)&amp;"")</f>
        <v/>
      </c>
      <c r="AA1873" s="59">
        <f>IF($Y1873="","",IF(INDEX($D$6:$D$40000,$Y1873)="","",INDEX($D$6:$D$40000,$Y1873)))</f>
        <v/>
      </c>
      <c r="AB1873">
        <f>IF($Y1873="","",INDEX($L$6:$L$40000,$Y1873)&amp;"")</f>
        <v/>
      </c>
    </row>
    <row r="1874">
      <c r="Y1874" s="47">
        <f>IFERROR(MATCH(Library!M1874,$M$6:$M$40000,0),"")</f>
        <v/>
      </c>
      <c r="Z1874">
        <f>IF($Y1874="","",INDEX($C$6:$C$40000,$Y1874)&amp;"")</f>
        <v/>
      </c>
      <c r="AA1874" s="59">
        <f>IF($Y1874="","",IF(INDEX($D$6:$D$40000,$Y1874)="","",INDEX($D$6:$D$40000,$Y1874)))</f>
        <v/>
      </c>
      <c r="AB1874">
        <f>IF($Y1874="","",INDEX($L$6:$L$40000,$Y1874)&amp;"")</f>
        <v/>
      </c>
    </row>
    <row r="1875">
      <c r="Y1875" s="47">
        <f>IFERROR(MATCH(Library!M1875,$M$6:$M$40000,0),"")</f>
        <v/>
      </c>
      <c r="Z1875">
        <f>IF($Y1875="","",INDEX($C$6:$C$40000,$Y1875)&amp;"")</f>
        <v/>
      </c>
      <c r="AA1875" s="59">
        <f>IF($Y1875="","",IF(INDEX($D$6:$D$40000,$Y1875)="","",INDEX($D$6:$D$40000,$Y1875)))</f>
        <v/>
      </c>
      <c r="AB1875">
        <f>IF($Y1875="","",INDEX($L$6:$L$40000,$Y1875)&amp;"")</f>
        <v/>
      </c>
    </row>
    <row r="1876">
      <c r="Y1876" s="47">
        <f>IFERROR(MATCH(Library!M1876,$M$6:$M$40000,0),"")</f>
        <v/>
      </c>
      <c r="Z1876">
        <f>IF($Y1876="","",INDEX($C$6:$C$40000,$Y1876)&amp;"")</f>
        <v/>
      </c>
      <c r="AA1876" s="59">
        <f>IF($Y1876="","",IF(INDEX($D$6:$D$40000,$Y1876)="","",INDEX($D$6:$D$40000,$Y1876)))</f>
        <v/>
      </c>
      <c r="AB1876">
        <f>IF($Y1876="","",INDEX($L$6:$L$40000,$Y1876)&amp;"")</f>
        <v/>
      </c>
    </row>
    <row r="1877">
      <c r="Y1877" s="47">
        <f>IFERROR(MATCH(Library!M1877,$M$6:$M$40000,0),"")</f>
        <v/>
      </c>
      <c r="Z1877">
        <f>IF($Y1877="","",INDEX($C$6:$C$40000,$Y1877)&amp;"")</f>
        <v/>
      </c>
      <c r="AA1877" s="59">
        <f>IF($Y1877="","",IF(INDEX($D$6:$D$40000,$Y1877)="","",INDEX($D$6:$D$40000,$Y1877)))</f>
        <v/>
      </c>
      <c r="AB1877">
        <f>IF($Y1877="","",INDEX($L$6:$L$40000,$Y1877)&amp;"")</f>
        <v/>
      </c>
    </row>
    <row r="1878">
      <c r="Y1878" s="47">
        <f>IFERROR(MATCH(Library!M1878,$M$6:$M$40000,0),"")</f>
        <v/>
      </c>
      <c r="Z1878">
        <f>IF($Y1878="","",INDEX($C$6:$C$40000,$Y1878)&amp;"")</f>
        <v/>
      </c>
      <c r="AA1878" s="59">
        <f>IF($Y1878="","",IF(INDEX($D$6:$D$40000,$Y1878)="","",INDEX($D$6:$D$40000,$Y1878)))</f>
        <v/>
      </c>
      <c r="AB1878">
        <f>IF($Y1878="","",INDEX($L$6:$L$40000,$Y1878)&amp;"")</f>
        <v/>
      </c>
    </row>
    <row r="1879">
      <c r="Y1879" s="47">
        <f>IFERROR(MATCH(Library!M1879,$M$6:$M$40000,0),"")</f>
        <v/>
      </c>
      <c r="Z1879">
        <f>IF($Y1879="","",INDEX($C$6:$C$40000,$Y1879)&amp;"")</f>
        <v/>
      </c>
      <c r="AA1879" s="59">
        <f>IF($Y1879="","",IF(INDEX($D$6:$D$40000,$Y1879)="","",INDEX($D$6:$D$40000,$Y1879)))</f>
        <v/>
      </c>
      <c r="AB1879">
        <f>IF($Y1879="","",INDEX($L$6:$L$40000,$Y1879)&amp;"")</f>
        <v/>
      </c>
    </row>
    <row r="1880">
      <c r="Y1880" s="47">
        <f>IFERROR(MATCH(Library!M1880,$M$6:$M$40000,0),"")</f>
        <v/>
      </c>
      <c r="Z1880">
        <f>IF($Y1880="","",INDEX($C$6:$C$40000,$Y1880)&amp;"")</f>
        <v/>
      </c>
      <c r="AA1880" s="59">
        <f>IF($Y1880="","",IF(INDEX($D$6:$D$40000,$Y1880)="","",INDEX($D$6:$D$40000,$Y1880)))</f>
        <v/>
      </c>
      <c r="AB1880">
        <f>IF($Y1880="","",INDEX($L$6:$L$40000,$Y1880)&amp;"")</f>
        <v/>
      </c>
    </row>
    <row r="1881">
      <c r="Y1881" s="47">
        <f>IFERROR(MATCH(Library!M1881,$M$6:$M$40000,0),"")</f>
        <v/>
      </c>
      <c r="Z1881">
        <f>IF($Y1881="","",INDEX($C$6:$C$40000,$Y1881)&amp;"")</f>
        <v/>
      </c>
      <c r="AA1881" s="59">
        <f>IF($Y1881="","",IF(INDEX($D$6:$D$40000,$Y1881)="","",INDEX($D$6:$D$40000,$Y1881)))</f>
        <v/>
      </c>
      <c r="AB1881">
        <f>IF($Y1881="","",INDEX($L$6:$L$40000,$Y1881)&amp;"")</f>
        <v/>
      </c>
    </row>
    <row r="1882">
      <c r="Y1882" s="47">
        <f>IFERROR(MATCH(Library!M1882,$M$6:$M$40000,0),"")</f>
        <v/>
      </c>
      <c r="Z1882">
        <f>IF($Y1882="","",INDEX($C$6:$C$40000,$Y1882)&amp;"")</f>
        <v/>
      </c>
      <c r="AA1882" s="59">
        <f>IF($Y1882="","",IF(INDEX($D$6:$D$40000,$Y1882)="","",INDEX($D$6:$D$40000,$Y1882)))</f>
        <v/>
      </c>
      <c r="AB1882">
        <f>IF($Y1882="","",INDEX($L$6:$L$40000,$Y1882)&amp;"")</f>
        <v/>
      </c>
    </row>
    <row r="1883">
      <c r="Y1883" s="47">
        <f>IFERROR(MATCH(Library!M1883,$M$6:$M$40000,0),"")</f>
        <v/>
      </c>
      <c r="Z1883">
        <f>IF($Y1883="","",INDEX($C$6:$C$40000,$Y1883)&amp;"")</f>
        <v/>
      </c>
      <c r="AA1883" s="59">
        <f>IF($Y1883="","",IF(INDEX($D$6:$D$40000,$Y1883)="","",INDEX($D$6:$D$40000,$Y1883)))</f>
        <v/>
      </c>
      <c r="AB1883">
        <f>IF($Y1883="","",INDEX($L$6:$L$40000,$Y1883)&amp;"")</f>
        <v/>
      </c>
    </row>
    <row r="1884">
      <c r="Y1884" s="47">
        <f>IFERROR(MATCH(Library!M1884,$M$6:$M$40000,0),"")</f>
        <v/>
      </c>
      <c r="Z1884">
        <f>IF($Y1884="","",INDEX($C$6:$C$40000,$Y1884)&amp;"")</f>
        <v/>
      </c>
      <c r="AA1884" s="59">
        <f>IF($Y1884="","",IF(INDEX($D$6:$D$40000,$Y1884)="","",INDEX($D$6:$D$40000,$Y1884)))</f>
        <v/>
      </c>
      <c r="AB1884">
        <f>IF($Y1884="","",INDEX($L$6:$L$40000,$Y1884)&amp;"")</f>
        <v/>
      </c>
    </row>
    <row r="1885">
      <c r="Y1885" s="47">
        <f>IFERROR(MATCH(Library!M1885,$M$6:$M$40000,0),"")</f>
        <v/>
      </c>
      <c r="Z1885">
        <f>IF($Y1885="","",INDEX($C$6:$C$40000,$Y1885)&amp;"")</f>
        <v/>
      </c>
      <c r="AA1885" s="59">
        <f>IF($Y1885="","",IF(INDEX($D$6:$D$40000,$Y1885)="","",INDEX($D$6:$D$40000,$Y1885)))</f>
        <v/>
      </c>
      <c r="AB1885">
        <f>IF($Y1885="","",INDEX($L$6:$L$40000,$Y1885)&amp;"")</f>
        <v/>
      </c>
    </row>
    <row r="1886">
      <c r="Y1886" s="47">
        <f>IFERROR(MATCH(Library!M1886,$M$6:$M$40000,0),"")</f>
        <v/>
      </c>
      <c r="Z1886">
        <f>IF($Y1886="","",INDEX($C$6:$C$40000,$Y1886)&amp;"")</f>
        <v/>
      </c>
      <c r="AA1886" s="59">
        <f>IF($Y1886="","",IF(INDEX($D$6:$D$40000,$Y1886)="","",INDEX($D$6:$D$40000,$Y1886)))</f>
        <v/>
      </c>
      <c r="AB1886">
        <f>IF($Y1886="","",INDEX($L$6:$L$40000,$Y1886)&amp;"")</f>
        <v/>
      </c>
    </row>
    <row r="1887">
      <c r="Y1887" s="47">
        <f>IFERROR(MATCH(Library!M1887,$M$6:$M$40000,0),"")</f>
        <v/>
      </c>
      <c r="Z1887">
        <f>IF($Y1887="","",INDEX($C$6:$C$40000,$Y1887)&amp;"")</f>
        <v/>
      </c>
      <c r="AA1887" s="59">
        <f>IF($Y1887="","",IF(INDEX($D$6:$D$40000,$Y1887)="","",INDEX($D$6:$D$40000,$Y1887)))</f>
        <v/>
      </c>
      <c r="AB1887">
        <f>IF($Y1887="","",INDEX($L$6:$L$40000,$Y1887)&amp;"")</f>
        <v/>
      </c>
    </row>
    <row r="1888">
      <c r="Y1888" s="47">
        <f>IFERROR(MATCH(Library!M1888,$M$6:$M$40000,0),"")</f>
        <v/>
      </c>
      <c r="Z1888">
        <f>IF($Y1888="","",INDEX($C$6:$C$40000,$Y1888)&amp;"")</f>
        <v/>
      </c>
      <c r="AA1888" s="59">
        <f>IF($Y1888="","",IF(INDEX($D$6:$D$40000,$Y1888)="","",INDEX($D$6:$D$40000,$Y1888)))</f>
        <v/>
      </c>
      <c r="AB1888">
        <f>IF($Y1888="","",INDEX($L$6:$L$40000,$Y1888)&amp;"")</f>
        <v/>
      </c>
    </row>
    <row r="1889">
      <c r="Y1889" s="47">
        <f>IFERROR(MATCH(Library!M1889,$M$6:$M$40000,0),"")</f>
        <v/>
      </c>
      <c r="Z1889">
        <f>IF($Y1889="","",INDEX($C$6:$C$40000,$Y1889)&amp;"")</f>
        <v/>
      </c>
      <c r="AA1889" s="59">
        <f>IF($Y1889="","",IF(INDEX($D$6:$D$40000,$Y1889)="","",INDEX($D$6:$D$40000,$Y1889)))</f>
        <v/>
      </c>
      <c r="AB1889">
        <f>IF($Y1889="","",INDEX($L$6:$L$40000,$Y1889)&amp;"")</f>
        <v/>
      </c>
    </row>
    <row r="1890">
      <c r="Y1890" s="47">
        <f>IFERROR(MATCH(Library!M1890,$M$6:$M$40000,0),"")</f>
        <v/>
      </c>
      <c r="Z1890">
        <f>IF($Y1890="","",INDEX($C$6:$C$40000,$Y1890)&amp;"")</f>
        <v/>
      </c>
      <c r="AA1890" s="59">
        <f>IF($Y1890="","",IF(INDEX($D$6:$D$40000,$Y1890)="","",INDEX($D$6:$D$40000,$Y1890)))</f>
        <v/>
      </c>
      <c r="AB1890">
        <f>IF($Y1890="","",INDEX($L$6:$L$40000,$Y1890)&amp;"")</f>
        <v/>
      </c>
    </row>
    <row r="1891">
      <c r="Y1891" s="47">
        <f>IFERROR(MATCH(Library!M1891,$M$6:$M$40000,0),"")</f>
        <v/>
      </c>
      <c r="Z1891">
        <f>IF($Y1891="","",INDEX($C$6:$C$40000,$Y1891)&amp;"")</f>
        <v/>
      </c>
      <c r="AA1891" s="59">
        <f>IF($Y1891="","",IF(INDEX($D$6:$D$40000,$Y1891)="","",INDEX($D$6:$D$40000,$Y1891)))</f>
        <v/>
      </c>
      <c r="AB1891">
        <f>IF($Y1891="","",INDEX($L$6:$L$40000,$Y1891)&amp;"")</f>
        <v/>
      </c>
    </row>
    <row r="1892">
      <c r="Y1892" s="47">
        <f>IFERROR(MATCH(Library!M1892,$M$6:$M$40000,0),"")</f>
        <v/>
      </c>
      <c r="Z1892">
        <f>IF($Y1892="","",INDEX($C$6:$C$40000,$Y1892)&amp;"")</f>
        <v/>
      </c>
      <c r="AA1892" s="59">
        <f>IF($Y1892="","",IF(INDEX($D$6:$D$40000,$Y1892)="","",INDEX($D$6:$D$40000,$Y1892)))</f>
        <v/>
      </c>
      <c r="AB1892">
        <f>IF($Y1892="","",INDEX($L$6:$L$40000,$Y1892)&amp;"")</f>
        <v/>
      </c>
    </row>
    <row r="1893">
      <c r="Y1893" s="47">
        <f>IFERROR(MATCH(Library!M1893,$M$6:$M$40000,0),"")</f>
        <v/>
      </c>
      <c r="Z1893">
        <f>IF($Y1893="","",INDEX($C$6:$C$40000,$Y1893)&amp;"")</f>
        <v/>
      </c>
      <c r="AA1893" s="59">
        <f>IF($Y1893="","",IF(INDEX($D$6:$D$40000,$Y1893)="","",INDEX($D$6:$D$40000,$Y1893)))</f>
        <v/>
      </c>
      <c r="AB1893">
        <f>IF($Y1893="","",INDEX($L$6:$L$40000,$Y1893)&amp;"")</f>
        <v/>
      </c>
    </row>
    <row r="1894">
      <c r="Y1894" s="47">
        <f>IFERROR(MATCH(Library!M1894,$M$6:$M$40000,0),"")</f>
        <v/>
      </c>
      <c r="Z1894">
        <f>IF($Y1894="","",INDEX($C$6:$C$40000,$Y1894)&amp;"")</f>
        <v/>
      </c>
      <c r="AA1894" s="59">
        <f>IF($Y1894="","",IF(INDEX($D$6:$D$40000,$Y1894)="","",INDEX($D$6:$D$40000,$Y1894)))</f>
        <v/>
      </c>
      <c r="AB1894">
        <f>IF($Y1894="","",INDEX($L$6:$L$40000,$Y1894)&amp;"")</f>
        <v/>
      </c>
    </row>
    <row r="1895">
      <c r="Y1895" s="47">
        <f>IFERROR(MATCH(Library!M1895,$M$6:$M$40000,0),"")</f>
        <v/>
      </c>
      <c r="Z1895">
        <f>IF($Y1895="","",INDEX($C$6:$C$40000,$Y1895)&amp;"")</f>
        <v/>
      </c>
      <c r="AA1895" s="59">
        <f>IF($Y1895="","",IF(INDEX($D$6:$D$40000,$Y1895)="","",INDEX($D$6:$D$40000,$Y1895)))</f>
        <v/>
      </c>
      <c r="AB1895">
        <f>IF($Y1895="","",INDEX($L$6:$L$40000,$Y1895)&amp;"")</f>
        <v/>
      </c>
    </row>
    <row r="1896">
      <c r="Y1896" s="47">
        <f>IFERROR(MATCH(Library!M1896,$M$6:$M$40000,0),"")</f>
        <v/>
      </c>
      <c r="Z1896">
        <f>IF($Y1896="","",INDEX($C$6:$C$40000,$Y1896)&amp;"")</f>
        <v/>
      </c>
      <c r="AA1896" s="59">
        <f>IF($Y1896="","",IF(INDEX($D$6:$D$40000,$Y1896)="","",INDEX($D$6:$D$40000,$Y1896)))</f>
        <v/>
      </c>
      <c r="AB1896">
        <f>IF($Y1896="","",INDEX($L$6:$L$40000,$Y1896)&amp;"")</f>
        <v/>
      </c>
    </row>
    <row r="1897">
      <c r="Y1897" s="47">
        <f>IFERROR(MATCH(Library!M1897,$M$6:$M$40000,0),"")</f>
        <v/>
      </c>
      <c r="Z1897">
        <f>IF($Y1897="","",INDEX($C$6:$C$40000,$Y1897)&amp;"")</f>
        <v/>
      </c>
      <c r="AA1897" s="59">
        <f>IF($Y1897="","",IF(INDEX($D$6:$D$40000,$Y1897)="","",INDEX($D$6:$D$40000,$Y1897)))</f>
        <v/>
      </c>
      <c r="AB1897">
        <f>IF($Y1897="","",INDEX($L$6:$L$40000,$Y1897)&amp;"")</f>
        <v/>
      </c>
    </row>
    <row r="1898">
      <c r="Y1898" s="47">
        <f>IFERROR(MATCH(Library!M1898,$M$6:$M$40000,0),"")</f>
        <v/>
      </c>
      <c r="Z1898">
        <f>IF($Y1898="","",INDEX($C$6:$C$40000,$Y1898)&amp;"")</f>
        <v/>
      </c>
      <c r="AA1898" s="59">
        <f>IF($Y1898="","",IF(INDEX($D$6:$D$40000,$Y1898)="","",INDEX($D$6:$D$40000,$Y1898)))</f>
        <v/>
      </c>
      <c r="AB1898">
        <f>IF($Y1898="","",INDEX($L$6:$L$40000,$Y1898)&amp;"")</f>
        <v/>
      </c>
    </row>
    <row r="1899">
      <c r="Y1899" s="47">
        <f>IFERROR(MATCH(Library!M1899,$M$6:$M$40000,0),"")</f>
        <v/>
      </c>
      <c r="Z1899">
        <f>IF($Y1899="","",INDEX($C$6:$C$40000,$Y1899)&amp;"")</f>
        <v/>
      </c>
      <c r="AA1899" s="59">
        <f>IF($Y1899="","",IF(INDEX($D$6:$D$40000,$Y1899)="","",INDEX($D$6:$D$40000,$Y1899)))</f>
        <v/>
      </c>
      <c r="AB1899">
        <f>IF($Y1899="","",INDEX($L$6:$L$40000,$Y1899)&amp;"")</f>
        <v/>
      </c>
    </row>
    <row r="1900">
      <c r="Y1900" s="47">
        <f>IFERROR(MATCH(Library!M1900,$M$6:$M$40000,0),"")</f>
        <v/>
      </c>
      <c r="Z1900">
        <f>IF($Y1900="","",INDEX($C$6:$C$40000,$Y1900)&amp;"")</f>
        <v/>
      </c>
      <c r="AA1900" s="59">
        <f>IF($Y1900="","",IF(INDEX($D$6:$D$40000,$Y1900)="","",INDEX($D$6:$D$40000,$Y1900)))</f>
        <v/>
      </c>
      <c r="AB1900">
        <f>IF($Y1900="","",INDEX($L$6:$L$40000,$Y1900)&amp;"")</f>
        <v/>
      </c>
    </row>
    <row r="1901">
      <c r="Y1901" s="47">
        <f>IFERROR(MATCH(Library!M1901,$M$6:$M$40000,0),"")</f>
        <v/>
      </c>
      <c r="Z1901">
        <f>IF($Y1901="","",INDEX($C$6:$C$40000,$Y1901)&amp;"")</f>
        <v/>
      </c>
      <c r="AA1901" s="59">
        <f>IF($Y1901="","",IF(INDEX($D$6:$D$40000,$Y1901)="","",INDEX($D$6:$D$40000,$Y1901)))</f>
        <v/>
      </c>
      <c r="AB1901">
        <f>IF($Y1901="","",INDEX($L$6:$L$40000,$Y1901)&amp;"")</f>
        <v/>
      </c>
    </row>
    <row r="1902">
      <c r="Y1902" s="47">
        <f>IFERROR(MATCH(Library!M1902,$M$6:$M$40000,0),"")</f>
        <v/>
      </c>
      <c r="Z1902">
        <f>IF($Y1902="","",INDEX($C$6:$C$40000,$Y1902)&amp;"")</f>
        <v/>
      </c>
      <c r="AA1902" s="59">
        <f>IF($Y1902="","",IF(INDEX($D$6:$D$40000,$Y1902)="","",INDEX($D$6:$D$40000,$Y1902)))</f>
        <v/>
      </c>
      <c r="AB1902">
        <f>IF($Y1902="","",INDEX($L$6:$L$40000,$Y1902)&amp;"")</f>
        <v/>
      </c>
    </row>
    <row r="1903">
      <c r="Y1903" s="47">
        <f>IFERROR(MATCH(Library!M1903,$M$6:$M$40000,0),"")</f>
        <v/>
      </c>
      <c r="Z1903">
        <f>IF($Y1903="","",INDEX($C$6:$C$40000,$Y1903)&amp;"")</f>
        <v/>
      </c>
      <c r="AA1903" s="59">
        <f>IF($Y1903="","",IF(INDEX($D$6:$D$40000,$Y1903)="","",INDEX($D$6:$D$40000,$Y1903)))</f>
        <v/>
      </c>
      <c r="AB1903">
        <f>IF($Y1903="","",INDEX($L$6:$L$40000,$Y1903)&amp;"")</f>
        <v/>
      </c>
    </row>
    <row r="1904">
      <c r="Y1904" s="47">
        <f>IFERROR(MATCH(Library!M1904,$M$6:$M$40000,0),"")</f>
        <v/>
      </c>
      <c r="Z1904">
        <f>IF($Y1904="","",INDEX($C$6:$C$40000,$Y1904)&amp;"")</f>
        <v/>
      </c>
      <c r="AA1904" s="59">
        <f>IF($Y1904="","",IF(INDEX($D$6:$D$40000,$Y1904)="","",INDEX($D$6:$D$40000,$Y1904)))</f>
        <v/>
      </c>
      <c r="AB1904">
        <f>IF($Y1904="","",INDEX($L$6:$L$40000,$Y1904)&amp;"")</f>
        <v/>
      </c>
    </row>
    <row r="1905">
      <c r="Y1905" s="47">
        <f>IFERROR(MATCH(Library!M1905,$M$6:$M$40000,0),"")</f>
        <v/>
      </c>
      <c r="Z1905">
        <f>IF($Y1905="","",INDEX($C$6:$C$40000,$Y1905)&amp;"")</f>
        <v/>
      </c>
      <c r="AA1905" s="59">
        <f>IF($Y1905="","",IF(INDEX($D$6:$D$40000,$Y1905)="","",INDEX($D$6:$D$40000,$Y1905)))</f>
        <v/>
      </c>
      <c r="AB1905">
        <f>IF($Y1905="","",INDEX($L$6:$L$40000,$Y1905)&amp;"")</f>
        <v/>
      </c>
    </row>
    <row r="1906">
      <c r="Y1906" s="47">
        <f>IFERROR(MATCH(Library!M1906,$M$6:$M$40000,0),"")</f>
        <v/>
      </c>
      <c r="Z1906">
        <f>IF($Y1906="","",INDEX($C$6:$C$40000,$Y1906)&amp;"")</f>
        <v/>
      </c>
      <c r="AA1906" s="59">
        <f>IF($Y1906="","",IF(INDEX($D$6:$D$40000,$Y1906)="","",INDEX($D$6:$D$40000,$Y1906)))</f>
        <v/>
      </c>
      <c r="AB1906">
        <f>IF($Y1906="","",INDEX($L$6:$L$40000,$Y1906)&amp;"")</f>
        <v/>
      </c>
    </row>
    <row r="1907">
      <c r="Y1907" s="47">
        <f>IFERROR(MATCH(Library!M1907,$M$6:$M$40000,0),"")</f>
        <v/>
      </c>
      <c r="Z1907">
        <f>IF($Y1907="","",INDEX($C$6:$C$40000,$Y1907)&amp;"")</f>
        <v/>
      </c>
      <c r="AA1907" s="59">
        <f>IF($Y1907="","",IF(INDEX($D$6:$D$40000,$Y1907)="","",INDEX($D$6:$D$40000,$Y1907)))</f>
        <v/>
      </c>
      <c r="AB1907">
        <f>IF($Y1907="","",INDEX($L$6:$L$40000,$Y1907)&amp;"")</f>
        <v/>
      </c>
    </row>
    <row r="1908">
      <c r="Y1908" s="47">
        <f>IFERROR(MATCH(Library!M1908,$M$6:$M$40000,0),"")</f>
        <v/>
      </c>
      <c r="Z1908">
        <f>IF($Y1908="","",INDEX($C$6:$C$40000,$Y1908)&amp;"")</f>
        <v/>
      </c>
      <c r="AA1908" s="59">
        <f>IF($Y1908="","",IF(INDEX($D$6:$D$40000,$Y1908)="","",INDEX($D$6:$D$40000,$Y1908)))</f>
        <v/>
      </c>
      <c r="AB1908">
        <f>IF($Y1908="","",INDEX($L$6:$L$40000,$Y1908)&amp;"")</f>
        <v/>
      </c>
    </row>
    <row r="1909">
      <c r="Y1909" s="47">
        <f>IFERROR(MATCH(Library!M1909,$M$6:$M$40000,0),"")</f>
        <v/>
      </c>
      <c r="Z1909">
        <f>IF($Y1909="","",INDEX($C$6:$C$40000,$Y1909)&amp;"")</f>
        <v/>
      </c>
      <c r="AA1909" s="59">
        <f>IF($Y1909="","",IF(INDEX($D$6:$D$40000,$Y1909)="","",INDEX($D$6:$D$40000,$Y1909)))</f>
        <v/>
      </c>
      <c r="AB1909">
        <f>IF($Y1909="","",INDEX($L$6:$L$40000,$Y1909)&amp;"")</f>
        <v/>
      </c>
    </row>
    <row r="1910">
      <c r="Y1910" s="47">
        <f>IFERROR(MATCH(Library!M1910,$M$6:$M$40000,0),"")</f>
        <v/>
      </c>
      <c r="Z1910">
        <f>IF($Y1910="","",INDEX($C$6:$C$40000,$Y1910)&amp;"")</f>
        <v/>
      </c>
      <c r="AA1910" s="59">
        <f>IF($Y1910="","",IF(INDEX($D$6:$D$40000,$Y1910)="","",INDEX($D$6:$D$40000,$Y1910)))</f>
        <v/>
      </c>
      <c r="AB1910">
        <f>IF($Y1910="","",INDEX($L$6:$L$40000,$Y1910)&amp;"")</f>
        <v/>
      </c>
    </row>
    <row r="1911">
      <c r="Y1911" s="47">
        <f>IFERROR(MATCH(Library!M1911,$M$6:$M$40000,0),"")</f>
        <v/>
      </c>
      <c r="Z1911">
        <f>IF($Y1911="","",INDEX($C$6:$C$40000,$Y1911)&amp;"")</f>
        <v/>
      </c>
      <c r="AA1911" s="59">
        <f>IF($Y1911="","",IF(INDEX($D$6:$D$40000,$Y1911)="","",INDEX($D$6:$D$40000,$Y1911)))</f>
        <v/>
      </c>
      <c r="AB1911">
        <f>IF($Y1911="","",INDEX($L$6:$L$40000,$Y1911)&amp;"")</f>
        <v/>
      </c>
    </row>
    <row r="1912">
      <c r="Y1912" s="47">
        <f>IFERROR(MATCH(Library!M1912,$M$6:$M$40000,0),"")</f>
        <v/>
      </c>
      <c r="Z1912">
        <f>IF($Y1912="","",INDEX($C$6:$C$40000,$Y1912)&amp;"")</f>
        <v/>
      </c>
      <c r="AA1912" s="59">
        <f>IF($Y1912="","",IF(INDEX($D$6:$D$40000,$Y1912)="","",INDEX($D$6:$D$40000,$Y1912)))</f>
        <v/>
      </c>
      <c r="AB1912">
        <f>IF($Y1912="","",INDEX($L$6:$L$40000,$Y1912)&amp;"")</f>
        <v/>
      </c>
    </row>
    <row r="1913">
      <c r="Y1913" s="47">
        <f>IFERROR(MATCH(Library!M1913,$M$6:$M$40000,0),"")</f>
        <v/>
      </c>
      <c r="Z1913">
        <f>IF($Y1913="","",INDEX($C$6:$C$40000,$Y1913)&amp;"")</f>
        <v/>
      </c>
      <c r="AA1913" s="59">
        <f>IF($Y1913="","",IF(INDEX($D$6:$D$40000,$Y1913)="","",INDEX($D$6:$D$40000,$Y1913)))</f>
        <v/>
      </c>
      <c r="AB1913">
        <f>IF($Y1913="","",INDEX($L$6:$L$40000,$Y1913)&amp;"")</f>
        <v/>
      </c>
    </row>
    <row r="1914">
      <c r="Y1914" s="47">
        <f>IFERROR(MATCH(Library!M1914,$M$6:$M$40000,0),"")</f>
        <v/>
      </c>
      <c r="Z1914">
        <f>IF($Y1914="","",INDEX($C$6:$C$40000,$Y1914)&amp;"")</f>
        <v/>
      </c>
      <c r="AA1914" s="59">
        <f>IF($Y1914="","",IF(INDEX($D$6:$D$40000,$Y1914)="","",INDEX($D$6:$D$40000,$Y1914)))</f>
        <v/>
      </c>
      <c r="AB1914">
        <f>IF($Y1914="","",INDEX($L$6:$L$40000,$Y1914)&amp;"")</f>
        <v/>
      </c>
    </row>
    <row r="1915">
      <c r="Y1915" s="47">
        <f>IFERROR(MATCH(Library!M1915,$M$6:$M$40000,0),"")</f>
        <v/>
      </c>
      <c r="Z1915">
        <f>IF($Y1915="","",INDEX($C$6:$C$40000,$Y1915)&amp;"")</f>
        <v/>
      </c>
      <c r="AA1915" s="59">
        <f>IF($Y1915="","",IF(INDEX($D$6:$D$40000,$Y1915)="","",INDEX($D$6:$D$40000,$Y1915)))</f>
        <v/>
      </c>
      <c r="AB1915">
        <f>IF($Y1915="","",INDEX($L$6:$L$40000,$Y1915)&amp;"")</f>
        <v/>
      </c>
    </row>
    <row r="1916">
      <c r="Y1916" s="47">
        <f>IFERROR(MATCH(Library!M1916,$M$6:$M$40000,0),"")</f>
        <v/>
      </c>
      <c r="Z1916">
        <f>IF($Y1916="","",INDEX($C$6:$C$40000,$Y1916)&amp;"")</f>
        <v/>
      </c>
      <c r="AA1916" s="59">
        <f>IF($Y1916="","",IF(INDEX($D$6:$D$40000,$Y1916)="","",INDEX($D$6:$D$40000,$Y1916)))</f>
        <v/>
      </c>
      <c r="AB1916">
        <f>IF($Y1916="","",INDEX($L$6:$L$40000,$Y1916)&amp;"")</f>
        <v/>
      </c>
    </row>
    <row r="1917">
      <c r="Y1917" s="47">
        <f>IFERROR(MATCH(Library!M1917,$M$6:$M$40000,0),"")</f>
        <v/>
      </c>
      <c r="Z1917">
        <f>IF($Y1917="","",INDEX($C$6:$C$40000,$Y1917)&amp;"")</f>
        <v/>
      </c>
      <c r="AA1917" s="59">
        <f>IF($Y1917="","",IF(INDEX($D$6:$D$40000,$Y1917)="","",INDEX($D$6:$D$40000,$Y1917)))</f>
        <v/>
      </c>
      <c r="AB1917">
        <f>IF($Y1917="","",INDEX($L$6:$L$40000,$Y1917)&amp;"")</f>
        <v/>
      </c>
    </row>
    <row r="1918">
      <c r="Y1918" s="47">
        <f>IFERROR(MATCH(Library!M1918,$M$6:$M$40000,0),"")</f>
        <v/>
      </c>
      <c r="Z1918">
        <f>IF($Y1918="","",INDEX($C$6:$C$40000,$Y1918)&amp;"")</f>
        <v/>
      </c>
      <c r="AA1918" s="59">
        <f>IF($Y1918="","",IF(INDEX($D$6:$D$40000,$Y1918)="","",INDEX($D$6:$D$40000,$Y1918)))</f>
        <v/>
      </c>
      <c r="AB1918">
        <f>IF($Y1918="","",INDEX($L$6:$L$40000,$Y1918)&amp;"")</f>
        <v/>
      </c>
    </row>
    <row r="1919">
      <c r="Y1919" s="47">
        <f>IFERROR(MATCH(Library!M1919,$M$6:$M$40000,0),"")</f>
        <v/>
      </c>
      <c r="Z1919">
        <f>IF($Y1919="","",INDEX($C$6:$C$40000,$Y1919)&amp;"")</f>
        <v/>
      </c>
      <c r="AA1919" s="59">
        <f>IF($Y1919="","",IF(INDEX($D$6:$D$40000,$Y1919)="","",INDEX($D$6:$D$40000,$Y1919)))</f>
        <v/>
      </c>
      <c r="AB1919">
        <f>IF($Y1919="","",INDEX($L$6:$L$40000,$Y1919)&amp;"")</f>
        <v/>
      </c>
    </row>
    <row r="1920">
      <c r="Y1920" s="47">
        <f>IFERROR(MATCH(Library!M1920,$M$6:$M$40000,0),"")</f>
        <v/>
      </c>
      <c r="Z1920">
        <f>IF($Y1920="","",INDEX($C$6:$C$40000,$Y1920)&amp;"")</f>
        <v/>
      </c>
      <c r="AA1920" s="59">
        <f>IF($Y1920="","",IF(INDEX($D$6:$D$40000,$Y1920)="","",INDEX($D$6:$D$40000,$Y1920)))</f>
        <v/>
      </c>
      <c r="AB1920">
        <f>IF($Y1920="","",INDEX($L$6:$L$40000,$Y1920)&amp;"")</f>
        <v/>
      </c>
    </row>
    <row r="1921">
      <c r="Y1921" s="47">
        <f>IFERROR(MATCH(Library!M1921,$M$6:$M$40000,0),"")</f>
        <v/>
      </c>
      <c r="Z1921">
        <f>IF($Y1921="","",INDEX($C$6:$C$40000,$Y1921)&amp;"")</f>
        <v/>
      </c>
      <c r="AA1921" s="59">
        <f>IF($Y1921="","",IF(INDEX($D$6:$D$40000,$Y1921)="","",INDEX($D$6:$D$40000,$Y1921)))</f>
        <v/>
      </c>
      <c r="AB1921">
        <f>IF($Y1921="","",INDEX($L$6:$L$40000,$Y1921)&amp;"")</f>
        <v/>
      </c>
    </row>
    <row r="1922">
      <c r="Y1922" s="47">
        <f>IFERROR(MATCH(Library!M1922,$M$6:$M$40000,0),"")</f>
        <v/>
      </c>
      <c r="Z1922">
        <f>IF($Y1922="","",INDEX($C$6:$C$40000,$Y1922)&amp;"")</f>
        <v/>
      </c>
      <c r="AA1922" s="59">
        <f>IF($Y1922="","",IF(INDEX($D$6:$D$40000,$Y1922)="","",INDEX($D$6:$D$40000,$Y1922)))</f>
        <v/>
      </c>
      <c r="AB1922">
        <f>IF($Y1922="","",INDEX($L$6:$L$40000,$Y1922)&amp;"")</f>
        <v/>
      </c>
    </row>
    <row r="1923">
      <c r="Y1923" s="47">
        <f>IFERROR(MATCH(Library!M1923,$M$6:$M$40000,0),"")</f>
        <v/>
      </c>
      <c r="Z1923">
        <f>IF($Y1923="","",INDEX($C$6:$C$40000,$Y1923)&amp;"")</f>
        <v/>
      </c>
      <c r="AA1923" s="59">
        <f>IF($Y1923="","",IF(INDEX($D$6:$D$40000,$Y1923)="","",INDEX($D$6:$D$40000,$Y1923)))</f>
        <v/>
      </c>
      <c r="AB1923">
        <f>IF($Y1923="","",INDEX($L$6:$L$40000,$Y1923)&amp;"")</f>
        <v/>
      </c>
    </row>
    <row r="1924">
      <c r="Y1924" s="47">
        <f>IFERROR(MATCH(Library!M1924,$M$6:$M$40000,0),"")</f>
        <v/>
      </c>
      <c r="Z1924">
        <f>IF($Y1924="","",INDEX($C$6:$C$40000,$Y1924)&amp;"")</f>
        <v/>
      </c>
      <c r="AA1924" s="59">
        <f>IF($Y1924="","",IF(INDEX($D$6:$D$40000,$Y1924)="","",INDEX($D$6:$D$40000,$Y1924)))</f>
        <v/>
      </c>
      <c r="AB1924">
        <f>IF($Y1924="","",INDEX($L$6:$L$40000,$Y1924)&amp;"")</f>
        <v/>
      </c>
    </row>
    <row r="1925">
      <c r="Y1925" s="47">
        <f>IFERROR(MATCH(Library!M1925,$M$6:$M$40000,0),"")</f>
        <v/>
      </c>
      <c r="Z1925">
        <f>IF($Y1925="","",INDEX($C$6:$C$40000,$Y1925)&amp;"")</f>
        <v/>
      </c>
      <c r="AA1925" s="59">
        <f>IF($Y1925="","",IF(INDEX($D$6:$D$40000,$Y1925)="","",INDEX($D$6:$D$40000,$Y1925)))</f>
        <v/>
      </c>
      <c r="AB1925">
        <f>IF($Y1925="","",INDEX($L$6:$L$40000,$Y1925)&amp;"")</f>
        <v/>
      </c>
    </row>
    <row r="1926">
      <c r="Y1926" s="47">
        <f>IFERROR(MATCH(Library!M1926,$M$6:$M$40000,0),"")</f>
        <v/>
      </c>
      <c r="Z1926">
        <f>IF($Y1926="","",INDEX($C$6:$C$40000,$Y1926)&amp;"")</f>
        <v/>
      </c>
      <c r="AA1926" s="59">
        <f>IF($Y1926="","",IF(INDEX($D$6:$D$40000,$Y1926)="","",INDEX($D$6:$D$40000,$Y1926)))</f>
        <v/>
      </c>
      <c r="AB1926">
        <f>IF($Y1926="","",INDEX($L$6:$L$40000,$Y1926)&amp;"")</f>
        <v/>
      </c>
    </row>
    <row r="1927">
      <c r="Y1927" s="47">
        <f>IFERROR(MATCH(Library!M1927,$M$6:$M$40000,0),"")</f>
        <v/>
      </c>
      <c r="Z1927">
        <f>IF($Y1927="","",INDEX($C$6:$C$40000,$Y1927)&amp;"")</f>
        <v/>
      </c>
      <c r="AA1927" s="59">
        <f>IF($Y1927="","",IF(INDEX($D$6:$D$40000,$Y1927)="","",INDEX($D$6:$D$40000,$Y1927)))</f>
        <v/>
      </c>
      <c r="AB1927">
        <f>IF($Y1927="","",INDEX($L$6:$L$40000,$Y1927)&amp;"")</f>
        <v/>
      </c>
    </row>
    <row r="1928">
      <c r="Y1928" s="47">
        <f>IFERROR(MATCH(Library!M1928,$M$6:$M$40000,0),"")</f>
        <v/>
      </c>
      <c r="Z1928">
        <f>IF($Y1928="","",INDEX($C$6:$C$40000,$Y1928)&amp;"")</f>
        <v/>
      </c>
      <c r="AA1928" s="59">
        <f>IF($Y1928="","",IF(INDEX($D$6:$D$40000,$Y1928)="","",INDEX($D$6:$D$40000,$Y1928)))</f>
        <v/>
      </c>
      <c r="AB1928">
        <f>IF($Y1928="","",INDEX($L$6:$L$40000,$Y1928)&amp;"")</f>
        <v/>
      </c>
    </row>
    <row r="1929">
      <c r="Y1929" s="47">
        <f>IFERROR(MATCH(Library!M1929,$M$6:$M$40000,0),"")</f>
        <v/>
      </c>
      <c r="Z1929">
        <f>IF($Y1929="","",INDEX($C$6:$C$40000,$Y1929)&amp;"")</f>
        <v/>
      </c>
      <c r="AA1929" s="59">
        <f>IF($Y1929="","",IF(INDEX($D$6:$D$40000,$Y1929)="","",INDEX($D$6:$D$40000,$Y1929)))</f>
        <v/>
      </c>
      <c r="AB1929">
        <f>IF($Y1929="","",INDEX($L$6:$L$40000,$Y1929)&amp;"")</f>
        <v/>
      </c>
    </row>
    <row r="1930">
      <c r="Y1930" s="47">
        <f>IFERROR(MATCH(Library!M1930,$M$6:$M$40000,0),"")</f>
        <v/>
      </c>
      <c r="Z1930">
        <f>IF($Y1930="","",INDEX($C$6:$C$40000,$Y1930)&amp;"")</f>
        <v/>
      </c>
      <c r="AA1930" s="59">
        <f>IF($Y1930="","",IF(INDEX($D$6:$D$40000,$Y1930)="","",INDEX($D$6:$D$40000,$Y1930)))</f>
        <v/>
      </c>
      <c r="AB1930">
        <f>IF($Y1930="","",INDEX($L$6:$L$40000,$Y1930)&amp;"")</f>
        <v/>
      </c>
    </row>
    <row r="1931">
      <c r="Y1931" s="47">
        <f>IFERROR(MATCH(Library!M1931,$M$6:$M$40000,0),"")</f>
        <v/>
      </c>
      <c r="Z1931">
        <f>IF($Y1931="","",INDEX($C$6:$C$40000,$Y1931)&amp;"")</f>
        <v/>
      </c>
      <c r="AA1931" s="59">
        <f>IF($Y1931="","",IF(INDEX($D$6:$D$40000,$Y1931)="","",INDEX($D$6:$D$40000,$Y1931)))</f>
        <v/>
      </c>
      <c r="AB1931">
        <f>IF($Y1931="","",INDEX($L$6:$L$40000,$Y1931)&amp;"")</f>
        <v/>
      </c>
    </row>
    <row r="1932">
      <c r="Y1932" s="47">
        <f>IFERROR(MATCH(Library!M1932,$M$6:$M$40000,0),"")</f>
        <v/>
      </c>
      <c r="Z1932">
        <f>IF($Y1932="","",INDEX($C$6:$C$40000,$Y1932)&amp;"")</f>
        <v/>
      </c>
      <c r="AA1932" s="59">
        <f>IF($Y1932="","",IF(INDEX($D$6:$D$40000,$Y1932)="","",INDEX($D$6:$D$40000,$Y1932)))</f>
        <v/>
      </c>
      <c r="AB1932">
        <f>IF($Y1932="","",INDEX($L$6:$L$40000,$Y1932)&amp;"")</f>
        <v/>
      </c>
    </row>
    <row r="1933">
      <c r="Y1933" s="47">
        <f>IFERROR(MATCH(Library!M1933,$M$6:$M$40000,0),"")</f>
        <v/>
      </c>
      <c r="Z1933">
        <f>IF($Y1933="","",INDEX($C$6:$C$40000,$Y1933)&amp;"")</f>
        <v/>
      </c>
      <c r="AA1933" s="59">
        <f>IF($Y1933="","",IF(INDEX($D$6:$D$40000,$Y1933)="","",INDEX($D$6:$D$40000,$Y1933)))</f>
        <v/>
      </c>
      <c r="AB1933">
        <f>IF($Y1933="","",INDEX($L$6:$L$40000,$Y1933)&amp;"")</f>
        <v/>
      </c>
    </row>
    <row r="1934">
      <c r="Y1934" s="47">
        <f>IFERROR(MATCH(Library!M1934,$M$6:$M$40000,0),"")</f>
        <v/>
      </c>
      <c r="Z1934">
        <f>IF($Y1934="","",INDEX($C$6:$C$40000,$Y1934)&amp;"")</f>
        <v/>
      </c>
      <c r="AA1934" s="59">
        <f>IF($Y1934="","",IF(INDEX($D$6:$D$40000,$Y1934)="","",INDEX($D$6:$D$40000,$Y1934)))</f>
        <v/>
      </c>
      <c r="AB1934">
        <f>IF($Y1934="","",INDEX($L$6:$L$40000,$Y1934)&amp;"")</f>
        <v/>
      </c>
    </row>
    <row r="1935">
      <c r="Y1935" s="47">
        <f>IFERROR(MATCH(Library!M1935,$M$6:$M$40000,0),"")</f>
        <v/>
      </c>
      <c r="Z1935">
        <f>IF($Y1935="","",INDEX($C$6:$C$40000,$Y1935)&amp;"")</f>
        <v/>
      </c>
      <c r="AA1935" s="59">
        <f>IF($Y1935="","",IF(INDEX($D$6:$D$40000,$Y1935)="","",INDEX($D$6:$D$40000,$Y1935)))</f>
        <v/>
      </c>
      <c r="AB1935">
        <f>IF($Y1935="","",INDEX($L$6:$L$40000,$Y1935)&amp;"")</f>
        <v/>
      </c>
    </row>
    <row r="1936">
      <c r="Y1936" s="47">
        <f>IFERROR(MATCH(Library!M1936,$M$6:$M$40000,0),"")</f>
        <v/>
      </c>
      <c r="Z1936">
        <f>IF($Y1936="","",INDEX($C$6:$C$40000,$Y1936)&amp;"")</f>
        <v/>
      </c>
      <c r="AA1936" s="59">
        <f>IF($Y1936="","",IF(INDEX($D$6:$D$40000,$Y1936)="","",INDEX($D$6:$D$40000,$Y1936)))</f>
        <v/>
      </c>
      <c r="AB1936">
        <f>IF($Y1936="","",INDEX($L$6:$L$40000,$Y1936)&amp;"")</f>
        <v/>
      </c>
    </row>
    <row r="1937">
      <c r="Y1937" s="47">
        <f>IFERROR(MATCH(Library!M1937,$M$6:$M$40000,0),"")</f>
        <v/>
      </c>
      <c r="Z1937">
        <f>IF($Y1937="","",INDEX($C$6:$C$40000,$Y1937)&amp;"")</f>
        <v/>
      </c>
      <c r="AA1937" s="59">
        <f>IF($Y1937="","",IF(INDEX($D$6:$D$40000,$Y1937)="","",INDEX($D$6:$D$40000,$Y1937)))</f>
        <v/>
      </c>
      <c r="AB1937">
        <f>IF($Y1937="","",INDEX($L$6:$L$40000,$Y1937)&amp;"")</f>
        <v/>
      </c>
    </row>
    <row r="1938">
      <c r="Y1938" s="47">
        <f>IFERROR(MATCH(Library!M1938,$M$6:$M$40000,0),"")</f>
        <v/>
      </c>
      <c r="Z1938">
        <f>IF($Y1938="","",INDEX($C$6:$C$40000,$Y1938)&amp;"")</f>
        <v/>
      </c>
      <c r="AA1938" s="59">
        <f>IF($Y1938="","",IF(INDEX($D$6:$D$40000,$Y1938)="","",INDEX($D$6:$D$40000,$Y1938)))</f>
        <v/>
      </c>
      <c r="AB1938">
        <f>IF($Y1938="","",INDEX($L$6:$L$40000,$Y1938)&amp;"")</f>
        <v/>
      </c>
    </row>
    <row r="1939">
      <c r="Y1939" s="47">
        <f>IFERROR(MATCH(Library!M1939,$M$6:$M$40000,0),"")</f>
        <v/>
      </c>
      <c r="Z1939">
        <f>IF($Y1939="","",INDEX($C$6:$C$40000,$Y1939)&amp;"")</f>
        <v/>
      </c>
      <c r="AA1939" s="59">
        <f>IF($Y1939="","",IF(INDEX($D$6:$D$40000,$Y1939)="","",INDEX($D$6:$D$40000,$Y1939)))</f>
        <v/>
      </c>
      <c r="AB1939">
        <f>IF($Y1939="","",INDEX($L$6:$L$40000,$Y1939)&amp;"")</f>
        <v/>
      </c>
    </row>
    <row r="1940">
      <c r="Y1940" s="47">
        <f>IFERROR(MATCH(Library!M1940,$M$6:$M$40000,0),"")</f>
        <v/>
      </c>
      <c r="Z1940">
        <f>IF($Y1940="","",INDEX($C$6:$C$40000,$Y1940)&amp;"")</f>
        <v/>
      </c>
      <c r="AA1940" s="59">
        <f>IF($Y1940="","",IF(INDEX($D$6:$D$40000,$Y1940)="","",INDEX($D$6:$D$40000,$Y1940)))</f>
        <v/>
      </c>
      <c r="AB1940">
        <f>IF($Y1940="","",INDEX($L$6:$L$40000,$Y1940)&amp;"")</f>
        <v/>
      </c>
    </row>
    <row r="1941">
      <c r="Y1941" s="47">
        <f>IFERROR(MATCH(Library!M1941,$M$6:$M$40000,0),"")</f>
        <v/>
      </c>
      <c r="Z1941">
        <f>IF($Y1941="","",INDEX($C$6:$C$40000,$Y1941)&amp;"")</f>
        <v/>
      </c>
      <c r="AA1941" s="59">
        <f>IF($Y1941="","",IF(INDEX($D$6:$D$40000,$Y1941)="","",INDEX($D$6:$D$40000,$Y1941)))</f>
        <v/>
      </c>
      <c r="AB1941">
        <f>IF($Y1941="","",INDEX($L$6:$L$40000,$Y1941)&amp;"")</f>
        <v/>
      </c>
    </row>
    <row r="1942">
      <c r="Y1942" s="47">
        <f>IFERROR(MATCH(Library!M1942,$M$6:$M$40000,0),"")</f>
        <v/>
      </c>
      <c r="Z1942">
        <f>IF($Y1942="","",INDEX($C$6:$C$40000,$Y1942)&amp;"")</f>
        <v/>
      </c>
      <c r="AA1942" s="59">
        <f>IF($Y1942="","",IF(INDEX($D$6:$D$40000,$Y1942)="","",INDEX($D$6:$D$40000,$Y1942)))</f>
        <v/>
      </c>
      <c r="AB1942">
        <f>IF($Y1942="","",INDEX($L$6:$L$40000,$Y1942)&amp;"")</f>
        <v/>
      </c>
    </row>
    <row r="1943">
      <c r="Y1943" s="47">
        <f>IFERROR(MATCH(Library!M1943,$M$6:$M$40000,0),"")</f>
        <v/>
      </c>
      <c r="Z1943">
        <f>IF($Y1943="","",INDEX($C$6:$C$40000,$Y1943)&amp;"")</f>
        <v/>
      </c>
      <c r="AA1943" s="59">
        <f>IF($Y1943="","",IF(INDEX($D$6:$D$40000,$Y1943)="","",INDEX($D$6:$D$40000,$Y1943)))</f>
        <v/>
      </c>
      <c r="AB1943">
        <f>IF($Y1943="","",INDEX($L$6:$L$40000,$Y1943)&amp;"")</f>
        <v/>
      </c>
    </row>
    <row r="1944">
      <c r="Y1944" s="47">
        <f>IFERROR(MATCH(Library!M1944,$M$6:$M$40000,0),"")</f>
        <v/>
      </c>
      <c r="Z1944">
        <f>IF($Y1944="","",INDEX($C$6:$C$40000,$Y1944)&amp;"")</f>
        <v/>
      </c>
      <c r="AA1944" s="59">
        <f>IF($Y1944="","",IF(INDEX($D$6:$D$40000,$Y1944)="","",INDEX($D$6:$D$40000,$Y1944)))</f>
        <v/>
      </c>
      <c r="AB1944">
        <f>IF($Y1944="","",INDEX($L$6:$L$40000,$Y1944)&amp;"")</f>
        <v/>
      </c>
    </row>
    <row r="1945">
      <c r="Y1945" s="47">
        <f>IFERROR(MATCH(Library!M1945,$M$6:$M$40000,0),"")</f>
        <v/>
      </c>
      <c r="Z1945">
        <f>IF($Y1945="","",INDEX($C$6:$C$40000,$Y1945)&amp;"")</f>
        <v/>
      </c>
      <c r="AA1945" s="59">
        <f>IF($Y1945="","",IF(INDEX($D$6:$D$40000,$Y1945)="","",INDEX($D$6:$D$40000,$Y1945)))</f>
        <v/>
      </c>
      <c r="AB1945">
        <f>IF($Y1945="","",INDEX($L$6:$L$40000,$Y1945)&amp;"")</f>
        <v/>
      </c>
    </row>
    <row r="1946">
      <c r="Y1946" s="47">
        <f>IFERROR(MATCH(Library!M1946,$M$6:$M$40000,0),"")</f>
        <v/>
      </c>
      <c r="Z1946">
        <f>IF($Y1946="","",INDEX($C$6:$C$40000,$Y1946)&amp;"")</f>
        <v/>
      </c>
      <c r="AA1946" s="59">
        <f>IF($Y1946="","",IF(INDEX($D$6:$D$40000,$Y1946)="","",INDEX($D$6:$D$40000,$Y1946)))</f>
        <v/>
      </c>
      <c r="AB1946">
        <f>IF($Y1946="","",INDEX($L$6:$L$40000,$Y1946)&amp;"")</f>
        <v/>
      </c>
    </row>
    <row r="1947">
      <c r="Y1947" s="47">
        <f>IFERROR(MATCH(Library!M1947,$M$6:$M$40000,0),"")</f>
        <v/>
      </c>
      <c r="Z1947">
        <f>IF($Y1947="","",INDEX($C$6:$C$40000,$Y1947)&amp;"")</f>
        <v/>
      </c>
      <c r="AA1947" s="59">
        <f>IF($Y1947="","",IF(INDEX($D$6:$D$40000,$Y1947)="","",INDEX($D$6:$D$40000,$Y1947)))</f>
        <v/>
      </c>
      <c r="AB1947">
        <f>IF($Y1947="","",INDEX($L$6:$L$40000,$Y1947)&amp;"")</f>
        <v/>
      </c>
    </row>
    <row r="1948">
      <c r="Y1948" s="47">
        <f>IFERROR(MATCH(Library!M1948,$M$6:$M$40000,0),"")</f>
        <v/>
      </c>
      <c r="Z1948">
        <f>IF($Y1948="","",INDEX($C$6:$C$40000,$Y1948)&amp;"")</f>
        <v/>
      </c>
      <c r="AA1948" s="59">
        <f>IF($Y1948="","",IF(INDEX($D$6:$D$40000,$Y1948)="","",INDEX($D$6:$D$40000,$Y1948)))</f>
        <v/>
      </c>
      <c r="AB1948">
        <f>IF($Y1948="","",INDEX($L$6:$L$40000,$Y1948)&amp;"")</f>
        <v/>
      </c>
    </row>
    <row r="1949">
      <c r="Y1949" s="47">
        <f>IFERROR(MATCH(Library!M1949,$M$6:$M$40000,0),"")</f>
        <v/>
      </c>
      <c r="Z1949">
        <f>IF($Y1949="","",INDEX($C$6:$C$40000,$Y1949)&amp;"")</f>
        <v/>
      </c>
      <c r="AA1949" s="59">
        <f>IF($Y1949="","",IF(INDEX($D$6:$D$40000,$Y1949)="","",INDEX($D$6:$D$40000,$Y1949)))</f>
        <v/>
      </c>
      <c r="AB1949">
        <f>IF($Y1949="","",INDEX($L$6:$L$40000,$Y1949)&amp;"")</f>
        <v/>
      </c>
    </row>
    <row r="1950">
      <c r="Y1950" s="47">
        <f>IFERROR(MATCH(Library!M1950,$M$6:$M$40000,0),"")</f>
        <v/>
      </c>
      <c r="Z1950">
        <f>IF($Y1950="","",INDEX($C$6:$C$40000,$Y1950)&amp;"")</f>
        <v/>
      </c>
      <c r="AA1950" s="59">
        <f>IF($Y1950="","",IF(INDEX($D$6:$D$40000,$Y1950)="","",INDEX($D$6:$D$40000,$Y1950)))</f>
        <v/>
      </c>
      <c r="AB1950">
        <f>IF($Y1950="","",INDEX($L$6:$L$40000,$Y1950)&amp;"")</f>
        <v/>
      </c>
    </row>
    <row r="1951">
      <c r="Y1951" s="47">
        <f>IFERROR(MATCH(Library!M1951,$M$6:$M$40000,0),"")</f>
        <v/>
      </c>
      <c r="Z1951">
        <f>IF($Y1951="","",INDEX($C$6:$C$40000,$Y1951)&amp;"")</f>
        <v/>
      </c>
      <c r="AA1951" s="59">
        <f>IF($Y1951="","",IF(INDEX($D$6:$D$40000,$Y1951)="","",INDEX($D$6:$D$40000,$Y1951)))</f>
        <v/>
      </c>
      <c r="AB1951">
        <f>IF($Y1951="","",INDEX($L$6:$L$40000,$Y1951)&amp;"")</f>
        <v/>
      </c>
    </row>
    <row r="1952">
      <c r="Y1952" s="47">
        <f>IFERROR(MATCH(Library!M1952,$M$6:$M$40000,0),"")</f>
        <v/>
      </c>
      <c r="Z1952">
        <f>IF($Y1952="","",INDEX($C$6:$C$40000,$Y1952)&amp;"")</f>
        <v/>
      </c>
      <c r="AA1952" s="59">
        <f>IF($Y1952="","",IF(INDEX($D$6:$D$40000,$Y1952)="","",INDEX($D$6:$D$40000,$Y1952)))</f>
        <v/>
      </c>
      <c r="AB1952">
        <f>IF($Y1952="","",INDEX($L$6:$L$40000,$Y1952)&amp;"")</f>
        <v/>
      </c>
    </row>
    <row r="1953">
      <c r="Y1953" s="47">
        <f>IFERROR(MATCH(Library!M1953,$M$6:$M$40000,0),"")</f>
        <v/>
      </c>
      <c r="Z1953">
        <f>IF($Y1953="","",INDEX($C$6:$C$40000,$Y1953)&amp;"")</f>
        <v/>
      </c>
      <c r="AA1953" s="59">
        <f>IF($Y1953="","",IF(INDEX($D$6:$D$40000,$Y1953)="","",INDEX($D$6:$D$40000,$Y1953)))</f>
        <v/>
      </c>
      <c r="AB1953">
        <f>IF($Y1953="","",INDEX($L$6:$L$40000,$Y1953)&amp;"")</f>
        <v/>
      </c>
    </row>
    <row r="1954">
      <c r="Y1954" s="47">
        <f>IFERROR(MATCH(Library!M1954,$M$6:$M$40000,0),"")</f>
        <v/>
      </c>
      <c r="Z1954">
        <f>IF($Y1954="","",INDEX($C$6:$C$40000,$Y1954)&amp;"")</f>
        <v/>
      </c>
      <c r="AA1954" s="59">
        <f>IF($Y1954="","",IF(INDEX($D$6:$D$40000,$Y1954)="","",INDEX($D$6:$D$40000,$Y1954)))</f>
        <v/>
      </c>
      <c r="AB1954">
        <f>IF($Y1954="","",INDEX($L$6:$L$40000,$Y1954)&amp;"")</f>
        <v/>
      </c>
    </row>
    <row r="1955">
      <c r="Y1955" s="47">
        <f>IFERROR(MATCH(Library!M1955,$M$6:$M$40000,0),"")</f>
        <v/>
      </c>
      <c r="Z1955">
        <f>IF($Y1955="","",INDEX($C$6:$C$40000,$Y1955)&amp;"")</f>
        <v/>
      </c>
      <c r="AA1955" s="59">
        <f>IF($Y1955="","",IF(INDEX($D$6:$D$40000,$Y1955)="","",INDEX($D$6:$D$40000,$Y1955)))</f>
        <v/>
      </c>
      <c r="AB1955">
        <f>IF($Y1955="","",INDEX($L$6:$L$40000,$Y1955)&amp;"")</f>
        <v/>
      </c>
    </row>
    <row r="1956">
      <c r="Y1956" s="47">
        <f>IFERROR(MATCH(Library!M1956,$M$6:$M$40000,0),"")</f>
        <v/>
      </c>
      <c r="Z1956">
        <f>IF($Y1956="","",INDEX($C$6:$C$40000,$Y1956)&amp;"")</f>
        <v/>
      </c>
      <c r="AA1956" s="59">
        <f>IF($Y1956="","",IF(INDEX($D$6:$D$40000,$Y1956)="","",INDEX($D$6:$D$40000,$Y1956)))</f>
        <v/>
      </c>
      <c r="AB1956">
        <f>IF($Y1956="","",INDEX($L$6:$L$40000,$Y1956)&amp;"")</f>
        <v/>
      </c>
    </row>
    <row r="1957">
      <c r="Y1957" s="47">
        <f>IFERROR(MATCH(Library!M1957,$M$6:$M$40000,0),"")</f>
        <v/>
      </c>
      <c r="Z1957">
        <f>IF($Y1957="","",INDEX($C$6:$C$40000,$Y1957)&amp;"")</f>
        <v/>
      </c>
      <c r="AA1957" s="59">
        <f>IF($Y1957="","",IF(INDEX($D$6:$D$40000,$Y1957)="","",INDEX($D$6:$D$40000,$Y1957)))</f>
        <v/>
      </c>
      <c r="AB1957">
        <f>IF($Y1957="","",INDEX($L$6:$L$40000,$Y1957)&amp;"")</f>
        <v/>
      </c>
    </row>
    <row r="1958">
      <c r="Y1958" s="47">
        <f>IFERROR(MATCH(Library!M1958,$M$6:$M$40000,0),"")</f>
        <v/>
      </c>
      <c r="Z1958">
        <f>IF($Y1958="","",INDEX($C$6:$C$40000,$Y1958)&amp;"")</f>
        <v/>
      </c>
      <c r="AA1958" s="59">
        <f>IF($Y1958="","",IF(INDEX($D$6:$D$40000,$Y1958)="","",INDEX($D$6:$D$40000,$Y1958)))</f>
        <v/>
      </c>
      <c r="AB1958">
        <f>IF($Y1958="","",INDEX($L$6:$L$40000,$Y1958)&amp;"")</f>
        <v/>
      </c>
    </row>
    <row r="1959">
      <c r="Y1959" s="47">
        <f>IFERROR(MATCH(Library!M1959,$M$6:$M$40000,0),"")</f>
        <v/>
      </c>
      <c r="Z1959">
        <f>IF($Y1959="","",INDEX($C$6:$C$40000,$Y1959)&amp;"")</f>
        <v/>
      </c>
      <c r="AA1959" s="59">
        <f>IF($Y1959="","",IF(INDEX($D$6:$D$40000,$Y1959)="","",INDEX($D$6:$D$40000,$Y1959)))</f>
        <v/>
      </c>
      <c r="AB1959">
        <f>IF($Y1959="","",INDEX($L$6:$L$40000,$Y1959)&amp;"")</f>
        <v/>
      </c>
    </row>
    <row r="1960">
      <c r="Y1960" s="47">
        <f>IFERROR(MATCH(Library!M1960,$M$6:$M$40000,0),"")</f>
        <v/>
      </c>
      <c r="Z1960">
        <f>IF($Y1960="","",INDEX($C$6:$C$40000,$Y1960)&amp;"")</f>
        <v/>
      </c>
      <c r="AA1960" s="59">
        <f>IF($Y1960="","",IF(INDEX($D$6:$D$40000,$Y1960)="","",INDEX($D$6:$D$40000,$Y1960)))</f>
        <v/>
      </c>
      <c r="AB1960">
        <f>IF($Y1960="","",INDEX($L$6:$L$40000,$Y1960)&amp;"")</f>
        <v/>
      </c>
    </row>
    <row r="1961">
      <c r="Y1961" s="47">
        <f>IFERROR(MATCH(Library!M1961,$M$6:$M$40000,0),"")</f>
        <v/>
      </c>
      <c r="Z1961">
        <f>IF($Y1961="","",INDEX($C$6:$C$40000,$Y1961)&amp;"")</f>
        <v/>
      </c>
      <c r="AA1961" s="59">
        <f>IF($Y1961="","",IF(INDEX($D$6:$D$40000,$Y1961)="","",INDEX($D$6:$D$40000,$Y1961)))</f>
        <v/>
      </c>
      <c r="AB1961">
        <f>IF($Y1961="","",INDEX($L$6:$L$40000,$Y1961)&amp;"")</f>
        <v/>
      </c>
    </row>
    <row r="1962">
      <c r="Y1962" s="47">
        <f>IFERROR(MATCH(Library!M1962,$M$6:$M$40000,0),"")</f>
        <v/>
      </c>
      <c r="Z1962">
        <f>IF($Y1962="","",INDEX($C$6:$C$40000,$Y1962)&amp;"")</f>
        <v/>
      </c>
      <c r="AA1962" s="59">
        <f>IF($Y1962="","",IF(INDEX($D$6:$D$40000,$Y1962)="","",INDEX($D$6:$D$40000,$Y1962)))</f>
        <v/>
      </c>
      <c r="AB1962">
        <f>IF($Y1962="","",INDEX($L$6:$L$40000,$Y1962)&amp;"")</f>
        <v/>
      </c>
    </row>
    <row r="1963">
      <c r="Y1963" s="47">
        <f>IFERROR(MATCH(Library!M1963,$M$6:$M$40000,0),"")</f>
        <v/>
      </c>
      <c r="Z1963">
        <f>IF($Y1963="","",INDEX($C$6:$C$40000,$Y1963)&amp;"")</f>
        <v/>
      </c>
      <c r="AA1963" s="59">
        <f>IF($Y1963="","",IF(INDEX($D$6:$D$40000,$Y1963)="","",INDEX($D$6:$D$40000,$Y1963)))</f>
        <v/>
      </c>
      <c r="AB1963">
        <f>IF($Y1963="","",INDEX($L$6:$L$40000,$Y1963)&amp;"")</f>
        <v/>
      </c>
    </row>
    <row r="1964">
      <c r="Y1964" s="47">
        <f>IFERROR(MATCH(Library!M1964,$M$6:$M$40000,0),"")</f>
        <v/>
      </c>
      <c r="Z1964">
        <f>IF($Y1964="","",INDEX($C$6:$C$40000,$Y1964)&amp;"")</f>
        <v/>
      </c>
      <c r="AA1964" s="59">
        <f>IF($Y1964="","",IF(INDEX($D$6:$D$40000,$Y1964)="","",INDEX($D$6:$D$40000,$Y1964)))</f>
        <v/>
      </c>
      <c r="AB1964">
        <f>IF($Y1964="","",INDEX($L$6:$L$40000,$Y1964)&amp;"")</f>
        <v/>
      </c>
    </row>
    <row r="1965">
      <c r="Y1965" s="47">
        <f>IFERROR(MATCH(Library!M1965,$M$6:$M$40000,0),"")</f>
        <v/>
      </c>
      <c r="Z1965">
        <f>IF($Y1965="","",INDEX($C$6:$C$40000,$Y1965)&amp;"")</f>
        <v/>
      </c>
      <c r="AA1965" s="59">
        <f>IF($Y1965="","",IF(INDEX($D$6:$D$40000,$Y1965)="","",INDEX($D$6:$D$40000,$Y1965)))</f>
        <v/>
      </c>
      <c r="AB1965">
        <f>IF($Y1965="","",INDEX($L$6:$L$40000,$Y1965)&amp;"")</f>
        <v/>
      </c>
    </row>
    <row r="1966">
      <c r="Y1966" s="47">
        <f>IFERROR(MATCH(Library!M1966,$M$6:$M$40000,0),"")</f>
        <v/>
      </c>
      <c r="Z1966">
        <f>IF($Y1966="","",INDEX($C$6:$C$40000,$Y1966)&amp;"")</f>
        <v/>
      </c>
      <c r="AA1966" s="59">
        <f>IF($Y1966="","",IF(INDEX($D$6:$D$40000,$Y1966)="","",INDEX($D$6:$D$40000,$Y1966)))</f>
        <v/>
      </c>
      <c r="AB1966">
        <f>IF($Y1966="","",INDEX($L$6:$L$40000,$Y1966)&amp;"")</f>
        <v/>
      </c>
    </row>
    <row r="1967">
      <c r="Y1967" s="47">
        <f>IFERROR(MATCH(Library!M1967,$M$6:$M$40000,0),"")</f>
        <v/>
      </c>
      <c r="Z1967">
        <f>IF($Y1967="","",INDEX($C$6:$C$40000,$Y1967)&amp;"")</f>
        <v/>
      </c>
      <c r="AA1967" s="59">
        <f>IF($Y1967="","",IF(INDEX($D$6:$D$40000,$Y1967)="","",INDEX($D$6:$D$40000,$Y1967)))</f>
        <v/>
      </c>
      <c r="AB1967">
        <f>IF($Y1967="","",INDEX($L$6:$L$40000,$Y1967)&amp;"")</f>
        <v/>
      </c>
    </row>
    <row r="1968">
      <c r="Y1968" s="47">
        <f>IFERROR(MATCH(Library!M1968,$M$6:$M$40000,0),"")</f>
        <v/>
      </c>
      <c r="Z1968">
        <f>IF($Y1968="","",INDEX($C$6:$C$40000,$Y1968)&amp;"")</f>
        <v/>
      </c>
      <c r="AA1968" s="59">
        <f>IF($Y1968="","",IF(INDEX($D$6:$D$40000,$Y1968)="","",INDEX($D$6:$D$40000,$Y1968)))</f>
        <v/>
      </c>
      <c r="AB1968">
        <f>IF($Y1968="","",INDEX($L$6:$L$40000,$Y1968)&amp;"")</f>
        <v/>
      </c>
    </row>
    <row r="1969">
      <c r="Y1969" s="47">
        <f>IFERROR(MATCH(Library!M1969,$M$6:$M$40000,0),"")</f>
        <v/>
      </c>
      <c r="Z1969">
        <f>IF($Y1969="","",INDEX($C$6:$C$40000,$Y1969)&amp;"")</f>
        <v/>
      </c>
      <c r="AA1969" s="59">
        <f>IF($Y1969="","",IF(INDEX($D$6:$D$40000,$Y1969)="","",INDEX($D$6:$D$40000,$Y1969)))</f>
        <v/>
      </c>
      <c r="AB1969">
        <f>IF($Y1969="","",INDEX($L$6:$L$40000,$Y1969)&amp;"")</f>
        <v/>
      </c>
    </row>
    <row r="1970">
      <c r="Y1970" s="47">
        <f>IFERROR(MATCH(Library!M1970,$M$6:$M$40000,0),"")</f>
        <v/>
      </c>
      <c r="Z1970">
        <f>IF($Y1970="","",INDEX($C$6:$C$40000,$Y1970)&amp;"")</f>
        <v/>
      </c>
      <c r="AA1970" s="59">
        <f>IF($Y1970="","",IF(INDEX($D$6:$D$40000,$Y1970)="","",INDEX($D$6:$D$40000,$Y1970)))</f>
        <v/>
      </c>
      <c r="AB1970">
        <f>IF($Y1970="","",INDEX($L$6:$L$40000,$Y1970)&amp;"")</f>
        <v/>
      </c>
    </row>
    <row r="1971">
      <c r="Y1971" s="47">
        <f>IFERROR(MATCH(Library!M1971,$M$6:$M$40000,0),"")</f>
        <v/>
      </c>
      <c r="Z1971">
        <f>IF($Y1971="","",INDEX($C$6:$C$40000,$Y1971)&amp;"")</f>
        <v/>
      </c>
      <c r="AA1971" s="59">
        <f>IF($Y1971="","",IF(INDEX($D$6:$D$40000,$Y1971)="","",INDEX($D$6:$D$40000,$Y1971)))</f>
        <v/>
      </c>
      <c r="AB1971">
        <f>IF($Y1971="","",INDEX($L$6:$L$40000,$Y1971)&amp;"")</f>
        <v/>
      </c>
    </row>
    <row r="1972">
      <c r="Y1972" s="47">
        <f>IFERROR(MATCH(Library!M1972,$M$6:$M$40000,0),"")</f>
        <v/>
      </c>
      <c r="Z1972">
        <f>IF($Y1972="","",INDEX($C$6:$C$40000,$Y1972)&amp;"")</f>
        <v/>
      </c>
      <c r="AA1972" s="59">
        <f>IF($Y1972="","",IF(INDEX($D$6:$D$40000,$Y1972)="","",INDEX($D$6:$D$40000,$Y1972)))</f>
        <v/>
      </c>
      <c r="AB1972">
        <f>IF($Y1972="","",INDEX($L$6:$L$40000,$Y1972)&amp;"")</f>
        <v/>
      </c>
    </row>
    <row r="1973">
      <c r="Y1973" s="47">
        <f>IFERROR(MATCH(Library!M1973,$M$6:$M$40000,0),"")</f>
        <v/>
      </c>
      <c r="Z1973">
        <f>IF($Y1973="","",INDEX($C$6:$C$40000,$Y1973)&amp;"")</f>
        <v/>
      </c>
      <c r="AA1973" s="59">
        <f>IF($Y1973="","",IF(INDEX($D$6:$D$40000,$Y1973)="","",INDEX($D$6:$D$40000,$Y1973)))</f>
        <v/>
      </c>
      <c r="AB1973">
        <f>IF($Y1973="","",INDEX($L$6:$L$40000,$Y1973)&amp;"")</f>
        <v/>
      </c>
    </row>
    <row r="1974">
      <c r="Y1974" s="47">
        <f>IFERROR(MATCH(Library!M1974,$M$6:$M$40000,0),"")</f>
        <v/>
      </c>
      <c r="Z1974">
        <f>IF($Y1974="","",INDEX($C$6:$C$40000,$Y1974)&amp;"")</f>
        <v/>
      </c>
      <c r="AA1974" s="59">
        <f>IF($Y1974="","",IF(INDEX($D$6:$D$40000,$Y1974)="","",INDEX($D$6:$D$40000,$Y1974)))</f>
        <v/>
      </c>
      <c r="AB1974">
        <f>IF($Y1974="","",INDEX($L$6:$L$40000,$Y1974)&amp;"")</f>
        <v/>
      </c>
    </row>
    <row r="1975">
      <c r="Y1975" s="47">
        <f>IFERROR(MATCH(Library!M1975,$M$6:$M$40000,0),"")</f>
        <v/>
      </c>
      <c r="Z1975">
        <f>IF($Y1975="","",INDEX($C$6:$C$40000,$Y1975)&amp;"")</f>
        <v/>
      </c>
      <c r="AA1975" s="59">
        <f>IF($Y1975="","",IF(INDEX($D$6:$D$40000,$Y1975)="","",INDEX($D$6:$D$40000,$Y1975)))</f>
        <v/>
      </c>
      <c r="AB1975">
        <f>IF($Y1975="","",INDEX($L$6:$L$40000,$Y1975)&amp;"")</f>
        <v/>
      </c>
    </row>
    <row r="1976">
      <c r="Y1976" s="47">
        <f>IFERROR(MATCH(Library!M1976,$M$6:$M$40000,0),"")</f>
        <v/>
      </c>
      <c r="Z1976">
        <f>IF($Y1976="","",INDEX($C$6:$C$40000,$Y1976)&amp;"")</f>
        <v/>
      </c>
      <c r="AA1976" s="59">
        <f>IF($Y1976="","",IF(INDEX($D$6:$D$40000,$Y1976)="","",INDEX($D$6:$D$40000,$Y1976)))</f>
        <v/>
      </c>
      <c r="AB1976">
        <f>IF($Y1976="","",INDEX($L$6:$L$40000,$Y1976)&amp;"")</f>
        <v/>
      </c>
    </row>
    <row r="1977">
      <c r="Y1977" s="47">
        <f>IFERROR(MATCH(Library!M1977,$M$6:$M$40000,0),"")</f>
        <v/>
      </c>
      <c r="Z1977">
        <f>IF($Y1977="","",INDEX($C$6:$C$40000,$Y1977)&amp;"")</f>
        <v/>
      </c>
      <c r="AA1977" s="59">
        <f>IF($Y1977="","",IF(INDEX($D$6:$D$40000,$Y1977)="","",INDEX($D$6:$D$40000,$Y1977)))</f>
        <v/>
      </c>
      <c r="AB1977">
        <f>IF($Y1977="","",INDEX($L$6:$L$40000,$Y1977)&amp;"")</f>
        <v/>
      </c>
    </row>
    <row r="1978">
      <c r="Y1978" s="47">
        <f>IFERROR(MATCH(Library!M1978,$M$6:$M$40000,0),"")</f>
        <v/>
      </c>
      <c r="Z1978">
        <f>IF($Y1978="","",INDEX($C$6:$C$40000,$Y1978)&amp;"")</f>
        <v/>
      </c>
      <c r="AA1978" s="59">
        <f>IF($Y1978="","",IF(INDEX($D$6:$D$40000,$Y1978)="","",INDEX($D$6:$D$40000,$Y1978)))</f>
        <v/>
      </c>
      <c r="AB1978">
        <f>IF($Y1978="","",INDEX($L$6:$L$40000,$Y1978)&amp;"")</f>
        <v/>
      </c>
    </row>
    <row r="1979">
      <c r="Y1979" s="47">
        <f>IFERROR(MATCH(Library!M1979,$M$6:$M$40000,0),"")</f>
        <v/>
      </c>
      <c r="Z1979">
        <f>IF($Y1979="","",INDEX($C$6:$C$40000,$Y1979)&amp;"")</f>
        <v/>
      </c>
      <c r="AA1979" s="59">
        <f>IF($Y1979="","",IF(INDEX($D$6:$D$40000,$Y1979)="","",INDEX($D$6:$D$40000,$Y1979)))</f>
        <v/>
      </c>
      <c r="AB1979">
        <f>IF($Y1979="","",INDEX($L$6:$L$40000,$Y1979)&amp;"")</f>
        <v/>
      </c>
    </row>
    <row r="1980">
      <c r="Y1980" s="47">
        <f>IFERROR(MATCH(Library!M1980,$M$6:$M$40000,0),"")</f>
        <v/>
      </c>
      <c r="Z1980">
        <f>IF($Y1980="","",INDEX($C$6:$C$40000,$Y1980)&amp;"")</f>
        <v/>
      </c>
      <c r="AA1980" s="59">
        <f>IF($Y1980="","",IF(INDEX($D$6:$D$40000,$Y1980)="","",INDEX($D$6:$D$40000,$Y1980)))</f>
        <v/>
      </c>
      <c r="AB1980">
        <f>IF($Y1980="","",INDEX($L$6:$L$40000,$Y1980)&amp;"")</f>
        <v/>
      </c>
    </row>
    <row r="1981">
      <c r="Y1981" s="47">
        <f>IFERROR(MATCH(Library!M1981,$M$6:$M$40000,0),"")</f>
        <v/>
      </c>
      <c r="Z1981">
        <f>IF($Y1981="","",INDEX($C$6:$C$40000,$Y1981)&amp;"")</f>
        <v/>
      </c>
      <c r="AA1981" s="59">
        <f>IF($Y1981="","",IF(INDEX($D$6:$D$40000,$Y1981)="","",INDEX($D$6:$D$40000,$Y1981)))</f>
        <v/>
      </c>
      <c r="AB1981">
        <f>IF($Y1981="","",INDEX($L$6:$L$40000,$Y1981)&amp;"")</f>
        <v/>
      </c>
    </row>
    <row r="1982">
      <c r="Y1982" s="47">
        <f>IFERROR(MATCH(Library!M1982,$M$6:$M$40000,0),"")</f>
        <v/>
      </c>
      <c r="Z1982">
        <f>IF($Y1982="","",INDEX($C$6:$C$40000,$Y1982)&amp;"")</f>
        <v/>
      </c>
      <c r="AA1982" s="59">
        <f>IF($Y1982="","",IF(INDEX($D$6:$D$40000,$Y1982)="","",INDEX($D$6:$D$40000,$Y1982)))</f>
        <v/>
      </c>
      <c r="AB1982">
        <f>IF($Y1982="","",INDEX($L$6:$L$40000,$Y1982)&amp;"")</f>
        <v/>
      </c>
    </row>
    <row r="1983">
      <c r="Y1983" s="47">
        <f>IFERROR(MATCH(Library!M1983,$M$6:$M$40000,0),"")</f>
        <v/>
      </c>
      <c r="Z1983">
        <f>IF($Y1983="","",INDEX($C$6:$C$40000,$Y1983)&amp;"")</f>
        <v/>
      </c>
      <c r="AA1983" s="59">
        <f>IF($Y1983="","",IF(INDEX($D$6:$D$40000,$Y1983)="","",INDEX($D$6:$D$40000,$Y1983)))</f>
        <v/>
      </c>
      <c r="AB1983">
        <f>IF($Y1983="","",INDEX($L$6:$L$40000,$Y1983)&amp;"")</f>
        <v/>
      </c>
    </row>
    <row r="1984">
      <c r="Y1984" s="47">
        <f>IFERROR(MATCH(Library!M1984,$M$6:$M$40000,0),"")</f>
        <v/>
      </c>
      <c r="Z1984">
        <f>IF($Y1984="","",INDEX($C$6:$C$40000,$Y1984)&amp;"")</f>
        <v/>
      </c>
      <c r="AA1984" s="59">
        <f>IF($Y1984="","",IF(INDEX($D$6:$D$40000,$Y1984)="","",INDEX($D$6:$D$40000,$Y1984)))</f>
        <v/>
      </c>
      <c r="AB1984">
        <f>IF($Y1984="","",INDEX($L$6:$L$40000,$Y1984)&amp;"")</f>
        <v/>
      </c>
    </row>
    <row r="1985">
      <c r="Y1985" s="47">
        <f>IFERROR(MATCH(Library!M1985,$M$6:$M$40000,0),"")</f>
        <v/>
      </c>
      <c r="Z1985">
        <f>IF($Y1985="","",INDEX($C$6:$C$40000,$Y1985)&amp;"")</f>
        <v/>
      </c>
      <c r="AA1985" s="59">
        <f>IF($Y1985="","",IF(INDEX($D$6:$D$40000,$Y1985)="","",INDEX($D$6:$D$40000,$Y1985)))</f>
        <v/>
      </c>
      <c r="AB1985">
        <f>IF($Y1985="","",INDEX($L$6:$L$40000,$Y1985)&amp;"")</f>
        <v/>
      </c>
    </row>
    <row r="1986">
      <c r="Y1986" s="47">
        <f>IFERROR(MATCH(Library!M1986,$M$6:$M$40000,0),"")</f>
        <v/>
      </c>
      <c r="Z1986">
        <f>IF($Y1986="","",INDEX($C$6:$C$40000,$Y1986)&amp;"")</f>
        <v/>
      </c>
      <c r="AA1986" s="59">
        <f>IF($Y1986="","",IF(INDEX($D$6:$D$40000,$Y1986)="","",INDEX($D$6:$D$40000,$Y1986)))</f>
        <v/>
      </c>
      <c r="AB1986">
        <f>IF($Y1986="","",INDEX($L$6:$L$40000,$Y1986)&amp;"")</f>
        <v/>
      </c>
    </row>
    <row r="1987">
      <c r="Y1987" s="47">
        <f>IFERROR(MATCH(Library!M1987,$M$6:$M$40000,0),"")</f>
        <v/>
      </c>
      <c r="Z1987">
        <f>IF($Y1987="","",INDEX($C$6:$C$40000,$Y1987)&amp;"")</f>
        <v/>
      </c>
      <c r="AA1987" s="59">
        <f>IF($Y1987="","",IF(INDEX($D$6:$D$40000,$Y1987)="","",INDEX($D$6:$D$40000,$Y1987)))</f>
        <v/>
      </c>
      <c r="AB1987">
        <f>IF($Y1987="","",INDEX($L$6:$L$40000,$Y1987)&amp;"")</f>
        <v/>
      </c>
    </row>
    <row r="1988">
      <c r="Y1988" s="47">
        <f>IFERROR(MATCH(Library!M1988,$M$6:$M$40000,0),"")</f>
        <v/>
      </c>
      <c r="Z1988">
        <f>IF($Y1988="","",INDEX($C$6:$C$40000,$Y1988)&amp;"")</f>
        <v/>
      </c>
      <c r="AA1988" s="59">
        <f>IF($Y1988="","",IF(INDEX($D$6:$D$40000,$Y1988)="","",INDEX($D$6:$D$40000,$Y1988)))</f>
        <v/>
      </c>
      <c r="AB1988">
        <f>IF($Y1988="","",INDEX($L$6:$L$40000,$Y1988)&amp;"")</f>
        <v/>
      </c>
    </row>
    <row r="1989">
      <c r="Y1989" s="47">
        <f>IFERROR(MATCH(Library!M1989,$M$6:$M$40000,0),"")</f>
        <v/>
      </c>
      <c r="Z1989">
        <f>IF($Y1989="","",INDEX($C$6:$C$40000,$Y1989)&amp;"")</f>
        <v/>
      </c>
      <c r="AA1989" s="59">
        <f>IF($Y1989="","",IF(INDEX($D$6:$D$40000,$Y1989)="","",INDEX($D$6:$D$40000,$Y1989)))</f>
        <v/>
      </c>
      <c r="AB1989">
        <f>IF($Y1989="","",INDEX($L$6:$L$40000,$Y1989)&amp;"")</f>
        <v/>
      </c>
    </row>
    <row r="1990">
      <c r="Y1990" s="47">
        <f>IFERROR(MATCH(Library!M1990,$M$6:$M$40000,0),"")</f>
        <v/>
      </c>
      <c r="Z1990">
        <f>IF($Y1990="","",INDEX($C$6:$C$40000,$Y1990)&amp;"")</f>
        <v/>
      </c>
      <c r="AA1990" s="59">
        <f>IF($Y1990="","",IF(INDEX($D$6:$D$40000,$Y1990)="","",INDEX($D$6:$D$40000,$Y1990)))</f>
        <v/>
      </c>
      <c r="AB1990">
        <f>IF($Y1990="","",INDEX($L$6:$L$40000,$Y1990)&amp;"")</f>
        <v/>
      </c>
    </row>
    <row r="1991">
      <c r="Y1991" s="47">
        <f>IFERROR(MATCH(Library!M1991,$M$6:$M$40000,0),"")</f>
        <v/>
      </c>
      <c r="Z1991">
        <f>IF($Y1991="","",INDEX($C$6:$C$40000,$Y1991)&amp;"")</f>
        <v/>
      </c>
      <c r="AA1991" s="59">
        <f>IF($Y1991="","",IF(INDEX($D$6:$D$40000,$Y1991)="","",INDEX($D$6:$D$40000,$Y1991)))</f>
        <v/>
      </c>
      <c r="AB1991">
        <f>IF($Y1991="","",INDEX($L$6:$L$40000,$Y1991)&amp;"")</f>
        <v/>
      </c>
    </row>
    <row r="1992">
      <c r="Y1992" s="47">
        <f>IFERROR(MATCH(Library!M1992,$M$6:$M$40000,0),"")</f>
        <v/>
      </c>
      <c r="Z1992">
        <f>IF($Y1992="","",INDEX($C$6:$C$40000,$Y1992)&amp;"")</f>
        <v/>
      </c>
      <c r="AA1992" s="59">
        <f>IF($Y1992="","",IF(INDEX($D$6:$D$40000,$Y1992)="","",INDEX($D$6:$D$40000,$Y1992)))</f>
        <v/>
      </c>
      <c r="AB1992">
        <f>IF($Y1992="","",INDEX($L$6:$L$40000,$Y1992)&amp;"")</f>
        <v/>
      </c>
    </row>
    <row r="1993">
      <c r="Y1993" s="47">
        <f>IFERROR(MATCH(Library!M1993,$M$6:$M$40000,0),"")</f>
        <v/>
      </c>
      <c r="Z1993">
        <f>IF($Y1993="","",INDEX($C$6:$C$40000,$Y1993)&amp;"")</f>
        <v/>
      </c>
      <c r="AA1993" s="59">
        <f>IF($Y1993="","",IF(INDEX($D$6:$D$40000,$Y1993)="","",INDEX($D$6:$D$40000,$Y1993)))</f>
        <v/>
      </c>
      <c r="AB1993">
        <f>IF($Y1993="","",INDEX($L$6:$L$40000,$Y1993)&amp;"")</f>
        <v/>
      </c>
    </row>
    <row r="1994">
      <c r="Y1994" s="47">
        <f>IFERROR(MATCH(Library!M1994,$M$6:$M$40000,0),"")</f>
        <v/>
      </c>
      <c r="Z1994">
        <f>IF($Y1994="","",INDEX($C$6:$C$40000,$Y1994)&amp;"")</f>
        <v/>
      </c>
      <c r="AA1994" s="59">
        <f>IF($Y1994="","",IF(INDEX($D$6:$D$40000,$Y1994)="","",INDEX($D$6:$D$40000,$Y1994)))</f>
        <v/>
      </c>
      <c r="AB1994">
        <f>IF($Y1994="","",INDEX($L$6:$L$40000,$Y1994)&amp;"")</f>
        <v/>
      </c>
    </row>
    <row r="1995">
      <c r="Y1995" s="47">
        <f>IFERROR(MATCH(Library!M1995,$M$6:$M$40000,0),"")</f>
        <v/>
      </c>
      <c r="Z1995">
        <f>IF($Y1995="","",INDEX($C$6:$C$40000,$Y1995)&amp;"")</f>
        <v/>
      </c>
      <c r="AA1995" s="59">
        <f>IF($Y1995="","",IF(INDEX($D$6:$D$40000,$Y1995)="","",INDEX($D$6:$D$40000,$Y1995)))</f>
        <v/>
      </c>
      <c r="AB1995">
        <f>IF($Y1995="","",INDEX($L$6:$L$40000,$Y1995)&amp;"")</f>
        <v/>
      </c>
    </row>
    <row r="1996">
      <c r="Y1996" s="47">
        <f>IFERROR(MATCH(Library!M1996,$M$6:$M$40000,0),"")</f>
        <v/>
      </c>
      <c r="Z1996">
        <f>IF($Y1996="","",INDEX($C$6:$C$40000,$Y1996)&amp;"")</f>
        <v/>
      </c>
      <c r="AA1996" s="59">
        <f>IF($Y1996="","",IF(INDEX($D$6:$D$40000,$Y1996)="","",INDEX($D$6:$D$40000,$Y1996)))</f>
        <v/>
      </c>
      <c r="AB1996">
        <f>IF($Y1996="","",INDEX($L$6:$L$40000,$Y1996)&amp;"")</f>
        <v/>
      </c>
    </row>
    <row r="1997">
      <c r="Y1997" s="47">
        <f>IFERROR(MATCH(Library!M1997,$M$6:$M$40000,0),"")</f>
        <v/>
      </c>
      <c r="Z1997">
        <f>IF($Y1997="","",INDEX($C$6:$C$40000,$Y1997)&amp;"")</f>
        <v/>
      </c>
      <c r="AA1997" s="59">
        <f>IF($Y1997="","",IF(INDEX($D$6:$D$40000,$Y1997)="","",INDEX($D$6:$D$40000,$Y1997)))</f>
        <v/>
      </c>
      <c r="AB1997">
        <f>IF($Y1997="","",INDEX($L$6:$L$40000,$Y1997)&amp;"")</f>
        <v/>
      </c>
    </row>
    <row r="1998">
      <c r="Y1998" s="47">
        <f>IFERROR(MATCH(Library!M1998,$M$6:$M$40000,0),"")</f>
        <v/>
      </c>
      <c r="Z1998">
        <f>IF($Y1998="","",INDEX($C$6:$C$40000,$Y1998)&amp;"")</f>
        <v/>
      </c>
      <c r="AA1998" s="59">
        <f>IF($Y1998="","",IF(INDEX($D$6:$D$40000,$Y1998)="","",INDEX($D$6:$D$40000,$Y1998)))</f>
        <v/>
      </c>
      <c r="AB1998">
        <f>IF($Y1998="","",INDEX($L$6:$L$40000,$Y1998)&amp;"")</f>
        <v/>
      </c>
    </row>
    <row r="1999">
      <c r="Y1999" s="47">
        <f>IFERROR(MATCH(Library!M1999,$M$6:$M$40000,0),"")</f>
        <v/>
      </c>
      <c r="Z1999">
        <f>IF($Y1999="","",INDEX($C$6:$C$40000,$Y1999)&amp;"")</f>
        <v/>
      </c>
      <c r="AA1999" s="59">
        <f>IF($Y1999="","",IF(INDEX($D$6:$D$40000,$Y1999)="","",INDEX($D$6:$D$40000,$Y1999)))</f>
        <v/>
      </c>
      <c r="AB1999">
        <f>IF($Y1999="","",INDEX($L$6:$L$40000,$Y1999)&amp;"")</f>
        <v/>
      </c>
    </row>
    <row r="2000">
      <c r="Y2000" s="47">
        <f>IFERROR(MATCH(Library!M2000,$M$6:$M$40000,0),"")</f>
        <v/>
      </c>
      <c r="Z2000">
        <f>IF($Y2000="","",INDEX($C$6:$C$40000,$Y2000)&amp;"")</f>
        <v/>
      </c>
      <c r="AA2000" s="59">
        <f>IF($Y2000="","",IF(INDEX($D$6:$D$40000,$Y2000)="","",INDEX($D$6:$D$40000,$Y2000)))</f>
        <v/>
      </c>
      <c r="AB2000">
        <f>IF($Y2000="","",INDEX($L$6:$L$40000,$Y2000)&amp;"")</f>
        <v/>
      </c>
    </row>
    <row r="2001">
      <c r="Y2001" s="47">
        <f>IFERROR(MATCH(Library!M2001,$M$6:$M$40000,0),"")</f>
        <v/>
      </c>
      <c r="Z2001">
        <f>IF($Y2001="","",INDEX($C$6:$C$40000,$Y2001)&amp;"")</f>
        <v/>
      </c>
      <c r="AA2001" s="59">
        <f>IF($Y2001="","",IF(INDEX($D$6:$D$40000,$Y2001)="","",INDEX($D$6:$D$40000,$Y2001)))</f>
        <v/>
      </c>
      <c r="AB2001">
        <f>IF($Y2001="","",INDEX($L$6:$L$40000,$Y2001)&amp;"")</f>
        <v/>
      </c>
    </row>
    <row r="2002">
      <c r="Y2002" s="47">
        <f>IFERROR(MATCH(Library!M2002,$M$6:$M$40000,0),"")</f>
        <v/>
      </c>
      <c r="Z2002">
        <f>IF($Y2002="","",INDEX($C$6:$C$40000,$Y2002)&amp;"")</f>
        <v/>
      </c>
      <c r="AA2002" s="59">
        <f>IF($Y2002="","",IF(INDEX($D$6:$D$40000,$Y2002)="","",INDEX($D$6:$D$40000,$Y2002)))</f>
        <v/>
      </c>
      <c r="AB2002">
        <f>IF($Y2002="","",INDEX($L$6:$L$40000,$Y2002)&amp;"")</f>
        <v/>
      </c>
    </row>
    <row r="2003">
      <c r="Y2003" s="47">
        <f>IFERROR(MATCH(Library!M2003,$M$6:$M$40000,0),"")</f>
        <v/>
      </c>
      <c r="Z2003">
        <f>IF($Y2003="","",INDEX($C$6:$C$40000,$Y2003)&amp;"")</f>
        <v/>
      </c>
      <c r="AA2003" s="59">
        <f>IF($Y2003="","",IF(INDEX($D$6:$D$40000,$Y2003)="","",INDEX($D$6:$D$40000,$Y2003)))</f>
        <v/>
      </c>
      <c r="AB2003">
        <f>IF($Y2003="","",INDEX($L$6:$L$40000,$Y2003)&amp;"")</f>
        <v/>
      </c>
    </row>
    <row r="2004">
      <c r="Y2004" s="47">
        <f>IFERROR(MATCH(Library!M2004,$M$6:$M$40000,0),"")</f>
        <v/>
      </c>
      <c r="Z2004">
        <f>IF($Y2004="","",INDEX($C$6:$C$40000,$Y2004)&amp;"")</f>
        <v/>
      </c>
      <c r="AA2004" s="59">
        <f>IF($Y2004="","",IF(INDEX($D$6:$D$40000,$Y2004)="","",INDEX($D$6:$D$40000,$Y2004)))</f>
        <v/>
      </c>
      <c r="AB2004">
        <f>IF($Y2004="","",INDEX($L$6:$L$40000,$Y2004)&amp;"")</f>
        <v/>
      </c>
    </row>
    <row r="2005">
      <c r="Y2005" s="47">
        <f>IFERROR(MATCH(Library!M2005,$M$6:$M$40000,0),"")</f>
        <v/>
      </c>
      <c r="Z2005">
        <f>IF($Y2005="","",INDEX($C$6:$C$40000,$Y2005)&amp;"")</f>
        <v/>
      </c>
      <c r="AA2005" s="59">
        <f>IF($Y2005="","",IF(INDEX($D$6:$D$40000,$Y2005)="","",INDEX($D$6:$D$40000,$Y2005)))</f>
        <v/>
      </c>
      <c r="AB2005">
        <f>IF($Y2005="","",INDEX($L$6:$L$40000,$Y2005)&amp;"")</f>
        <v/>
      </c>
    </row>
    <row r="2006">
      <c r="Y2006" s="47">
        <f>IFERROR(MATCH(Library!M2006,$M$6:$M$40000,0),"")</f>
        <v/>
      </c>
      <c r="Z2006">
        <f>IF($Y2006="","",INDEX($C$6:$C$40000,$Y2006)&amp;"")</f>
        <v/>
      </c>
      <c r="AA2006" s="59">
        <f>IF($Y2006="","",IF(INDEX($D$6:$D$40000,$Y2006)="","",INDEX($D$6:$D$40000,$Y2006)))</f>
        <v/>
      </c>
      <c r="AB2006">
        <f>IF($Y2006="","",INDEX($L$6:$L$40000,$Y2006)&amp;"")</f>
        <v/>
      </c>
    </row>
    <row r="2007">
      <c r="Y2007" s="47">
        <f>IFERROR(MATCH(Library!M2007,$M$6:$M$40000,0),"")</f>
        <v/>
      </c>
      <c r="Z2007">
        <f>IF($Y2007="","",INDEX($C$6:$C$40000,$Y2007)&amp;"")</f>
        <v/>
      </c>
      <c r="AA2007" s="59">
        <f>IF($Y2007="","",IF(INDEX($D$6:$D$40000,$Y2007)="","",INDEX($D$6:$D$40000,$Y2007)))</f>
        <v/>
      </c>
      <c r="AB2007">
        <f>IF($Y2007="","",INDEX($L$6:$L$40000,$Y2007)&amp;"")</f>
        <v/>
      </c>
    </row>
    <row r="2008">
      <c r="Y2008" s="47">
        <f>IFERROR(MATCH(Library!M2008,$M$6:$M$40000,0),"")</f>
        <v/>
      </c>
      <c r="Z2008">
        <f>IF($Y2008="","",INDEX($C$6:$C$40000,$Y2008)&amp;"")</f>
        <v/>
      </c>
      <c r="AA2008" s="59">
        <f>IF($Y2008="","",IF(INDEX($D$6:$D$40000,$Y2008)="","",INDEX($D$6:$D$40000,$Y2008)))</f>
        <v/>
      </c>
      <c r="AB2008">
        <f>IF($Y2008="","",INDEX($L$6:$L$40000,$Y2008)&amp;"")</f>
        <v/>
      </c>
    </row>
    <row r="2009">
      <c r="Y2009" s="47">
        <f>IFERROR(MATCH(Library!M2009,$M$6:$M$40000,0),"")</f>
        <v/>
      </c>
      <c r="Z2009">
        <f>IF($Y2009="","",INDEX($C$6:$C$40000,$Y2009)&amp;"")</f>
        <v/>
      </c>
      <c r="AA2009" s="59">
        <f>IF($Y2009="","",IF(INDEX($D$6:$D$40000,$Y2009)="","",INDEX($D$6:$D$40000,$Y2009)))</f>
        <v/>
      </c>
      <c r="AB2009">
        <f>IF($Y2009="","",INDEX($L$6:$L$40000,$Y2009)&amp;"")</f>
        <v/>
      </c>
    </row>
    <row r="2010">
      <c r="Y2010" s="47">
        <f>IFERROR(MATCH(Library!M2010,$M$6:$M$40000,0),"")</f>
        <v/>
      </c>
      <c r="Z2010">
        <f>IF($Y2010="","",INDEX($C$6:$C$40000,$Y2010)&amp;"")</f>
        <v/>
      </c>
      <c r="AA2010" s="59">
        <f>IF($Y2010="","",IF(INDEX($D$6:$D$40000,$Y2010)="","",INDEX($D$6:$D$40000,$Y2010)))</f>
        <v/>
      </c>
      <c r="AB2010">
        <f>IF($Y2010="","",INDEX($L$6:$L$40000,$Y2010)&amp;"")</f>
        <v/>
      </c>
    </row>
    <row r="2011">
      <c r="Y2011" s="47">
        <f>IFERROR(MATCH(Library!M2011,$M$6:$M$40000,0),"")</f>
        <v/>
      </c>
      <c r="Z2011">
        <f>IF($Y2011="","",INDEX($C$6:$C$40000,$Y2011)&amp;"")</f>
        <v/>
      </c>
      <c r="AA2011" s="59">
        <f>IF($Y2011="","",IF(INDEX($D$6:$D$40000,$Y2011)="","",INDEX($D$6:$D$40000,$Y2011)))</f>
        <v/>
      </c>
      <c r="AB2011">
        <f>IF($Y2011="","",INDEX($L$6:$L$40000,$Y2011)&amp;"")</f>
        <v/>
      </c>
    </row>
    <row r="2012">
      <c r="Y2012" s="47">
        <f>IFERROR(MATCH(Library!M2012,$M$6:$M$40000,0),"")</f>
        <v/>
      </c>
      <c r="Z2012">
        <f>IF($Y2012="","",INDEX($C$6:$C$40000,$Y2012)&amp;"")</f>
        <v/>
      </c>
      <c r="AA2012" s="59">
        <f>IF($Y2012="","",IF(INDEX($D$6:$D$40000,$Y2012)="","",INDEX($D$6:$D$40000,$Y2012)))</f>
        <v/>
      </c>
      <c r="AB2012">
        <f>IF($Y2012="","",INDEX($L$6:$L$40000,$Y2012)&amp;"")</f>
        <v/>
      </c>
    </row>
    <row r="2013">
      <c r="Y2013" s="47">
        <f>IFERROR(MATCH(Library!M2013,$M$6:$M$40000,0),"")</f>
        <v/>
      </c>
      <c r="Z2013">
        <f>IF($Y2013="","",INDEX($C$6:$C$40000,$Y2013)&amp;"")</f>
        <v/>
      </c>
      <c r="AA2013" s="59">
        <f>IF($Y2013="","",IF(INDEX($D$6:$D$40000,$Y2013)="","",INDEX($D$6:$D$40000,$Y2013)))</f>
        <v/>
      </c>
      <c r="AB2013">
        <f>IF($Y2013="","",INDEX($L$6:$L$40000,$Y2013)&amp;"")</f>
        <v/>
      </c>
    </row>
    <row r="2014">
      <c r="Y2014" s="47">
        <f>IFERROR(MATCH(Library!M2014,$M$6:$M$40000,0),"")</f>
        <v/>
      </c>
      <c r="Z2014">
        <f>IF($Y2014="","",INDEX($C$6:$C$40000,$Y2014)&amp;"")</f>
        <v/>
      </c>
      <c r="AA2014" s="59">
        <f>IF($Y2014="","",IF(INDEX($D$6:$D$40000,$Y2014)="","",INDEX($D$6:$D$40000,$Y2014)))</f>
        <v/>
      </c>
      <c r="AB2014">
        <f>IF($Y2014="","",INDEX($L$6:$L$40000,$Y2014)&amp;"")</f>
        <v/>
      </c>
    </row>
    <row r="2015">
      <c r="Y2015" s="47">
        <f>IFERROR(MATCH(Library!M2015,$M$6:$M$40000,0),"")</f>
        <v/>
      </c>
      <c r="Z2015">
        <f>IF($Y2015="","",INDEX($C$6:$C$40000,$Y2015)&amp;"")</f>
        <v/>
      </c>
      <c r="AA2015" s="59">
        <f>IF($Y2015="","",IF(INDEX($D$6:$D$40000,$Y2015)="","",INDEX($D$6:$D$40000,$Y2015)))</f>
        <v/>
      </c>
      <c r="AB2015">
        <f>IF($Y2015="","",INDEX($L$6:$L$40000,$Y2015)&amp;"")</f>
        <v/>
      </c>
    </row>
    <row r="2016">
      <c r="Y2016" s="47">
        <f>IFERROR(MATCH(Library!M2016,$M$6:$M$40000,0),"")</f>
        <v/>
      </c>
      <c r="Z2016">
        <f>IF($Y2016="","",INDEX($C$6:$C$40000,$Y2016)&amp;"")</f>
        <v/>
      </c>
      <c r="AA2016" s="59">
        <f>IF($Y2016="","",IF(INDEX($D$6:$D$40000,$Y2016)="","",INDEX($D$6:$D$40000,$Y2016)))</f>
        <v/>
      </c>
      <c r="AB2016">
        <f>IF($Y2016="","",INDEX($L$6:$L$40000,$Y2016)&amp;"")</f>
        <v/>
      </c>
    </row>
    <row r="2017">
      <c r="Y2017" s="47">
        <f>IFERROR(MATCH(Library!M2017,$M$6:$M$40000,0),"")</f>
        <v/>
      </c>
      <c r="Z2017">
        <f>IF($Y2017="","",INDEX($C$6:$C$40000,$Y2017)&amp;"")</f>
        <v/>
      </c>
      <c r="AA2017" s="59">
        <f>IF($Y2017="","",IF(INDEX($D$6:$D$40000,$Y2017)="","",INDEX($D$6:$D$40000,$Y2017)))</f>
        <v/>
      </c>
      <c r="AB2017">
        <f>IF($Y2017="","",INDEX($L$6:$L$40000,$Y2017)&amp;"")</f>
        <v/>
      </c>
    </row>
    <row r="2018">
      <c r="Y2018" s="47">
        <f>IFERROR(MATCH(Library!M2018,$M$6:$M$40000,0),"")</f>
        <v/>
      </c>
      <c r="Z2018">
        <f>IF($Y2018="","",INDEX($C$6:$C$40000,$Y2018)&amp;"")</f>
        <v/>
      </c>
      <c r="AA2018" s="59">
        <f>IF($Y2018="","",IF(INDEX($D$6:$D$40000,$Y2018)="","",INDEX($D$6:$D$40000,$Y2018)))</f>
        <v/>
      </c>
      <c r="AB2018">
        <f>IF($Y2018="","",INDEX($L$6:$L$40000,$Y2018)&amp;"")</f>
        <v/>
      </c>
    </row>
    <row r="2019">
      <c r="Y2019" s="47">
        <f>IFERROR(MATCH(Library!M2019,$M$6:$M$40000,0),"")</f>
        <v/>
      </c>
      <c r="Z2019">
        <f>IF($Y2019="","",INDEX($C$6:$C$40000,$Y2019)&amp;"")</f>
        <v/>
      </c>
      <c r="AA2019" s="59">
        <f>IF($Y2019="","",IF(INDEX($D$6:$D$40000,$Y2019)="","",INDEX($D$6:$D$40000,$Y2019)))</f>
        <v/>
      </c>
      <c r="AB2019">
        <f>IF($Y2019="","",INDEX($L$6:$L$40000,$Y2019)&amp;"")</f>
        <v/>
      </c>
    </row>
    <row r="2020">
      <c r="Y2020" s="47">
        <f>IFERROR(MATCH(Library!M2020,$M$6:$M$40000,0),"")</f>
        <v/>
      </c>
      <c r="Z2020">
        <f>IF($Y2020="","",INDEX($C$6:$C$40000,$Y2020)&amp;"")</f>
        <v/>
      </c>
      <c r="AA2020" s="59">
        <f>IF($Y2020="","",IF(INDEX($D$6:$D$40000,$Y2020)="","",INDEX($D$6:$D$40000,$Y2020)))</f>
        <v/>
      </c>
      <c r="AB2020">
        <f>IF($Y2020="","",INDEX($L$6:$L$40000,$Y2020)&amp;"")</f>
        <v/>
      </c>
    </row>
    <row r="2021">
      <c r="Y2021" s="47">
        <f>IFERROR(MATCH(Library!M2021,$M$6:$M$40000,0),"")</f>
        <v/>
      </c>
      <c r="Z2021">
        <f>IF($Y2021="","",INDEX($C$6:$C$40000,$Y2021)&amp;"")</f>
        <v/>
      </c>
      <c r="AA2021" s="59">
        <f>IF($Y2021="","",IF(INDEX($D$6:$D$40000,$Y2021)="","",INDEX($D$6:$D$40000,$Y2021)))</f>
        <v/>
      </c>
      <c r="AB2021">
        <f>IF($Y2021="","",INDEX($L$6:$L$40000,$Y2021)&amp;"")</f>
        <v/>
      </c>
    </row>
    <row r="2022">
      <c r="Y2022" s="47">
        <f>IFERROR(MATCH(Library!M2022,$M$6:$M$40000,0),"")</f>
        <v/>
      </c>
      <c r="Z2022">
        <f>IF($Y2022="","",INDEX($C$6:$C$40000,$Y2022)&amp;"")</f>
        <v/>
      </c>
      <c r="AA2022" s="59">
        <f>IF($Y2022="","",IF(INDEX($D$6:$D$40000,$Y2022)="","",INDEX($D$6:$D$40000,$Y2022)))</f>
        <v/>
      </c>
      <c r="AB2022">
        <f>IF($Y2022="","",INDEX($L$6:$L$40000,$Y2022)&amp;"")</f>
        <v/>
      </c>
    </row>
    <row r="2023">
      <c r="Y2023" s="47">
        <f>IFERROR(MATCH(Library!M2023,$M$6:$M$40000,0),"")</f>
        <v/>
      </c>
      <c r="Z2023">
        <f>IF($Y2023="","",INDEX($C$6:$C$40000,$Y2023)&amp;"")</f>
        <v/>
      </c>
      <c r="AA2023" s="59">
        <f>IF($Y2023="","",IF(INDEX($D$6:$D$40000,$Y2023)="","",INDEX($D$6:$D$40000,$Y2023)))</f>
        <v/>
      </c>
      <c r="AB2023">
        <f>IF($Y2023="","",INDEX($L$6:$L$40000,$Y2023)&amp;"")</f>
        <v/>
      </c>
    </row>
    <row r="2024">
      <c r="Y2024" s="47">
        <f>IFERROR(MATCH(Library!M2024,$M$6:$M$40000,0),"")</f>
        <v/>
      </c>
      <c r="Z2024">
        <f>IF($Y2024="","",INDEX($C$6:$C$40000,$Y2024)&amp;"")</f>
        <v/>
      </c>
      <c r="AA2024" s="59">
        <f>IF($Y2024="","",IF(INDEX($D$6:$D$40000,$Y2024)="","",INDEX($D$6:$D$40000,$Y2024)))</f>
        <v/>
      </c>
      <c r="AB2024">
        <f>IF($Y2024="","",INDEX($L$6:$L$40000,$Y2024)&amp;"")</f>
        <v/>
      </c>
    </row>
    <row r="2025">
      <c r="Y2025" s="47">
        <f>IFERROR(MATCH(Library!M2025,$M$6:$M$40000,0),"")</f>
        <v/>
      </c>
      <c r="Z2025">
        <f>IF($Y2025="","",INDEX($C$6:$C$40000,$Y2025)&amp;"")</f>
        <v/>
      </c>
      <c r="AA2025" s="59">
        <f>IF($Y2025="","",IF(INDEX($D$6:$D$40000,$Y2025)="","",INDEX($D$6:$D$40000,$Y2025)))</f>
        <v/>
      </c>
      <c r="AB2025">
        <f>IF($Y2025="","",INDEX($L$6:$L$40000,$Y2025)&amp;"")</f>
        <v/>
      </c>
    </row>
    <row r="2026">
      <c r="Y2026" s="47">
        <f>IFERROR(MATCH(Library!M2026,$M$6:$M$40000,0),"")</f>
        <v/>
      </c>
      <c r="Z2026">
        <f>IF($Y2026="","",INDEX($C$6:$C$40000,$Y2026)&amp;"")</f>
        <v/>
      </c>
      <c r="AA2026" s="59">
        <f>IF($Y2026="","",IF(INDEX($D$6:$D$40000,$Y2026)="","",INDEX($D$6:$D$40000,$Y2026)))</f>
        <v/>
      </c>
      <c r="AB2026">
        <f>IF($Y2026="","",INDEX($L$6:$L$40000,$Y2026)&amp;"")</f>
        <v/>
      </c>
    </row>
    <row r="2027">
      <c r="Y2027" s="47">
        <f>IFERROR(MATCH(Library!M2027,$M$6:$M$40000,0),"")</f>
        <v/>
      </c>
      <c r="Z2027">
        <f>IF($Y2027="","",INDEX($C$6:$C$40000,$Y2027)&amp;"")</f>
        <v/>
      </c>
      <c r="AA2027" s="59">
        <f>IF($Y2027="","",IF(INDEX($D$6:$D$40000,$Y2027)="","",INDEX($D$6:$D$40000,$Y2027)))</f>
        <v/>
      </c>
      <c r="AB2027">
        <f>IF($Y2027="","",INDEX($L$6:$L$40000,$Y2027)&amp;"")</f>
        <v/>
      </c>
    </row>
    <row r="2028">
      <c r="Y2028" s="47">
        <f>IFERROR(MATCH(Library!M2028,$M$6:$M$40000,0),"")</f>
        <v/>
      </c>
      <c r="Z2028">
        <f>IF($Y2028="","",INDEX($C$6:$C$40000,$Y2028)&amp;"")</f>
        <v/>
      </c>
      <c r="AA2028" s="59">
        <f>IF($Y2028="","",IF(INDEX($D$6:$D$40000,$Y2028)="","",INDEX($D$6:$D$40000,$Y2028)))</f>
        <v/>
      </c>
      <c r="AB2028">
        <f>IF($Y2028="","",INDEX($L$6:$L$40000,$Y2028)&amp;"")</f>
        <v/>
      </c>
    </row>
    <row r="2029">
      <c r="Y2029" s="47">
        <f>IFERROR(MATCH(Library!M2029,$M$6:$M$40000,0),"")</f>
        <v/>
      </c>
      <c r="Z2029">
        <f>IF($Y2029="","",INDEX($C$6:$C$40000,$Y2029)&amp;"")</f>
        <v/>
      </c>
      <c r="AA2029" s="59">
        <f>IF($Y2029="","",IF(INDEX($D$6:$D$40000,$Y2029)="","",INDEX($D$6:$D$40000,$Y2029)))</f>
        <v/>
      </c>
      <c r="AB2029">
        <f>IF($Y2029="","",INDEX($L$6:$L$40000,$Y2029)&amp;"")</f>
        <v/>
      </c>
    </row>
    <row r="2030">
      <c r="Y2030" s="47">
        <f>IFERROR(MATCH(Library!M2030,$M$6:$M$40000,0),"")</f>
        <v/>
      </c>
      <c r="Z2030">
        <f>IF($Y2030="","",INDEX($C$6:$C$40000,$Y2030)&amp;"")</f>
        <v/>
      </c>
      <c r="AA2030" s="59">
        <f>IF($Y2030="","",IF(INDEX($D$6:$D$40000,$Y2030)="","",INDEX($D$6:$D$40000,$Y2030)))</f>
        <v/>
      </c>
      <c r="AB2030">
        <f>IF($Y2030="","",INDEX($L$6:$L$40000,$Y2030)&amp;"")</f>
        <v/>
      </c>
    </row>
    <row r="2031">
      <c r="Y2031" s="47">
        <f>IFERROR(MATCH(Library!M2031,$M$6:$M$40000,0),"")</f>
        <v/>
      </c>
      <c r="Z2031">
        <f>IF($Y2031="","",INDEX($C$6:$C$40000,$Y2031)&amp;"")</f>
        <v/>
      </c>
      <c r="AA2031" s="59">
        <f>IF($Y2031="","",IF(INDEX($D$6:$D$40000,$Y2031)="","",INDEX($D$6:$D$40000,$Y2031)))</f>
        <v/>
      </c>
      <c r="AB2031">
        <f>IF($Y2031="","",INDEX($L$6:$L$40000,$Y2031)&amp;"")</f>
        <v/>
      </c>
    </row>
    <row r="2032">
      <c r="Y2032" s="47">
        <f>IFERROR(MATCH(Library!M2032,$M$6:$M$40000,0),"")</f>
        <v/>
      </c>
      <c r="Z2032">
        <f>IF($Y2032="","",INDEX($C$6:$C$40000,$Y2032)&amp;"")</f>
        <v/>
      </c>
      <c r="AA2032" s="59">
        <f>IF($Y2032="","",IF(INDEX($D$6:$D$40000,$Y2032)="","",INDEX($D$6:$D$40000,$Y2032)))</f>
        <v/>
      </c>
      <c r="AB2032">
        <f>IF($Y2032="","",INDEX($L$6:$L$40000,$Y2032)&amp;"")</f>
        <v/>
      </c>
    </row>
    <row r="2033">
      <c r="Y2033" s="47">
        <f>IFERROR(MATCH(Library!M2033,$M$6:$M$40000,0),"")</f>
        <v/>
      </c>
      <c r="Z2033">
        <f>IF($Y2033="","",INDEX($C$6:$C$40000,$Y2033)&amp;"")</f>
        <v/>
      </c>
      <c r="AA2033" s="59">
        <f>IF($Y2033="","",IF(INDEX($D$6:$D$40000,$Y2033)="","",INDEX($D$6:$D$40000,$Y2033)))</f>
        <v/>
      </c>
      <c r="AB2033">
        <f>IF($Y2033="","",INDEX($L$6:$L$40000,$Y2033)&amp;"")</f>
        <v/>
      </c>
    </row>
    <row r="2034">
      <c r="Y2034" s="47">
        <f>IFERROR(MATCH(Library!M2034,$M$6:$M$40000,0),"")</f>
        <v/>
      </c>
      <c r="Z2034">
        <f>IF($Y2034="","",INDEX($C$6:$C$40000,$Y2034)&amp;"")</f>
        <v/>
      </c>
      <c r="AA2034" s="59">
        <f>IF($Y2034="","",IF(INDEX($D$6:$D$40000,$Y2034)="","",INDEX($D$6:$D$40000,$Y2034)))</f>
        <v/>
      </c>
      <c r="AB2034">
        <f>IF($Y2034="","",INDEX($L$6:$L$40000,$Y2034)&amp;"")</f>
        <v/>
      </c>
    </row>
    <row r="2035">
      <c r="Y2035" s="47">
        <f>IFERROR(MATCH(Library!M2035,$M$6:$M$40000,0),"")</f>
        <v/>
      </c>
      <c r="Z2035">
        <f>IF($Y2035="","",INDEX($C$6:$C$40000,$Y2035)&amp;"")</f>
        <v/>
      </c>
      <c r="AA2035" s="59">
        <f>IF($Y2035="","",IF(INDEX($D$6:$D$40000,$Y2035)="","",INDEX($D$6:$D$40000,$Y2035)))</f>
        <v/>
      </c>
      <c r="AB2035">
        <f>IF($Y2035="","",INDEX($L$6:$L$40000,$Y2035)&amp;"")</f>
        <v/>
      </c>
    </row>
    <row r="2036">
      <c r="Y2036" s="47">
        <f>IFERROR(MATCH(Library!M2036,$M$6:$M$40000,0),"")</f>
        <v/>
      </c>
      <c r="Z2036">
        <f>IF($Y2036="","",INDEX($C$6:$C$40000,$Y2036)&amp;"")</f>
        <v/>
      </c>
      <c r="AA2036" s="59">
        <f>IF($Y2036="","",IF(INDEX($D$6:$D$40000,$Y2036)="","",INDEX($D$6:$D$40000,$Y2036)))</f>
        <v/>
      </c>
      <c r="AB2036">
        <f>IF($Y2036="","",INDEX($L$6:$L$40000,$Y2036)&amp;"")</f>
        <v/>
      </c>
    </row>
    <row r="2037">
      <c r="Y2037" s="47">
        <f>IFERROR(MATCH(Library!M2037,$M$6:$M$40000,0),"")</f>
        <v/>
      </c>
      <c r="Z2037">
        <f>IF($Y2037="","",INDEX($C$6:$C$40000,$Y2037)&amp;"")</f>
        <v/>
      </c>
      <c r="AA2037" s="59">
        <f>IF($Y2037="","",IF(INDEX($D$6:$D$40000,$Y2037)="","",INDEX($D$6:$D$40000,$Y2037)))</f>
        <v/>
      </c>
      <c r="AB2037">
        <f>IF($Y2037="","",INDEX($L$6:$L$40000,$Y2037)&amp;"")</f>
        <v/>
      </c>
    </row>
    <row r="2038">
      <c r="Y2038" s="47">
        <f>IFERROR(MATCH(Library!M2038,$M$6:$M$40000,0),"")</f>
        <v/>
      </c>
      <c r="Z2038">
        <f>IF($Y2038="","",INDEX($C$6:$C$40000,$Y2038)&amp;"")</f>
        <v/>
      </c>
      <c r="AA2038" s="59">
        <f>IF($Y2038="","",IF(INDEX($D$6:$D$40000,$Y2038)="","",INDEX($D$6:$D$40000,$Y2038)))</f>
        <v/>
      </c>
      <c r="AB2038">
        <f>IF($Y2038="","",INDEX($L$6:$L$40000,$Y2038)&amp;"")</f>
        <v/>
      </c>
    </row>
    <row r="2039">
      <c r="Y2039" s="47">
        <f>IFERROR(MATCH(Library!M2039,$M$6:$M$40000,0),"")</f>
        <v/>
      </c>
      <c r="Z2039">
        <f>IF($Y2039="","",INDEX($C$6:$C$40000,$Y2039)&amp;"")</f>
        <v/>
      </c>
      <c r="AA2039" s="59">
        <f>IF($Y2039="","",IF(INDEX($D$6:$D$40000,$Y2039)="","",INDEX($D$6:$D$40000,$Y2039)))</f>
        <v/>
      </c>
      <c r="AB2039">
        <f>IF($Y2039="","",INDEX($L$6:$L$40000,$Y2039)&amp;"")</f>
        <v/>
      </c>
    </row>
    <row r="2040">
      <c r="Y2040" s="47">
        <f>IFERROR(MATCH(Library!M2040,$M$6:$M$40000,0),"")</f>
        <v/>
      </c>
      <c r="Z2040">
        <f>IF($Y2040="","",INDEX($C$6:$C$40000,$Y2040)&amp;"")</f>
        <v/>
      </c>
      <c r="AA2040" s="59">
        <f>IF($Y2040="","",IF(INDEX($D$6:$D$40000,$Y2040)="","",INDEX($D$6:$D$40000,$Y2040)))</f>
        <v/>
      </c>
      <c r="AB2040">
        <f>IF($Y2040="","",INDEX($L$6:$L$40000,$Y2040)&amp;"")</f>
        <v/>
      </c>
    </row>
    <row r="2041">
      <c r="Y2041" s="47">
        <f>IFERROR(MATCH(Library!M2041,$M$6:$M$40000,0),"")</f>
        <v/>
      </c>
      <c r="Z2041">
        <f>IF($Y2041="","",INDEX($C$6:$C$40000,$Y2041)&amp;"")</f>
        <v/>
      </c>
      <c r="AA2041" s="59">
        <f>IF($Y2041="","",IF(INDEX($D$6:$D$40000,$Y2041)="","",INDEX($D$6:$D$40000,$Y2041)))</f>
        <v/>
      </c>
      <c r="AB2041">
        <f>IF($Y2041="","",INDEX($L$6:$L$40000,$Y2041)&amp;"")</f>
        <v/>
      </c>
    </row>
    <row r="2042">
      <c r="Y2042" s="47">
        <f>IFERROR(MATCH(Library!M2042,$M$6:$M$40000,0),"")</f>
        <v/>
      </c>
      <c r="Z2042">
        <f>IF($Y2042="","",INDEX($C$6:$C$40000,$Y2042)&amp;"")</f>
        <v/>
      </c>
      <c r="AA2042" s="59">
        <f>IF($Y2042="","",IF(INDEX($D$6:$D$40000,$Y2042)="","",INDEX($D$6:$D$40000,$Y2042)))</f>
        <v/>
      </c>
      <c r="AB2042">
        <f>IF($Y2042="","",INDEX($L$6:$L$40000,$Y2042)&amp;"")</f>
        <v/>
      </c>
    </row>
    <row r="2043">
      <c r="Y2043" s="47">
        <f>IFERROR(MATCH(Library!M2043,$M$6:$M$40000,0),"")</f>
        <v/>
      </c>
      <c r="Z2043">
        <f>IF($Y2043="","",INDEX($C$6:$C$40000,$Y2043)&amp;"")</f>
        <v/>
      </c>
      <c r="AA2043" s="59">
        <f>IF($Y2043="","",IF(INDEX($D$6:$D$40000,$Y2043)="","",INDEX($D$6:$D$40000,$Y2043)))</f>
        <v/>
      </c>
      <c r="AB2043">
        <f>IF($Y2043="","",INDEX($L$6:$L$40000,$Y2043)&amp;"")</f>
        <v/>
      </c>
    </row>
    <row r="2044">
      <c r="Y2044" s="47">
        <f>IFERROR(MATCH(Library!M2044,$M$6:$M$40000,0),"")</f>
        <v/>
      </c>
      <c r="Z2044">
        <f>IF($Y2044="","",INDEX($C$6:$C$40000,$Y2044)&amp;"")</f>
        <v/>
      </c>
      <c r="AA2044" s="59">
        <f>IF($Y2044="","",IF(INDEX($D$6:$D$40000,$Y2044)="","",INDEX($D$6:$D$40000,$Y2044)))</f>
        <v/>
      </c>
      <c r="AB2044">
        <f>IF($Y2044="","",INDEX($L$6:$L$40000,$Y2044)&amp;"")</f>
        <v/>
      </c>
    </row>
    <row r="2045">
      <c r="Y2045" s="47">
        <f>IFERROR(MATCH(Library!M2045,$M$6:$M$40000,0),"")</f>
        <v/>
      </c>
      <c r="Z2045">
        <f>IF($Y2045="","",INDEX($C$6:$C$40000,$Y2045)&amp;"")</f>
        <v/>
      </c>
      <c r="AA2045" s="59">
        <f>IF($Y2045="","",IF(INDEX($D$6:$D$40000,$Y2045)="","",INDEX($D$6:$D$40000,$Y2045)))</f>
        <v/>
      </c>
      <c r="AB2045">
        <f>IF($Y2045="","",INDEX($L$6:$L$40000,$Y2045)&amp;"")</f>
        <v/>
      </c>
    </row>
    <row r="2046">
      <c r="Y2046" s="47">
        <f>IFERROR(MATCH(Library!M2046,$M$6:$M$40000,0),"")</f>
        <v/>
      </c>
      <c r="Z2046">
        <f>IF($Y2046="","",INDEX($C$6:$C$40000,$Y2046)&amp;"")</f>
        <v/>
      </c>
      <c r="AA2046" s="59">
        <f>IF($Y2046="","",IF(INDEX($D$6:$D$40000,$Y2046)="","",INDEX($D$6:$D$40000,$Y2046)))</f>
        <v/>
      </c>
      <c r="AB2046">
        <f>IF($Y2046="","",INDEX($L$6:$L$40000,$Y2046)&amp;"")</f>
        <v/>
      </c>
    </row>
    <row r="2047">
      <c r="Y2047" s="47">
        <f>IFERROR(MATCH(Library!M2047,$M$6:$M$40000,0),"")</f>
        <v/>
      </c>
      <c r="Z2047">
        <f>IF($Y2047="","",INDEX($C$6:$C$40000,$Y2047)&amp;"")</f>
        <v/>
      </c>
      <c r="AA2047" s="59">
        <f>IF($Y2047="","",IF(INDEX($D$6:$D$40000,$Y2047)="","",INDEX($D$6:$D$40000,$Y2047)))</f>
        <v/>
      </c>
      <c r="AB2047">
        <f>IF($Y2047="","",INDEX($L$6:$L$40000,$Y2047)&amp;"")</f>
        <v/>
      </c>
    </row>
    <row r="2048">
      <c r="Y2048" s="47">
        <f>IFERROR(MATCH(Library!M2048,$M$6:$M$40000,0),"")</f>
        <v/>
      </c>
      <c r="Z2048">
        <f>IF($Y2048="","",INDEX($C$6:$C$40000,$Y2048)&amp;"")</f>
        <v/>
      </c>
      <c r="AA2048" s="59">
        <f>IF($Y2048="","",IF(INDEX($D$6:$D$40000,$Y2048)="","",INDEX($D$6:$D$40000,$Y2048)))</f>
        <v/>
      </c>
      <c r="AB2048">
        <f>IF($Y2048="","",INDEX($L$6:$L$40000,$Y2048)&amp;"")</f>
        <v/>
      </c>
    </row>
    <row r="2049">
      <c r="Y2049" s="47">
        <f>IFERROR(MATCH(Library!M2049,$M$6:$M$40000,0),"")</f>
        <v/>
      </c>
      <c r="Z2049">
        <f>IF($Y2049="","",INDEX($C$6:$C$40000,$Y2049)&amp;"")</f>
        <v/>
      </c>
      <c r="AA2049" s="59">
        <f>IF($Y2049="","",IF(INDEX($D$6:$D$40000,$Y2049)="","",INDEX($D$6:$D$40000,$Y2049)))</f>
        <v/>
      </c>
      <c r="AB2049">
        <f>IF($Y2049="","",INDEX($L$6:$L$40000,$Y2049)&amp;"")</f>
        <v/>
      </c>
    </row>
    <row r="2050">
      <c r="Y2050" s="47">
        <f>IFERROR(MATCH(Library!M2050,$M$6:$M$40000,0),"")</f>
        <v/>
      </c>
      <c r="Z2050">
        <f>IF($Y2050="","",INDEX($C$6:$C$40000,$Y2050)&amp;"")</f>
        <v/>
      </c>
      <c r="AA2050" s="59">
        <f>IF($Y2050="","",IF(INDEX($D$6:$D$40000,$Y2050)="","",INDEX($D$6:$D$40000,$Y2050)))</f>
        <v/>
      </c>
      <c r="AB2050">
        <f>IF($Y2050="","",INDEX($L$6:$L$40000,$Y2050)&amp;"")</f>
        <v/>
      </c>
    </row>
    <row r="2051">
      <c r="Y2051" s="47">
        <f>IFERROR(MATCH(Library!M2051,$M$6:$M$40000,0),"")</f>
        <v/>
      </c>
      <c r="Z2051">
        <f>IF($Y2051="","",INDEX($C$6:$C$40000,$Y2051)&amp;"")</f>
        <v/>
      </c>
      <c r="AA2051" s="59">
        <f>IF($Y2051="","",IF(INDEX($D$6:$D$40000,$Y2051)="","",INDEX($D$6:$D$40000,$Y2051)))</f>
        <v/>
      </c>
      <c r="AB2051">
        <f>IF($Y2051="","",INDEX($L$6:$L$40000,$Y2051)&amp;"")</f>
        <v/>
      </c>
    </row>
    <row r="2052">
      <c r="Y2052" s="47">
        <f>IFERROR(MATCH(Library!M2052,$M$6:$M$40000,0),"")</f>
        <v/>
      </c>
      <c r="Z2052">
        <f>IF($Y2052="","",INDEX($C$6:$C$40000,$Y2052)&amp;"")</f>
        <v/>
      </c>
      <c r="AA2052" s="59">
        <f>IF($Y2052="","",IF(INDEX($D$6:$D$40000,$Y2052)="","",INDEX($D$6:$D$40000,$Y2052)))</f>
        <v/>
      </c>
      <c r="AB2052">
        <f>IF($Y2052="","",INDEX($L$6:$L$40000,$Y2052)&amp;"")</f>
        <v/>
      </c>
    </row>
    <row r="2053">
      <c r="Y2053" s="47">
        <f>IFERROR(MATCH(Library!M2053,$M$6:$M$40000,0),"")</f>
        <v/>
      </c>
      <c r="Z2053">
        <f>IF($Y2053="","",INDEX($C$6:$C$40000,$Y2053)&amp;"")</f>
        <v/>
      </c>
      <c r="AA2053" s="59">
        <f>IF($Y2053="","",IF(INDEX($D$6:$D$40000,$Y2053)="","",INDEX($D$6:$D$40000,$Y2053)))</f>
        <v/>
      </c>
      <c r="AB2053">
        <f>IF($Y2053="","",INDEX($L$6:$L$40000,$Y2053)&amp;"")</f>
        <v/>
      </c>
    </row>
    <row r="2054">
      <c r="Y2054" s="47">
        <f>IFERROR(MATCH(Library!M2054,$M$6:$M$40000,0),"")</f>
        <v/>
      </c>
      <c r="Z2054">
        <f>IF($Y2054="","",INDEX($C$6:$C$40000,$Y2054)&amp;"")</f>
        <v/>
      </c>
      <c r="AA2054" s="59">
        <f>IF($Y2054="","",IF(INDEX($D$6:$D$40000,$Y2054)="","",INDEX($D$6:$D$40000,$Y2054)))</f>
        <v/>
      </c>
      <c r="AB2054">
        <f>IF($Y2054="","",INDEX($L$6:$L$40000,$Y2054)&amp;"")</f>
        <v/>
      </c>
    </row>
    <row r="2055">
      <c r="Y2055" s="47">
        <f>IFERROR(MATCH(Library!M2055,$M$6:$M$40000,0),"")</f>
        <v/>
      </c>
      <c r="Z2055">
        <f>IF($Y2055="","",INDEX($C$6:$C$40000,$Y2055)&amp;"")</f>
        <v/>
      </c>
      <c r="AA2055" s="59">
        <f>IF($Y2055="","",IF(INDEX($D$6:$D$40000,$Y2055)="","",INDEX($D$6:$D$40000,$Y2055)))</f>
        <v/>
      </c>
      <c r="AB2055">
        <f>IF($Y2055="","",INDEX($L$6:$L$40000,$Y2055)&amp;"")</f>
        <v/>
      </c>
    </row>
    <row r="2056">
      <c r="Y2056" s="47">
        <f>IFERROR(MATCH(Library!M2056,$M$6:$M$40000,0),"")</f>
        <v/>
      </c>
      <c r="Z2056">
        <f>IF($Y2056="","",INDEX($C$6:$C$40000,$Y2056)&amp;"")</f>
        <v/>
      </c>
      <c r="AA2056" s="59">
        <f>IF($Y2056="","",IF(INDEX($D$6:$D$40000,$Y2056)="","",INDEX($D$6:$D$40000,$Y2056)))</f>
        <v/>
      </c>
      <c r="AB2056">
        <f>IF($Y2056="","",INDEX($L$6:$L$40000,$Y2056)&amp;"")</f>
        <v/>
      </c>
    </row>
    <row r="2057">
      <c r="Y2057" s="47">
        <f>IFERROR(MATCH(Library!M2057,$M$6:$M$40000,0),"")</f>
        <v/>
      </c>
      <c r="Z2057">
        <f>IF($Y2057="","",INDEX($C$6:$C$40000,$Y2057)&amp;"")</f>
        <v/>
      </c>
      <c r="AA2057" s="59">
        <f>IF($Y2057="","",IF(INDEX($D$6:$D$40000,$Y2057)="","",INDEX($D$6:$D$40000,$Y2057)))</f>
        <v/>
      </c>
      <c r="AB2057">
        <f>IF($Y2057="","",INDEX($L$6:$L$40000,$Y2057)&amp;"")</f>
        <v/>
      </c>
    </row>
    <row r="2058">
      <c r="Y2058" s="47">
        <f>IFERROR(MATCH(Library!M2058,$M$6:$M$40000,0),"")</f>
        <v/>
      </c>
      <c r="Z2058">
        <f>IF($Y2058="","",INDEX($C$6:$C$40000,$Y2058)&amp;"")</f>
        <v/>
      </c>
      <c r="AA2058" s="59">
        <f>IF($Y2058="","",IF(INDEX($D$6:$D$40000,$Y2058)="","",INDEX($D$6:$D$40000,$Y2058)))</f>
        <v/>
      </c>
      <c r="AB2058">
        <f>IF($Y2058="","",INDEX($L$6:$L$40000,$Y2058)&amp;"")</f>
        <v/>
      </c>
    </row>
    <row r="2059">
      <c r="Y2059" s="47">
        <f>IFERROR(MATCH(Library!M2059,$M$6:$M$40000,0),"")</f>
        <v/>
      </c>
      <c r="Z2059">
        <f>IF($Y2059="","",INDEX($C$6:$C$40000,$Y2059)&amp;"")</f>
        <v/>
      </c>
      <c r="AA2059" s="59">
        <f>IF($Y2059="","",IF(INDEX($D$6:$D$40000,$Y2059)="","",INDEX($D$6:$D$40000,$Y2059)))</f>
        <v/>
      </c>
      <c r="AB2059">
        <f>IF($Y2059="","",INDEX($L$6:$L$40000,$Y2059)&amp;"")</f>
        <v/>
      </c>
    </row>
    <row r="2060">
      <c r="Y2060" s="47">
        <f>IFERROR(MATCH(Library!M2060,$M$6:$M$40000,0),"")</f>
        <v/>
      </c>
      <c r="Z2060">
        <f>IF($Y2060="","",INDEX($C$6:$C$40000,$Y2060)&amp;"")</f>
        <v/>
      </c>
      <c r="AA2060" s="59">
        <f>IF($Y2060="","",IF(INDEX($D$6:$D$40000,$Y2060)="","",INDEX($D$6:$D$40000,$Y2060)))</f>
        <v/>
      </c>
      <c r="AB2060">
        <f>IF($Y2060="","",INDEX($L$6:$L$40000,$Y2060)&amp;"")</f>
        <v/>
      </c>
    </row>
    <row r="2061">
      <c r="Y2061" s="47">
        <f>IFERROR(MATCH(Library!M2061,$M$6:$M$40000,0),"")</f>
        <v/>
      </c>
      <c r="Z2061">
        <f>IF($Y2061="","",INDEX($C$6:$C$40000,$Y2061)&amp;"")</f>
        <v/>
      </c>
      <c r="AA2061" s="59">
        <f>IF($Y2061="","",IF(INDEX($D$6:$D$40000,$Y2061)="","",INDEX($D$6:$D$40000,$Y2061)))</f>
        <v/>
      </c>
      <c r="AB2061">
        <f>IF($Y2061="","",INDEX($L$6:$L$40000,$Y2061)&amp;"")</f>
        <v/>
      </c>
    </row>
    <row r="2062">
      <c r="Y2062" s="47">
        <f>IFERROR(MATCH(Library!M2062,$M$6:$M$40000,0),"")</f>
        <v/>
      </c>
      <c r="Z2062">
        <f>IF($Y2062="","",INDEX($C$6:$C$40000,$Y2062)&amp;"")</f>
        <v/>
      </c>
      <c r="AA2062" s="59">
        <f>IF($Y2062="","",IF(INDEX($D$6:$D$40000,$Y2062)="","",INDEX($D$6:$D$40000,$Y2062)))</f>
        <v/>
      </c>
      <c r="AB2062">
        <f>IF($Y2062="","",INDEX($L$6:$L$40000,$Y2062)&amp;"")</f>
        <v/>
      </c>
    </row>
    <row r="2063">
      <c r="Y2063" s="47">
        <f>IFERROR(MATCH(Library!M2063,$M$6:$M$40000,0),"")</f>
        <v/>
      </c>
      <c r="Z2063">
        <f>IF($Y2063="","",INDEX($C$6:$C$40000,$Y2063)&amp;"")</f>
        <v/>
      </c>
      <c r="AA2063" s="59">
        <f>IF($Y2063="","",IF(INDEX($D$6:$D$40000,$Y2063)="","",INDEX($D$6:$D$40000,$Y2063)))</f>
        <v/>
      </c>
      <c r="AB2063">
        <f>IF($Y2063="","",INDEX($L$6:$L$40000,$Y2063)&amp;"")</f>
        <v/>
      </c>
    </row>
    <row r="2064">
      <c r="Y2064" s="47">
        <f>IFERROR(MATCH(Library!M2064,$M$6:$M$40000,0),"")</f>
        <v/>
      </c>
      <c r="Z2064">
        <f>IF($Y2064="","",INDEX($C$6:$C$40000,$Y2064)&amp;"")</f>
        <v/>
      </c>
      <c r="AA2064" s="59">
        <f>IF($Y2064="","",IF(INDEX($D$6:$D$40000,$Y2064)="","",INDEX($D$6:$D$40000,$Y2064)))</f>
        <v/>
      </c>
      <c r="AB2064">
        <f>IF($Y2064="","",INDEX($L$6:$L$40000,$Y2064)&amp;"")</f>
        <v/>
      </c>
    </row>
    <row r="2065">
      <c r="Y2065" s="47">
        <f>IFERROR(MATCH(Library!M2065,$M$6:$M$40000,0),"")</f>
        <v/>
      </c>
      <c r="Z2065">
        <f>IF($Y2065="","",INDEX($C$6:$C$40000,$Y2065)&amp;"")</f>
        <v/>
      </c>
      <c r="AA2065" s="59">
        <f>IF($Y2065="","",IF(INDEX($D$6:$D$40000,$Y2065)="","",INDEX($D$6:$D$40000,$Y2065)))</f>
        <v/>
      </c>
      <c r="AB2065">
        <f>IF($Y2065="","",INDEX($L$6:$L$40000,$Y2065)&amp;"")</f>
        <v/>
      </c>
    </row>
    <row r="2066">
      <c r="Y2066" s="47">
        <f>IFERROR(MATCH(Library!M2066,$M$6:$M$40000,0),"")</f>
        <v/>
      </c>
      <c r="Z2066">
        <f>IF($Y2066="","",INDEX($C$6:$C$40000,$Y2066)&amp;"")</f>
        <v/>
      </c>
      <c r="AA2066" s="59">
        <f>IF($Y2066="","",IF(INDEX($D$6:$D$40000,$Y2066)="","",INDEX($D$6:$D$40000,$Y2066)))</f>
        <v/>
      </c>
      <c r="AB2066">
        <f>IF($Y2066="","",INDEX($L$6:$L$40000,$Y2066)&amp;"")</f>
        <v/>
      </c>
    </row>
    <row r="2067">
      <c r="Y2067" s="47">
        <f>IFERROR(MATCH(Library!M2067,$M$6:$M$40000,0),"")</f>
        <v/>
      </c>
      <c r="Z2067">
        <f>IF($Y2067="","",INDEX($C$6:$C$40000,$Y2067)&amp;"")</f>
        <v/>
      </c>
      <c r="AA2067" s="59">
        <f>IF($Y2067="","",IF(INDEX($D$6:$D$40000,$Y2067)="","",INDEX($D$6:$D$40000,$Y2067)))</f>
        <v/>
      </c>
      <c r="AB2067">
        <f>IF($Y2067="","",INDEX($L$6:$L$40000,$Y2067)&amp;"")</f>
        <v/>
      </c>
    </row>
    <row r="2068">
      <c r="Y2068" s="47">
        <f>IFERROR(MATCH(Library!M2068,$M$6:$M$40000,0),"")</f>
        <v/>
      </c>
      <c r="Z2068">
        <f>IF($Y2068="","",INDEX($C$6:$C$40000,$Y2068)&amp;"")</f>
        <v/>
      </c>
      <c r="AA2068" s="59">
        <f>IF($Y2068="","",IF(INDEX($D$6:$D$40000,$Y2068)="","",INDEX($D$6:$D$40000,$Y2068)))</f>
        <v/>
      </c>
      <c r="AB2068">
        <f>IF($Y2068="","",INDEX($L$6:$L$40000,$Y2068)&amp;"")</f>
        <v/>
      </c>
    </row>
    <row r="2069">
      <c r="Y2069" s="47">
        <f>IFERROR(MATCH(Library!M2069,$M$6:$M$40000,0),"")</f>
        <v/>
      </c>
      <c r="Z2069">
        <f>IF($Y2069="","",INDEX($C$6:$C$40000,$Y2069)&amp;"")</f>
        <v/>
      </c>
      <c r="AA2069" s="59">
        <f>IF($Y2069="","",IF(INDEX($D$6:$D$40000,$Y2069)="","",INDEX($D$6:$D$40000,$Y2069)))</f>
        <v/>
      </c>
      <c r="AB2069">
        <f>IF($Y2069="","",INDEX($L$6:$L$40000,$Y2069)&amp;"")</f>
        <v/>
      </c>
    </row>
    <row r="2070">
      <c r="Y2070" s="47">
        <f>IFERROR(MATCH(Library!M2070,$M$6:$M$40000,0),"")</f>
        <v/>
      </c>
      <c r="Z2070">
        <f>IF($Y2070="","",INDEX($C$6:$C$40000,$Y2070)&amp;"")</f>
        <v/>
      </c>
      <c r="AA2070" s="59">
        <f>IF($Y2070="","",IF(INDEX($D$6:$D$40000,$Y2070)="","",INDEX($D$6:$D$40000,$Y2070)))</f>
        <v/>
      </c>
      <c r="AB2070">
        <f>IF($Y2070="","",INDEX($L$6:$L$40000,$Y2070)&amp;"")</f>
        <v/>
      </c>
    </row>
    <row r="2071">
      <c r="Y2071" s="47">
        <f>IFERROR(MATCH(Library!M2071,$M$6:$M$40000,0),"")</f>
        <v/>
      </c>
      <c r="Z2071">
        <f>IF($Y2071="","",INDEX($C$6:$C$40000,$Y2071)&amp;"")</f>
        <v/>
      </c>
      <c r="AA2071" s="59">
        <f>IF($Y2071="","",IF(INDEX($D$6:$D$40000,$Y2071)="","",INDEX($D$6:$D$40000,$Y2071)))</f>
        <v/>
      </c>
      <c r="AB2071">
        <f>IF($Y2071="","",INDEX($L$6:$L$40000,$Y2071)&amp;"")</f>
        <v/>
      </c>
    </row>
    <row r="2072">
      <c r="Y2072" s="47">
        <f>IFERROR(MATCH(Library!M2072,$M$6:$M$40000,0),"")</f>
        <v/>
      </c>
      <c r="Z2072">
        <f>IF($Y2072="","",INDEX($C$6:$C$40000,$Y2072)&amp;"")</f>
        <v/>
      </c>
      <c r="AA2072" s="59">
        <f>IF($Y2072="","",IF(INDEX($D$6:$D$40000,$Y2072)="","",INDEX($D$6:$D$40000,$Y2072)))</f>
        <v/>
      </c>
      <c r="AB2072">
        <f>IF($Y2072="","",INDEX($L$6:$L$40000,$Y2072)&amp;"")</f>
        <v/>
      </c>
    </row>
    <row r="2073">
      <c r="Y2073" s="47">
        <f>IFERROR(MATCH(Library!M2073,$M$6:$M$40000,0),"")</f>
        <v/>
      </c>
      <c r="Z2073">
        <f>IF($Y2073="","",INDEX($C$6:$C$40000,$Y2073)&amp;"")</f>
        <v/>
      </c>
      <c r="AA2073" s="59">
        <f>IF($Y2073="","",IF(INDEX($D$6:$D$40000,$Y2073)="","",INDEX($D$6:$D$40000,$Y2073)))</f>
        <v/>
      </c>
      <c r="AB2073">
        <f>IF($Y2073="","",INDEX($L$6:$L$40000,$Y2073)&amp;"")</f>
        <v/>
      </c>
    </row>
    <row r="2074">
      <c r="Y2074" s="47">
        <f>IFERROR(MATCH(Library!M2074,$M$6:$M$40000,0),"")</f>
        <v/>
      </c>
      <c r="Z2074">
        <f>IF($Y2074="","",INDEX($C$6:$C$40000,$Y2074)&amp;"")</f>
        <v/>
      </c>
      <c r="AA2074" s="59">
        <f>IF($Y2074="","",IF(INDEX($D$6:$D$40000,$Y2074)="","",INDEX($D$6:$D$40000,$Y2074)))</f>
        <v/>
      </c>
      <c r="AB2074">
        <f>IF($Y2074="","",INDEX($L$6:$L$40000,$Y2074)&amp;"")</f>
        <v/>
      </c>
    </row>
    <row r="2075">
      <c r="Y2075" s="47">
        <f>IFERROR(MATCH(Library!M2075,$M$6:$M$40000,0),"")</f>
        <v/>
      </c>
      <c r="Z2075">
        <f>IF($Y2075="","",INDEX($C$6:$C$40000,$Y2075)&amp;"")</f>
        <v/>
      </c>
      <c r="AA2075" s="59">
        <f>IF($Y2075="","",IF(INDEX($D$6:$D$40000,$Y2075)="","",INDEX($D$6:$D$40000,$Y2075)))</f>
        <v/>
      </c>
      <c r="AB2075">
        <f>IF($Y2075="","",INDEX($L$6:$L$40000,$Y2075)&amp;"")</f>
        <v/>
      </c>
    </row>
    <row r="2076">
      <c r="Y2076" s="47">
        <f>IFERROR(MATCH(Library!M2076,$M$6:$M$40000,0),"")</f>
        <v/>
      </c>
      <c r="Z2076">
        <f>IF($Y2076="","",INDEX($C$6:$C$40000,$Y2076)&amp;"")</f>
        <v/>
      </c>
      <c r="AA2076" s="59">
        <f>IF($Y2076="","",IF(INDEX($D$6:$D$40000,$Y2076)="","",INDEX($D$6:$D$40000,$Y2076)))</f>
        <v/>
      </c>
      <c r="AB2076">
        <f>IF($Y2076="","",INDEX($L$6:$L$40000,$Y2076)&amp;"")</f>
        <v/>
      </c>
    </row>
    <row r="2077">
      <c r="Y2077" s="47">
        <f>IFERROR(MATCH(Library!M2077,$M$6:$M$40000,0),"")</f>
        <v/>
      </c>
      <c r="Z2077">
        <f>IF($Y2077="","",INDEX($C$6:$C$40000,$Y2077)&amp;"")</f>
        <v/>
      </c>
      <c r="AA2077" s="59">
        <f>IF($Y2077="","",IF(INDEX($D$6:$D$40000,$Y2077)="","",INDEX($D$6:$D$40000,$Y2077)))</f>
        <v/>
      </c>
      <c r="AB2077">
        <f>IF($Y2077="","",INDEX($L$6:$L$40000,$Y2077)&amp;"")</f>
        <v/>
      </c>
    </row>
    <row r="2078">
      <c r="Y2078" s="47">
        <f>IFERROR(MATCH(Library!M2078,$M$6:$M$40000,0),"")</f>
        <v/>
      </c>
      <c r="Z2078">
        <f>IF($Y2078="","",INDEX($C$6:$C$40000,$Y2078)&amp;"")</f>
        <v/>
      </c>
      <c r="AA2078" s="59">
        <f>IF($Y2078="","",IF(INDEX($D$6:$D$40000,$Y2078)="","",INDEX($D$6:$D$40000,$Y2078)))</f>
        <v/>
      </c>
      <c r="AB2078">
        <f>IF($Y2078="","",INDEX($L$6:$L$40000,$Y2078)&amp;"")</f>
        <v/>
      </c>
    </row>
    <row r="2079">
      <c r="Y2079" s="47">
        <f>IFERROR(MATCH(Library!M2079,$M$6:$M$40000,0),"")</f>
        <v/>
      </c>
      <c r="Z2079">
        <f>IF($Y2079="","",INDEX($C$6:$C$40000,$Y2079)&amp;"")</f>
        <v/>
      </c>
      <c r="AA2079" s="59">
        <f>IF($Y2079="","",IF(INDEX($D$6:$D$40000,$Y2079)="","",INDEX($D$6:$D$40000,$Y2079)))</f>
        <v/>
      </c>
      <c r="AB2079">
        <f>IF($Y2079="","",INDEX($L$6:$L$40000,$Y2079)&amp;"")</f>
        <v/>
      </c>
    </row>
    <row r="2080">
      <c r="Y2080" s="47">
        <f>IFERROR(MATCH(Library!M2080,$M$6:$M$40000,0),"")</f>
        <v/>
      </c>
      <c r="Z2080">
        <f>IF($Y2080="","",INDEX($C$6:$C$40000,$Y2080)&amp;"")</f>
        <v/>
      </c>
      <c r="AA2080" s="59">
        <f>IF($Y2080="","",IF(INDEX($D$6:$D$40000,$Y2080)="","",INDEX($D$6:$D$40000,$Y2080)))</f>
        <v/>
      </c>
      <c r="AB2080">
        <f>IF($Y2080="","",INDEX($L$6:$L$40000,$Y2080)&amp;"")</f>
        <v/>
      </c>
    </row>
    <row r="2081">
      <c r="Y2081" s="47">
        <f>IFERROR(MATCH(Library!M2081,$M$6:$M$40000,0),"")</f>
        <v/>
      </c>
      <c r="Z2081">
        <f>IF($Y2081="","",INDEX($C$6:$C$40000,$Y2081)&amp;"")</f>
        <v/>
      </c>
      <c r="AA2081" s="59">
        <f>IF($Y2081="","",IF(INDEX($D$6:$D$40000,$Y2081)="","",INDEX($D$6:$D$40000,$Y2081)))</f>
        <v/>
      </c>
      <c r="AB2081">
        <f>IF($Y2081="","",INDEX($L$6:$L$40000,$Y2081)&amp;"")</f>
        <v/>
      </c>
    </row>
    <row r="2082">
      <c r="Y2082" s="47">
        <f>IFERROR(MATCH(Library!M2082,$M$6:$M$40000,0),"")</f>
        <v/>
      </c>
      <c r="Z2082">
        <f>IF($Y2082="","",INDEX($C$6:$C$40000,$Y2082)&amp;"")</f>
        <v/>
      </c>
      <c r="AA2082" s="59">
        <f>IF($Y2082="","",IF(INDEX($D$6:$D$40000,$Y2082)="","",INDEX($D$6:$D$40000,$Y2082)))</f>
        <v/>
      </c>
      <c r="AB2082">
        <f>IF($Y2082="","",INDEX($L$6:$L$40000,$Y2082)&amp;"")</f>
        <v/>
      </c>
    </row>
    <row r="2083">
      <c r="Y2083" s="47">
        <f>IFERROR(MATCH(Library!M2083,$M$6:$M$40000,0),"")</f>
        <v/>
      </c>
      <c r="Z2083">
        <f>IF($Y2083="","",INDEX($C$6:$C$40000,$Y2083)&amp;"")</f>
        <v/>
      </c>
      <c r="AA2083" s="59">
        <f>IF($Y2083="","",IF(INDEX($D$6:$D$40000,$Y2083)="","",INDEX($D$6:$D$40000,$Y2083)))</f>
        <v/>
      </c>
      <c r="AB2083">
        <f>IF($Y2083="","",INDEX($L$6:$L$40000,$Y2083)&amp;"")</f>
        <v/>
      </c>
    </row>
    <row r="2084">
      <c r="Y2084" s="47">
        <f>IFERROR(MATCH(Library!M2084,$M$6:$M$40000,0),"")</f>
        <v/>
      </c>
      <c r="Z2084">
        <f>IF($Y2084="","",INDEX($C$6:$C$40000,$Y2084)&amp;"")</f>
        <v/>
      </c>
      <c r="AA2084" s="59">
        <f>IF($Y2084="","",IF(INDEX($D$6:$D$40000,$Y2084)="","",INDEX($D$6:$D$40000,$Y2084)))</f>
        <v/>
      </c>
      <c r="AB2084">
        <f>IF($Y2084="","",INDEX($L$6:$L$40000,$Y2084)&amp;"")</f>
        <v/>
      </c>
    </row>
    <row r="2085">
      <c r="Y2085" s="47">
        <f>IFERROR(MATCH(Library!M2085,$M$6:$M$40000,0),"")</f>
        <v/>
      </c>
      <c r="Z2085">
        <f>IF($Y2085="","",INDEX($C$6:$C$40000,$Y2085)&amp;"")</f>
        <v/>
      </c>
      <c r="AA2085" s="59">
        <f>IF($Y2085="","",IF(INDEX($D$6:$D$40000,$Y2085)="","",INDEX($D$6:$D$40000,$Y2085)))</f>
        <v/>
      </c>
      <c r="AB2085">
        <f>IF($Y2085="","",INDEX($L$6:$L$40000,$Y2085)&amp;"")</f>
        <v/>
      </c>
    </row>
    <row r="2086">
      <c r="Y2086" s="47">
        <f>IFERROR(MATCH(Library!M2086,$M$6:$M$40000,0),"")</f>
        <v/>
      </c>
      <c r="Z2086">
        <f>IF($Y2086="","",INDEX($C$6:$C$40000,$Y2086)&amp;"")</f>
        <v/>
      </c>
      <c r="AA2086" s="59">
        <f>IF($Y2086="","",IF(INDEX($D$6:$D$40000,$Y2086)="","",INDEX($D$6:$D$40000,$Y2086)))</f>
        <v/>
      </c>
      <c r="AB2086">
        <f>IF($Y2086="","",INDEX($L$6:$L$40000,$Y2086)&amp;"")</f>
        <v/>
      </c>
    </row>
    <row r="2087">
      <c r="Y2087" s="47">
        <f>IFERROR(MATCH(Library!M2087,$M$6:$M$40000,0),"")</f>
        <v/>
      </c>
      <c r="Z2087">
        <f>IF($Y2087="","",INDEX($C$6:$C$40000,$Y2087)&amp;"")</f>
        <v/>
      </c>
      <c r="AA2087" s="59">
        <f>IF($Y2087="","",IF(INDEX($D$6:$D$40000,$Y2087)="","",INDEX($D$6:$D$40000,$Y2087)))</f>
        <v/>
      </c>
      <c r="AB2087">
        <f>IF($Y2087="","",INDEX($L$6:$L$40000,$Y2087)&amp;"")</f>
        <v/>
      </c>
    </row>
    <row r="2088">
      <c r="Y2088" s="47">
        <f>IFERROR(MATCH(Library!M2088,$M$6:$M$40000,0),"")</f>
        <v/>
      </c>
      <c r="Z2088">
        <f>IF($Y2088="","",INDEX($C$6:$C$40000,$Y2088)&amp;"")</f>
        <v/>
      </c>
      <c r="AA2088" s="59">
        <f>IF($Y2088="","",IF(INDEX($D$6:$D$40000,$Y2088)="","",INDEX($D$6:$D$40000,$Y2088)))</f>
        <v/>
      </c>
      <c r="AB2088">
        <f>IF($Y2088="","",INDEX($L$6:$L$40000,$Y2088)&amp;"")</f>
        <v/>
      </c>
    </row>
    <row r="2089">
      <c r="Y2089" s="47">
        <f>IFERROR(MATCH(Library!M2089,$M$6:$M$40000,0),"")</f>
        <v/>
      </c>
      <c r="Z2089">
        <f>IF($Y2089="","",INDEX($C$6:$C$40000,$Y2089)&amp;"")</f>
        <v/>
      </c>
      <c r="AA2089" s="59">
        <f>IF($Y2089="","",IF(INDEX($D$6:$D$40000,$Y2089)="","",INDEX($D$6:$D$40000,$Y2089)))</f>
        <v/>
      </c>
      <c r="AB2089">
        <f>IF($Y2089="","",INDEX($L$6:$L$40000,$Y2089)&amp;"")</f>
        <v/>
      </c>
    </row>
    <row r="2090">
      <c r="Y2090" s="47">
        <f>IFERROR(MATCH(Library!M2090,$M$6:$M$40000,0),"")</f>
        <v/>
      </c>
      <c r="Z2090">
        <f>IF($Y2090="","",INDEX($C$6:$C$40000,$Y2090)&amp;"")</f>
        <v/>
      </c>
      <c r="AA2090" s="59">
        <f>IF($Y2090="","",IF(INDEX($D$6:$D$40000,$Y2090)="","",INDEX($D$6:$D$40000,$Y2090)))</f>
        <v/>
      </c>
      <c r="AB2090">
        <f>IF($Y2090="","",INDEX($L$6:$L$40000,$Y2090)&amp;"")</f>
        <v/>
      </c>
    </row>
    <row r="2091">
      <c r="Y2091" s="47">
        <f>IFERROR(MATCH(Library!M2091,$M$6:$M$40000,0),"")</f>
        <v/>
      </c>
      <c r="Z2091">
        <f>IF($Y2091="","",INDEX($C$6:$C$40000,$Y2091)&amp;"")</f>
        <v/>
      </c>
      <c r="AA2091" s="59">
        <f>IF($Y2091="","",IF(INDEX($D$6:$D$40000,$Y2091)="","",INDEX($D$6:$D$40000,$Y2091)))</f>
        <v/>
      </c>
      <c r="AB2091">
        <f>IF($Y2091="","",INDEX($L$6:$L$40000,$Y2091)&amp;"")</f>
        <v/>
      </c>
    </row>
    <row r="2092">
      <c r="Y2092" s="47">
        <f>IFERROR(MATCH(Library!M2092,$M$6:$M$40000,0),"")</f>
        <v/>
      </c>
      <c r="Z2092">
        <f>IF($Y2092="","",INDEX($C$6:$C$40000,$Y2092)&amp;"")</f>
        <v/>
      </c>
      <c r="AA2092" s="59">
        <f>IF($Y2092="","",IF(INDEX($D$6:$D$40000,$Y2092)="","",INDEX($D$6:$D$40000,$Y2092)))</f>
        <v/>
      </c>
      <c r="AB2092">
        <f>IF($Y2092="","",INDEX($L$6:$L$40000,$Y2092)&amp;"")</f>
        <v/>
      </c>
    </row>
    <row r="2093">
      <c r="Y2093" s="47">
        <f>IFERROR(MATCH(Library!M2093,$M$6:$M$40000,0),"")</f>
        <v/>
      </c>
      <c r="Z2093">
        <f>IF($Y2093="","",INDEX($C$6:$C$40000,$Y2093)&amp;"")</f>
        <v/>
      </c>
      <c r="AA2093" s="59">
        <f>IF($Y2093="","",IF(INDEX($D$6:$D$40000,$Y2093)="","",INDEX($D$6:$D$40000,$Y2093)))</f>
        <v/>
      </c>
      <c r="AB2093">
        <f>IF($Y2093="","",INDEX($L$6:$L$40000,$Y2093)&amp;"")</f>
        <v/>
      </c>
    </row>
    <row r="2094">
      <c r="Y2094" s="47">
        <f>IFERROR(MATCH(Library!M2094,$M$6:$M$40000,0),"")</f>
        <v/>
      </c>
      <c r="Z2094">
        <f>IF($Y2094="","",INDEX($C$6:$C$40000,$Y2094)&amp;"")</f>
        <v/>
      </c>
      <c r="AA2094" s="59">
        <f>IF($Y2094="","",IF(INDEX($D$6:$D$40000,$Y2094)="","",INDEX($D$6:$D$40000,$Y2094)))</f>
        <v/>
      </c>
      <c r="AB2094">
        <f>IF($Y2094="","",INDEX($L$6:$L$40000,$Y2094)&amp;"")</f>
        <v/>
      </c>
    </row>
    <row r="2095">
      <c r="Y2095" s="47">
        <f>IFERROR(MATCH(Library!M2095,$M$6:$M$40000,0),"")</f>
        <v/>
      </c>
      <c r="Z2095">
        <f>IF($Y2095="","",INDEX($C$6:$C$40000,$Y2095)&amp;"")</f>
        <v/>
      </c>
      <c r="AA2095" s="59">
        <f>IF($Y2095="","",IF(INDEX($D$6:$D$40000,$Y2095)="","",INDEX($D$6:$D$40000,$Y2095)))</f>
        <v/>
      </c>
      <c r="AB2095">
        <f>IF($Y2095="","",INDEX($L$6:$L$40000,$Y2095)&amp;"")</f>
        <v/>
      </c>
    </row>
    <row r="2096">
      <c r="Y2096" s="47">
        <f>IFERROR(MATCH(Library!M2096,$M$6:$M$40000,0),"")</f>
        <v/>
      </c>
      <c r="Z2096">
        <f>IF($Y2096="","",INDEX($C$6:$C$40000,$Y2096)&amp;"")</f>
        <v/>
      </c>
      <c r="AA2096" s="59">
        <f>IF($Y2096="","",IF(INDEX($D$6:$D$40000,$Y2096)="","",INDEX($D$6:$D$40000,$Y2096)))</f>
        <v/>
      </c>
      <c r="AB2096">
        <f>IF($Y2096="","",INDEX($L$6:$L$40000,$Y2096)&amp;"")</f>
        <v/>
      </c>
    </row>
    <row r="2097">
      <c r="Y2097" s="47">
        <f>IFERROR(MATCH(Library!M2097,$M$6:$M$40000,0),"")</f>
        <v/>
      </c>
      <c r="Z2097">
        <f>IF($Y2097="","",INDEX($C$6:$C$40000,$Y2097)&amp;"")</f>
        <v/>
      </c>
      <c r="AA2097" s="59">
        <f>IF($Y2097="","",IF(INDEX($D$6:$D$40000,$Y2097)="","",INDEX($D$6:$D$40000,$Y2097)))</f>
        <v/>
      </c>
      <c r="AB2097">
        <f>IF($Y2097="","",INDEX($L$6:$L$40000,$Y2097)&amp;"")</f>
        <v/>
      </c>
    </row>
    <row r="2098">
      <c r="Y2098" s="47">
        <f>IFERROR(MATCH(Library!M2098,$M$6:$M$40000,0),"")</f>
        <v/>
      </c>
      <c r="Z2098">
        <f>IF($Y2098="","",INDEX($C$6:$C$40000,$Y2098)&amp;"")</f>
        <v/>
      </c>
      <c r="AA2098" s="59">
        <f>IF($Y2098="","",IF(INDEX($D$6:$D$40000,$Y2098)="","",INDEX($D$6:$D$40000,$Y2098)))</f>
        <v/>
      </c>
      <c r="AB2098">
        <f>IF($Y2098="","",INDEX($L$6:$L$40000,$Y2098)&amp;"")</f>
        <v/>
      </c>
    </row>
    <row r="2099">
      <c r="Y2099" s="47">
        <f>IFERROR(MATCH(Library!M2099,$M$6:$M$40000,0),"")</f>
        <v/>
      </c>
      <c r="Z2099">
        <f>IF($Y2099="","",INDEX($C$6:$C$40000,$Y2099)&amp;"")</f>
        <v/>
      </c>
      <c r="AA2099" s="59">
        <f>IF($Y2099="","",IF(INDEX($D$6:$D$40000,$Y2099)="","",INDEX($D$6:$D$40000,$Y2099)))</f>
        <v/>
      </c>
      <c r="AB2099">
        <f>IF($Y2099="","",INDEX($L$6:$L$40000,$Y2099)&amp;"")</f>
        <v/>
      </c>
    </row>
    <row r="2100">
      <c r="Y2100" s="47">
        <f>IFERROR(MATCH(Library!M2100,$M$6:$M$40000,0),"")</f>
        <v/>
      </c>
      <c r="Z2100">
        <f>IF($Y2100="","",INDEX($C$6:$C$40000,$Y2100)&amp;"")</f>
        <v/>
      </c>
      <c r="AA2100" s="59">
        <f>IF($Y2100="","",IF(INDEX($D$6:$D$40000,$Y2100)="","",INDEX($D$6:$D$40000,$Y2100)))</f>
        <v/>
      </c>
      <c r="AB2100">
        <f>IF($Y2100="","",INDEX($L$6:$L$40000,$Y2100)&amp;"")</f>
        <v/>
      </c>
    </row>
    <row r="2101">
      <c r="Y2101" s="47">
        <f>IFERROR(MATCH(Library!M2101,$M$6:$M$40000,0),"")</f>
        <v/>
      </c>
      <c r="Z2101">
        <f>IF($Y2101="","",INDEX($C$6:$C$40000,$Y2101)&amp;"")</f>
        <v/>
      </c>
      <c r="AA2101" s="59">
        <f>IF($Y2101="","",IF(INDEX($D$6:$D$40000,$Y2101)="","",INDEX($D$6:$D$40000,$Y2101)))</f>
        <v/>
      </c>
      <c r="AB2101">
        <f>IF($Y2101="","",INDEX($L$6:$L$40000,$Y2101)&amp;"")</f>
        <v/>
      </c>
    </row>
    <row r="2102">
      <c r="Y2102" s="47">
        <f>IFERROR(MATCH(Library!M2102,$M$6:$M$40000,0),"")</f>
        <v/>
      </c>
      <c r="Z2102">
        <f>IF($Y2102="","",INDEX($C$6:$C$40000,$Y2102)&amp;"")</f>
        <v/>
      </c>
      <c r="AA2102" s="59">
        <f>IF($Y2102="","",IF(INDEX($D$6:$D$40000,$Y2102)="","",INDEX($D$6:$D$40000,$Y2102)))</f>
        <v/>
      </c>
      <c r="AB2102">
        <f>IF($Y2102="","",INDEX($L$6:$L$40000,$Y2102)&amp;"")</f>
        <v/>
      </c>
    </row>
    <row r="2103">
      <c r="Y2103" s="47">
        <f>IFERROR(MATCH(Library!M2103,$M$6:$M$40000,0),"")</f>
        <v/>
      </c>
      <c r="Z2103">
        <f>IF($Y2103="","",INDEX($C$6:$C$40000,$Y2103)&amp;"")</f>
        <v/>
      </c>
      <c r="AA2103" s="59">
        <f>IF($Y2103="","",IF(INDEX($D$6:$D$40000,$Y2103)="","",INDEX($D$6:$D$40000,$Y2103)))</f>
        <v/>
      </c>
      <c r="AB2103">
        <f>IF($Y2103="","",INDEX($L$6:$L$40000,$Y2103)&amp;"")</f>
        <v/>
      </c>
    </row>
    <row r="2104">
      <c r="Y2104" s="47">
        <f>IFERROR(MATCH(Library!M2104,$M$6:$M$40000,0),"")</f>
        <v/>
      </c>
      <c r="Z2104">
        <f>IF($Y2104="","",INDEX($C$6:$C$40000,$Y2104)&amp;"")</f>
        <v/>
      </c>
      <c r="AA2104" s="59">
        <f>IF($Y2104="","",IF(INDEX($D$6:$D$40000,$Y2104)="","",INDEX($D$6:$D$40000,$Y2104)))</f>
        <v/>
      </c>
      <c r="AB2104">
        <f>IF($Y2104="","",INDEX($L$6:$L$40000,$Y2104)&amp;"")</f>
        <v/>
      </c>
    </row>
    <row r="2105">
      <c r="Y2105" s="47">
        <f>IFERROR(MATCH(Library!M2105,$M$6:$M$40000,0),"")</f>
        <v/>
      </c>
      <c r="Z2105">
        <f>IF($Y2105="","",INDEX($C$6:$C$40000,$Y2105)&amp;"")</f>
        <v/>
      </c>
      <c r="AA2105" s="59">
        <f>IF($Y2105="","",IF(INDEX($D$6:$D$40000,$Y2105)="","",INDEX($D$6:$D$40000,$Y2105)))</f>
        <v/>
      </c>
      <c r="AB2105">
        <f>IF($Y2105="","",INDEX($L$6:$L$40000,$Y2105)&amp;"")</f>
        <v/>
      </c>
    </row>
    <row r="2106">
      <c r="Y2106" s="47">
        <f>IFERROR(MATCH(Library!M2106,$M$6:$M$40000,0),"")</f>
        <v/>
      </c>
      <c r="Z2106">
        <f>IF($Y2106="","",INDEX($C$6:$C$40000,$Y2106)&amp;"")</f>
        <v/>
      </c>
      <c r="AA2106" s="59">
        <f>IF($Y2106="","",IF(INDEX($D$6:$D$40000,$Y2106)="","",INDEX($D$6:$D$40000,$Y2106)))</f>
        <v/>
      </c>
      <c r="AB2106">
        <f>IF($Y2106="","",INDEX($L$6:$L$40000,$Y2106)&amp;"")</f>
        <v/>
      </c>
    </row>
    <row r="2107">
      <c r="Y2107" s="47">
        <f>IFERROR(MATCH(Library!M2107,$M$6:$M$40000,0),"")</f>
        <v/>
      </c>
      <c r="Z2107">
        <f>IF($Y2107="","",INDEX($C$6:$C$40000,$Y2107)&amp;"")</f>
        <v/>
      </c>
      <c r="AA2107" s="59">
        <f>IF($Y2107="","",IF(INDEX($D$6:$D$40000,$Y2107)="","",INDEX($D$6:$D$40000,$Y2107)))</f>
        <v/>
      </c>
      <c r="AB2107">
        <f>IF($Y2107="","",INDEX($L$6:$L$40000,$Y2107)&amp;"")</f>
        <v/>
      </c>
    </row>
    <row r="2108">
      <c r="Y2108" s="47">
        <f>IFERROR(MATCH(Library!M2108,$M$6:$M$40000,0),"")</f>
        <v/>
      </c>
      <c r="Z2108">
        <f>IF($Y2108="","",INDEX($C$6:$C$40000,$Y2108)&amp;"")</f>
        <v/>
      </c>
      <c r="AA2108" s="59">
        <f>IF($Y2108="","",IF(INDEX($D$6:$D$40000,$Y2108)="","",INDEX($D$6:$D$40000,$Y2108)))</f>
        <v/>
      </c>
      <c r="AB2108">
        <f>IF($Y2108="","",INDEX($L$6:$L$40000,$Y2108)&amp;"")</f>
        <v/>
      </c>
    </row>
    <row r="2109">
      <c r="Y2109" s="47">
        <f>IFERROR(MATCH(Library!M2109,$M$6:$M$40000,0),"")</f>
        <v/>
      </c>
      <c r="Z2109">
        <f>IF($Y2109="","",INDEX($C$6:$C$40000,$Y2109)&amp;"")</f>
        <v/>
      </c>
      <c r="AA2109" s="59">
        <f>IF($Y2109="","",IF(INDEX($D$6:$D$40000,$Y2109)="","",INDEX($D$6:$D$40000,$Y2109)))</f>
        <v/>
      </c>
      <c r="AB2109">
        <f>IF($Y2109="","",INDEX($L$6:$L$40000,$Y2109)&amp;"")</f>
        <v/>
      </c>
    </row>
    <row r="2110">
      <c r="Y2110" s="47">
        <f>IFERROR(MATCH(Library!M2110,$M$6:$M$40000,0),"")</f>
        <v/>
      </c>
      <c r="Z2110">
        <f>IF($Y2110="","",INDEX($C$6:$C$40000,$Y2110)&amp;"")</f>
        <v/>
      </c>
      <c r="AA2110" s="59">
        <f>IF($Y2110="","",IF(INDEX($D$6:$D$40000,$Y2110)="","",INDEX($D$6:$D$40000,$Y2110)))</f>
        <v/>
      </c>
      <c r="AB2110">
        <f>IF($Y2110="","",INDEX($L$6:$L$40000,$Y2110)&amp;"")</f>
        <v/>
      </c>
    </row>
    <row r="2111">
      <c r="Y2111" s="47">
        <f>IFERROR(MATCH(Library!M2111,$M$6:$M$40000,0),"")</f>
        <v/>
      </c>
      <c r="Z2111">
        <f>IF($Y2111="","",INDEX($C$6:$C$40000,$Y2111)&amp;"")</f>
        <v/>
      </c>
      <c r="AA2111" s="59">
        <f>IF($Y2111="","",IF(INDEX($D$6:$D$40000,$Y2111)="","",INDEX($D$6:$D$40000,$Y2111)))</f>
        <v/>
      </c>
      <c r="AB2111">
        <f>IF($Y2111="","",INDEX($L$6:$L$40000,$Y2111)&amp;"")</f>
        <v/>
      </c>
    </row>
    <row r="2112">
      <c r="Y2112" s="47">
        <f>IFERROR(MATCH(Library!M2112,$M$6:$M$40000,0),"")</f>
        <v/>
      </c>
      <c r="Z2112">
        <f>IF($Y2112="","",INDEX($C$6:$C$40000,$Y2112)&amp;"")</f>
        <v/>
      </c>
      <c r="AA2112" s="59">
        <f>IF($Y2112="","",IF(INDEX($D$6:$D$40000,$Y2112)="","",INDEX($D$6:$D$40000,$Y2112)))</f>
        <v/>
      </c>
      <c r="AB2112">
        <f>IF($Y2112="","",INDEX($L$6:$L$40000,$Y2112)&amp;"")</f>
        <v/>
      </c>
    </row>
    <row r="2113">
      <c r="Y2113" s="47">
        <f>IFERROR(MATCH(Library!M2113,$M$6:$M$40000,0),"")</f>
        <v/>
      </c>
      <c r="Z2113">
        <f>IF($Y2113="","",INDEX($C$6:$C$40000,$Y2113)&amp;"")</f>
        <v/>
      </c>
      <c r="AA2113" s="59">
        <f>IF($Y2113="","",IF(INDEX($D$6:$D$40000,$Y2113)="","",INDEX($D$6:$D$40000,$Y2113)))</f>
        <v/>
      </c>
      <c r="AB2113">
        <f>IF($Y2113="","",INDEX($L$6:$L$40000,$Y2113)&amp;"")</f>
        <v/>
      </c>
    </row>
    <row r="2114">
      <c r="Y2114" s="47">
        <f>IFERROR(MATCH(Library!M2114,$M$6:$M$40000,0),"")</f>
        <v/>
      </c>
      <c r="Z2114">
        <f>IF($Y2114="","",INDEX($C$6:$C$40000,$Y2114)&amp;"")</f>
        <v/>
      </c>
      <c r="AA2114" s="59">
        <f>IF($Y2114="","",IF(INDEX($D$6:$D$40000,$Y2114)="","",INDEX($D$6:$D$40000,$Y2114)))</f>
        <v/>
      </c>
      <c r="AB2114">
        <f>IF($Y2114="","",INDEX($L$6:$L$40000,$Y2114)&amp;"")</f>
        <v/>
      </c>
    </row>
    <row r="2115">
      <c r="Y2115" s="47">
        <f>IFERROR(MATCH(Library!M2115,$M$6:$M$40000,0),"")</f>
        <v/>
      </c>
      <c r="Z2115">
        <f>IF($Y2115="","",INDEX($C$6:$C$40000,$Y2115)&amp;"")</f>
        <v/>
      </c>
      <c r="AA2115" s="59">
        <f>IF($Y2115="","",IF(INDEX($D$6:$D$40000,$Y2115)="","",INDEX($D$6:$D$40000,$Y2115)))</f>
        <v/>
      </c>
      <c r="AB2115">
        <f>IF($Y2115="","",INDEX($L$6:$L$40000,$Y2115)&amp;"")</f>
        <v/>
      </c>
    </row>
    <row r="2116">
      <c r="Y2116" s="47">
        <f>IFERROR(MATCH(Library!M2116,$M$6:$M$40000,0),"")</f>
        <v/>
      </c>
      <c r="Z2116">
        <f>IF($Y2116="","",INDEX($C$6:$C$40000,$Y2116)&amp;"")</f>
        <v/>
      </c>
      <c r="AA2116" s="59">
        <f>IF($Y2116="","",IF(INDEX($D$6:$D$40000,$Y2116)="","",INDEX($D$6:$D$40000,$Y2116)))</f>
        <v/>
      </c>
      <c r="AB2116">
        <f>IF($Y2116="","",INDEX($L$6:$L$40000,$Y2116)&amp;"")</f>
        <v/>
      </c>
    </row>
    <row r="2117">
      <c r="Y2117" s="47">
        <f>IFERROR(MATCH(Library!M2117,$M$6:$M$40000,0),"")</f>
        <v/>
      </c>
      <c r="Z2117">
        <f>IF($Y2117="","",INDEX($C$6:$C$40000,$Y2117)&amp;"")</f>
        <v/>
      </c>
      <c r="AA2117" s="59">
        <f>IF($Y2117="","",IF(INDEX($D$6:$D$40000,$Y2117)="","",INDEX($D$6:$D$40000,$Y2117)))</f>
        <v/>
      </c>
      <c r="AB2117">
        <f>IF($Y2117="","",INDEX($L$6:$L$40000,$Y2117)&amp;"")</f>
        <v/>
      </c>
    </row>
    <row r="2118">
      <c r="Y2118" s="47">
        <f>IFERROR(MATCH(Library!M2118,$M$6:$M$40000,0),"")</f>
        <v/>
      </c>
      <c r="Z2118">
        <f>IF($Y2118="","",INDEX($C$6:$C$40000,$Y2118)&amp;"")</f>
        <v/>
      </c>
      <c r="AA2118" s="59">
        <f>IF($Y2118="","",IF(INDEX($D$6:$D$40000,$Y2118)="","",INDEX($D$6:$D$40000,$Y2118)))</f>
        <v/>
      </c>
      <c r="AB2118">
        <f>IF($Y2118="","",INDEX($L$6:$L$40000,$Y2118)&amp;"")</f>
        <v/>
      </c>
    </row>
    <row r="2119">
      <c r="Y2119" s="47">
        <f>IFERROR(MATCH(Library!M2119,$M$6:$M$40000,0),"")</f>
        <v/>
      </c>
      <c r="Z2119">
        <f>IF($Y2119="","",INDEX($C$6:$C$40000,$Y2119)&amp;"")</f>
        <v/>
      </c>
      <c r="AA2119" s="59">
        <f>IF($Y2119="","",IF(INDEX($D$6:$D$40000,$Y2119)="","",INDEX($D$6:$D$40000,$Y2119)))</f>
        <v/>
      </c>
      <c r="AB2119">
        <f>IF($Y2119="","",INDEX($L$6:$L$40000,$Y2119)&amp;"")</f>
        <v/>
      </c>
    </row>
    <row r="2120">
      <c r="Y2120" s="47">
        <f>IFERROR(MATCH(Library!M2120,$M$6:$M$40000,0),"")</f>
        <v/>
      </c>
      <c r="Z2120">
        <f>IF($Y2120="","",INDEX($C$6:$C$40000,$Y2120)&amp;"")</f>
        <v/>
      </c>
      <c r="AA2120" s="59">
        <f>IF($Y2120="","",IF(INDEX($D$6:$D$40000,$Y2120)="","",INDEX($D$6:$D$40000,$Y2120)))</f>
        <v/>
      </c>
      <c r="AB2120">
        <f>IF($Y2120="","",INDEX($L$6:$L$40000,$Y2120)&amp;"")</f>
        <v/>
      </c>
    </row>
    <row r="2121">
      <c r="Y2121" s="47">
        <f>IFERROR(MATCH(Library!M2121,$M$6:$M$40000,0),"")</f>
        <v/>
      </c>
      <c r="Z2121">
        <f>IF($Y2121="","",INDEX($C$6:$C$40000,$Y2121)&amp;"")</f>
        <v/>
      </c>
      <c r="AA2121" s="59">
        <f>IF($Y2121="","",IF(INDEX($D$6:$D$40000,$Y2121)="","",INDEX($D$6:$D$40000,$Y2121)))</f>
        <v/>
      </c>
      <c r="AB2121">
        <f>IF($Y2121="","",INDEX($L$6:$L$40000,$Y2121)&amp;"")</f>
        <v/>
      </c>
    </row>
    <row r="2122">
      <c r="Y2122" s="47">
        <f>IFERROR(MATCH(Library!M2122,$M$6:$M$40000,0),"")</f>
        <v/>
      </c>
      <c r="Z2122">
        <f>IF($Y2122="","",INDEX($C$6:$C$40000,$Y2122)&amp;"")</f>
        <v/>
      </c>
      <c r="AA2122" s="59">
        <f>IF($Y2122="","",IF(INDEX($D$6:$D$40000,$Y2122)="","",INDEX($D$6:$D$40000,$Y2122)))</f>
        <v/>
      </c>
      <c r="AB2122">
        <f>IF($Y2122="","",INDEX($L$6:$L$40000,$Y2122)&amp;"")</f>
        <v/>
      </c>
    </row>
    <row r="2123">
      <c r="Y2123" s="47">
        <f>IFERROR(MATCH(Library!M2123,$M$6:$M$40000,0),"")</f>
        <v/>
      </c>
      <c r="Z2123">
        <f>IF($Y2123="","",INDEX($C$6:$C$40000,$Y2123)&amp;"")</f>
        <v/>
      </c>
      <c r="AA2123" s="59">
        <f>IF($Y2123="","",IF(INDEX($D$6:$D$40000,$Y2123)="","",INDEX($D$6:$D$40000,$Y2123)))</f>
        <v/>
      </c>
      <c r="AB2123">
        <f>IF($Y2123="","",INDEX($L$6:$L$40000,$Y2123)&amp;"")</f>
        <v/>
      </c>
    </row>
    <row r="2124">
      <c r="Y2124" s="47">
        <f>IFERROR(MATCH(Library!M2124,$M$6:$M$40000,0),"")</f>
        <v/>
      </c>
      <c r="Z2124">
        <f>IF($Y2124="","",INDEX($C$6:$C$40000,$Y2124)&amp;"")</f>
        <v/>
      </c>
      <c r="AA2124" s="59">
        <f>IF($Y2124="","",IF(INDEX($D$6:$D$40000,$Y2124)="","",INDEX($D$6:$D$40000,$Y2124)))</f>
        <v/>
      </c>
      <c r="AB2124">
        <f>IF($Y2124="","",INDEX($L$6:$L$40000,$Y2124)&amp;"")</f>
        <v/>
      </c>
    </row>
    <row r="2125">
      <c r="Y2125" s="47">
        <f>IFERROR(MATCH(Library!M2125,$M$6:$M$40000,0),"")</f>
        <v/>
      </c>
      <c r="Z2125">
        <f>IF($Y2125="","",INDEX($C$6:$C$40000,$Y2125)&amp;"")</f>
        <v/>
      </c>
      <c r="AA2125" s="59">
        <f>IF($Y2125="","",IF(INDEX($D$6:$D$40000,$Y2125)="","",INDEX($D$6:$D$40000,$Y2125)))</f>
        <v/>
      </c>
      <c r="AB2125">
        <f>IF($Y2125="","",INDEX($L$6:$L$40000,$Y2125)&amp;"")</f>
        <v/>
      </c>
    </row>
    <row r="2126">
      <c r="Y2126" s="47">
        <f>IFERROR(MATCH(Library!M2126,$M$6:$M$40000,0),"")</f>
        <v/>
      </c>
      <c r="Z2126">
        <f>IF($Y2126="","",INDEX($C$6:$C$40000,$Y2126)&amp;"")</f>
        <v/>
      </c>
      <c r="AA2126" s="59">
        <f>IF($Y2126="","",IF(INDEX($D$6:$D$40000,$Y2126)="","",INDEX($D$6:$D$40000,$Y2126)))</f>
        <v/>
      </c>
      <c r="AB2126">
        <f>IF($Y2126="","",INDEX($L$6:$L$40000,$Y2126)&amp;"")</f>
        <v/>
      </c>
    </row>
    <row r="2127">
      <c r="Y2127" s="47">
        <f>IFERROR(MATCH(Library!M2127,$M$6:$M$40000,0),"")</f>
        <v/>
      </c>
      <c r="Z2127">
        <f>IF($Y2127="","",INDEX($C$6:$C$40000,$Y2127)&amp;"")</f>
        <v/>
      </c>
      <c r="AA2127" s="59">
        <f>IF($Y2127="","",IF(INDEX($D$6:$D$40000,$Y2127)="","",INDEX($D$6:$D$40000,$Y2127)))</f>
        <v/>
      </c>
      <c r="AB2127">
        <f>IF($Y2127="","",INDEX($L$6:$L$40000,$Y2127)&amp;"")</f>
        <v/>
      </c>
    </row>
    <row r="2128">
      <c r="Y2128" s="47">
        <f>IFERROR(MATCH(Library!M2128,$M$6:$M$40000,0),"")</f>
        <v/>
      </c>
      <c r="Z2128">
        <f>IF($Y2128="","",INDEX($C$6:$C$40000,$Y2128)&amp;"")</f>
        <v/>
      </c>
      <c r="AA2128" s="59">
        <f>IF($Y2128="","",IF(INDEX($D$6:$D$40000,$Y2128)="","",INDEX($D$6:$D$40000,$Y2128)))</f>
        <v/>
      </c>
      <c r="AB2128">
        <f>IF($Y2128="","",INDEX($L$6:$L$40000,$Y2128)&amp;"")</f>
        <v/>
      </c>
    </row>
    <row r="2129">
      <c r="Y2129" s="47">
        <f>IFERROR(MATCH(Library!M2129,$M$6:$M$40000,0),"")</f>
        <v/>
      </c>
      <c r="Z2129">
        <f>IF($Y2129="","",INDEX($C$6:$C$40000,$Y2129)&amp;"")</f>
        <v/>
      </c>
      <c r="AA2129" s="59">
        <f>IF($Y2129="","",IF(INDEX($D$6:$D$40000,$Y2129)="","",INDEX($D$6:$D$40000,$Y2129)))</f>
        <v/>
      </c>
      <c r="AB2129">
        <f>IF($Y2129="","",INDEX($L$6:$L$40000,$Y2129)&amp;"")</f>
        <v/>
      </c>
    </row>
    <row r="2130">
      <c r="Y2130" s="47">
        <f>IFERROR(MATCH(Library!M2130,$M$6:$M$40000,0),"")</f>
        <v/>
      </c>
      <c r="Z2130">
        <f>IF($Y2130="","",INDEX($C$6:$C$40000,$Y2130)&amp;"")</f>
        <v/>
      </c>
      <c r="AA2130" s="59">
        <f>IF($Y2130="","",IF(INDEX($D$6:$D$40000,$Y2130)="","",INDEX($D$6:$D$40000,$Y2130)))</f>
        <v/>
      </c>
      <c r="AB2130">
        <f>IF($Y2130="","",INDEX($L$6:$L$40000,$Y2130)&amp;"")</f>
        <v/>
      </c>
    </row>
    <row r="2131">
      <c r="Y2131" s="47">
        <f>IFERROR(MATCH(Library!M2131,$M$6:$M$40000,0),"")</f>
        <v/>
      </c>
      <c r="Z2131">
        <f>IF($Y2131="","",INDEX($C$6:$C$40000,$Y2131)&amp;"")</f>
        <v/>
      </c>
      <c r="AA2131" s="59">
        <f>IF($Y2131="","",IF(INDEX($D$6:$D$40000,$Y2131)="","",INDEX($D$6:$D$40000,$Y2131)))</f>
        <v/>
      </c>
      <c r="AB2131">
        <f>IF($Y2131="","",INDEX($L$6:$L$40000,$Y2131)&amp;"")</f>
        <v/>
      </c>
    </row>
    <row r="2132">
      <c r="Y2132" s="47">
        <f>IFERROR(MATCH(Library!M2132,$M$6:$M$40000,0),"")</f>
        <v/>
      </c>
      <c r="Z2132">
        <f>IF($Y2132="","",INDEX($C$6:$C$40000,$Y2132)&amp;"")</f>
        <v/>
      </c>
      <c r="AA2132" s="59">
        <f>IF($Y2132="","",IF(INDEX($D$6:$D$40000,$Y2132)="","",INDEX($D$6:$D$40000,$Y2132)))</f>
        <v/>
      </c>
      <c r="AB2132">
        <f>IF($Y2132="","",INDEX($L$6:$L$40000,$Y2132)&amp;"")</f>
        <v/>
      </c>
    </row>
    <row r="2133">
      <c r="Y2133" s="47">
        <f>IFERROR(MATCH(Library!M2133,$M$6:$M$40000,0),"")</f>
        <v/>
      </c>
      <c r="Z2133">
        <f>IF($Y2133="","",INDEX($C$6:$C$40000,$Y2133)&amp;"")</f>
        <v/>
      </c>
      <c r="AA2133" s="59">
        <f>IF($Y2133="","",IF(INDEX($D$6:$D$40000,$Y2133)="","",INDEX($D$6:$D$40000,$Y2133)))</f>
        <v/>
      </c>
      <c r="AB2133">
        <f>IF($Y2133="","",INDEX($L$6:$L$40000,$Y2133)&amp;"")</f>
        <v/>
      </c>
    </row>
    <row r="2134">
      <c r="Y2134" s="47">
        <f>IFERROR(MATCH(Library!M2134,$M$6:$M$40000,0),"")</f>
        <v/>
      </c>
      <c r="Z2134">
        <f>IF($Y2134="","",INDEX($C$6:$C$40000,$Y2134)&amp;"")</f>
        <v/>
      </c>
      <c r="AA2134" s="59">
        <f>IF($Y2134="","",IF(INDEX($D$6:$D$40000,$Y2134)="","",INDEX($D$6:$D$40000,$Y2134)))</f>
        <v/>
      </c>
      <c r="AB2134">
        <f>IF($Y2134="","",INDEX($L$6:$L$40000,$Y2134)&amp;"")</f>
        <v/>
      </c>
    </row>
    <row r="2135">
      <c r="Y2135" s="47">
        <f>IFERROR(MATCH(Library!M2135,$M$6:$M$40000,0),"")</f>
        <v/>
      </c>
      <c r="Z2135">
        <f>IF($Y2135="","",INDEX($C$6:$C$40000,$Y2135)&amp;"")</f>
        <v/>
      </c>
      <c r="AA2135" s="59">
        <f>IF($Y2135="","",IF(INDEX($D$6:$D$40000,$Y2135)="","",INDEX($D$6:$D$40000,$Y2135)))</f>
        <v/>
      </c>
      <c r="AB2135">
        <f>IF($Y2135="","",INDEX($L$6:$L$40000,$Y2135)&amp;"")</f>
        <v/>
      </c>
    </row>
    <row r="2136">
      <c r="Y2136" s="47">
        <f>IFERROR(MATCH(Library!M2136,$M$6:$M$40000,0),"")</f>
        <v/>
      </c>
      <c r="Z2136">
        <f>IF($Y2136="","",INDEX($C$6:$C$40000,$Y2136)&amp;"")</f>
        <v/>
      </c>
      <c r="AA2136" s="59">
        <f>IF($Y2136="","",IF(INDEX($D$6:$D$40000,$Y2136)="","",INDEX($D$6:$D$40000,$Y2136)))</f>
        <v/>
      </c>
      <c r="AB2136">
        <f>IF($Y2136="","",INDEX($L$6:$L$40000,$Y2136)&amp;"")</f>
        <v/>
      </c>
    </row>
    <row r="2137">
      <c r="Y2137" s="47">
        <f>IFERROR(MATCH(Library!M2137,$M$6:$M$40000,0),"")</f>
        <v/>
      </c>
      <c r="Z2137">
        <f>IF($Y2137="","",INDEX($C$6:$C$40000,$Y2137)&amp;"")</f>
        <v/>
      </c>
      <c r="AA2137" s="59">
        <f>IF($Y2137="","",IF(INDEX($D$6:$D$40000,$Y2137)="","",INDEX($D$6:$D$40000,$Y2137)))</f>
        <v/>
      </c>
      <c r="AB2137">
        <f>IF($Y2137="","",INDEX($L$6:$L$40000,$Y2137)&amp;"")</f>
        <v/>
      </c>
    </row>
    <row r="2138">
      <c r="Y2138" s="47">
        <f>IFERROR(MATCH(Library!M2138,$M$6:$M$40000,0),"")</f>
        <v/>
      </c>
      <c r="Z2138">
        <f>IF($Y2138="","",INDEX($C$6:$C$40000,$Y2138)&amp;"")</f>
        <v/>
      </c>
      <c r="AA2138" s="59">
        <f>IF($Y2138="","",IF(INDEX($D$6:$D$40000,$Y2138)="","",INDEX($D$6:$D$40000,$Y2138)))</f>
        <v/>
      </c>
      <c r="AB2138">
        <f>IF($Y2138="","",INDEX($L$6:$L$40000,$Y2138)&amp;"")</f>
        <v/>
      </c>
    </row>
    <row r="2139">
      <c r="Y2139" s="47">
        <f>IFERROR(MATCH(Library!M2139,$M$6:$M$40000,0),"")</f>
        <v/>
      </c>
      <c r="Z2139">
        <f>IF($Y2139="","",INDEX($C$6:$C$40000,$Y2139)&amp;"")</f>
        <v/>
      </c>
      <c r="AA2139" s="59">
        <f>IF($Y2139="","",IF(INDEX($D$6:$D$40000,$Y2139)="","",INDEX($D$6:$D$40000,$Y2139)))</f>
        <v/>
      </c>
      <c r="AB2139">
        <f>IF($Y2139="","",INDEX($L$6:$L$40000,$Y2139)&amp;"")</f>
        <v/>
      </c>
    </row>
    <row r="2140">
      <c r="Y2140" s="47">
        <f>IFERROR(MATCH(Library!M2140,$M$6:$M$40000,0),"")</f>
        <v/>
      </c>
      <c r="Z2140">
        <f>IF($Y2140="","",INDEX($C$6:$C$40000,$Y2140)&amp;"")</f>
        <v/>
      </c>
      <c r="AA2140" s="59">
        <f>IF($Y2140="","",IF(INDEX($D$6:$D$40000,$Y2140)="","",INDEX($D$6:$D$40000,$Y2140)))</f>
        <v/>
      </c>
      <c r="AB2140">
        <f>IF($Y2140="","",INDEX($L$6:$L$40000,$Y2140)&amp;"")</f>
        <v/>
      </c>
    </row>
    <row r="2141">
      <c r="Y2141" s="47">
        <f>IFERROR(MATCH(Library!M2141,$M$6:$M$40000,0),"")</f>
        <v/>
      </c>
      <c r="Z2141">
        <f>IF($Y2141="","",INDEX($C$6:$C$40000,$Y2141)&amp;"")</f>
        <v/>
      </c>
      <c r="AA2141" s="59">
        <f>IF($Y2141="","",IF(INDEX($D$6:$D$40000,$Y2141)="","",INDEX($D$6:$D$40000,$Y2141)))</f>
        <v/>
      </c>
      <c r="AB2141">
        <f>IF($Y2141="","",INDEX($L$6:$L$40000,$Y2141)&amp;"")</f>
        <v/>
      </c>
    </row>
    <row r="2142">
      <c r="Y2142" s="47">
        <f>IFERROR(MATCH(Library!M2142,$M$6:$M$40000,0),"")</f>
        <v/>
      </c>
      <c r="Z2142">
        <f>IF($Y2142="","",INDEX($C$6:$C$40000,$Y2142)&amp;"")</f>
        <v/>
      </c>
      <c r="AA2142" s="59">
        <f>IF($Y2142="","",IF(INDEX($D$6:$D$40000,$Y2142)="","",INDEX($D$6:$D$40000,$Y2142)))</f>
        <v/>
      </c>
      <c r="AB2142">
        <f>IF($Y2142="","",INDEX($L$6:$L$40000,$Y2142)&amp;"")</f>
        <v/>
      </c>
    </row>
    <row r="2143">
      <c r="Y2143" s="47">
        <f>IFERROR(MATCH(Library!M2143,$M$6:$M$40000,0),"")</f>
        <v/>
      </c>
      <c r="Z2143">
        <f>IF($Y2143="","",INDEX($C$6:$C$40000,$Y2143)&amp;"")</f>
        <v/>
      </c>
      <c r="AA2143" s="59">
        <f>IF($Y2143="","",IF(INDEX($D$6:$D$40000,$Y2143)="","",INDEX($D$6:$D$40000,$Y2143)))</f>
        <v/>
      </c>
      <c r="AB2143">
        <f>IF($Y2143="","",INDEX($L$6:$L$40000,$Y2143)&amp;"")</f>
        <v/>
      </c>
    </row>
    <row r="2144">
      <c r="Y2144" s="47">
        <f>IFERROR(MATCH(Library!M2144,$M$6:$M$40000,0),"")</f>
        <v/>
      </c>
      <c r="Z2144">
        <f>IF($Y2144="","",INDEX($C$6:$C$40000,$Y2144)&amp;"")</f>
        <v/>
      </c>
      <c r="AA2144" s="59">
        <f>IF($Y2144="","",IF(INDEX($D$6:$D$40000,$Y2144)="","",INDEX($D$6:$D$40000,$Y2144)))</f>
        <v/>
      </c>
      <c r="AB2144">
        <f>IF($Y2144="","",INDEX($L$6:$L$40000,$Y2144)&amp;"")</f>
        <v/>
      </c>
    </row>
    <row r="2145">
      <c r="Y2145" s="47">
        <f>IFERROR(MATCH(Library!M2145,$M$6:$M$40000,0),"")</f>
        <v/>
      </c>
      <c r="Z2145">
        <f>IF($Y2145="","",INDEX($C$6:$C$40000,$Y2145)&amp;"")</f>
        <v/>
      </c>
      <c r="AA2145" s="59">
        <f>IF($Y2145="","",IF(INDEX($D$6:$D$40000,$Y2145)="","",INDEX($D$6:$D$40000,$Y2145)))</f>
        <v/>
      </c>
      <c r="AB2145">
        <f>IF($Y2145="","",INDEX($L$6:$L$40000,$Y2145)&amp;"")</f>
        <v/>
      </c>
    </row>
    <row r="2146">
      <c r="Y2146" s="47">
        <f>IFERROR(MATCH(Library!M2146,$M$6:$M$40000,0),"")</f>
        <v/>
      </c>
      <c r="Z2146">
        <f>IF($Y2146="","",INDEX($C$6:$C$40000,$Y2146)&amp;"")</f>
        <v/>
      </c>
      <c r="AA2146" s="59">
        <f>IF($Y2146="","",IF(INDEX($D$6:$D$40000,$Y2146)="","",INDEX($D$6:$D$40000,$Y2146)))</f>
        <v/>
      </c>
      <c r="AB2146">
        <f>IF($Y2146="","",INDEX($L$6:$L$40000,$Y2146)&amp;"")</f>
        <v/>
      </c>
    </row>
    <row r="2147">
      <c r="Y2147" s="47">
        <f>IFERROR(MATCH(Library!M2147,$M$6:$M$40000,0),"")</f>
        <v/>
      </c>
      <c r="Z2147">
        <f>IF($Y2147="","",INDEX($C$6:$C$40000,$Y2147)&amp;"")</f>
        <v/>
      </c>
      <c r="AA2147" s="59">
        <f>IF($Y2147="","",IF(INDEX($D$6:$D$40000,$Y2147)="","",INDEX($D$6:$D$40000,$Y2147)))</f>
        <v/>
      </c>
      <c r="AB2147">
        <f>IF($Y2147="","",INDEX($L$6:$L$40000,$Y2147)&amp;"")</f>
        <v/>
      </c>
    </row>
    <row r="2148">
      <c r="Y2148" s="47">
        <f>IFERROR(MATCH(Library!M2148,$M$6:$M$40000,0),"")</f>
        <v/>
      </c>
      <c r="Z2148">
        <f>IF($Y2148="","",INDEX($C$6:$C$40000,$Y2148)&amp;"")</f>
        <v/>
      </c>
      <c r="AA2148" s="59">
        <f>IF($Y2148="","",IF(INDEX($D$6:$D$40000,$Y2148)="","",INDEX($D$6:$D$40000,$Y2148)))</f>
        <v/>
      </c>
      <c r="AB2148">
        <f>IF($Y2148="","",INDEX($L$6:$L$40000,$Y2148)&amp;"")</f>
        <v/>
      </c>
    </row>
    <row r="2149">
      <c r="Y2149" s="47">
        <f>IFERROR(MATCH(Library!M2149,$M$6:$M$40000,0),"")</f>
        <v/>
      </c>
      <c r="Z2149">
        <f>IF($Y2149="","",INDEX($C$6:$C$40000,$Y2149)&amp;"")</f>
        <v/>
      </c>
      <c r="AA2149" s="59">
        <f>IF($Y2149="","",IF(INDEX($D$6:$D$40000,$Y2149)="","",INDEX($D$6:$D$40000,$Y2149)))</f>
        <v/>
      </c>
      <c r="AB2149">
        <f>IF($Y2149="","",INDEX($L$6:$L$40000,$Y2149)&amp;"")</f>
        <v/>
      </c>
    </row>
    <row r="2150">
      <c r="Y2150" s="47">
        <f>IFERROR(MATCH(Library!M2150,$M$6:$M$40000,0),"")</f>
        <v/>
      </c>
      <c r="Z2150">
        <f>IF($Y2150="","",INDEX($C$6:$C$40000,$Y2150)&amp;"")</f>
        <v/>
      </c>
      <c r="AA2150" s="59">
        <f>IF($Y2150="","",IF(INDEX($D$6:$D$40000,$Y2150)="","",INDEX($D$6:$D$40000,$Y2150)))</f>
        <v/>
      </c>
      <c r="AB2150">
        <f>IF($Y2150="","",INDEX($L$6:$L$40000,$Y2150)&amp;"")</f>
        <v/>
      </c>
    </row>
    <row r="2151">
      <c r="Y2151" s="47">
        <f>IFERROR(MATCH(Library!M2151,$M$6:$M$40000,0),"")</f>
        <v/>
      </c>
      <c r="Z2151">
        <f>IF($Y2151="","",INDEX($C$6:$C$40000,$Y2151)&amp;"")</f>
        <v/>
      </c>
      <c r="AA2151" s="59">
        <f>IF($Y2151="","",IF(INDEX($D$6:$D$40000,$Y2151)="","",INDEX($D$6:$D$40000,$Y2151)))</f>
        <v/>
      </c>
      <c r="AB2151">
        <f>IF($Y2151="","",INDEX($L$6:$L$40000,$Y2151)&amp;"")</f>
        <v/>
      </c>
    </row>
    <row r="2152">
      <c r="Y2152" s="47">
        <f>IFERROR(MATCH(Library!M2152,$M$6:$M$40000,0),"")</f>
        <v/>
      </c>
      <c r="Z2152">
        <f>IF($Y2152="","",INDEX($C$6:$C$40000,$Y2152)&amp;"")</f>
        <v/>
      </c>
      <c r="AA2152" s="59">
        <f>IF($Y2152="","",IF(INDEX($D$6:$D$40000,$Y2152)="","",INDEX($D$6:$D$40000,$Y2152)))</f>
        <v/>
      </c>
      <c r="AB2152">
        <f>IF($Y2152="","",INDEX($L$6:$L$40000,$Y2152)&amp;"")</f>
        <v/>
      </c>
    </row>
    <row r="2153">
      <c r="Y2153" s="47">
        <f>IFERROR(MATCH(Library!M2153,$M$6:$M$40000,0),"")</f>
        <v/>
      </c>
      <c r="Z2153">
        <f>IF($Y2153="","",INDEX($C$6:$C$40000,$Y2153)&amp;"")</f>
        <v/>
      </c>
      <c r="AA2153" s="59">
        <f>IF($Y2153="","",IF(INDEX($D$6:$D$40000,$Y2153)="","",INDEX($D$6:$D$40000,$Y2153)))</f>
        <v/>
      </c>
      <c r="AB2153">
        <f>IF($Y2153="","",INDEX($L$6:$L$40000,$Y2153)&amp;"")</f>
        <v/>
      </c>
    </row>
    <row r="2154">
      <c r="Y2154" s="47">
        <f>IFERROR(MATCH(Library!M2154,$M$6:$M$40000,0),"")</f>
        <v/>
      </c>
      <c r="Z2154">
        <f>IF($Y2154="","",INDEX($C$6:$C$40000,$Y2154)&amp;"")</f>
        <v/>
      </c>
      <c r="AA2154" s="59">
        <f>IF($Y2154="","",IF(INDEX($D$6:$D$40000,$Y2154)="","",INDEX($D$6:$D$40000,$Y2154)))</f>
        <v/>
      </c>
      <c r="AB2154">
        <f>IF($Y2154="","",INDEX($L$6:$L$40000,$Y2154)&amp;"")</f>
        <v/>
      </c>
    </row>
    <row r="2155">
      <c r="Y2155" s="47">
        <f>IFERROR(MATCH(Library!M2155,$M$6:$M$40000,0),"")</f>
        <v/>
      </c>
      <c r="Z2155">
        <f>IF($Y2155="","",INDEX($C$6:$C$40000,$Y2155)&amp;"")</f>
        <v/>
      </c>
      <c r="AA2155" s="59">
        <f>IF($Y2155="","",IF(INDEX($D$6:$D$40000,$Y2155)="","",INDEX($D$6:$D$40000,$Y2155)))</f>
        <v/>
      </c>
      <c r="AB2155">
        <f>IF($Y2155="","",INDEX($L$6:$L$40000,$Y2155)&amp;"")</f>
        <v/>
      </c>
    </row>
    <row r="2156">
      <c r="Y2156" s="47">
        <f>IFERROR(MATCH(Library!M2156,$M$6:$M$40000,0),"")</f>
        <v/>
      </c>
      <c r="Z2156">
        <f>IF($Y2156="","",INDEX($C$6:$C$40000,$Y2156)&amp;"")</f>
        <v/>
      </c>
      <c r="AA2156" s="59">
        <f>IF($Y2156="","",IF(INDEX($D$6:$D$40000,$Y2156)="","",INDEX($D$6:$D$40000,$Y2156)))</f>
        <v/>
      </c>
      <c r="AB2156">
        <f>IF($Y2156="","",INDEX($L$6:$L$40000,$Y2156)&amp;"")</f>
        <v/>
      </c>
    </row>
    <row r="2157">
      <c r="Y2157" s="47">
        <f>IFERROR(MATCH(Library!M2157,$M$6:$M$40000,0),"")</f>
        <v/>
      </c>
      <c r="Z2157">
        <f>IF($Y2157="","",INDEX($C$6:$C$40000,$Y2157)&amp;"")</f>
        <v/>
      </c>
      <c r="AA2157" s="59">
        <f>IF($Y2157="","",IF(INDEX($D$6:$D$40000,$Y2157)="","",INDEX($D$6:$D$40000,$Y2157)))</f>
        <v/>
      </c>
      <c r="AB2157">
        <f>IF($Y2157="","",INDEX($L$6:$L$40000,$Y2157)&amp;"")</f>
        <v/>
      </c>
    </row>
    <row r="2158">
      <c r="Y2158" s="47">
        <f>IFERROR(MATCH(Library!M2158,$M$6:$M$40000,0),"")</f>
        <v/>
      </c>
      <c r="Z2158">
        <f>IF($Y2158="","",INDEX($C$6:$C$40000,$Y2158)&amp;"")</f>
        <v/>
      </c>
      <c r="AA2158" s="59">
        <f>IF($Y2158="","",IF(INDEX($D$6:$D$40000,$Y2158)="","",INDEX($D$6:$D$40000,$Y2158)))</f>
        <v/>
      </c>
      <c r="AB2158">
        <f>IF($Y2158="","",INDEX($L$6:$L$40000,$Y2158)&amp;"")</f>
        <v/>
      </c>
    </row>
    <row r="2159">
      <c r="Y2159" s="47">
        <f>IFERROR(MATCH(Library!M2159,$M$6:$M$40000,0),"")</f>
        <v/>
      </c>
      <c r="Z2159">
        <f>IF($Y2159="","",INDEX($C$6:$C$40000,$Y2159)&amp;"")</f>
        <v/>
      </c>
      <c r="AA2159" s="59">
        <f>IF($Y2159="","",IF(INDEX($D$6:$D$40000,$Y2159)="","",INDEX($D$6:$D$40000,$Y2159)))</f>
        <v/>
      </c>
      <c r="AB2159">
        <f>IF($Y2159="","",INDEX($L$6:$L$40000,$Y2159)&amp;"")</f>
        <v/>
      </c>
    </row>
    <row r="2160">
      <c r="Y2160" s="47">
        <f>IFERROR(MATCH(Library!M2160,$M$6:$M$40000,0),"")</f>
        <v/>
      </c>
      <c r="Z2160">
        <f>IF($Y2160="","",INDEX($C$6:$C$40000,$Y2160)&amp;"")</f>
        <v/>
      </c>
      <c r="AA2160" s="59">
        <f>IF($Y2160="","",IF(INDEX($D$6:$D$40000,$Y2160)="","",INDEX($D$6:$D$40000,$Y2160)))</f>
        <v/>
      </c>
      <c r="AB2160">
        <f>IF($Y2160="","",INDEX($L$6:$L$40000,$Y2160)&amp;"")</f>
        <v/>
      </c>
    </row>
    <row r="2161">
      <c r="Y2161" s="47">
        <f>IFERROR(MATCH(Library!M2161,$M$6:$M$40000,0),"")</f>
        <v/>
      </c>
      <c r="Z2161">
        <f>IF($Y2161="","",INDEX($C$6:$C$40000,$Y2161)&amp;"")</f>
        <v/>
      </c>
      <c r="AA2161" s="59">
        <f>IF($Y2161="","",IF(INDEX($D$6:$D$40000,$Y2161)="","",INDEX($D$6:$D$40000,$Y2161)))</f>
        <v/>
      </c>
      <c r="AB2161">
        <f>IF($Y2161="","",INDEX($L$6:$L$40000,$Y2161)&amp;"")</f>
        <v/>
      </c>
    </row>
    <row r="2162">
      <c r="Y2162" s="47">
        <f>IFERROR(MATCH(Library!M2162,$M$6:$M$40000,0),"")</f>
        <v/>
      </c>
      <c r="Z2162">
        <f>IF($Y2162="","",INDEX($C$6:$C$40000,$Y2162)&amp;"")</f>
        <v/>
      </c>
      <c r="AA2162" s="59">
        <f>IF($Y2162="","",IF(INDEX($D$6:$D$40000,$Y2162)="","",INDEX($D$6:$D$40000,$Y2162)))</f>
        <v/>
      </c>
      <c r="AB2162">
        <f>IF($Y2162="","",INDEX($L$6:$L$40000,$Y2162)&amp;"")</f>
        <v/>
      </c>
    </row>
    <row r="2163">
      <c r="Y2163" s="47">
        <f>IFERROR(MATCH(Library!M2163,$M$6:$M$40000,0),"")</f>
        <v/>
      </c>
      <c r="Z2163">
        <f>IF($Y2163="","",INDEX($C$6:$C$40000,$Y2163)&amp;"")</f>
        <v/>
      </c>
      <c r="AA2163" s="59">
        <f>IF($Y2163="","",IF(INDEX($D$6:$D$40000,$Y2163)="","",INDEX($D$6:$D$40000,$Y2163)))</f>
        <v/>
      </c>
      <c r="AB2163">
        <f>IF($Y2163="","",INDEX($L$6:$L$40000,$Y2163)&amp;"")</f>
        <v/>
      </c>
    </row>
    <row r="2164">
      <c r="Y2164" s="47">
        <f>IFERROR(MATCH(Library!M2164,$M$6:$M$40000,0),"")</f>
        <v/>
      </c>
      <c r="Z2164">
        <f>IF($Y2164="","",INDEX($C$6:$C$40000,$Y2164)&amp;"")</f>
        <v/>
      </c>
      <c r="AA2164" s="59">
        <f>IF($Y2164="","",IF(INDEX($D$6:$D$40000,$Y2164)="","",INDEX($D$6:$D$40000,$Y2164)))</f>
        <v/>
      </c>
      <c r="AB2164">
        <f>IF($Y2164="","",INDEX($L$6:$L$40000,$Y2164)&amp;"")</f>
        <v/>
      </c>
    </row>
    <row r="2165">
      <c r="Y2165" s="47">
        <f>IFERROR(MATCH(Library!M2165,$M$6:$M$40000,0),"")</f>
        <v/>
      </c>
      <c r="Z2165">
        <f>IF($Y2165="","",INDEX($C$6:$C$40000,$Y2165)&amp;"")</f>
        <v/>
      </c>
      <c r="AA2165" s="59">
        <f>IF($Y2165="","",IF(INDEX($D$6:$D$40000,$Y2165)="","",INDEX($D$6:$D$40000,$Y2165)))</f>
        <v/>
      </c>
      <c r="AB2165">
        <f>IF($Y2165="","",INDEX($L$6:$L$40000,$Y2165)&amp;"")</f>
        <v/>
      </c>
    </row>
    <row r="2166">
      <c r="Y2166" s="47">
        <f>IFERROR(MATCH(Library!M2166,$M$6:$M$40000,0),"")</f>
        <v/>
      </c>
      <c r="Z2166">
        <f>IF($Y2166="","",INDEX($C$6:$C$40000,$Y2166)&amp;"")</f>
        <v/>
      </c>
      <c r="AA2166" s="59">
        <f>IF($Y2166="","",IF(INDEX($D$6:$D$40000,$Y2166)="","",INDEX($D$6:$D$40000,$Y2166)))</f>
        <v/>
      </c>
      <c r="AB2166">
        <f>IF($Y2166="","",INDEX($L$6:$L$40000,$Y2166)&amp;"")</f>
        <v/>
      </c>
    </row>
    <row r="2167">
      <c r="Y2167" s="47">
        <f>IFERROR(MATCH(Library!M2167,$M$6:$M$40000,0),"")</f>
        <v/>
      </c>
      <c r="Z2167">
        <f>IF($Y2167="","",INDEX($C$6:$C$40000,$Y2167)&amp;"")</f>
        <v/>
      </c>
      <c r="AA2167" s="59">
        <f>IF($Y2167="","",IF(INDEX($D$6:$D$40000,$Y2167)="","",INDEX($D$6:$D$40000,$Y2167)))</f>
        <v/>
      </c>
      <c r="AB2167">
        <f>IF($Y2167="","",INDEX($L$6:$L$40000,$Y2167)&amp;"")</f>
        <v/>
      </c>
    </row>
    <row r="2168">
      <c r="Y2168" s="47">
        <f>IFERROR(MATCH(Library!M2168,$M$6:$M$40000,0),"")</f>
        <v/>
      </c>
      <c r="Z2168">
        <f>IF($Y2168="","",INDEX($C$6:$C$40000,$Y2168)&amp;"")</f>
        <v/>
      </c>
      <c r="AA2168" s="59">
        <f>IF($Y2168="","",IF(INDEX($D$6:$D$40000,$Y2168)="","",INDEX($D$6:$D$40000,$Y2168)))</f>
        <v/>
      </c>
      <c r="AB2168">
        <f>IF($Y2168="","",INDEX($L$6:$L$40000,$Y2168)&amp;"")</f>
        <v/>
      </c>
    </row>
    <row r="2169">
      <c r="Y2169" s="47">
        <f>IFERROR(MATCH(Library!M2169,$M$6:$M$40000,0),"")</f>
        <v/>
      </c>
      <c r="Z2169">
        <f>IF($Y2169="","",INDEX($C$6:$C$40000,$Y2169)&amp;"")</f>
        <v/>
      </c>
      <c r="AA2169" s="59">
        <f>IF($Y2169="","",IF(INDEX($D$6:$D$40000,$Y2169)="","",INDEX($D$6:$D$40000,$Y2169)))</f>
        <v/>
      </c>
      <c r="AB2169">
        <f>IF($Y2169="","",INDEX($L$6:$L$40000,$Y2169)&amp;"")</f>
        <v/>
      </c>
    </row>
    <row r="2170">
      <c r="Y2170" s="47">
        <f>IFERROR(MATCH(Library!M2170,$M$6:$M$40000,0),"")</f>
        <v/>
      </c>
      <c r="Z2170">
        <f>IF($Y2170="","",INDEX($C$6:$C$40000,$Y2170)&amp;"")</f>
        <v/>
      </c>
      <c r="AA2170" s="59">
        <f>IF($Y2170="","",IF(INDEX($D$6:$D$40000,$Y2170)="","",INDEX($D$6:$D$40000,$Y2170)))</f>
        <v/>
      </c>
      <c r="AB2170">
        <f>IF($Y2170="","",INDEX($L$6:$L$40000,$Y2170)&amp;"")</f>
        <v/>
      </c>
    </row>
    <row r="2171">
      <c r="Y2171" s="47">
        <f>IFERROR(MATCH(Library!M2171,$M$6:$M$40000,0),"")</f>
        <v/>
      </c>
      <c r="Z2171">
        <f>IF($Y2171="","",INDEX($C$6:$C$40000,$Y2171)&amp;"")</f>
        <v/>
      </c>
      <c r="AA2171" s="59">
        <f>IF($Y2171="","",IF(INDEX($D$6:$D$40000,$Y2171)="","",INDEX($D$6:$D$40000,$Y2171)))</f>
        <v/>
      </c>
      <c r="AB2171">
        <f>IF($Y2171="","",INDEX($L$6:$L$40000,$Y2171)&amp;"")</f>
        <v/>
      </c>
    </row>
    <row r="2172">
      <c r="Y2172" s="47">
        <f>IFERROR(MATCH(Library!M2172,$M$6:$M$40000,0),"")</f>
        <v/>
      </c>
      <c r="Z2172">
        <f>IF($Y2172="","",INDEX($C$6:$C$40000,$Y2172)&amp;"")</f>
        <v/>
      </c>
      <c r="AA2172" s="59">
        <f>IF($Y2172="","",IF(INDEX($D$6:$D$40000,$Y2172)="","",INDEX($D$6:$D$40000,$Y2172)))</f>
        <v/>
      </c>
      <c r="AB2172">
        <f>IF($Y2172="","",INDEX($L$6:$L$40000,$Y2172)&amp;"")</f>
        <v/>
      </c>
    </row>
    <row r="2173">
      <c r="Y2173" s="47">
        <f>IFERROR(MATCH(Library!M2173,$M$6:$M$40000,0),"")</f>
        <v/>
      </c>
      <c r="Z2173">
        <f>IF($Y2173="","",INDEX($C$6:$C$40000,$Y2173)&amp;"")</f>
        <v/>
      </c>
      <c r="AA2173" s="59">
        <f>IF($Y2173="","",IF(INDEX($D$6:$D$40000,$Y2173)="","",INDEX($D$6:$D$40000,$Y2173)))</f>
        <v/>
      </c>
      <c r="AB2173">
        <f>IF($Y2173="","",INDEX($L$6:$L$40000,$Y2173)&amp;"")</f>
        <v/>
      </c>
    </row>
    <row r="2174">
      <c r="Y2174" s="47">
        <f>IFERROR(MATCH(Library!M2174,$M$6:$M$40000,0),"")</f>
        <v/>
      </c>
      <c r="Z2174">
        <f>IF($Y2174="","",INDEX($C$6:$C$40000,$Y2174)&amp;"")</f>
        <v/>
      </c>
      <c r="AA2174" s="59">
        <f>IF($Y2174="","",IF(INDEX($D$6:$D$40000,$Y2174)="","",INDEX($D$6:$D$40000,$Y2174)))</f>
        <v/>
      </c>
      <c r="AB2174">
        <f>IF($Y2174="","",INDEX($L$6:$L$40000,$Y2174)&amp;"")</f>
        <v/>
      </c>
    </row>
    <row r="2175">
      <c r="Y2175" s="47">
        <f>IFERROR(MATCH(Library!M2175,$M$6:$M$40000,0),"")</f>
        <v/>
      </c>
      <c r="Z2175">
        <f>IF($Y2175="","",INDEX($C$6:$C$40000,$Y2175)&amp;"")</f>
        <v/>
      </c>
      <c r="AA2175" s="59">
        <f>IF($Y2175="","",IF(INDEX($D$6:$D$40000,$Y2175)="","",INDEX($D$6:$D$40000,$Y2175)))</f>
        <v/>
      </c>
      <c r="AB2175">
        <f>IF($Y2175="","",INDEX($L$6:$L$40000,$Y2175)&amp;"")</f>
        <v/>
      </c>
    </row>
    <row r="2176">
      <c r="Y2176" s="47">
        <f>IFERROR(MATCH(Library!M2176,$M$6:$M$40000,0),"")</f>
        <v/>
      </c>
      <c r="Z2176">
        <f>IF($Y2176="","",INDEX($C$6:$C$40000,$Y2176)&amp;"")</f>
        <v/>
      </c>
      <c r="AA2176" s="59">
        <f>IF($Y2176="","",IF(INDEX($D$6:$D$40000,$Y2176)="","",INDEX($D$6:$D$40000,$Y2176)))</f>
        <v/>
      </c>
      <c r="AB2176">
        <f>IF($Y2176="","",INDEX($L$6:$L$40000,$Y2176)&amp;"")</f>
        <v/>
      </c>
    </row>
    <row r="2177">
      <c r="Y2177" s="47">
        <f>IFERROR(MATCH(Library!M2177,$M$6:$M$40000,0),"")</f>
        <v/>
      </c>
      <c r="Z2177">
        <f>IF($Y2177="","",INDEX($C$6:$C$40000,$Y2177)&amp;"")</f>
        <v/>
      </c>
      <c r="AA2177" s="59">
        <f>IF($Y2177="","",IF(INDEX($D$6:$D$40000,$Y2177)="","",INDEX($D$6:$D$40000,$Y2177)))</f>
        <v/>
      </c>
      <c r="AB2177">
        <f>IF($Y2177="","",INDEX($L$6:$L$40000,$Y2177)&amp;"")</f>
        <v/>
      </c>
    </row>
    <row r="2178">
      <c r="Y2178" s="47">
        <f>IFERROR(MATCH(Library!M2178,$M$6:$M$40000,0),"")</f>
        <v/>
      </c>
      <c r="Z2178">
        <f>IF($Y2178="","",INDEX($C$6:$C$40000,$Y2178)&amp;"")</f>
        <v/>
      </c>
      <c r="AA2178" s="59">
        <f>IF($Y2178="","",IF(INDEX($D$6:$D$40000,$Y2178)="","",INDEX($D$6:$D$40000,$Y2178)))</f>
        <v/>
      </c>
      <c r="AB2178">
        <f>IF($Y2178="","",INDEX($L$6:$L$40000,$Y2178)&amp;"")</f>
        <v/>
      </c>
    </row>
    <row r="2179">
      <c r="Y2179" s="47">
        <f>IFERROR(MATCH(Library!M2179,$M$6:$M$40000,0),"")</f>
        <v/>
      </c>
      <c r="Z2179">
        <f>IF($Y2179="","",INDEX($C$6:$C$40000,$Y2179)&amp;"")</f>
        <v/>
      </c>
      <c r="AA2179" s="59">
        <f>IF($Y2179="","",IF(INDEX($D$6:$D$40000,$Y2179)="","",INDEX($D$6:$D$40000,$Y2179)))</f>
        <v/>
      </c>
      <c r="AB2179">
        <f>IF($Y2179="","",INDEX($L$6:$L$40000,$Y2179)&amp;"")</f>
        <v/>
      </c>
    </row>
    <row r="2180">
      <c r="Y2180" s="47">
        <f>IFERROR(MATCH(Library!M2180,$M$6:$M$40000,0),"")</f>
        <v/>
      </c>
      <c r="Z2180">
        <f>IF($Y2180="","",INDEX($C$6:$C$40000,$Y2180)&amp;"")</f>
        <v/>
      </c>
      <c r="AA2180" s="59">
        <f>IF($Y2180="","",IF(INDEX($D$6:$D$40000,$Y2180)="","",INDEX($D$6:$D$40000,$Y2180)))</f>
        <v/>
      </c>
      <c r="AB2180">
        <f>IF($Y2180="","",INDEX($L$6:$L$40000,$Y2180)&amp;"")</f>
        <v/>
      </c>
    </row>
    <row r="2181">
      <c r="Y2181" s="47">
        <f>IFERROR(MATCH(Library!M2181,$M$6:$M$40000,0),"")</f>
        <v/>
      </c>
      <c r="Z2181">
        <f>IF($Y2181="","",INDEX($C$6:$C$40000,$Y2181)&amp;"")</f>
        <v/>
      </c>
      <c r="AA2181" s="59">
        <f>IF($Y2181="","",IF(INDEX($D$6:$D$40000,$Y2181)="","",INDEX($D$6:$D$40000,$Y2181)))</f>
        <v/>
      </c>
      <c r="AB2181">
        <f>IF($Y2181="","",INDEX($L$6:$L$40000,$Y2181)&amp;"")</f>
        <v/>
      </c>
    </row>
    <row r="2182">
      <c r="Y2182" s="47">
        <f>IFERROR(MATCH(Library!M2182,$M$6:$M$40000,0),"")</f>
        <v/>
      </c>
      <c r="Z2182">
        <f>IF($Y2182="","",INDEX($C$6:$C$40000,$Y2182)&amp;"")</f>
        <v/>
      </c>
      <c r="AA2182" s="59">
        <f>IF($Y2182="","",IF(INDEX($D$6:$D$40000,$Y2182)="","",INDEX($D$6:$D$40000,$Y2182)))</f>
        <v/>
      </c>
      <c r="AB2182">
        <f>IF($Y2182="","",INDEX($L$6:$L$40000,$Y2182)&amp;"")</f>
        <v/>
      </c>
    </row>
    <row r="2183">
      <c r="Y2183" s="47">
        <f>IFERROR(MATCH(Library!M2183,$M$6:$M$40000,0),"")</f>
        <v/>
      </c>
      <c r="Z2183">
        <f>IF($Y2183="","",INDEX($C$6:$C$40000,$Y2183)&amp;"")</f>
        <v/>
      </c>
      <c r="AA2183" s="59">
        <f>IF($Y2183="","",IF(INDEX($D$6:$D$40000,$Y2183)="","",INDEX($D$6:$D$40000,$Y2183)))</f>
        <v/>
      </c>
      <c r="AB2183">
        <f>IF($Y2183="","",INDEX($L$6:$L$40000,$Y2183)&amp;"")</f>
        <v/>
      </c>
    </row>
    <row r="2184">
      <c r="Y2184" s="47">
        <f>IFERROR(MATCH(Library!M2184,$M$6:$M$40000,0),"")</f>
        <v/>
      </c>
      <c r="Z2184">
        <f>IF($Y2184="","",INDEX($C$6:$C$40000,$Y2184)&amp;"")</f>
        <v/>
      </c>
      <c r="AA2184" s="59">
        <f>IF($Y2184="","",IF(INDEX($D$6:$D$40000,$Y2184)="","",INDEX($D$6:$D$40000,$Y2184)))</f>
        <v/>
      </c>
      <c r="AB2184">
        <f>IF($Y2184="","",INDEX($L$6:$L$40000,$Y2184)&amp;"")</f>
        <v/>
      </c>
    </row>
    <row r="2185">
      <c r="Y2185" s="47">
        <f>IFERROR(MATCH(Library!M2185,$M$6:$M$40000,0),"")</f>
        <v/>
      </c>
      <c r="Z2185">
        <f>IF($Y2185="","",INDEX($C$6:$C$40000,$Y2185)&amp;"")</f>
        <v/>
      </c>
      <c r="AA2185" s="59">
        <f>IF($Y2185="","",IF(INDEX($D$6:$D$40000,$Y2185)="","",INDEX($D$6:$D$40000,$Y2185)))</f>
        <v/>
      </c>
      <c r="AB2185">
        <f>IF($Y2185="","",INDEX($L$6:$L$40000,$Y2185)&amp;"")</f>
        <v/>
      </c>
    </row>
    <row r="2186">
      <c r="Y2186" s="47">
        <f>IFERROR(MATCH(Library!M2186,$M$6:$M$40000,0),"")</f>
        <v/>
      </c>
      <c r="Z2186">
        <f>IF($Y2186="","",INDEX($C$6:$C$40000,$Y2186)&amp;"")</f>
        <v/>
      </c>
      <c r="AA2186" s="59">
        <f>IF($Y2186="","",IF(INDEX($D$6:$D$40000,$Y2186)="","",INDEX($D$6:$D$40000,$Y2186)))</f>
        <v/>
      </c>
      <c r="AB2186">
        <f>IF($Y2186="","",INDEX($L$6:$L$40000,$Y2186)&amp;"")</f>
        <v/>
      </c>
    </row>
    <row r="2187">
      <c r="Y2187" s="47">
        <f>IFERROR(MATCH(Library!M2187,$M$6:$M$40000,0),"")</f>
        <v/>
      </c>
      <c r="Z2187">
        <f>IF($Y2187="","",INDEX($C$6:$C$40000,$Y2187)&amp;"")</f>
        <v/>
      </c>
      <c r="AA2187" s="59">
        <f>IF($Y2187="","",IF(INDEX($D$6:$D$40000,$Y2187)="","",INDEX($D$6:$D$40000,$Y2187)))</f>
        <v/>
      </c>
      <c r="AB2187">
        <f>IF($Y2187="","",INDEX($L$6:$L$40000,$Y2187)&amp;"")</f>
        <v/>
      </c>
    </row>
    <row r="2188">
      <c r="Y2188" s="47">
        <f>IFERROR(MATCH(Library!M2188,$M$6:$M$40000,0),"")</f>
        <v/>
      </c>
      <c r="Z2188">
        <f>IF($Y2188="","",INDEX($C$6:$C$40000,$Y2188)&amp;"")</f>
        <v/>
      </c>
      <c r="AA2188" s="59">
        <f>IF($Y2188="","",IF(INDEX($D$6:$D$40000,$Y2188)="","",INDEX($D$6:$D$40000,$Y2188)))</f>
        <v/>
      </c>
      <c r="AB2188">
        <f>IF($Y2188="","",INDEX($L$6:$L$40000,$Y2188)&amp;"")</f>
        <v/>
      </c>
    </row>
    <row r="2189">
      <c r="Y2189" s="47">
        <f>IFERROR(MATCH(Library!M2189,$M$6:$M$40000,0),"")</f>
        <v/>
      </c>
      <c r="Z2189">
        <f>IF($Y2189="","",INDEX($C$6:$C$40000,$Y2189)&amp;"")</f>
        <v/>
      </c>
      <c r="AA2189" s="59">
        <f>IF($Y2189="","",IF(INDEX($D$6:$D$40000,$Y2189)="","",INDEX($D$6:$D$40000,$Y2189)))</f>
        <v/>
      </c>
      <c r="AB2189">
        <f>IF($Y2189="","",INDEX($L$6:$L$40000,$Y2189)&amp;"")</f>
        <v/>
      </c>
    </row>
    <row r="2190">
      <c r="Y2190" s="47">
        <f>IFERROR(MATCH(Library!M2190,$M$6:$M$40000,0),"")</f>
        <v/>
      </c>
      <c r="Z2190">
        <f>IF($Y2190="","",INDEX($C$6:$C$40000,$Y2190)&amp;"")</f>
        <v/>
      </c>
      <c r="AA2190" s="59">
        <f>IF($Y2190="","",IF(INDEX($D$6:$D$40000,$Y2190)="","",INDEX($D$6:$D$40000,$Y2190)))</f>
        <v/>
      </c>
      <c r="AB2190">
        <f>IF($Y2190="","",INDEX($L$6:$L$40000,$Y2190)&amp;"")</f>
        <v/>
      </c>
    </row>
    <row r="2191">
      <c r="Y2191" s="47">
        <f>IFERROR(MATCH(Library!M2191,$M$6:$M$40000,0),"")</f>
        <v/>
      </c>
      <c r="Z2191">
        <f>IF($Y2191="","",INDEX($C$6:$C$40000,$Y2191)&amp;"")</f>
        <v/>
      </c>
      <c r="AA2191" s="59">
        <f>IF($Y2191="","",IF(INDEX($D$6:$D$40000,$Y2191)="","",INDEX($D$6:$D$40000,$Y2191)))</f>
        <v/>
      </c>
      <c r="AB2191">
        <f>IF($Y2191="","",INDEX($L$6:$L$40000,$Y2191)&amp;"")</f>
        <v/>
      </c>
    </row>
    <row r="2192">
      <c r="Y2192" s="47">
        <f>IFERROR(MATCH(Library!M2192,$M$6:$M$40000,0),"")</f>
        <v/>
      </c>
      <c r="Z2192">
        <f>IF($Y2192="","",INDEX($C$6:$C$40000,$Y2192)&amp;"")</f>
        <v/>
      </c>
      <c r="AA2192" s="59">
        <f>IF($Y2192="","",IF(INDEX($D$6:$D$40000,$Y2192)="","",INDEX($D$6:$D$40000,$Y2192)))</f>
        <v/>
      </c>
      <c r="AB2192">
        <f>IF($Y2192="","",INDEX($L$6:$L$40000,$Y2192)&amp;"")</f>
        <v/>
      </c>
    </row>
    <row r="2193">
      <c r="Y2193" s="47">
        <f>IFERROR(MATCH(Library!M2193,$M$6:$M$40000,0),"")</f>
        <v/>
      </c>
      <c r="Z2193">
        <f>IF($Y2193="","",INDEX($C$6:$C$40000,$Y2193)&amp;"")</f>
        <v/>
      </c>
      <c r="AA2193" s="59">
        <f>IF($Y2193="","",IF(INDEX($D$6:$D$40000,$Y2193)="","",INDEX($D$6:$D$40000,$Y2193)))</f>
        <v/>
      </c>
      <c r="AB2193">
        <f>IF($Y2193="","",INDEX($L$6:$L$40000,$Y2193)&amp;"")</f>
        <v/>
      </c>
    </row>
    <row r="2194">
      <c r="Y2194" s="47">
        <f>IFERROR(MATCH(Library!M2194,$M$6:$M$40000,0),"")</f>
        <v/>
      </c>
      <c r="Z2194">
        <f>IF($Y2194="","",INDEX($C$6:$C$40000,$Y2194)&amp;"")</f>
        <v/>
      </c>
      <c r="AA2194" s="59">
        <f>IF($Y2194="","",IF(INDEX($D$6:$D$40000,$Y2194)="","",INDEX($D$6:$D$40000,$Y2194)))</f>
        <v/>
      </c>
      <c r="AB2194">
        <f>IF($Y2194="","",INDEX($L$6:$L$40000,$Y2194)&amp;"")</f>
        <v/>
      </c>
    </row>
    <row r="2195">
      <c r="Y2195" s="47">
        <f>IFERROR(MATCH(Library!M2195,$M$6:$M$40000,0),"")</f>
        <v/>
      </c>
      <c r="Z2195">
        <f>IF($Y2195="","",INDEX($C$6:$C$40000,$Y2195)&amp;"")</f>
        <v/>
      </c>
      <c r="AA2195" s="59">
        <f>IF($Y2195="","",IF(INDEX($D$6:$D$40000,$Y2195)="","",INDEX($D$6:$D$40000,$Y2195)))</f>
        <v/>
      </c>
      <c r="AB2195">
        <f>IF($Y2195="","",INDEX($L$6:$L$40000,$Y2195)&amp;"")</f>
        <v/>
      </c>
    </row>
    <row r="2196">
      <c r="Y2196" s="47">
        <f>IFERROR(MATCH(Library!M2196,$M$6:$M$40000,0),"")</f>
        <v/>
      </c>
      <c r="Z2196">
        <f>IF($Y2196="","",INDEX($C$6:$C$40000,$Y2196)&amp;"")</f>
        <v/>
      </c>
      <c r="AA2196" s="59">
        <f>IF($Y2196="","",IF(INDEX($D$6:$D$40000,$Y2196)="","",INDEX($D$6:$D$40000,$Y2196)))</f>
        <v/>
      </c>
      <c r="AB2196">
        <f>IF($Y2196="","",INDEX($L$6:$L$40000,$Y2196)&amp;"")</f>
        <v/>
      </c>
    </row>
    <row r="2197">
      <c r="Y2197" s="47">
        <f>IFERROR(MATCH(Library!M2197,$M$6:$M$40000,0),"")</f>
        <v/>
      </c>
      <c r="Z2197">
        <f>IF($Y2197="","",INDEX($C$6:$C$40000,$Y2197)&amp;"")</f>
        <v/>
      </c>
      <c r="AA2197" s="59">
        <f>IF($Y2197="","",IF(INDEX($D$6:$D$40000,$Y2197)="","",INDEX($D$6:$D$40000,$Y2197)))</f>
        <v/>
      </c>
      <c r="AB2197">
        <f>IF($Y2197="","",INDEX($L$6:$L$40000,$Y2197)&amp;"")</f>
        <v/>
      </c>
    </row>
    <row r="2198">
      <c r="Y2198" s="47">
        <f>IFERROR(MATCH(Library!M2198,$M$6:$M$40000,0),"")</f>
        <v/>
      </c>
      <c r="Z2198">
        <f>IF($Y2198="","",INDEX($C$6:$C$40000,$Y2198)&amp;"")</f>
        <v/>
      </c>
      <c r="AA2198" s="59">
        <f>IF($Y2198="","",IF(INDEX($D$6:$D$40000,$Y2198)="","",INDEX($D$6:$D$40000,$Y2198)))</f>
        <v/>
      </c>
      <c r="AB2198">
        <f>IF($Y2198="","",INDEX($L$6:$L$40000,$Y2198)&amp;"")</f>
        <v/>
      </c>
    </row>
    <row r="2199">
      <c r="Y2199" s="47">
        <f>IFERROR(MATCH(Library!M2199,$M$6:$M$40000,0),"")</f>
        <v/>
      </c>
      <c r="Z2199">
        <f>IF($Y2199="","",INDEX($C$6:$C$40000,$Y2199)&amp;"")</f>
        <v/>
      </c>
      <c r="AA2199" s="59">
        <f>IF($Y2199="","",IF(INDEX($D$6:$D$40000,$Y2199)="","",INDEX($D$6:$D$40000,$Y2199)))</f>
        <v/>
      </c>
      <c r="AB2199">
        <f>IF($Y2199="","",INDEX($L$6:$L$40000,$Y2199)&amp;"")</f>
        <v/>
      </c>
    </row>
    <row r="2200">
      <c r="Y2200" s="47">
        <f>IFERROR(MATCH(Library!M2200,$M$6:$M$40000,0),"")</f>
        <v/>
      </c>
      <c r="Z2200">
        <f>IF($Y2200="","",INDEX($C$6:$C$40000,$Y2200)&amp;"")</f>
        <v/>
      </c>
      <c r="AA2200" s="59">
        <f>IF($Y2200="","",IF(INDEX($D$6:$D$40000,$Y2200)="","",INDEX($D$6:$D$40000,$Y2200)))</f>
        <v/>
      </c>
      <c r="AB2200">
        <f>IF($Y2200="","",INDEX($L$6:$L$40000,$Y2200)&amp;"")</f>
        <v/>
      </c>
    </row>
    <row r="2201">
      <c r="Y2201" s="47">
        <f>IFERROR(MATCH(Library!M2201,$M$6:$M$40000,0),"")</f>
        <v/>
      </c>
      <c r="Z2201">
        <f>IF($Y2201="","",INDEX($C$6:$C$40000,$Y2201)&amp;"")</f>
        <v/>
      </c>
      <c r="AA2201" s="59">
        <f>IF($Y2201="","",IF(INDEX($D$6:$D$40000,$Y2201)="","",INDEX($D$6:$D$40000,$Y2201)))</f>
        <v/>
      </c>
      <c r="AB2201">
        <f>IF($Y2201="","",INDEX($L$6:$L$40000,$Y2201)&amp;"")</f>
        <v/>
      </c>
    </row>
    <row r="2202">
      <c r="Y2202" s="47">
        <f>IFERROR(MATCH(Library!M2202,$M$6:$M$40000,0),"")</f>
        <v/>
      </c>
      <c r="Z2202">
        <f>IF($Y2202="","",INDEX($C$6:$C$40000,$Y2202)&amp;"")</f>
        <v/>
      </c>
      <c r="AA2202" s="59">
        <f>IF($Y2202="","",IF(INDEX($D$6:$D$40000,$Y2202)="","",INDEX($D$6:$D$40000,$Y2202)))</f>
        <v/>
      </c>
      <c r="AB2202">
        <f>IF($Y2202="","",INDEX($L$6:$L$40000,$Y2202)&amp;"")</f>
        <v/>
      </c>
    </row>
    <row r="2203">
      <c r="Y2203" s="47">
        <f>IFERROR(MATCH(Library!M2203,$M$6:$M$40000,0),"")</f>
        <v/>
      </c>
      <c r="Z2203">
        <f>IF($Y2203="","",INDEX($C$6:$C$40000,$Y2203)&amp;"")</f>
        <v/>
      </c>
      <c r="AA2203" s="59">
        <f>IF($Y2203="","",IF(INDEX($D$6:$D$40000,$Y2203)="","",INDEX($D$6:$D$40000,$Y2203)))</f>
        <v/>
      </c>
      <c r="AB2203">
        <f>IF($Y2203="","",INDEX($L$6:$L$40000,$Y2203)&amp;"")</f>
        <v/>
      </c>
    </row>
    <row r="2204">
      <c r="Y2204" s="47">
        <f>IFERROR(MATCH(Library!M2204,$M$6:$M$40000,0),"")</f>
        <v/>
      </c>
      <c r="Z2204">
        <f>IF($Y2204="","",INDEX($C$6:$C$40000,$Y2204)&amp;"")</f>
        <v/>
      </c>
      <c r="AA2204" s="59">
        <f>IF($Y2204="","",IF(INDEX($D$6:$D$40000,$Y2204)="","",INDEX($D$6:$D$40000,$Y2204)))</f>
        <v/>
      </c>
      <c r="AB2204">
        <f>IF($Y2204="","",INDEX($L$6:$L$40000,$Y2204)&amp;"")</f>
        <v/>
      </c>
    </row>
    <row r="2205">
      <c r="Y2205" s="47">
        <f>IFERROR(MATCH(Library!M2205,$M$6:$M$40000,0),"")</f>
        <v/>
      </c>
      <c r="Z2205">
        <f>IF($Y2205="","",INDEX($C$6:$C$40000,$Y2205)&amp;"")</f>
        <v/>
      </c>
      <c r="AA2205" s="59">
        <f>IF($Y2205="","",IF(INDEX($D$6:$D$40000,$Y2205)="","",INDEX($D$6:$D$40000,$Y2205)))</f>
        <v/>
      </c>
      <c r="AB2205">
        <f>IF($Y2205="","",INDEX($L$6:$L$40000,$Y2205)&amp;"")</f>
        <v/>
      </c>
    </row>
    <row r="2206">
      <c r="Y2206" s="47">
        <f>IFERROR(MATCH(Library!M2206,$M$6:$M$40000,0),"")</f>
        <v/>
      </c>
      <c r="Z2206">
        <f>IF($Y2206="","",INDEX($C$6:$C$40000,$Y2206)&amp;"")</f>
        <v/>
      </c>
      <c r="AA2206" s="59">
        <f>IF($Y2206="","",IF(INDEX($D$6:$D$40000,$Y2206)="","",INDEX($D$6:$D$40000,$Y2206)))</f>
        <v/>
      </c>
      <c r="AB2206">
        <f>IF($Y2206="","",INDEX($L$6:$L$40000,$Y2206)&amp;"")</f>
        <v/>
      </c>
    </row>
    <row r="2207">
      <c r="Y2207" s="47">
        <f>IFERROR(MATCH(Library!M2207,$M$6:$M$40000,0),"")</f>
        <v/>
      </c>
      <c r="Z2207">
        <f>IF($Y2207="","",INDEX($C$6:$C$40000,$Y2207)&amp;"")</f>
        <v/>
      </c>
      <c r="AA2207" s="59">
        <f>IF($Y2207="","",IF(INDEX($D$6:$D$40000,$Y2207)="","",INDEX($D$6:$D$40000,$Y2207)))</f>
        <v/>
      </c>
      <c r="AB2207">
        <f>IF($Y2207="","",INDEX($L$6:$L$40000,$Y2207)&amp;"")</f>
        <v/>
      </c>
    </row>
    <row r="2208">
      <c r="Y2208" s="47">
        <f>IFERROR(MATCH(Library!M2208,$M$6:$M$40000,0),"")</f>
        <v/>
      </c>
      <c r="Z2208">
        <f>IF($Y2208="","",INDEX($C$6:$C$40000,$Y2208)&amp;"")</f>
        <v/>
      </c>
      <c r="AA2208" s="59">
        <f>IF($Y2208="","",IF(INDEX($D$6:$D$40000,$Y2208)="","",INDEX($D$6:$D$40000,$Y2208)))</f>
        <v/>
      </c>
      <c r="AB2208">
        <f>IF($Y2208="","",INDEX($L$6:$L$40000,$Y2208)&amp;"")</f>
        <v/>
      </c>
    </row>
    <row r="2209">
      <c r="Y2209" s="47">
        <f>IFERROR(MATCH(Library!M2209,$M$6:$M$40000,0),"")</f>
        <v/>
      </c>
      <c r="Z2209">
        <f>IF($Y2209="","",INDEX($C$6:$C$40000,$Y2209)&amp;"")</f>
        <v/>
      </c>
      <c r="AA2209" s="59">
        <f>IF($Y2209="","",IF(INDEX($D$6:$D$40000,$Y2209)="","",INDEX($D$6:$D$40000,$Y2209)))</f>
        <v/>
      </c>
      <c r="AB2209">
        <f>IF($Y2209="","",INDEX($L$6:$L$40000,$Y2209)&amp;"")</f>
        <v/>
      </c>
    </row>
    <row r="2210">
      <c r="Y2210" s="47">
        <f>IFERROR(MATCH(Library!M2210,$M$6:$M$40000,0),"")</f>
        <v/>
      </c>
      <c r="Z2210">
        <f>IF($Y2210="","",INDEX($C$6:$C$40000,$Y2210)&amp;"")</f>
        <v/>
      </c>
      <c r="AA2210" s="59">
        <f>IF($Y2210="","",IF(INDEX($D$6:$D$40000,$Y2210)="","",INDEX($D$6:$D$40000,$Y2210)))</f>
        <v/>
      </c>
      <c r="AB2210">
        <f>IF($Y2210="","",INDEX($L$6:$L$40000,$Y2210)&amp;"")</f>
        <v/>
      </c>
    </row>
    <row r="2211">
      <c r="Y2211" s="47">
        <f>IFERROR(MATCH(Library!M2211,$M$6:$M$40000,0),"")</f>
        <v/>
      </c>
      <c r="Z2211">
        <f>IF($Y2211="","",INDEX($C$6:$C$40000,$Y2211)&amp;"")</f>
        <v/>
      </c>
      <c r="AA2211" s="59">
        <f>IF($Y2211="","",IF(INDEX($D$6:$D$40000,$Y2211)="","",INDEX($D$6:$D$40000,$Y2211)))</f>
        <v/>
      </c>
      <c r="AB2211">
        <f>IF($Y2211="","",INDEX($L$6:$L$40000,$Y2211)&amp;"")</f>
        <v/>
      </c>
    </row>
    <row r="2212">
      <c r="Y2212" s="47">
        <f>IFERROR(MATCH(Library!M2212,$M$6:$M$40000,0),"")</f>
        <v/>
      </c>
      <c r="Z2212">
        <f>IF($Y2212="","",INDEX($C$6:$C$40000,$Y2212)&amp;"")</f>
        <v/>
      </c>
      <c r="AA2212" s="59">
        <f>IF($Y2212="","",IF(INDEX($D$6:$D$40000,$Y2212)="","",INDEX($D$6:$D$40000,$Y2212)))</f>
        <v/>
      </c>
      <c r="AB2212">
        <f>IF($Y2212="","",INDEX($L$6:$L$40000,$Y2212)&amp;"")</f>
        <v/>
      </c>
    </row>
    <row r="2213">
      <c r="Y2213" s="47">
        <f>IFERROR(MATCH(Library!M2213,$M$6:$M$40000,0),"")</f>
        <v/>
      </c>
      <c r="Z2213">
        <f>IF($Y2213="","",INDEX($C$6:$C$40000,$Y2213)&amp;"")</f>
        <v/>
      </c>
      <c r="AA2213" s="59">
        <f>IF($Y2213="","",IF(INDEX($D$6:$D$40000,$Y2213)="","",INDEX($D$6:$D$40000,$Y2213)))</f>
        <v/>
      </c>
      <c r="AB2213">
        <f>IF($Y2213="","",INDEX($L$6:$L$40000,$Y2213)&amp;"")</f>
        <v/>
      </c>
    </row>
    <row r="2214">
      <c r="Y2214" s="47">
        <f>IFERROR(MATCH(Library!M2214,$M$6:$M$40000,0),"")</f>
        <v/>
      </c>
      <c r="Z2214">
        <f>IF($Y2214="","",INDEX($C$6:$C$40000,$Y2214)&amp;"")</f>
        <v/>
      </c>
      <c r="AA2214" s="59">
        <f>IF($Y2214="","",IF(INDEX($D$6:$D$40000,$Y2214)="","",INDEX($D$6:$D$40000,$Y2214)))</f>
        <v/>
      </c>
      <c r="AB2214">
        <f>IF($Y2214="","",INDEX($L$6:$L$40000,$Y2214)&amp;"")</f>
        <v/>
      </c>
    </row>
    <row r="2215">
      <c r="Y2215" s="47">
        <f>IFERROR(MATCH(Library!M2215,$M$6:$M$40000,0),"")</f>
        <v/>
      </c>
      <c r="Z2215">
        <f>IF($Y2215="","",INDEX($C$6:$C$40000,$Y2215)&amp;"")</f>
        <v/>
      </c>
      <c r="AA2215" s="59">
        <f>IF($Y2215="","",IF(INDEX($D$6:$D$40000,$Y2215)="","",INDEX($D$6:$D$40000,$Y2215)))</f>
        <v/>
      </c>
      <c r="AB2215">
        <f>IF($Y2215="","",INDEX($L$6:$L$40000,$Y2215)&amp;"")</f>
        <v/>
      </c>
    </row>
    <row r="2216">
      <c r="Y2216" s="47">
        <f>IFERROR(MATCH(Library!M2216,$M$6:$M$40000,0),"")</f>
        <v/>
      </c>
      <c r="Z2216">
        <f>IF($Y2216="","",INDEX($C$6:$C$40000,$Y2216)&amp;"")</f>
        <v/>
      </c>
      <c r="AA2216" s="59">
        <f>IF($Y2216="","",IF(INDEX($D$6:$D$40000,$Y2216)="","",INDEX($D$6:$D$40000,$Y2216)))</f>
        <v/>
      </c>
      <c r="AB2216">
        <f>IF($Y2216="","",INDEX($L$6:$L$40000,$Y2216)&amp;"")</f>
        <v/>
      </c>
    </row>
    <row r="2217">
      <c r="Y2217" s="47">
        <f>IFERROR(MATCH(Library!M2217,$M$6:$M$40000,0),"")</f>
        <v/>
      </c>
      <c r="Z2217">
        <f>IF($Y2217="","",INDEX($C$6:$C$40000,$Y2217)&amp;"")</f>
        <v/>
      </c>
      <c r="AA2217" s="59">
        <f>IF($Y2217="","",IF(INDEX($D$6:$D$40000,$Y2217)="","",INDEX($D$6:$D$40000,$Y2217)))</f>
        <v/>
      </c>
      <c r="AB2217">
        <f>IF($Y2217="","",INDEX($L$6:$L$40000,$Y2217)&amp;"")</f>
        <v/>
      </c>
    </row>
    <row r="2218">
      <c r="Y2218" s="47">
        <f>IFERROR(MATCH(Library!M2218,$M$6:$M$40000,0),"")</f>
        <v/>
      </c>
      <c r="Z2218">
        <f>IF($Y2218="","",INDEX($C$6:$C$40000,$Y2218)&amp;"")</f>
        <v/>
      </c>
      <c r="AA2218" s="59">
        <f>IF($Y2218="","",IF(INDEX($D$6:$D$40000,$Y2218)="","",INDEX($D$6:$D$40000,$Y2218)))</f>
        <v/>
      </c>
      <c r="AB2218">
        <f>IF($Y2218="","",INDEX($L$6:$L$40000,$Y2218)&amp;"")</f>
        <v/>
      </c>
    </row>
    <row r="2219">
      <c r="Y2219" s="47">
        <f>IFERROR(MATCH(Library!M2219,$M$6:$M$40000,0),"")</f>
        <v/>
      </c>
      <c r="Z2219">
        <f>IF($Y2219="","",INDEX($C$6:$C$40000,$Y2219)&amp;"")</f>
        <v/>
      </c>
      <c r="AA2219" s="59">
        <f>IF($Y2219="","",IF(INDEX($D$6:$D$40000,$Y2219)="","",INDEX($D$6:$D$40000,$Y2219)))</f>
        <v/>
      </c>
      <c r="AB2219">
        <f>IF($Y2219="","",INDEX($L$6:$L$40000,$Y2219)&amp;"")</f>
        <v/>
      </c>
    </row>
    <row r="2220">
      <c r="Y2220" s="47">
        <f>IFERROR(MATCH(Library!M2220,$M$6:$M$40000,0),"")</f>
        <v/>
      </c>
      <c r="Z2220">
        <f>IF($Y2220="","",INDEX($C$6:$C$40000,$Y2220)&amp;"")</f>
        <v/>
      </c>
      <c r="AA2220" s="59">
        <f>IF($Y2220="","",IF(INDEX($D$6:$D$40000,$Y2220)="","",INDEX($D$6:$D$40000,$Y2220)))</f>
        <v/>
      </c>
      <c r="AB2220">
        <f>IF($Y2220="","",INDEX($L$6:$L$40000,$Y2220)&amp;"")</f>
        <v/>
      </c>
    </row>
    <row r="2221">
      <c r="Y2221" s="47">
        <f>IFERROR(MATCH(Library!M2221,$M$6:$M$40000,0),"")</f>
        <v/>
      </c>
      <c r="Z2221">
        <f>IF($Y2221="","",INDEX($C$6:$C$40000,$Y2221)&amp;"")</f>
        <v/>
      </c>
      <c r="AA2221" s="59">
        <f>IF($Y2221="","",IF(INDEX($D$6:$D$40000,$Y2221)="","",INDEX($D$6:$D$40000,$Y2221)))</f>
        <v/>
      </c>
      <c r="AB2221">
        <f>IF($Y2221="","",INDEX($L$6:$L$40000,$Y2221)&amp;"")</f>
        <v/>
      </c>
    </row>
    <row r="2222">
      <c r="Y2222" s="47">
        <f>IFERROR(MATCH(Library!M2222,$M$6:$M$40000,0),"")</f>
        <v/>
      </c>
      <c r="Z2222">
        <f>IF($Y2222="","",INDEX($C$6:$C$40000,$Y2222)&amp;"")</f>
        <v/>
      </c>
      <c r="AA2222" s="59">
        <f>IF($Y2222="","",IF(INDEX($D$6:$D$40000,$Y2222)="","",INDEX($D$6:$D$40000,$Y2222)))</f>
        <v/>
      </c>
      <c r="AB2222">
        <f>IF($Y2222="","",INDEX($L$6:$L$40000,$Y2222)&amp;"")</f>
        <v/>
      </c>
    </row>
    <row r="2223">
      <c r="Y2223" s="47">
        <f>IFERROR(MATCH(Library!M2223,$M$6:$M$40000,0),"")</f>
        <v/>
      </c>
      <c r="Z2223">
        <f>IF($Y2223="","",INDEX($C$6:$C$40000,$Y2223)&amp;"")</f>
        <v/>
      </c>
      <c r="AA2223" s="59">
        <f>IF($Y2223="","",IF(INDEX($D$6:$D$40000,$Y2223)="","",INDEX($D$6:$D$40000,$Y2223)))</f>
        <v/>
      </c>
      <c r="AB2223">
        <f>IF($Y2223="","",INDEX($L$6:$L$40000,$Y2223)&amp;"")</f>
        <v/>
      </c>
    </row>
    <row r="2224">
      <c r="Y2224" s="47">
        <f>IFERROR(MATCH(Library!M2224,$M$6:$M$40000,0),"")</f>
        <v/>
      </c>
      <c r="Z2224">
        <f>IF($Y2224="","",INDEX($C$6:$C$40000,$Y2224)&amp;"")</f>
        <v/>
      </c>
      <c r="AA2224" s="59">
        <f>IF($Y2224="","",IF(INDEX($D$6:$D$40000,$Y2224)="","",INDEX($D$6:$D$40000,$Y2224)))</f>
        <v/>
      </c>
      <c r="AB2224">
        <f>IF($Y2224="","",INDEX($L$6:$L$40000,$Y2224)&amp;"")</f>
        <v/>
      </c>
    </row>
    <row r="2225">
      <c r="Y2225" s="47">
        <f>IFERROR(MATCH(Library!M2225,$M$6:$M$40000,0),"")</f>
        <v/>
      </c>
      <c r="Z2225">
        <f>IF($Y2225="","",INDEX($C$6:$C$40000,$Y2225)&amp;"")</f>
        <v/>
      </c>
      <c r="AA2225" s="59">
        <f>IF($Y2225="","",IF(INDEX($D$6:$D$40000,$Y2225)="","",INDEX($D$6:$D$40000,$Y2225)))</f>
        <v/>
      </c>
      <c r="AB2225">
        <f>IF($Y2225="","",INDEX($L$6:$L$40000,$Y2225)&amp;"")</f>
        <v/>
      </c>
    </row>
    <row r="2226">
      <c r="Y2226" s="47">
        <f>IFERROR(MATCH(Library!M2226,$M$6:$M$40000,0),"")</f>
        <v/>
      </c>
      <c r="Z2226">
        <f>IF($Y2226="","",INDEX($C$6:$C$40000,$Y2226)&amp;"")</f>
        <v/>
      </c>
      <c r="AA2226" s="59">
        <f>IF($Y2226="","",IF(INDEX($D$6:$D$40000,$Y2226)="","",INDEX($D$6:$D$40000,$Y2226)))</f>
        <v/>
      </c>
      <c r="AB2226">
        <f>IF($Y2226="","",INDEX($L$6:$L$40000,$Y2226)&amp;"")</f>
        <v/>
      </c>
    </row>
    <row r="2227">
      <c r="Y2227" s="47">
        <f>IFERROR(MATCH(Library!M2227,$M$6:$M$40000,0),"")</f>
        <v/>
      </c>
      <c r="Z2227">
        <f>IF($Y2227="","",INDEX($C$6:$C$40000,$Y2227)&amp;"")</f>
        <v/>
      </c>
      <c r="AA2227" s="59">
        <f>IF($Y2227="","",IF(INDEX($D$6:$D$40000,$Y2227)="","",INDEX($D$6:$D$40000,$Y2227)))</f>
        <v/>
      </c>
      <c r="AB2227">
        <f>IF($Y2227="","",INDEX($L$6:$L$40000,$Y2227)&amp;"")</f>
        <v/>
      </c>
    </row>
    <row r="2228">
      <c r="Y2228" s="47">
        <f>IFERROR(MATCH(Library!M2228,$M$6:$M$40000,0),"")</f>
        <v/>
      </c>
      <c r="Z2228">
        <f>IF($Y2228="","",INDEX($C$6:$C$40000,$Y2228)&amp;"")</f>
        <v/>
      </c>
      <c r="AA2228" s="59">
        <f>IF($Y2228="","",IF(INDEX($D$6:$D$40000,$Y2228)="","",INDEX($D$6:$D$40000,$Y2228)))</f>
        <v/>
      </c>
      <c r="AB2228">
        <f>IF($Y2228="","",INDEX($L$6:$L$40000,$Y2228)&amp;"")</f>
        <v/>
      </c>
    </row>
    <row r="2229">
      <c r="Y2229" s="47">
        <f>IFERROR(MATCH(Library!M2229,$M$6:$M$40000,0),"")</f>
        <v/>
      </c>
      <c r="Z2229">
        <f>IF($Y2229="","",INDEX($C$6:$C$40000,$Y2229)&amp;"")</f>
        <v/>
      </c>
      <c r="AA2229" s="59">
        <f>IF($Y2229="","",IF(INDEX($D$6:$D$40000,$Y2229)="","",INDEX($D$6:$D$40000,$Y2229)))</f>
        <v/>
      </c>
      <c r="AB2229">
        <f>IF($Y2229="","",INDEX($L$6:$L$40000,$Y2229)&amp;"")</f>
        <v/>
      </c>
    </row>
    <row r="2230">
      <c r="Y2230" s="47">
        <f>IFERROR(MATCH(Library!M2230,$M$6:$M$40000,0),"")</f>
        <v/>
      </c>
      <c r="Z2230">
        <f>IF($Y2230="","",INDEX($C$6:$C$40000,$Y2230)&amp;"")</f>
        <v/>
      </c>
      <c r="AA2230" s="59">
        <f>IF($Y2230="","",IF(INDEX($D$6:$D$40000,$Y2230)="","",INDEX($D$6:$D$40000,$Y2230)))</f>
        <v/>
      </c>
      <c r="AB2230">
        <f>IF($Y2230="","",INDEX($L$6:$L$40000,$Y2230)&amp;"")</f>
        <v/>
      </c>
    </row>
    <row r="2231">
      <c r="Y2231" s="47">
        <f>IFERROR(MATCH(Library!M2231,$M$6:$M$40000,0),"")</f>
        <v/>
      </c>
      <c r="Z2231">
        <f>IF($Y2231="","",INDEX($C$6:$C$40000,$Y2231)&amp;"")</f>
        <v/>
      </c>
      <c r="AA2231" s="59">
        <f>IF($Y2231="","",IF(INDEX($D$6:$D$40000,$Y2231)="","",INDEX($D$6:$D$40000,$Y2231)))</f>
        <v/>
      </c>
      <c r="AB2231">
        <f>IF($Y2231="","",INDEX($L$6:$L$40000,$Y2231)&amp;"")</f>
        <v/>
      </c>
    </row>
    <row r="2232">
      <c r="Y2232" s="47">
        <f>IFERROR(MATCH(Library!M2232,$M$6:$M$40000,0),"")</f>
        <v/>
      </c>
      <c r="Z2232">
        <f>IF($Y2232="","",INDEX($C$6:$C$40000,$Y2232)&amp;"")</f>
        <v/>
      </c>
      <c r="AA2232" s="59">
        <f>IF($Y2232="","",IF(INDEX($D$6:$D$40000,$Y2232)="","",INDEX($D$6:$D$40000,$Y2232)))</f>
        <v/>
      </c>
      <c r="AB2232">
        <f>IF($Y2232="","",INDEX($L$6:$L$40000,$Y2232)&amp;"")</f>
        <v/>
      </c>
    </row>
    <row r="2233">
      <c r="Y2233" s="47">
        <f>IFERROR(MATCH(Library!M2233,$M$6:$M$40000,0),"")</f>
        <v/>
      </c>
      <c r="Z2233">
        <f>IF($Y2233="","",INDEX($C$6:$C$40000,$Y2233)&amp;"")</f>
        <v/>
      </c>
      <c r="AA2233" s="59">
        <f>IF($Y2233="","",IF(INDEX($D$6:$D$40000,$Y2233)="","",INDEX($D$6:$D$40000,$Y2233)))</f>
        <v/>
      </c>
      <c r="AB2233">
        <f>IF($Y2233="","",INDEX($L$6:$L$40000,$Y2233)&amp;"")</f>
        <v/>
      </c>
    </row>
    <row r="2234">
      <c r="Y2234" s="47">
        <f>IFERROR(MATCH(Library!M2234,$M$6:$M$40000,0),"")</f>
        <v/>
      </c>
      <c r="Z2234">
        <f>IF($Y2234="","",INDEX($C$6:$C$40000,$Y2234)&amp;"")</f>
        <v/>
      </c>
      <c r="AA2234" s="59">
        <f>IF($Y2234="","",IF(INDEX($D$6:$D$40000,$Y2234)="","",INDEX($D$6:$D$40000,$Y2234)))</f>
        <v/>
      </c>
      <c r="AB2234">
        <f>IF($Y2234="","",INDEX($L$6:$L$40000,$Y2234)&amp;"")</f>
        <v/>
      </c>
    </row>
    <row r="2235">
      <c r="Y2235" s="47">
        <f>IFERROR(MATCH(Library!M2235,$M$6:$M$40000,0),"")</f>
        <v/>
      </c>
      <c r="Z2235">
        <f>IF($Y2235="","",INDEX($C$6:$C$40000,$Y2235)&amp;"")</f>
        <v/>
      </c>
      <c r="AA2235" s="59">
        <f>IF($Y2235="","",IF(INDEX($D$6:$D$40000,$Y2235)="","",INDEX($D$6:$D$40000,$Y2235)))</f>
        <v/>
      </c>
      <c r="AB2235">
        <f>IF($Y2235="","",INDEX($L$6:$L$40000,$Y2235)&amp;"")</f>
        <v/>
      </c>
    </row>
    <row r="2236">
      <c r="Y2236" s="47">
        <f>IFERROR(MATCH(Library!M2236,$M$6:$M$40000,0),"")</f>
        <v/>
      </c>
      <c r="Z2236">
        <f>IF($Y2236="","",INDEX($C$6:$C$40000,$Y2236)&amp;"")</f>
        <v/>
      </c>
      <c r="AA2236" s="59">
        <f>IF($Y2236="","",IF(INDEX($D$6:$D$40000,$Y2236)="","",INDEX($D$6:$D$40000,$Y2236)))</f>
        <v/>
      </c>
      <c r="AB2236">
        <f>IF($Y2236="","",INDEX($L$6:$L$40000,$Y2236)&amp;"")</f>
        <v/>
      </c>
    </row>
    <row r="2237">
      <c r="Y2237" s="47">
        <f>IFERROR(MATCH(Library!M2237,$M$6:$M$40000,0),"")</f>
        <v/>
      </c>
      <c r="Z2237">
        <f>IF($Y2237="","",INDEX($C$6:$C$40000,$Y2237)&amp;"")</f>
        <v/>
      </c>
      <c r="AA2237" s="59">
        <f>IF($Y2237="","",IF(INDEX($D$6:$D$40000,$Y2237)="","",INDEX($D$6:$D$40000,$Y2237)))</f>
        <v/>
      </c>
      <c r="AB2237">
        <f>IF($Y2237="","",INDEX($L$6:$L$40000,$Y2237)&amp;"")</f>
        <v/>
      </c>
    </row>
    <row r="2238">
      <c r="Y2238" s="47">
        <f>IFERROR(MATCH(Library!M2238,$M$6:$M$40000,0),"")</f>
        <v/>
      </c>
      <c r="Z2238">
        <f>IF($Y2238="","",INDEX($C$6:$C$40000,$Y2238)&amp;"")</f>
        <v/>
      </c>
      <c r="AA2238" s="59">
        <f>IF($Y2238="","",IF(INDEX($D$6:$D$40000,$Y2238)="","",INDEX($D$6:$D$40000,$Y2238)))</f>
        <v/>
      </c>
      <c r="AB2238">
        <f>IF($Y2238="","",INDEX($L$6:$L$40000,$Y2238)&amp;"")</f>
        <v/>
      </c>
    </row>
    <row r="2239">
      <c r="Y2239" s="47">
        <f>IFERROR(MATCH(Library!M2239,$M$6:$M$40000,0),"")</f>
        <v/>
      </c>
      <c r="Z2239">
        <f>IF($Y2239="","",INDEX($C$6:$C$40000,$Y2239)&amp;"")</f>
        <v/>
      </c>
      <c r="AA2239" s="59">
        <f>IF($Y2239="","",IF(INDEX($D$6:$D$40000,$Y2239)="","",INDEX($D$6:$D$40000,$Y2239)))</f>
        <v/>
      </c>
      <c r="AB2239">
        <f>IF($Y2239="","",INDEX($L$6:$L$40000,$Y2239)&amp;"")</f>
        <v/>
      </c>
    </row>
    <row r="2240">
      <c r="Y2240" s="47">
        <f>IFERROR(MATCH(Library!M2240,$M$6:$M$40000,0),"")</f>
        <v/>
      </c>
      <c r="Z2240">
        <f>IF($Y2240="","",INDEX($C$6:$C$40000,$Y2240)&amp;"")</f>
        <v/>
      </c>
      <c r="AA2240" s="59">
        <f>IF($Y2240="","",IF(INDEX($D$6:$D$40000,$Y2240)="","",INDEX($D$6:$D$40000,$Y2240)))</f>
        <v/>
      </c>
      <c r="AB2240">
        <f>IF($Y2240="","",INDEX($L$6:$L$40000,$Y2240)&amp;"")</f>
        <v/>
      </c>
    </row>
    <row r="2241">
      <c r="Y2241" s="47">
        <f>IFERROR(MATCH(Library!M2241,$M$6:$M$40000,0),"")</f>
        <v/>
      </c>
      <c r="Z2241">
        <f>IF($Y2241="","",INDEX($C$6:$C$40000,$Y2241)&amp;"")</f>
        <v/>
      </c>
      <c r="AA2241" s="59">
        <f>IF($Y2241="","",IF(INDEX($D$6:$D$40000,$Y2241)="","",INDEX($D$6:$D$40000,$Y2241)))</f>
        <v/>
      </c>
      <c r="AB2241">
        <f>IF($Y2241="","",INDEX($L$6:$L$40000,$Y2241)&amp;"")</f>
        <v/>
      </c>
    </row>
    <row r="2242">
      <c r="Y2242" s="47">
        <f>IFERROR(MATCH(Library!M2242,$M$6:$M$40000,0),"")</f>
        <v/>
      </c>
      <c r="Z2242">
        <f>IF($Y2242="","",INDEX($C$6:$C$40000,$Y2242)&amp;"")</f>
        <v/>
      </c>
      <c r="AA2242" s="59">
        <f>IF($Y2242="","",IF(INDEX($D$6:$D$40000,$Y2242)="","",INDEX($D$6:$D$40000,$Y2242)))</f>
        <v/>
      </c>
      <c r="AB2242">
        <f>IF($Y2242="","",INDEX($L$6:$L$40000,$Y2242)&amp;"")</f>
        <v/>
      </c>
    </row>
    <row r="2243">
      <c r="Y2243" s="47">
        <f>IFERROR(MATCH(Library!M2243,$M$6:$M$40000,0),"")</f>
        <v/>
      </c>
      <c r="Z2243">
        <f>IF($Y2243="","",INDEX($C$6:$C$40000,$Y2243)&amp;"")</f>
        <v/>
      </c>
      <c r="AA2243" s="59">
        <f>IF($Y2243="","",IF(INDEX($D$6:$D$40000,$Y2243)="","",INDEX($D$6:$D$40000,$Y2243)))</f>
        <v/>
      </c>
      <c r="AB2243">
        <f>IF($Y2243="","",INDEX($L$6:$L$40000,$Y2243)&amp;"")</f>
        <v/>
      </c>
    </row>
    <row r="2244">
      <c r="Y2244" s="47">
        <f>IFERROR(MATCH(Library!M2244,$M$6:$M$40000,0),"")</f>
        <v/>
      </c>
      <c r="Z2244">
        <f>IF($Y2244="","",INDEX($C$6:$C$40000,$Y2244)&amp;"")</f>
        <v/>
      </c>
      <c r="AA2244" s="59">
        <f>IF($Y2244="","",IF(INDEX($D$6:$D$40000,$Y2244)="","",INDEX($D$6:$D$40000,$Y2244)))</f>
        <v/>
      </c>
      <c r="AB2244">
        <f>IF($Y2244="","",INDEX($L$6:$L$40000,$Y2244)&amp;"")</f>
        <v/>
      </c>
    </row>
    <row r="2245">
      <c r="Y2245" s="47">
        <f>IFERROR(MATCH(Library!M2245,$M$6:$M$40000,0),"")</f>
        <v/>
      </c>
      <c r="Z2245">
        <f>IF($Y2245="","",INDEX($C$6:$C$40000,$Y2245)&amp;"")</f>
        <v/>
      </c>
      <c r="AA2245" s="59">
        <f>IF($Y2245="","",IF(INDEX($D$6:$D$40000,$Y2245)="","",INDEX($D$6:$D$40000,$Y2245)))</f>
        <v/>
      </c>
      <c r="AB2245">
        <f>IF($Y2245="","",INDEX($L$6:$L$40000,$Y2245)&amp;"")</f>
        <v/>
      </c>
    </row>
    <row r="2246">
      <c r="Y2246" s="47">
        <f>IFERROR(MATCH(Library!M2246,$M$6:$M$40000,0),"")</f>
        <v/>
      </c>
      <c r="Z2246">
        <f>IF($Y2246="","",INDEX($C$6:$C$40000,$Y2246)&amp;"")</f>
        <v/>
      </c>
      <c r="AA2246" s="59">
        <f>IF($Y2246="","",IF(INDEX($D$6:$D$40000,$Y2246)="","",INDEX($D$6:$D$40000,$Y2246)))</f>
        <v/>
      </c>
      <c r="AB2246">
        <f>IF($Y2246="","",INDEX($L$6:$L$40000,$Y2246)&amp;"")</f>
        <v/>
      </c>
    </row>
    <row r="2247">
      <c r="Y2247" s="47">
        <f>IFERROR(MATCH(Library!M2247,$M$6:$M$40000,0),"")</f>
        <v/>
      </c>
      <c r="Z2247">
        <f>IF($Y2247="","",INDEX($C$6:$C$40000,$Y2247)&amp;"")</f>
        <v/>
      </c>
      <c r="AA2247" s="59">
        <f>IF($Y2247="","",IF(INDEX($D$6:$D$40000,$Y2247)="","",INDEX($D$6:$D$40000,$Y2247)))</f>
        <v/>
      </c>
      <c r="AB2247">
        <f>IF($Y2247="","",INDEX($L$6:$L$40000,$Y2247)&amp;"")</f>
        <v/>
      </c>
    </row>
    <row r="2248">
      <c r="Y2248" s="47">
        <f>IFERROR(MATCH(Library!M2248,$M$6:$M$40000,0),"")</f>
        <v/>
      </c>
      <c r="Z2248">
        <f>IF($Y2248="","",INDEX($C$6:$C$40000,$Y2248)&amp;"")</f>
        <v/>
      </c>
      <c r="AA2248" s="59">
        <f>IF($Y2248="","",IF(INDEX($D$6:$D$40000,$Y2248)="","",INDEX($D$6:$D$40000,$Y2248)))</f>
        <v/>
      </c>
      <c r="AB2248">
        <f>IF($Y2248="","",INDEX($L$6:$L$40000,$Y2248)&amp;"")</f>
        <v/>
      </c>
    </row>
    <row r="2249">
      <c r="Y2249" s="47">
        <f>IFERROR(MATCH(Library!M2249,$M$6:$M$40000,0),"")</f>
        <v/>
      </c>
      <c r="Z2249">
        <f>IF($Y2249="","",INDEX($C$6:$C$40000,$Y2249)&amp;"")</f>
        <v/>
      </c>
      <c r="AA2249" s="59">
        <f>IF($Y2249="","",IF(INDEX($D$6:$D$40000,$Y2249)="","",INDEX($D$6:$D$40000,$Y2249)))</f>
        <v/>
      </c>
      <c r="AB2249">
        <f>IF($Y2249="","",INDEX($L$6:$L$40000,$Y2249)&amp;"")</f>
        <v/>
      </c>
    </row>
    <row r="2250">
      <c r="Y2250" s="47">
        <f>IFERROR(MATCH(Library!M2250,$M$6:$M$40000,0),"")</f>
        <v/>
      </c>
      <c r="Z2250">
        <f>IF($Y2250="","",INDEX($C$6:$C$40000,$Y2250)&amp;"")</f>
        <v/>
      </c>
      <c r="AA2250" s="59">
        <f>IF($Y2250="","",IF(INDEX($D$6:$D$40000,$Y2250)="","",INDEX($D$6:$D$40000,$Y2250)))</f>
        <v/>
      </c>
      <c r="AB2250">
        <f>IF($Y2250="","",INDEX($L$6:$L$40000,$Y2250)&amp;"")</f>
        <v/>
      </c>
    </row>
    <row r="2251">
      <c r="Y2251" s="47">
        <f>IFERROR(MATCH(Library!M2251,$M$6:$M$40000,0),"")</f>
        <v/>
      </c>
      <c r="Z2251">
        <f>IF($Y2251="","",INDEX($C$6:$C$40000,$Y2251)&amp;"")</f>
        <v/>
      </c>
      <c r="AA2251" s="59">
        <f>IF($Y2251="","",IF(INDEX($D$6:$D$40000,$Y2251)="","",INDEX($D$6:$D$40000,$Y2251)))</f>
        <v/>
      </c>
      <c r="AB2251">
        <f>IF($Y2251="","",INDEX($L$6:$L$40000,$Y2251)&amp;"")</f>
        <v/>
      </c>
    </row>
    <row r="2252">
      <c r="Y2252" s="47">
        <f>IFERROR(MATCH(Library!M2252,$M$6:$M$40000,0),"")</f>
        <v/>
      </c>
      <c r="Z2252">
        <f>IF($Y2252="","",INDEX($C$6:$C$40000,$Y2252)&amp;"")</f>
        <v/>
      </c>
      <c r="AA2252" s="59">
        <f>IF($Y2252="","",IF(INDEX($D$6:$D$40000,$Y2252)="","",INDEX($D$6:$D$40000,$Y2252)))</f>
        <v/>
      </c>
      <c r="AB2252">
        <f>IF($Y2252="","",INDEX($L$6:$L$40000,$Y2252)&amp;"")</f>
        <v/>
      </c>
    </row>
    <row r="2253">
      <c r="Y2253" s="47">
        <f>IFERROR(MATCH(Library!M2253,$M$6:$M$40000,0),"")</f>
        <v/>
      </c>
      <c r="Z2253">
        <f>IF($Y2253="","",INDEX($C$6:$C$40000,$Y2253)&amp;"")</f>
        <v/>
      </c>
      <c r="AA2253" s="59">
        <f>IF($Y2253="","",IF(INDEX($D$6:$D$40000,$Y2253)="","",INDEX($D$6:$D$40000,$Y2253)))</f>
        <v/>
      </c>
      <c r="AB2253">
        <f>IF($Y2253="","",INDEX($L$6:$L$40000,$Y2253)&amp;"")</f>
        <v/>
      </c>
    </row>
    <row r="2254">
      <c r="Y2254" s="47">
        <f>IFERROR(MATCH(Library!M2254,$M$6:$M$40000,0),"")</f>
        <v/>
      </c>
      <c r="Z2254">
        <f>IF($Y2254="","",INDEX($C$6:$C$40000,$Y2254)&amp;"")</f>
        <v/>
      </c>
      <c r="AA2254" s="59">
        <f>IF($Y2254="","",IF(INDEX($D$6:$D$40000,$Y2254)="","",INDEX($D$6:$D$40000,$Y2254)))</f>
        <v/>
      </c>
      <c r="AB2254">
        <f>IF($Y2254="","",INDEX($L$6:$L$40000,$Y2254)&amp;"")</f>
        <v/>
      </c>
    </row>
    <row r="2255">
      <c r="Y2255" s="47">
        <f>IFERROR(MATCH(Library!M2255,$M$6:$M$40000,0),"")</f>
        <v/>
      </c>
      <c r="Z2255">
        <f>IF($Y2255="","",INDEX($C$6:$C$40000,$Y2255)&amp;"")</f>
        <v/>
      </c>
      <c r="AA2255" s="59">
        <f>IF($Y2255="","",IF(INDEX($D$6:$D$40000,$Y2255)="","",INDEX($D$6:$D$40000,$Y2255)))</f>
        <v/>
      </c>
      <c r="AB2255">
        <f>IF($Y2255="","",INDEX($L$6:$L$40000,$Y2255)&amp;"")</f>
        <v/>
      </c>
    </row>
    <row r="2256">
      <c r="Y2256" s="47">
        <f>IFERROR(MATCH(Library!M2256,$M$6:$M$40000,0),"")</f>
        <v/>
      </c>
      <c r="Z2256">
        <f>IF($Y2256="","",INDEX($C$6:$C$40000,$Y2256)&amp;"")</f>
        <v/>
      </c>
      <c r="AA2256" s="59">
        <f>IF($Y2256="","",IF(INDEX($D$6:$D$40000,$Y2256)="","",INDEX($D$6:$D$40000,$Y2256)))</f>
        <v/>
      </c>
      <c r="AB2256">
        <f>IF($Y2256="","",INDEX($L$6:$L$40000,$Y2256)&amp;"")</f>
        <v/>
      </c>
    </row>
    <row r="2257">
      <c r="Y2257" s="47">
        <f>IFERROR(MATCH(Library!M2257,$M$6:$M$40000,0),"")</f>
        <v/>
      </c>
      <c r="Z2257">
        <f>IF($Y2257="","",INDEX($C$6:$C$40000,$Y2257)&amp;"")</f>
        <v/>
      </c>
      <c r="AA2257" s="59">
        <f>IF($Y2257="","",IF(INDEX($D$6:$D$40000,$Y2257)="","",INDEX($D$6:$D$40000,$Y2257)))</f>
        <v/>
      </c>
      <c r="AB2257">
        <f>IF($Y2257="","",INDEX($L$6:$L$40000,$Y2257)&amp;"")</f>
        <v/>
      </c>
    </row>
    <row r="2258">
      <c r="Y2258" s="47">
        <f>IFERROR(MATCH(Library!M2258,$M$6:$M$40000,0),"")</f>
        <v/>
      </c>
      <c r="Z2258">
        <f>IF($Y2258="","",INDEX($C$6:$C$40000,$Y2258)&amp;"")</f>
        <v/>
      </c>
      <c r="AA2258" s="59">
        <f>IF($Y2258="","",IF(INDEX($D$6:$D$40000,$Y2258)="","",INDEX($D$6:$D$40000,$Y2258)))</f>
        <v/>
      </c>
      <c r="AB2258">
        <f>IF($Y2258="","",INDEX($L$6:$L$40000,$Y2258)&amp;"")</f>
        <v/>
      </c>
    </row>
    <row r="2259">
      <c r="Y2259" s="47">
        <f>IFERROR(MATCH(Library!M2259,$M$6:$M$40000,0),"")</f>
        <v/>
      </c>
      <c r="Z2259">
        <f>IF($Y2259="","",INDEX($C$6:$C$40000,$Y2259)&amp;"")</f>
        <v/>
      </c>
      <c r="AA2259" s="59">
        <f>IF($Y2259="","",IF(INDEX($D$6:$D$40000,$Y2259)="","",INDEX($D$6:$D$40000,$Y2259)))</f>
        <v/>
      </c>
      <c r="AB2259">
        <f>IF($Y2259="","",INDEX($L$6:$L$40000,$Y2259)&amp;"")</f>
        <v/>
      </c>
    </row>
    <row r="2260">
      <c r="Y2260" s="47">
        <f>IFERROR(MATCH(Library!M2260,$M$6:$M$40000,0),"")</f>
        <v/>
      </c>
      <c r="Z2260">
        <f>IF($Y2260="","",INDEX($C$6:$C$40000,$Y2260)&amp;"")</f>
        <v/>
      </c>
      <c r="AA2260" s="59">
        <f>IF($Y2260="","",IF(INDEX($D$6:$D$40000,$Y2260)="","",INDEX($D$6:$D$40000,$Y2260)))</f>
        <v/>
      </c>
      <c r="AB2260">
        <f>IF($Y2260="","",INDEX($L$6:$L$40000,$Y2260)&amp;"")</f>
        <v/>
      </c>
    </row>
    <row r="2261">
      <c r="Y2261" s="47">
        <f>IFERROR(MATCH(Library!M2261,$M$6:$M$40000,0),"")</f>
        <v/>
      </c>
      <c r="Z2261">
        <f>IF($Y2261="","",INDEX($C$6:$C$40000,$Y2261)&amp;"")</f>
        <v/>
      </c>
      <c r="AA2261" s="59">
        <f>IF($Y2261="","",IF(INDEX($D$6:$D$40000,$Y2261)="","",INDEX($D$6:$D$40000,$Y2261)))</f>
        <v/>
      </c>
      <c r="AB2261">
        <f>IF($Y2261="","",INDEX($L$6:$L$40000,$Y2261)&amp;"")</f>
        <v/>
      </c>
    </row>
    <row r="2262">
      <c r="Y2262" s="47">
        <f>IFERROR(MATCH(Library!M2262,$M$6:$M$40000,0),"")</f>
        <v/>
      </c>
      <c r="Z2262">
        <f>IF($Y2262="","",INDEX($C$6:$C$40000,$Y2262)&amp;"")</f>
        <v/>
      </c>
      <c r="AA2262" s="59">
        <f>IF($Y2262="","",IF(INDEX($D$6:$D$40000,$Y2262)="","",INDEX($D$6:$D$40000,$Y2262)))</f>
        <v/>
      </c>
      <c r="AB2262">
        <f>IF($Y2262="","",INDEX($L$6:$L$40000,$Y2262)&amp;"")</f>
        <v/>
      </c>
    </row>
    <row r="2263">
      <c r="Y2263" s="47">
        <f>IFERROR(MATCH(Library!M2263,$M$6:$M$40000,0),"")</f>
        <v/>
      </c>
      <c r="Z2263">
        <f>IF($Y2263="","",INDEX($C$6:$C$40000,$Y2263)&amp;"")</f>
        <v/>
      </c>
      <c r="AA2263" s="59">
        <f>IF($Y2263="","",IF(INDEX($D$6:$D$40000,$Y2263)="","",INDEX($D$6:$D$40000,$Y2263)))</f>
        <v/>
      </c>
      <c r="AB2263">
        <f>IF($Y2263="","",INDEX($L$6:$L$40000,$Y2263)&amp;"")</f>
        <v/>
      </c>
    </row>
    <row r="2264">
      <c r="Y2264" s="47">
        <f>IFERROR(MATCH(Library!M2264,$M$6:$M$40000,0),"")</f>
        <v/>
      </c>
      <c r="Z2264">
        <f>IF($Y2264="","",INDEX($C$6:$C$40000,$Y2264)&amp;"")</f>
        <v/>
      </c>
      <c r="AA2264" s="59">
        <f>IF($Y2264="","",IF(INDEX($D$6:$D$40000,$Y2264)="","",INDEX($D$6:$D$40000,$Y2264)))</f>
        <v/>
      </c>
      <c r="AB2264">
        <f>IF($Y2264="","",INDEX($L$6:$L$40000,$Y2264)&amp;"")</f>
        <v/>
      </c>
    </row>
    <row r="2265">
      <c r="Y2265" s="47">
        <f>IFERROR(MATCH(Library!M2265,$M$6:$M$40000,0),"")</f>
        <v/>
      </c>
      <c r="Z2265">
        <f>IF($Y2265="","",INDEX($C$6:$C$40000,$Y2265)&amp;"")</f>
        <v/>
      </c>
      <c r="AA2265" s="59">
        <f>IF($Y2265="","",IF(INDEX($D$6:$D$40000,$Y2265)="","",INDEX($D$6:$D$40000,$Y2265)))</f>
        <v/>
      </c>
      <c r="AB2265">
        <f>IF($Y2265="","",INDEX($L$6:$L$40000,$Y2265)&amp;"")</f>
        <v/>
      </c>
    </row>
    <row r="2266">
      <c r="Y2266" s="47">
        <f>IFERROR(MATCH(Library!M2266,$M$6:$M$40000,0),"")</f>
        <v/>
      </c>
      <c r="Z2266">
        <f>IF($Y2266="","",INDEX($C$6:$C$40000,$Y2266)&amp;"")</f>
        <v/>
      </c>
      <c r="AA2266" s="59">
        <f>IF($Y2266="","",IF(INDEX($D$6:$D$40000,$Y2266)="","",INDEX($D$6:$D$40000,$Y2266)))</f>
        <v/>
      </c>
      <c r="AB2266">
        <f>IF($Y2266="","",INDEX($L$6:$L$40000,$Y2266)&amp;"")</f>
        <v/>
      </c>
    </row>
    <row r="2267">
      <c r="Y2267" s="47">
        <f>IFERROR(MATCH(Library!M2267,$M$6:$M$40000,0),"")</f>
        <v/>
      </c>
      <c r="Z2267">
        <f>IF($Y2267="","",INDEX($C$6:$C$40000,$Y2267)&amp;"")</f>
        <v/>
      </c>
      <c r="AA2267" s="59">
        <f>IF($Y2267="","",IF(INDEX($D$6:$D$40000,$Y2267)="","",INDEX($D$6:$D$40000,$Y2267)))</f>
        <v/>
      </c>
      <c r="AB2267">
        <f>IF($Y2267="","",INDEX($L$6:$L$40000,$Y2267)&amp;"")</f>
        <v/>
      </c>
    </row>
    <row r="2268">
      <c r="Y2268" s="47">
        <f>IFERROR(MATCH(Library!M2268,$M$6:$M$40000,0),"")</f>
        <v/>
      </c>
      <c r="Z2268">
        <f>IF($Y2268="","",INDEX($C$6:$C$40000,$Y2268)&amp;"")</f>
        <v/>
      </c>
      <c r="AA2268" s="59">
        <f>IF($Y2268="","",IF(INDEX($D$6:$D$40000,$Y2268)="","",INDEX($D$6:$D$40000,$Y2268)))</f>
        <v/>
      </c>
      <c r="AB2268">
        <f>IF($Y2268="","",INDEX($L$6:$L$40000,$Y2268)&amp;"")</f>
        <v/>
      </c>
    </row>
    <row r="2269">
      <c r="Y2269" s="47">
        <f>IFERROR(MATCH(Library!M2269,$M$6:$M$40000,0),"")</f>
        <v/>
      </c>
      <c r="Z2269">
        <f>IF($Y2269="","",INDEX($C$6:$C$40000,$Y2269)&amp;"")</f>
        <v/>
      </c>
      <c r="AA2269" s="59">
        <f>IF($Y2269="","",IF(INDEX($D$6:$D$40000,$Y2269)="","",INDEX($D$6:$D$40000,$Y2269)))</f>
        <v/>
      </c>
      <c r="AB2269">
        <f>IF($Y2269="","",INDEX($L$6:$L$40000,$Y2269)&amp;"")</f>
        <v/>
      </c>
    </row>
    <row r="2270">
      <c r="Y2270" s="47">
        <f>IFERROR(MATCH(Library!M2270,$M$6:$M$40000,0),"")</f>
        <v/>
      </c>
      <c r="Z2270">
        <f>IF($Y2270="","",INDEX($C$6:$C$40000,$Y2270)&amp;"")</f>
        <v/>
      </c>
      <c r="AA2270" s="59">
        <f>IF($Y2270="","",IF(INDEX($D$6:$D$40000,$Y2270)="","",INDEX($D$6:$D$40000,$Y2270)))</f>
        <v/>
      </c>
      <c r="AB2270">
        <f>IF($Y2270="","",INDEX($L$6:$L$40000,$Y2270)&amp;"")</f>
        <v/>
      </c>
    </row>
    <row r="2271">
      <c r="Y2271" s="47">
        <f>IFERROR(MATCH(Library!M2271,$M$6:$M$40000,0),"")</f>
        <v/>
      </c>
      <c r="Z2271">
        <f>IF($Y2271="","",INDEX($C$6:$C$40000,$Y2271)&amp;"")</f>
        <v/>
      </c>
      <c r="AA2271" s="59">
        <f>IF($Y2271="","",IF(INDEX($D$6:$D$40000,$Y2271)="","",INDEX($D$6:$D$40000,$Y2271)))</f>
        <v/>
      </c>
      <c r="AB2271">
        <f>IF($Y2271="","",INDEX($L$6:$L$40000,$Y2271)&amp;"")</f>
        <v/>
      </c>
    </row>
    <row r="2272">
      <c r="Y2272" s="47">
        <f>IFERROR(MATCH(Library!M2272,$M$6:$M$40000,0),"")</f>
        <v/>
      </c>
      <c r="Z2272">
        <f>IF($Y2272="","",INDEX($C$6:$C$40000,$Y2272)&amp;"")</f>
        <v/>
      </c>
      <c r="AA2272" s="59">
        <f>IF($Y2272="","",IF(INDEX($D$6:$D$40000,$Y2272)="","",INDEX($D$6:$D$40000,$Y2272)))</f>
        <v/>
      </c>
      <c r="AB2272">
        <f>IF($Y2272="","",INDEX($L$6:$L$40000,$Y2272)&amp;"")</f>
        <v/>
      </c>
    </row>
    <row r="2273">
      <c r="Y2273" s="47">
        <f>IFERROR(MATCH(Library!M2273,$M$6:$M$40000,0),"")</f>
        <v/>
      </c>
      <c r="Z2273">
        <f>IF($Y2273="","",INDEX($C$6:$C$40000,$Y2273)&amp;"")</f>
        <v/>
      </c>
      <c r="AA2273" s="59">
        <f>IF($Y2273="","",IF(INDEX($D$6:$D$40000,$Y2273)="","",INDEX($D$6:$D$40000,$Y2273)))</f>
        <v/>
      </c>
      <c r="AB2273">
        <f>IF($Y2273="","",INDEX($L$6:$L$40000,$Y2273)&amp;"")</f>
        <v/>
      </c>
    </row>
    <row r="2274">
      <c r="Y2274" s="47">
        <f>IFERROR(MATCH(Library!M2274,$M$6:$M$40000,0),"")</f>
        <v/>
      </c>
      <c r="Z2274">
        <f>IF($Y2274="","",INDEX($C$6:$C$40000,$Y2274)&amp;"")</f>
        <v/>
      </c>
      <c r="AA2274" s="59">
        <f>IF($Y2274="","",IF(INDEX($D$6:$D$40000,$Y2274)="","",INDEX($D$6:$D$40000,$Y2274)))</f>
        <v/>
      </c>
      <c r="AB2274">
        <f>IF($Y2274="","",INDEX($L$6:$L$40000,$Y2274)&amp;"")</f>
        <v/>
      </c>
    </row>
    <row r="2275">
      <c r="Y2275" s="47">
        <f>IFERROR(MATCH(Library!M2275,$M$6:$M$40000,0),"")</f>
        <v/>
      </c>
      <c r="Z2275">
        <f>IF($Y2275="","",INDEX($C$6:$C$40000,$Y2275)&amp;"")</f>
        <v/>
      </c>
      <c r="AA2275" s="59">
        <f>IF($Y2275="","",IF(INDEX($D$6:$D$40000,$Y2275)="","",INDEX($D$6:$D$40000,$Y2275)))</f>
        <v/>
      </c>
      <c r="AB2275">
        <f>IF($Y2275="","",INDEX($L$6:$L$40000,$Y2275)&amp;"")</f>
        <v/>
      </c>
    </row>
    <row r="2276">
      <c r="Y2276" s="47">
        <f>IFERROR(MATCH(Library!M2276,$M$6:$M$40000,0),"")</f>
        <v/>
      </c>
      <c r="Z2276">
        <f>IF($Y2276="","",INDEX($C$6:$C$40000,$Y2276)&amp;"")</f>
        <v/>
      </c>
      <c r="AA2276" s="59">
        <f>IF($Y2276="","",IF(INDEX($D$6:$D$40000,$Y2276)="","",INDEX($D$6:$D$40000,$Y2276)))</f>
        <v/>
      </c>
      <c r="AB2276">
        <f>IF($Y2276="","",INDEX($L$6:$L$40000,$Y2276)&amp;"")</f>
        <v/>
      </c>
    </row>
    <row r="2277">
      <c r="Y2277" s="47">
        <f>IFERROR(MATCH(Library!M2277,$M$6:$M$40000,0),"")</f>
        <v/>
      </c>
      <c r="Z2277">
        <f>IF($Y2277="","",INDEX($C$6:$C$40000,$Y2277)&amp;"")</f>
        <v/>
      </c>
      <c r="AA2277" s="59">
        <f>IF($Y2277="","",IF(INDEX($D$6:$D$40000,$Y2277)="","",INDEX($D$6:$D$40000,$Y2277)))</f>
        <v/>
      </c>
      <c r="AB2277">
        <f>IF($Y2277="","",INDEX($L$6:$L$40000,$Y2277)&amp;"")</f>
        <v/>
      </c>
    </row>
    <row r="2278">
      <c r="Y2278" s="47">
        <f>IFERROR(MATCH(Library!M2278,$M$6:$M$40000,0),"")</f>
        <v/>
      </c>
      <c r="Z2278">
        <f>IF($Y2278="","",INDEX($C$6:$C$40000,$Y2278)&amp;"")</f>
        <v/>
      </c>
      <c r="AA2278" s="59">
        <f>IF($Y2278="","",IF(INDEX($D$6:$D$40000,$Y2278)="","",INDEX($D$6:$D$40000,$Y2278)))</f>
        <v/>
      </c>
      <c r="AB2278">
        <f>IF($Y2278="","",INDEX($L$6:$L$40000,$Y2278)&amp;"")</f>
        <v/>
      </c>
    </row>
    <row r="2279">
      <c r="Y2279" s="47">
        <f>IFERROR(MATCH(Library!M2279,$M$6:$M$40000,0),"")</f>
        <v/>
      </c>
      <c r="Z2279">
        <f>IF($Y2279="","",INDEX($C$6:$C$40000,$Y2279)&amp;"")</f>
        <v/>
      </c>
      <c r="AA2279" s="59">
        <f>IF($Y2279="","",IF(INDEX($D$6:$D$40000,$Y2279)="","",INDEX($D$6:$D$40000,$Y2279)))</f>
        <v/>
      </c>
      <c r="AB2279">
        <f>IF($Y2279="","",INDEX($L$6:$L$40000,$Y2279)&amp;"")</f>
        <v/>
      </c>
    </row>
    <row r="2280">
      <c r="Y2280" s="47">
        <f>IFERROR(MATCH(Library!M2280,$M$6:$M$40000,0),"")</f>
        <v/>
      </c>
      <c r="Z2280">
        <f>IF($Y2280="","",INDEX($C$6:$C$40000,$Y2280)&amp;"")</f>
        <v/>
      </c>
      <c r="AA2280" s="59">
        <f>IF($Y2280="","",IF(INDEX($D$6:$D$40000,$Y2280)="","",INDEX($D$6:$D$40000,$Y2280)))</f>
        <v/>
      </c>
      <c r="AB2280">
        <f>IF($Y2280="","",INDEX($L$6:$L$40000,$Y2280)&amp;"")</f>
        <v/>
      </c>
    </row>
    <row r="2281">
      <c r="Y2281" s="47">
        <f>IFERROR(MATCH(Library!M2281,$M$6:$M$40000,0),"")</f>
        <v/>
      </c>
      <c r="Z2281">
        <f>IF($Y2281="","",INDEX($C$6:$C$40000,$Y2281)&amp;"")</f>
        <v/>
      </c>
      <c r="AA2281" s="59">
        <f>IF($Y2281="","",IF(INDEX($D$6:$D$40000,$Y2281)="","",INDEX($D$6:$D$40000,$Y2281)))</f>
        <v/>
      </c>
      <c r="AB2281">
        <f>IF($Y2281="","",INDEX($L$6:$L$40000,$Y2281)&amp;"")</f>
        <v/>
      </c>
    </row>
    <row r="2282">
      <c r="Y2282" s="47">
        <f>IFERROR(MATCH(Library!M2282,$M$6:$M$40000,0),"")</f>
        <v/>
      </c>
      <c r="Z2282">
        <f>IF($Y2282="","",INDEX($C$6:$C$40000,$Y2282)&amp;"")</f>
        <v/>
      </c>
      <c r="AA2282" s="59">
        <f>IF($Y2282="","",IF(INDEX($D$6:$D$40000,$Y2282)="","",INDEX($D$6:$D$40000,$Y2282)))</f>
        <v/>
      </c>
      <c r="AB2282">
        <f>IF($Y2282="","",INDEX($L$6:$L$40000,$Y2282)&amp;"")</f>
        <v/>
      </c>
    </row>
    <row r="2283">
      <c r="Y2283" s="47">
        <f>IFERROR(MATCH(Library!M2283,$M$6:$M$40000,0),"")</f>
        <v/>
      </c>
      <c r="Z2283">
        <f>IF($Y2283="","",INDEX($C$6:$C$40000,$Y2283)&amp;"")</f>
        <v/>
      </c>
      <c r="AA2283" s="59">
        <f>IF($Y2283="","",IF(INDEX($D$6:$D$40000,$Y2283)="","",INDEX($D$6:$D$40000,$Y2283)))</f>
        <v/>
      </c>
      <c r="AB2283">
        <f>IF($Y2283="","",INDEX($L$6:$L$40000,$Y2283)&amp;"")</f>
        <v/>
      </c>
    </row>
    <row r="2284">
      <c r="Y2284" s="47">
        <f>IFERROR(MATCH(Library!M2284,$M$6:$M$40000,0),"")</f>
        <v/>
      </c>
      <c r="Z2284">
        <f>IF($Y2284="","",INDEX($C$6:$C$40000,$Y2284)&amp;"")</f>
        <v/>
      </c>
      <c r="AA2284" s="59">
        <f>IF($Y2284="","",IF(INDEX($D$6:$D$40000,$Y2284)="","",INDEX($D$6:$D$40000,$Y2284)))</f>
        <v/>
      </c>
      <c r="AB2284">
        <f>IF($Y2284="","",INDEX($L$6:$L$40000,$Y2284)&amp;"")</f>
        <v/>
      </c>
    </row>
    <row r="2285">
      <c r="Y2285" s="47">
        <f>IFERROR(MATCH(Library!M2285,$M$6:$M$40000,0),"")</f>
        <v/>
      </c>
      <c r="Z2285">
        <f>IF($Y2285="","",INDEX($C$6:$C$40000,$Y2285)&amp;"")</f>
        <v/>
      </c>
      <c r="AA2285" s="59">
        <f>IF($Y2285="","",IF(INDEX($D$6:$D$40000,$Y2285)="","",INDEX($D$6:$D$40000,$Y2285)))</f>
        <v/>
      </c>
      <c r="AB2285">
        <f>IF($Y2285="","",INDEX($L$6:$L$40000,$Y2285)&amp;"")</f>
        <v/>
      </c>
    </row>
    <row r="2286">
      <c r="Y2286" s="47">
        <f>IFERROR(MATCH(Library!M2286,$M$6:$M$40000,0),"")</f>
        <v/>
      </c>
      <c r="Z2286">
        <f>IF($Y2286="","",INDEX($C$6:$C$40000,$Y2286)&amp;"")</f>
        <v/>
      </c>
      <c r="AA2286" s="59">
        <f>IF($Y2286="","",IF(INDEX($D$6:$D$40000,$Y2286)="","",INDEX($D$6:$D$40000,$Y2286)))</f>
        <v/>
      </c>
      <c r="AB2286">
        <f>IF($Y2286="","",INDEX($L$6:$L$40000,$Y2286)&amp;"")</f>
        <v/>
      </c>
    </row>
    <row r="2287">
      <c r="Y2287" s="47">
        <f>IFERROR(MATCH(Library!M2287,$M$6:$M$40000,0),"")</f>
        <v/>
      </c>
      <c r="Z2287">
        <f>IF($Y2287="","",INDEX($C$6:$C$40000,$Y2287)&amp;"")</f>
        <v/>
      </c>
      <c r="AA2287" s="59">
        <f>IF($Y2287="","",IF(INDEX($D$6:$D$40000,$Y2287)="","",INDEX($D$6:$D$40000,$Y2287)))</f>
        <v/>
      </c>
      <c r="AB2287">
        <f>IF($Y2287="","",INDEX($L$6:$L$40000,$Y2287)&amp;"")</f>
        <v/>
      </c>
    </row>
    <row r="2288">
      <c r="Y2288" s="47">
        <f>IFERROR(MATCH(Library!M2288,$M$6:$M$40000,0),"")</f>
        <v/>
      </c>
      <c r="Z2288">
        <f>IF($Y2288="","",INDEX($C$6:$C$40000,$Y2288)&amp;"")</f>
        <v/>
      </c>
      <c r="AA2288" s="59">
        <f>IF($Y2288="","",IF(INDEX($D$6:$D$40000,$Y2288)="","",INDEX($D$6:$D$40000,$Y2288)))</f>
        <v/>
      </c>
      <c r="AB2288">
        <f>IF($Y2288="","",INDEX($L$6:$L$40000,$Y2288)&amp;"")</f>
        <v/>
      </c>
    </row>
    <row r="2289">
      <c r="Y2289" s="47">
        <f>IFERROR(MATCH(Library!M2289,$M$6:$M$40000,0),"")</f>
        <v/>
      </c>
      <c r="Z2289">
        <f>IF($Y2289="","",INDEX($C$6:$C$40000,$Y2289)&amp;"")</f>
        <v/>
      </c>
      <c r="AA2289" s="59">
        <f>IF($Y2289="","",IF(INDEX($D$6:$D$40000,$Y2289)="","",INDEX($D$6:$D$40000,$Y2289)))</f>
        <v/>
      </c>
      <c r="AB2289">
        <f>IF($Y2289="","",INDEX($L$6:$L$40000,$Y2289)&amp;"")</f>
        <v/>
      </c>
    </row>
    <row r="2290">
      <c r="Y2290" s="47">
        <f>IFERROR(MATCH(Library!M2290,$M$6:$M$40000,0),"")</f>
        <v/>
      </c>
      <c r="Z2290">
        <f>IF($Y2290="","",INDEX($C$6:$C$40000,$Y2290)&amp;"")</f>
        <v/>
      </c>
      <c r="AA2290" s="59">
        <f>IF($Y2290="","",IF(INDEX($D$6:$D$40000,$Y2290)="","",INDEX($D$6:$D$40000,$Y2290)))</f>
        <v/>
      </c>
      <c r="AB2290">
        <f>IF($Y2290="","",INDEX($L$6:$L$40000,$Y2290)&amp;"")</f>
        <v/>
      </c>
    </row>
    <row r="2291">
      <c r="Y2291" s="47">
        <f>IFERROR(MATCH(Library!M2291,$M$6:$M$40000,0),"")</f>
        <v/>
      </c>
      <c r="Z2291">
        <f>IF($Y2291="","",INDEX($C$6:$C$40000,$Y2291)&amp;"")</f>
        <v/>
      </c>
      <c r="AA2291" s="59">
        <f>IF($Y2291="","",IF(INDEX($D$6:$D$40000,$Y2291)="","",INDEX($D$6:$D$40000,$Y2291)))</f>
        <v/>
      </c>
      <c r="AB2291">
        <f>IF($Y2291="","",INDEX($L$6:$L$40000,$Y2291)&amp;"")</f>
        <v/>
      </c>
    </row>
    <row r="2292">
      <c r="Y2292" s="47">
        <f>IFERROR(MATCH(Library!M2292,$M$6:$M$40000,0),"")</f>
        <v/>
      </c>
      <c r="Z2292">
        <f>IF($Y2292="","",INDEX($C$6:$C$40000,$Y2292)&amp;"")</f>
        <v/>
      </c>
      <c r="AA2292" s="59">
        <f>IF($Y2292="","",IF(INDEX($D$6:$D$40000,$Y2292)="","",INDEX($D$6:$D$40000,$Y2292)))</f>
        <v/>
      </c>
      <c r="AB2292">
        <f>IF($Y2292="","",INDEX($L$6:$L$40000,$Y2292)&amp;"")</f>
        <v/>
      </c>
    </row>
    <row r="2293">
      <c r="Y2293" s="47">
        <f>IFERROR(MATCH(Library!M2293,$M$6:$M$40000,0),"")</f>
        <v/>
      </c>
      <c r="Z2293">
        <f>IF($Y2293="","",INDEX($C$6:$C$40000,$Y2293)&amp;"")</f>
        <v/>
      </c>
      <c r="AA2293" s="59">
        <f>IF($Y2293="","",IF(INDEX($D$6:$D$40000,$Y2293)="","",INDEX($D$6:$D$40000,$Y2293)))</f>
        <v/>
      </c>
      <c r="AB2293">
        <f>IF($Y2293="","",INDEX($L$6:$L$40000,$Y2293)&amp;"")</f>
        <v/>
      </c>
    </row>
    <row r="2294">
      <c r="Y2294" s="47">
        <f>IFERROR(MATCH(Library!M2294,$M$6:$M$40000,0),"")</f>
        <v/>
      </c>
      <c r="Z2294">
        <f>IF($Y2294="","",INDEX($C$6:$C$40000,$Y2294)&amp;"")</f>
        <v/>
      </c>
      <c r="AA2294" s="59">
        <f>IF($Y2294="","",IF(INDEX($D$6:$D$40000,$Y2294)="","",INDEX($D$6:$D$40000,$Y2294)))</f>
        <v/>
      </c>
      <c r="AB2294">
        <f>IF($Y2294="","",INDEX($L$6:$L$40000,$Y2294)&amp;"")</f>
        <v/>
      </c>
    </row>
    <row r="2295">
      <c r="Y2295" s="47">
        <f>IFERROR(MATCH(Library!M2295,$M$6:$M$40000,0),"")</f>
        <v/>
      </c>
      <c r="Z2295">
        <f>IF($Y2295="","",INDEX($C$6:$C$40000,$Y2295)&amp;"")</f>
        <v/>
      </c>
      <c r="AA2295" s="59">
        <f>IF($Y2295="","",IF(INDEX($D$6:$D$40000,$Y2295)="","",INDEX($D$6:$D$40000,$Y2295)))</f>
        <v/>
      </c>
      <c r="AB2295">
        <f>IF($Y2295="","",INDEX($L$6:$L$40000,$Y2295)&amp;"")</f>
        <v/>
      </c>
    </row>
    <row r="2296">
      <c r="Y2296" s="47">
        <f>IFERROR(MATCH(Library!M2296,$M$6:$M$40000,0),"")</f>
        <v/>
      </c>
      <c r="Z2296">
        <f>IF($Y2296="","",INDEX($C$6:$C$40000,$Y2296)&amp;"")</f>
        <v/>
      </c>
      <c r="AA2296" s="59">
        <f>IF($Y2296="","",IF(INDEX($D$6:$D$40000,$Y2296)="","",INDEX($D$6:$D$40000,$Y2296)))</f>
        <v/>
      </c>
      <c r="AB2296">
        <f>IF($Y2296="","",INDEX($L$6:$L$40000,$Y2296)&amp;"")</f>
        <v/>
      </c>
    </row>
    <row r="2297">
      <c r="Y2297" s="47">
        <f>IFERROR(MATCH(Library!M2297,$M$6:$M$40000,0),"")</f>
        <v/>
      </c>
      <c r="Z2297">
        <f>IF($Y2297="","",INDEX($C$6:$C$40000,$Y2297)&amp;"")</f>
        <v/>
      </c>
      <c r="AA2297" s="59">
        <f>IF($Y2297="","",IF(INDEX($D$6:$D$40000,$Y2297)="","",INDEX($D$6:$D$40000,$Y2297)))</f>
        <v/>
      </c>
      <c r="AB2297">
        <f>IF($Y2297="","",INDEX($L$6:$L$40000,$Y2297)&amp;"")</f>
        <v/>
      </c>
    </row>
    <row r="2298">
      <c r="Y2298" s="47">
        <f>IFERROR(MATCH(Library!M2298,$M$6:$M$40000,0),"")</f>
        <v/>
      </c>
      <c r="Z2298">
        <f>IF($Y2298="","",INDEX($C$6:$C$40000,$Y2298)&amp;"")</f>
        <v/>
      </c>
      <c r="AA2298" s="59">
        <f>IF($Y2298="","",IF(INDEX($D$6:$D$40000,$Y2298)="","",INDEX($D$6:$D$40000,$Y2298)))</f>
        <v/>
      </c>
      <c r="AB2298">
        <f>IF($Y2298="","",INDEX($L$6:$L$40000,$Y2298)&amp;"")</f>
        <v/>
      </c>
    </row>
    <row r="2299">
      <c r="Y2299" s="47">
        <f>IFERROR(MATCH(Library!M2299,$M$6:$M$40000,0),"")</f>
        <v/>
      </c>
      <c r="Z2299">
        <f>IF($Y2299="","",INDEX($C$6:$C$40000,$Y2299)&amp;"")</f>
        <v/>
      </c>
      <c r="AA2299" s="59">
        <f>IF($Y2299="","",IF(INDEX($D$6:$D$40000,$Y2299)="","",INDEX($D$6:$D$40000,$Y2299)))</f>
        <v/>
      </c>
      <c r="AB2299">
        <f>IF($Y2299="","",INDEX($L$6:$L$40000,$Y2299)&amp;"")</f>
        <v/>
      </c>
    </row>
    <row r="2300">
      <c r="Y2300" s="47">
        <f>IFERROR(MATCH(Library!M2300,$M$6:$M$40000,0),"")</f>
        <v/>
      </c>
      <c r="Z2300">
        <f>IF($Y2300="","",INDEX($C$6:$C$40000,$Y2300)&amp;"")</f>
        <v/>
      </c>
      <c r="AA2300" s="59">
        <f>IF($Y2300="","",IF(INDEX($D$6:$D$40000,$Y2300)="","",INDEX($D$6:$D$40000,$Y2300)))</f>
        <v/>
      </c>
      <c r="AB2300">
        <f>IF($Y2300="","",INDEX($L$6:$L$40000,$Y2300)&amp;"")</f>
        <v/>
      </c>
    </row>
    <row r="2301">
      <c r="Y2301" s="47">
        <f>IFERROR(MATCH(Library!M2301,$M$6:$M$40000,0),"")</f>
        <v/>
      </c>
      <c r="Z2301">
        <f>IF($Y2301="","",INDEX($C$6:$C$40000,$Y2301)&amp;"")</f>
        <v/>
      </c>
      <c r="AA2301" s="59">
        <f>IF($Y2301="","",IF(INDEX($D$6:$D$40000,$Y2301)="","",INDEX($D$6:$D$40000,$Y2301)))</f>
        <v/>
      </c>
      <c r="AB2301">
        <f>IF($Y2301="","",INDEX($L$6:$L$40000,$Y2301)&amp;"")</f>
        <v/>
      </c>
    </row>
    <row r="2302">
      <c r="Y2302" s="47">
        <f>IFERROR(MATCH(Library!M2302,$M$6:$M$40000,0),"")</f>
        <v/>
      </c>
      <c r="Z2302">
        <f>IF($Y2302="","",INDEX($C$6:$C$40000,$Y2302)&amp;"")</f>
        <v/>
      </c>
      <c r="AA2302" s="59">
        <f>IF($Y2302="","",IF(INDEX($D$6:$D$40000,$Y2302)="","",INDEX($D$6:$D$40000,$Y2302)))</f>
        <v/>
      </c>
      <c r="AB2302">
        <f>IF($Y2302="","",INDEX($L$6:$L$40000,$Y2302)&amp;"")</f>
        <v/>
      </c>
    </row>
    <row r="2303">
      <c r="Y2303" s="47">
        <f>IFERROR(MATCH(Library!M2303,$M$6:$M$40000,0),"")</f>
        <v/>
      </c>
      <c r="Z2303">
        <f>IF($Y2303="","",INDEX($C$6:$C$40000,$Y2303)&amp;"")</f>
        <v/>
      </c>
      <c r="AA2303" s="59">
        <f>IF($Y2303="","",IF(INDEX($D$6:$D$40000,$Y2303)="","",INDEX($D$6:$D$40000,$Y2303)))</f>
        <v/>
      </c>
      <c r="AB2303">
        <f>IF($Y2303="","",INDEX($L$6:$L$40000,$Y2303)&amp;"")</f>
        <v/>
      </c>
    </row>
    <row r="2304">
      <c r="Y2304" s="47">
        <f>IFERROR(MATCH(Library!M2304,$M$6:$M$40000,0),"")</f>
        <v/>
      </c>
      <c r="Z2304">
        <f>IF($Y2304="","",INDEX($C$6:$C$40000,$Y2304)&amp;"")</f>
        <v/>
      </c>
      <c r="AA2304" s="59">
        <f>IF($Y2304="","",IF(INDEX($D$6:$D$40000,$Y2304)="","",INDEX($D$6:$D$40000,$Y2304)))</f>
        <v/>
      </c>
      <c r="AB2304">
        <f>IF($Y2304="","",INDEX($L$6:$L$40000,$Y2304)&amp;"")</f>
        <v/>
      </c>
    </row>
    <row r="2305">
      <c r="Y2305" s="47">
        <f>IFERROR(MATCH(Library!M2305,$M$6:$M$40000,0),"")</f>
        <v/>
      </c>
      <c r="Z2305">
        <f>IF($Y2305="","",INDEX($C$6:$C$40000,$Y2305)&amp;"")</f>
        <v/>
      </c>
      <c r="AA2305" s="59">
        <f>IF($Y2305="","",IF(INDEX($D$6:$D$40000,$Y2305)="","",INDEX($D$6:$D$40000,$Y2305)))</f>
        <v/>
      </c>
      <c r="AB2305">
        <f>IF($Y2305="","",INDEX($L$6:$L$40000,$Y2305)&amp;"")</f>
        <v/>
      </c>
    </row>
    <row r="2306">
      <c r="Y2306" s="47">
        <f>IFERROR(MATCH(Library!M2306,$M$6:$M$40000,0),"")</f>
        <v/>
      </c>
      <c r="Z2306">
        <f>IF($Y2306="","",INDEX($C$6:$C$40000,$Y2306)&amp;"")</f>
        <v/>
      </c>
      <c r="AA2306" s="59">
        <f>IF($Y2306="","",IF(INDEX($D$6:$D$40000,$Y2306)="","",INDEX($D$6:$D$40000,$Y2306)))</f>
        <v/>
      </c>
      <c r="AB2306">
        <f>IF($Y2306="","",INDEX($L$6:$L$40000,$Y2306)&amp;"")</f>
        <v/>
      </c>
    </row>
    <row r="2307">
      <c r="Y2307" s="47">
        <f>IFERROR(MATCH(Library!M2307,$M$6:$M$40000,0),"")</f>
        <v/>
      </c>
      <c r="Z2307">
        <f>IF($Y2307="","",INDEX($C$6:$C$40000,$Y2307)&amp;"")</f>
        <v/>
      </c>
      <c r="AA2307" s="59">
        <f>IF($Y2307="","",IF(INDEX($D$6:$D$40000,$Y2307)="","",INDEX($D$6:$D$40000,$Y2307)))</f>
        <v/>
      </c>
      <c r="AB2307">
        <f>IF($Y2307="","",INDEX($L$6:$L$40000,$Y2307)&amp;"")</f>
        <v/>
      </c>
    </row>
    <row r="2308">
      <c r="Y2308" s="47">
        <f>IFERROR(MATCH(Library!M2308,$M$6:$M$40000,0),"")</f>
        <v/>
      </c>
      <c r="Z2308">
        <f>IF($Y2308="","",INDEX($C$6:$C$40000,$Y2308)&amp;"")</f>
        <v/>
      </c>
      <c r="AA2308" s="59">
        <f>IF($Y2308="","",IF(INDEX($D$6:$D$40000,$Y2308)="","",INDEX($D$6:$D$40000,$Y2308)))</f>
        <v/>
      </c>
      <c r="AB2308">
        <f>IF($Y2308="","",INDEX($L$6:$L$40000,$Y2308)&amp;"")</f>
        <v/>
      </c>
    </row>
    <row r="2309">
      <c r="Y2309" s="47">
        <f>IFERROR(MATCH(Library!M2309,$M$6:$M$40000,0),"")</f>
        <v/>
      </c>
      <c r="Z2309">
        <f>IF($Y2309="","",INDEX($C$6:$C$40000,$Y2309)&amp;"")</f>
        <v/>
      </c>
      <c r="AA2309" s="59">
        <f>IF($Y2309="","",IF(INDEX($D$6:$D$40000,$Y2309)="","",INDEX($D$6:$D$40000,$Y2309)))</f>
        <v/>
      </c>
      <c r="AB2309">
        <f>IF($Y2309="","",INDEX($L$6:$L$40000,$Y2309)&amp;"")</f>
        <v/>
      </c>
    </row>
    <row r="2310">
      <c r="Y2310" s="47">
        <f>IFERROR(MATCH(Library!M2310,$M$6:$M$40000,0),"")</f>
        <v/>
      </c>
      <c r="Z2310">
        <f>IF($Y2310="","",INDEX($C$6:$C$40000,$Y2310)&amp;"")</f>
        <v/>
      </c>
      <c r="AA2310" s="59">
        <f>IF($Y2310="","",IF(INDEX($D$6:$D$40000,$Y2310)="","",INDEX($D$6:$D$40000,$Y2310)))</f>
        <v/>
      </c>
      <c r="AB2310">
        <f>IF($Y2310="","",INDEX($L$6:$L$40000,$Y2310)&amp;"")</f>
        <v/>
      </c>
    </row>
    <row r="2311">
      <c r="Y2311" s="47">
        <f>IFERROR(MATCH(Library!M2311,$M$6:$M$40000,0),"")</f>
        <v/>
      </c>
      <c r="Z2311">
        <f>IF($Y2311="","",INDEX($C$6:$C$40000,$Y2311)&amp;"")</f>
        <v/>
      </c>
      <c r="AA2311" s="59">
        <f>IF($Y2311="","",IF(INDEX($D$6:$D$40000,$Y2311)="","",INDEX($D$6:$D$40000,$Y2311)))</f>
        <v/>
      </c>
      <c r="AB2311">
        <f>IF($Y2311="","",INDEX($L$6:$L$40000,$Y2311)&amp;"")</f>
        <v/>
      </c>
    </row>
    <row r="2312">
      <c r="Y2312" s="47">
        <f>IFERROR(MATCH(Library!M2312,$M$6:$M$40000,0),"")</f>
        <v/>
      </c>
      <c r="Z2312">
        <f>IF($Y2312="","",INDEX($C$6:$C$40000,$Y2312)&amp;"")</f>
        <v/>
      </c>
      <c r="AA2312" s="59">
        <f>IF($Y2312="","",IF(INDEX($D$6:$D$40000,$Y2312)="","",INDEX($D$6:$D$40000,$Y2312)))</f>
        <v/>
      </c>
      <c r="AB2312">
        <f>IF($Y2312="","",INDEX($L$6:$L$40000,$Y2312)&amp;"")</f>
        <v/>
      </c>
    </row>
    <row r="2313">
      <c r="Y2313" s="47">
        <f>IFERROR(MATCH(Library!M2313,$M$6:$M$40000,0),"")</f>
        <v/>
      </c>
      <c r="Z2313">
        <f>IF($Y2313="","",INDEX($C$6:$C$40000,$Y2313)&amp;"")</f>
        <v/>
      </c>
      <c r="AA2313" s="59">
        <f>IF($Y2313="","",IF(INDEX($D$6:$D$40000,$Y2313)="","",INDEX($D$6:$D$40000,$Y2313)))</f>
        <v/>
      </c>
      <c r="AB2313">
        <f>IF($Y2313="","",INDEX($L$6:$L$40000,$Y2313)&amp;"")</f>
        <v/>
      </c>
    </row>
    <row r="2314">
      <c r="Y2314" s="47">
        <f>IFERROR(MATCH(Library!M2314,$M$6:$M$40000,0),"")</f>
        <v/>
      </c>
      <c r="Z2314">
        <f>IF($Y2314="","",INDEX($C$6:$C$40000,$Y2314)&amp;"")</f>
        <v/>
      </c>
      <c r="AA2314" s="59">
        <f>IF($Y2314="","",IF(INDEX($D$6:$D$40000,$Y2314)="","",INDEX($D$6:$D$40000,$Y2314)))</f>
        <v/>
      </c>
      <c r="AB2314">
        <f>IF($Y2314="","",INDEX($L$6:$L$40000,$Y2314)&amp;"")</f>
        <v/>
      </c>
    </row>
    <row r="2315">
      <c r="Y2315" s="47">
        <f>IFERROR(MATCH(Library!M2315,$M$6:$M$40000,0),"")</f>
        <v/>
      </c>
      <c r="Z2315">
        <f>IF($Y2315="","",INDEX($C$6:$C$40000,$Y2315)&amp;"")</f>
        <v/>
      </c>
      <c r="AA2315" s="59">
        <f>IF($Y2315="","",IF(INDEX($D$6:$D$40000,$Y2315)="","",INDEX($D$6:$D$40000,$Y2315)))</f>
        <v/>
      </c>
      <c r="AB2315">
        <f>IF($Y2315="","",INDEX($L$6:$L$40000,$Y2315)&amp;"")</f>
        <v/>
      </c>
    </row>
    <row r="2316">
      <c r="Y2316" s="47">
        <f>IFERROR(MATCH(Library!M2316,$M$6:$M$40000,0),"")</f>
        <v/>
      </c>
      <c r="Z2316">
        <f>IF($Y2316="","",INDEX($C$6:$C$40000,$Y2316)&amp;"")</f>
        <v/>
      </c>
      <c r="AA2316" s="59">
        <f>IF($Y2316="","",IF(INDEX($D$6:$D$40000,$Y2316)="","",INDEX($D$6:$D$40000,$Y2316)))</f>
        <v/>
      </c>
      <c r="AB2316">
        <f>IF($Y2316="","",INDEX($L$6:$L$40000,$Y2316)&amp;"")</f>
        <v/>
      </c>
    </row>
    <row r="2317">
      <c r="Y2317" s="47">
        <f>IFERROR(MATCH(Library!M2317,$M$6:$M$40000,0),"")</f>
        <v/>
      </c>
      <c r="Z2317">
        <f>IF($Y2317="","",INDEX($C$6:$C$40000,$Y2317)&amp;"")</f>
        <v/>
      </c>
      <c r="AA2317" s="59">
        <f>IF($Y2317="","",IF(INDEX($D$6:$D$40000,$Y2317)="","",INDEX($D$6:$D$40000,$Y2317)))</f>
        <v/>
      </c>
      <c r="AB2317">
        <f>IF($Y2317="","",INDEX($L$6:$L$40000,$Y2317)&amp;"")</f>
        <v/>
      </c>
    </row>
    <row r="2318">
      <c r="Y2318" s="47">
        <f>IFERROR(MATCH(Library!M2318,$M$6:$M$40000,0),"")</f>
        <v/>
      </c>
      <c r="Z2318">
        <f>IF($Y2318="","",INDEX($C$6:$C$40000,$Y2318)&amp;"")</f>
        <v/>
      </c>
      <c r="AA2318" s="59">
        <f>IF($Y2318="","",IF(INDEX($D$6:$D$40000,$Y2318)="","",INDEX($D$6:$D$40000,$Y2318)))</f>
        <v/>
      </c>
      <c r="AB2318">
        <f>IF($Y2318="","",INDEX($L$6:$L$40000,$Y2318)&amp;"")</f>
        <v/>
      </c>
    </row>
    <row r="2319">
      <c r="Y2319" s="47">
        <f>IFERROR(MATCH(Library!M2319,$M$6:$M$40000,0),"")</f>
        <v/>
      </c>
      <c r="Z2319">
        <f>IF($Y2319="","",INDEX($C$6:$C$40000,$Y2319)&amp;"")</f>
        <v/>
      </c>
      <c r="AA2319" s="59">
        <f>IF($Y2319="","",IF(INDEX($D$6:$D$40000,$Y2319)="","",INDEX($D$6:$D$40000,$Y2319)))</f>
        <v/>
      </c>
      <c r="AB2319">
        <f>IF($Y2319="","",INDEX($L$6:$L$40000,$Y2319)&amp;"")</f>
        <v/>
      </c>
    </row>
    <row r="2320">
      <c r="Y2320" s="47">
        <f>IFERROR(MATCH(Library!M2320,$M$6:$M$40000,0),"")</f>
        <v/>
      </c>
      <c r="Z2320">
        <f>IF($Y2320="","",INDEX($C$6:$C$40000,$Y2320)&amp;"")</f>
        <v/>
      </c>
      <c r="AA2320" s="59">
        <f>IF($Y2320="","",IF(INDEX($D$6:$D$40000,$Y2320)="","",INDEX($D$6:$D$40000,$Y2320)))</f>
        <v/>
      </c>
      <c r="AB2320">
        <f>IF($Y2320="","",INDEX($L$6:$L$40000,$Y2320)&amp;"")</f>
        <v/>
      </c>
    </row>
    <row r="2321">
      <c r="Y2321" s="47">
        <f>IFERROR(MATCH(Library!M2321,$M$6:$M$40000,0),"")</f>
        <v/>
      </c>
      <c r="Z2321">
        <f>IF($Y2321="","",INDEX($C$6:$C$40000,$Y2321)&amp;"")</f>
        <v/>
      </c>
      <c r="AA2321" s="59">
        <f>IF($Y2321="","",IF(INDEX($D$6:$D$40000,$Y2321)="","",INDEX($D$6:$D$40000,$Y2321)))</f>
        <v/>
      </c>
      <c r="AB2321">
        <f>IF($Y2321="","",INDEX($L$6:$L$40000,$Y2321)&amp;"")</f>
        <v/>
      </c>
    </row>
    <row r="2322">
      <c r="Y2322" s="47">
        <f>IFERROR(MATCH(Library!M2322,$M$6:$M$40000,0),"")</f>
        <v/>
      </c>
      <c r="Z2322">
        <f>IF($Y2322="","",INDEX($C$6:$C$40000,$Y2322)&amp;"")</f>
        <v/>
      </c>
      <c r="AA2322" s="59">
        <f>IF($Y2322="","",IF(INDEX($D$6:$D$40000,$Y2322)="","",INDEX($D$6:$D$40000,$Y2322)))</f>
        <v/>
      </c>
      <c r="AB2322">
        <f>IF($Y2322="","",INDEX($L$6:$L$40000,$Y2322)&amp;"")</f>
        <v/>
      </c>
    </row>
    <row r="2323">
      <c r="Y2323" s="47">
        <f>IFERROR(MATCH(Library!M2323,$M$6:$M$40000,0),"")</f>
        <v/>
      </c>
      <c r="Z2323">
        <f>IF($Y2323="","",INDEX($C$6:$C$40000,$Y2323)&amp;"")</f>
        <v/>
      </c>
      <c r="AA2323" s="59">
        <f>IF($Y2323="","",IF(INDEX($D$6:$D$40000,$Y2323)="","",INDEX($D$6:$D$40000,$Y2323)))</f>
        <v/>
      </c>
      <c r="AB2323">
        <f>IF($Y2323="","",INDEX($L$6:$L$40000,$Y2323)&amp;"")</f>
        <v/>
      </c>
    </row>
    <row r="2324">
      <c r="Y2324" s="47">
        <f>IFERROR(MATCH(Library!M2324,$M$6:$M$40000,0),"")</f>
        <v/>
      </c>
      <c r="Z2324">
        <f>IF($Y2324="","",INDEX($C$6:$C$40000,$Y2324)&amp;"")</f>
        <v/>
      </c>
      <c r="AA2324" s="59">
        <f>IF($Y2324="","",IF(INDEX($D$6:$D$40000,$Y2324)="","",INDEX($D$6:$D$40000,$Y2324)))</f>
        <v/>
      </c>
      <c r="AB2324">
        <f>IF($Y2324="","",INDEX($L$6:$L$40000,$Y2324)&amp;"")</f>
        <v/>
      </c>
    </row>
    <row r="2325">
      <c r="Y2325" s="47">
        <f>IFERROR(MATCH(Library!M2325,$M$6:$M$40000,0),"")</f>
        <v/>
      </c>
      <c r="Z2325">
        <f>IF($Y2325="","",INDEX($C$6:$C$40000,$Y2325)&amp;"")</f>
        <v/>
      </c>
      <c r="AA2325" s="59">
        <f>IF($Y2325="","",IF(INDEX($D$6:$D$40000,$Y2325)="","",INDEX($D$6:$D$40000,$Y2325)))</f>
        <v/>
      </c>
      <c r="AB2325">
        <f>IF($Y2325="","",INDEX($L$6:$L$40000,$Y2325)&amp;"")</f>
        <v/>
      </c>
    </row>
    <row r="2326">
      <c r="Y2326" s="47">
        <f>IFERROR(MATCH(Library!M2326,$M$6:$M$40000,0),"")</f>
        <v/>
      </c>
      <c r="Z2326">
        <f>IF($Y2326="","",INDEX($C$6:$C$40000,$Y2326)&amp;"")</f>
        <v/>
      </c>
      <c r="AA2326" s="59">
        <f>IF($Y2326="","",IF(INDEX($D$6:$D$40000,$Y2326)="","",INDEX($D$6:$D$40000,$Y2326)))</f>
        <v/>
      </c>
      <c r="AB2326">
        <f>IF($Y2326="","",INDEX($L$6:$L$40000,$Y2326)&amp;"")</f>
        <v/>
      </c>
    </row>
    <row r="2327">
      <c r="Y2327" s="47">
        <f>IFERROR(MATCH(Library!M2327,$M$6:$M$40000,0),"")</f>
        <v/>
      </c>
      <c r="Z2327">
        <f>IF($Y2327="","",INDEX($C$6:$C$40000,$Y2327)&amp;"")</f>
        <v/>
      </c>
      <c r="AA2327" s="59">
        <f>IF($Y2327="","",IF(INDEX($D$6:$D$40000,$Y2327)="","",INDEX($D$6:$D$40000,$Y2327)))</f>
        <v/>
      </c>
      <c r="AB2327">
        <f>IF($Y2327="","",INDEX($L$6:$L$40000,$Y2327)&amp;"")</f>
        <v/>
      </c>
    </row>
    <row r="2328">
      <c r="Y2328" s="47">
        <f>IFERROR(MATCH(Library!M2328,$M$6:$M$40000,0),"")</f>
        <v/>
      </c>
      <c r="Z2328">
        <f>IF($Y2328="","",INDEX($C$6:$C$40000,$Y2328)&amp;"")</f>
        <v/>
      </c>
      <c r="AA2328" s="59">
        <f>IF($Y2328="","",IF(INDEX($D$6:$D$40000,$Y2328)="","",INDEX($D$6:$D$40000,$Y2328)))</f>
        <v/>
      </c>
      <c r="AB2328">
        <f>IF($Y2328="","",INDEX($L$6:$L$40000,$Y2328)&amp;"")</f>
        <v/>
      </c>
    </row>
    <row r="2329">
      <c r="Y2329" s="47">
        <f>IFERROR(MATCH(Library!M2329,$M$6:$M$40000,0),"")</f>
        <v/>
      </c>
      <c r="Z2329">
        <f>IF($Y2329="","",INDEX($C$6:$C$40000,$Y2329)&amp;"")</f>
        <v/>
      </c>
      <c r="AA2329" s="59">
        <f>IF($Y2329="","",IF(INDEX($D$6:$D$40000,$Y2329)="","",INDEX($D$6:$D$40000,$Y2329)))</f>
        <v/>
      </c>
      <c r="AB2329">
        <f>IF($Y2329="","",INDEX($L$6:$L$40000,$Y2329)&amp;"")</f>
        <v/>
      </c>
    </row>
    <row r="2330">
      <c r="Y2330" s="47">
        <f>IFERROR(MATCH(Library!M2330,$M$6:$M$40000,0),"")</f>
        <v/>
      </c>
      <c r="Z2330">
        <f>IF($Y2330="","",INDEX($C$6:$C$40000,$Y2330)&amp;"")</f>
        <v/>
      </c>
      <c r="AA2330" s="59">
        <f>IF($Y2330="","",IF(INDEX($D$6:$D$40000,$Y2330)="","",INDEX($D$6:$D$40000,$Y2330)))</f>
        <v/>
      </c>
      <c r="AB2330">
        <f>IF($Y2330="","",INDEX($L$6:$L$40000,$Y2330)&amp;"")</f>
        <v/>
      </c>
    </row>
    <row r="2331">
      <c r="Y2331" s="47">
        <f>IFERROR(MATCH(Library!M2331,$M$6:$M$40000,0),"")</f>
        <v/>
      </c>
      <c r="Z2331">
        <f>IF($Y2331="","",INDEX($C$6:$C$40000,$Y2331)&amp;"")</f>
        <v/>
      </c>
      <c r="AA2331" s="59">
        <f>IF($Y2331="","",IF(INDEX($D$6:$D$40000,$Y2331)="","",INDEX($D$6:$D$40000,$Y2331)))</f>
        <v/>
      </c>
      <c r="AB2331">
        <f>IF($Y2331="","",INDEX($L$6:$L$40000,$Y2331)&amp;"")</f>
        <v/>
      </c>
    </row>
    <row r="2332">
      <c r="Y2332" s="47">
        <f>IFERROR(MATCH(Library!M2332,$M$6:$M$40000,0),"")</f>
        <v/>
      </c>
      <c r="Z2332">
        <f>IF($Y2332="","",INDEX($C$6:$C$40000,$Y2332)&amp;"")</f>
        <v/>
      </c>
      <c r="AA2332" s="59">
        <f>IF($Y2332="","",IF(INDEX($D$6:$D$40000,$Y2332)="","",INDEX($D$6:$D$40000,$Y2332)))</f>
        <v/>
      </c>
      <c r="AB2332">
        <f>IF($Y2332="","",INDEX($L$6:$L$40000,$Y2332)&amp;"")</f>
        <v/>
      </c>
    </row>
    <row r="2333">
      <c r="Y2333" s="47">
        <f>IFERROR(MATCH(Library!M2333,$M$6:$M$40000,0),"")</f>
        <v/>
      </c>
      <c r="Z2333">
        <f>IF($Y2333="","",INDEX($C$6:$C$40000,$Y2333)&amp;"")</f>
        <v/>
      </c>
      <c r="AA2333" s="59">
        <f>IF($Y2333="","",IF(INDEX($D$6:$D$40000,$Y2333)="","",INDEX($D$6:$D$40000,$Y2333)))</f>
        <v/>
      </c>
      <c r="AB2333">
        <f>IF($Y2333="","",INDEX($L$6:$L$40000,$Y2333)&amp;"")</f>
        <v/>
      </c>
    </row>
    <row r="2334">
      <c r="Y2334" s="47">
        <f>IFERROR(MATCH(Library!M2334,$M$6:$M$40000,0),"")</f>
        <v/>
      </c>
      <c r="Z2334">
        <f>IF($Y2334="","",INDEX($C$6:$C$40000,$Y2334)&amp;"")</f>
        <v/>
      </c>
      <c r="AA2334" s="59">
        <f>IF($Y2334="","",IF(INDEX($D$6:$D$40000,$Y2334)="","",INDEX($D$6:$D$40000,$Y2334)))</f>
        <v/>
      </c>
      <c r="AB2334">
        <f>IF($Y2334="","",INDEX($L$6:$L$40000,$Y2334)&amp;"")</f>
        <v/>
      </c>
    </row>
    <row r="2335">
      <c r="Y2335" s="47">
        <f>IFERROR(MATCH(Library!M2335,$M$6:$M$40000,0),"")</f>
        <v/>
      </c>
      <c r="Z2335">
        <f>IF($Y2335="","",INDEX($C$6:$C$40000,$Y2335)&amp;"")</f>
        <v/>
      </c>
      <c r="AA2335" s="59">
        <f>IF($Y2335="","",IF(INDEX($D$6:$D$40000,$Y2335)="","",INDEX($D$6:$D$40000,$Y2335)))</f>
        <v/>
      </c>
      <c r="AB2335">
        <f>IF($Y2335="","",INDEX($L$6:$L$40000,$Y2335)&amp;"")</f>
        <v/>
      </c>
    </row>
    <row r="2336">
      <c r="Y2336" s="47">
        <f>IFERROR(MATCH(Library!M2336,$M$6:$M$40000,0),"")</f>
        <v/>
      </c>
      <c r="Z2336">
        <f>IF($Y2336="","",INDEX($C$6:$C$40000,$Y2336)&amp;"")</f>
        <v/>
      </c>
      <c r="AA2336" s="59">
        <f>IF($Y2336="","",IF(INDEX($D$6:$D$40000,$Y2336)="","",INDEX($D$6:$D$40000,$Y2336)))</f>
        <v/>
      </c>
      <c r="AB2336">
        <f>IF($Y2336="","",INDEX($L$6:$L$40000,$Y2336)&amp;"")</f>
        <v/>
      </c>
    </row>
    <row r="2337">
      <c r="Y2337" s="47">
        <f>IFERROR(MATCH(Library!M2337,$M$6:$M$40000,0),"")</f>
        <v/>
      </c>
      <c r="Z2337">
        <f>IF($Y2337="","",INDEX($C$6:$C$40000,$Y2337)&amp;"")</f>
        <v/>
      </c>
      <c r="AA2337" s="59">
        <f>IF($Y2337="","",IF(INDEX($D$6:$D$40000,$Y2337)="","",INDEX($D$6:$D$40000,$Y2337)))</f>
        <v/>
      </c>
      <c r="AB2337">
        <f>IF($Y2337="","",INDEX($L$6:$L$40000,$Y2337)&amp;"")</f>
        <v/>
      </c>
    </row>
    <row r="2338">
      <c r="Y2338" s="47">
        <f>IFERROR(MATCH(Library!M2338,$M$6:$M$40000,0),"")</f>
        <v/>
      </c>
      <c r="Z2338">
        <f>IF($Y2338="","",INDEX($C$6:$C$40000,$Y2338)&amp;"")</f>
        <v/>
      </c>
      <c r="AA2338" s="59">
        <f>IF($Y2338="","",IF(INDEX($D$6:$D$40000,$Y2338)="","",INDEX($D$6:$D$40000,$Y2338)))</f>
        <v/>
      </c>
      <c r="AB2338">
        <f>IF($Y2338="","",INDEX($L$6:$L$40000,$Y2338)&amp;"")</f>
        <v/>
      </c>
    </row>
    <row r="2339">
      <c r="Y2339" s="47">
        <f>IFERROR(MATCH(Library!M2339,$M$6:$M$40000,0),"")</f>
        <v/>
      </c>
      <c r="Z2339">
        <f>IF($Y2339="","",INDEX($C$6:$C$40000,$Y2339)&amp;"")</f>
        <v/>
      </c>
      <c r="AA2339" s="59">
        <f>IF($Y2339="","",IF(INDEX($D$6:$D$40000,$Y2339)="","",INDEX($D$6:$D$40000,$Y2339)))</f>
        <v/>
      </c>
      <c r="AB2339">
        <f>IF($Y2339="","",INDEX($L$6:$L$40000,$Y2339)&amp;"")</f>
        <v/>
      </c>
    </row>
    <row r="2340">
      <c r="Y2340" s="47">
        <f>IFERROR(MATCH(Library!M2340,$M$6:$M$40000,0),"")</f>
        <v/>
      </c>
      <c r="Z2340">
        <f>IF($Y2340="","",INDEX($C$6:$C$40000,$Y2340)&amp;"")</f>
        <v/>
      </c>
      <c r="AA2340" s="59">
        <f>IF($Y2340="","",IF(INDEX($D$6:$D$40000,$Y2340)="","",INDEX($D$6:$D$40000,$Y2340)))</f>
        <v/>
      </c>
      <c r="AB2340">
        <f>IF($Y2340="","",INDEX($L$6:$L$40000,$Y2340)&amp;"")</f>
        <v/>
      </c>
    </row>
    <row r="2341">
      <c r="Y2341" s="47">
        <f>IFERROR(MATCH(Library!M2341,$M$6:$M$40000,0),"")</f>
        <v/>
      </c>
      <c r="Z2341">
        <f>IF($Y2341="","",INDEX($C$6:$C$40000,$Y2341)&amp;"")</f>
        <v/>
      </c>
      <c r="AA2341" s="59">
        <f>IF($Y2341="","",IF(INDEX($D$6:$D$40000,$Y2341)="","",INDEX($D$6:$D$40000,$Y2341)))</f>
        <v/>
      </c>
      <c r="AB2341">
        <f>IF($Y2341="","",INDEX($L$6:$L$40000,$Y2341)&amp;"")</f>
        <v/>
      </c>
    </row>
    <row r="2342">
      <c r="Y2342" s="47">
        <f>IFERROR(MATCH(Library!M2342,$M$6:$M$40000,0),"")</f>
        <v/>
      </c>
      <c r="Z2342">
        <f>IF($Y2342="","",INDEX($C$6:$C$40000,$Y2342)&amp;"")</f>
        <v/>
      </c>
      <c r="AA2342" s="59">
        <f>IF($Y2342="","",IF(INDEX($D$6:$D$40000,$Y2342)="","",INDEX($D$6:$D$40000,$Y2342)))</f>
        <v/>
      </c>
      <c r="AB2342">
        <f>IF($Y2342="","",INDEX($L$6:$L$40000,$Y2342)&amp;"")</f>
        <v/>
      </c>
    </row>
    <row r="2343">
      <c r="Y2343" s="47">
        <f>IFERROR(MATCH(Library!M2343,$M$6:$M$40000,0),"")</f>
        <v/>
      </c>
      <c r="Z2343">
        <f>IF($Y2343="","",INDEX($C$6:$C$40000,$Y2343)&amp;"")</f>
        <v/>
      </c>
      <c r="AA2343" s="59">
        <f>IF($Y2343="","",IF(INDEX($D$6:$D$40000,$Y2343)="","",INDEX($D$6:$D$40000,$Y2343)))</f>
        <v/>
      </c>
      <c r="AB2343">
        <f>IF($Y2343="","",INDEX($L$6:$L$40000,$Y2343)&amp;"")</f>
        <v/>
      </c>
    </row>
    <row r="2344">
      <c r="Y2344" s="47">
        <f>IFERROR(MATCH(Library!M2344,$M$6:$M$40000,0),"")</f>
        <v/>
      </c>
      <c r="Z2344">
        <f>IF($Y2344="","",INDEX($C$6:$C$40000,$Y2344)&amp;"")</f>
        <v/>
      </c>
      <c r="AA2344" s="59">
        <f>IF($Y2344="","",IF(INDEX($D$6:$D$40000,$Y2344)="","",INDEX($D$6:$D$40000,$Y2344)))</f>
        <v/>
      </c>
      <c r="AB2344">
        <f>IF($Y2344="","",INDEX($L$6:$L$40000,$Y2344)&amp;"")</f>
        <v/>
      </c>
    </row>
    <row r="2345">
      <c r="Y2345" s="47">
        <f>IFERROR(MATCH(Library!M2345,$M$6:$M$40000,0),"")</f>
        <v/>
      </c>
      <c r="Z2345">
        <f>IF($Y2345="","",INDEX($C$6:$C$40000,$Y2345)&amp;"")</f>
        <v/>
      </c>
      <c r="AA2345" s="59">
        <f>IF($Y2345="","",IF(INDEX($D$6:$D$40000,$Y2345)="","",INDEX($D$6:$D$40000,$Y2345)))</f>
        <v/>
      </c>
      <c r="AB2345">
        <f>IF($Y2345="","",INDEX($L$6:$L$40000,$Y2345)&amp;"")</f>
        <v/>
      </c>
    </row>
    <row r="2346">
      <c r="Y2346" s="47">
        <f>IFERROR(MATCH(Library!M2346,$M$6:$M$40000,0),"")</f>
        <v/>
      </c>
      <c r="Z2346">
        <f>IF($Y2346="","",INDEX($C$6:$C$40000,$Y2346)&amp;"")</f>
        <v/>
      </c>
      <c r="AA2346" s="59">
        <f>IF($Y2346="","",IF(INDEX($D$6:$D$40000,$Y2346)="","",INDEX($D$6:$D$40000,$Y2346)))</f>
        <v/>
      </c>
      <c r="AB2346">
        <f>IF($Y2346="","",INDEX($L$6:$L$40000,$Y2346)&amp;"")</f>
        <v/>
      </c>
    </row>
    <row r="2347">
      <c r="Y2347" s="47">
        <f>IFERROR(MATCH(Library!M2347,$M$6:$M$40000,0),"")</f>
        <v/>
      </c>
      <c r="Z2347">
        <f>IF($Y2347="","",INDEX($C$6:$C$40000,$Y2347)&amp;"")</f>
        <v/>
      </c>
      <c r="AA2347" s="59">
        <f>IF($Y2347="","",IF(INDEX($D$6:$D$40000,$Y2347)="","",INDEX($D$6:$D$40000,$Y2347)))</f>
        <v/>
      </c>
      <c r="AB2347">
        <f>IF($Y2347="","",INDEX($L$6:$L$40000,$Y2347)&amp;"")</f>
        <v/>
      </c>
    </row>
    <row r="2348">
      <c r="Y2348" s="47">
        <f>IFERROR(MATCH(Library!M2348,$M$6:$M$40000,0),"")</f>
        <v/>
      </c>
      <c r="Z2348">
        <f>IF($Y2348="","",INDEX($C$6:$C$40000,$Y2348)&amp;"")</f>
        <v/>
      </c>
      <c r="AA2348" s="59">
        <f>IF($Y2348="","",IF(INDEX($D$6:$D$40000,$Y2348)="","",INDEX($D$6:$D$40000,$Y2348)))</f>
        <v/>
      </c>
      <c r="AB2348">
        <f>IF($Y2348="","",INDEX($L$6:$L$40000,$Y2348)&amp;"")</f>
        <v/>
      </c>
    </row>
    <row r="2349">
      <c r="Y2349" s="47">
        <f>IFERROR(MATCH(Library!M2349,$M$6:$M$40000,0),"")</f>
        <v/>
      </c>
      <c r="Z2349">
        <f>IF($Y2349="","",INDEX($C$6:$C$40000,$Y2349)&amp;"")</f>
        <v/>
      </c>
      <c r="AA2349" s="59">
        <f>IF($Y2349="","",IF(INDEX($D$6:$D$40000,$Y2349)="","",INDEX($D$6:$D$40000,$Y2349)))</f>
        <v/>
      </c>
      <c r="AB2349">
        <f>IF($Y2349="","",INDEX($L$6:$L$40000,$Y2349)&amp;"")</f>
        <v/>
      </c>
    </row>
    <row r="2350">
      <c r="Y2350" s="47">
        <f>IFERROR(MATCH(Library!M2350,$M$6:$M$40000,0),"")</f>
        <v/>
      </c>
      <c r="Z2350">
        <f>IF($Y2350="","",INDEX($C$6:$C$40000,$Y2350)&amp;"")</f>
        <v/>
      </c>
      <c r="AA2350" s="59">
        <f>IF($Y2350="","",IF(INDEX($D$6:$D$40000,$Y2350)="","",INDEX($D$6:$D$40000,$Y2350)))</f>
        <v/>
      </c>
      <c r="AB2350">
        <f>IF($Y2350="","",INDEX($L$6:$L$40000,$Y2350)&amp;"")</f>
        <v/>
      </c>
    </row>
    <row r="2351">
      <c r="Y2351" s="47">
        <f>IFERROR(MATCH(Library!M2351,$M$6:$M$40000,0),"")</f>
        <v/>
      </c>
      <c r="Z2351">
        <f>IF($Y2351="","",INDEX($C$6:$C$40000,$Y2351)&amp;"")</f>
        <v/>
      </c>
      <c r="AA2351" s="59">
        <f>IF($Y2351="","",IF(INDEX($D$6:$D$40000,$Y2351)="","",INDEX($D$6:$D$40000,$Y2351)))</f>
        <v/>
      </c>
      <c r="AB2351">
        <f>IF($Y2351="","",INDEX($L$6:$L$40000,$Y2351)&amp;"")</f>
        <v/>
      </c>
    </row>
    <row r="2352">
      <c r="Y2352" s="47">
        <f>IFERROR(MATCH(Library!M2352,$M$6:$M$40000,0),"")</f>
        <v/>
      </c>
      <c r="Z2352">
        <f>IF($Y2352="","",INDEX($C$6:$C$40000,$Y2352)&amp;"")</f>
        <v/>
      </c>
      <c r="AA2352" s="59">
        <f>IF($Y2352="","",IF(INDEX($D$6:$D$40000,$Y2352)="","",INDEX($D$6:$D$40000,$Y2352)))</f>
        <v/>
      </c>
      <c r="AB2352">
        <f>IF($Y2352="","",INDEX($L$6:$L$40000,$Y2352)&amp;"")</f>
        <v/>
      </c>
    </row>
    <row r="2353">
      <c r="Y2353" s="47">
        <f>IFERROR(MATCH(Library!M2353,$M$6:$M$40000,0),"")</f>
        <v/>
      </c>
      <c r="Z2353">
        <f>IF($Y2353="","",INDEX($C$6:$C$40000,$Y2353)&amp;"")</f>
        <v/>
      </c>
      <c r="AA2353" s="59">
        <f>IF($Y2353="","",IF(INDEX($D$6:$D$40000,$Y2353)="","",INDEX($D$6:$D$40000,$Y2353)))</f>
        <v/>
      </c>
      <c r="AB2353">
        <f>IF($Y2353="","",INDEX($L$6:$L$40000,$Y2353)&amp;"")</f>
        <v/>
      </c>
    </row>
    <row r="2354">
      <c r="Y2354" s="47">
        <f>IFERROR(MATCH(Library!M2354,$M$6:$M$40000,0),"")</f>
        <v/>
      </c>
      <c r="Z2354">
        <f>IF($Y2354="","",INDEX($C$6:$C$40000,$Y2354)&amp;"")</f>
        <v/>
      </c>
      <c r="AA2354" s="59">
        <f>IF($Y2354="","",IF(INDEX($D$6:$D$40000,$Y2354)="","",INDEX($D$6:$D$40000,$Y2354)))</f>
        <v/>
      </c>
      <c r="AB2354">
        <f>IF($Y2354="","",INDEX($L$6:$L$40000,$Y2354)&amp;"")</f>
        <v/>
      </c>
    </row>
    <row r="2355">
      <c r="Y2355" s="47">
        <f>IFERROR(MATCH(Library!M2355,$M$6:$M$40000,0),"")</f>
        <v/>
      </c>
      <c r="Z2355">
        <f>IF($Y2355="","",INDEX($C$6:$C$40000,$Y2355)&amp;"")</f>
        <v/>
      </c>
      <c r="AA2355" s="59">
        <f>IF($Y2355="","",IF(INDEX($D$6:$D$40000,$Y2355)="","",INDEX($D$6:$D$40000,$Y2355)))</f>
        <v/>
      </c>
      <c r="AB2355">
        <f>IF($Y2355="","",INDEX($L$6:$L$40000,$Y2355)&amp;"")</f>
        <v/>
      </c>
    </row>
    <row r="2356">
      <c r="Y2356" s="47">
        <f>IFERROR(MATCH(Library!M2356,$M$6:$M$40000,0),"")</f>
        <v/>
      </c>
      <c r="Z2356">
        <f>IF($Y2356="","",INDEX($C$6:$C$40000,$Y2356)&amp;"")</f>
        <v/>
      </c>
      <c r="AA2356" s="59">
        <f>IF($Y2356="","",IF(INDEX($D$6:$D$40000,$Y2356)="","",INDEX($D$6:$D$40000,$Y2356)))</f>
        <v/>
      </c>
      <c r="AB2356">
        <f>IF($Y2356="","",INDEX($L$6:$L$40000,$Y2356)&amp;"")</f>
        <v/>
      </c>
    </row>
    <row r="2357">
      <c r="Y2357" s="47">
        <f>IFERROR(MATCH(Library!M2357,$M$6:$M$40000,0),"")</f>
        <v/>
      </c>
      <c r="Z2357">
        <f>IF($Y2357="","",INDEX($C$6:$C$40000,$Y2357)&amp;"")</f>
        <v/>
      </c>
      <c r="AA2357" s="59">
        <f>IF($Y2357="","",IF(INDEX($D$6:$D$40000,$Y2357)="","",INDEX($D$6:$D$40000,$Y2357)))</f>
        <v/>
      </c>
      <c r="AB2357">
        <f>IF($Y2357="","",INDEX($L$6:$L$40000,$Y2357)&amp;"")</f>
        <v/>
      </c>
    </row>
    <row r="2358">
      <c r="Y2358" s="47">
        <f>IFERROR(MATCH(Library!M2358,$M$6:$M$40000,0),"")</f>
        <v/>
      </c>
      <c r="Z2358">
        <f>IF($Y2358="","",INDEX($C$6:$C$40000,$Y2358)&amp;"")</f>
        <v/>
      </c>
      <c r="AA2358" s="59">
        <f>IF($Y2358="","",IF(INDEX($D$6:$D$40000,$Y2358)="","",INDEX($D$6:$D$40000,$Y2358)))</f>
        <v/>
      </c>
      <c r="AB2358">
        <f>IF($Y2358="","",INDEX($L$6:$L$40000,$Y2358)&amp;"")</f>
        <v/>
      </c>
    </row>
    <row r="2359">
      <c r="Y2359" s="47">
        <f>IFERROR(MATCH(Library!M2359,$M$6:$M$40000,0),"")</f>
        <v/>
      </c>
      <c r="Z2359">
        <f>IF($Y2359="","",INDEX($C$6:$C$40000,$Y2359)&amp;"")</f>
        <v/>
      </c>
      <c r="AA2359" s="59">
        <f>IF($Y2359="","",IF(INDEX($D$6:$D$40000,$Y2359)="","",INDEX($D$6:$D$40000,$Y2359)))</f>
        <v/>
      </c>
      <c r="AB2359">
        <f>IF($Y2359="","",INDEX($L$6:$L$40000,$Y2359)&amp;"")</f>
        <v/>
      </c>
    </row>
    <row r="2360">
      <c r="Y2360" s="47">
        <f>IFERROR(MATCH(Library!M2360,$M$6:$M$40000,0),"")</f>
        <v/>
      </c>
      <c r="Z2360">
        <f>IF($Y2360="","",INDEX($C$6:$C$40000,$Y2360)&amp;"")</f>
        <v/>
      </c>
      <c r="AA2360" s="59">
        <f>IF($Y2360="","",IF(INDEX($D$6:$D$40000,$Y2360)="","",INDEX($D$6:$D$40000,$Y2360)))</f>
        <v/>
      </c>
      <c r="AB2360">
        <f>IF($Y2360="","",INDEX($L$6:$L$40000,$Y2360)&amp;"")</f>
        <v/>
      </c>
    </row>
    <row r="2361">
      <c r="Y2361" s="47">
        <f>IFERROR(MATCH(Library!M2361,$M$6:$M$40000,0),"")</f>
        <v/>
      </c>
      <c r="Z2361">
        <f>IF($Y2361="","",INDEX($C$6:$C$40000,$Y2361)&amp;"")</f>
        <v/>
      </c>
      <c r="AA2361" s="59">
        <f>IF($Y2361="","",IF(INDEX($D$6:$D$40000,$Y2361)="","",INDEX($D$6:$D$40000,$Y2361)))</f>
        <v/>
      </c>
      <c r="AB2361">
        <f>IF($Y2361="","",INDEX($L$6:$L$40000,$Y2361)&amp;"")</f>
        <v/>
      </c>
    </row>
    <row r="2362">
      <c r="Y2362" s="47">
        <f>IFERROR(MATCH(Library!M2362,$M$6:$M$40000,0),"")</f>
        <v/>
      </c>
      <c r="Z2362">
        <f>IF($Y2362="","",INDEX($C$6:$C$40000,$Y2362)&amp;"")</f>
        <v/>
      </c>
      <c r="AA2362" s="59">
        <f>IF($Y2362="","",IF(INDEX($D$6:$D$40000,$Y2362)="","",INDEX($D$6:$D$40000,$Y2362)))</f>
        <v/>
      </c>
      <c r="AB2362">
        <f>IF($Y2362="","",INDEX($L$6:$L$40000,$Y2362)&amp;"")</f>
        <v/>
      </c>
    </row>
    <row r="2363">
      <c r="Y2363" s="47">
        <f>IFERROR(MATCH(Library!M2363,$M$6:$M$40000,0),"")</f>
        <v/>
      </c>
      <c r="Z2363">
        <f>IF($Y2363="","",INDEX($C$6:$C$40000,$Y2363)&amp;"")</f>
        <v/>
      </c>
      <c r="AA2363" s="59">
        <f>IF($Y2363="","",IF(INDEX($D$6:$D$40000,$Y2363)="","",INDEX($D$6:$D$40000,$Y2363)))</f>
        <v/>
      </c>
      <c r="AB2363">
        <f>IF($Y2363="","",INDEX($L$6:$L$40000,$Y2363)&amp;"")</f>
        <v/>
      </c>
    </row>
    <row r="2364">
      <c r="Y2364" s="47">
        <f>IFERROR(MATCH(Library!M2364,$M$6:$M$40000,0),"")</f>
        <v/>
      </c>
      <c r="Z2364">
        <f>IF($Y2364="","",INDEX($C$6:$C$40000,$Y2364)&amp;"")</f>
        <v/>
      </c>
      <c r="AA2364" s="59">
        <f>IF($Y2364="","",IF(INDEX($D$6:$D$40000,$Y2364)="","",INDEX($D$6:$D$40000,$Y2364)))</f>
        <v/>
      </c>
      <c r="AB2364">
        <f>IF($Y2364="","",INDEX($L$6:$L$40000,$Y2364)&amp;"")</f>
        <v/>
      </c>
    </row>
    <row r="2365">
      <c r="Y2365" s="47">
        <f>IFERROR(MATCH(Library!M2365,$M$6:$M$40000,0),"")</f>
        <v/>
      </c>
      <c r="Z2365">
        <f>IF($Y2365="","",INDEX($C$6:$C$40000,$Y2365)&amp;"")</f>
        <v/>
      </c>
      <c r="AA2365" s="59">
        <f>IF($Y2365="","",IF(INDEX($D$6:$D$40000,$Y2365)="","",INDEX($D$6:$D$40000,$Y2365)))</f>
        <v/>
      </c>
      <c r="AB2365">
        <f>IF($Y2365="","",INDEX($L$6:$L$40000,$Y2365)&amp;"")</f>
        <v/>
      </c>
    </row>
    <row r="2366">
      <c r="Y2366" s="47">
        <f>IFERROR(MATCH(Library!M2366,$M$6:$M$40000,0),"")</f>
        <v/>
      </c>
      <c r="Z2366">
        <f>IF($Y2366="","",INDEX($C$6:$C$40000,$Y2366)&amp;"")</f>
        <v/>
      </c>
      <c r="AA2366" s="59">
        <f>IF($Y2366="","",IF(INDEX($D$6:$D$40000,$Y2366)="","",INDEX($D$6:$D$40000,$Y2366)))</f>
        <v/>
      </c>
      <c r="AB2366">
        <f>IF($Y2366="","",INDEX($L$6:$L$40000,$Y2366)&amp;"")</f>
        <v/>
      </c>
    </row>
    <row r="2367">
      <c r="Y2367" s="47">
        <f>IFERROR(MATCH(Library!M2367,$M$6:$M$40000,0),"")</f>
        <v/>
      </c>
      <c r="Z2367">
        <f>IF($Y2367="","",INDEX($C$6:$C$40000,$Y2367)&amp;"")</f>
        <v/>
      </c>
      <c r="AA2367" s="59">
        <f>IF($Y2367="","",IF(INDEX($D$6:$D$40000,$Y2367)="","",INDEX($D$6:$D$40000,$Y2367)))</f>
        <v/>
      </c>
      <c r="AB2367">
        <f>IF($Y2367="","",INDEX($L$6:$L$40000,$Y2367)&amp;"")</f>
        <v/>
      </c>
    </row>
    <row r="2368">
      <c r="Y2368" s="47">
        <f>IFERROR(MATCH(Library!M2368,$M$6:$M$40000,0),"")</f>
        <v/>
      </c>
      <c r="Z2368">
        <f>IF($Y2368="","",INDEX($C$6:$C$40000,$Y2368)&amp;"")</f>
        <v/>
      </c>
      <c r="AA2368" s="59">
        <f>IF($Y2368="","",IF(INDEX($D$6:$D$40000,$Y2368)="","",INDEX($D$6:$D$40000,$Y2368)))</f>
        <v/>
      </c>
      <c r="AB2368">
        <f>IF($Y2368="","",INDEX($L$6:$L$40000,$Y2368)&amp;"")</f>
        <v/>
      </c>
    </row>
    <row r="2369">
      <c r="Y2369" s="47">
        <f>IFERROR(MATCH(Library!M2369,$M$6:$M$40000,0),"")</f>
        <v/>
      </c>
      <c r="Z2369">
        <f>IF($Y2369="","",INDEX($C$6:$C$40000,$Y2369)&amp;"")</f>
        <v/>
      </c>
      <c r="AA2369" s="59">
        <f>IF($Y2369="","",IF(INDEX($D$6:$D$40000,$Y2369)="","",INDEX($D$6:$D$40000,$Y2369)))</f>
        <v/>
      </c>
      <c r="AB2369">
        <f>IF($Y2369="","",INDEX($L$6:$L$40000,$Y2369)&amp;"")</f>
        <v/>
      </c>
    </row>
    <row r="2370">
      <c r="Y2370" s="47">
        <f>IFERROR(MATCH(Library!M2370,$M$6:$M$40000,0),"")</f>
        <v/>
      </c>
      <c r="Z2370">
        <f>IF($Y2370="","",INDEX($C$6:$C$40000,$Y2370)&amp;"")</f>
        <v/>
      </c>
      <c r="AA2370" s="59">
        <f>IF($Y2370="","",IF(INDEX($D$6:$D$40000,$Y2370)="","",INDEX($D$6:$D$40000,$Y2370)))</f>
        <v/>
      </c>
      <c r="AB2370">
        <f>IF($Y2370="","",INDEX($L$6:$L$40000,$Y2370)&amp;"")</f>
        <v/>
      </c>
    </row>
    <row r="2371">
      <c r="Y2371" s="47">
        <f>IFERROR(MATCH(Library!M2371,$M$6:$M$40000,0),"")</f>
        <v/>
      </c>
      <c r="Z2371">
        <f>IF($Y2371="","",INDEX($C$6:$C$40000,$Y2371)&amp;"")</f>
        <v/>
      </c>
      <c r="AA2371" s="59">
        <f>IF($Y2371="","",IF(INDEX($D$6:$D$40000,$Y2371)="","",INDEX($D$6:$D$40000,$Y2371)))</f>
        <v/>
      </c>
      <c r="AB2371">
        <f>IF($Y2371="","",INDEX($L$6:$L$40000,$Y2371)&amp;"")</f>
        <v/>
      </c>
    </row>
    <row r="2372">
      <c r="Y2372" s="47">
        <f>IFERROR(MATCH(Library!M2372,$M$6:$M$40000,0),"")</f>
        <v/>
      </c>
      <c r="Z2372">
        <f>IF($Y2372="","",INDEX($C$6:$C$40000,$Y2372)&amp;"")</f>
        <v/>
      </c>
      <c r="AA2372" s="59">
        <f>IF($Y2372="","",IF(INDEX($D$6:$D$40000,$Y2372)="","",INDEX($D$6:$D$40000,$Y2372)))</f>
        <v/>
      </c>
      <c r="AB2372">
        <f>IF($Y2372="","",INDEX($L$6:$L$40000,$Y2372)&amp;"")</f>
        <v/>
      </c>
    </row>
    <row r="2373">
      <c r="Y2373" s="47">
        <f>IFERROR(MATCH(Library!M2373,$M$6:$M$40000,0),"")</f>
        <v/>
      </c>
      <c r="Z2373">
        <f>IF($Y2373="","",INDEX($C$6:$C$40000,$Y2373)&amp;"")</f>
        <v/>
      </c>
      <c r="AA2373" s="59">
        <f>IF($Y2373="","",IF(INDEX($D$6:$D$40000,$Y2373)="","",INDEX($D$6:$D$40000,$Y2373)))</f>
        <v/>
      </c>
      <c r="AB2373">
        <f>IF($Y2373="","",INDEX($L$6:$L$40000,$Y2373)&amp;"")</f>
        <v/>
      </c>
    </row>
    <row r="2374">
      <c r="Y2374" s="47">
        <f>IFERROR(MATCH(Library!M2374,$M$6:$M$40000,0),"")</f>
        <v/>
      </c>
      <c r="Z2374">
        <f>IF($Y2374="","",INDEX($C$6:$C$40000,$Y2374)&amp;"")</f>
        <v/>
      </c>
      <c r="AA2374" s="59">
        <f>IF($Y2374="","",IF(INDEX($D$6:$D$40000,$Y2374)="","",INDEX($D$6:$D$40000,$Y2374)))</f>
        <v/>
      </c>
      <c r="AB2374">
        <f>IF($Y2374="","",INDEX($L$6:$L$40000,$Y2374)&amp;"")</f>
        <v/>
      </c>
    </row>
    <row r="2375">
      <c r="Y2375" s="47">
        <f>IFERROR(MATCH(Library!M2375,$M$6:$M$40000,0),"")</f>
        <v/>
      </c>
      <c r="Z2375">
        <f>IF($Y2375="","",INDEX($C$6:$C$40000,$Y2375)&amp;"")</f>
        <v/>
      </c>
      <c r="AA2375" s="59">
        <f>IF($Y2375="","",IF(INDEX($D$6:$D$40000,$Y2375)="","",INDEX($D$6:$D$40000,$Y2375)))</f>
        <v/>
      </c>
      <c r="AB2375">
        <f>IF($Y2375="","",INDEX($L$6:$L$40000,$Y2375)&amp;"")</f>
        <v/>
      </c>
    </row>
    <row r="2376">
      <c r="Y2376" s="47">
        <f>IFERROR(MATCH(Library!M2376,$M$6:$M$40000,0),"")</f>
        <v/>
      </c>
      <c r="Z2376">
        <f>IF($Y2376="","",INDEX($C$6:$C$40000,$Y2376)&amp;"")</f>
        <v/>
      </c>
      <c r="AA2376" s="59">
        <f>IF($Y2376="","",IF(INDEX($D$6:$D$40000,$Y2376)="","",INDEX($D$6:$D$40000,$Y2376)))</f>
        <v/>
      </c>
      <c r="AB2376">
        <f>IF($Y2376="","",INDEX($L$6:$L$40000,$Y2376)&amp;"")</f>
        <v/>
      </c>
    </row>
    <row r="2377">
      <c r="Y2377" s="47">
        <f>IFERROR(MATCH(Library!M2377,$M$6:$M$40000,0),"")</f>
        <v/>
      </c>
      <c r="Z2377">
        <f>IF($Y2377="","",INDEX($C$6:$C$40000,$Y2377)&amp;"")</f>
        <v/>
      </c>
      <c r="AA2377" s="59">
        <f>IF($Y2377="","",IF(INDEX($D$6:$D$40000,$Y2377)="","",INDEX($D$6:$D$40000,$Y2377)))</f>
        <v/>
      </c>
      <c r="AB2377">
        <f>IF($Y2377="","",INDEX($L$6:$L$40000,$Y2377)&amp;"")</f>
        <v/>
      </c>
    </row>
    <row r="2378">
      <c r="Y2378" s="47">
        <f>IFERROR(MATCH(Library!M2378,$M$6:$M$40000,0),"")</f>
        <v/>
      </c>
      <c r="Z2378">
        <f>IF($Y2378="","",INDEX($C$6:$C$40000,$Y2378)&amp;"")</f>
        <v/>
      </c>
      <c r="AA2378" s="59">
        <f>IF($Y2378="","",IF(INDEX($D$6:$D$40000,$Y2378)="","",INDEX($D$6:$D$40000,$Y2378)))</f>
        <v/>
      </c>
      <c r="AB2378">
        <f>IF($Y2378="","",INDEX($L$6:$L$40000,$Y2378)&amp;"")</f>
        <v/>
      </c>
    </row>
    <row r="2379">
      <c r="Y2379" s="47">
        <f>IFERROR(MATCH(Library!M2379,$M$6:$M$40000,0),"")</f>
        <v/>
      </c>
      <c r="Z2379">
        <f>IF($Y2379="","",INDEX($C$6:$C$40000,$Y2379)&amp;"")</f>
        <v/>
      </c>
      <c r="AA2379" s="59">
        <f>IF($Y2379="","",IF(INDEX($D$6:$D$40000,$Y2379)="","",INDEX($D$6:$D$40000,$Y2379)))</f>
        <v/>
      </c>
      <c r="AB2379">
        <f>IF($Y2379="","",INDEX($L$6:$L$40000,$Y2379)&amp;"")</f>
        <v/>
      </c>
    </row>
    <row r="2380">
      <c r="Y2380" s="47">
        <f>IFERROR(MATCH(Library!M2380,$M$6:$M$40000,0),"")</f>
        <v/>
      </c>
      <c r="Z2380">
        <f>IF($Y2380="","",INDEX($C$6:$C$40000,$Y2380)&amp;"")</f>
        <v/>
      </c>
      <c r="AA2380" s="59">
        <f>IF($Y2380="","",IF(INDEX($D$6:$D$40000,$Y2380)="","",INDEX($D$6:$D$40000,$Y2380)))</f>
        <v/>
      </c>
      <c r="AB2380">
        <f>IF($Y2380="","",INDEX($L$6:$L$40000,$Y2380)&amp;"")</f>
        <v/>
      </c>
    </row>
    <row r="2381">
      <c r="Y2381" s="47">
        <f>IFERROR(MATCH(Library!M2381,$M$6:$M$40000,0),"")</f>
        <v/>
      </c>
      <c r="Z2381">
        <f>IF($Y2381="","",INDEX($C$6:$C$40000,$Y2381)&amp;"")</f>
        <v/>
      </c>
      <c r="AA2381" s="59">
        <f>IF($Y2381="","",IF(INDEX($D$6:$D$40000,$Y2381)="","",INDEX($D$6:$D$40000,$Y2381)))</f>
        <v/>
      </c>
      <c r="AB2381">
        <f>IF($Y2381="","",INDEX($L$6:$L$40000,$Y2381)&amp;"")</f>
        <v/>
      </c>
    </row>
    <row r="2382">
      <c r="Y2382" s="47">
        <f>IFERROR(MATCH(Library!M2382,$M$6:$M$40000,0),"")</f>
        <v/>
      </c>
      <c r="Z2382">
        <f>IF($Y2382="","",INDEX($C$6:$C$40000,$Y2382)&amp;"")</f>
        <v/>
      </c>
      <c r="AA2382" s="59">
        <f>IF($Y2382="","",IF(INDEX($D$6:$D$40000,$Y2382)="","",INDEX($D$6:$D$40000,$Y2382)))</f>
        <v/>
      </c>
      <c r="AB2382">
        <f>IF($Y2382="","",INDEX($L$6:$L$40000,$Y2382)&amp;"")</f>
        <v/>
      </c>
    </row>
    <row r="2383">
      <c r="Y2383" s="47">
        <f>IFERROR(MATCH(Library!M2383,$M$6:$M$40000,0),"")</f>
        <v/>
      </c>
      <c r="Z2383">
        <f>IF($Y2383="","",INDEX($C$6:$C$40000,$Y2383)&amp;"")</f>
        <v/>
      </c>
      <c r="AA2383" s="59">
        <f>IF($Y2383="","",IF(INDEX($D$6:$D$40000,$Y2383)="","",INDEX($D$6:$D$40000,$Y2383)))</f>
        <v/>
      </c>
      <c r="AB2383">
        <f>IF($Y2383="","",INDEX($L$6:$L$40000,$Y2383)&amp;"")</f>
        <v/>
      </c>
    </row>
    <row r="2384">
      <c r="Y2384" s="47">
        <f>IFERROR(MATCH(Library!M2384,$M$6:$M$40000,0),"")</f>
        <v/>
      </c>
      <c r="Z2384">
        <f>IF($Y2384="","",INDEX($C$6:$C$40000,$Y2384)&amp;"")</f>
        <v/>
      </c>
      <c r="AA2384" s="59">
        <f>IF($Y2384="","",IF(INDEX($D$6:$D$40000,$Y2384)="","",INDEX($D$6:$D$40000,$Y2384)))</f>
        <v/>
      </c>
      <c r="AB2384">
        <f>IF($Y2384="","",INDEX($L$6:$L$40000,$Y2384)&amp;"")</f>
        <v/>
      </c>
    </row>
    <row r="2385">
      <c r="Y2385" s="47">
        <f>IFERROR(MATCH(Library!M2385,$M$6:$M$40000,0),"")</f>
        <v/>
      </c>
      <c r="Z2385">
        <f>IF($Y2385="","",INDEX($C$6:$C$40000,$Y2385)&amp;"")</f>
        <v/>
      </c>
      <c r="AA2385" s="59">
        <f>IF($Y2385="","",IF(INDEX($D$6:$D$40000,$Y2385)="","",INDEX($D$6:$D$40000,$Y2385)))</f>
        <v/>
      </c>
      <c r="AB2385">
        <f>IF($Y2385="","",INDEX($L$6:$L$40000,$Y2385)&amp;"")</f>
        <v/>
      </c>
    </row>
    <row r="2386">
      <c r="Y2386" s="47">
        <f>IFERROR(MATCH(Library!M2386,$M$6:$M$40000,0),"")</f>
        <v/>
      </c>
      <c r="Z2386">
        <f>IF($Y2386="","",INDEX($C$6:$C$40000,$Y2386)&amp;"")</f>
        <v/>
      </c>
      <c r="AA2386" s="59">
        <f>IF($Y2386="","",IF(INDEX($D$6:$D$40000,$Y2386)="","",INDEX($D$6:$D$40000,$Y2386)))</f>
        <v/>
      </c>
      <c r="AB2386">
        <f>IF($Y2386="","",INDEX($L$6:$L$40000,$Y2386)&amp;"")</f>
        <v/>
      </c>
    </row>
    <row r="2387">
      <c r="Y2387" s="47">
        <f>IFERROR(MATCH(Library!M2387,$M$6:$M$40000,0),"")</f>
        <v/>
      </c>
      <c r="Z2387">
        <f>IF($Y2387="","",INDEX($C$6:$C$40000,$Y2387)&amp;"")</f>
        <v/>
      </c>
      <c r="AA2387" s="59">
        <f>IF($Y2387="","",IF(INDEX($D$6:$D$40000,$Y2387)="","",INDEX($D$6:$D$40000,$Y2387)))</f>
        <v/>
      </c>
      <c r="AB2387">
        <f>IF($Y2387="","",INDEX($L$6:$L$40000,$Y2387)&amp;"")</f>
        <v/>
      </c>
    </row>
    <row r="2388">
      <c r="Y2388" s="47">
        <f>IFERROR(MATCH(Library!M2388,$M$6:$M$40000,0),"")</f>
        <v/>
      </c>
      <c r="Z2388">
        <f>IF($Y2388="","",INDEX($C$6:$C$40000,$Y2388)&amp;"")</f>
        <v/>
      </c>
      <c r="AA2388" s="59">
        <f>IF($Y2388="","",IF(INDEX($D$6:$D$40000,$Y2388)="","",INDEX($D$6:$D$40000,$Y2388)))</f>
        <v/>
      </c>
      <c r="AB2388">
        <f>IF($Y2388="","",INDEX($L$6:$L$40000,$Y2388)&amp;"")</f>
        <v/>
      </c>
    </row>
    <row r="2389">
      <c r="Y2389" s="47">
        <f>IFERROR(MATCH(Library!M2389,$M$6:$M$40000,0),"")</f>
        <v/>
      </c>
      <c r="Z2389">
        <f>IF($Y2389="","",INDEX($C$6:$C$40000,$Y2389)&amp;"")</f>
        <v/>
      </c>
      <c r="AA2389" s="59">
        <f>IF($Y2389="","",IF(INDEX($D$6:$D$40000,$Y2389)="","",INDEX($D$6:$D$40000,$Y2389)))</f>
        <v/>
      </c>
      <c r="AB2389">
        <f>IF($Y2389="","",INDEX($L$6:$L$40000,$Y2389)&amp;"")</f>
        <v/>
      </c>
    </row>
    <row r="2390">
      <c r="Y2390" s="47">
        <f>IFERROR(MATCH(Library!M2390,$M$6:$M$40000,0),"")</f>
        <v/>
      </c>
      <c r="Z2390">
        <f>IF($Y2390="","",INDEX($C$6:$C$40000,$Y2390)&amp;"")</f>
        <v/>
      </c>
      <c r="AA2390" s="59">
        <f>IF($Y2390="","",IF(INDEX($D$6:$D$40000,$Y2390)="","",INDEX($D$6:$D$40000,$Y2390)))</f>
        <v/>
      </c>
      <c r="AB2390">
        <f>IF($Y2390="","",INDEX($L$6:$L$40000,$Y2390)&amp;"")</f>
        <v/>
      </c>
    </row>
    <row r="2391">
      <c r="Y2391" s="47">
        <f>IFERROR(MATCH(Library!M2391,$M$6:$M$40000,0),"")</f>
        <v/>
      </c>
      <c r="Z2391">
        <f>IF($Y2391="","",INDEX($C$6:$C$40000,$Y2391)&amp;"")</f>
        <v/>
      </c>
      <c r="AA2391" s="59">
        <f>IF($Y2391="","",IF(INDEX($D$6:$D$40000,$Y2391)="","",INDEX($D$6:$D$40000,$Y2391)))</f>
        <v/>
      </c>
      <c r="AB2391">
        <f>IF($Y2391="","",INDEX($L$6:$L$40000,$Y2391)&amp;"")</f>
        <v/>
      </c>
    </row>
    <row r="2392">
      <c r="Y2392" s="47">
        <f>IFERROR(MATCH(Library!M2392,$M$6:$M$40000,0),"")</f>
        <v/>
      </c>
      <c r="Z2392">
        <f>IF($Y2392="","",INDEX($C$6:$C$40000,$Y2392)&amp;"")</f>
        <v/>
      </c>
      <c r="AA2392" s="59">
        <f>IF($Y2392="","",IF(INDEX($D$6:$D$40000,$Y2392)="","",INDEX($D$6:$D$40000,$Y2392)))</f>
        <v/>
      </c>
      <c r="AB2392">
        <f>IF($Y2392="","",INDEX($L$6:$L$40000,$Y2392)&amp;"")</f>
        <v/>
      </c>
    </row>
    <row r="2393">
      <c r="Y2393" s="47">
        <f>IFERROR(MATCH(Library!M2393,$M$6:$M$40000,0),"")</f>
        <v/>
      </c>
      <c r="Z2393">
        <f>IF($Y2393="","",INDEX($C$6:$C$40000,$Y2393)&amp;"")</f>
        <v/>
      </c>
      <c r="AA2393" s="59">
        <f>IF($Y2393="","",IF(INDEX($D$6:$D$40000,$Y2393)="","",INDEX($D$6:$D$40000,$Y2393)))</f>
        <v/>
      </c>
      <c r="AB2393">
        <f>IF($Y2393="","",INDEX($L$6:$L$40000,$Y2393)&amp;"")</f>
        <v/>
      </c>
    </row>
    <row r="2394">
      <c r="Y2394" s="47">
        <f>IFERROR(MATCH(Library!M2394,$M$6:$M$40000,0),"")</f>
        <v/>
      </c>
      <c r="Z2394">
        <f>IF($Y2394="","",INDEX($C$6:$C$40000,$Y2394)&amp;"")</f>
        <v/>
      </c>
      <c r="AA2394" s="59">
        <f>IF($Y2394="","",IF(INDEX($D$6:$D$40000,$Y2394)="","",INDEX($D$6:$D$40000,$Y2394)))</f>
        <v/>
      </c>
      <c r="AB2394">
        <f>IF($Y2394="","",INDEX($L$6:$L$40000,$Y2394)&amp;"")</f>
        <v/>
      </c>
    </row>
    <row r="2395">
      <c r="Y2395" s="47">
        <f>IFERROR(MATCH(Library!M2395,$M$6:$M$40000,0),"")</f>
        <v/>
      </c>
      <c r="Z2395">
        <f>IF($Y2395="","",INDEX($C$6:$C$40000,$Y2395)&amp;"")</f>
        <v/>
      </c>
      <c r="AA2395" s="59">
        <f>IF($Y2395="","",IF(INDEX($D$6:$D$40000,$Y2395)="","",INDEX($D$6:$D$40000,$Y2395)))</f>
        <v/>
      </c>
      <c r="AB2395">
        <f>IF($Y2395="","",INDEX($L$6:$L$40000,$Y2395)&amp;"")</f>
        <v/>
      </c>
    </row>
    <row r="2396">
      <c r="Y2396" s="47">
        <f>IFERROR(MATCH(Library!M2396,$M$6:$M$40000,0),"")</f>
        <v/>
      </c>
      <c r="Z2396">
        <f>IF($Y2396="","",INDEX($C$6:$C$40000,$Y2396)&amp;"")</f>
        <v/>
      </c>
      <c r="AA2396" s="59">
        <f>IF($Y2396="","",IF(INDEX($D$6:$D$40000,$Y2396)="","",INDEX($D$6:$D$40000,$Y2396)))</f>
        <v/>
      </c>
      <c r="AB2396">
        <f>IF($Y2396="","",INDEX($L$6:$L$40000,$Y2396)&amp;"")</f>
        <v/>
      </c>
    </row>
    <row r="2397">
      <c r="Y2397" s="47">
        <f>IFERROR(MATCH(Library!M2397,$M$6:$M$40000,0),"")</f>
        <v/>
      </c>
      <c r="Z2397">
        <f>IF($Y2397="","",INDEX($C$6:$C$40000,$Y2397)&amp;"")</f>
        <v/>
      </c>
      <c r="AA2397" s="59">
        <f>IF($Y2397="","",IF(INDEX($D$6:$D$40000,$Y2397)="","",INDEX($D$6:$D$40000,$Y2397)))</f>
        <v/>
      </c>
      <c r="AB2397">
        <f>IF($Y2397="","",INDEX($L$6:$L$40000,$Y2397)&amp;"")</f>
        <v/>
      </c>
    </row>
    <row r="2398">
      <c r="Y2398" s="47">
        <f>IFERROR(MATCH(Library!M2398,$M$6:$M$40000,0),"")</f>
        <v/>
      </c>
      <c r="Z2398">
        <f>IF($Y2398="","",INDEX($C$6:$C$40000,$Y2398)&amp;"")</f>
        <v/>
      </c>
      <c r="AA2398" s="59">
        <f>IF($Y2398="","",IF(INDEX($D$6:$D$40000,$Y2398)="","",INDEX($D$6:$D$40000,$Y2398)))</f>
        <v/>
      </c>
      <c r="AB2398">
        <f>IF($Y2398="","",INDEX($L$6:$L$40000,$Y2398)&amp;"")</f>
        <v/>
      </c>
    </row>
    <row r="2399">
      <c r="Y2399" s="47">
        <f>IFERROR(MATCH(Library!M2399,$M$6:$M$40000,0),"")</f>
        <v/>
      </c>
      <c r="Z2399">
        <f>IF($Y2399="","",INDEX($C$6:$C$40000,$Y2399)&amp;"")</f>
        <v/>
      </c>
      <c r="AA2399" s="59">
        <f>IF($Y2399="","",IF(INDEX($D$6:$D$40000,$Y2399)="","",INDEX($D$6:$D$40000,$Y2399)))</f>
        <v/>
      </c>
      <c r="AB2399">
        <f>IF($Y2399="","",INDEX($L$6:$L$40000,$Y2399)&amp;"")</f>
        <v/>
      </c>
    </row>
    <row r="2400">
      <c r="Y2400" s="47">
        <f>IFERROR(MATCH(Library!M2400,$M$6:$M$40000,0),"")</f>
        <v/>
      </c>
      <c r="Z2400">
        <f>IF($Y2400="","",INDEX($C$6:$C$40000,$Y2400)&amp;"")</f>
        <v/>
      </c>
      <c r="AA2400" s="59">
        <f>IF($Y2400="","",IF(INDEX($D$6:$D$40000,$Y2400)="","",INDEX($D$6:$D$40000,$Y2400)))</f>
        <v/>
      </c>
      <c r="AB2400">
        <f>IF($Y2400="","",INDEX($L$6:$L$40000,$Y2400)&amp;"")</f>
        <v/>
      </c>
    </row>
    <row r="2401">
      <c r="Y2401" s="47">
        <f>IFERROR(MATCH(Library!M2401,$M$6:$M$40000,0),"")</f>
        <v/>
      </c>
      <c r="Z2401">
        <f>IF($Y2401="","",INDEX($C$6:$C$40000,$Y2401)&amp;"")</f>
        <v/>
      </c>
      <c r="AA2401" s="59">
        <f>IF($Y2401="","",IF(INDEX($D$6:$D$40000,$Y2401)="","",INDEX($D$6:$D$40000,$Y2401)))</f>
        <v/>
      </c>
      <c r="AB2401">
        <f>IF($Y2401="","",INDEX($L$6:$L$40000,$Y2401)&amp;"")</f>
        <v/>
      </c>
    </row>
    <row r="2402">
      <c r="Y2402" s="47">
        <f>IFERROR(MATCH(Library!M2402,$M$6:$M$40000,0),"")</f>
        <v/>
      </c>
      <c r="Z2402">
        <f>IF($Y2402="","",INDEX($C$6:$C$40000,$Y2402)&amp;"")</f>
        <v/>
      </c>
      <c r="AA2402" s="59">
        <f>IF($Y2402="","",IF(INDEX($D$6:$D$40000,$Y2402)="","",INDEX($D$6:$D$40000,$Y2402)))</f>
        <v/>
      </c>
      <c r="AB2402">
        <f>IF($Y2402="","",INDEX($L$6:$L$40000,$Y2402)&amp;"")</f>
        <v/>
      </c>
    </row>
    <row r="2403">
      <c r="Y2403" s="47">
        <f>IFERROR(MATCH(Library!M2403,$M$6:$M$40000,0),"")</f>
        <v/>
      </c>
      <c r="Z2403">
        <f>IF($Y2403="","",INDEX($C$6:$C$40000,$Y2403)&amp;"")</f>
        <v/>
      </c>
      <c r="AA2403" s="59">
        <f>IF($Y2403="","",IF(INDEX($D$6:$D$40000,$Y2403)="","",INDEX($D$6:$D$40000,$Y2403)))</f>
        <v/>
      </c>
      <c r="AB2403">
        <f>IF($Y2403="","",INDEX($L$6:$L$40000,$Y2403)&amp;"")</f>
        <v/>
      </c>
    </row>
    <row r="2404">
      <c r="Y2404" s="47">
        <f>IFERROR(MATCH(Library!M2404,$M$6:$M$40000,0),"")</f>
        <v/>
      </c>
      <c r="Z2404">
        <f>IF($Y2404="","",INDEX($C$6:$C$40000,$Y2404)&amp;"")</f>
        <v/>
      </c>
      <c r="AA2404" s="59">
        <f>IF($Y2404="","",IF(INDEX($D$6:$D$40000,$Y2404)="","",INDEX($D$6:$D$40000,$Y2404)))</f>
        <v/>
      </c>
      <c r="AB2404">
        <f>IF($Y2404="","",INDEX($L$6:$L$40000,$Y2404)&amp;"")</f>
        <v/>
      </c>
    </row>
    <row r="2405">
      <c r="Y2405" s="47">
        <f>IFERROR(MATCH(Library!M2405,$M$6:$M$40000,0),"")</f>
        <v/>
      </c>
      <c r="Z2405">
        <f>IF($Y2405="","",INDEX($C$6:$C$40000,$Y2405)&amp;"")</f>
        <v/>
      </c>
      <c r="AA2405" s="59">
        <f>IF($Y2405="","",IF(INDEX($D$6:$D$40000,$Y2405)="","",INDEX($D$6:$D$40000,$Y2405)))</f>
        <v/>
      </c>
      <c r="AB2405">
        <f>IF($Y2405="","",INDEX($L$6:$L$40000,$Y2405)&amp;"")</f>
        <v/>
      </c>
    </row>
    <row r="2406">
      <c r="Y2406" s="47">
        <f>IFERROR(MATCH(Library!M2406,$M$6:$M$40000,0),"")</f>
        <v/>
      </c>
      <c r="Z2406">
        <f>IF($Y2406="","",INDEX($C$6:$C$40000,$Y2406)&amp;"")</f>
        <v/>
      </c>
      <c r="AA2406" s="59">
        <f>IF($Y2406="","",IF(INDEX($D$6:$D$40000,$Y2406)="","",INDEX($D$6:$D$40000,$Y2406)))</f>
        <v/>
      </c>
      <c r="AB2406">
        <f>IF($Y2406="","",INDEX($L$6:$L$40000,$Y2406)&amp;"")</f>
        <v/>
      </c>
    </row>
    <row r="2407">
      <c r="Y2407" s="47">
        <f>IFERROR(MATCH(Library!M2407,$M$6:$M$40000,0),"")</f>
        <v/>
      </c>
      <c r="Z2407">
        <f>IF($Y2407="","",INDEX($C$6:$C$40000,$Y2407)&amp;"")</f>
        <v/>
      </c>
      <c r="AA2407" s="59">
        <f>IF($Y2407="","",IF(INDEX($D$6:$D$40000,$Y2407)="","",INDEX($D$6:$D$40000,$Y2407)))</f>
        <v/>
      </c>
      <c r="AB2407">
        <f>IF($Y2407="","",INDEX($L$6:$L$40000,$Y2407)&amp;"")</f>
        <v/>
      </c>
    </row>
    <row r="2408">
      <c r="Y2408" s="47">
        <f>IFERROR(MATCH(Library!M2408,$M$6:$M$40000,0),"")</f>
        <v/>
      </c>
      <c r="Z2408">
        <f>IF($Y2408="","",INDEX($C$6:$C$40000,$Y2408)&amp;"")</f>
        <v/>
      </c>
      <c r="AA2408" s="59">
        <f>IF($Y2408="","",IF(INDEX($D$6:$D$40000,$Y2408)="","",INDEX($D$6:$D$40000,$Y2408)))</f>
        <v/>
      </c>
      <c r="AB2408">
        <f>IF($Y2408="","",INDEX($L$6:$L$40000,$Y2408)&amp;"")</f>
        <v/>
      </c>
    </row>
    <row r="2409">
      <c r="Y2409" s="47">
        <f>IFERROR(MATCH(Library!M2409,$M$6:$M$40000,0),"")</f>
        <v/>
      </c>
      <c r="Z2409">
        <f>IF($Y2409="","",INDEX($C$6:$C$40000,$Y2409)&amp;"")</f>
        <v/>
      </c>
      <c r="AA2409" s="59">
        <f>IF($Y2409="","",IF(INDEX($D$6:$D$40000,$Y2409)="","",INDEX($D$6:$D$40000,$Y2409)))</f>
        <v/>
      </c>
      <c r="AB2409">
        <f>IF($Y2409="","",INDEX($L$6:$L$40000,$Y2409)&amp;"")</f>
        <v/>
      </c>
    </row>
    <row r="2410">
      <c r="Y2410" s="47">
        <f>IFERROR(MATCH(Library!M2410,$M$6:$M$40000,0),"")</f>
        <v/>
      </c>
      <c r="Z2410">
        <f>IF($Y2410="","",INDEX($C$6:$C$40000,$Y2410)&amp;"")</f>
        <v/>
      </c>
      <c r="AA2410" s="59">
        <f>IF($Y2410="","",IF(INDEX($D$6:$D$40000,$Y2410)="","",INDEX($D$6:$D$40000,$Y2410)))</f>
        <v/>
      </c>
      <c r="AB2410">
        <f>IF($Y2410="","",INDEX($L$6:$L$40000,$Y2410)&amp;"")</f>
        <v/>
      </c>
    </row>
    <row r="2411">
      <c r="Y2411" s="47">
        <f>IFERROR(MATCH(Library!M2411,$M$6:$M$40000,0),"")</f>
        <v/>
      </c>
      <c r="Z2411">
        <f>IF($Y2411="","",INDEX($C$6:$C$40000,$Y2411)&amp;"")</f>
        <v/>
      </c>
      <c r="AA2411" s="59">
        <f>IF($Y2411="","",IF(INDEX($D$6:$D$40000,$Y2411)="","",INDEX($D$6:$D$40000,$Y2411)))</f>
        <v/>
      </c>
      <c r="AB2411">
        <f>IF($Y2411="","",INDEX($L$6:$L$40000,$Y2411)&amp;"")</f>
        <v/>
      </c>
    </row>
    <row r="2412">
      <c r="Y2412" s="47">
        <f>IFERROR(MATCH(Library!M2412,$M$6:$M$40000,0),"")</f>
        <v/>
      </c>
      <c r="Z2412">
        <f>IF($Y2412="","",INDEX($C$6:$C$40000,$Y2412)&amp;"")</f>
        <v/>
      </c>
      <c r="AA2412" s="59">
        <f>IF($Y2412="","",IF(INDEX($D$6:$D$40000,$Y2412)="","",INDEX($D$6:$D$40000,$Y2412)))</f>
        <v/>
      </c>
      <c r="AB2412">
        <f>IF($Y2412="","",INDEX($L$6:$L$40000,$Y2412)&amp;"")</f>
        <v/>
      </c>
    </row>
    <row r="2413">
      <c r="Y2413" s="47">
        <f>IFERROR(MATCH(Library!M2413,$M$6:$M$40000,0),"")</f>
        <v/>
      </c>
      <c r="Z2413">
        <f>IF($Y2413="","",INDEX($C$6:$C$40000,$Y2413)&amp;"")</f>
        <v/>
      </c>
      <c r="AA2413" s="59">
        <f>IF($Y2413="","",IF(INDEX($D$6:$D$40000,$Y2413)="","",INDEX($D$6:$D$40000,$Y2413)))</f>
        <v/>
      </c>
      <c r="AB2413">
        <f>IF($Y2413="","",INDEX($L$6:$L$40000,$Y2413)&amp;"")</f>
        <v/>
      </c>
    </row>
    <row r="2414">
      <c r="Y2414" s="47">
        <f>IFERROR(MATCH(Library!M2414,$M$6:$M$40000,0),"")</f>
        <v/>
      </c>
      <c r="Z2414">
        <f>IF($Y2414="","",INDEX($C$6:$C$40000,$Y2414)&amp;"")</f>
        <v/>
      </c>
      <c r="AA2414" s="59">
        <f>IF($Y2414="","",IF(INDEX($D$6:$D$40000,$Y2414)="","",INDEX($D$6:$D$40000,$Y2414)))</f>
        <v/>
      </c>
      <c r="AB2414">
        <f>IF($Y2414="","",INDEX($L$6:$L$40000,$Y2414)&amp;"")</f>
        <v/>
      </c>
    </row>
    <row r="2415">
      <c r="Y2415" s="47">
        <f>IFERROR(MATCH(Library!M2415,$M$6:$M$40000,0),"")</f>
        <v/>
      </c>
      <c r="Z2415">
        <f>IF($Y2415="","",INDEX($C$6:$C$40000,$Y2415)&amp;"")</f>
        <v/>
      </c>
      <c r="AA2415" s="59">
        <f>IF($Y2415="","",IF(INDEX($D$6:$D$40000,$Y2415)="","",INDEX($D$6:$D$40000,$Y2415)))</f>
        <v/>
      </c>
      <c r="AB2415">
        <f>IF($Y2415="","",INDEX($L$6:$L$40000,$Y2415)&amp;"")</f>
        <v/>
      </c>
    </row>
    <row r="2416">
      <c r="Y2416" s="47">
        <f>IFERROR(MATCH(Library!M2416,$M$6:$M$40000,0),"")</f>
        <v/>
      </c>
      <c r="Z2416">
        <f>IF($Y2416="","",INDEX($C$6:$C$40000,$Y2416)&amp;"")</f>
        <v/>
      </c>
      <c r="AA2416" s="59">
        <f>IF($Y2416="","",IF(INDEX($D$6:$D$40000,$Y2416)="","",INDEX($D$6:$D$40000,$Y2416)))</f>
        <v/>
      </c>
      <c r="AB2416">
        <f>IF($Y2416="","",INDEX($L$6:$L$40000,$Y2416)&amp;"")</f>
        <v/>
      </c>
    </row>
    <row r="2417">
      <c r="Y2417" s="47">
        <f>IFERROR(MATCH(Library!M2417,$M$6:$M$40000,0),"")</f>
        <v/>
      </c>
      <c r="Z2417">
        <f>IF($Y2417="","",INDEX($C$6:$C$40000,$Y2417)&amp;"")</f>
        <v/>
      </c>
      <c r="AA2417" s="59">
        <f>IF($Y2417="","",IF(INDEX($D$6:$D$40000,$Y2417)="","",INDEX($D$6:$D$40000,$Y2417)))</f>
        <v/>
      </c>
      <c r="AB2417">
        <f>IF($Y2417="","",INDEX($L$6:$L$40000,$Y2417)&amp;"")</f>
        <v/>
      </c>
    </row>
    <row r="2418">
      <c r="Y2418" s="47">
        <f>IFERROR(MATCH(Library!M2418,$M$6:$M$40000,0),"")</f>
        <v/>
      </c>
      <c r="Z2418">
        <f>IF($Y2418="","",INDEX($C$6:$C$40000,$Y2418)&amp;"")</f>
        <v/>
      </c>
      <c r="AA2418" s="59">
        <f>IF($Y2418="","",IF(INDEX($D$6:$D$40000,$Y2418)="","",INDEX($D$6:$D$40000,$Y2418)))</f>
        <v/>
      </c>
      <c r="AB2418">
        <f>IF($Y2418="","",INDEX($L$6:$L$40000,$Y2418)&amp;"")</f>
        <v/>
      </c>
    </row>
    <row r="2419">
      <c r="Y2419" s="47">
        <f>IFERROR(MATCH(Library!M2419,$M$6:$M$40000,0),"")</f>
        <v/>
      </c>
      <c r="Z2419">
        <f>IF($Y2419="","",INDEX($C$6:$C$40000,$Y2419)&amp;"")</f>
        <v/>
      </c>
      <c r="AA2419" s="59">
        <f>IF($Y2419="","",IF(INDEX($D$6:$D$40000,$Y2419)="","",INDEX($D$6:$D$40000,$Y2419)))</f>
        <v/>
      </c>
      <c r="AB2419">
        <f>IF($Y2419="","",INDEX($L$6:$L$40000,$Y2419)&amp;"")</f>
        <v/>
      </c>
    </row>
    <row r="2420">
      <c r="Y2420" s="47">
        <f>IFERROR(MATCH(Library!M2420,$M$6:$M$40000,0),"")</f>
        <v/>
      </c>
      <c r="Z2420">
        <f>IF($Y2420="","",INDEX($C$6:$C$40000,$Y2420)&amp;"")</f>
        <v/>
      </c>
      <c r="AA2420" s="59">
        <f>IF($Y2420="","",IF(INDEX($D$6:$D$40000,$Y2420)="","",INDEX($D$6:$D$40000,$Y2420)))</f>
        <v/>
      </c>
      <c r="AB2420">
        <f>IF($Y2420="","",INDEX($L$6:$L$40000,$Y2420)&amp;"")</f>
        <v/>
      </c>
    </row>
    <row r="2421">
      <c r="Y2421" s="47">
        <f>IFERROR(MATCH(Library!M2421,$M$6:$M$40000,0),"")</f>
        <v/>
      </c>
      <c r="Z2421">
        <f>IF($Y2421="","",INDEX($C$6:$C$40000,$Y2421)&amp;"")</f>
        <v/>
      </c>
      <c r="AA2421" s="59">
        <f>IF($Y2421="","",IF(INDEX($D$6:$D$40000,$Y2421)="","",INDEX($D$6:$D$40000,$Y2421)))</f>
        <v/>
      </c>
      <c r="AB2421">
        <f>IF($Y2421="","",INDEX($L$6:$L$40000,$Y2421)&amp;"")</f>
        <v/>
      </c>
    </row>
    <row r="2422">
      <c r="Y2422" s="47">
        <f>IFERROR(MATCH(Library!M2422,$M$6:$M$40000,0),"")</f>
        <v/>
      </c>
      <c r="Z2422">
        <f>IF($Y2422="","",INDEX($C$6:$C$40000,$Y2422)&amp;"")</f>
        <v/>
      </c>
      <c r="AA2422" s="59">
        <f>IF($Y2422="","",IF(INDEX($D$6:$D$40000,$Y2422)="","",INDEX($D$6:$D$40000,$Y2422)))</f>
        <v/>
      </c>
      <c r="AB2422">
        <f>IF($Y2422="","",INDEX($L$6:$L$40000,$Y2422)&amp;"")</f>
        <v/>
      </c>
    </row>
    <row r="2423">
      <c r="Y2423" s="47">
        <f>IFERROR(MATCH(Library!M2423,$M$6:$M$40000,0),"")</f>
        <v/>
      </c>
      <c r="Z2423">
        <f>IF($Y2423="","",INDEX($C$6:$C$40000,$Y2423)&amp;"")</f>
        <v/>
      </c>
      <c r="AA2423" s="59">
        <f>IF($Y2423="","",IF(INDEX($D$6:$D$40000,$Y2423)="","",INDEX($D$6:$D$40000,$Y2423)))</f>
        <v/>
      </c>
      <c r="AB2423">
        <f>IF($Y2423="","",INDEX($L$6:$L$40000,$Y2423)&amp;"")</f>
        <v/>
      </c>
    </row>
    <row r="2424">
      <c r="Y2424" s="47">
        <f>IFERROR(MATCH(Library!M2424,$M$6:$M$40000,0),"")</f>
        <v/>
      </c>
      <c r="Z2424">
        <f>IF($Y2424="","",INDEX($C$6:$C$40000,$Y2424)&amp;"")</f>
        <v/>
      </c>
      <c r="AA2424" s="59">
        <f>IF($Y2424="","",IF(INDEX($D$6:$D$40000,$Y2424)="","",INDEX($D$6:$D$40000,$Y2424)))</f>
        <v/>
      </c>
      <c r="AB2424">
        <f>IF($Y2424="","",INDEX($L$6:$L$40000,$Y2424)&amp;"")</f>
        <v/>
      </c>
    </row>
    <row r="2425">
      <c r="Y2425" s="47">
        <f>IFERROR(MATCH(Library!M2425,$M$6:$M$40000,0),"")</f>
        <v/>
      </c>
      <c r="Z2425">
        <f>IF($Y2425="","",INDEX($C$6:$C$40000,$Y2425)&amp;"")</f>
        <v/>
      </c>
      <c r="AA2425" s="59">
        <f>IF($Y2425="","",IF(INDEX($D$6:$D$40000,$Y2425)="","",INDEX($D$6:$D$40000,$Y2425)))</f>
        <v/>
      </c>
      <c r="AB2425">
        <f>IF($Y2425="","",INDEX($L$6:$L$40000,$Y2425)&amp;"")</f>
        <v/>
      </c>
    </row>
    <row r="2426">
      <c r="Y2426" s="47">
        <f>IFERROR(MATCH(Library!M2426,$M$6:$M$40000,0),"")</f>
        <v/>
      </c>
      <c r="Z2426">
        <f>IF($Y2426="","",INDEX($C$6:$C$40000,$Y2426)&amp;"")</f>
        <v/>
      </c>
      <c r="AA2426" s="59">
        <f>IF($Y2426="","",IF(INDEX($D$6:$D$40000,$Y2426)="","",INDEX($D$6:$D$40000,$Y2426)))</f>
        <v/>
      </c>
      <c r="AB2426">
        <f>IF($Y2426="","",INDEX($L$6:$L$40000,$Y2426)&amp;"")</f>
        <v/>
      </c>
    </row>
    <row r="2427">
      <c r="Y2427" s="47">
        <f>IFERROR(MATCH(Library!M2427,$M$6:$M$40000,0),"")</f>
        <v/>
      </c>
      <c r="Z2427">
        <f>IF($Y2427="","",INDEX($C$6:$C$40000,$Y2427)&amp;"")</f>
        <v/>
      </c>
      <c r="AA2427" s="59">
        <f>IF($Y2427="","",IF(INDEX($D$6:$D$40000,$Y2427)="","",INDEX($D$6:$D$40000,$Y2427)))</f>
        <v/>
      </c>
      <c r="AB2427">
        <f>IF($Y2427="","",INDEX($L$6:$L$40000,$Y2427)&amp;"")</f>
        <v/>
      </c>
    </row>
    <row r="2428">
      <c r="Y2428" s="47">
        <f>IFERROR(MATCH(Library!M2428,$M$6:$M$40000,0),"")</f>
        <v/>
      </c>
      <c r="Z2428">
        <f>IF($Y2428="","",INDEX($C$6:$C$40000,$Y2428)&amp;"")</f>
        <v/>
      </c>
      <c r="AA2428" s="59">
        <f>IF($Y2428="","",IF(INDEX($D$6:$D$40000,$Y2428)="","",INDEX($D$6:$D$40000,$Y2428)))</f>
        <v/>
      </c>
      <c r="AB2428">
        <f>IF($Y2428="","",INDEX($L$6:$L$40000,$Y2428)&amp;"")</f>
        <v/>
      </c>
    </row>
    <row r="2429">
      <c r="Y2429" s="47">
        <f>IFERROR(MATCH(Library!M2429,$M$6:$M$40000,0),"")</f>
        <v/>
      </c>
      <c r="Z2429">
        <f>IF($Y2429="","",INDEX($C$6:$C$40000,$Y2429)&amp;"")</f>
        <v/>
      </c>
      <c r="AA2429" s="59">
        <f>IF($Y2429="","",IF(INDEX($D$6:$D$40000,$Y2429)="","",INDEX($D$6:$D$40000,$Y2429)))</f>
        <v/>
      </c>
      <c r="AB2429">
        <f>IF($Y2429="","",INDEX($L$6:$L$40000,$Y2429)&amp;"")</f>
        <v/>
      </c>
    </row>
    <row r="2430">
      <c r="Y2430" s="47">
        <f>IFERROR(MATCH(Library!M2430,$M$6:$M$40000,0),"")</f>
        <v/>
      </c>
      <c r="Z2430">
        <f>IF($Y2430="","",INDEX($C$6:$C$40000,$Y2430)&amp;"")</f>
        <v/>
      </c>
      <c r="AA2430" s="59">
        <f>IF($Y2430="","",IF(INDEX($D$6:$D$40000,$Y2430)="","",INDEX($D$6:$D$40000,$Y2430)))</f>
        <v/>
      </c>
      <c r="AB2430">
        <f>IF($Y2430="","",INDEX($L$6:$L$40000,$Y2430)&amp;"")</f>
        <v/>
      </c>
    </row>
    <row r="2431">
      <c r="Y2431" s="47">
        <f>IFERROR(MATCH(Library!M2431,$M$6:$M$40000,0),"")</f>
        <v/>
      </c>
      <c r="Z2431">
        <f>IF($Y2431="","",INDEX($C$6:$C$40000,$Y2431)&amp;"")</f>
        <v/>
      </c>
      <c r="AA2431" s="59">
        <f>IF($Y2431="","",IF(INDEX($D$6:$D$40000,$Y2431)="","",INDEX($D$6:$D$40000,$Y2431)))</f>
        <v/>
      </c>
      <c r="AB2431">
        <f>IF($Y2431="","",INDEX($L$6:$L$40000,$Y2431)&amp;"")</f>
        <v/>
      </c>
    </row>
    <row r="2432">
      <c r="Y2432" s="47">
        <f>IFERROR(MATCH(Library!M2432,$M$6:$M$40000,0),"")</f>
        <v/>
      </c>
      <c r="Z2432">
        <f>IF($Y2432="","",INDEX($C$6:$C$40000,$Y2432)&amp;"")</f>
        <v/>
      </c>
      <c r="AA2432" s="59">
        <f>IF($Y2432="","",IF(INDEX($D$6:$D$40000,$Y2432)="","",INDEX($D$6:$D$40000,$Y2432)))</f>
        <v/>
      </c>
      <c r="AB2432">
        <f>IF($Y2432="","",INDEX($L$6:$L$40000,$Y2432)&amp;"")</f>
        <v/>
      </c>
    </row>
    <row r="2433">
      <c r="Y2433" s="47">
        <f>IFERROR(MATCH(Library!M2433,$M$6:$M$40000,0),"")</f>
        <v/>
      </c>
      <c r="Z2433">
        <f>IF($Y2433="","",INDEX($C$6:$C$40000,$Y2433)&amp;"")</f>
        <v/>
      </c>
      <c r="AA2433" s="59">
        <f>IF($Y2433="","",IF(INDEX($D$6:$D$40000,$Y2433)="","",INDEX($D$6:$D$40000,$Y2433)))</f>
        <v/>
      </c>
      <c r="AB2433">
        <f>IF($Y2433="","",INDEX($L$6:$L$40000,$Y2433)&amp;"")</f>
        <v/>
      </c>
    </row>
    <row r="2434">
      <c r="Y2434" s="47">
        <f>IFERROR(MATCH(Library!M2434,$M$6:$M$40000,0),"")</f>
        <v/>
      </c>
      <c r="Z2434">
        <f>IF($Y2434="","",INDEX($C$6:$C$40000,$Y2434)&amp;"")</f>
        <v/>
      </c>
      <c r="AA2434" s="59">
        <f>IF($Y2434="","",IF(INDEX($D$6:$D$40000,$Y2434)="","",INDEX($D$6:$D$40000,$Y2434)))</f>
        <v/>
      </c>
      <c r="AB2434">
        <f>IF($Y2434="","",INDEX($L$6:$L$40000,$Y2434)&amp;"")</f>
        <v/>
      </c>
    </row>
    <row r="2435">
      <c r="Y2435" s="47">
        <f>IFERROR(MATCH(Library!M2435,$M$6:$M$40000,0),"")</f>
        <v/>
      </c>
      <c r="Z2435">
        <f>IF($Y2435="","",INDEX($C$6:$C$40000,$Y2435)&amp;"")</f>
        <v/>
      </c>
      <c r="AA2435" s="59">
        <f>IF($Y2435="","",IF(INDEX($D$6:$D$40000,$Y2435)="","",INDEX($D$6:$D$40000,$Y2435)))</f>
        <v/>
      </c>
      <c r="AB2435">
        <f>IF($Y2435="","",INDEX($L$6:$L$40000,$Y2435)&amp;"")</f>
        <v/>
      </c>
    </row>
    <row r="2436">
      <c r="Y2436" s="47">
        <f>IFERROR(MATCH(Library!M2436,$M$6:$M$40000,0),"")</f>
        <v/>
      </c>
      <c r="Z2436">
        <f>IF($Y2436="","",INDEX($C$6:$C$40000,$Y2436)&amp;"")</f>
        <v/>
      </c>
      <c r="AA2436" s="59">
        <f>IF($Y2436="","",IF(INDEX($D$6:$D$40000,$Y2436)="","",INDEX($D$6:$D$40000,$Y2436)))</f>
        <v/>
      </c>
      <c r="AB2436">
        <f>IF($Y2436="","",INDEX($L$6:$L$40000,$Y2436)&amp;"")</f>
        <v/>
      </c>
    </row>
    <row r="2437">
      <c r="Y2437" s="47">
        <f>IFERROR(MATCH(Library!M2437,$M$6:$M$40000,0),"")</f>
        <v/>
      </c>
      <c r="Z2437">
        <f>IF($Y2437="","",INDEX($C$6:$C$40000,$Y2437)&amp;"")</f>
        <v/>
      </c>
      <c r="AA2437" s="59">
        <f>IF($Y2437="","",IF(INDEX($D$6:$D$40000,$Y2437)="","",INDEX($D$6:$D$40000,$Y2437)))</f>
        <v/>
      </c>
      <c r="AB2437">
        <f>IF($Y2437="","",INDEX($L$6:$L$40000,$Y2437)&amp;"")</f>
        <v/>
      </c>
    </row>
    <row r="2438">
      <c r="Y2438" s="47">
        <f>IFERROR(MATCH(Library!M2438,$M$6:$M$40000,0),"")</f>
        <v/>
      </c>
      <c r="Z2438">
        <f>IF($Y2438="","",INDEX($C$6:$C$40000,$Y2438)&amp;"")</f>
        <v/>
      </c>
      <c r="AA2438" s="59">
        <f>IF($Y2438="","",IF(INDEX($D$6:$D$40000,$Y2438)="","",INDEX($D$6:$D$40000,$Y2438)))</f>
        <v/>
      </c>
      <c r="AB2438">
        <f>IF($Y2438="","",INDEX($L$6:$L$40000,$Y2438)&amp;"")</f>
        <v/>
      </c>
    </row>
    <row r="2439">
      <c r="Y2439" s="47">
        <f>IFERROR(MATCH(Library!M2439,$M$6:$M$40000,0),"")</f>
        <v/>
      </c>
      <c r="Z2439">
        <f>IF($Y2439="","",INDEX($C$6:$C$40000,$Y2439)&amp;"")</f>
        <v/>
      </c>
      <c r="AA2439" s="59">
        <f>IF($Y2439="","",IF(INDEX($D$6:$D$40000,$Y2439)="","",INDEX($D$6:$D$40000,$Y2439)))</f>
        <v/>
      </c>
      <c r="AB2439">
        <f>IF($Y2439="","",INDEX($L$6:$L$40000,$Y2439)&amp;"")</f>
        <v/>
      </c>
    </row>
    <row r="2440">
      <c r="Y2440" s="47">
        <f>IFERROR(MATCH(Library!M2440,$M$6:$M$40000,0),"")</f>
        <v/>
      </c>
      <c r="Z2440">
        <f>IF($Y2440="","",INDEX($C$6:$C$40000,$Y2440)&amp;"")</f>
        <v/>
      </c>
      <c r="AA2440" s="59">
        <f>IF($Y2440="","",IF(INDEX($D$6:$D$40000,$Y2440)="","",INDEX($D$6:$D$40000,$Y2440)))</f>
        <v/>
      </c>
      <c r="AB2440">
        <f>IF($Y2440="","",INDEX($L$6:$L$40000,$Y2440)&amp;"")</f>
        <v/>
      </c>
    </row>
    <row r="2441">
      <c r="Y2441" s="47">
        <f>IFERROR(MATCH(Library!M2441,$M$6:$M$40000,0),"")</f>
        <v/>
      </c>
      <c r="Z2441">
        <f>IF($Y2441="","",INDEX($C$6:$C$40000,$Y2441)&amp;"")</f>
        <v/>
      </c>
      <c r="AA2441" s="59">
        <f>IF($Y2441="","",IF(INDEX($D$6:$D$40000,$Y2441)="","",INDEX($D$6:$D$40000,$Y2441)))</f>
        <v/>
      </c>
      <c r="AB2441">
        <f>IF($Y2441="","",INDEX($L$6:$L$40000,$Y2441)&amp;"")</f>
        <v/>
      </c>
    </row>
    <row r="2442">
      <c r="Y2442" s="47">
        <f>IFERROR(MATCH(Library!M2442,$M$6:$M$40000,0),"")</f>
        <v/>
      </c>
      <c r="Z2442">
        <f>IF($Y2442="","",INDEX($C$6:$C$40000,$Y2442)&amp;"")</f>
        <v/>
      </c>
      <c r="AA2442" s="59">
        <f>IF($Y2442="","",IF(INDEX($D$6:$D$40000,$Y2442)="","",INDEX($D$6:$D$40000,$Y2442)))</f>
        <v/>
      </c>
      <c r="AB2442">
        <f>IF($Y2442="","",INDEX($L$6:$L$40000,$Y2442)&amp;"")</f>
        <v/>
      </c>
    </row>
    <row r="2443">
      <c r="Y2443" s="47">
        <f>IFERROR(MATCH(Library!M2443,$M$6:$M$40000,0),"")</f>
        <v/>
      </c>
      <c r="Z2443">
        <f>IF($Y2443="","",INDEX($C$6:$C$40000,$Y2443)&amp;"")</f>
        <v/>
      </c>
      <c r="AA2443" s="59">
        <f>IF($Y2443="","",IF(INDEX($D$6:$D$40000,$Y2443)="","",INDEX($D$6:$D$40000,$Y2443)))</f>
        <v/>
      </c>
      <c r="AB2443">
        <f>IF($Y2443="","",INDEX($L$6:$L$40000,$Y2443)&amp;"")</f>
        <v/>
      </c>
    </row>
    <row r="2444">
      <c r="Y2444" s="47">
        <f>IFERROR(MATCH(Library!M2444,$M$6:$M$40000,0),"")</f>
        <v/>
      </c>
      <c r="Z2444">
        <f>IF($Y2444="","",INDEX($C$6:$C$40000,$Y2444)&amp;"")</f>
        <v/>
      </c>
      <c r="AA2444" s="59">
        <f>IF($Y2444="","",IF(INDEX($D$6:$D$40000,$Y2444)="","",INDEX($D$6:$D$40000,$Y2444)))</f>
        <v/>
      </c>
      <c r="AB2444">
        <f>IF($Y2444="","",INDEX($L$6:$L$40000,$Y2444)&amp;"")</f>
        <v/>
      </c>
    </row>
    <row r="2445">
      <c r="Y2445" s="47">
        <f>IFERROR(MATCH(Library!M2445,$M$6:$M$40000,0),"")</f>
        <v/>
      </c>
      <c r="Z2445">
        <f>IF($Y2445="","",INDEX($C$6:$C$40000,$Y2445)&amp;"")</f>
        <v/>
      </c>
      <c r="AA2445" s="59">
        <f>IF($Y2445="","",IF(INDEX($D$6:$D$40000,$Y2445)="","",INDEX($D$6:$D$40000,$Y2445)))</f>
        <v/>
      </c>
      <c r="AB2445">
        <f>IF($Y2445="","",INDEX($L$6:$L$40000,$Y2445)&amp;"")</f>
        <v/>
      </c>
    </row>
    <row r="2446">
      <c r="Y2446" s="47">
        <f>IFERROR(MATCH(Library!M2446,$M$6:$M$40000,0),"")</f>
        <v/>
      </c>
      <c r="Z2446">
        <f>IF($Y2446="","",INDEX($C$6:$C$40000,$Y2446)&amp;"")</f>
        <v/>
      </c>
      <c r="AA2446" s="59">
        <f>IF($Y2446="","",IF(INDEX($D$6:$D$40000,$Y2446)="","",INDEX($D$6:$D$40000,$Y2446)))</f>
        <v/>
      </c>
      <c r="AB2446">
        <f>IF($Y2446="","",INDEX($L$6:$L$40000,$Y2446)&amp;"")</f>
        <v/>
      </c>
    </row>
    <row r="2447">
      <c r="Y2447" s="47">
        <f>IFERROR(MATCH(Library!M2447,$M$6:$M$40000,0),"")</f>
        <v/>
      </c>
      <c r="Z2447">
        <f>IF($Y2447="","",INDEX($C$6:$C$40000,$Y2447)&amp;"")</f>
        <v/>
      </c>
      <c r="AA2447" s="59">
        <f>IF($Y2447="","",IF(INDEX($D$6:$D$40000,$Y2447)="","",INDEX($D$6:$D$40000,$Y2447)))</f>
        <v/>
      </c>
      <c r="AB2447">
        <f>IF($Y2447="","",INDEX($L$6:$L$40000,$Y2447)&amp;"")</f>
        <v/>
      </c>
    </row>
    <row r="2448">
      <c r="Y2448" s="47">
        <f>IFERROR(MATCH(Library!M2448,$M$6:$M$40000,0),"")</f>
        <v/>
      </c>
      <c r="Z2448">
        <f>IF($Y2448="","",INDEX($C$6:$C$40000,$Y2448)&amp;"")</f>
        <v/>
      </c>
      <c r="AA2448" s="59">
        <f>IF($Y2448="","",IF(INDEX($D$6:$D$40000,$Y2448)="","",INDEX($D$6:$D$40000,$Y2448)))</f>
        <v/>
      </c>
      <c r="AB2448">
        <f>IF($Y2448="","",INDEX($L$6:$L$40000,$Y2448)&amp;"")</f>
        <v/>
      </c>
    </row>
    <row r="2449">
      <c r="Y2449" s="47">
        <f>IFERROR(MATCH(Library!M2449,$M$6:$M$40000,0),"")</f>
        <v/>
      </c>
      <c r="Z2449">
        <f>IF($Y2449="","",INDEX($C$6:$C$40000,$Y2449)&amp;"")</f>
        <v/>
      </c>
      <c r="AA2449" s="59">
        <f>IF($Y2449="","",IF(INDEX($D$6:$D$40000,$Y2449)="","",INDEX($D$6:$D$40000,$Y2449)))</f>
        <v/>
      </c>
      <c r="AB2449">
        <f>IF($Y2449="","",INDEX($L$6:$L$40000,$Y2449)&amp;"")</f>
        <v/>
      </c>
    </row>
    <row r="2450">
      <c r="Y2450" s="47">
        <f>IFERROR(MATCH(Library!M2450,$M$6:$M$40000,0),"")</f>
        <v/>
      </c>
      <c r="Z2450">
        <f>IF($Y2450="","",INDEX($C$6:$C$40000,$Y2450)&amp;"")</f>
        <v/>
      </c>
      <c r="AA2450" s="59">
        <f>IF($Y2450="","",IF(INDEX($D$6:$D$40000,$Y2450)="","",INDEX($D$6:$D$40000,$Y2450)))</f>
        <v/>
      </c>
      <c r="AB2450">
        <f>IF($Y2450="","",INDEX($L$6:$L$40000,$Y2450)&amp;"")</f>
        <v/>
      </c>
    </row>
    <row r="2451">
      <c r="Y2451" s="47">
        <f>IFERROR(MATCH(Library!M2451,$M$6:$M$40000,0),"")</f>
        <v/>
      </c>
      <c r="Z2451">
        <f>IF($Y2451="","",INDEX($C$6:$C$40000,$Y2451)&amp;"")</f>
        <v/>
      </c>
      <c r="AA2451" s="59">
        <f>IF($Y2451="","",IF(INDEX($D$6:$D$40000,$Y2451)="","",INDEX($D$6:$D$40000,$Y2451)))</f>
        <v/>
      </c>
      <c r="AB2451">
        <f>IF($Y2451="","",INDEX($L$6:$L$40000,$Y2451)&amp;"")</f>
        <v/>
      </c>
    </row>
    <row r="2452">
      <c r="Y2452" s="47">
        <f>IFERROR(MATCH(Library!M2452,$M$6:$M$40000,0),"")</f>
        <v/>
      </c>
      <c r="Z2452">
        <f>IF($Y2452="","",INDEX($C$6:$C$40000,$Y2452)&amp;"")</f>
        <v/>
      </c>
      <c r="AA2452" s="59">
        <f>IF($Y2452="","",IF(INDEX($D$6:$D$40000,$Y2452)="","",INDEX($D$6:$D$40000,$Y2452)))</f>
        <v/>
      </c>
      <c r="AB2452">
        <f>IF($Y2452="","",INDEX($L$6:$L$40000,$Y2452)&amp;"")</f>
        <v/>
      </c>
    </row>
    <row r="2453">
      <c r="Y2453" s="47">
        <f>IFERROR(MATCH(Library!M2453,$M$6:$M$40000,0),"")</f>
        <v/>
      </c>
      <c r="Z2453">
        <f>IF($Y2453="","",INDEX($C$6:$C$40000,$Y2453)&amp;"")</f>
        <v/>
      </c>
      <c r="AA2453" s="59">
        <f>IF($Y2453="","",IF(INDEX($D$6:$D$40000,$Y2453)="","",INDEX($D$6:$D$40000,$Y2453)))</f>
        <v/>
      </c>
      <c r="AB2453">
        <f>IF($Y2453="","",INDEX($L$6:$L$40000,$Y2453)&amp;"")</f>
        <v/>
      </c>
    </row>
    <row r="2454">
      <c r="Y2454" s="47">
        <f>IFERROR(MATCH(Library!M2454,$M$6:$M$40000,0),"")</f>
        <v/>
      </c>
      <c r="Z2454">
        <f>IF($Y2454="","",INDEX($C$6:$C$40000,$Y2454)&amp;"")</f>
        <v/>
      </c>
      <c r="AA2454" s="59">
        <f>IF($Y2454="","",IF(INDEX($D$6:$D$40000,$Y2454)="","",INDEX($D$6:$D$40000,$Y2454)))</f>
        <v/>
      </c>
      <c r="AB2454">
        <f>IF($Y2454="","",INDEX($L$6:$L$40000,$Y2454)&amp;"")</f>
        <v/>
      </c>
    </row>
    <row r="2455">
      <c r="Y2455" s="47">
        <f>IFERROR(MATCH(Library!M2455,$M$6:$M$40000,0),"")</f>
        <v/>
      </c>
      <c r="Z2455">
        <f>IF($Y2455="","",INDEX($C$6:$C$40000,$Y2455)&amp;"")</f>
        <v/>
      </c>
      <c r="AA2455" s="59">
        <f>IF($Y2455="","",IF(INDEX($D$6:$D$40000,$Y2455)="","",INDEX($D$6:$D$40000,$Y2455)))</f>
        <v/>
      </c>
      <c r="AB2455">
        <f>IF($Y2455="","",INDEX($L$6:$L$40000,$Y2455)&amp;"")</f>
        <v/>
      </c>
    </row>
    <row r="2456">
      <c r="Y2456" s="47">
        <f>IFERROR(MATCH(Library!M2456,$M$6:$M$40000,0),"")</f>
        <v/>
      </c>
      <c r="Z2456">
        <f>IF($Y2456="","",INDEX($C$6:$C$40000,$Y2456)&amp;"")</f>
        <v/>
      </c>
      <c r="AA2456" s="59">
        <f>IF($Y2456="","",IF(INDEX($D$6:$D$40000,$Y2456)="","",INDEX($D$6:$D$40000,$Y2456)))</f>
        <v/>
      </c>
      <c r="AB2456">
        <f>IF($Y2456="","",INDEX($L$6:$L$40000,$Y2456)&amp;"")</f>
        <v/>
      </c>
    </row>
    <row r="2457">
      <c r="Y2457" s="47">
        <f>IFERROR(MATCH(Library!M2457,$M$6:$M$40000,0),"")</f>
        <v/>
      </c>
      <c r="Z2457">
        <f>IF($Y2457="","",INDEX($C$6:$C$40000,$Y2457)&amp;"")</f>
        <v/>
      </c>
      <c r="AA2457" s="59">
        <f>IF($Y2457="","",IF(INDEX($D$6:$D$40000,$Y2457)="","",INDEX($D$6:$D$40000,$Y2457)))</f>
        <v/>
      </c>
      <c r="AB2457">
        <f>IF($Y2457="","",INDEX($L$6:$L$40000,$Y2457)&amp;"")</f>
        <v/>
      </c>
    </row>
    <row r="2458">
      <c r="Y2458" s="47">
        <f>IFERROR(MATCH(Library!M2458,$M$6:$M$40000,0),"")</f>
        <v/>
      </c>
      <c r="Z2458">
        <f>IF($Y2458="","",INDEX($C$6:$C$40000,$Y2458)&amp;"")</f>
        <v/>
      </c>
      <c r="AA2458" s="59">
        <f>IF($Y2458="","",IF(INDEX($D$6:$D$40000,$Y2458)="","",INDEX($D$6:$D$40000,$Y2458)))</f>
        <v/>
      </c>
      <c r="AB2458">
        <f>IF($Y2458="","",INDEX($L$6:$L$40000,$Y2458)&amp;"")</f>
        <v/>
      </c>
    </row>
    <row r="2459">
      <c r="Y2459" s="47">
        <f>IFERROR(MATCH(Library!M2459,$M$6:$M$40000,0),"")</f>
        <v/>
      </c>
      <c r="Z2459">
        <f>IF($Y2459="","",INDEX($C$6:$C$40000,$Y2459)&amp;"")</f>
        <v/>
      </c>
      <c r="AA2459" s="59">
        <f>IF($Y2459="","",IF(INDEX($D$6:$D$40000,$Y2459)="","",INDEX($D$6:$D$40000,$Y2459)))</f>
        <v/>
      </c>
      <c r="AB2459">
        <f>IF($Y2459="","",INDEX($L$6:$L$40000,$Y2459)&amp;"")</f>
        <v/>
      </c>
    </row>
    <row r="2460">
      <c r="Y2460" s="47">
        <f>IFERROR(MATCH(Library!M2460,$M$6:$M$40000,0),"")</f>
        <v/>
      </c>
      <c r="Z2460">
        <f>IF($Y2460="","",INDEX($C$6:$C$40000,$Y2460)&amp;"")</f>
        <v/>
      </c>
      <c r="AA2460" s="59">
        <f>IF($Y2460="","",IF(INDEX($D$6:$D$40000,$Y2460)="","",INDEX($D$6:$D$40000,$Y2460)))</f>
        <v/>
      </c>
      <c r="AB2460">
        <f>IF($Y2460="","",INDEX($L$6:$L$40000,$Y2460)&amp;"")</f>
        <v/>
      </c>
    </row>
    <row r="2461">
      <c r="Y2461" s="47">
        <f>IFERROR(MATCH(Library!M2461,$M$6:$M$40000,0),"")</f>
        <v/>
      </c>
      <c r="Z2461">
        <f>IF($Y2461="","",INDEX($C$6:$C$40000,$Y2461)&amp;"")</f>
        <v/>
      </c>
      <c r="AA2461" s="59">
        <f>IF($Y2461="","",IF(INDEX($D$6:$D$40000,$Y2461)="","",INDEX($D$6:$D$40000,$Y2461)))</f>
        <v/>
      </c>
      <c r="AB2461">
        <f>IF($Y2461="","",INDEX($L$6:$L$40000,$Y2461)&amp;"")</f>
        <v/>
      </c>
    </row>
    <row r="2462">
      <c r="Y2462" s="47">
        <f>IFERROR(MATCH(Library!M2462,$M$6:$M$40000,0),"")</f>
        <v/>
      </c>
      <c r="Z2462">
        <f>IF($Y2462="","",INDEX($C$6:$C$40000,$Y2462)&amp;"")</f>
        <v/>
      </c>
      <c r="AA2462" s="59">
        <f>IF($Y2462="","",IF(INDEX($D$6:$D$40000,$Y2462)="","",INDEX($D$6:$D$40000,$Y2462)))</f>
        <v/>
      </c>
      <c r="AB2462">
        <f>IF($Y2462="","",INDEX($L$6:$L$40000,$Y2462)&amp;"")</f>
        <v/>
      </c>
    </row>
    <row r="2463">
      <c r="Y2463" s="47">
        <f>IFERROR(MATCH(Library!M2463,$M$6:$M$40000,0),"")</f>
        <v/>
      </c>
      <c r="Z2463">
        <f>IF($Y2463="","",INDEX($C$6:$C$40000,$Y2463)&amp;"")</f>
        <v/>
      </c>
      <c r="AA2463" s="59">
        <f>IF($Y2463="","",IF(INDEX($D$6:$D$40000,$Y2463)="","",INDEX($D$6:$D$40000,$Y2463)))</f>
        <v/>
      </c>
      <c r="AB2463">
        <f>IF($Y2463="","",INDEX($L$6:$L$40000,$Y2463)&amp;"")</f>
        <v/>
      </c>
    </row>
    <row r="2464">
      <c r="Y2464" s="47">
        <f>IFERROR(MATCH(Library!M2464,$M$6:$M$40000,0),"")</f>
        <v/>
      </c>
      <c r="Z2464">
        <f>IF($Y2464="","",INDEX($C$6:$C$40000,$Y2464)&amp;"")</f>
        <v/>
      </c>
      <c r="AA2464" s="59">
        <f>IF($Y2464="","",IF(INDEX($D$6:$D$40000,$Y2464)="","",INDEX($D$6:$D$40000,$Y2464)))</f>
        <v/>
      </c>
      <c r="AB2464">
        <f>IF($Y2464="","",INDEX($L$6:$L$40000,$Y2464)&amp;"")</f>
        <v/>
      </c>
    </row>
    <row r="2465">
      <c r="Y2465" s="47">
        <f>IFERROR(MATCH(Library!M2465,$M$6:$M$40000,0),"")</f>
        <v/>
      </c>
      <c r="Z2465">
        <f>IF($Y2465="","",INDEX($C$6:$C$40000,$Y2465)&amp;"")</f>
        <v/>
      </c>
      <c r="AA2465" s="59">
        <f>IF($Y2465="","",IF(INDEX($D$6:$D$40000,$Y2465)="","",INDEX($D$6:$D$40000,$Y2465)))</f>
        <v/>
      </c>
      <c r="AB2465">
        <f>IF($Y2465="","",INDEX($L$6:$L$40000,$Y2465)&amp;"")</f>
        <v/>
      </c>
    </row>
    <row r="2466">
      <c r="Y2466" s="47">
        <f>IFERROR(MATCH(Library!M2466,$M$6:$M$40000,0),"")</f>
        <v/>
      </c>
      <c r="Z2466">
        <f>IF($Y2466="","",INDEX($C$6:$C$40000,$Y2466)&amp;"")</f>
        <v/>
      </c>
      <c r="AA2466" s="59">
        <f>IF($Y2466="","",IF(INDEX($D$6:$D$40000,$Y2466)="","",INDEX($D$6:$D$40000,$Y2466)))</f>
        <v/>
      </c>
      <c r="AB2466">
        <f>IF($Y2466="","",INDEX($L$6:$L$40000,$Y2466)&amp;"")</f>
        <v/>
      </c>
    </row>
    <row r="2467">
      <c r="Y2467" s="47">
        <f>IFERROR(MATCH(Library!M2467,$M$6:$M$40000,0),"")</f>
        <v/>
      </c>
      <c r="Z2467">
        <f>IF($Y2467="","",INDEX($C$6:$C$40000,$Y2467)&amp;"")</f>
        <v/>
      </c>
      <c r="AA2467" s="59">
        <f>IF($Y2467="","",IF(INDEX($D$6:$D$40000,$Y2467)="","",INDEX($D$6:$D$40000,$Y2467)))</f>
        <v/>
      </c>
      <c r="AB2467">
        <f>IF($Y2467="","",INDEX($L$6:$L$40000,$Y2467)&amp;"")</f>
        <v/>
      </c>
    </row>
    <row r="2468">
      <c r="Y2468" s="47">
        <f>IFERROR(MATCH(Library!M2468,$M$6:$M$40000,0),"")</f>
        <v/>
      </c>
      <c r="Z2468">
        <f>IF($Y2468="","",INDEX($C$6:$C$40000,$Y2468)&amp;"")</f>
        <v/>
      </c>
      <c r="AA2468" s="59">
        <f>IF($Y2468="","",IF(INDEX($D$6:$D$40000,$Y2468)="","",INDEX($D$6:$D$40000,$Y2468)))</f>
        <v/>
      </c>
      <c r="AB2468">
        <f>IF($Y2468="","",INDEX($L$6:$L$40000,$Y2468)&amp;"")</f>
        <v/>
      </c>
    </row>
    <row r="2469">
      <c r="Y2469" s="47">
        <f>IFERROR(MATCH(Library!M2469,$M$6:$M$40000,0),"")</f>
        <v/>
      </c>
      <c r="Z2469">
        <f>IF($Y2469="","",INDEX($C$6:$C$40000,$Y2469)&amp;"")</f>
        <v/>
      </c>
      <c r="AA2469" s="59">
        <f>IF($Y2469="","",IF(INDEX($D$6:$D$40000,$Y2469)="","",INDEX($D$6:$D$40000,$Y2469)))</f>
        <v/>
      </c>
      <c r="AB2469">
        <f>IF($Y2469="","",INDEX($L$6:$L$40000,$Y2469)&amp;"")</f>
        <v/>
      </c>
    </row>
    <row r="2470">
      <c r="Y2470" s="47">
        <f>IFERROR(MATCH(Library!M2470,$M$6:$M$40000,0),"")</f>
        <v/>
      </c>
      <c r="Z2470">
        <f>IF($Y2470="","",INDEX($C$6:$C$40000,$Y2470)&amp;"")</f>
        <v/>
      </c>
      <c r="AA2470" s="59">
        <f>IF($Y2470="","",IF(INDEX($D$6:$D$40000,$Y2470)="","",INDEX($D$6:$D$40000,$Y2470)))</f>
        <v/>
      </c>
      <c r="AB2470">
        <f>IF($Y2470="","",INDEX($L$6:$L$40000,$Y2470)&amp;"")</f>
        <v/>
      </c>
    </row>
    <row r="2471">
      <c r="Y2471" s="47">
        <f>IFERROR(MATCH(Library!M2471,$M$6:$M$40000,0),"")</f>
        <v/>
      </c>
      <c r="Z2471">
        <f>IF($Y2471="","",INDEX($C$6:$C$40000,$Y2471)&amp;"")</f>
        <v/>
      </c>
      <c r="AA2471" s="59">
        <f>IF($Y2471="","",IF(INDEX($D$6:$D$40000,$Y2471)="","",INDEX($D$6:$D$40000,$Y2471)))</f>
        <v/>
      </c>
      <c r="AB2471">
        <f>IF($Y2471="","",INDEX($L$6:$L$40000,$Y2471)&amp;"")</f>
        <v/>
      </c>
    </row>
    <row r="2472">
      <c r="Y2472" s="47">
        <f>IFERROR(MATCH(Library!M2472,$M$6:$M$40000,0),"")</f>
        <v/>
      </c>
      <c r="Z2472">
        <f>IF($Y2472="","",INDEX($C$6:$C$40000,$Y2472)&amp;"")</f>
        <v/>
      </c>
      <c r="AA2472" s="59">
        <f>IF($Y2472="","",IF(INDEX($D$6:$D$40000,$Y2472)="","",INDEX($D$6:$D$40000,$Y2472)))</f>
        <v/>
      </c>
      <c r="AB2472">
        <f>IF($Y2472="","",INDEX($L$6:$L$40000,$Y2472)&amp;"")</f>
        <v/>
      </c>
    </row>
    <row r="2473">
      <c r="Y2473" s="47">
        <f>IFERROR(MATCH(Library!M2473,$M$6:$M$40000,0),"")</f>
        <v/>
      </c>
      <c r="Z2473">
        <f>IF($Y2473="","",INDEX($C$6:$C$40000,$Y2473)&amp;"")</f>
        <v/>
      </c>
      <c r="AA2473" s="59">
        <f>IF($Y2473="","",IF(INDEX($D$6:$D$40000,$Y2473)="","",INDEX($D$6:$D$40000,$Y2473)))</f>
        <v/>
      </c>
      <c r="AB2473">
        <f>IF($Y2473="","",INDEX($L$6:$L$40000,$Y2473)&amp;"")</f>
        <v/>
      </c>
    </row>
    <row r="2474">
      <c r="Y2474" s="47">
        <f>IFERROR(MATCH(Library!M2474,$M$6:$M$40000,0),"")</f>
        <v/>
      </c>
      <c r="Z2474">
        <f>IF($Y2474="","",INDEX($C$6:$C$40000,$Y2474)&amp;"")</f>
        <v/>
      </c>
      <c r="AA2474" s="59">
        <f>IF($Y2474="","",IF(INDEX($D$6:$D$40000,$Y2474)="","",INDEX($D$6:$D$40000,$Y2474)))</f>
        <v/>
      </c>
      <c r="AB2474">
        <f>IF($Y2474="","",INDEX($L$6:$L$40000,$Y2474)&amp;"")</f>
        <v/>
      </c>
    </row>
    <row r="2475">
      <c r="Y2475" s="47">
        <f>IFERROR(MATCH(Library!M2475,$M$6:$M$40000,0),"")</f>
        <v/>
      </c>
      <c r="Z2475">
        <f>IF($Y2475="","",INDEX($C$6:$C$40000,$Y2475)&amp;"")</f>
        <v/>
      </c>
      <c r="AA2475" s="59">
        <f>IF($Y2475="","",IF(INDEX($D$6:$D$40000,$Y2475)="","",INDEX($D$6:$D$40000,$Y2475)))</f>
        <v/>
      </c>
      <c r="AB2475">
        <f>IF($Y2475="","",INDEX($L$6:$L$40000,$Y2475)&amp;"")</f>
        <v/>
      </c>
    </row>
    <row r="2476">
      <c r="Y2476" s="47">
        <f>IFERROR(MATCH(Library!M2476,$M$6:$M$40000,0),"")</f>
        <v/>
      </c>
      <c r="Z2476">
        <f>IF($Y2476="","",INDEX($C$6:$C$40000,$Y2476)&amp;"")</f>
        <v/>
      </c>
      <c r="AA2476" s="59">
        <f>IF($Y2476="","",IF(INDEX($D$6:$D$40000,$Y2476)="","",INDEX($D$6:$D$40000,$Y2476)))</f>
        <v/>
      </c>
      <c r="AB2476">
        <f>IF($Y2476="","",INDEX($L$6:$L$40000,$Y2476)&amp;"")</f>
        <v/>
      </c>
    </row>
    <row r="2477">
      <c r="Y2477" s="47">
        <f>IFERROR(MATCH(Library!M2477,$M$6:$M$40000,0),"")</f>
        <v/>
      </c>
      <c r="Z2477">
        <f>IF($Y2477="","",INDEX($C$6:$C$40000,$Y2477)&amp;"")</f>
        <v/>
      </c>
      <c r="AA2477" s="59">
        <f>IF($Y2477="","",IF(INDEX($D$6:$D$40000,$Y2477)="","",INDEX($D$6:$D$40000,$Y2477)))</f>
        <v/>
      </c>
      <c r="AB2477">
        <f>IF($Y2477="","",INDEX($L$6:$L$40000,$Y2477)&amp;"")</f>
        <v/>
      </c>
    </row>
    <row r="2478">
      <c r="Y2478" s="47">
        <f>IFERROR(MATCH(Library!M2478,$M$6:$M$40000,0),"")</f>
        <v/>
      </c>
      <c r="Z2478">
        <f>IF($Y2478="","",INDEX($C$6:$C$40000,$Y2478)&amp;"")</f>
        <v/>
      </c>
      <c r="AA2478" s="59">
        <f>IF($Y2478="","",IF(INDEX($D$6:$D$40000,$Y2478)="","",INDEX($D$6:$D$40000,$Y2478)))</f>
        <v/>
      </c>
      <c r="AB2478">
        <f>IF($Y2478="","",INDEX($L$6:$L$40000,$Y2478)&amp;"")</f>
        <v/>
      </c>
    </row>
    <row r="2479">
      <c r="Y2479" s="47">
        <f>IFERROR(MATCH(Library!M2479,$M$6:$M$40000,0),"")</f>
        <v/>
      </c>
      <c r="Z2479">
        <f>IF($Y2479="","",INDEX($C$6:$C$40000,$Y2479)&amp;"")</f>
        <v/>
      </c>
      <c r="AA2479" s="59">
        <f>IF($Y2479="","",IF(INDEX($D$6:$D$40000,$Y2479)="","",INDEX($D$6:$D$40000,$Y2479)))</f>
        <v/>
      </c>
      <c r="AB2479">
        <f>IF($Y2479="","",INDEX($L$6:$L$40000,$Y2479)&amp;"")</f>
        <v/>
      </c>
    </row>
    <row r="2480">
      <c r="Y2480" s="47">
        <f>IFERROR(MATCH(Library!M2480,$M$6:$M$40000,0),"")</f>
        <v/>
      </c>
      <c r="Z2480">
        <f>IF($Y2480="","",INDEX($C$6:$C$40000,$Y2480)&amp;"")</f>
        <v/>
      </c>
      <c r="AA2480" s="59">
        <f>IF($Y2480="","",IF(INDEX($D$6:$D$40000,$Y2480)="","",INDEX($D$6:$D$40000,$Y2480)))</f>
        <v/>
      </c>
      <c r="AB2480">
        <f>IF($Y2480="","",INDEX($L$6:$L$40000,$Y2480)&amp;"")</f>
        <v/>
      </c>
    </row>
    <row r="2481">
      <c r="Y2481" s="47">
        <f>IFERROR(MATCH(Library!M2481,$M$6:$M$40000,0),"")</f>
        <v/>
      </c>
      <c r="Z2481">
        <f>IF($Y2481="","",INDEX($C$6:$C$40000,$Y2481)&amp;"")</f>
        <v/>
      </c>
      <c r="AA2481" s="59">
        <f>IF($Y2481="","",IF(INDEX($D$6:$D$40000,$Y2481)="","",INDEX($D$6:$D$40000,$Y2481)))</f>
        <v/>
      </c>
      <c r="AB2481">
        <f>IF($Y2481="","",INDEX($L$6:$L$40000,$Y2481)&amp;"")</f>
        <v/>
      </c>
    </row>
    <row r="2482">
      <c r="Y2482" s="47">
        <f>IFERROR(MATCH(Library!M2482,$M$6:$M$40000,0),"")</f>
        <v/>
      </c>
      <c r="Z2482">
        <f>IF($Y2482="","",INDEX($C$6:$C$40000,$Y2482)&amp;"")</f>
        <v/>
      </c>
      <c r="AA2482" s="59">
        <f>IF($Y2482="","",IF(INDEX($D$6:$D$40000,$Y2482)="","",INDEX($D$6:$D$40000,$Y2482)))</f>
        <v/>
      </c>
      <c r="AB2482">
        <f>IF($Y2482="","",INDEX($L$6:$L$40000,$Y2482)&amp;"")</f>
        <v/>
      </c>
    </row>
    <row r="2483">
      <c r="Y2483" s="47">
        <f>IFERROR(MATCH(Library!M2483,$M$6:$M$40000,0),"")</f>
        <v/>
      </c>
      <c r="Z2483">
        <f>IF($Y2483="","",INDEX($C$6:$C$40000,$Y2483)&amp;"")</f>
        <v/>
      </c>
      <c r="AA2483" s="59">
        <f>IF($Y2483="","",IF(INDEX($D$6:$D$40000,$Y2483)="","",INDEX($D$6:$D$40000,$Y2483)))</f>
        <v/>
      </c>
      <c r="AB2483">
        <f>IF($Y2483="","",INDEX($L$6:$L$40000,$Y2483)&amp;"")</f>
        <v/>
      </c>
    </row>
    <row r="2484">
      <c r="Y2484" s="47">
        <f>IFERROR(MATCH(Library!M2484,$M$6:$M$40000,0),"")</f>
        <v/>
      </c>
      <c r="Z2484">
        <f>IF($Y2484="","",INDEX($C$6:$C$40000,$Y2484)&amp;"")</f>
        <v/>
      </c>
      <c r="AA2484" s="59">
        <f>IF($Y2484="","",IF(INDEX($D$6:$D$40000,$Y2484)="","",INDEX($D$6:$D$40000,$Y2484)))</f>
        <v/>
      </c>
      <c r="AB2484">
        <f>IF($Y2484="","",INDEX($L$6:$L$40000,$Y2484)&amp;"")</f>
        <v/>
      </c>
    </row>
    <row r="2485">
      <c r="Y2485" s="47">
        <f>IFERROR(MATCH(Library!M2485,$M$6:$M$40000,0),"")</f>
        <v/>
      </c>
      <c r="Z2485">
        <f>IF($Y2485="","",INDEX($C$6:$C$40000,$Y2485)&amp;"")</f>
        <v/>
      </c>
      <c r="AA2485" s="59">
        <f>IF($Y2485="","",IF(INDEX($D$6:$D$40000,$Y2485)="","",INDEX($D$6:$D$40000,$Y2485)))</f>
        <v/>
      </c>
      <c r="AB2485">
        <f>IF($Y2485="","",INDEX($L$6:$L$40000,$Y2485)&amp;"")</f>
        <v/>
      </c>
    </row>
    <row r="2486">
      <c r="Y2486" s="47">
        <f>IFERROR(MATCH(Library!M2486,$M$6:$M$40000,0),"")</f>
        <v/>
      </c>
      <c r="Z2486">
        <f>IF($Y2486="","",INDEX($C$6:$C$40000,$Y2486)&amp;"")</f>
        <v/>
      </c>
      <c r="AA2486" s="59">
        <f>IF($Y2486="","",IF(INDEX($D$6:$D$40000,$Y2486)="","",INDEX($D$6:$D$40000,$Y2486)))</f>
        <v/>
      </c>
      <c r="AB2486">
        <f>IF($Y2486="","",INDEX($L$6:$L$40000,$Y2486)&amp;"")</f>
        <v/>
      </c>
    </row>
    <row r="2487">
      <c r="Y2487" s="47">
        <f>IFERROR(MATCH(Library!M2487,$M$6:$M$40000,0),"")</f>
        <v/>
      </c>
      <c r="Z2487">
        <f>IF($Y2487="","",INDEX($C$6:$C$40000,$Y2487)&amp;"")</f>
        <v/>
      </c>
      <c r="AA2487" s="59">
        <f>IF($Y2487="","",IF(INDEX($D$6:$D$40000,$Y2487)="","",INDEX($D$6:$D$40000,$Y2487)))</f>
        <v/>
      </c>
      <c r="AB2487">
        <f>IF($Y2487="","",INDEX($L$6:$L$40000,$Y2487)&amp;"")</f>
        <v/>
      </c>
    </row>
    <row r="2488">
      <c r="Y2488" s="47">
        <f>IFERROR(MATCH(Library!M2488,$M$6:$M$40000,0),"")</f>
        <v/>
      </c>
      <c r="Z2488">
        <f>IF($Y2488="","",INDEX($C$6:$C$40000,$Y2488)&amp;"")</f>
        <v/>
      </c>
      <c r="AA2488" s="59">
        <f>IF($Y2488="","",IF(INDEX($D$6:$D$40000,$Y2488)="","",INDEX($D$6:$D$40000,$Y2488)))</f>
        <v/>
      </c>
      <c r="AB2488">
        <f>IF($Y2488="","",INDEX($L$6:$L$40000,$Y2488)&amp;"")</f>
        <v/>
      </c>
    </row>
    <row r="2489">
      <c r="Y2489" s="47">
        <f>IFERROR(MATCH(Library!M2489,$M$6:$M$40000,0),"")</f>
        <v/>
      </c>
      <c r="Z2489">
        <f>IF($Y2489="","",INDEX($C$6:$C$40000,$Y2489)&amp;"")</f>
        <v/>
      </c>
      <c r="AA2489" s="59">
        <f>IF($Y2489="","",IF(INDEX($D$6:$D$40000,$Y2489)="","",INDEX($D$6:$D$40000,$Y2489)))</f>
        <v/>
      </c>
      <c r="AB2489">
        <f>IF($Y2489="","",INDEX($L$6:$L$40000,$Y2489)&amp;"")</f>
        <v/>
      </c>
    </row>
    <row r="2490">
      <c r="Y2490" s="47">
        <f>IFERROR(MATCH(Library!M2490,$M$6:$M$40000,0),"")</f>
        <v/>
      </c>
      <c r="Z2490">
        <f>IF($Y2490="","",INDEX($C$6:$C$40000,$Y2490)&amp;"")</f>
        <v/>
      </c>
      <c r="AA2490" s="59">
        <f>IF($Y2490="","",IF(INDEX($D$6:$D$40000,$Y2490)="","",INDEX($D$6:$D$40000,$Y2490)))</f>
        <v/>
      </c>
      <c r="AB2490">
        <f>IF($Y2490="","",INDEX($L$6:$L$40000,$Y2490)&amp;"")</f>
        <v/>
      </c>
    </row>
    <row r="2491">
      <c r="Y2491" s="47">
        <f>IFERROR(MATCH(Library!M2491,$M$6:$M$40000,0),"")</f>
        <v/>
      </c>
      <c r="Z2491">
        <f>IF($Y2491="","",INDEX($C$6:$C$40000,$Y2491)&amp;"")</f>
        <v/>
      </c>
      <c r="AA2491" s="59">
        <f>IF($Y2491="","",IF(INDEX($D$6:$D$40000,$Y2491)="","",INDEX($D$6:$D$40000,$Y2491)))</f>
        <v/>
      </c>
      <c r="AB2491">
        <f>IF($Y2491="","",INDEX($L$6:$L$40000,$Y2491)&amp;"")</f>
        <v/>
      </c>
    </row>
    <row r="2492">
      <c r="Y2492" s="47">
        <f>IFERROR(MATCH(Library!M2492,$M$6:$M$40000,0),"")</f>
        <v/>
      </c>
      <c r="Z2492">
        <f>IF($Y2492="","",INDEX($C$6:$C$40000,$Y2492)&amp;"")</f>
        <v/>
      </c>
      <c r="AA2492" s="59">
        <f>IF($Y2492="","",IF(INDEX($D$6:$D$40000,$Y2492)="","",INDEX($D$6:$D$40000,$Y2492)))</f>
        <v/>
      </c>
      <c r="AB2492">
        <f>IF($Y2492="","",INDEX($L$6:$L$40000,$Y2492)&amp;"")</f>
        <v/>
      </c>
    </row>
    <row r="2493">
      <c r="Y2493" s="47">
        <f>IFERROR(MATCH(Library!M2493,$M$6:$M$40000,0),"")</f>
        <v/>
      </c>
      <c r="Z2493">
        <f>IF($Y2493="","",INDEX($C$6:$C$40000,$Y2493)&amp;"")</f>
        <v/>
      </c>
      <c r="AA2493" s="59">
        <f>IF($Y2493="","",IF(INDEX($D$6:$D$40000,$Y2493)="","",INDEX($D$6:$D$40000,$Y2493)))</f>
        <v/>
      </c>
      <c r="AB2493">
        <f>IF($Y2493="","",INDEX($L$6:$L$40000,$Y2493)&amp;"")</f>
        <v/>
      </c>
    </row>
    <row r="2494">
      <c r="Y2494" s="47">
        <f>IFERROR(MATCH(Library!M2494,$M$6:$M$40000,0),"")</f>
        <v/>
      </c>
      <c r="Z2494">
        <f>IF($Y2494="","",INDEX($C$6:$C$40000,$Y2494)&amp;"")</f>
        <v/>
      </c>
      <c r="AA2494" s="59">
        <f>IF($Y2494="","",IF(INDEX($D$6:$D$40000,$Y2494)="","",INDEX($D$6:$D$40000,$Y2494)))</f>
        <v/>
      </c>
      <c r="AB2494">
        <f>IF($Y2494="","",INDEX($L$6:$L$40000,$Y2494)&amp;"")</f>
        <v/>
      </c>
    </row>
    <row r="2495">
      <c r="Y2495" s="47">
        <f>IFERROR(MATCH(Library!M2495,$M$6:$M$40000,0),"")</f>
        <v/>
      </c>
      <c r="Z2495">
        <f>IF($Y2495="","",INDEX($C$6:$C$40000,$Y2495)&amp;"")</f>
        <v/>
      </c>
      <c r="AA2495" s="59">
        <f>IF($Y2495="","",IF(INDEX($D$6:$D$40000,$Y2495)="","",INDEX($D$6:$D$40000,$Y2495)))</f>
        <v/>
      </c>
      <c r="AB2495">
        <f>IF($Y2495="","",INDEX($L$6:$L$40000,$Y2495)&amp;"")</f>
        <v/>
      </c>
    </row>
    <row r="2496">
      <c r="Y2496" s="47">
        <f>IFERROR(MATCH(Library!M2496,$M$6:$M$40000,0),"")</f>
        <v/>
      </c>
      <c r="Z2496">
        <f>IF($Y2496="","",INDEX($C$6:$C$40000,$Y2496)&amp;"")</f>
        <v/>
      </c>
      <c r="AA2496" s="59">
        <f>IF($Y2496="","",IF(INDEX($D$6:$D$40000,$Y2496)="","",INDEX($D$6:$D$40000,$Y2496)))</f>
        <v/>
      </c>
      <c r="AB2496">
        <f>IF($Y2496="","",INDEX($L$6:$L$40000,$Y2496)&amp;"")</f>
        <v/>
      </c>
    </row>
    <row r="2497">
      <c r="Y2497" s="47">
        <f>IFERROR(MATCH(Library!M2497,$M$6:$M$40000,0),"")</f>
        <v/>
      </c>
      <c r="Z2497">
        <f>IF($Y2497="","",INDEX($C$6:$C$40000,$Y2497)&amp;"")</f>
        <v/>
      </c>
      <c r="AA2497" s="59">
        <f>IF($Y2497="","",IF(INDEX($D$6:$D$40000,$Y2497)="","",INDEX($D$6:$D$40000,$Y2497)))</f>
        <v/>
      </c>
      <c r="AB2497">
        <f>IF($Y2497="","",INDEX($L$6:$L$40000,$Y2497)&amp;"")</f>
        <v/>
      </c>
    </row>
    <row r="2498">
      <c r="Y2498" s="47">
        <f>IFERROR(MATCH(Library!M2498,$M$6:$M$40000,0),"")</f>
        <v/>
      </c>
      <c r="Z2498">
        <f>IF($Y2498="","",INDEX($C$6:$C$40000,$Y2498)&amp;"")</f>
        <v/>
      </c>
      <c r="AA2498" s="59">
        <f>IF($Y2498="","",IF(INDEX($D$6:$D$40000,$Y2498)="","",INDEX($D$6:$D$40000,$Y2498)))</f>
        <v/>
      </c>
      <c r="AB2498">
        <f>IF($Y2498="","",INDEX($L$6:$L$40000,$Y2498)&amp;"")</f>
        <v/>
      </c>
    </row>
    <row r="2499">
      <c r="Y2499" s="47">
        <f>IFERROR(MATCH(Library!M2499,$M$6:$M$40000,0),"")</f>
        <v/>
      </c>
      <c r="Z2499">
        <f>IF($Y2499="","",INDEX($C$6:$C$40000,$Y2499)&amp;"")</f>
        <v/>
      </c>
      <c r="AA2499" s="59">
        <f>IF($Y2499="","",IF(INDEX($D$6:$D$40000,$Y2499)="","",INDEX($D$6:$D$40000,$Y2499)))</f>
        <v/>
      </c>
      <c r="AB2499">
        <f>IF($Y2499="","",INDEX($L$6:$L$40000,$Y2499)&amp;"")</f>
        <v/>
      </c>
    </row>
    <row r="2500">
      <c r="Y2500" s="47">
        <f>IFERROR(MATCH(Library!M2500,$M$6:$M$40000,0),"")</f>
        <v/>
      </c>
      <c r="Z2500">
        <f>IF($Y2500="","",INDEX($C$6:$C$40000,$Y2500)&amp;"")</f>
        <v/>
      </c>
      <c r="AA2500" s="59">
        <f>IF($Y2500="","",IF(INDEX($D$6:$D$40000,$Y2500)="","",INDEX($D$6:$D$40000,$Y2500)))</f>
        <v/>
      </c>
      <c r="AB2500">
        <f>IF($Y2500="","",INDEX($L$6:$L$40000,$Y2500)&amp;"")</f>
        <v/>
      </c>
    </row>
    <row r="2501">
      <c r="Y2501" s="47">
        <f>IFERROR(MATCH(Library!M2501,$M$6:$M$40000,0),"")</f>
        <v/>
      </c>
      <c r="Z2501">
        <f>IF($Y2501="","",INDEX($C$6:$C$40000,$Y2501)&amp;"")</f>
        <v/>
      </c>
      <c r="AA2501" s="59">
        <f>IF($Y2501="","",IF(INDEX($D$6:$D$40000,$Y2501)="","",INDEX($D$6:$D$40000,$Y2501)))</f>
        <v/>
      </c>
      <c r="AB2501">
        <f>IF($Y2501="","",INDEX($L$6:$L$40000,$Y2501)&amp;"")</f>
        <v/>
      </c>
    </row>
    <row r="2502">
      <c r="Y2502" s="47">
        <f>IFERROR(MATCH(Library!M2502,$M$6:$M$40000,0),"")</f>
        <v/>
      </c>
      <c r="Z2502">
        <f>IF($Y2502="","",INDEX($C$6:$C$40000,$Y2502)&amp;"")</f>
        <v/>
      </c>
      <c r="AA2502" s="59">
        <f>IF($Y2502="","",IF(INDEX($D$6:$D$40000,$Y2502)="","",INDEX($D$6:$D$40000,$Y2502)))</f>
        <v/>
      </c>
      <c r="AB2502">
        <f>IF($Y2502="","",INDEX($L$6:$L$40000,$Y2502)&amp;"")</f>
        <v/>
      </c>
    </row>
    <row r="2503">
      <c r="Y2503" s="47">
        <f>IFERROR(MATCH(Library!M2503,$M$6:$M$40000,0),"")</f>
        <v/>
      </c>
      <c r="Z2503">
        <f>IF($Y2503="","",INDEX($C$6:$C$40000,$Y2503)&amp;"")</f>
        <v/>
      </c>
      <c r="AA2503" s="59">
        <f>IF($Y2503="","",IF(INDEX($D$6:$D$40000,$Y2503)="","",INDEX($D$6:$D$40000,$Y2503)))</f>
        <v/>
      </c>
      <c r="AB2503">
        <f>IF($Y2503="","",INDEX($L$6:$L$40000,$Y2503)&amp;"")</f>
        <v/>
      </c>
    </row>
    <row r="2504">
      <c r="Y2504" s="47">
        <f>IFERROR(MATCH(Library!M2504,$M$6:$M$40000,0),"")</f>
        <v/>
      </c>
      <c r="Z2504">
        <f>IF($Y2504="","",INDEX($C$6:$C$40000,$Y2504)&amp;"")</f>
        <v/>
      </c>
      <c r="AA2504" s="59">
        <f>IF($Y2504="","",IF(INDEX($D$6:$D$40000,$Y2504)="","",INDEX($D$6:$D$40000,$Y2504)))</f>
        <v/>
      </c>
      <c r="AB2504">
        <f>IF($Y2504="","",INDEX($L$6:$L$40000,$Y2504)&amp;"")</f>
        <v/>
      </c>
    </row>
    <row r="2505">
      <c r="Y2505" s="47">
        <f>IFERROR(MATCH(Library!M2505,$M$6:$M$40000,0),"")</f>
        <v/>
      </c>
      <c r="Z2505">
        <f>IF($Y2505="","",INDEX($C$6:$C$40000,$Y2505)&amp;"")</f>
        <v/>
      </c>
      <c r="AA2505" s="59">
        <f>IF($Y2505="","",IF(INDEX($D$6:$D$40000,$Y2505)="","",INDEX($D$6:$D$40000,$Y2505)))</f>
        <v/>
      </c>
      <c r="AB2505">
        <f>IF($Y2505="","",INDEX($L$6:$L$40000,$Y2505)&amp;"")</f>
        <v/>
      </c>
    </row>
    <row r="2506">
      <c r="Y2506" s="47">
        <f>IFERROR(MATCH(Library!M2506,$M$6:$M$40000,0),"")</f>
        <v/>
      </c>
      <c r="Z2506">
        <f>IF($Y2506="","",INDEX($C$6:$C$40000,$Y2506)&amp;"")</f>
        <v/>
      </c>
      <c r="AA2506" s="59">
        <f>IF($Y2506="","",IF(INDEX($D$6:$D$40000,$Y2506)="","",INDEX($D$6:$D$40000,$Y2506)))</f>
        <v/>
      </c>
      <c r="AB2506">
        <f>IF($Y2506="","",INDEX($L$6:$L$40000,$Y2506)&amp;"")</f>
        <v/>
      </c>
    </row>
    <row r="2507">
      <c r="Y2507" s="47">
        <f>IFERROR(MATCH(Library!M2507,$M$6:$M$40000,0),"")</f>
        <v/>
      </c>
      <c r="Z2507">
        <f>IF($Y2507="","",INDEX($C$6:$C$40000,$Y2507)&amp;"")</f>
        <v/>
      </c>
      <c r="AA2507" s="59">
        <f>IF($Y2507="","",IF(INDEX($D$6:$D$40000,$Y2507)="","",INDEX($D$6:$D$40000,$Y2507)))</f>
        <v/>
      </c>
      <c r="AB2507">
        <f>IF($Y2507="","",INDEX($L$6:$L$40000,$Y2507)&amp;"")</f>
        <v/>
      </c>
    </row>
    <row r="2508">
      <c r="Y2508" s="47">
        <f>IFERROR(MATCH(Library!M2508,$M$6:$M$40000,0),"")</f>
        <v/>
      </c>
      <c r="Z2508">
        <f>IF($Y2508="","",INDEX($C$6:$C$40000,$Y2508)&amp;"")</f>
        <v/>
      </c>
      <c r="AA2508" s="59">
        <f>IF($Y2508="","",IF(INDEX($D$6:$D$40000,$Y2508)="","",INDEX($D$6:$D$40000,$Y2508)))</f>
        <v/>
      </c>
      <c r="AB2508">
        <f>IF($Y2508="","",INDEX($L$6:$L$40000,$Y2508)&amp;"")</f>
        <v/>
      </c>
    </row>
    <row r="2509">
      <c r="Y2509" s="47">
        <f>IFERROR(MATCH(Library!M2509,$M$6:$M$40000,0),"")</f>
        <v/>
      </c>
      <c r="Z2509">
        <f>IF($Y2509="","",INDEX($C$6:$C$40000,$Y2509)&amp;"")</f>
        <v/>
      </c>
      <c r="AA2509" s="59">
        <f>IF($Y2509="","",IF(INDEX($D$6:$D$40000,$Y2509)="","",INDEX($D$6:$D$40000,$Y2509)))</f>
        <v/>
      </c>
      <c r="AB2509">
        <f>IF($Y2509="","",INDEX($L$6:$L$40000,$Y2509)&amp;"")</f>
        <v/>
      </c>
    </row>
    <row r="2510">
      <c r="Y2510" s="47">
        <f>IFERROR(MATCH(Library!M2510,$M$6:$M$40000,0),"")</f>
        <v/>
      </c>
      <c r="Z2510">
        <f>IF($Y2510="","",INDEX($C$6:$C$40000,$Y2510)&amp;"")</f>
        <v/>
      </c>
      <c r="AA2510" s="59">
        <f>IF($Y2510="","",IF(INDEX($D$6:$D$40000,$Y2510)="","",INDEX($D$6:$D$40000,$Y2510)))</f>
        <v/>
      </c>
      <c r="AB2510">
        <f>IF($Y2510="","",INDEX($L$6:$L$40000,$Y2510)&amp;"")</f>
        <v/>
      </c>
    </row>
    <row r="2511">
      <c r="Y2511" s="47">
        <f>IFERROR(MATCH(Library!M2511,$M$6:$M$40000,0),"")</f>
        <v/>
      </c>
      <c r="Z2511">
        <f>IF($Y2511="","",INDEX($C$6:$C$40000,$Y2511)&amp;"")</f>
        <v/>
      </c>
      <c r="AA2511" s="59">
        <f>IF($Y2511="","",IF(INDEX($D$6:$D$40000,$Y2511)="","",INDEX($D$6:$D$40000,$Y2511)))</f>
        <v/>
      </c>
      <c r="AB2511">
        <f>IF($Y2511="","",INDEX($L$6:$L$40000,$Y2511)&amp;"")</f>
        <v/>
      </c>
    </row>
    <row r="2512">
      <c r="Y2512" s="47">
        <f>IFERROR(MATCH(Library!M2512,$M$6:$M$40000,0),"")</f>
        <v/>
      </c>
      <c r="Z2512">
        <f>IF($Y2512="","",INDEX($C$6:$C$40000,$Y2512)&amp;"")</f>
        <v/>
      </c>
      <c r="AA2512" s="59">
        <f>IF($Y2512="","",IF(INDEX($D$6:$D$40000,$Y2512)="","",INDEX($D$6:$D$40000,$Y2512)))</f>
        <v/>
      </c>
      <c r="AB2512">
        <f>IF($Y2512="","",INDEX($L$6:$L$40000,$Y2512)&amp;"")</f>
        <v/>
      </c>
    </row>
    <row r="2513">
      <c r="Y2513" s="47">
        <f>IFERROR(MATCH(Library!M2513,$M$6:$M$40000,0),"")</f>
        <v/>
      </c>
      <c r="Z2513">
        <f>IF($Y2513="","",INDEX($C$6:$C$40000,$Y2513)&amp;"")</f>
        <v/>
      </c>
      <c r="AA2513" s="59">
        <f>IF($Y2513="","",IF(INDEX($D$6:$D$40000,$Y2513)="","",INDEX($D$6:$D$40000,$Y2513)))</f>
        <v/>
      </c>
      <c r="AB2513">
        <f>IF($Y2513="","",INDEX($L$6:$L$40000,$Y2513)&amp;"")</f>
        <v/>
      </c>
    </row>
    <row r="2514">
      <c r="Y2514" s="47">
        <f>IFERROR(MATCH(Library!M2514,$M$6:$M$40000,0),"")</f>
        <v/>
      </c>
      <c r="Z2514">
        <f>IF($Y2514="","",INDEX($C$6:$C$40000,$Y2514)&amp;"")</f>
        <v/>
      </c>
      <c r="AA2514" s="59">
        <f>IF($Y2514="","",IF(INDEX($D$6:$D$40000,$Y2514)="","",INDEX($D$6:$D$40000,$Y2514)))</f>
        <v/>
      </c>
      <c r="AB2514">
        <f>IF($Y2514="","",INDEX($L$6:$L$40000,$Y2514)&amp;"")</f>
        <v/>
      </c>
    </row>
    <row r="2515">
      <c r="Y2515" s="47">
        <f>IFERROR(MATCH(Library!M2515,$M$6:$M$40000,0),"")</f>
        <v/>
      </c>
      <c r="Z2515">
        <f>IF($Y2515="","",INDEX($C$6:$C$40000,$Y2515)&amp;"")</f>
        <v/>
      </c>
      <c r="AA2515" s="59">
        <f>IF($Y2515="","",IF(INDEX($D$6:$D$40000,$Y2515)="","",INDEX($D$6:$D$40000,$Y2515)))</f>
        <v/>
      </c>
      <c r="AB2515">
        <f>IF($Y2515="","",INDEX($L$6:$L$40000,$Y2515)&amp;"")</f>
        <v/>
      </c>
    </row>
    <row r="2516">
      <c r="Y2516" s="47">
        <f>IFERROR(MATCH(Library!M2516,$M$6:$M$40000,0),"")</f>
        <v/>
      </c>
      <c r="Z2516">
        <f>IF($Y2516="","",INDEX($C$6:$C$40000,$Y2516)&amp;"")</f>
        <v/>
      </c>
      <c r="AA2516" s="59">
        <f>IF($Y2516="","",IF(INDEX($D$6:$D$40000,$Y2516)="","",INDEX($D$6:$D$40000,$Y2516)))</f>
        <v/>
      </c>
      <c r="AB2516">
        <f>IF($Y2516="","",INDEX($L$6:$L$40000,$Y2516)&amp;"")</f>
        <v/>
      </c>
    </row>
    <row r="2517">
      <c r="Y2517" s="47">
        <f>IFERROR(MATCH(Library!M2517,$M$6:$M$40000,0),"")</f>
        <v/>
      </c>
      <c r="Z2517">
        <f>IF($Y2517="","",INDEX($C$6:$C$40000,$Y2517)&amp;"")</f>
        <v/>
      </c>
      <c r="AA2517" s="59">
        <f>IF($Y2517="","",IF(INDEX($D$6:$D$40000,$Y2517)="","",INDEX($D$6:$D$40000,$Y2517)))</f>
        <v/>
      </c>
      <c r="AB2517">
        <f>IF($Y2517="","",INDEX($L$6:$L$40000,$Y2517)&amp;"")</f>
        <v/>
      </c>
    </row>
    <row r="2518">
      <c r="Y2518" s="47">
        <f>IFERROR(MATCH(Library!M2518,$M$6:$M$40000,0),"")</f>
        <v/>
      </c>
      <c r="Z2518">
        <f>IF($Y2518="","",INDEX($C$6:$C$40000,$Y2518)&amp;"")</f>
        <v/>
      </c>
      <c r="AA2518" s="59">
        <f>IF($Y2518="","",IF(INDEX($D$6:$D$40000,$Y2518)="","",INDEX($D$6:$D$40000,$Y2518)))</f>
        <v/>
      </c>
      <c r="AB2518">
        <f>IF($Y2518="","",INDEX($L$6:$L$40000,$Y2518)&amp;"")</f>
        <v/>
      </c>
    </row>
    <row r="2519">
      <c r="Y2519" s="47">
        <f>IFERROR(MATCH(Library!M2519,$M$6:$M$40000,0),"")</f>
        <v/>
      </c>
      <c r="Z2519">
        <f>IF($Y2519="","",INDEX($C$6:$C$40000,$Y2519)&amp;"")</f>
        <v/>
      </c>
      <c r="AA2519" s="59">
        <f>IF($Y2519="","",IF(INDEX($D$6:$D$40000,$Y2519)="","",INDEX($D$6:$D$40000,$Y2519)))</f>
        <v/>
      </c>
      <c r="AB2519">
        <f>IF($Y2519="","",INDEX($L$6:$L$40000,$Y2519)&amp;"")</f>
        <v/>
      </c>
    </row>
    <row r="2520">
      <c r="Y2520" s="47">
        <f>IFERROR(MATCH(Library!M2520,$M$6:$M$40000,0),"")</f>
        <v/>
      </c>
      <c r="Z2520">
        <f>IF($Y2520="","",INDEX($C$6:$C$40000,$Y2520)&amp;"")</f>
        <v/>
      </c>
      <c r="AA2520" s="59">
        <f>IF($Y2520="","",IF(INDEX($D$6:$D$40000,$Y2520)="","",INDEX($D$6:$D$40000,$Y2520)))</f>
        <v/>
      </c>
      <c r="AB2520">
        <f>IF($Y2520="","",INDEX($L$6:$L$40000,$Y2520)&amp;"")</f>
        <v/>
      </c>
    </row>
    <row r="2521">
      <c r="Y2521" s="47">
        <f>IFERROR(MATCH(Library!M2521,$M$6:$M$40000,0),"")</f>
        <v/>
      </c>
      <c r="Z2521">
        <f>IF($Y2521="","",INDEX($C$6:$C$40000,$Y2521)&amp;"")</f>
        <v/>
      </c>
      <c r="AA2521" s="59">
        <f>IF($Y2521="","",IF(INDEX($D$6:$D$40000,$Y2521)="","",INDEX($D$6:$D$40000,$Y2521)))</f>
        <v/>
      </c>
      <c r="AB2521">
        <f>IF($Y2521="","",INDEX($L$6:$L$40000,$Y2521)&amp;"")</f>
        <v/>
      </c>
    </row>
    <row r="2522">
      <c r="Y2522" s="47">
        <f>IFERROR(MATCH(Library!M2522,$M$6:$M$40000,0),"")</f>
        <v/>
      </c>
      <c r="Z2522">
        <f>IF($Y2522="","",INDEX($C$6:$C$40000,$Y2522)&amp;"")</f>
        <v/>
      </c>
      <c r="AA2522" s="59">
        <f>IF($Y2522="","",IF(INDEX($D$6:$D$40000,$Y2522)="","",INDEX($D$6:$D$40000,$Y2522)))</f>
        <v/>
      </c>
      <c r="AB2522">
        <f>IF($Y2522="","",INDEX($L$6:$L$40000,$Y2522)&amp;"")</f>
        <v/>
      </c>
    </row>
    <row r="2523">
      <c r="Y2523" s="47">
        <f>IFERROR(MATCH(Library!M2523,$M$6:$M$40000,0),"")</f>
        <v/>
      </c>
      <c r="Z2523">
        <f>IF($Y2523="","",INDEX($C$6:$C$40000,$Y2523)&amp;"")</f>
        <v/>
      </c>
      <c r="AA2523" s="59">
        <f>IF($Y2523="","",IF(INDEX($D$6:$D$40000,$Y2523)="","",INDEX($D$6:$D$40000,$Y2523)))</f>
        <v/>
      </c>
      <c r="AB2523">
        <f>IF($Y2523="","",INDEX($L$6:$L$40000,$Y2523)&amp;"")</f>
        <v/>
      </c>
    </row>
    <row r="2524">
      <c r="Y2524" s="47">
        <f>IFERROR(MATCH(Library!M2524,$M$6:$M$40000,0),"")</f>
        <v/>
      </c>
      <c r="Z2524">
        <f>IF($Y2524="","",INDEX($C$6:$C$40000,$Y2524)&amp;"")</f>
        <v/>
      </c>
      <c r="AA2524" s="59">
        <f>IF($Y2524="","",IF(INDEX($D$6:$D$40000,$Y2524)="","",INDEX($D$6:$D$40000,$Y2524)))</f>
        <v/>
      </c>
      <c r="AB2524">
        <f>IF($Y2524="","",INDEX($L$6:$L$40000,$Y2524)&amp;"")</f>
        <v/>
      </c>
    </row>
    <row r="2525">
      <c r="Y2525" s="47">
        <f>IFERROR(MATCH(Library!M2525,$M$6:$M$40000,0),"")</f>
        <v/>
      </c>
      <c r="Z2525">
        <f>IF($Y2525="","",INDEX($C$6:$C$40000,$Y2525)&amp;"")</f>
        <v/>
      </c>
      <c r="AA2525" s="59">
        <f>IF($Y2525="","",IF(INDEX($D$6:$D$40000,$Y2525)="","",INDEX($D$6:$D$40000,$Y2525)))</f>
        <v/>
      </c>
      <c r="AB2525">
        <f>IF($Y2525="","",INDEX($L$6:$L$40000,$Y2525)&amp;"")</f>
        <v/>
      </c>
    </row>
    <row r="2526">
      <c r="Y2526" s="47">
        <f>IFERROR(MATCH(Library!M2526,$M$6:$M$40000,0),"")</f>
        <v/>
      </c>
      <c r="Z2526">
        <f>IF($Y2526="","",INDEX($C$6:$C$40000,$Y2526)&amp;"")</f>
        <v/>
      </c>
      <c r="AA2526" s="59">
        <f>IF($Y2526="","",IF(INDEX($D$6:$D$40000,$Y2526)="","",INDEX($D$6:$D$40000,$Y2526)))</f>
        <v/>
      </c>
      <c r="AB2526">
        <f>IF($Y2526="","",INDEX($L$6:$L$40000,$Y2526)&amp;"")</f>
        <v/>
      </c>
    </row>
    <row r="2527">
      <c r="Y2527" s="47">
        <f>IFERROR(MATCH(Library!M2527,$M$6:$M$40000,0),"")</f>
        <v/>
      </c>
      <c r="Z2527">
        <f>IF($Y2527="","",INDEX($C$6:$C$40000,$Y2527)&amp;"")</f>
        <v/>
      </c>
      <c r="AA2527" s="59">
        <f>IF($Y2527="","",IF(INDEX($D$6:$D$40000,$Y2527)="","",INDEX($D$6:$D$40000,$Y2527)))</f>
        <v/>
      </c>
      <c r="AB2527">
        <f>IF($Y2527="","",INDEX($L$6:$L$40000,$Y2527)&amp;"")</f>
        <v/>
      </c>
    </row>
    <row r="2528">
      <c r="Y2528" s="47">
        <f>IFERROR(MATCH(Library!M2528,$M$6:$M$40000,0),"")</f>
        <v/>
      </c>
      <c r="Z2528">
        <f>IF($Y2528="","",INDEX($C$6:$C$40000,$Y2528)&amp;"")</f>
        <v/>
      </c>
      <c r="AA2528" s="59">
        <f>IF($Y2528="","",IF(INDEX($D$6:$D$40000,$Y2528)="","",INDEX($D$6:$D$40000,$Y2528)))</f>
        <v/>
      </c>
      <c r="AB2528">
        <f>IF($Y2528="","",INDEX($L$6:$L$40000,$Y2528)&amp;"")</f>
        <v/>
      </c>
    </row>
    <row r="2529">
      <c r="Y2529" s="47">
        <f>IFERROR(MATCH(Library!M2529,$M$6:$M$40000,0),"")</f>
        <v/>
      </c>
      <c r="Z2529">
        <f>IF($Y2529="","",INDEX($C$6:$C$40000,$Y2529)&amp;"")</f>
        <v/>
      </c>
      <c r="AA2529" s="59">
        <f>IF($Y2529="","",IF(INDEX($D$6:$D$40000,$Y2529)="","",INDEX($D$6:$D$40000,$Y2529)))</f>
        <v/>
      </c>
      <c r="AB2529">
        <f>IF($Y2529="","",INDEX($L$6:$L$40000,$Y2529)&amp;"")</f>
        <v/>
      </c>
    </row>
    <row r="2530">
      <c r="Y2530" s="47">
        <f>IFERROR(MATCH(Library!M2530,$M$6:$M$40000,0),"")</f>
        <v/>
      </c>
      <c r="Z2530">
        <f>IF($Y2530="","",INDEX($C$6:$C$40000,$Y2530)&amp;"")</f>
        <v/>
      </c>
      <c r="AA2530" s="59">
        <f>IF($Y2530="","",IF(INDEX($D$6:$D$40000,$Y2530)="","",INDEX($D$6:$D$40000,$Y2530)))</f>
        <v/>
      </c>
      <c r="AB2530">
        <f>IF($Y2530="","",INDEX($L$6:$L$40000,$Y2530)&amp;"")</f>
        <v/>
      </c>
    </row>
    <row r="2531">
      <c r="Y2531" s="47">
        <f>IFERROR(MATCH(Library!M2531,$M$6:$M$40000,0),"")</f>
        <v/>
      </c>
      <c r="Z2531">
        <f>IF($Y2531="","",INDEX($C$6:$C$40000,$Y2531)&amp;"")</f>
        <v/>
      </c>
      <c r="AA2531" s="59">
        <f>IF($Y2531="","",IF(INDEX($D$6:$D$40000,$Y2531)="","",INDEX($D$6:$D$40000,$Y2531)))</f>
        <v/>
      </c>
      <c r="AB2531">
        <f>IF($Y2531="","",INDEX($L$6:$L$40000,$Y2531)&amp;"")</f>
        <v/>
      </c>
    </row>
    <row r="2532">
      <c r="Y2532" s="47">
        <f>IFERROR(MATCH(Library!M2532,$M$6:$M$40000,0),"")</f>
        <v/>
      </c>
      <c r="Z2532">
        <f>IF($Y2532="","",INDEX($C$6:$C$40000,$Y2532)&amp;"")</f>
        <v/>
      </c>
      <c r="AA2532" s="59">
        <f>IF($Y2532="","",IF(INDEX($D$6:$D$40000,$Y2532)="","",INDEX($D$6:$D$40000,$Y2532)))</f>
        <v/>
      </c>
      <c r="AB2532">
        <f>IF($Y2532="","",INDEX($L$6:$L$40000,$Y2532)&amp;"")</f>
        <v/>
      </c>
    </row>
    <row r="2533">
      <c r="Y2533" s="47">
        <f>IFERROR(MATCH(Library!M2533,$M$6:$M$40000,0),"")</f>
        <v/>
      </c>
      <c r="Z2533">
        <f>IF($Y2533="","",INDEX($C$6:$C$40000,$Y2533)&amp;"")</f>
        <v/>
      </c>
      <c r="AA2533" s="59">
        <f>IF($Y2533="","",IF(INDEX($D$6:$D$40000,$Y2533)="","",INDEX($D$6:$D$40000,$Y2533)))</f>
        <v/>
      </c>
      <c r="AB2533">
        <f>IF($Y2533="","",INDEX($L$6:$L$40000,$Y2533)&amp;"")</f>
        <v/>
      </c>
    </row>
    <row r="2534">
      <c r="Y2534" s="47">
        <f>IFERROR(MATCH(Library!M2534,$M$6:$M$40000,0),"")</f>
        <v/>
      </c>
      <c r="Z2534">
        <f>IF($Y2534="","",INDEX($C$6:$C$40000,$Y2534)&amp;"")</f>
        <v/>
      </c>
      <c r="AA2534" s="59">
        <f>IF($Y2534="","",IF(INDEX($D$6:$D$40000,$Y2534)="","",INDEX($D$6:$D$40000,$Y2534)))</f>
        <v/>
      </c>
      <c r="AB2534">
        <f>IF($Y2534="","",INDEX($L$6:$L$40000,$Y2534)&amp;"")</f>
        <v/>
      </c>
    </row>
    <row r="2535">
      <c r="Y2535" s="47">
        <f>IFERROR(MATCH(Library!M2535,$M$6:$M$40000,0),"")</f>
        <v/>
      </c>
      <c r="Z2535">
        <f>IF($Y2535="","",INDEX($C$6:$C$40000,$Y2535)&amp;"")</f>
        <v/>
      </c>
      <c r="AA2535" s="59">
        <f>IF($Y2535="","",IF(INDEX($D$6:$D$40000,$Y2535)="","",INDEX($D$6:$D$40000,$Y2535)))</f>
        <v/>
      </c>
      <c r="AB2535">
        <f>IF($Y2535="","",INDEX($L$6:$L$40000,$Y2535)&amp;"")</f>
        <v/>
      </c>
    </row>
    <row r="2536">
      <c r="Y2536" s="47">
        <f>IFERROR(MATCH(Library!M2536,$M$6:$M$40000,0),"")</f>
        <v/>
      </c>
      <c r="Z2536">
        <f>IF($Y2536="","",INDEX($C$6:$C$40000,$Y2536)&amp;"")</f>
        <v/>
      </c>
      <c r="AA2536" s="59">
        <f>IF($Y2536="","",IF(INDEX($D$6:$D$40000,$Y2536)="","",INDEX($D$6:$D$40000,$Y2536)))</f>
        <v/>
      </c>
      <c r="AB2536">
        <f>IF($Y2536="","",INDEX($L$6:$L$40000,$Y2536)&amp;"")</f>
        <v/>
      </c>
    </row>
    <row r="2537">
      <c r="Y2537" s="47">
        <f>IFERROR(MATCH(Library!M2537,$M$6:$M$40000,0),"")</f>
        <v/>
      </c>
      <c r="Z2537">
        <f>IF($Y2537="","",INDEX($C$6:$C$40000,$Y2537)&amp;"")</f>
        <v/>
      </c>
      <c r="AA2537" s="59">
        <f>IF($Y2537="","",IF(INDEX($D$6:$D$40000,$Y2537)="","",INDEX($D$6:$D$40000,$Y2537)))</f>
        <v/>
      </c>
      <c r="AB2537">
        <f>IF($Y2537="","",INDEX($L$6:$L$40000,$Y2537)&amp;"")</f>
        <v/>
      </c>
    </row>
    <row r="2538">
      <c r="Y2538" s="47">
        <f>IFERROR(MATCH(Library!M2538,$M$6:$M$40000,0),"")</f>
        <v/>
      </c>
      <c r="Z2538">
        <f>IF($Y2538="","",INDEX($C$6:$C$40000,$Y2538)&amp;"")</f>
        <v/>
      </c>
      <c r="AA2538" s="59">
        <f>IF($Y2538="","",IF(INDEX($D$6:$D$40000,$Y2538)="","",INDEX($D$6:$D$40000,$Y2538)))</f>
        <v/>
      </c>
      <c r="AB2538">
        <f>IF($Y2538="","",INDEX($L$6:$L$40000,$Y2538)&amp;"")</f>
        <v/>
      </c>
    </row>
    <row r="2539">
      <c r="Y2539" s="47">
        <f>IFERROR(MATCH(Library!M2539,$M$6:$M$40000,0),"")</f>
        <v/>
      </c>
      <c r="Z2539">
        <f>IF($Y2539="","",INDEX($C$6:$C$40000,$Y2539)&amp;"")</f>
        <v/>
      </c>
      <c r="AA2539" s="59">
        <f>IF($Y2539="","",IF(INDEX($D$6:$D$40000,$Y2539)="","",INDEX($D$6:$D$40000,$Y2539)))</f>
        <v/>
      </c>
      <c r="AB2539">
        <f>IF($Y2539="","",INDEX($L$6:$L$40000,$Y2539)&amp;"")</f>
        <v/>
      </c>
    </row>
    <row r="2540">
      <c r="Y2540" s="47">
        <f>IFERROR(MATCH(Library!M2540,$M$6:$M$40000,0),"")</f>
        <v/>
      </c>
      <c r="Z2540">
        <f>IF($Y2540="","",INDEX($C$6:$C$40000,$Y2540)&amp;"")</f>
        <v/>
      </c>
      <c r="AA2540" s="59">
        <f>IF($Y2540="","",IF(INDEX($D$6:$D$40000,$Y2540)="","",INDEX($D$6:$D$40000,$Y2540)))</f>
        <v/>
      </c>
      <c r="AB2540">
        <f>IF($Y2540="","",INDEX($L$6:$L$40000,$Y2540)&amp;"")</f>
        <v/>
      </c>
    </row>
    <row r="2541">
      <c r="Y2541" s="47">
        <f>IFERROR(MATCH(Library!M2541,$M$6:$M$40000,0),"")</f>
        <v/>
      </c>
      <c r="Z2541">
        <f>IF($Y2541="","",INDEX($C$6:$C$40000,$Y2541)&amp;"")</f>
        <v/>
      </c>
      <c r="AA2541" s="59">
        <f>IF($Y2541="","",IF(INDEX($D$6:$D$40000,$Y2541)="","",INDEX($D$6:$D$40000,$Y2541)))</f>
        <v/>
      </c>
      <c r="AB2541">
        <f>IF($Y2541="","",INDEX($L$6:$L$40000,$Y2541)&amp;"")</f>
        <v/>
      </c>
    </row>
    <row r="2542">
      <c r="Y2542" s="47">
        <f>IFERROR(MATCH(Library!M2542,$M$6:$M$40000,0),"")</f>
        <v/>
      </c>
      <c r="Z2542">
        <f>IF($Y2542="","",INDEX($C$6:$C$40000,$Y2542)&amp;"")</f>
        <v/>
      </c>
      <c r="AA2542" s="59">
        <f>IF($Y2542="","",IF(INDEX($D$6:$D$40000,$Y2542)="","",INDEX($D$6:$D$40000,$Y2542)))</f>
        <v/>
      </c>
      <c r="AB2542">
        <f>IF($Y2542="","",INDEX($L$6:$L$40000,$Y2542)&amp;"")</f>
        <v/>
      </c>
    </row>
    <row r="2543">
      <c r="Y2543" s="47">
        <f>IFERROR(MATCH(Library!M2543,$M$6:$M$40000,0),"")</f>
        <v/>
      </c>
      <c r="Z2543">
        <f>IF($Y2543="","",INDEX($C$6:$C$40000,$Y2543)&amp;"")</f>
        <v/>
      </c>
      <c r="AA2543" s="59">
        <f>IF($Y2543="","",IF(INDEX($D$6:$D$40000,$Y2543)="","",INDEX($D$6:$D$40000,$Y2543)))</f>
        <v/>
      </c>
      <c r="AB2543">
        <f>IF($Y2543="","",INDEX($L$6:$L$40000,$Y2543)&amp;"")</f>
        <v/>
      </c>
    </row>
    <row r="2544">
      <c r="Y2544" s="47">
        <f>IFERROR(MATCH(Library!M2544,$M$6:$M$40000,0),"")</f>
        <v/>
      </c>
      <c r="Z2544">
        <f>IF($Y2544="","",INDEX($C$6:$C$40000,$Y2544)&amp;"")</f>
        <v/>
      </c>
      <c r="AA2544" s="59">
        <f>IF($Y2544="","",IF(INDEX($D$6:$D$40000,$Y2544)="","",INDEX($D$6:$D$40000,$Y2544)))</f>
        <v/>
      </c>
      <c r="AB2544">
        <f>IF($Y2544="","",INDEX($L$6:$L$40000,$Y2544)&amp;"")</f>
        <v/>
      </c>
    </row>
    <row r="2545">
      <c r="Y2545" s="47">
        <f>IFERROR(MATCH(Library!M2545,$M$6:$M$40000,0),"")</f>
        <v/>
      </c>
      <c r="Z2545">
        <f>IF($Y2545="","",INDEX($C$6:$C$40000,$Y2545)&amp;"")</f>
        <v/>
      </c>
      <c r="AA2545" s="59">
        <f>IF($Y2545="","",IF(INDEX($D$6:$D$40000,$Y2545)="","",INDEX($D$6:$D$40000,$Y2545)))</f>
        <v/>
      </c>
      <c r="AB2545">
        <f>IF($Y2545="","",INDEX($L$6:$L$40000,$Y2545)&amp;"")</f>
        <v/>
      </c>
    </row>
    <row r="2546">
      <c r="Y2546" s="47">
        <f>IFERROR(MATCH(Library!M2546,$M$6:$M$40000,0),"")</f>
        <v/>
      </c>
      <c r="Z2546">
        <f>IF($Y2546="","",INDEX($C$6:$C$40000,$Y2546)&amp;"")</f>
        <v/>
      </c>
      <c r="AA2546" s="59">
        <f>IF($Y2546="","",IF(INDEX($D$6:$D$40000,$Y2546)="","",INDEX($D$6:$D$40000,$Y2546)))</f>
        <v/>
      </c>
      <c r="AB2546">
        <f>IF($Y2546="","",INDEX($L$6:$L$40000,$Y2546)&amp;"")</f>
        <v/>
      </c>
    </row>
    <row r="2547">
      <c r="Y2547" s="47">
        <f>IFERROR(MATCH(Library!M2547,$M$6:$M$40000,0),"")</f>
        <v/>
      </c>
      <c r="Z2547">
        <f>IF($Y2547="","",INDEX($C$6:$C$40000,$Y2547)&amp;"")</f>
        <v/>
      </c>
      <c r="AA2547" s="59">
        <f>IF($Y2547="","",IF(INDEX($D$6:$D$40000,$Y2547)="","",INDEX($D$6:$D$40000,$Y2547)))</f>
        <v/>
      </c>
      <c r="AB2547">
        <f>IF($Y2547="","",INDEX($L$6:$L$40000,$Y2547)&amp;"")</f>
        <v/>
      </c>
    </row>
    <row r="2548">
      <c r="Y2548" s="47">
        <f>IFERROR(MATCH(Library!M2548,$M$6:$M$40000,0),"")</f>
        <v/>
      </c>
      <c r="Z2548">
        <f>IF($Y2548="","",INDEX($C$6:$C$40000,$Y2548)&amp;"")</f>
        <v/>
      </c>
      <c r="AA2548" s="59">
        <f>IF($Y2548="","",IF(INDEX($D$6:$D$40000,$Y2548)="","",INDEX($D$6:$D$40000,$Y2548)))</f>
        <v/>
      </c>
      <c r="AB2548">
        <f>IF($Y2548="","",INDEX($L$6:$L$40000,$Y2548)&amp;"")</f>
        <v/>
      </c>
    </row>
    <row r="2549">
      <c r="Y2549" s="47">
        <f>IFERROR(MATCH(Library!M2549,$M$6:$M$40000,0),"")</f>
        <v/>
      </c>
      <c r="Z2549">
        <f>IF($Y2549="","",INDEX($C$6:$C$40000,$Y2549)&amp;"")</f>
        <v/>
      </c>
      <c r="AA2549" s="59">
        <f>IF($Y2549="","",IF(INDEX($D$6:$D$40000,$Y2549)="","",INDEX($D$6:$D$40000,$Y2549)))</f>
        <v/>
      </c>
      <c r="AB2549">
        <f>IF($Y2549="","",INDEX($L$6:$L$40000,$Y2549)&amp;"")</f>
        <v/>
      </c>
    </row>
    <row r="2550">
      <c r="Y2550" s="47">
        <f>IFERROR(MATCH(Library!M2550,$M$6:$M$40000,0),"")</f>
        <v/>
      </c>
      <c r="Z2550">
        <f>IF($Y2550="","",INDEX($C$6:$C$40000,$Y2550)&amp;"")</f>
        <v/>
      </c>
      <c r="AA2550" s="59">
        <f>IF($Y2550="","",IF(INDEX($D$6:$D$40000,$Y2550)="","",INDEX($D$6:$D$40000,$Y2550)))</f>
        <v/>
      </c>
      <c r="AB2550">
        <f>IF($Y2550="","",INDEX($L$6:$L$40000,$Y2550)&amp;"")</f>
        <v/>
      </c>
    </row>
    <row r="2551">
      <c r="Y2551" s="47">
        <f>IFERROR(MATCH(Library!M2551,$M$6:$M$40000,0),"")</f>
        <v/>
      </c>
      <c r="Z2551">
        <f>IF($Y2551="","",INDEX($C$6:$C$40000,$Y2551)&amp;"")</f>
        <v/>
      </c>
      <c r="AA2551" s="59">
        <f>IF($Y2551="","",IF(INDEX($D$6:$D$40000,$Y2551)="","",INDEX($D$6:$D$40000,$Y2551)))</f>
        <v/>
      </c>
      <c r="AB2551">
        <f>IF($Y2551="","",INDEX($L$6:$L$40000,$Y2551)&amp;"")</f>
        <v/>
      </c>
    </row>
    <row r="2552">
      <c r="Y2552" s="47">
        <f>IFERROR(MATCH(Library!M2552,$M$6:$M$40000,0),"")</f>
        <v/>
      </c>
      <c r="Z2552">
        <f>IF($Y2552="","",INDEX($C$6:$C$40000,$Y2552)&amp;"")</f>
        <v/>
      </c>
      <c r="AA2552" s="59">
        <f>IF($Y2552="","",IF(INDEX($D$6:$D$40000,$Y2552)="","",INDEX($D$6:$D$40000,$Y2552)))</f>
        <v/>
      </c>
      <c r="AB2552">
        <f>IF($Y2552="","",INDEX($L$6:$L$40000,$Y2552)&amp;"")</f>
        <v/>
      </c>
    </row>
    <row r="2553">
      <c r="Y2553" s="47">
        <f>IFERROR(MATCH(Library!M2553,$M$6:$M$40000,0),"")</f>
        <v/>
      </c>
      <c r="Z2553">
        <f>IF($Y2553="","",INDEX($C$6:$C$40000,$Y2553)&amp;"")</f>
        <v/>
      </c>
      <c r="AA2553" s="59">
        <f>IF($Y2553="","",IF(INDEX($D$6:$D$40000,$Y2553)="","",INDEX($D$6:$D$40000,$Y2553)))</f>
        <v/>
      </c>
      <c r="AB2553">
        <f>IF($Y2553="","",INDEX($L$6:$L$40000,$Y2553)&amp;"")</f>
        <v/>
      </c>
    </row>
    <row r="2554">
      <c r="Y2554" s="47">
        <f>IFERROR(MATCH(Library!M2554,$M$6:$M$40000,0),"")</f>
        <v/>
      </c>
      <c r="Z2554">
        <f>IF($Y2554="","",INDEX($C$6:$C$40000,$Y2554)&amp;"")</f>
        <v/>
      </c>
      <c r="AA2554" s="59">
        <f>IF($Y2554="","",IF(INDEX($D$6:$D$40000,$Y2554)="","",INDEX($D$6:$D$40000,$Y2554)))</f>
        <v/>
      </c>
      <c r="AB2554">
        <f>IF($Y2554="","",INDEX($L$6:$L$40000,$Y2554)&amp;"")</f>
        <v/>
      </c>
    </row>
    <row r="2555">
      <c r="Y2555" s="47">
        <f>IFERROR(MATCH(Library!M2555,$M$6:$M$40000,0),"")</f>
        <v/>
      </c>
      <c r="Z2555">
        <f>IF($Y2555="","",INDEX($C$6:$C$40000,$Y2555)&amp;"")</f>
        <v/>
      </c>
      <c r="AA2555" s="59">
        <f>IF($Y2555="","",IF(INDEX($D$6:$D$40000,$Y2555)="","",INDEX($D$6:$D$40000,$Y2555)))</f>
        <v/>
      </c>
      <c r="AB2555">
        <f>IF($Y2555="","",INDEX($L$6:$L$40000,$Y2555)&amp;"")</f>
        <v/>
      </c>
    </row>
    <row r="2556">
      <c r="Y2556" s="47">
        <f>IFERROR(MATCH(Library!M2556,$M$6:$M$40000,0),"")</f>
        <v/>
      </c>
      <c r="Z2556">
        <f>IF($Y2556="","",INDEX($C$6:$C$40000,$Y2556)&amp;"")</f>
        <v/>
      </c>
      <c r="AA2556" s="59">
        <f>IF($Y2556="","",IF(INDEX($D$6:$D$40000,$Y2556)="","",INDEX($D$6:$D$40000,$Y2556)))</f>
        <v/>
      </c>
      <c r="AB2556">
        <f>IF($Y2556="","",INDEX($L$6:$L$40000,$Y2556)&amp;"")</f>
        <v/>
      </c>
    </row>
    <row r="2557">
      <c r="Y2557" s="47">
        <f>IFERROR(MATCH(Library!M2557,$M$6:$M$40000,0),"")</f>
        <v/>
      </c>
      <c r="Z2557">
        <f>IF($Y2557="","",INDEX($C$6:$C$40000,$Y2557)&amp;"")</f>
        <v/>
      </c>
      <c r="AA2557" s="59">
        <f>IF($Y2557="","",IF(INDEX($D$6:$D$40000,$Y2557)="","",INDEX($D$6:$D$40000,$Y2557)))</f>
        <v/>
      </c>
      <c r="AB2557">
        <f>IF($Y2557="","",INDEX($L$6:$L$40000,$Y2557)&amp;"")</f>
        <v/>
      </c>
    </row>
    <row r="2558">
      <c r="Y2558" s="47">
        <f>IFERROR(MATCH(Library!M2558,$M$6:$M$40000,0),"")</f>
        <v/>
      </c>
      <c r="Z2558">
        <f>IF($Y2558="","",INDEX($C$6:$C$40000,$Y2558)&amp;"")</f>
        <v/>
      </c>
      <c r="AA2558" s="59">
        <f>IF($Y2558="","",IF(INDEX($D$6:$D$40000,$Y2558)="","",INDEX($D$6:$D$40000,$Y2558)))</f>
        <v/>
      </c>
      <c r="AB2558">
        <f>IF($Y2558="","",INDEX($L$6:$L$40000,$Y2558)&amp;"")</f>
        <v/>
      </c>
    </row>
    <row r="2559">
      <c r="Y2559" s="47">
        <f>IFERROR(MATCH(Library!M2559,$M$6:$M$40000,0),"")</f>
        <v/>
      </c>
      <c r="Z2559">
        <f>IF($Y2559="","",INDEX($C$6:$C$40000,$Y2559)&amp;"")</f>
        <v/>
      </c>
      <c r="AA2559" s="59">
        <f>IF($Y2559="","",IF(INDEX($D$6:$D$40000,$Y2559)="","",INDEX($D$6:$D$40000,$Y2559)))</f>
        <v/>
      </c>
      <c r="AB2559">
        <f>IF($Y2559="","",INDEX($L$6:$L$40000,$Y2559)&amp;"")</f>
        <v/>
      </c>
    </row>
    <row r="2560">
      <c r="Y2560" s="47">
        <f>IFERROR(MATCH(Library!M2560,$M$6:$M$40000,0),"")</f>
        <v/>
      </c>
      <c r="Z2560">
        <f>IF($Y2560="","",INDEX($C$6:$C$40000,$Y2560)&amp;"")</f>
        <v/>
      </c>
      <c r="AA2560" s="59">
        <f>IF($Y2560="","",IF(INDEX($D$6:$D$40000,$Y2560)="","",INDEX($D$6:$D$40000,$Y2560)))</f>
        <v/>
      </c>
      <c r="AB2560">
        <f>IF($Y2560="","",INDEX($L$6:$L$40000,$Y2560)&amp;"")</f>
        <v/>
      </c>
    </row>
    <row r="2561">
      <c r="Y2561" s="47">
        <f>IFERROR(MATCH(Library!M2561,$M$6:$M$40000,0),"")</f>
        <v/>
      </c>
      <c r="Z2561">
        <f>IF($Y2561="","",INDEX($C$6:$C$40000,$Y2561)&amp;"")</f>
        <v/>
      </c>
      <c r="AA2561" s="59">
        <f>IF($Y2561="","",IF(INDEX($D$6:$D$40000,$Y2561)="","",INDEX($D$6:$D$40000,$Y2561)))</f>
        <v/>
      </c>
      <c r="AB2561">
        <f>IF($Y2561="","",INDEX($L$6:$L$40000,$Y2561)&amp;"")</f>
        <v/>
      </c>
    </row>
    <row r="2562">
      <c r="Y2562" s="47">
        <f>IFERROR(MATCH(Library!M2562,$M$6:$M$40000,0),"")</f>
        <v/>
      </c>
      <c r="Z2562">
        <f>IF($Y2562="","",INDEX($C$6:$C$40000,$Y2562)&amp;"")</f>
        <v/>
      </c>
      <c r="AA2562" s="59">
        <f>IF($Y2562="","",IF(INDEX($D$6:$D$40000,$Y2562)="","",INDEX($D$6:$D$40000,$Y2562)))</f>
        <v/>
      </c>
      <c r="AB2562">
        <f>IF($Y2562="","",INDEX($L$6:$L$40000,$Y2562)&amp;"")</f>
        <v/>
      </c>
    </row>
    <row r="2563">
      <c r="Y2563" s="47">
        <f>IFERROR(MATCH(Library!M2563,$M$6:$M$40000,0),"")</f>
        <v/>
      </c>
      <c r="Z2563">
        <f>IF($Y2563="","",INDEX($C$6:$C$40000,$Y2563)&amp;"")</f>
        <v/>
      </c>
      <c r="AA2563" s="59">
        <f>IF($Y2563="","",IF(INDEX($D$6:$D$40000,$Y2563)="","",INDEX($D$6:$D$40000,$Y2563)))</f>
        <v/>
      </c>
      <c r="AB2563">
        <f>IF($Y2563="","",INDEX($L$6:$L$40000,$Y2563)&amp;"")</f>
        <v/>
      </c>
    </row>
    <row r="2564">
      <c r="Y2564" s="47">
        <f>IFERROR(MATCH(Library!M2564,$M$6:$M$40000,0),"")</f>
        <v/>
      </c>
      <c r="Z2564">
        <f>IF($Y2564="","",INDEX($C$6:$C$40000,$Y2564)&amp;"")</f>
        <v/>
      </c>
      <c r="AA2564" s="59">
        <f>IF($Y2564="","",IF(INDEX($D$6:$D$40000,$Y2564)="","",INDEX($D$6:$D$40000,$Y2564)))</f>
        <v/>
      </c>
      <c r="AB2564">
        <f>IF($Y2564="","",INDEX($L$6:$L$40000,$Y2564)&amp;"")</f>
        <v/>
      </c>
    </row>
    <row r="2565">
      <c r="Y2565" s="47">
        <f>IFERROR(MATCH(Library!M2565,$M$6:$M$40000,0),"")</f>
        <v/>
      </c>
      <c r="Z2565">
        <f>IF($Y2565="","",INDEX($C$6:$C$40000,$Y2565)&amp;"")</f>
        <v/>
      </c>
      <c r="AA2565" s="59">
        <f>IF($Y2565="","",IF(INDEX($D$6:$D$40000,$Y2565)="","",INDEX($D$6:$D$40000,$Y2565)))</f>
        <v/>
      </c>
      <c r="AB2565">
        <f>IF($Y2565="","",INDEX($L$6:$L$40000,$Y2565)&amp;"")</f>
        <v/>
      </c>
    </row>
    <row r="2566">
      <c r="Y2566" s="47">
        <f>IFERROR(MATCH(Library!M2566,$M$6:$M$40000,0),"")</f>
        <v/>
      </c>
      <c r="Z2566">
        <f>IF($Y2566="","",INDEX($C$6:$C$40000,$Y2566)&amp;"")</f>
        <v/>
      </c>
      <c r="AA2566" s="59">
        <f>IF($Y2566="","",IF(INDEX($D$6:$D$40000,$Y2566)="","",INDEX($D$6:$D$40000,$Y2566)))</f>
        <v/>
      </c>
      <c r="AB2566">
        <f>IF($Y2566="","",INDEX($L$6:$L$40000,$Y2566)&amp;"")</f>
        <v/>
      </c>
    </row>
    <row r="2567">
      <c r="Y2567" s="47">
        <f>IFERROR(MATCH(Library!M2567,$M$6:$M$40000,0),"")</f>
        <v/>
      </c>
      <c r="Z2567">
        <f>IF($Y2567="","",INDEX($C$6:$C$40000,$Y2567)&amp;"")</f>
        <v/>
      </c>
      <c r="AA2567" s="59">
        <f>IF($Y2567="","",IF(INDEX($D$6:$D$40000,$Y2567)="","",INDEX($D$6:$D$40000,$Y2567)))</f>
        <v/>
      </c>
      <c r="AB2567">
        <f>IF($Y2567="","",INDEX($L$6:$L$40000,$Y2567)&amp;"")</f>
        <v/>
      </c>
    </row>
    <row r="2568">
      <c r="Y2568" s="47">
        <f>IFERROR(MATCH(Library!M2568,$M$6:$M$40000,0),"")</f>
        <v/>
      </c>
      <c r="Z2568">
        <f>IF($Y2568="","",INDEX($C$6:$C$40000,$Y2568)&amp;"")</f>
        <v/>
      </c>
      <c r="AA2568" s="59">
        <f>IF($Y2568="","",IF(INDEX($D$6:$D$40000,$Y2568)="","",INDEX($D$6:$D$40000,$Y2568)))</f>
        <v/>
      </c>
      <c r="AB2568">
        <f>IF($Y2568="","",INDEX($L$6:$L$40000,$Y2568)&amp;"")</f>
        <v/>
      </c>
    </row>
    <row r="2569">
      <c r="Y2569" s="47">
        <f>IFERROR(MATCH(Library!M2569,$M$6:$M$40000,0),"")</f>
        <v/>
      </c>
      <c r="Z2569">
        <f>IF($Y2569="","",INDEX($C$6:$C$40000,$Y2569)&amp;"")</f>
        <v/>
      </c>
      <c r="AA2569" s="59">
        <f>IF($Y2569="","",IF(INDEX($D$6:$D$40000,$Y2569)="","",INDEX($D$6:$D$40000,$Y2569)))</f>
        <v/>
      </c>
      <c r="AB2569">
        <f>IF($Y2569="","",INDEX($L$6:$L$40000,$Y2569)&amp;"")</f>
        <v/>
      </c>
    </row>
    <row r="2570">
      <c r="Y2570" s="47">
        <f>IFERROR(MATCH(Library!M2570,$M$6:$M$40000,0),"")</f>
        <v/>
      </c>
      <c r="Z2570">
        <f>IF($Y2570="","",INDEX($C$6:$C$40000,$Y2570)&amp;"")</f>
        <v/>
      </c>
      <c r="AA2570" s="59">
        <f>IF($Y2570="","",IF(INDEX($D$6:$D$40000,$Y2570)="","",INDEX($D$6:$D$40000,$Y2570)))</f>
        <v/>
      </c>
      <c r="AB2570">
        <f>IF($Y2570="","",INDEX($L$6:$L$40000,$Y2570)&amp;"")</f>
        <v/>
      </c>
    </row>
    <row r="2571">
      <c r="Y2571" s="47">
        <f>IFERROR(MATCH(Library!M2571,$M$6:$M$40000,0),"")</f>
        <v/>
      </c>
      <c r="Z2571">
        <f>IF($Y2571="","",INDEX($C$6:$C$40000,$Y2571)&amp;"")</f>
        <v/>
      </c>
      <c r="AA2571" s="59">
        <f>IF($Y2571="","",IF(INDEX($D$6:$D$40000,$Y2571)="","",INDEX($D$6:$D$40000,$Y2571)))</f>
        <v/>
      </c>
      <c r="AB2571">
        <f>IF($Y2571="","",INDEX($L$6:$L$40000,$Y2571)&amp;"")</f>
        <v/>
      </c>
    </row>
    <row r="2572">
      <c r="Y2572" s="47">
        <f>IFERROR(MATCH(Library!M2572,$M$6:$M$40000,0),"")</f>
        <v/>
      </c>
      <c r="Z2572">
        <f>IF($Y2572="","",INDEX($C$6:$C$40000,$Y2572)&amp;"")</f>
        <v/>
      </c>
      <c r="AA2572" s="59">
        <f>IF($Y2572="","",IF(INDEX($D$6:$D$40000,$Y2572)="","",INDEX($D$6:$D$40000,$Y2572)))</f>
        <v/>
      </c>
      <c r="AB2572">
        <f>IF($Y2572="","",INDEX($L$6:$L$40000,$Y2572)&amp;"")</f>
        <v/>
      </c>
    </row>
    <row r="2573">
      <c r="Y2573" s="47">
        <f>IFERROR(MATCH(Library!M2573,$M$6:$M$40000,0),"")</f>
        <v/>
      </c>
      <c r="Z2573">
        <f>IF($Y2573="","",INDEX($C$6:$C$40000,$Y2573)&amp;"")</f>
        <v/>
      </c>
      <c r="AA2573" s="59">
        <f>IF($Y2573="","",IF(INDEX($D$6:$D$40000,$Y2573)="","",INDEX($D$6:$D$40000,$Y2573)))</f>
        <v/>
      </c>
      <c r="AB2573">
        <f>IF($Y2573="","",INDEX($L$6:$L$40000,$Y2573)&amp;"")</f>
        <v/>
      </c>
    </row>
    <row r="2574">
      <c r="Y2574" s="47">
        <f>IFERROR(MATCH(Library!M2574,$M$6:$M$40000,0),"")</f>
        <v/>
      </c>
      <c r="Z2574">
        <f>IF($Y2574="","",INDEX($C$6:$C$40000,$Y2574)&amp;"")</f>
        <v/>
      </c>
      <c r="AA2574" s="59">
        <f>IF($Y2574="","",IF(INDEX($D$6:$D$40000,$Y2574)="","",INDEX($D$6:$D$40000,$Y2574)))</f>
        <v/>
      </c>
      <c r="AB2574">
        <f>IF($Y2574="","",INDEX($L$6:$L$40000,$Y2574)&amp;"")</f>
        <v/>
      </c>
    </row>
    <row r="2575">
      <c r="Y2575" s="47">
        <f>IFERROR(MATCH(Library!M2575,$M$6:$M$40000,0),"")</f>
        <v/>
      </c>
      <c r="Z2575">
        <f>IF($Y2575="","",INDEX($C$6:$C$40000,$Y2575)&amp;"")</f>
        <v/>
      </c>
      <c r="AA2575" s="59">
        <f>IF($Y2575="","",IF(INDEX($D$6:$D$40000,$Y2575)="","",INDEX($D$6:$D$40000,$Y2575)))</f>
        <v/>
      </c>
      <c r="AB2575">
        <f>IF($Y2575="","",INDEX($L$6:$L$40000,$Y2575)&amp;"")</f>
        <v/>
      </c>
    </row>
    <row r="2576">
      <c r="Y2576" s="47">
        <f>IFERROR(MATCH(Library!M2576,$M$6:$M$40000,0),"")</f>
        <v/>
      </c>
      <c r="Z2576">
        <f>IF($Y2576="","",INDEX($C$6:$C$40000,$Y2576)&amp;"")</f>
        <v/>
      </c>
      <c r="AA2576" s="59">
        <f>IF($Y2576="","",IF(INDEX($D$6:$D$40000,$Y2576)="","",INDEX($D$6:$D$40000,$Y2576)))</f>
        <v/>
      </c>
      <c r="AB2576">
        <f>IF($Y2576="","",INDEX($L$6:$L$40000,$Y2576)&amp;"")</f>
        <v/>
      </c>
    </row>
    <row r="2577">
      <c r="Y2577" s="47">
        <f>IFERROR(MATCH(Library!M2577,$M$6:$M$40000,0),"")</f>
        <v/>
      </c>
      <c r="Z2577">
        <f>IF($Y2577="","",INDEX($C$6:$C$40000,$Y2577)&amp;"")</f>
        <v/>
      </c>
      <c r="AA2577" s="59">
        <f>IF($Y2577="","",IF(INDEX($D$6:$D$40000,$Y2577)="","",INDEX($D$6:$D$40000,$Y2577)))</f>
        <v/>
      </c>
      <c r="AB2577">
        <f>IF($Y2577="","",INDEX($L$6:$L$40000,$Y2577)&amp;"")</f>
        <v/>
      </c>
    </row>
    <row r="2578">
      <c r="Y2578" s="47">
        <f>IFERROR(MATCH(Library!M2578,$M$6:$M$40000,0),"")</f>
        <v/>
      </c>
      <c r="Z2578">
        <f>IF($Y2578="","",INDEX($C$6:$C$40000,$Y2578)&amp;"")</f>
        <v/>
      </c>
      <c r="AA2578" s="59">
        <f>IF($Y2578="","",IF(INDEX($D$6:$D$40000,$Y2578)="","",INDEX($D$6:$D$40000,$Y2578)))</f>
        <v/>
      </c>
      <c r="AB2578">
        <f>IF($Y2578="","",INDEX($L$6:$L$40000,$Y2578)&amp;"")</f>
        <v/>
      </c>
    </row>
    <row r="2579">
      <c r="Y2579" s="47">
        <f>IFERROR(MATCH(Library!M2579,$M$6:$M$40000,0),"")</f>
        <v/>
      </c>
      <c r="Z2579">
        <f>IF($Y2579="","",INDEX($C$6:$C$40000,$Y2579)&amp;"")</f>
        <v/>
      </c>
      <c r="AA2579" s="59">
        <f>IF($Y2579="","",IF(INDEX($D$6:$D$40000,$Y2579)="","",INDEX($D$6:$D$40000,$Y2579)))</f>
        <v/>
      </c>
      <c r="AB2579">
        <f>IF($Y2579="","",INDEX($L$6:$L$40000,$Y2579)&amp;"")</f>
        <v/>
      </c>
    </row>
    <row r="2580">
      <c r="Y2580" s="47">
        <f>IFERROR(MATCH(Library!M2580,$M$6:$M$40000,0),"")</f>
        <v/>
      </c>
      <c r="Z2580">
        <f>IF($Y2580="","",INDEX($C$6:$C$40000,$Y2580)&amp;"")</f>
        <v/>
      </c>
      <c r="AA2580" s="59">
        <f>IF($Y2580="","",IF(INDEX($D$6:$D$40000,$Y2580)="","",INDEX($D$6:$D$40000,$Y2580)))</f>
        <v/>
      </c>
      <c r="AB2580">
        <f>IF($Y2580="","",INDEX($L$6:$L$40000,$Y2580)&amp;"")</f>
        <v/>
      </c>
    </row>
    <row r="2581">
      <c r="Y2581" s="47">
        <f>IFERROR(MATCH(Library!M2581,$M$6:$M$40000,0),"")</f>
        <v/>
      </c>
      <c r="Z2581">
        <f>IF($Y2581="","",INDEX($C$6:$C$40000,$Y2581)&amp;"")</f>
        <v/>
      </c>
      <c r="AA2581" s="59">
        <f>IF($Y2581="","",IF(INDEX($D$6:$D$40000,$Y2581)="","",INDEX($D$6:$D$40000,$Y2581)))</f>
        <v/>
      </c>
      <c r="AB2581">
        <f>IF($Y2581="","",INDEX($L$6:$L$40000,$Y2581)&amp;"")</f>
        <v/>
      </c>
    </row>
    <row r="2582">
      <c r="Y2582" s="47">
        <f>IFERROR(MATCH(Library!M2582,$M$6:$M$40000,0),"")</f>
        <v/>
      </c>
      <c r="Z2582">
        <f>IF($Y2582="","",INDEX($C$6:$C$40000,$Y2582)&amp;"")</f>
        <v/>
      </c>
      <c r="AA2582" s="59">
        <f>IF($Y2582="","",IF(INDEX($D$6:$D$40000,$Y2582)="","",INDEX($D$6:$D$40000,$Y2582)))</f>
        <v/>
      </c>
      <c r="AB2582">
        <f>IF($Y2582="","",INDEX($L$6:$L$40000,$Y2582)&amp;"")</f>
        <v/>
      </c>
    </row>
    <row r="2583">
      <c r="Y2583" s="47">
        <f>IFERROR(MATCH(Library!M2583,$M$6:$M$40000,0),"")</f>
        <v/>
      </c>
      <c r="Z2583">
        <f>IF($Y2583="","",INDEX($C$6:$C$40000,$Y2583)&amp;"")</f>
        <v/>
      </c>
      <c r="AA2583" s="59">
        <f>IF($Y2583="","",IF(INDEX($D$6:$D$40000,$Y2583)="","",INDEX($D$6:$D$40000,$Y2583)))</f>
        <v/>
      </c>
      <c r="AB2583">
        <f>IF($Y2583="","",INDEX($L$6:$L$40000,$Y2583)&amp;"")</f>
        <v/>
      </c>
    </row>
    <row r="2584">
      <c r="Y2584" s="47">
        <f>IFERROR(MATCH(Library!M2584,$M$6:$M$40000,0),"")</f>
        <v/>
      </c>
      <c r="Z2584">
        <f>IF($Y2584="","",INDEX($C$6:$C$40000,$Y2584)&amp;"")</f>
        <v/>
      </c>
      <c r="AA2584" s="59">
        <f>IF($Y2584="","",IF(INDEX($D$6:$D$40000,$Y2584)="","",INDEX($D$6:$D$40000,$Y2584)))</f>
        <v/>
      </c>
      <c r="AB2584">
        <f>IF($Y2584="","",INDEX($L$6:$L$40000,$Y2584)&amp;"")</f>
        <v/>
      </c>
    </row>
    <row r="2585">
      <c r="Y2585" s="47">
        <f>IFERROR(MATCH(Library!M2585,$M$6:$M$40000,0),"")</f>
        <v/>
      </c>
      <c r="Z2585">
        <f>IF($Y2585="","",INDEX($C$6:$C$40000,$Y2585)&amp;"")</f>
        <v/>
      </c>
      <c r="AA2585" s="59">
        <f>IF($Y2585="","",IF(INDEX($D$6:$D$40000,$Y2585)="","",INDEX($D$6:$D$40000,$Y2585)))</f>
        <v/>
      </c>
      <c r="AB2585">
        <f>IF($Y2585="","",INDEX($L$6:$L$40000,$Y2585)&amp;"")</f>
        <v/>
      </c>
    </row>
    <row r="2586">
      <c r="Y2586" s="47">
        <f>IFERROR(MATCH(Library!M2586,$M$6:$M$40000,0),"")</f>
        <v/>
      </c>
      <c r="Z2586">
        <f>IF($Y2586="","",INDEX($C$6:$C$40000,$Y2586)&amp;"")</f>
        <v/>
      </c>
      <c r="AA2586" s="59">
        <f>IF($Y2586="","",IF(INDEX($D$6:$D$40000,$Y2586)="","",INDEX($D$6:$D$40000,$Y2586)))</f>
        <v/>
      </c>
      <c r="AB2586">
        <f>IF($Y2586="","",INDEX($L$6:$L$40000,$Y2586)&amp;"")</f>
        <v/>
      </c>
    </row>
    <row r="2587">
      <c r="Y2587" s="47">
        <f>IFERROR(MATCH(Library!M2587,$M$6:$M$40000,0),"")</f>
        <v/>
      </c>
      <c r="Z2587">
        <f>IF($Y2587="","",INDEX($C$6:$C$40000,$Y2587)&amp;"")</f>
        <v/>
      </c>
      <c r="AA2587" s="59">
        <f>IF($Y2587="","",IF(INDEX($D$6:$D$40000,$Y2587)="","",INDEX($D$6:$D$40000,$Y2587)))</f>
        <v/>
      </c>
      <c r="AB2587">
        <f>IF($Y2587="","",INDEX($L$6:$L$40000,$Y2587)&amp;"")</f>
        <v/>
      </c>
    </row>
    <row r="2588">
      <c r="Y2588" s="47">
        <f>IFERROR(MATCH(Library!M2588,$M$6:$M$40000,0),"")</f>
        <v/>
      </c>
      <c r="Z2588">
        <f>IF($Y2588="","",INDEX($C$6:$C$40000,$Y2588)&amp;"")</f>
        <v/>
      </c>
      <c r="AA2588" s="59">
        <f>IF($Y2588="","",IF(INDEX($D$6:$D$40000,$Y2588)="","",INDEX($D$6:$D$40000,$Y2588)))</f>
        <v/>
      </c>
      <c r="AB2588">
        <f>IF($Y2588="","",INDEX($L$6:$L$40000,$Y2588)&amp;"")</f>
        <v/>
      </c>
    </row>
    <row r="2589">
      <c r="Y2589" s="47">
        <f>IFERROR(MATCH(Library!M2589,$M$6:$M$40000,0),"")</f>
        <v/>
      </c>
      <c r="Z2589">
        <f>IF($Y2589="","",INDEX($C$6:$C$40000,$Y2589)&amp;"")</f>
        <v/>
      </c>
      <c r="AA2589" s="59">
        <f>IF($Y2589="","",IF(INDEX($D$6:$D$40000,$Y2589)="","",INDEX($D$6:$D$40000,$Y2589)))</f>
        <v/>
      </c>
      <c r="AB2589">
        <f>IF($Y2589="","",INDEX($L$6:$L$40000,$Y2589)&amp;"")</f>
        <v/>
      </c>
    </row>
    <row r="2590">
      <c r="Y2590" s="47">
        <f>IFERROR(MATCH(Library!M2590,$M$6:$M$40000,0),"")</f>
        <v/>
      </c>
      <c r="Z2590">
        <f>IF($Y2590="","",INDEX($C$6:$C$40000,$Y2590)&amp;"")</f>
        <v/>
      </c>
      <c r="AA2590" s="59">
        <f>IF($Y2590="","",IF(INDEX($D$6:$D$40000,$Y2590)="","",INDEX($D$6:$D$40000,$Y2590)))</f>
        <v/>
      </c>
      <c r="AB2590">
        <f>IF($Y2590="","",INDEX($L$6:$L$40000,$Y2590)&amp;"")</f>
        <v/>
      </c>
    </row>
    <row r="2591">
      <c r="Y2591" s="47">
        <f>IFERROR(MATCH(Library!M2591,$M$6:$M$40000,0),"")</f>
        <v/>
      </c>
      <c r="Z2591">
        <f>IF($Y2591="","",INDEX($C$6:$C$40000,$Y2591)&amp;"")</f>
        <v/>
      </c>
      <c r="AA2591" s="59">
        <f>IF($Y2591="","",IF(INDEX($D$6:$D$40000,$Y2591)="","",INDEX($D$6:$D$40000,$Y2591)))</f>
        <v/>
      </c>
      <c r="AB2591">
        <f>IF($Y2591="","",INDEX($L$6:$L$40000,$Y2591)&amp;"")</f>
        <v/>
      </c>
    </row>
    <row r="2592">
      <c r="Y2592" s="47">
        <f>IFERROR(MATCH(Library!M2592,$M$6:$M$40000,0),"")</f>
        <v/>
      </c>
      <c r="Z2592">
        <f>IF($Y2592="","",INDEX($C$6:$C$40000,$Y2592)&amp;"")</f>
        <v/>
      </c>
      <c r="AA2592" s="59">
        <f>IF($Y2592="","",IF(INDEX($D$6:$D$40000,$Y2592)="","",INDEX($D$6:$D$40000,$Y2592)))</f>
        <v/>
      </c>
      <c r="AB2592">
        <f>IF($Y2592="","",INDEX($L$6:$L$40000,$Y2592)&amp;"")</f>
        <v/>
      </c>
    </row>
    <row r="2593">
      <c r="Y2593" s="47">
        <f>IFERROR(MATCH(Library!M2593,$M$6:$M$40000,0),"")</f>
        <v/>
      </c>
      <c r="Z2593">
        <f>IF($Y2593="","",INDEX($C$6:$C$40000,$Y2593)&amp;"")</f>
        <v/>
      </c>
      <c r="AA2593" s="59">
        <f>IF($Y2593="","",IF(INDEX($D$6:$D$40000,$Y2593)="","",INDEX($D$6:$D$40000,$Y2593)))</f>
        <v/>
      </c>
      <c r="AB2593">
        <f>IF($Y2593="","",INDEX($L$6:$L$40000,$Y2593)&amp;"")</f>
        <v/>
      </c>
    </row>
    <row r="2594">
      <c r="Y2594" s="47">
        <f>IFERROR(MATCH(Library!M2594,$M$6:$M$40000,0),"")</f>
        <v/>
      </c>
      <c r="Z2594">
        <f>IF($Y2594="","",INDEX($C$6:$C$40000,$Y2594)&amp;"")</f>
        <v/>
      </c>
      <c r="AA2594" s="59">
        <f>IF($Y2594="","",IF(INDEX($D$6:$D$40000,$Y2594)="","",INDEX($D$6:$D$40000,$Y2594)))</f>
        <v/>
      </c>
      <c r="AB2594">
        <f>IF($Y2594="","",INDEX($L$6:$L$40000,$Y2594)&amp;"")</f>
        <v/>
      </c>
    </row>
    <row r="2595">
      <c r="Y2595" s="47">
        <f>IFERROR(MATCH(Library!M2595,$M$6:$M$40000,0),"")</f>
        <v/>
      </c>
      <c r="Z2595">
        <f>IF($Y2595="","",INDEX($C$6:$C$40000,$Y2595)&amp;"")</f>
        <v/>
      </c>
      <c r="AA2595" s="59">
        <f>IF($Y2595="","",IF(INDEX($D$6:$D$40000,$Y2595)="","",INDEX($D$6:$D$40000,$Y2595)))</f>
        <v/>
      </c>
      <c r="AB2595">
        <f>IF($Y2595="","",INDEX($L$6:$L$40000,$Y2595)&amp;"")</f>
        <v/>
      </c>
    </row>
    <row r="2596">
      <c r="Y2596" s="47">
        <f>IFERROR(MATCH(Library!M2596,$M$6:$M$40000,0),"")</f>
        <v/>
      </c>
      <c r="Z2596">
        <f>IF($Y2596="","",INDEX($C$6:$C$40000,$Y2596)&amp;"")</f>
        <v/>
      </c>
      <c r="AA2596" s="59">
        <f>IF($Y2596="","",IF(INDEX($D$6:$D$40000,$Y2596)="","",INDEX($D$6:$D$40000,$Y2596)))</f>
        <v/>
      </c>
      <c r="AB2596">
        <f>IF($Y2596="","",INDEX($L$6:$L$40000,$Y2596)&amp;"")</f>
        <v/>
      </c>
    </row>
    <row r="2597">
      <c r="Y2597" s="47">
        <f>IFERROR(MATCH(Library!M2597,$M$6:$M$40000,0),"")</f>
        <v/>
      </c>
      <c r="Z2597">
        <f>IF($Y2597="","",INDEX($C$6:$C$40000,$Y2597)&amp;"")</f>
        <v/>
      </c>
      <c r="AA2597" s="59">
        <f>IF($Y2597="","",IF(INDEX($D$6:$D$40000,$Y2597)="","",INDEX($D$6:$D$40000,$Y2597)))</f>
        <v/>
      </c>
      <c r="AB2597">
        <f>IF($Y2597="","",INDEX($L$6:$L$40000,$Y2597)&amp;"")</f>
        <v/>
      </c>
    </row>
    <row r="2598">
      <c r="Y2598" s="47">
        <f>IFERROR(MATCH(Library!M2598,$M$6:$M$40000,0),"")</f>
        <v/>
      </c>
      <c r="Z2598">
        <f>IF($Y2598="","",INDEX($C$6:$C$40000,$Y2598)&amp;"")</f>
        <v/>
      </c>
      <c r="AA2598" s="59">
        <f>IF($Y2598="","",IF(INDEX($D$6:$D$40000,$Y2598)="","",INDEX($D$6:$D$40000,$Y2598)))</f>
        <v/>
      </c>
      <c r="AB2598">
        <f>IF($Y2598="","",INDEX($L$6:$L$40000,$Y2598)&amp;"")</f>
        <v/>
      </c>
    </row>
    <row r="2599">
      <c r="Y2599" s="47">
        <f>IFERROR(MATCH(Library!M2599,$M$6:$M$40000,0),"")</f>
        <v/>
      </c>
      <c r="Z2599">
        <f>IF($Y2599="","",INDEX($C$6:$C$40000,$Y2599)&amp;"")</f>
        <v/>
      </c>
      <c r="AA2599" s="59">
        <f>IF($Y2599="","",IF(INDEX($D$6:$D$40000,$Y2599)="","",INDEX($D$6:$D$40000,$Y2599)))</f>
        <v/>
      </c>
      <c r="AB2599">
        <f>IF($Y2599="","",INDEX($L$6:$L$40000,$Y2599)&amp;"")</f>
        <v/>
      </c>
    </row>
    <row r="2600">
      <c r="Y2600" s="47">
        <f>IFERROR(MATCH(Library!M2600,$M$6:$M$40000,0),"")</f>
        <v/>
      </c>
      <c r="Z2600">
        <f>IF($Y2600="","",INDEX($C$6:$C$40000,$Y2600)&amp;"")</f>
        <v/>
      </c>
      <c r="AA2600" s="59">
        <f>IF($Y2600="","",IF(INDEX($D$6:$D$40000,$Y2600)="","",INDEX($D$6:$D$40000,$Y2600)))</f>
        <v/>
      </c>
      <c r="AB2600">
        <f>IF($Y2600="","",INDEX($L$6:$L$40000,$Y2600)&amp;"")</f>
        <v/>
      </c>
    </row>
    <row r="2601">
      <c r="Y2601" s="47">
        <f>IFERROR(MATCH(Library!M2601,$M$6:$M$40000,0),"")</f>
        <v/>
      </c>
      <c r="Z2601">
        <f>IF($Y2601="","",INDEX($C$6:$C$40000,$Y2601)&amp;"")</f>
        <v/>
      </c>
      <c r="AA2601" s="59">
        <f>IF($Y2601="","",IF(INDEX($D$6:$D$40000,$Y2601)="","",INDEX($D$6:$D$40000,$Y2601)))</f>
        <v/>
      </c>
      <c r="AB2601">
        <f>IF($Y2601="","",INDEX($L$6:$L$40000,$Y2601)&amp;"")</f>
        <v/>
      </c>
    </row>
    <row r="2602">
      <c r="Y2602" s="47">
        <f>IFERROR(MATCH(Library!M2602,$M$6:$M$40000,0),"")</f>
        <v/>
      </c>
      <c r="Z2602">
        <f>IF($Y2602="","",INDEX($C$6:$C$40000,$Y2602)&amp;"")</f>
        <v/>
      </c>
      <c r="AA2602" s="59">
        <f>IF($Y2602="","",IF(INDEX($D$6:$D$40000,$Y2602)="","",INDEX($D$6:$D$40000,$Y2602)))</f>
        <v/>
      </c>
      <c r="AB2602">
        <f>IF($Y2602="","",INDEX($L$6:$L$40000,$Y2602)&amp;"")</f>
        <v/>
      </c>
    </row>
    <row r="2603">
      <c r="Y2603" s="47">
        <f>IFERROR(MATCH(Library!M2603,$M$6:$M$40000,0),"")</f>
        <v/>
      </c>
      <c r="Z2603">
        <f>IF($Y2603="","",INDEX($C$6:$C$40000,$Y2603)&amp;"")</f>
        <v/>
      </c>
      <c r="AA2603" s="59">
        <f>IF($Y2603="","",IF(INDEX($D$6:$D$40000,$Y2603)="","",INDEX($D$6:$D$40000,$Y2603)))</f>
        <v/>
      </c>
      <c r="AB2603">
        <f>IF($Y2603="","",INDEX($L$6:$L$40000,$Y2603)&amp;"")</f>
        <v/>
      </c>
    </row>
    <row r="2604">
      <c r="Y2604" s="47">
        <f>IFERROR(MATCH(Library!M2604,$M$6:$M$40000,0),"")</f>
        <v/>
      </c>
      <c r="Z2604">
        <f>IF($Y2604="","",INDEX($C$6:$C$40000,$Y2604)&amp;"")</f>
        <v/>
      </c>
      <c r="AA2604" s="59">
        <f>IF($Y2604="","",IF(INDEX($D$6:$D$40000,$Y2604)="","",INDEX($D$6:$D$40000,$Y2604)))</f>
        <v/>
      </c>
      <c r="AB2604">
        <f>IF($Y2604="","",INDEX($L$6:$L$40000,$Y2604)&amp;"")</f>
        <v/>
      </c>
    </row>
    <row r="2605">
      <c r="Y2605" s="47">
        <f>IFERROR(MATCH(Library!M2605,$M$6:$M$40000,0),"")</f>
        <v/>
      </c>
      <c r="Z2605">
        <f>IF($Y2605="","",INDEX($C$6:$C$40000,$Y2605)&amp;"")</f>
        <v/>
      </c>
      <c r="AA2605" s="59">
        <f>IF($Y2605="","",IF(INDEX($D$6:$D$40000,$Y2605)="","",INDEX($D$6:$D$40000,$Y2605)))</f>
        <v/>
      </c>
      <c r="AB2605">
        <f>IF($Y2605="","",INDEX($L$6:$L$40000,$Y2605)&amp;"")</f>
        <v/>
      </c>
    </row>
    <row r="2606">
      <c r="Y2606" s="47">
        <f>IFERROR(MATCH(Library!M2606,$M$6:$M$40000,0),"")</f>
        <v/>
      </c>
      <c r="Z2606">
        <f>IF($Y2606="","",INDEX($C$6:$C$40000,$Y2606)&amp;"")</f>
        <v/>
      </c>
      <c r="AA2606" s="59">
        <f>IF($Y2606="","",IF(INDEX($D$6:$D$40000,$Y2606)="","",INDEX($D$6:$D$40000,$Y2606)))</f>
        <v/>
      </c>
      <c r="AB2606">
        <f>IF($Y2606="","",INDEX($L$6:$L$40000,$Y2606)&amp;"")</f>
        <v/>
      </c>
    </row>
    <row r="2607">
      <c r="Y2607" s="47">
        <f>IFERROR(MATCH(Library!M2607,$M$6:$M$40000,0),"")</f>
        <v/>
      </c>
      <c r="Z2607">
        <f>IF($Y2607="","",INDEX($C$6:$C$40000,$Y2607)&amp;"")</f>
        <v/>
      </c>
      <c r="AA2607" s="59">
        <f>IF($Y2607="","",IF(INDEX($D$6:$D$40000,$Y2607)="","",INDEX($D$6:$D$40000,$Y2607)))</f>
        <v/>
      </c>
      <c r="AB2607">
        <f>IF($Y2607="","",INDEX($L$6:$L$40000,$Y2607)&amp;"")</f>
        <v/>
      </c>
    </row>
    <row r="2608">
      <c r="Y2608" s="47">
        <f>IFERROR(MATCH(Library!M2608,$M$6:$M$40000,0),"")</f>
        <v/>
      </c>
      <c r="Z2608">
        <f>IF($Y2608="","",INDEX($C$6:$C$40000,$Y2608)&amp;"")</f>
        <v/>
      </c>
      <c r="AA2608" s="59">
        <f>IF($Y2608="","",IF(INDEX($D$6:$D$40000,$Y2608)="","",INDEX($D$6:$D$40000,$Y2608)))</f>
        <v/>
      </c>
      <c r="AB2608">
        <f>IF($Y2608="","",INDEX($L$6:$L$40000,$Y2608)&amp;"")</f>
        <v/>
      </c>
    </row>
    <row r="2609">
      <c r="Y2609" s="47">
        <f>IFERROR(MATCH(Library!M2609,$M$6:$M$40000,0),"")</f>
        <v/>
      </c>
      <c r="Z2609">
        <f>IF($Y2609="","",INDEX($C$6:$C$40000,$Y2609)&amp;"")</f>
        <v/>
      </c>
      <c r="AA2609" s="59">
        <f>IF($Y2609="","",IF(INDEX($D$6:$D$40000,$Y2609)="","",INDEX($D$6:$D$40000,$Y2609)))</f>
        <v/>
      </c>
      <c r="AB2609">
        <f>IF($Y2609="","",INDEX($L$6:$L$40000,$Y2609)&amp;"")</f>
        <v/>
      </c>
    </row>
    <row r="2610">
      <c r="Y2610" s="47">
        <f>IFERROR(MATCH(Library!M2610,$M$6:$M$40000,0),"")</f>
        <v/>
      </c>
      <c r="Z2610">
        <f>IF($Y2610="","",INDEX($C$6:$C$40000,$Y2610)&amp;"")</f>
        <v/>
      </c>
      <c r="AA2610" s="59">
        <f>IF($Y2610="","",IF(INDEX($D$6:$D$40000,$Y2610)="","",INDEX($D$6:$D$40000,$Y2610)))</f>
        <v/>
      </c>
      <c r="AB2610">
        <f>IF($Y2610="","",INDEX($L$6:$L$40000,$Y2610)&amp;"")</f>
        <v/>
      </c>
    </row>
    <row r="2611">
      <c r="Y2611" s="47">
        <f>IFERROR(MATCH(Library!M2611,$M$6:$M$40000,0),"")</f>
        <v/>
      </c>
      <c r="Z2611">
        <f>IF($Y2611="","",INDEX($C$6:$C$40000,$Y2611)&amp;"")</f>
        <v/>
      </c>
      <c r="AA2611" s="59">
        <f>IF($Y2611="","",IF(INDEX($D$6:$D$40000,$Y2611)="","",INDEX($D$6:$D$40000,$Y2611)))</f>
        <v/>
      </c>
      <c r="AB2611">
        <f>IF($Y2611="","",INDEX($L$6:$L$40000,$Y2611)&amp;"")</f>
        <v/>
      </c>
    </row>
    <row r="2612">
      <c r="Y2612" s="47">
        <f>IFERROR(MATCH(Library!M2612,$M$6:$M$40000,0),"")</f>
        <v/>
      </c>
      <c r="Z2612">
        <f>IF($Y2612="","",INDEX($C$6:$C$40000,$Y2612)&amp;"")</f>
        <v/>
      </c>
      <c r="AA2612" s="59">
        <f>IF($Y2612="","",IF(INDEX($D$6:$D$40000,$Y2612)="","",INDEX($D$6:$D$40000,$Y2612)))</f>
        <v/>
      </c>
      <c r="AB2612">
        <f>IF($Y2612="","",INDEX($L$6:$L$40000,$Y2612)&amp;"")</f>
        <v/>
      </c>
    </row>
    <row r="2613">
      <c r="Y2613" s="47">
        <f>IFERROR(MATCH(Library!M2613,$M$6:$M$40000,0),"")</f>
        <v/>
      </c>
      <c r="Z2613">
        <f>IF($Y2613="","",INDEX($C$6:$C$40000,$Y2613)&amp;"")</f>
        <v/>
      </c>
      <c r="AA2613" s="59">
        <f>IF($Y2613="","",IF(INDEX($D$6:$D$40000,$Y2613)="","",INDEX($D$6:$D$40000,$Y2613)))</f>
        <v/>
      </c>
      <c r="AB2613">
        <f>IF($Y2613="","",INDEX($L$6:$L$40000,$Y2613)&amp;"")</f>
        <v/>
      </c>
    </row>
    <row r="2614">
      <c r="Y2614" s="47">
        <f>IFERROR(MATCH(Library!M2614,$M$6:$M$40000,0),"")</f>
        <v/>
      </c>
      <c r="Z2614">
        <f>IF($Y2614="","",INDEX($C$6:$C$40000,$Y2614)&amp;"")</f>
        <v/>
      </c>
      <c r="AA2614" s="59">
        <f>IF($Y2614="","",IF(INDEX($D$6:$D$40000,$Y2614)="","",INDEX($D$6:$D$40000,$Y2614)))</f>
        <v/>
      </c>
      <c r="AB2614">
        <f>IF($Y2614="","",INDEX($L$6:$L$40000,$Y2614)&amp;"")</f>
        <v/>
      </c>
    </row>
    <row r="2615">
      <c r="Y2615" s="47">
        <f>IFERROR(MATCH(Library!M2615,$M$6:$M$40000,0),"")</f>
        <v/>
      </c>
      <c r="Z2615">
        <f>IF($Y2615="","",INDEX($C$6:$C$40000,$Y2615)&amp;"")</f>
        <v/>
      </c>
      <c r="AA2615" s="59">
        <f>IF($Y2615="","",IF(INDEX($D$6:$D$40000,$Y2615)="","",INDEX($D$6:$D$40000,$Y2615)))</f>
        <v/>
      </c>
      <c r="AB2615">
        <f>IF($Y2615="","",INDEX($L$6:$L$40000,$Y2615)&amp;"")</f>
        <v/>
      </c>
    </row>
    <row r="2616">
      <c r="Y2616" s="47">
        <f>IFERROR(MATCH(Library!M2616,$M$6:$M$40000,0),"")</f>
        <v/>
      </c>
      <c r="Z2616">
        <f>IF($Y2616="","",INDEX($C$6:$C$40000,$Y2616)&amp;"")</f>
        <v/>
      </c>
      <c r="AA2616" s="59">
        <f>IF($Y2616="","",IF(INDEX($D$6:$D$40000,$Y2616)="","",INDEX($D$6:$D$40000,$Y2616)))</f>
        <v/>
      </c>
      <c r="AB2616">
        <f>IF($Y2616="","",INDEX($L$6:$L$40000,$Y2616)&amp;"")</f>
        <v/>
      </c>
    </row>
    <row r="2617">
      <c r="Y2617" s="47">
        <f>IFERROR(MATCH(Library!M2617,$M$6:$M$40000,0),"")</f>
        <v/>
      </c>
      <c r="Z2617">
        <f>IF($Y2617="","",INDEX($C$6:$C$40000,$Y2617)&amp;"")</f>
        <v/>
      </c>
      <c r="AA2617" s="59">
        <f>IF($Y2617="","",IF(INDEX($D$6:$D$40000,$Y2617)="","",INDEX($D$6:$D$40000,$Y2617)))</f>
        <v/>
      </c>
      <c r="AB2617">
        <f>IF($Y2617="","",INDEX($L$6:$L$40000,$Y2617)&amp;"")</f>
        <v/>
      </c>
    </row>
    <row r="2618">
      <c r="Y2618" s="47">
        <f>IFERROR(MATCH(Library!M2618,$M$6:$M$40000,0),"")</f>
        <v/>
      </c>
      <c r="Z2618">
        <f>IF($Y2618="","",INDEX($C$6:$C$40000,$Y2618)&amp;"")</f>
        <v/>
      </c>
      <c r="AA2618" s="59">
        <f>IF($Y2618="","",IF(INDEX($D$6:$D$40000,$Y2618)="","",INDEX($D$6:$D$40000,$Y2618)))</f>
        <v/>
      </c>
      <c r="AB2618">
        <f>IF($Y2618="","",INDEX($L$6:$L$40000,$Y2618)&amp;"")</f>
        <v/>
      </c>
    </row>
    <row r="2619">
      <c r="Y2619" s="47">
        <f>IFERROR(MATCH(Library!M2619,$M$6:$M$40000,0),"")</f>
        <v/>
      </c>
      <c r="Z2619">
        <f>IF($Y2619="","",INDEX($C$6:$C$40000,$Y2619)&amp;"")</f>
        <v/>
      </c>
      <c r="AA2619" s="59">
        <f>IF($Y2619="","",IF(INDEX($D$6:$D$40000,$Y2619)="","",INDEX($D$6:$D$40000,$Y2619)))</f>
        <v/>
      </c>
      <c r="AB2619">
        <f>IF($Y2619="","",INDEX($L$6:$L$40000,$Y2619)&amp;"")</f>
        <v/>
      </c>
    </row>
    <row r="2620">
      <c r="Y2620" s="47">
        <f>IFERROR(MATCH(Library!M2620,$M$6:$M$40000,0),"")</f>
        <v/>
      </c>
      <c r="Z2620">
        <f>IF($Y2620="","",INDEX($C$6:$C$40000,$Y2620)&amp;"")</f>
        <v/>
      </c>
      <c r="AA2620" s="59">
        <f>IF($Y2620="","",IF(INDEX($D$6:$D$40000,$Y2620)="","",INDEX($D$6:$D$40000,$Y2620)))</f>
        <v/>
      </c>
      <c r="AB2620">
        <f>IF($Y2620="","",INDEX($L$6:$L$40000,$Y2620)&amp;"")</f>
        <v/>
      </c>
    </row>
    <row r="2621">
      <c r="Y2621" s="47">
        <f>IFERROR(MATCH(Library!M2621,$M$6:$M$40000,0),"")</f>
        <v/>
      </c>
      <c r="Z2621">
        <f>IF($Y2621="","",INDEX($C$6:$C$40000,$Y2621)&amp;"")</f>
        <v/>
      </c>
      <c r="AA2621" s="59">
        <f>IF($Y2621="","",IF(INDEX($D$6:$D$40000,$Y2621)="","",INDEX($D$6:$D$40000,$Y2621)))</f>
        <v/>
      </c>
      <c r="AB2621">
        <f>IF($Y2621="","",INDEX($L$6:$L$40000,$Y2621)&amp;"")</f>
        <v/>
      </c>
    </row>
    <row r="2622">
      <c r="Y2622" s="47">
        <f>IFERROR(MATCH(Library!M2622,$M$6:$M$40000,0),"")</f>
        <v/>
      </c>
      <c r="Z2622">
        <f>IF($Y2622="","",INDEX($C$6:$C$40000,$Y2622)&amp;"")</f>
        <v/>
      </c>
      <c r="AA2622" s="59">
        <f>IF($Y2622="","",IF(INDEX($D$6:$D$40000,$Y2622)="","",INDEX($D$6:$D$40000,$Y2622)))</f>
        <v/>
      </c>
      <c r="AB2622">
        <f>IF($Y2622="","",INDEX($L$6:$L$40000,$Y2622)&amp;"")</f>
        <v/>
      </c>
    </row>
    <row r="2623">
      <c r="Y2623" s="47">
        <f>IFERROR(MATCH(Library!M2623,$M$6:$M$40000,0),"")</f>
        <v/>
      </c>
      <c r="Z2623">
        <f>IF($Y2623="","",INDEX($C$6:$C$40000,$Y2623)&amp;"")</f>
        <v/>
      </c>
      <c r="AA2623" s="59">
        <f>IF($Y2623="","",IF(INDEX($D$6:$D$40000,$Y2623)="","",INDEX($D$6:$D$40000,$Y2623)))</f>
        <v/>
      </c>
      <c r="AB2623">
        <f>IF($Y2623="","",INDEX($L$6:$L$40000,$Y2623)&amp;"")</f>
        <v/>
      </c>
    </row>
    <row r="2624">
      <c r="Y2624" s="47">
        <f>IFERROR(MATCH(Library!M2624,$M$6:$M$40000,0),"")</f>
        <v/>
      </c>
      <c r="Z2624">
        <f>IF($Y2624="","",INDEX($C$6:$C$40000,$Y2624)&amp;"")</f>
        <v/>
      </c>
      <c r="AA2624" s="59">
        <f>IF($Y2624="","",IF(INDEX($D$6:$D$40000,$Y2624)="","",INDEX($D$6:$D$40000,$Y2624)))</f>
        <v/>
      </c>
      <c r="AB2624">
        <f>IF($Y2624="","",INDEX($L$6:$L$40000,$Y2624)&amp;"")</f>
        <v/>
      </c>
    </row>
    <row r="2625">
      <c r="Y2625" s="47">
        <f>IFERROR(MATCH(Library!M2625,$M$6:$M$40000,0),"")</f>
        <v/>
      </c>
      <c r="Z2625">
        <f>IF($Y2625="","",INDEX($C$6:$C$40000,$Y2625)&amp;"")</f>
        <v/>
      </c>
      <c r="AA2625" s="59">
        <f>IF($Y2625="","",IF(INDEX($D$6:$D$40000,$Y2625)="","",INDEX($D$6:$D$40000,$Y2625)))</f>
        <v/>
      </c>
      <c r="AB2625">
        <f>IF($Y2625="","",INDEX($L$6:$L$40000,$Y2625)&amp;"")</f>
        <v/>
      </c>
    </row>
    <row r="2626">
      <c r="Y2626" s="47">
        <f>IFERROR(MATCH(Library!M2626,$M$6:$M$40000,0),"")</f>
        <v/>
      </c>
      <c r="Z2626">
        <f>IF($Y2626="","",INDEX($C$6:$C$40000,$Y2626)&amp;"")</f>
        <v/>
      </c>
      <c r="AA2626" s="59">
        <f>IF($Y2626="","",IF(INDEX($D$6:$D$40000,$Y2626)="","",INDEX($D$6:$D$40000,$Y2626)))</f>
        <v/>
      </c>
      <c r="AB2626">
        <f>IF($Y2626="","",INDEX($L$6:$L$40000,$Y2626)&amp;"")</f>
        <v/>
      </c>
    </row>
    <row r="2627">
      <c r="Y2627" s="47">
        <f>IFERROR(MATCH(Library!M2627,$M$6:$M$40000,0),"")</f>
        <v/>
      </c>
      <c r="Z2627">
        <f>IF($Y2627="","",INDEX($C$6:$C$40000,$Y2627)&amp;"")</f>
        <v/>
      </c>
      <c r="AA2627" s="59">
        <f>IF($Y2627="","",IF(INDEX($D$6:$D$40000,$Y2627)="","",INDEX($D$6:$D$40000,$Y2627)))</f>
        <v/>
      </c>
      <c r="AB2627">
        <f>IF($Y2627="","",INDEX($L$6:$L$40000,$Y2627)&amp;"")</f>
        <v/>
      </c>
    </row>
    <row r="2628">
      <c r="Y2628" s="47">
        <f>IFERROR(MATCH(Library!M2628,$M$6:$M$40000,0),"")</f>
        <v/>
      </c>
      <c r="Z2628">
        <f>IF($Y2628="","",INDEX($C$6:$C$40000,$Y2628)&amp;"")</f>
        <v/>
      </c>
      <c r="AA2628" s="59">
        <f>IF($Y2628="","",IF(INDEX($D$6:$D$40000,$Y2628)="","",INDEX($D$6:$D$40000,$Y2628)))</f>
        <v/>
      </c>
      <c r="AB2628">
        <f>IF($Y2628="","",INDEX($L$6:$L$40000,$Y2628)&amp;"")</f>
        <v/>
      </c>
    </row>
    <row r="2629">
      <c r="Y2629" s="47">
        <f>IFERROR(MATCH(Library!M2629,$M$6:$M$40000,0),"")</f>
        <v/>
      </c>
      <c r="Z2629">
        <f>IF($Y2629="","",INDEX($C$6:$C$40000,$Y2629)&amp;"")</f>
        <v/>
      </c>
      <c r="AA2629" s="59">
        <f>IF($Y2629="","",IF(INDEX($D$6:$D$40000,$Y2629)="","",INDEX($D$6:$D$40000,$Y2629)))</f>
        <v/>
      </c>
      <c r="AB2629">
        <f>IF($Y2629="","",INDEX($L$6:$L$40000,$Y2629)&amp;"")</f>
        <v/>
      </c>
    </row>
    <row r="2630">
      <c r="Y2630" s="47">
        <f>IFERROR(MATCH(Library!M2630,$M$6:$M$40000,0),"")</f>
        <v/>
      </c>
      <c r="Z2630">
        <f>IF($Y2630="","",INDEX($C$6:$C$40000,$Y2630)&amp;"")</f>
        <v/>
      </c>
      <c r="AA2630" s="59">
        <f>IF($Y2630="","",IF(INDEX($D$6:$D$40000,$Y2630)="","",INDEX($D$6:$D$40000,$Y2630)))</f>
        <v/>
      </c>
      <c r="AB2630">
        <f>IF($Y2630="","",INDEX($L$6:$L$40000,$Y2630)&amp;"")</f>
        <v/>
      </c>
    </row>
    <row r="2631">
      <c r="Y2631" s="47">
        <f>IFERROR(MATCH(Library!M2631,$M$6:$M$40000,0),"")</f>
        <v/>
      </c>
      <c r="Z2631">
        <f>IF($Y2631="","",INDEX($C$6:$C$40000,$Y2631)&amp;"")</f>
        <v/>
      </c>
      <c r="AA2631" s="59">
        <f>IF($Y2631="","",IF(INDEX($D$6:$D$40000,$Y2631)="","",INDEX($D$6:$D$40000,$Y2631)))</f>
        <v/>
      </c>
      <c r="AB2631">
        <f>IF($Y2631="","",INDEX($L$6:$L$40000,$Y2631)&amp;"")</f>
        <v/>
      </c>
    </row>
    <row r="2632">
      <c r="Y2632" s="47">
        <f>IFERROR(MATCH(Library!M2632,$M$6:$M$40000,0),"")</f>
        <v/>
      </c>
      <c r="Z2632">
        <f>IF($Y2632="","",INDEX($C$6:$C$40000,$Y2632)&amp;"")</f>
        <v/>
      </c>
      <c r="AA2632" s="59">
        <f>IF($Y2632="","",IF(INDEX($D$6:$D$40000,$Y2632)="","",INDEX($D$6:$D$40000,$Y2632)))</f>
        <v/>
      </c>
      <c r="AB2632">
        <f>IF($Y2632="","",INDEX($L$6:$L$40000,$Y2632)&amp;"")</f>
        <v/>
      </c>
    </row>
    <row r="2633">
      <c r="Y2633" s="47">
        <f>IFERROR(MATCH(Library!M2633,$M$6:$M$40000,0),"")</f>
        <v/>
      </c>
      <c r="Z2633">
        <f>IF($Y2633="","",INDEX($C$6:$C$40000,$Y2633)&amp;"")</f>
        <v/>
      </c>
      <c r="AA2633" s="59">
        <f>IF($Y2633="","",IF(INDEX($D$6:$D$40000,$Y2633)="","",INDEX($D$6:$D$40000,$Y2633)))</f>
        <v/>
      </c>
      <c r="AB2633">
        <f>IF($Y2633="","",INDEX($L$6:$L$40000,$Y2633)&amp;"")</f>
        <v/>
      </c>
    </row>
    <row r="2634">
      <c r="Y2634" s="47">
        <f>IFERROR(MATCH(Library!M2634,$M$6:$M$40000,0),"")</f>
        <v/>
      </c>
      <c r="Z2634">
        <f>IF($Y2634="","",INDEX($C$6:$C$40000,$Y2634)&amp;"")</f>
        <v/>
      </c>
      <c r="AA2634" s="59">
        <f>IF($Y2634="","",IF(INDEX($D$6:$D$40000,$Y2634)="","",INDEX($D$6:$D$40000,$Y2634)))</f>
        <v/>
      </c>
      <c r="AB2634">
        <f>IF($Y2634="","",INDEX($L$6:$L$40000,$Y2634)&amp;"")</f>
        <v/>
      </c>
    </row>
    <row r="2635">
      <c r="Y2635" s="47">
        <f>IFERROR(MATCH(Library!M2635,$M$6:$M$40000,0),"")</f>
        <v/>
      </c>
      <c r="Z2635">
        <f>IF($Y2635="","",INDEX($C$6:$C$40000,$Y2635)&amp;"")</f>
        <v/>
      </c>
      <c r="AA2635" s="59">
        <f>IF($Y2635="","",IF(INDEX($D$6:$D$40000,$Y2635)="","",INDEX($D$6:$D$40000,$Y2635)))</f>
        <v/>
      </c>
      <c r="AB2635">
        <f>IF($Y2635="","",INDEX($L$6:$L$40000,$Y2635)&amp;"")</f>
        <v/>
      </c>
    </row>
    <row r="2636">
      <c r="Y2636" s="47">
        <f>IFERROR(MATCH(Library!M2636,$M$6:$M$40000,0),"")</f>
        <v/>
      </c>
      <c r="Z2636">
        <f>IF($Y2636="","",INDEX($C$6:$C$40000,$Y2636)&amp;"")</f>
        <v/>
      </c>
      <c r="AA2636" s="59">
        <f>IF($Y2636="","",IF(INDEX($D$6:$D$40000,$Y2636)="","",INDEX($D$6:$D$40000,$Y2636)))</f>
        <v/>
      </c>
      <c r="AB2636">
        <f>IF($Y2636="","",INDEX($L$6:$L$40000,$Y2636)&amp;"")</f>
        <v/>
      </c>
    </row>
    <row r="2637">
      <c r="Y2637" s="47">
        <f>IFERROR(MATCH(Library!M2637,$M$6:$M$40000,0),"")</f>
        <v/>
      </c>
      <c r="Z2637">
        <f>IF($Y2637="","",INDEX($C$6:$C$40000,$Y2637)&amp;"")</f>
        <v/>
      </c>
      <c r="AA2637" s="59">
        <f>IF($Y2637="","",IF(INDEX($D$6:$D$40000,$Y2637)="","",INDEX($D$6:$D$40000,$Y2637)))</f>
        <v/>
      </c>
      <c r="AB2637">
        <f>IF($Y2637="","",INDEX($L$6:$L$40000,$Y2637)&amp;"")</f>
        <v/>
      </c>
    </row>
    <row r="2638">
      <c r="Y2638" s="47">
        <f>IFERROR(MATCH(Library!M2638,$M$6:$M$40000,0),"")</f>
        <v/>
      </c>
      <c r="Z2638">
        <f>IF($Y2638="","",INDEX($C$6:$C$40000,$Y2638)&amp;"")</f>
        <v/>
      </c>
      <c r="AA2638" s="59">
        <f>IF($Y2638="","",IF(INDEX($D$6:$D$40000,$Y2638)="","",INDEX($D$6:$D$40000,$Y2638)))</f>
        <v/>
      </c>
      <c r="AB2638">
        <f>IF($Y2638="","",INDEX($L$6:$L$40000,$Y2638)&amp;"")</f>
        <v/>
      </c>
    </row>
    <row r="2639">
      <c r="Y2639" s="47">
        <f>IFERROR(MATCH(Library!M2639,$M$6:$M$40000,0),"")</f>
        <v/>
      </c>
      <c r="Z2639">
        <f>IF($Y2639="","",INDEX($C$6:$C$40000,$Y2639)&amp;"")</f>
        <v/>
      </c>
      <c r="AA2639" s="59">
        <f>IF($Y2639="","",IF(INDEX($D$6:$D$40000,$Y2639)="","",INDEX($D$6:$D$40000,$Y2639)))</f>
        <v/>
      </c>
      <c r="AB2639">
        <f>IF($Y2639="","",INDEX($L$6:$L$40000,$Y2639)&amp;"")</f>
        <v/>
      </c>
    </row>
    <row r="2640">
      <c r="Y2640" s="47">
        <f>IFERROR(MATCH(Library!M2640,$M$6:$M$40000,0),"")</f>
        <v/>
      </c>
      <c r="Z2640">
        <f>IF($Y2640="","",INDEX($C$6:$C$40000,$Y2640)&amp;"")</f>
        <v/>
      </c>
      <c r="AA2640" s="59">
        <f>IF($Y2640="","",IF(INDEX($D$6:$D$40000,$Y2640)="","",INDEX($D$6:$D$40000,$Y2640)))</f>
        <v/>
      </c>
      <c r="AB2640">
        <f>IF($Y2640="","",INDEX($L$6:$L$40000,$Y2640)&amp;"")</f>
        <v/>
      </c>
    </row>
    <row r="2641">
      <c r="Y2641" s="47">
        <f>IFERROR(MATCH(Library!M2641,$M$6:$M$40000,0),"")</f>
        <v/>
      </c>
      <c r="Z2641">
        <f>IF($Y2641="","",INDEX($C$6:$C$40000,$Y2641)&amp;"")</f>
        <v/>
      </c>
      <c r="AA2641" s="59">
        <f>IF($Y2641="","",IF(INDEX($D$6:$D$40000,$Y2641)="","",INDEX($D$6:$D$40000,$Y2641)))</f>
        <v/>
      </c>
      <c r="AB2641">
        <f>IF($Y2641="","",INDEX($L$6:$L$40000,$Y2641)&amp;"")</f>
        <v/>
      </c>
    </row>
    <row r="2642">
      <c r="Y2642" s="47">
        <f>IFERROR(MATCH(Library!M2642,$M$6:$M$40000,0),"")</f>
        <v/>
      </c>
      <c r="Z2642">
        <f>IF($Y2642="","",INDEX($C$6:$C$40000,$Y2642)&amp;"")</f>
        <v/>
      </c>
      <c r="AA2642" s="59">
        <f>IF($Y2642="","",IF(INDEX($D$6:$D$40000,$Y2642)="","",INDEX($D$6:$D$40000,$Y2642)))</f>
        <v/>
      </c>
      <c r="AB2642">
        <f>IF($Y2642="","",INDEX($L$6:$L$40000,$Y2642)&amp;"")</f>
        <v/>
      </c>
    </row>
    <row r="2643">
      <c r="Y2643" s="47">
        <f>IFERROR(MATCH(Library!M2643,$M$6:$M$40000,0),"")</f>
        <v/>
      </c>
      <c r="Z2643">
        <f>IF($Y2643="","",INDEX($C$6:$C$40000,$Y2643)&amp;"")</f>
        <v/>
      </c>
      <c r="AA2643" s="59">
        <f>IF($Y2643="","",IF(INDEX($D$6:$D$40000,$Y2643)="","",INDEX($D$6:$D$40000,$Y2643)))</f>
        <v/>
      </c>
      <c r="AB2643">
        <f>IF($Y2643="","",INDEX($L$6:$L$40000,$Y2643)&amp;"")</f>
        <v/>
      </c>
    </row>
    <row r="2644">
      <c r="Y2644" s="47">
        <f>IFERROR(MATCH(Library!M2644,$M$6:$M$40000,0),"")</f>
        <v/>
      </c>
      <c r="Z2644">
        <f>IF($Y2644="","",INDEX($C$6:$C$40000,$Y2644)&amp;"")</f>
        <v/>
      </c>
      <c r="AA2644" s="59">
        <f>IF($Y2644="","",IF(INDEX($D$6:$D$40000,$Y2644)="","",INDEX($D$6:$D$40000,$Y2644)))</f>
        <v/>
      </c>
      <c r="AB2644">
        <f>IF($Y2644="","",INDEX($L$6:$L$40000,$Y2644)&amp;"")</f>
        <v/>
      </c>
    </row>
    <row r="2645">
      <c r="Y2645" s="47">
        <f>IFERROR(MATCH(Library!M2645,$M$6:$M$40000,0),"")</f>
        <v/>
      </c>
      <c r="Z2645">
        <f>IF($Y2645="","",INDEX($C$6:$C$40000,$Y2645)&amp;"")</f>
        <v/>
      </c>
      <c r="AA2645" s="59">
        <f>IF($Y2645="","",IF(INDEX($D$6:$D$40000,$Y2645)="","",INDEX($D$6:$D$40000,$Y2645)))</f>
        <v/>
      </c>
      <c r="AB2645">
        <f>IF($Y2645="","",INDEX($L$6:$L$40000,$Y2645)&amp;"")</f>
        <v/>
      </c>
    </row>
    <row r="2646">
      <c r="Y2646" s="47">
        <f>IFERROR(MATCH(Library!M2646,$M$6:$M$40000,0),"")</f>
        <v/>
      </c>
      <c r="Z2646">
        <f>IF($Y2646="","",INDEX($C$6:$C$40000,$Y2646)&amp;"")</f>
        <v/>
      </c>
      <c r="AA2646" s="59">
        <f>IF($Y2646="","",IF(INDEX($D$6:$D$40000,$Y2646)="","",INDEX($D$6:$D$40000,$Y2646)))</f>
        <v/>
      </c>
      <c r="AB2646">
        <f>IF($Y2646="","",INDEX($L$6:$L$40000,$Y2646)&amp;"")</f>
        <v/>
      </c>
    </row>
    <row r="2647">
      <c r="Y2647" s="47">
        <f>IFERROR(MATCH(Library!M2647,$M$6:$M$40000,0),"")</f>
        <v/>
      </c>
      <c r="Z2647">
        <f>IF($Y2647="","",INDEX($C$6:$C$40000,$Y2647)&amp;"")</f>
        <v/>
      </c>
      <c r="AA2647" s="59">
        <f>IF($Y2647="","",IF(INDEX($D$6:$D$40000,$Y2647)="","",INDEX($D$6:$D$40000,$Y2647)))</f>
        <v/>
      </c>
      <c r="AB2647">
        <f>IF($Y2647="","",INDEX($L$6:$L$40000,$Y2647)&amp;"")</f>
        <v/>
      </c>
    </row>
    <row r="2648">
      <c r="Y2648" s="47">
        <f>IFERROR(MATCH(Library!M2648,$M$6:$M$40000,0),"")</f>
        <v/>
      </c>
      <c r="Z2648">
        <f>IF($Y2648="","",INDEX($C$6:$C$40000,$Y2648)&amp;"")</f>
        <v/>
      </c>
      <c r="AA2648" s="59">
        <f>IF($Y2648="","",IF(INDEX($D$6:$D$40000,$Y2648)="","",INDEX($D$6:$D$40000,$Y2648)))</f>
        <v/>
      </c>
      <c r="AB2648">
        <f>IF($Y2648="","",INDEX($L$6:$L$40000,$Y2648)&amp;"")</f>
        <v/>
      </c>
    </row>
    <row r="2649">
      <c r="Y2649" s="47">
        <f>IFERROR(MATCH(Library!M2649,$M$6:$M$40000,0),"")</f>
        <v/>
      </c>
      <c r="Z2649">
        <f>IF($Y2649="","",INDEX($C$6:$C$40000,$Y2649)&amp;"")</f>
        <v/>
      </c>
      <c r="AA2649" s="59">
        <f>IF($Y2649="","",IF(INDEX($D$6:$D$40000,$Y2649)="","",INDEX($D$6:$D$40000,$Y2649)))</f>
        <v/>
      </c>
      <c r="AB2649">
        <f>IF($Y2649="","",INDEX($L$6:$L$40000,$Y2649)&amp;"")</f>
        <v/>
      </c>
    </row>
    <row r="2650">
      <c r="Y2650" s="47">
        <f>IFERROR(MATCH(Library!M2650,$M$6:$M$40000,0),"")</f>
        <v/>
      </c>
      <c r="Z2650">
        <f>IF($Y2650="","",INDEX($C$6:$C$40000,$Y2650)&amp;"")</f>
        <v/>
      </c>
      <c r="AA2650" s="59">
        <f>IF($Y2650="","",IF(INDEX($D$6:$D$40000,$Y2650)="","",INDEX($D$6:$D$40000,$Y2650)))</f>
        <v/>
      </c>
      <c r="AB2650">
        <f>IF($Y2650="","",INDEX($L$6:$L$40000,$Y2650)&amp;"")</f>
        <v/>
      </c>
    </row>
    <row r="2651">
      <c r="Y2651" s="47">
        <f>IFERROR(MATCH(Library!M2651,$M$6:$M$40000,0),"")</f>
        <v/>
      </c>
      <c r="Z2651">
        <f>IF($Y2651="","",INDEX($C$6:$C$40000,$Y2651)&amp;"")</f>
        <v/>
      </c>
      <c r="AA2651" s="59">
        <f>IF($Y2651="","",IF(INDEX($D$6:$D$40000,$Y2651)="","",INDEX($D$6:$D$40000,$Y2651)))</f>
        <v/>
      </c>
      <c r="AB2651">
        <f>IF($Y2651="","",INDEX($L$6:$L$40000,$Y2651)&amp;"")</f>
        <v/>
      </c>
    </row>
    <row r="2652">
      <c r="Y2652" s="47">
        <f>IFERROR(MATCH(Library!M2652,$M$6:$M$40000,0),"")</f>
        <v/>
      </c>
      <c r="Z2652">
        <f>IF($Y2652="","",INDEX($C$6:$C$40000,$Y2652)&amp;"")</f>
        <v/>
      </c>
      <c r="AA2652" s="59">
        <f>IF($Y2652="","",IF(INDEX($D$6:$D$40000,$Y2652)="","",INDEX($D$6:$D$40000,$Y2652)))</f>
        <v/>
      </c>
      <c r="AB2652">
        <f>IF($Y2652="","",INDEX($L$6:$L$40000,$Y2652)&amp;"")</f>
        <v/>
      </c>
    </row>
    <row r="2653">
      <c r="Y2653" s="47">
        <f>IFERROR(MATCH(Library!M2653,$M$6:$M$40000,0),"")</f>
        <v/>
      </c>
      <c r="Z2653">
        <f>IF($Y2653="","",INDEX($C$6:$C$40000,$Y2653)&amp;"")</f>
        <v/>
      </c>
      <c r="AA2653" s="59">
        <f>IF($Y2653="","",IF(INDEX($D$6:$D$40000,$Y2653)="","",INDEX($D$6:$D$40000,$Y2653)))</f>
        <v/>
      </c>
      <c r="AB2653">
        <f>IF($Y2653="","",INDEX($L$6:$L$40000,$Y2653)&amp;"")</f>
        <v/>
      </c>
    </row>
    <row r="2654">
      <c r="Y2654" s="47">
        <f>IFERROR(MATCH(Library!M2654,$M$6:$M$40000,0),"")</f>
        <v/>
      </c>
      <c r="Z2654">
        <f>IF($Y2654="","",INDEX($C$6:$C$40000,$Y2654)&amp;"")</f>
        <v/>
      </c>
      <c r="AA2654" s="59">
        <f>IF($Y2654="","",IF(INDEX($D$6:$D$40000,$Y2654)="","",INDEX($D$6:$D$40000,$Y2654)))</f>
        <v/>
      </c>
      <c r="AB2654">
        <f>IF($Y2654="","",INDEX($L$6:$L$40000,$Y2654)&amp;"")</f>
        <v/>
      </c>
    </row>
    <row r="2655">
      <c r="Y2655" s="47">
        <f>IFERROR(MATCH(Library!M2655,$M$6:$M$40000,0),"")</f>
        <v/>
      </c>
      <c r="Z2655">
        <f>IF($Y2655="","",INDEX($C$6:$C$40000,$Y2655)&amp;"")</f>
        <v/>
      </c>
      <c r="AA2655" s="59">
        <f>IF($Y2655="","",IF(INDEX($D$6:$D$40000,$Y2655)="","",INDEX($D$6:$D$40000,$Y2655)))</f>
        <v/>
      </c>
      <c r="AB2655">
        <f>IF($Y2655="","",INDEX($L$6:$L$40000,$Y2655)&amp;"")</f>
        <v/>
      </c>
    </row>
    <row r="2656">
      <c r="Y2656" s="47">
        <f>IFERROR(MATCH(Library!M2656,$M$6:$M$40000,0),"")</f>
        <v/>
      </c>
      <c r="Z2656">
        <f>IF($Y2656="","",INDEX($C$6:$C$40000,$Y2656)&amp;"")</f>
        <v/>
      </c>
      <c r="AA2656" s="59">
        <f>IF($Y2656="","",IF(INDEX($D$6:$D$40000,$Y2656)="","",INDEX($D$6:$D$40000,$Y2656)))</f>
        <v/>
      </c>
      <c r="AB2656">
        <f>IF($Y2656="","",INDEX($L$6:$L$40000,$Y2656)&amp;"")</f>
        <v/>
      </c>
    </row>
    <row r="2657">
      <c r="Y2657" s="47">
        <f>IFERROR(MATCH(Library!M2657,$M$6:$M$40000,0),"")</f>
        <v/>
      </c>
      <c r="Z2657">
        <f>IF($Y2657="","",INDEX($C$6:$C$40000,$Y2657)&amp;"")</f>
        <v/>
      </c>
      <c r="AA2657" s="59">
        <f>IF($Y2657="","",IF(INDEX($D$6:$D$40000,$Y2657)="","",INDEX($D$6:$D$40000,$Y2657)))</f>
        <v/>
      </c>
      <c r="AB2657">
        <f>IF($Y2657="","",INDEX($L$6:$L$40000,$Y2657)&amp;"")</f>
        <v/>
      </c>
    </row>
    <row r="2658">
      <c r="Y2658" s="47">
        <f>IFERROR(MATCH(Library!M2658,$M$6:$M$40000,0),"")</f>
        <v/>
      </c>
      <c r="Z2658">
        <f>IF($Y2658="","",INDEX($C$6:$C$40000,$Y2658)&amp;"")</f>
        <v/>
      </c>
      <c r="AA2658" s="59">
        <f>IF($Y2658="","",IF(INDEX($D$6:$D$40000,$Y2658)="","",INDEX($D$6:$D$40000,$Y2658)))</f>
        <v/>
      </c>
      <c r="AB2658">
        <f>IF($Y2658="","",INDEX($L$6:$L$40000,$Y2658)&amp;"")</f>
        <v/>
      </c>
    </row>
    <row r="2659">
      <c r="Y2659" s="47">
        <f>IFERROR(MATCH(Library!M2659,$M$6:$M$40000,0),"")</f>
        <v/>
      </c>
      <c r="Z2659">
        <f>IF($Y2659="","",INDEX($C$6:$C$40000,$Y2659)&amp;"")</f>
        <v/>
      </c>
      <c r="AA2659" s="59">
        <f>IF($Y2659="","",IF(INDEX($D$6:$D$40000,$Y2659)="","",INDEX($D$6:$D$40000,$Y2659)))</f>
        <v/>
      </c>
      <c r="AB2659">
        <f>IF($Y2659="","",INDEX($L$6:$L$40000,$Y2659)&amp;"")</f>
        <v/>
      </c>
    </row>
    <row r="2660">
      <c r="Y2660" s="47">
        <f>IFERROR(MATCH(Library!M2660,$M$6:$M$40000,0),"")</f>
        <v/>
      </c>
      <c r="Z2660">
        <f>IF($Y2660="","",INDEX($C$6:$C$40000,$Y2660)&amp;"")</f>
        <v/>
      </c>
      <c r="AA2660" s="59">
        <f>IF($Y2660="","",IF(INDEX($D$6:$D$40000,$Y2660)="","",INDEX($D$6:$D$40000,$Y2660)))</f>
        <v/>
      </c>
      <c r="AB2660">
        <f>IF($Y2660="","",INDEX($L$6:$L$40000,$Y2660)&amp;"")</f>
        <v/>
      </c>
    </row>
    <row r="2661">
      <c r="Y2661" s="47">
        <f>IFERROR(MATCH(Library!M2661,$M$6:$M$40000,0),"")</f>
        <v/>
      </c>
      <c r="Z2661">
        <f>IF($Y2661="","",INDEX($C$6:$C$40000,$Y2661)&amp;"")</f>
        <v/>
      </c>
      <c r="AA2661" s="59">
        <f>IF($Y2661="","",IF(INDEX($D$6:$D$40000,$Y2661)="","",INDEX($D$6:$D$40000,$Y2661)))</f>
        <v/>
      </c>
      <c r="AB2661">
        <f>IF($Y2661="","",INDEX($L$6:$L$40000,$Y2661)&amp;"")</f>
        <v/>
      </c>
    </row>
    <row r="2662">
      <c r="Y2662" s="47">
        <f>IFERROR(MATCH(Library!M2662,$M$6:$M$40000,0),"")</f>
        <v/>
      </c>
      <c r="Z2662">
        <f>IF($Y2662="","",INDEX($C$6:$C$40000,$Y2662)&amp;"")</f>
        <v/>
      </c>
      <c r="AA2662" s="59">
        <f>IF($Y2662="","",IF(INDEX($D$6:$D$40000,$Y2662)="","",INDEX($D$6:$D$40000,$Y2662)))</f>
        <v/>
      </c>
      <c r="AB2662">
        <f>IF($Y2662="","",INDEX($L$6:$L$40000,$Y2662)&amp;"")</f>
        <v/>
      </c>
    </row>
    <row r="2663">
      <c r="Y2663" s="47">
        <f>IFERROR(MATCH(Library!M2663,$M$6:$M$40000,0),"")</f>
        <v/>
      </c>
      <c r="Z2663">
        <f>IF($Y2663="","",INDEX($C$6:$C$40000,$Y2663)&amp;"")</f>
        <v/>
      </c>
      <c r="AA2663" s="59">
        <f>IF($Y2663="","",IF(INDEX($D$6:$D$40000,$Y2663)="","",INDEX($D$6:$D$40000,$Y2663)))</f>
        <v/>
      </c>
      <c r="AB2663">
        <f>IF($Y2663="","",INDEX($L$6:$L$40000,$Y2663)&amp;"")</f>
        <v/>
      </c>
    </row>
    <row r="2664">
      <c r="Y2664" s="47">
        <f>IFERROR(MATCH(Library!M2664,$M$6:$M$40000,0),"")</f>
        <v/>
      </c>
      <c r="Z2664">
        <f>IF($Y2664="","",INDEX($C$6:$C$40000,$Y2664)&amp;"")</f>
        <v/>
      </c>
      <c r="AA2664" s="59">
        <f>IF($Y2664="","",IF(INDEX($D$6:$D$40000,$Y2664)="","",INDEX($D$6:$D$40000,$Y2664)))</f>
        <v/>
      </c>
      <c r="AB2664">
        <f>IF($Y2664="","",INDEX($L$6:$L$40000,$Y2664)&amp;"")</f>
        <v/>
      </c>
    </row>
    <row r="2665">
      <c r="Y2665" s="47">
        <f>IFERROR(MATCH(Library!M2665,$M$6:$M$40000,0),"")</f>
        <v/>
      </c>
      <c r="Z2665">
        <f>IF($Y2665="","",INDEX($C$6:$C$40000,$Y2665)&amp;"")</f>
        <v/>
      </c>
      <c r="AA2665" s="59">
        <f>IF($Y2665="","",IF(INDEX($D$6:$D$40000,$Y2665)="","",INDEX($D$6:$D$40000,$Y2665)))</f>
        <v/>
      </c>
      <c r="AB2665">
        <f>IF($Y2665="","",INDEX($L$6:$L$40000,$Y2665)&amp;"")</f>
        <v/>
      </c>
    </row>
    <row r="2666">
      <c r="Y2666" s="47">
        <f>IFERROR(MATCH(Library!M2666,$M$6:$M$40000,0),"")</f>
        <v/>
      </c>
      <c r="Z2666">
        <f>IF($Y2666="","",INDEX($C$6:$C$40000,$Y2666)&amp;"")</f>
        <v/>
      </c>
      <c r="AA2666" s="59">
        <f>IF($Y2666="","",IF(INDEX($D$6:$D$40000,$Y2666)="","",INDEX($D$6:$D$40000,$Y2666)))</f>
        <v/>
      </c>
      <c r="AB2666">
        <f>IF($Y2666="","",INDEX($L$6:$L$40000,$Y2666)&amp;"")</f>
        <v/>
      </c>
    </row>
    <row r="2667">
      <c r="Y2667" s="47">
        <f>IFERROR(MATCH(Library!M2667,$M$6:$M$40000,0),"")</f>
        <v/>
      </c>
      <c r="Z2667">
        <f>IF($Y2667="","",INDEX($C$6:$C$40000,$Y2667)&amp;"")</f>
        <v/>
      </c>
      <c r="AA2667" s="59">
        <f>IF($Y2667="","",IF(INDEX($D$6:$D$40000,$Y2667)="","",INDEX($D$6:$D$40000,$Y2667)))</f>
        <v/>
      </c>
      <c r="AB2667">
        <f>IF($Y2667="","",INDEX($L$6:$L$40000,$Y2667)&amp;"")</f>
        <v/>
      </c>
    </row>
    <row r="2668">
      <c r="Y2668" s="47">
        <f>IFERROR(MATCH(Library!M2668,$M$6:$M$40000,0),"")</f>
        <v/>
      </c>
      <c r="Z2668">
        <f>IF($Y2668="","",INDEX($C$6:$C$40000,$Y2668)&amp;"")</f>
        <v/>
      </c>
      <c r="AA2668" s="59">
        <f>IF($Y2668="","",IF(INDEX($D$6:$D$40000,$Y2668)="","",INDEX($D$6:$D$40000,$Y2668)))</f>
        <v/>
      </c>
      <c r="AB2668">
        <f>IF($Y2668="","",INDEX($L$6:$L$40000,$Y2668)&amp;"")</f>
        <v/>
      </c>
    </row>
    <row r="2669">
      <c r="Y2669" s="47">
        <f>IFERROR(MATCH(Library!M2669,$M$6:$M$40000,0),"")</f>
        <v/>
      </c>
      <c r="Z2669">
        <f>IF($Y2669="","",INDEX($C$6:$C$40000,$Y2669)&amp;"")</f>
        <v/>
      </c>
      <c r="AA2669" s="59">
        <f>IF($Y2669="","",IF(INDEX($D$6:$D$40000,$Y2669)="","",INDEX($D$6:$D$40000,$Y2669)))</f>
        <v/>
      </c>
      <c r="AB2669">
        <f>IF($Y2669="","",INDEX($L$6:$L$40000,$Y2669)&amp;"")</f>
        <v/>
      </c>
    </row>
    <row r="2670">
      <c r="Y2670" s="47">
        <f>IFERROR(MATCH(Library!M2670,$M$6:$M$40000,0),"")</f>
        <v/>
      </c>
      <c r="Z2670">
        <f>IF($Y2670="","",INDEX($C$6:$C$40000,$Y2670)&amp;"")</f>
        <v/>
      </c>
      <c r="AA2670" s="59">
        <f>IF($Y2670="","",IF(INDEX($D$6:$D$40000,$Y2670)="","",INDEX($D$6:$D$40000,$Y2670)))</f>
        <v/>
      </c>
      <c r="AB2670">
        <f>IF($Y2670="","",INDEX($L$6:$L$40000,$Y2670)&amp;"")</f>
        <v/>
      </c>
    </row>
    <row r="2671">
      <c r="Y2671" s="47">
        <f>IFERROR(MATCH(Library!M2671,$M$6:$M$40000,0),"")</f>
        <v/>
      </c>
      <c r="Z2671">
        <f>IF($Y2671="","",INDEX($C$6:$C$40000,$Y2671)&amp;"")</f>
        <v/>
      </c>
      <c r="AA2671" s="59">
        <f>IF($Y2671="","",IF(INDEX($D$6:$D$40000,$Y2671)="","",INDEX($D$6:$D$40000,$Y2671)))</f>
        <v/>
      </c>
      <c r="AB2671">
        <f>IF($Y2671="","",INDEX($L$6:$L$40000,$Y2671)&amp;"")</f>
        <v/>
      </c>
    </row>
    <row r="2672">
      <c r="Y2672" s="47">
        <f>IFERROR(MATCH(Library!M2672,$M$6:$M$40000,0),"")</f>
        <v/>
      </c>
      <c r="Z2672">
        <f>IF($Y2672="","",INDEX($C$6:$C$40000,$Y2672)&amp;"")</f>
        <v/>
      </c>
      <c r="AA2672" s="59">
        <f>IF($Y2672="","",IF(INDEX($D$6:$D$40000,$Y2672)="","",INDEX($D$6:$D$40000,$Y2672)))</f>
        <v/>
      </c>
      <c r="AB2672">
        <f>IF($Y2672="","",INDEX($L$6:$L$40000,$Y2672)&amp;"")</f>
        <v/>
      </c>
    </row>
    <row r="2673">
      <c r="Y2673" s="47">
        <f>IFERROR(MATCH(Library!M2673,$M$6:$M$40000,0),"")</f>
        <v/>
      </c>
      <c r="Z2673">
        <f>IF($Y2673="","",INDEX($C$6:$C$40000,$Y2673)&amp;"")</f>
        <v/>
      </c>
      <c r="AA2673" s="59">
        <f>IF($Y2673="","",IF(INDEX($D$6:$D$40000,$Y2673)="","",INDEX($D$6:$D$40000,$Y2673)))</f>
        <v/>
      </c>
      <c r="AB2673">
        <f>IF($Y2673="","",INDEX($L$6:$L$40000,$Y2673)&amp;"")</f>
        <v/>
      </c>
    </row>
    <row r="2674">
      <c r="Y2674" s="47">
        <f>IFERROR(MATCH(Library!M2674,$M$6:$M$40000,0),"")</f>
        <v/>
      </c>
      <c r="Z2674">
        <f>IF($Y2674="","",INDEX($C$6:$C$40000,$Y2674)&amp;"")</f>
        <v/>
      </c>
      <c r="AA2674" s="59">
        <f>IF($Y2674="","",IF(INDEX($D$6:$D$40000,$Y2674)="","",INDEX($D$6:$D$40000,$Y2674)))</f>
        <v/>
      </c>
      <c r="AB2674">
        <f>IF($Y2674="","",INDEX($L$6:$L$40000,$Y2674)&amp;"")</f>
        <v/>
      </c>
    </row>
    <row r="2675">
      <c r="Y2675" s="47">
        <f>IFERROR(MATCH(Library!M2675,$M$6:$M$40000,0),"")</f>
        <v/>
      </c>
      <c r="Z2675">
        <f>IF($Y2675="","",INDEX($C$6:$C$40000,$Y2675)&amp;"")</f>
        <v/>
      </c>
      <c r="AA2675" s="59">
        <f>IF($Y2675="","",IF(INDEX($D$6:$D$40000,$Y2675)="","",INDEX($D$6:$D$40000,$Y2675)))</f>
        <v/>
      </c>
      <c r="AB2675">
        <f>IF($Y2675="","",INDEX($L$6:$L$40000,$Y2675)&amp;"")</f>
        <v/>
      </c>
    </row>
    <row r="2676">
      <c r="Y2676" s="47">
        <f>IFERROR(MATCH(Library!M2676,$M$6:$M$40000,0),"")</f>
        <v/>
      </c>
      <c r="Z2676">
        <f>IF($Y2676="","",INDEX($C$6:$C$40000,$Y2676)&amp;"")</f>
        <v/>
      </c>
      <c r="AA2676" s="59">
        <f>IF($Y2676="","",IF(INDEX($D$6:$D$40000,$Y2676)="","",INDEX($D$6:$D$40000,$Y2676)))</f>
        <v/>
      </c>
      <c r="AB2676">
        <f>IF($Y2676="","",INDEX($L$6:$L$40000,$Y2676)&amp;"")</f>
        <v/>
      </c>
    </row>
    <row r="2677">
      <c r="Y2677" s="47">
        <f>IFERROR(MATCH(Library!M2677,$M$6:$M$40000,0),"")</f>
        <v/>
      </c>
      <c r="Z2677">
        <f>IF($Y2677="","",INDEX($C$6:$C$40000,$Y2677)&amp;"")</f>
        <v/>
      </c>
      <c r="AA2677" s="59">
        <f>IF($Y2677="","",IF(INDEX($D$6:$D$40000,$Y2677)="","",INDEX($D$6:$D$40000,$Y2677)))</f>
        <v/>
      </c>
      <c r="AB2677">
        <f>IF($Y2677="","",INDEX($L$6:$L$40000,$Y2677)&amp;"")</f>
        <v/>
      </c>
    </row>
    <row r="2678">
      <c r="Y2678" s="47">
        <f>IFERROR(MATCH(Library!M2678,$M$6:$M$40000,0),"")</f>
        <v/>
      </c>
      <c r="Z2678">
        <f>IF($Y2678="","",INDEX($C$6:$C$40000,$Y2678)&amp;"")</f>
        <v/>
      </c>
      <c r="AA2678" s="59">
        <f>IF($Y2678="","",IF(INDEX($D$6:$D$40000,$Y2678)="","",INDEX($D$6:$D$40000,$Y2678)))</f>
        <v/>
      </c>
      <c r="AB2678">
        <f>IF($Y2678="","",INDEX($L$6:$L$40000,$Y2678)&amp;"")</f>
        <v/>
      </c>
    </row>
    <row r="2679">
      <c r="Y2679" s="47">
        <f>IFERROR(MATCH(Library!M2679,$M$6:$M$40000,0),"")</f>
        <v/>
      </c>
      <c r="Z2679">
        <f>IF($Y2679="","",INDEX($C$6:$C$40000,$Y2679)&amp;"")</f>
        <v/>
      </c>
      <c r="AA2679" s="59">
        <f>IF($Y2679="","",IF(INDEX($D$6:$D$40000,$Y2679)="","",INDEX($D$6:$D$40000,$Y2679)))</f>
        <v/>
      </c>
      <c r="AB2679">
        <f>IF($Y2679="","",INDEX($L$6:$L$40000,$Y2679)&amp;"")</f>
        <v/>
      </c>
    </row>
    <row r="2680">
      <c r="Y2680" s="47">
        <f>IFERROR(MATCH(Library!M2680,$M$6:$M$40000,0),"")</f>
        <v/>
      </c>
      <c r="Z2680">
        <f>IF($Y2680="","",INDEX($C$6:$C$40000,$Y2680)&amp;"")</f>
        <v/>
      </c>
      <c r="AA2680" s="59">
        <f>IF($Y2680="","",IF(INDEX($D$6:$D$40000,$Y2680)="","",INDEX($D$6:$D$40000,$Y2680)))</f>
        <v/>
      </c>
      <c r="AB2680">
        <f>IF($Y2680="","",INDEX($L$6:$L$40000,$Y2680)&amp;"")</f>
        <v/>
      </c>
    </row>
    <row r="2681">
      <c r="Y2681" s="47">
        <f>IFERROR(MATCH(Library!M2681,$M$6:$M$40000,0),"")</f>
        <v/>
      </c>
      <c r="Z2681">
        <f>IF($Y2681="","",INDEX($C$6:$C$40000,$Y2681)&amp;"")</f>
        <v/>
      </c>
      <c r="AA2681" s="59">
        <f>IF($Y2681="","",IF(INDEX($D$6:$D$40000,$Y2681)="","",INDEX($D$6:$D$40000,$Y2681)))</f>
        <v/>
      </c>
      <c r="AB2681">
        <f>IF($Y2681="","",INDEX($L$6:$L$40000,$Y2681)&amp;"")</f>
        <v/>
      </c>
    </row>
    <row r="2682">
      <c r="Y2682" s="47">
        <f>IFERROR(MATCH(Library!M2682,$M$6:$M$40000,0),"")</f>
        <v/>
      </c>
      <c r="Z2682">
        <f>IF($Y2682="","",INDEX($C$6:$C$40000,$Y2682)&amp;"")</f>
        <v/>
      </c>
      <c r="AA2682" s="59">
        <f>IF($Y2682="","",IF(INDEX($D$6:$D$40000,$Y2682)="","",INDEX($D$6:$D$40000,$Y2682)))</f>
        <v/>
      </c>
      <c r="AB2682">
        <f>IF($Y2682="","",INDEX($L$6:$L$40000,$Y2682)&amp;"")</f>
        <v/>
      </c>
    </row>
    <row r="2683">
      <c r="Y2683" s="47">
        <f>IFERROR(MATCH(Library!M2683,$M$6:$M$40000,0),"")</f>
        <v/>
      </c>
      <c r="Z2683">
        <f>IF($Y2683="","",INDEX($C$6:$C$40000,$Y2683)&amp;"")</f>
        <v/>
      </c>
      <c r="AA2683" s="59">
        <f>IF($Y2683="","",IF(INDEX($D$6:$D$40000,$Y2683)="","",INDEX($D$6:$D$40000,$Y2683)))</f>
        <v/>
      </c>
      <c r="AB2683">
        <f>IF($Y2683="","",INDEX($L$6:$L$40000,$Y2683)&amp;"")</f>
        <v/>
      </c>
    </row>
    <row r="2684">
      <c r="Y2684" s="47">
        <f>IFERROR(MATCH(Library!M2684,$M$6:$M$40000,0),"")</f>
        <v/>
      </c>
      <c r="Z2684">
        <f>IF($Y2684="","",INDEX($C$6:$C$40000,$Y2684)&amp;"")</f>
        <v/>
      </c>
      <c r="AA2684" s="59">
        <f>IF($Y2684="","",IF(INDEX($D$6:$D$40000,$Y2684)="","",INDEX($D$6:$D$40000,$Y2684)))</f>
        <v/>
      </c>
      <c r="AB2684">
        <f>IF($Y2684="","",INDEX($L$6:$L$40000,$Y2684)&amp;"")</f>
        <v/>
      </c>
    </row>
    <row r="2685">
      <c r="Y2685" s="47">
        <f>IFERROR(MATCH(Library!M2685,$M$6:$M$40000,0),"")</f>
        <v/>
      </c>
      <c r="Z2685">
        <f>IF($Y2685="","",INDEX($C$6:$C$40000,$Y2685)&amp;"")</f>
        <v/>
      </c>
      <c r="AA2685" s="59">
        <f>IF($Y2685="","",IF(INDEX($D$6:$D$40000,$Y2685)="","",INDEX($D$6:$D$40000,$Y2685)))</f>
        <v/>
      </c>
      <c r="AB2685">
        <f>IF($Y2685="","",INDEX($L$6:$L$40000,$Y2685)&amp;"")</f>
        <v/>
      </c>
    </row>
    <row r="2686">
      <c r="Y2686" s="47">
        <f>IFERROR(MATCH(Library!M2686,$M$6:$M$40000,0),"")</f>
        <v/>
      </c>
      <c r="Z2686">
        <f>IF($Y2686="","",INDEX($C$6:$C$40000,$Y2686)&amp;"")</f>
        <v/>
      </c>
      <c r="AA2686" s="59">
        <f>IF($Y2686="","",IF(INDEX($D$6:$D$40000,$Y2686)="","",INDEX($D$6:$D$40000,$Y2686)))</f>
        <v/>
      </c>
      <c r="AB2686">
        <f>IF($Y2686="","",INDEX($L$6:$L$40000,$Y2686)&amp;"")</f>
        <v/>
      </c>
    </row>
    <row r="2687">
      <c r="Y2687" s="47">
        <f>IFERROR(MATCH(Library!M2687,$M$6:$M$40000,0),"")</f>
        <v/>
      </c>
      <c r="Z2687">
        <f>IF($Y2687="","",INDEX($C$6:$C$40000,$Y2687)&amp;"")</f>
        <v/>
      </c>
      <c r="AA2687" s="59">
        <f>IF($Y2687="","",IF(INDEX($D$6:$D$40000,$Y2687)="","",INDEX($D$6:$D$40000,$Y2687)))</f>
        <v/>
      </c>
      <c r="AB2687">
        <f>IF($Y2687="","",INDEX($L$6:$L$40000,$Y2687)&amp;"")</f>
        <v/>
      </c>
    </row>
    <row r="2688">
      <c r="Y2688" s="47">
        <f>IFERROR(MATCH(Library!M2688,$M$6:$M$40000,0),"")</f>
        <v/>
      </c>
      <c r="Z2688">
        <f>IF($Y2688="","",INDEX($C$6:$C$40000,$Y2688)&amp;"")</f>
        <v/>
      </c>
      <c r="AA2688" s="59">
        <f>IF($Y2688="","",IF(INDEX($D$6:$D$40000,$Y2688)="","",INDEX($D$6:$D$40000,$Y2688)))</f>
        <v/>
      </c>
      <c r="AB2688">
        <f>IF($Y2688="","",INDEX($L$6:$L$40000,$Y2688)&amp;"")</f>
        <v/>
      </c>
    </row>
    <row r="2689">
      <c r="Y2689" s="47">
        <f>IFERROR(MATCH(Library!M2689,$M$6:$M$40000,0),"")</f>
        <v/>
      </c>
      <c r="Z2689">
        <f>IF($Y2689="","",INDEX($C$6:$C$40000,$Y2689)&amp;"")</f>
        <v/>
      </c>
      <c r="AA2689" s="59">
        <f>IF($Y2689="","",IF(INDEX($D$6:$D$40000,$Y2689)="","",INDEX($D$6:$D$40000,$Y2689)))</f>
        <v/>
      </c>
      <c r="AB2689">
        <f>IF($Y2689="","",INDEX($L$6:$L$40000,$Y2689)&amp;"")</f>
        <v/>
      </c>
    </row>
    <row r="2690">
      <c r="Y2690" s="47">
        <f>IFERROR(MATCH(Library!M2690,$M$6:$M$40000,0),"")</f>
        <v/>
      </c>
      <c r="Z2690">
        <f>IF($Y2690="","",INDEX($C$6:$C$40000,$Y2690)&amp;"")</f>
        <v/>
      </c>
      <c r="AA2690" s="59">
        <f>IF($Y2690="","",IF(INDEX($D$6:$D$40000,$Y2690)="","",INDEX($D$6:$D$40000,$Y2690)))</f>
        <v/>
      </c>
      <c r="AB2690">
        <f>IF($Y2690="","",INDEX($L$6:$L$40000,$Y2690)&amp;"")</f>
        <v/>
      </c>
    </row>
    <row r="2691">
      <c r="Y2691" s="47">
        <f>IFERROR(MATCH(Library!M2691,$M$6:$M$40000,0),"")</f>
        <v/>
      </c>
      <c r="Z2691">
        <f>IF($Y2691="","",INDEX($C$6:$C$40000,$Y2691)&amp;"")</f>
        <v/>
      </c>
      <c r="AA2691" s="59">
        <f>IF($Y2691="","",IF(INDEX($D$6:$D$40000,$Y2691)="","",INDEX($D$6:$D$40000,$Y2691)))</f>
        <v/>
      </c>
      <c r="AB2691">
        <f>IF($Y2691="","",INDEX($L$6:$L$40000,$Y2691)&amp;"")</f>
        <v/>
      </c>
    </row>
    <row r="2692">
      <c r="Y2692" s="47">
        <f>IFERROR(MATCH(Library!M2692,$M$6:$M$40000,0),"")</f>
        <v/>
      </c>
      <c r="Z2692">
        <f>IF($Y2692="","",INDEX($C$6:$C$40000,$Y2692)&amp;"")</f>
        <v/>
      </c>
      <c r="AA2692" s="59">
        <f>IF($Y2692="","",IF(INDEX($D$6:$D$40000,$Y2692)="","",INDEX($D$6:$D$40000,$Y2692)))</f>
        <v/>
      </c>
      <c r="AB2692">
        <f>IF($Y2692="","",INDEX($L$6:$L$40000,$Y2692)&amp;"")</f>
        <v/>
      </c>
    </row>
    <row r="2693">
      <c r="Y2693" s="47">
        <f>IFERROR(MATCH(Library!M2693,$M$6:$M$40000,0),"")</f>
        <v/>
      </c>
      <c r="Z2693">
        <f>IF($Y2693="","",INDEX($C$6:$C$40000,$Y2693)&amp;"")</f>
        <v/>
      </c>
      <c r="AA2693" s="59">
        <f>IF($Y2693="","",IF(INDEX($D$6:$D$40000,$Y2693)="","",INDEX($D$6:$D$40000,$Y2693)))</f>
        <v/>
      </c>
      <c r="AB2693">
        <f>IF($Y2693="","",INDEX($L$6:$L$40000,$Y2693)&amp;"")</f>
        <v/>
      </c>
    </row>
    <row r="2694">
      <c r="Y2694" s="47">
        <f>IFERROR(MATCH(Library!M2694,$M$6:$M$40000,0),"")</f>
        <v/>
      </c>
      <c r="Z2694">
        <f>IF($Y2694="","",INDEX($C$6:$C$40000,$Y2694)&amp;"")</f>
        <v/>
      </c>
      <c r="AA2694" s="59">
        <f>IF($Y2694="","",IF(INDEX($D$6:$D$40000,$Y2694)="","",INDEX($D$6:$D$40000,$Y2694)))</f>
        <v/>
      </c>
      <c r="AB2694">
        <f>IF($Y2694="","",INDEX($L$6:$L$40000,$Y2694)&amp;"")</f>
        <v/>
      </c>
    </row>
    <row r="2695">
      <c r="Y2695" s="47">
        <f>IFERROR(MATCH(Library!M2695,$M$6:$M$40000,0),"")</f>
        <v/>
      </c>
      <c r="Z2695">
        <f>IF($Y2695="","",INDEX($C$6:$C$40000,$Y2695)&amp;"")</f>
        <v/>
      </c>
      <c r="AA2695" s="59">
        <f>IF($Y2695="","",IF(INDEX($D$6:$D$40000,$Y2695)="","",INDEX($D$6:$D$40000,$Y2695)))</f>
        <v/>
      </c>
      <c r="AB2695">
        <f>IF($Y2695="","",INDEX($L$6:$L$40000,$Y2695)&amp;"")</f>
        <v/>
      </c>
    </row>
    <row r="2696">
      <c r="Y2696" s="47">
        <f>IFERROR(MATCH(Library!M2696,$M$6:$M$40000,0),"")</f>
        <v/>
      </c>
      <c r="Z2696">
        <f>IF($Y2696="","",INDEX($C$6:$C$40000,$Y2696)&amp;"")</f>
        <v/>
      </c>
      <c r="AA2696" s="59">
        <f>IF($Y2696="","",IF(INDEX($D$6:$D$40000,$Y2696)="","",INDEX($D$6:$D$40000,$Y2696)))</f>
        <v/>
      </c>
      <c r="AB2696">
        <f>IF($Y2696="","",INDEX($L$6:$L$40000,$Y2696)&amp;"")</f>
        <v/>
      </c>
    </row>
    <row r="2697">
      <c r="Y2697" s="47">
        <f>IFERROR(MATCH(Library!M2697,$M$6:$M$40000,0),"")</f>
        <v/>
      </c>
      <c r="Z2697">
        <f>IF($Y2697="","",INDEX($C$6:$C$40000,$Y2697)&amp;"")</f>
        <v/>
      </c>
      <c r="AA2697" s="59">
        <f>IF($Y2697="","",IF(INDEX($D$6:$D$40000,$Y2697)="","",INDEX($D$6:$D$40000,$Y2697)))</f>
        <v/>
      </c>
      <c r="AB2697">
        <f>IF($Y2697="","",INDEX($L$6:$L$40000,$Y2697)&amp;"")</f>
        <v/>
      </c>
    </row>
    <row r="2698">
      <c r="Y2698" s="47">
        <f>IFERROR(MATCH(Library!M2698,$M$6:$M$40000,0),"")</f>
        <v/>
      </c>
      <c r="Z2698">
        <f>IF($Y2698="","",INDEX($C$6:$C$40000,$Y2698)&amp;"")</f>
        <v/>
      </c>
      <c r="AA2698" s="59">
        <f>IF($Y2698="","",IF(INDEX($D$6:$D$40000,$Y2698)="","",INDEX($D$6:$D$40000,$Y2698)))</f>
        <v/>
      </c>
      <c r="AB2698">
        <f>IF($Y2698="","",INDEX($L$6:$L$40000,$Y2698)&amp;"")</f>
        <v/>
      </c>
    </row>
    <row r="2699">
      <c r="Y2699" s="47">
        <f>IFERROR(MATCH(Library!M2699,$M$6:$M$40000,0),"")</f>
        <v/>
      </c>
      <c r="Z2699">
        <f>IF($Y2699="","",INDEX($C$6:$C$40000,$Y2699)&amp;"")</f>
        <v/>
      </c>
      <c r="AA2699" s="59">
        <f>IF($Y2699="","",IF(INDEX($D$6:$D$40000,$Y2699)="","",INDEX($D$6:$D$40000,$Y2699)))</f>
        <v/>
      </c>
      <c r="AB2699">
        <f>IF($Y2699="","",INDEX($L$6:$L$40000,$Y2699)&amp;"")</f>
        <v/>
      </c>
    </row>
    <row r="2700">
      <c r="Y2700" s="47">
        <f>IFERROR(MATCH(Library!M2700,$M$6:$M$40000,0),"")</f>
        <v/>
      </c>
      <c r="Z2700">
        <f>IF($Y2700="","",INDEX($C$6:$C$40000,$Y2700)&amp;"")</f>
        <v/>
      </c>
      <c r="AA2700" s="59">
        <f>IF($Y2700="","",IF(INDEX($D$6:$D$40000,$Y2700)="","",INDEX($D$6:$D$40000,$Y2700)))</f>
        <v/>
      </c>
      <c r="AB2700">
        <f>IF($Y2700="","",INDEX($L$6:$L$40000,$Y2700)&amp;"")</f>
        <v/>
      </c>
    </row>
    <row r="2701">
      <c r="Y2701" s="47">
        <f>IFERROR(MATCH(Library!M2701,$M$6:$M$40000,0),"")</f>
        <v/>
      </c>
      <c r="Z2701">
        <f>IF($Y2701="","",INDEX($C$6:$C$40000,$Y2701)&amp;"")</f>
        <v/>
      </c>
      <c r="AA2701" s="59">
        <f>IF($Y2701="","",IF(INDEX($D$6:$D$40000,$Y2701)="","",INDEX($D$6:$D$40000,$Y2701)))</f>
        <v/>
      </c>
      <c r="AB2701">
        <f>IF($Y2701="","",INDEX($L$6:$L$40000,$Y2701)&amp;"")</f>
        <v/>
      </c>
    </row>
    <row r="2702">
      <c r="Y2702" s="47">
        <f>IFERROR(MATCH(Library!M2702,$M$6:$M$40000,0),"")</f>
        <v/>
      </c>
      <c r="Z2702">
        <f>IF($Y2702="","",INDEX($C$6:$C$40000,$Y2702)&amp;"")</f>
        <v/>
      </c>
      <c r="AA2702" s="59">
        <f>IF($Y2702="","",IF(INDEX($D$6:$D$40000,$Y2702)="","",INDEX($D$6:$D$40000,$Y2702)))</f>
        <v/>
      </c>
      <c r="AB2702">
        <f>IF($Y2702="","",INDEX($L$6:$L$40000,$Y2702)&amp;"")</f>
        <v/>
      </c>
    </row>
    <row r="2703">
      <c r="Y2703" s="47">
        <f>IFERROR(MATCH(Library!M2703,$M$6:$M$40000,0),"")</f>
        <v/>
      </c>
      <c r="Z2703">
        <f>IF($Y2703="","",INDEX($C$6:$C$40000,$Y2703)&amp;"")</f>
        <v/>
      </c>
      <c r="AA2703" s="59">
        <f>IF($Y2703="","",IF(INDEX($D$6:$D$40000,$Y2703)="","",INDEX($D$6:$D$40000,$Y2703)))</f>
        <v/>
      </c>
      <c r="AB2703">
        <f>IF($Y2703="","",INDEX($L$6:$L$40000,$Y2703)&amp;"")</f>
        <v/>
      </c>
    </row>
    <row r="2704">
      <c r="Y2704" s="47">
        <f>IFERROR(MATCH(Library!M2704,$M$6:$M$40000,0),"")</f>
        <v/>
      </c>
      <c r="Z2704">
        <f>IF($Y2704="","",INDEX($C$6:$C$40000,$Y2704)&amp;"")</f>
        <v/>
      </c>
      <c r="AA2704" s="59">
        <f>IF($Y2704="","",IF(INDEX($D$6:$D$40000,$Y2704)="","",INDEX($D$6:$D$40000,$Y2704)))</f>
        <v/>
      </c>
      <c r="AB2704">
        <f>IF($Y2704="","",INDEX($L$6:$L$40000,$Y2704)&amp;"")</f>
        <v/>
      </c>
    </row>
    <row r="2705">
      <c r="Y2705" s="47">
        <f>IFERROR(MATCH(Library!M2705,$M$6:$M$40000,0),"")</f>
        <v/>
      </c>
      <c r="Z2705">
        <f>IF($Y2705="","",INDEX($C$6:$C$40000,$Y2705)&amp;"")</f>
        <v/>
      </c>
      <c r="AA2705" s="59">
        <f>IF($Y2705="","",IF(INDEX($D$6:$D$40000,$Y2705)="","",INDEX($D$6:$D$40000,$Y2705)))</f>
        <v/>
      </c>
      <c r="AB2705">
        <f>IF($Y2705="","",INDEX($L$6:$L$40000,$Y2705)&amp;"")</f>
        <v/>
      </c>
    </row>
    <row r="2706">
      <c r="Y2706" s="47">
        <f>IFERROR(MATCH(Library!M2706,$M$6:$M$40000,0),"")</f>
        <v/>
      </c>
      <c r="Z2706">
        <f>IF($Y2706="","",INDEX($C$6:$C$40000,$Y2706)&amp;"")</f>
        <v/>
      </c>
      <c r="AA2706" s="59">
        <f>IF($Y2706="","",IF(INDEX($D$6:$D$40000,$Y2706)="","",INDEX($D$6:$D$40000,$Y2706)))</f>
        <v/>
      </c>
      <c r="AB2706">
        <f>IF($Y2706="","",INDEX($L$6:$L$40000,$Y2706)&amp;"")</f>
        <v/>
      </c>
    </row>
    <row r="2707">
      <c r="Y2707" s="47">
        <f>IFERROR(MATCH(Library!M2707,$M$6:$M$40000,0),"")</f>
        <v/>
      </c>
      <c r="Z2707">
        <f>IF($Y2707="","",INDEX($C$6:$C$40000,$Y2707)&amp;"")</f>
        <v/>
      </c>
      <c r="AA2707" s="59">
        <f>IF($Y2707="","",IF(INDEX($D$6:$D$40000,$Y2707)="","",INDEX($D$6:$D$40000,$Y2707)))</f>
        <v/>
      </c>
      <c r="AB2707">
        <f>IF($Y2707="","",INDEX($L$6:$L$40000,$Y2707)&amp;"")</f>
        <v/>
      </c>
    </row>
    <row r="2708">
      <c r="Y2708" s="47">
        <f>IFERROR(MATCH(Library!M2708,$M$6:$M$40000,0),"")</f>
        <v/>
      </c>
      <c r="Z2708">
        <f>IF($Y2708="","",INDEX($C$6:$C$40000,$Y2708)&amp;"")</f>
        <v/>
      </c>
      <c r="AA2708" s="59">
        <f>IF($Y2708="","",IF(INDEX($D$6:$D$40000,$Y2708)="","",INDEX($D$6:$D$40000,$Y2708)))</f>
        <v/>
      </c>
      <c r="AB2708">
        <f>IF($Y2708="","",INDEX($L$6:$L$40000,$Y2708)&amp;"")</f>
        <v/>
      </c>
    </row>
    <row r="2709">
      <c r="Y2709" s="47">
        <f>IFERROR(MATCH(Library!M2709,$M$6:$M$40000,0),"")</f>
        <v/>
      </c>
      <c r="Z2709">
        <f>IF($Y2709="","",INDEX($C$6:$C$40000,$Y2709)&amp;"")</f>
        <v/>
      </c>
      <c r="AA2709" s="59">
        <f>IF($Y2709="","",IF(INDEX($D$6:$D$40000,$Y2709)="","",INDEX($D$6:$D$40000,$Y2709)))</f>
        <v/>
      </c>
      <c r="AB2709">
        <f>IF($Y2709="","",INDEX($L$6:$L$40000,$Y2709)&amp;"")</f>
        <v/>
      </c>
    </row>
    <row r="2710">
      <c r="Y2710" s="47">
        <f>IFERROR(MATCH(Library!M2710,$M$6:$M$40000,0),"")</f>
        <v/>
      </c>
      <c r="Z2710">
        <f>IF($Y2710="","",INDEX($C$6:$C$40000,$Y2710)&amp;"")</f>
        <v/>
      </c>
      <c r="AA2710" s="59">
        <f>IF($Y2710="","",IF(INDEX($D$6:$D$40000,$Y2710)="","",INDEX($D$6:$D$40000,$Y2710)))</f>
        <v/>
      </c>
      <c r="AB2710">
        <f>IF($Y2710="","",INDEX($L$6:$L$40000,$Y2710)&amp;"")</f>
        <v/>
      </c>
    </row>
    <row r="2711">
      <c r="Y2711" s="47">
        <f>IFERROR(MATCH(Library!M2711,$M$6:$M$40000,0),"")</f>
        <v/>
      </c>
      <c r="Z2711">
        <f>IF($Y2711="","",INDEX($C$6:$C$40000,$Y2711)&amp;"")</f>
        <v/>
      </c>
      <c r="AA2711" s="59">
        <f>IF($Y2711="","",IF(INDEX($D$6:$D$40000,$Y2711)="","",INDEX($D$6:$D$40000,$Y2711)))</f>
        <v/>
      </c>
      <c r="AB2711">
        <f>IF($Y2711="","",INDEX($L$6:$L$40000,$Y2711)&amp;"")</f>
        <v/>
      </c>
    </row>
    <row r="2712">
      <c r="Y2712" s="47">
        <f>IFERROR(MATCH(Library!M2712,$M$6:$M$40000,0),"")</f>
        <v/>
      </c>
      <c r="Z2712">
        <f>IF($Y2712="","",INDEX($C$6:$C$40000,$Y2712)&amp;"")</f>
        <v/>
      </c>
      <c r="AA2712" s="59">
        <f>IF($Y2712="","",IF(INDEX($D$6:$D$40000,$Y2712)="","",INDEX($D$6:$D$40000,$Y2712)))</f>
        <v/>
      </c>
      <c r="AB2712">
        <f>IF($Y2712="","",INDEX($L$6:$L$40000,$Y2712)&amp;"")</f>
        <v/>
      </c>
    </row>
    <row r="2713">
      <c r="Y2713" s="47">
        <f>IFERROR(MATCH(Library!M2713,$M$6:$M$40000,0),"")</f>
        <v/>
      </c>
      <c r="Z2713">
        <f>IF($Y2713="","",INDEX($C$6:$C$40000,$Y2713)&amp;"")</f>
        <v/>
      </c>
      <c r="AA2713" s="59">
        <f>IF($Y2713="","",IF(INDEX($D$6:$D$40000,$Y2713)="","",INDEX($D$6:$D$40000,$Y2713)))</f>
        <v/>
      </c>
      <c r="AB2713">
        <f>IF($Y2713="","",INDEX($L$6:$L$40000,$Y2713)&amp;"")</f>
        <v/>
      </c>
    </row>
    <row r="2714">
      <c r="Y2714" s="47">
        <f>IFERROR(MATCH(Library!M2714,$M$6:$M$40000,0),"")</f>
        <v/>
      </c>
      <c r="Z2714">
        <f>IF($Y2714="","",INDEX($C$6:$C$40000,$Y2714)&amp;"")</f>
        <v/>
      </c>
      <c r="AA2714" s="59">
        <f>IF($Y2714="","",IF(INDEX($D$6:$D$40000,$Y2714)="","",INDEX($D$6:$D$40000,$Y2714)))</f>
        <v/>
      </c>
      <c r="AB2714">
        <f>IF($Y2714="","",INDEX($L$6:$L$40000,$Y2714)&amp;"")</f>
        <v/>
      </c>
    </row>
    <row r="2715">
      <c r="Y2715" s="47">
        <f>IFERROR(MATCH(Library!M2715,$M$6:$M$40000,0),"")</f>
        <v/>
      </c>
      <c r="Z2715">
        <f>IF($Y2715="","",INDEX($C$6:$C$40000,$Y2715)&amp;"")</f>
        <v/>
      </c>
      <c r="AA2715" s="59">
        <f>IF($Y2715="","",IF(INDEX($D$6:$D$40000,$Y2715)="","",INDEX($D$6:$D$40000,$Y2715)))</f>
        <v/>
      </c>
      <c r="AB2715">
        <f>IF($Y2715="","",INDEX($L$6:$L$40000,$Y2715)&amp;"")</f>
        <v/>
      </c>
    </row>
    <row r="2716">
      <c r="Y2716" s="47">
        <f>IFERROR(MATCH(Library!M2716,$M$6:$M$40000,0),"")</f>
        <v/>
      </c>
      <c r="Z2716">
        <f>IF($Y2716="","",INDEX($C$6:$C$40000,$Y2716)&amp;"")</f>
        <v/>
      </c>
      <c r="AA2716" s="59">
        <f>IF($Y2716="","",IF(INDEX($D$6:$D$40000,$Y2716)="","",INDEX($D$6:$D$40000,$Y2716)))</f>
        <v/>
      </c>
      <c r="AB2716">
        <f>IF($Y2716="","",INDEX($L$6:$L$40000,$Y2716)&amp;"")</f>
        <v/>
      </c>
    </row>
    <row r="2717">
      <c r="Y2717" s="47">
        <f>IFERROR(MATCH(Library!M2717,$M$6:$M$40000,0),"")</f>
        <v/>
      </c>
      <c r="Z2717">
        <f>IF($Y2717="","",INDEX($C$6:$C$40000,$Y2717)&amp;"")</f>
        <v/>
      </c>
      <c r="AA2717" s="59">
        <f>IF($Y2717="","",IF(INDEX($D$6:$D$40000,$Y2717)="","",INDEX($D$6:$D$40000,$Y2717)))</f>
        <v/>
      </c>
      <c r="AB2717">
        <f>IF($Y2717="","",INDEX($L$6:$L$40000,$Y2717)&amp;"")</f>
        <v/>
      </c>
    </row>
    <row r="2718">
      <c r="Y2718" s="47">
        <f>IFERROR(MATCH(Library!M2718,$M$6:$M$40000,0),"")</f>
        <v/>
      </c>
      <c r="Z2718">
        <f>IF($Y2718="","",INDEX($C$6:$C$40000,$Y2718)&amp;"")</f>
        <v/>
      </c>
      <c r="AA2718" s="59">
        <f>IF($Y2718="","",IF(INDEX($D$6:$D$40000,$Y2718)="","",INDEX($D$6:$D$40000,$Y2718)))</f>
        <v/>
      </c>
      <c r="AB2718">
        <f>IF($Y2718="","",INDEX($L$6:$L$40000,$Y2718)&amp;"")</f>
        <v/>
      </c>
    </row>
    <row r="2719">
      <c r="Y2719" s="47">
        <f>IFERROR(MATCH(Library!M2719,$M$6:$M$40000,0),"")</f>
        <v/>
      </c>
      <c r="Z2719">
        <f>IF($Y2719="","",INDEX($C$6:$C$40000,$Y2719)&amp;"")</f>
        <v/>
      </c>
      <c r="AA2719" s="59">
        <f>IF($Y2719="","",IF(INDEX($D$6:$D$40000,$Y2719)="","",INDEX($D$6:$D$40000,$Y2719)))</f>
        <v/>
      </c>
      <c r="AB2719">
        <f>IF($Y2719="","",INDEX($L$6:$L$40000,$Y2719)&amp;"")</f>
        <v/>
      </c>
    </row>
    <row r="2720">
      <c r="Y2720" s="47">
        <f>IFERROR(MATCH(Library!M2720,$M$6:$M$40000,0),"")</f>
        <v/>
      </c>
      <c r="Z2720">
        <f>IF($Y2720="","",INDEX($C$6:$C$40000,$Y2720)&amp;"")</f>
        <v/>
      </c>
      <c r="AA2720" s="59">
        <f>IF($Y2720="","",IF(INDEX($D$6:$D$40000,$Y2720)="","",INDEX($D$6:$D$40000,$Y2720)))</f>
        <v/>
      </c>
      <c r="AB2720">
        <f>IF($Y2720="","",INDEX($L$6:$L$40000,$Y2720)&amp;"")</f>
        <v/>
      </c>
    </row>
    <row r="2721">
      <c r="Y2721" s="47">
        <f>IFERROR(MATCH(Library!M2721,$M$6:$M$40000,0),"")</f>
        <v/>
      </c>
      <c r="Z2721">
        <f>IF($Y2721="","",INDEX($C$6:$C$40000,$Y2721)&amp;"")</f>
        <v/>
      </c>
      <c r="AA2721" s="59">
        <f>IF($Y2721="","",IF(INDEX($D$6:$D$40000,$Y2721)="","",INDEX($D$6:$D$40000,$Y2721)))</f>
        <v/>
      </c>
      <c r="AB2721">
        <f>IF($Y2721="","",INDEX($L$6:$L$40000,$Y2721)&amp;"")</f>
        <v/>
      </c>
    </row>
    <row r="2722">
      <c r="Y2722" s="47">
        <f>IFERROR(MATCH(Library!M2722,$M$6:$M$40000,0),"")</f>
        <v/>
      </c>
      <c r="Z2722">
        <f>IF($Y2722="","",INDEX($C$6:$C$40000,$Y2722)&amp;"")</f>
        <v/>
      </c>
      <c r="AA2722" s="59">
        <f>IF($Y2722="","",IF(INDEX($D$6:$D$40000,$Y2722)="","",INDEX($D$6:$D$40000,$Y2722)))</f>
        <v/>
      </c>
      <c r="AB2722">
        <f>IF($Y2722="","",INDEX($L$6:$L$40000,$Y2722)&amp;"")</f>
        <v/>
      </c>
    </row>
    <row r="2723">
      <c r="Y2723" s="47">
        <f>IFERROR(MATCH(Library!M2723,$M$6:$M$40000,0),"")</f>
        <v/>
      </c>
      <c r="Z2723">
        <f>IF($Y2723="","",INDEX($C$6:$C$40000,$Y2723)&amp;"")</f>
        <v/>
      </c>
      <c r="AA2723" s="59">
        <f>IF($Y2723="","",IF(INDEX($D$6:$D$40000,$Y2723)="","",INDEX($D$6:$D$40000,$Y2723)))</f>
        <v/>
      </c>
      <c r="AB2723">
        <f>IF($Y2723="","",INDEX($L$6:$L$40000,$Y2723)&amp;"")</f>
        <v/>
      </c>
    </row>
    <row r="2724">
      <c r="Y2724" s="47">
        <f>IFERROR(MATCH(Library!M2724,$M$6:$M$40000,0),"")</f>
        <v/>
      </c>
      <c r="Z2724">
        <f>IF($Y2724="","",INDEX($C$6:$C$40000,$Y2724)&amp;"")</f>
        <v/>
      </c>
      <c r="AA2724" s="59">
        <f>IF($Y2724="","",IF(INDEX($D$6:$D$40000,$Y2724)="","",INDEX($D$6:$D$40000,$Y2724)))</f>
        <v/>
      </c>
      <c r="AB2724">
        <f>IF($Y2724="","",INDEX($L$6:$L$40000,$Y2724)&amp;"")</f>
        <v/>
      </c>
    </row>
    <row r="2725">
      <c r="Y2725" s="47">
        <f>IFERROR(MATCH(Library!M2725,$M$6:$M$40000,0),"")</f>
        <v/>
      </c>
      <c r="Z2725">
        <f>IF($Y2725="","",INDEX($C$6:$C$40000,$Y2725)&amp;"")</f>
        <v/>
      </c>
      <c r="AA2725" s="59">
        <f>IF($Y2725="","",IF(INDEX($D$6:$D$40000,$Y2725)="","",INDEX($D$6:$D$40000,$Y2725)))</f>
        <v/>
      </c>
      <c r="AB2725">
        <f>IF($Y2725="","",INDEX($L$6:$L$40000,$Y2725)&amp;"")</f>
        <v/>
      </c>
    </row>
    <row r="2726">
      <c r="Y2726" s="47">
        <f>IFERROR(MATCH(Library!M2726,$M$6:$M$40000,0),"")</f>
        <v/>
      </c>
      <c r="Z2726">
        <f>IF($Y2726="","",INDEX($C$6:$C$40000,$Y2726)&amp;"")</f>
        <v/>
      </c>
      <c r="AA2726" s="59">
        <f>IF($Y2726="","",IF(INDEX($D$6:$D$40000,$Y2726)="","",INDEX($D$6:$D$40000,$Y2726)))</f>
        <v/>
      </c>
      <c r="AB2726">
        <f>IF($Y2726="","",INDEX($L$6:$L$40000,$Y2726)&amp;"")</f>
        <v/>
      </c>
    </row>
    <row r="2727">
      <c r="Y2727" s="47">
        <f>IFERROR(MATCH(Library!M2727,$M$6:$M$40000,0),"")</f>
        <v/>
      </c>
      <c r="Z2727">
        <f>IF($Y2727="","",INDEX($C$6:$C$40000,$Y2727)&amp;"")</f>
        <v/>
      </c>
      <c r="AA2727" s="59">
        <f>IF($Y2727="","",IF(INDEX($D$6:$D$40000,$Y2727)="","",INDEX($D$6:$D$40000,$Y2727)))</f>
        <v/>
      </c>
      <c r="AB2727">
        <f>IF($Y2727="","",INDEX($L$6:$L$40000,$Y2727)&amp;"")</f>
        <v/>
      </c>
    </row>
    <row r="2728">
      <c r="Y2728" s="47">
        <f>IFERROR(MATCH(Library!M2728,$M$6:$M$40000,0),"")</f>
        <v/>
      </c>
      <c r="Z2728">
        <f>IF($Y2728="","",INDEX($C$6:$C$40000,$Y2728)&amp;"")</f>
        <v/>
      </c>
      <c r="AA2728" s="59">
        <f>IF($Y2728="","",IF(INDEX($D$6:$D$40000,$Y2728)="","",INDEX($D$6:$D$40000,$Y2728)))</f>
        <v/>
      </c>
      <c r="AB2728">
        <f>IF($Y2728="","",INDEX($L$6:$L$40000,$Y2728)&amp;"")</f>
        <v/>
      </c>
    </row>
    <row r="2729">
      <c r="Y2729" s="47">
        <f>IFERROR(MATCH(Library!M2729,$M$6:$M$40000,0),"")</f>
        <v/>
      </c>
      <c r="Z2729">
        <f>IF($Y2729="","",INDEX($C$6:$C$40000,$Y2729)&amp;"")</f>
        <v/>
      </c>
      <c r="AA2729" s="59">
        <f>IF($Y2729="","",IF(INDEX($D$6:$D$40000,$Y2729)="","",INDEX($D$6:$D$40000,$Y2729)))</f>
        <v/>
      </c>
      <c r="AB2729">
        <f>IF($Y2729="","",INDEX($L$6:$L$40000,$Y2729)&amp;"")</f>
        <v/>
      </c>
    </row>
    <row r="2730">
      <c r="Y2730" s="47">
        <f>IFERROR(MATCH(Library!M2730,$M$6:$M$40000,0),"")</f>
        <v/>
      </c>
      <c r="Z2730">
        <f>IF($Y2730="","",INDEX($C$6:$C$40000,$Y2730)&amp;"")</f>
        <v/>
      </c>
      <c r="AA2730" s="59">
        <f>IF($Y2730="","",IF(INDEX($D$6:$D$40000,$Y2730)="","",INDEX($D$6:$D$40000,$Y2730)))</f>
        <v/>
      </c>
      <c r="AB2730">
        <f>IF($Y2730="","",INDEX($L$6:$L$40000,$Y2730)&amp;"")</f>
        <v/>
      </c>
    </row>
    <row r="2731">
      <c r="Y2731" s="47">
        <f>IFERROR(MATCH(Library!M2731,$M$6:$M$40000,0),"")</f>
        <v/>
      </c>
      <c r="Z2731">
        <f>IF($Y2731="","",INDEX($C$6:$C$40000,$Y2731)&amp;"")</f>
        <v/>
      </c>
      <c r="AA2731" s="59">
        <f>IF($Y2731="","",IF(INDEX($D$6:$D$40000,$Y2731)="","",INDEX($D$6:$D$40000,$Y2731)))</f>
        <v/>
      </c>
      <c r="AB2731">
        <f>IF($Y2731="","",INDEX($L$6:$L$40000,$Y2731)&amp;"")</f>
        <v/>
      </c>
    </row>
    <row r="2732">
      <c r="Y2732" s="47">
        <f>IFERROR(MATCH(Library!M2732,$M$6:$M$40000,0),"")</f>
        <v/>
      </c>
      <c r="Z2732">
        <f>IF($Y2732="","",INDEX($C$6:$C$40000,$Y2732)&amp;"")</f>
        <v/>
      </c>
      <c r="AA2732" s="59">
        <f>IF($Y2732="","",IF(INDEX($D$6:$D$40000,$Y2732)="","",INDEX($D$6:$D$40000,$Y2732)))</f>
        <v/>
      </c>
      <c r="AB2732">
        <f>IF($Y2732="","",INDEX($L$6:$L$40000,$Y2732)&amp;"")</f>
        <v/>
      </c>
    </row>
    <row r="2733">
      <c r="Y2733" s="47">
        <f>IFERROR(MATCH(Library!M2733,$M$6:$M$40000,0),"")</f>
        <v/>
      </c>
      <c r="Z2733">
        <f>IF($Y2733="","",INDEX($C$6:$C$40000,$Y2733)&amp;"")</f>
        <v/>
      </c>
      <c r="AA2733" s="59">
        <f>IF($Y2733="","",IF(INDEX($D$6:$D$40000,$Y2733)="","",INDEX($D$6:$D$40000,$Y2733)))</f>
        <v/>
      </c>
      <c r="AB2733">
        <f>IF($Y2733="","",INDEX($L$6:$L$40000,$Y2733)&amp;"")</f>
        <v/>
      </c>
    </row>
    <row r="2734">
      <c r="Y2734" s="47">
        <f>IFERROR(MATCH(Library!M2734,$M$6:$M$40000,0),"")</f>
        <v/>
      </c>
      <c r="Z2734">
        <f>IF($Y2734="","",INDEX($C$6:$C$40000,$Y2734)&amp;"")</f>
        <v/>
      </c>
      <c r="AA2734" s="59">
        <f>IF($Y2734="","",IF(INDEX($D$6:$D$40000,$Y2734)="","",INDEX($D$6:$D$40000,$Y2734)))</f>
        <v/>
      </c>
      <c r="AB2734">
        <f>IF($Y2734="","",INDEX($L$6:$L$40000,$Y2734)&amp;"")</f>
        <v/>
      </c>
    </row>
    <row r="2735">
      <c r="Y2735" s="47">
        <f>IFERROR(MATCH(Library!M2735,$M$6:$M$40000,0),"")</f>
        <v/>
      </c>
      <c r="Z2735">
        <f>IF($Y2735="","",INDEX($C$6:$C$40000,$Y2735)&amp;"")</f>
        <v/>
      </c>
      <c r="AA2735" s="59">
        <f>IF($Y2735="","",IF(INDEX($D$6:$D$40000,$Y2735)="","",INDEX($D$6:$D$40000,$Y2735)))</f>
        <v/>
      </c>
      <c r="AB2735">
        <f>IF($Y2735="","",INDEX($L$6:$L$40000,$Y2735)&amp;"")</f>
        <v/>
      </c>
    </row>
    <row r="2736">
      <c r="Y2736" s="47">
        <f>IFERROR(MATCH(Library!M2736,$M$6:$M$40000,0),"")</f>
        <v/>
      </c>
      <c r="Z2736">
        <f>IF($Y2736="","",INDEX($C$6:$C$40000,$Y2736)&amp;"")</f>
        <v/>
      </c>
      <c r="AA2736" s="59">
        <f>IF($Y2736="","",IF(INDEX($D$6:$D$40000,$Y2736)="","",INDEX($D$6:$D$40000,$Y2736)))</f>
        <v/>
      </c>
      <c r="AB2736">
        <f>IF($Y2736="","",INDEX($L$6:$L$40000,$Y2736)&amp;"")</f>
        <v/>
      </c>
    </row>
    <row r="2737">
      <c r="Y2737" s="47">
        <f>IFERROR(MATCH(Library!M2737,$M$6:$M$40000,0),"")</f>
        <v/>
      </c>
      <c r="Z2737">
        <f>IF($Y2737="","",INDEX($C$6:$C$40000,$Y2737)&amp;"")</f>
        <v/>
      </c>
      <c r="AA2737" s="59">
        <f>IF($Y2737="","",IF(INDEX($D$6:$D$40000,$Y2737)="","",INDEX($D$6:$D$40000,$Y2737)))</f>
        <v/>
      </c>
      <c r="AB2737">
        <f>IF($Y2737="","",INDEX($L$6:$L$40000,$Y2737)&amp;"")</f>
        <v/>
      </c>
    </row>
    <row r="2738">
      <c r="Y2738" s="47">
        <f>IFERROR(MATCH(Library!M2738,$M$6:$M$40000,0),"")</f>
        <v/>
      </c>
      <c r="Z2738">
        <f>IF($Y2738="","",INDEX($C$6:$C$40000,$Y2738)&amp;"")</f>
        <v/>
      </c>
      <c r="AA2738" s="59">
        <f>IF($Y2738="","",IF(INDEX($D$6:$D$40000,$Y2738)="","",INDEX($D$6:$D$40000,$Y2738)))</f>
        <v/>
      </c>
      <c r="AB2738">
        <f>IF($Y2738="","",INDEX($L$6:$L$40000,$Y2738)&amp;"")</f>
        <v/>
      </c>
    </row>
    <row r="2739">
      <c r="Y2739" s="47">
        <f>IFERROR(MATCH(Library!M2739,$M$6:$M$40000,0),"")</f>
        <v/>
      </c>
      <c r="Z2739">
        <f>IF($Y2739="","",INDEX($C$6:$C$40000,$Y2739)&amp;"")</f>
        <v/>
      </c>
      <c r="AA2739" s="59">
        <f>IF($Y2739="","",IF(INDEX($D$6:$D$40000,$Y2739)="","",INDEX($D$6:$D$40000,$Y2739)))</f>
        <v/>
      </c>
      <c r="AB2739">
        <f>IF($Y2739="","",INDEX($L$6:$L$40000,$Y2739)&amp;"")</f>
        <v/>
      </c>
    </row>
    <row r="2740">
      <c r="Y2740" s="47">
        <f>IFERROR(MATCH(Library!M2740,$M$6:$M$40000,0),"")</f>
        <v/>
      </c>
      <c r="Z2740">
        <f>IF($Y2740="","",INDEX($C$6:$C$40000,$Y2740)&amp;"")</f>
        <v/>
      </c>
      <c r="AA2740" s="59">
        <f>IF($Y2740="","",IF(INDEX($D$6:$D$40000,$Y2740)="","",INDEX($D$6:$D$40000,$Y2740)))</f>
        <v/>
      </c>
      <c r="AB2740">
        <f>IF($Y2740="","",INDEX($L$6:$L$40000,$Y2740)&amp;"")</f>
        <v/>
      </c>
    </row>
    <row r="2741">
      <c r="Y2741" s="47">
        <f>IFERROR(MATCH(Library!M2741,$M$6:$M$40000,0),"")</f>
        <v/>
      </c>
      <c r="Z2741">
        <f>IF($Y2741="","",INDEX($C$6:$C$40000,$Y2741)&amp;"")</f>
        <v/>
      </c>
      <c r="AA2741" s="59">
        <f>IF($Y2741="","",IF(INDEX($D$6:$D$40000,$Y2741)="","",INDEX($D$6:$D$40000,$Y2741)))</f>
        <v/>
      </c>
      <c r="AB2741">
        <f>IF($Y2741="","",INDEX($L$6:$L$40000,$Y2741)&amp;"")</f>
        <v/>
      </c>
    </row>
    <row r="2742">
      <c r="Y2742" s="47">
        <f>IFERROR(MATCH(Library!M2742,$M$6:$M$40000,0),"")</f>
        <v/>
      </c>
      <c r="Z2742">
        <f>IF($Y2742="","",INDEX($C$6:$C$40000,$Y2742)&amp;"")</f>
        <v/>
      </c>
      <c r="AA2742" s="59">
        <f>IF($Y2742="","",IF(INDEX($D$6:$D$40000,$Y2742)="","",INDEX($D$6:$D$40000,$Y2742)))</f>
        <v/>
      </c>
      <c r="AB2742">
        <f>IF($Y2742="","",INDEX($L$6:$L$40000,$Y2742)&amp;"")</f>
        <v/>
      </c>
    </row>
    <row r="2743">
      <c r="Y2743" s="47">
        <f>IFERROR(MATCH(Library!M2743,$M$6:$M$40000,0),"")</f>
        <v/>
      </c>
      <c r="Z2743">
        <f>IF($Y2743="","",INDEX($C$6:$C$40000,$Y2743)&amp;"")</f>
        <v/>
      </c>
      <c r="AA2743" s="59">
        <f>IF($Y2743="","",IF(INDEX($D$6:$D$40000,$Y2743)="","",INDEX($D$6:$D$40000,$Y2743)))</f>
        <v/>
      </c>
      <c r="AB2743">
        <f>IF($Y2743="","",INDEX($L$6:$L$40000,$Y2743)&amp;"")</f>
        <v/>
      </c>
    </row>
    <row r="2744">
      <c r="Y2744" s="47">
        <f>IFERROR(MATCH(Library!M2744,$M$6:$M$40000,0),"")</f>
        <v/>
      </c>
      <c r="Z2744">
        <f>IF($Y2744="","",INDEX($C$6:$C$40000,$Y2744)&amp;"")</f>
        <v/>
      </c>
      <c r="AA2744" s="59">
        <f>IF($Y2744="","",IF(INDEX($D$6:$D$40000,$Y2744)="","",INDEX($D$6:$D$40000,$Y2744)))</f>
        <v/>
      </c>
      <c r="AB2744">
        <f>IF($Y2744="","",INDEX($L$6:$L$40000,$Y2744)&amp;"")</f>
        <v/>
      </c>
    </row>
    <row r="2745">
      <c r="Y2745" s="47">
        <f>IFERROR(MATCH(Library!M2745,$M$6:$M$40000,0),"")</f>
        <v/>
      </c>
      <c r="Z2745">
        <f>IF($Y2745="","",INDEX($C$6:$C$40000,$Y2745)&amp;"")</f>
        <v/>
      </c>
      <c r="AA2745" s="59">
        <f>IF($Y2745="","",IF(INDEX($D$6:$D$40000,$Y2745)="","",INDEX($D$6:$D$40000,$Y2745)))</f>
        <v/>
      </c>
      <c r="AB2745">
        <f>IF($Y2745="","",INDEX($L$6:$L$40000,$Y2745)&amp;"")</f>
        <v/>
      </c>
    </row>
    <row r="2746">
      <c r="Y2746" s="47">
        <f>IFERROR(MATCH(Library!M2746,$M$6:$M$40000,0),"")</f>
        <v/>
      </c>
      <c r="Z2746">
        <f>IF($Y2746="","",INDEX($C$6:$C$40000,$Y2746)&amp;"")</f>
        <v/>
      </c>
      <c r="AA2746" s="59">
        <f>IF($Y2746="","",IF(INDEX($D$6:$D$40000,$Y2746)="","",INDEX($D$6:$D$40000,$Y2746)))</f>
        <v/>
      </c>
      <c r="AB2746">
        <f>IF($Y2746="","",INDEX($L$6:$L$40000,$Y2746)&amp;"")</f>
        <v/>
      </c>
    </row>
    <row r="2747">
      <c r="Y2747" s="47">
        <f>IFERROR(MATCH(Library!M2747,$M$6:$M$40000,0),"")</f>
        <v/>
      </c>
      <c r="Z2747">
        <f>IF($Y2747="","",INDEX($C$6:$C$40000,$Y2747)&amp;"")</f>
        <v/>
      </c>
      <c r="AA2747" s="59">
        <f>IF($Y2747="","",IF(INDEX($D$6:$D$40000,$Y2747)="","",INDEX($D$6:$D$40000,$Y2747)))</f>
        <v/>
      </c>
      <c r="AB2747">
        <f>IF($Y2747="","",INDEX($L$6:$L$40000,$Y2747)&amp;"")</f>
        <v/>
      </c>
    </row>
    <row r="2748">
      <c r="Y2748" s="47">
        <f>IFERROR(MATCH(Library!M2748,$M$6:$M$40000,0),"")</f>
        <v/>
      </c>
      <c r="Z2748">
        <f>IF($Y2748="","",INDEX($C$6:$C$40000,$Y2748)&amp;"")</f>
        <v/>
      </c>
      <c r="AA2748" s="59">
        <f>IF($Y2748="","",IF(INDEX($D$6:$D$40000,$Y2748)="","",INDEX($D$6:$D$40000,$Y2748)))</f>
        <v/>
      </c>
      <c r="AB2748">
        <f>IF($Y2748="","",INDEX($L$6:$L$40000,$Y2748)&amp;"")</f>
        <v/>
      </c>
    </row>
    <row r="2749">
      <c r="Y2749" s="47">
        <f>IFERROR(MATCH(Library!M2749,$M$6:$M$40000,0),"")</f>
        <v/>
      </c>
      <c r="Z2749">
        <f>IF($Y2749="","",INDEX($C$6:$C$40000,$Y2749)&amp;"")</f>
        <v/>
      </c>
      <c r="AA2749" s="59">
        <f>IF($Y2749="","",IF(INDEX($D$6:$D$40000,$Y2749)="","",INDEX($D$6:$D$40000,$Y2749)))</f>
        <v/>
      </c>
      <c r="AB2749">
        <f>IF($Y2749="","",INDEX($L$6:$L$40000,$Y2749)&amp;"")</f>
        <v/>
      </c>
    </row>
    <row r="2750">
      <c r="Y2750" s="47">
        <f>IFERROR(MATCH(Library!M2750,$M$6:$M$40000,0),"")</f>
        <v/>
      </c>
      <c r="Z2750">
        <f>IF($Y2750="","",INDEX($C$6:$C$40000,$Y2750)&amp;"")</f>
        <v/>
      </c>
      <c r="AA2750" s="59">
        <f>IF($Y2750="","",IF(INDEX($D$6:$D$40000,$Y2750)="","",INDEX($D$6:$D$40000,$Y2750)))</f>
        <v/>
      </c>
      <c r="AB2750">
        <f>IF($Y2750="","",INDEX($L$6:$L$40000,$Y2750)&amp;"")</f>
        <v/>
      </c>
    </row>
    <row r="2751">
      <c r="Y2751" s="47">
        <f>IFERROR(MATCH(Library!M2751,$M$6:$M$40000,0),"")</f>
        <v/>
      </c>
      <c r="Z2751">
        <f>IF($Y2751="","",INDEX($C$6:$C$40000,$Y2751)&amp;"")</f>
        <v/>
      </c>
      <c r="AA2751" s="59">
        <f>IF($Y2751="","",IF(INDEX($D$6:$D$40000,$Y2751)="","",INDEX($D$6:$D$40000,$Y2751)))</f>
        <v/>
      </c>
      <c r="AB2751">
        <f>IF($Y2751="","",INDEX($L$6:$L$40000,$Y2751)&amp;"")</f>
        <v/>
      </c>
    </row>
    <row r="2752">
      <c r="Y2752" s="47">
        <f>IFERROR(MATCH(Library!M2752,$M$6:$M$40000,0),"")</f>
        <v/>
      </c>
      <c r="Z2752">
        <f>IF($Y2752="","",INDEX($C$6:$C$40000,$Y2752)&amp;"")</f>
        <v/>
      </c>
      <c r="AA2752" s="59">
        <f>IF($Y2752="","",IF(INDEX($D$6:$D$40000,$Y2752)="","",INDEX($D$6:$D$40000,$Y2752)))</f>
        <v/>
      </c>
      <c r="AB2752">
        <f>IF($Y2752="","",INDEX($L$6:$L$40000,$Y2752)&amp;"")</f>
        <v/>
      </c>
    </row>
    <row r="2753">
      <c r="Y2753" s="47">
        <f>IFERROR(MATCH(Library!M2753,$M$6:$M$40000,0),"")</f>
        <v/>
      </c>
      <c r="Z2753">
        <f>IF($Y2753="","",INDEX($C$6:$C$40000,$Y2753)&amp;"")</f>
        <v/>
      </c>
      <c r="AA2753" s="59">
        <f>IF($Y2753="","",IF(INDEX($D$6:$D$40000,$Y2753)="","",INDEX($D$6:$D$40000,$Y2753)))</f>
        <v/>
      </c>
      <c r="AB2753">
        <f>IF($Y2753="","",INDEX($L$6:$L$40000,$Y2753)&amp;"")</f>
        <v/>
      </c>
    </row>
    <row r="2754">
      <c r="Y2754" s="47">
        <f>IFERROR(MATCH(Library!M2754,$M$6:$M$40000,0),"")</f>
        <v/>
      </c>
      <c r="Z2754">
        <f>IF($Y2754="","",INDEX($C$6:$C$40000,$Y2754)&amp;"")</f>
        <v/>
      </c>
      <c r="AA2754" s="59">
        <f>IF($Y2754="","",IF(INDEX($D$6:$D$40000,$Y2754)="","",INDEX($D$6:$D$40000,$Y2754)))</f>
        <v/>
      </c>
      <c r="AB2754">
        <f>IF($Y2754="","",INDEX($L$6:$L$40000,$Y2754)&amp;"")</f>
        <v/>
      </c>
    </row>
    <row r="2755">
      <c r="Y2755" s="47">
        <f>IFERROR(MATCH(Library!M2755,$M$6:$M$40000,0),"")</f>
        <v/>
      </c>
      <c r="Z2755">
        <f>IF($Y2755="","",INDEX($C$6:$C$40000,$Y2755)&amp;"")</f>
        <v/>
      </c>
      <c r="AA2755" s="59">
        <f>IF($Y2755="","",IF(INDEX($D$6:$D$40000,$Y2755)="","",INDEX($D$6:$D$40000,$Y2755)))</f>
        <v/>
      </c>
      <c r="AB2755">
        <f>IF($Y2755="","",INDEX($L$6:$L$40000,$Y2755)&amp;"")</f>
        <v/>
      </c>
    </row>
    <row r="2756">
      <c r="Y2756" s="47">
        <f>IFERROR(MATCH(Library!M2756,$M$6:$M$40000,0),"")</f>
        <v/>
      </c>
      <c r="Z2756">
        <f>IF($Y2756="","",INDEX($C$6:$C$40000,$Y2756)&amp;"")</f>
        <v/>
      </c>
      <c r="AA2756" s="59">
        <f>IF($Y2756="","",IF(INDEX($D$6:$D$40000,$Y2756)="","",INDEX($D$6:$D$40000,$Y2756)))</f>
        <v/>
      </c>
      <c r="AB2756">
        <f>IF($Y2756="","",INDEX($L$6:$L$40000,$Y2756)&amp;"")</f>
        <v/>
      </c>
    </row>
    <row r="2757">
      <c r="Y2757" s="47">
        <f>IFERROR(MATCH(Library!M2757,$M$6:$M$40000,0),"")</f>
        <v/>
      </c>
      <c r="Z2757">
        <f>IF($Y2757="","",INDEX($C$6:$C$40000,$Y2757)&amp;"")</f>
        <v/>
      </c>
      <c r="AA2757" s="59">
        <f>IF($Y2757="","",IF(INDEX($D$6:$D$40000,$Y2757)="","",INDEX($D$6:$D$40000,$Y2757)))</f>
        <v/>
      </c>
      <c r="AB2757">
        <f>IF($Y2757="","",INDEX($L$6:$L$40000,$Y2757)&amp;"")</f>
        <v/>
      </c>
    </row>
    <row r="2758">
      <c r="Y2758" s="47">
        <f>IFERROR(MATCH(Library!M2758,$M$6:$M$40000,0),"")</f>
        <v/>
      </c>
      <c r="Z2758">
        <f>IF($Y2758="","",INDEX($C$6:$C$40000,$Y2758)&amp;"")</f>
        <v/>
      </c>
      <c r="AA2758" s="59">
        <f>IF($Y2758="","",IF(INDEX($D$6:$D$40000,$Y2758)="","",INDEX($D$6:$D$40000,$Y2758)))</f>
        <v/>
      </c>
      <c r="AB2758">
        <f>IF($Y2758="","",INDEX($L$6:$L$40000,$Y2758)&amp;"")</f>
        <v/>
      </c>
    </row>
    <row r="2759">
      <c r="Y2759" s="47">
        <f>IFERROR(MATCH(Library!M2759,$M$6:$M$40000,0),"")</f>
        <v/>
      </c>
      <c r="Z2759">
        <f>IF($Y2759="","",INDEX($C$6:$C$40000,$Y2759)&amp;"")</f>
        <v/>
      </c>
      <c r="AA2759" s="59">
        <f>IF($Y2759="","",IF(INDEX($D$6:$D$40000,$Y2759)="","",INDEX($D$6:$D$40000,$Y2759)))</f>
        <v/>
      </c>
      <c r="AB2759">
        <f>IF($Y2759="","",INDEX($L$6:$L$40000,$Y2759)&amp;"")</f>
        <v/>
      </c>
    </row>
    <row r="2760">
      <c r="Y2760" s="47">
        <f>IFERROR(MATCH(Library!M2760,$M$6:$M$40000,0),"")</f>
        <v/>
      </c>
      <c r="Z2760">
        <f>IF($Y2760="","",INDEX($C$6:$C$40000,$Y2760)&amp;"")</f>
        <v/>
      </c>
      <c r="AA2760" s="59">
        <f>IF($Y2760="","",IF(INDEX($D$6:$D$40000,$Y2760)="","",INDEX($D$6:$D$40000,$Y2760)))</f>
        <v/>
      </c>
      <c r="AB2760">
        <f>IF($Y2760="","",INDEX($L$6:$L$40000,$Y2760)&amp;"")</f>
        <v/>
      </c>
    </row>
    <row r="2761">
      <c r="Y2761" s="47">
        <f>IFERROR(MATCH(Library!M2761,$M$6:$M$40000,0),"")</f>
        <v/>
      </c>
      <c r="Z2761">
        <f>IF($Y2761="","",INDEX($C$6:$C$40000,$Y2761)&amp;"")</f>
        <v/>
      </c>
      <c r="AA2761" s="59">
        <f>IF($Y2761="","",IF(INDEX($D$6:$D$40000,$Y2761)="","",INDEX($D$6:$D$40000,$Y2761)))</f>
        <v/>
      </c>
      <c r="AB2761">
        <f>IF($Y2761="","",INDEX($L$6:$L$40000,$Y2761)&amp;"")</f>
        <v/>
      </c>
    </row>
    <row r="2762">
      <c r="Y2762" s="47">
        <f>IFERROR(MATCH(Library!M2762,$M$6:$M$40000,0),"")</f>
        <v/>
      </c>
      <c r="Z2762">
        <f>IF($Y2762="","",INDEX($C$6:$C$40000,$Y2762)&amp;"")</f>
        <v/>
      </c>
      <c r="AA2762" s="59">
        <f>IF($Y2762="","",IF(INDEX($D$6:$D$40000,$Y2762)="","",INDEX($D$6:$D$40000,$Y2762)))</f>
        <v/>
      </c>
      <c r="AB2762">
        <f>IF($Y2762="","",INDEX($L$6:$L$40000,$Y2762)&amp;"")</f>
        <v/>
      </c>
    </row>
    <row r="2763">
      <c r="Y2763" s="47">
        <f>IFERROR(MATCH(Library!M2763,$M$6:$M$40000,0),"")</f>
        <v/>
      </c>
      <c r="Z2763">
        <f>IF($Y2763="","",INDEX($C$6:$C$40000,$Y2763)&amp;"")</f>
        <v/>
      </c>
      <c r="AA2763" s="59">
        <f>IF($Y2763="","",IF(INDEX($D$6:$D$40000,$Y2763)="","",INDEX($D$6:$D$40000,$Y2763)))</f>
        <v/>
      </c>
      <c r="AB2763">
        <f>IF($Y2763="","",INDEX($L$6:$L$40000,$Y2763)&amp;"")</f>
        <v/>
      </c>
    </row>
    <row r="2764">
      <c r="Y2764" s="47">
        <f>IFERROR(MATCH(Library!M2764,$M$6:$M$40000,0),"")</f>
        <v/>
      </c>
      <c r="Z2764">
        <f>IF($Y2764="","",INDEX($C$6:$C$40000,$Y2764)&amp;"")</f>
        <v/>
      </c>
      <c r="AA2764" s="59">
        <f>IF($Y2764="","",IF(INDEX($D$6:$D$40000,$Y2764)="","",INDEX($D$6:$D$40000,$Y2764)))</f>
        <v/>
      </c>
      <c r="AB2764">
        <f>IF($Y2764="","",INDEX($L$6:$L$40000,$Y2764)&amp;"")</f>
        <v/>
      </c>
    </row>
    <row r="2765">
      <c r="Y2765" s="47">
        <f>IFERROR(MATCH(Library!M2765,$M$6:$M$40000,0),"")</f>
        <v/>
      </c>
      <c r="Z2765">
        <f>IF($Y2765="","",INDEX($C$6:$C$40000,$Y2765)&amp;"")</f>
        <v/>
      </c>
      <c r="AA2765" s="59">
        <f>IF($Y2765="","",IF(INDEX($D$6:$D$40000,$Y2765)="","",INDEX($D$6:$D$40000,$Y2765)))</f>
        <v/>
      </c>
      <c r="AB2765">
        <f>IF($Y2765="","",INDEX($L$6:$L$40000,$Y2765)&amp;"")</f>
        <v/>
      </c>
    </row>
    <row r="2766">
      <c r="Y2766" s="47">
        <f>IFERROR(MATCH(Library!M2766,$M$6:$M$40000,0),"")</f>
        <v/>
      </c>
      <c r="Z2766">
        <f>IF($Y2766="","",INDEX($C$6:$C$40000,$Y2766)&amp;"")</f>
        <v/>
      </c>
      <c r="AA2766" s="59">
        <f>IF($Y2766="","",IF(INDEX($D$6:$D$40000,$Y2766)="","",INDEX($D$6:$D$40000,$Y2766)))</f>
        <v/>
      </c>
      <c r="AB2766">
        <f>IF($Y2766="","",INDEX($L$6:$L$40000,$Y2766)&amp;"")</f>
        <v/>
      </c>
    </row>
    <row r="2767">
      <c r="Y2767" s="47">
        <f>IFERROR(MATCH(Library!M2767,$M$6:$M$40000,0),"")</f>
        <v/>
      </c>
      <c r="Z2767">
        <f>IF($Y2767="","",INDEX($C$6:$C$40000,$Y2767)&amp;"")</f>
        <v/>
      </c>
      <c r="AA2767" s="59">
        <f>IF($Y2767="","",IF(INDEX($D$6:$D$40000,$Y2767)="","",INDEX($D$6:$D$40000,$Y2767)))</f>
        <v/>
      </c>
      <c r="AB2767">
        <f>IF($Y2767="","",INDEX($L$6:$L$40000,$Y2767)&amp;"")</f>
        <v/>
      </c>
    </row>
    <row r="2768">
      <c r="Y2768" s="47">
        <f>IFERROR(MATCH(Library!M2768,$M$6:$M$40000,0),"")</f>
        <v/>
      </c>
      <c r="Z2768">
        <f>IF($Y2768="","",INDEX($C$6:$C$40000,$Y2768)&amp;"")</f>
        <v/>
      </c>
      <c r="AA2768" s="59">
        <f>IF($Y2768="","",IF(INDEX($D$6:$D$40000,$Y2768)="","",INDEX($D$6:$D$40000,$Y2768)))</f>
        <v/>
      </c>
      <c r="AB2768">
        <f>IF($Y2768="","",INDEX($L$6:$L$40000,$Y2768)&amp;"")</f>
        <v/>
      </c>
    </row>
    <row r="2769">
      <c r="Y2769" s="47">
        <f>IFERROR(MATCH(Library!M2769,$M$6:$M$40000,0),"")</f>
        <v/>
      </c>
      <c r="Z2769">
        <f>IF($Y2769="","",INDEX($C$6:$C$40000,$Y2769)&amp;"")</f>
        <v/>
      </c>
      <c r="AA2769" s="59">
        <f>IF($Y2769="","",IF(INDEX($D$6:$D$40000,$Y2769)="","",INDEX($D$6:$D$40000,$Y2769)))</f>
        <v/>
      </c>
      <c r="AB2769">
        <f>IF($Y2769="","",INDEX($L$6:$L$40000,$Y2769)&amp;"")</f>
        <v/>
      </c>
    </row>
    <row r="2770">
      <c r="Y2770" s="47">
        <f>IFERROR(MATCH(Library!M2770,$M$6:$M$40000,0),"")</f>
        <v/>
      </c>
      <c r="Z2770">
        <f>IF($Y2770="","",INDEX($C$6:$C$40000,$Y2770)&amp;"")</f>
        <v/>
      </c>
      <c r="AA2770" s="59">
        <f>IF($Y2770="","",IF(INDEX($D$6:$D$40000,$Y2770)="","",INDEX($D$6:$D$40000,$Y2770)))</f>
        <v/>
      </c>
      <c r="AB2770">
        <f>IF($Y2770="","",INDEX($L$6:$L$40000,$Y2770)&amp;"")</f>
        <v/>
      </c>
    </row>
    <row r="2771">
      <c r="Y2771" s="47">
        <f>IFERROR(MATCH(Library!M2771,$M$6:$M$40000,0),"")</f>
        <v/>
      </c>
      <c r="Z2771">
        <f>IF($Y2771="","",INDEX($C$6:$C$40000,$Y2771)&amp;"")</f>
        <v/>
      </c>
      <c r="AA2771" s="59">
        <f>IF($Y2771="","",IF(INDEX($D$6:$D$40000,$Y2771)="","",INDEX($D$6:$D$40000,$Y2771)))</f>
        <v/>
      </c>
      <c r="AB2771">
        <f>IF($Y2771="","",INDEX($L$6:$L$40000,$Y2771)&amp;"")</f>
        <v/>
      </c>
    </row>
    <row r="2772">
      <c r="Y2772" s="47">
        <f>IFERROR(MATCH(Library!M2772,$M$6:$M$40000,0),"")</f>
        <v/>
      </c>
      <c r="Z2772">
        <f>IF($Y2772="","",INDEX($C$6:$C$40000,$Y2772)&amp;"")</f>
        <v/>
      </c>
      <c r="AA2772" s="59">
        <f>IF($Y2772="","",IF(INDEX($D$6:$D$40000,$Y2772)="","",INDEX($D$6:$D$40000,$Y2772)))</f>
        <v/>
      </c>
      <c r="AB2772">
        <f>IF($Y2772="","",INDEX($L$6:$L$40000,$Y2772)&amp;"")</f>
        <v/>
      </c>
    </row>
    <row r="2773">
      <c r="Y2773" s="47">
        <f>IFERROR(MATCH(Library!M2773,$M$6:$M$40000,0),"")</f>
        <v/>
      </c>
      <c r="Z2773">
        <f>IF($Y2773="","",INDEX($C$6:$C$40000,$Y2773)&amp;"")</f>
        <v/>
      </c>
      <c r="AA2773" s="59">
        <f>IF($Y2773="","",IF(INDEX($D$6:$D$40000,$Y2773)="","",INDEX($D$6:$D$40000,$Y2773)))</f>
        <v/>
      </c>
      <c r="AB2773">
        <f>IF($Y2773="","",INDEX($L$6:$L$40000,$Y2773)&amp;"")</f>
        <v/>
      </c>
    </row>
    <row r="2774">
      <c r="Y2774" s="47">
        <f>IFERROR(MATCH(Library!M2774,$M$6:$M$40000,0),"")</f>
        <v/>
      </c>
      <c r="Z2774">
        <f>IF($Y2774="","",INDEX($C$6:$C$40000,$Y2774)&amp;"")</f>
        <v/>
      </c>
      <c r="AA2774" s="59">
        <f>IF($Y2774="","",IF(INDEX($D$6:$D$40000,$Y2774)="","",INDEX($D$6:$D$40000,$Y2774)))</f>
        <v/>
      </c>
      <c r="AB2774">
        <f>IF($Y2774="","",INDEX($L$6:$L$40000,$Y2774)&amp;"")</f>
        <v/>
      </c>
    </row>
    <row r="2775">
      <c r="Y2775" s="47">
        <f>IFERROR(MATCH(Library!M2775,$M$6:$M$40000,0),"")</f>
        <v/>
      </c>
      <c r="Z2775">
        <f>IF($Y2775="","",INDEX($C$6:$C$40000,$Y2775)&amp;"")</f>
        <v/>
      </c>
      <c r="AA2775" s="59">
        <f>IF($Y2775="","",IF(INDEX($D$6:$D$40000,$Y2775)="","",INDEX($D$6:$D$40000,$Y2775)))</f>
        <v/>
      </c>
      <c r="AB2775">
        <f>IF($Y2775="","",INDEX($L$6:$L$40000,$Y2775)&amp;"")</f>
        <v/>
      </c>
    </row>
    <row r="2776">
      <c r="Y2776" s="47">
        <f>IFERROR(MATCH(Library!M2776,$M$6:$M$40000,0),"")</f>
        <v/>
      </c>
      <c r="Z2776">
        <f>IF($Y2776="","",INDEX($C$6:$C$40000,$Y2776)&amp;"")</f>
        <v/>
      </c>
      <c r="AA2776" s="59">
        <f>IF($Y2776="","",IF(INDEX($D$6:$D$40000,$Y2776)="","",INDEX($D$6:$D$40000,$Y2776)))</f>
        <v/>
      </c>
      <c r="AB2776">
        <f>IF($Y2776="","",INDEX($L$6:$L$40000,$Y2776)&amp;"")</f>
        <v/>
      </c>
    </row>
    <row r="2777">
      <c r="Y2777" s="47">
        <f>IFERROR(MATCH(Library!M2777,$M$6:$M$40000,0),"")</f>
        <v/>
      </c>
      <c r="Z2777">
        <f>IF($Y2777="","",INDEX($C$6:$C$40000,$Y2777)&amp;"")</f>
        <v/>
      </c>
      <c r="AA2777" s="59">
        <f>IF($Y2777="","",IF(INDEX($D$6:$D$40000,$Y2777)="","",INDEX($D$6:$D$40000,$Y2777)))</f>
        <v/>
      </c>
      <c r="AB2777">
        <f>IF($Y2777="","",INDEX($L$6:$L$40000,$Y2777)&amp;"")</f>
        <v/>
      </c>
    </row>
    <row r="2778">
      <c r="Y2778" s="47">
        <f>IFERROR(MATCH(Library!M2778,$M$6:$M$40000,0),"")</f>
        <v/>
      </c>
      <c r="Z2778">
        <f>IF($Y2778="","",INDEX($C$6:$C$40000,$Y2778)&amp;"")</f>
        <v/>
      </c>
      <c r="AA2778" s="59">
        <f>IF($Y2778="","",IF(INDEX($D$6:$D$40000,$Y2778)="","",INDEX($D$6:$D$40000,$Y2778)))</f>
        <v/>
      </c>
      <c r="AB2778">
        <f>IF($Y2778="","",INDEX($L$6:$L$40000,$Y2778)&amp;"")</f>
        <v/>
      </c>
    </row>
    <row r="2779">
      <c r="Y2779" s="47">
        <f>IFERROR(MATCH(Library!M2779,$M$6:$M$40000,0),"")</f>
        <v/>
      </c>
      <c r="Z2779">
        <f>IF($Y2779="","",INDEX($C$6:$C$40000,$Y2779)&amp;"")</f>
        <v/>
      </c>
      <c r="AA2779" s="59">
        <f>IF($Y2779="","",IF(INDEX($D$6:$D$40000,$Y2779)="","",INDEX($D$6:$D$40000,$Y2779)))</f>
        <v/>
      </c>
      <c r="AB2779">
        <f>IF($Y2779="","",INDEX($L$6:$L$40000,$Y2779)&amp;"")</f>
        <v/>
      </c>
    </row>
    <row r="2780">
      <c r="Y2780" s="47">
        <f>IFERROR(MATCH(Library!M2780,$M$6:$M$40000,0),"")</f>
        <v/>
      </c>
      <c r="Z2780">
        <f>IF($Y2780="","",INDEX($C$6:$C$40000,$Y2780)&amp;"")</f>
        <v/>
      </c>
      <c r="AA2780" s="59">
        <f>IF($Y2780="","",IF(INDEX($D$6:$D$40000,$Y2780)="","",INDEX($D$6:$D$40000,$Y2780)))</f>
        <v/>
      </c>
      <c r="AB2780">
        <f>IF($Y2780="","",INDEX($L$6:$L$40000,$Y2780)&amp;"")</f>
        <v/>
      </c>
    </row>
    <row r="2781">
      <c r="Y2781" s="47">
        <f>IFERROR(MATCH(Library!M2781,$M$6:$M$40000,0),"")</f>
        <v/>
      </c>
      <c r="Z2781">
        <f>IF($Y2781="","",INDEX($C$6:$C$40000,$Y2781)&amp;"")</f>
        <v/>
      </c>
      <c r="AA2781" s="59">
        <f>IF($Y2781="","",IF(INDEX($D$6:$D$40000,$Y2781)="","",INDEX($D$6:$D$40000,$Y2781)))</f>
        <v/>
      </c>
      <c r="AB2781">
        <f>IF($Y2781="","",INDEX($L$6:$L$40000,$Y2781)&amp;"")</f>
        <v/>
      </c>
    </row>
    <row r="2782">
      <c r="Y2782" s="47">
        <f>IFERROR(MATCH(Library!M2782,$M$6:$M$40000,0),"")</f>
        <v/>
      </c>
      <c r="Z2782">
        <f>IF($Y2782="","",INDEX($C$6:$C$40000,$Y2782)&amp;"")</f>
        <v/>
      </c>
      <c r="AA2782" s="59">
        <f>IF($Y2782="","",IF(INDEX($D$6:$D$40000,$Y2782)="","",INDEX($D$6:$D$40000,$Y2782)))</f>
        <v/>
      </c>
      <c r="AB2782">
        <f>IF($Y2782="","",INDEX($L$6:$L$40000,$Y2782)&amp;"")</f>
        <v/>
      </c>
    </row>
    <row r="2783">
      <c r="Y2783" s="47">
        <f>IFERROR(MATCH(Library!M2783,$M$6:$M$40000,0),"")</f>
        <v/>
      </c>
      <c r="Z2783">
        <f>IF($Y2783="","",INDEX($C$6:$C$40000,$Y2783)&amp;"")</f>
        <v/>
      </c>
      <c r="AA2783" s="59">
        <f>IF($Y2783="","",IF(INDEX($D$6:$D$40000,$Y2783)="","",INDEX($D$6:$D$40000,$Y2783)))</f>
        <v/>
      </c>
      <c r="AB2783">
        <f>IF($Y2783="","",INDEX($L$6:$L$40000,$Y2783)&amp;"")</f>
        <v/>
      </c>
    </row>
    <row r="2784">
      <c r="Y2784" s="47">
        <f>IFERROR(MATCH(Library!M2784,$M$6:$M$40000,0),"")</f>
        <v/>
      </c>
      <c r="Z2784">
        <f>IF($Y2784="","",INDEX($C$6:$C$40000,$Y2784)&amp;"")</f>
        <v/>
      </c>
      <c r="AA2784" s="59">
        <f>IF($Y2784="","",IF(INDEX($D$6:$D$40000,$Y2784)="","",INDEX($D$6:$D$40000,$Y2784)))</f>
        <v/>
      </c>
      <c r="AB2784">
        <f>IF($Y2784="","",INDEX($L$6:$L$40000,$Y2784)&amp;"")</f>
        <v/>
      </c>
    </row>
    <row r="2785">
      <c r="Y2785" s="47">
        <f>IFERROR(MATCH(Library!M2785,$M$6:$M$40000,0),"")</f>
        <v/>
      </c>
      <c r="Z2785">
        <f>IF($Y2785="","",INDEX($C$6:$C$40000,$Y2785)&amp;"")</f>
        <v/>
      </c>
      <c r="AA2785" s="59">
        <f>IF($Y2785="","",IF(INDEX($D$6:$D$40000,$Y2785)="","",INDEX($D$6:$D$40000,$Y2785)))</f>
        <v/>
      </c>
      <c r="AB2785">
        <f>IF($Y2785="","",INDEX($L$6:$L$40000,$Y2785)&amp;"")</f>
        <v/>
      </c>
    </row>
    <row r="2786">
      <c r="Y2786" s="47">
        <f>IFERROR(MATCH(Library!M2786,$M$6:$M$40000,0),"")</f>
        <v/>
      </c>
      <c r="Z2786">
        <f>IF($Y2786="","",INDEX($C$6:$C$40000,$Y2786)&amp;"")</f>
        <v/>
      </c>
      <c r="AA2786" s="59">
        <f>IF($Y2786="","",IF(INDEX($D$6:$D$40000,$Y2786)="","",INDEX($D$6:$D$40000,$Y2786)))</f>
        <v/>
      </c>
      <c r="AB2786">
        <f>IF($Y2786="","",INDEX($L$6:$L$40000,$Y2786)&amp;"")</f>
        <v/>
      </c>
    </row>
    <row r="2787">
      <c r="Y2787" s="47">
        <f>IFERROR(MATCH(Library!M2787,$M$6:$M$40000,0),"")</f>
        <v/>
      </c>
      <c r="Z2787">
        <f>IF($Y2787="","",INDEX($C$6:$C$40000,$Y2787)&amp;"")</f>
        <v/>
      </c>
      <c r="AA2787" s="59">
        <f>IF($Y2787="","",IF(INDEX($D$6:$D$40000,$Y2787)="","",INDEX($D$6:$D$40000,$Y2787)))</f>
        <v/>
      </c>
      <c r="AB2787">
        <f>IF($Y2787="","",INDEX($L$6:$L$40000,$Y2787)&amp;"")</f>
        <v/>
      </c>
    </row>
    <row r="2788">
      <c r="Y2788" s="47">
        <f>IFERROR(MATCH(Library!M2788,$M$6:$M$40000,0),"")</f>
        <v/>
      </c>
      <c r="Z2788">
        <f>IF($Y2788="","",INDEX($C$6:$C$40000,$Y2788)&amp;"")</f>
        <v/>
      </c>
      <c r="AA2788" s="59">
        <f>IF($Y2788="","",IF(INDEX($D$6:$D$40000,$Y2788)="","",INDEX($D$6:$D$40000,$Y2788)))</f>
        <v/>
      </c>
      <c r="AB2788">
        <f>IF($Y2788="","",INDEX($L$6:$L$40000,$Y2788)&amp;"")</f>
        <v/>
      </c>
    </row>
    <row r="2789">
      <c r="Y2789" s="47">
        <f>IFERROR(MATCH(Library!M2789,$M$6:$M$40000,0),"")</f>
        <v/>
      </c>
      <c r="Z2789">
        <f>IF($Y2789="","",INDEX($C$6:$C$40000,$Y2789)&amp;"")</f>
        <v/>
      </c>
      <c r="AA2789" s="59">
        <f>IF($Y2789="","",IF(INDEX($D$6:$D$40000,$Y2789)="","",INDEX($D$6:$D$40000,$Y2789)))</f>
        <v/>
      </c>
      <c r="AB2789">
        <f>IF($Y2789="","",INDEX($L$6:$L$40000,$Y2789)&amp;"")</f>
        <v/>
      </c>
    </row>
    <row r="2790">
      <c r="Y2790" s="47">
        <f>IFERROR(MATCH(Library!M2790,$M$6:$M$40000,0),"")</f>
        <v/>
      </c>
      <c r="Z2790">
        <f>IF($Y2790="","",INDEX($C$6:$C$40000,$Y2790)&amp;"")</f>
        <v/>
      </c>
      <c r="AA2790" s="59">
        <f>IF($Y2790="","",IF(INDEX($D$6:$D$40000,$Y2790)="","",INDEX($D$6:$D$40000,$Y2790)))</f>
        <v/>
      </c>
      <c r="AB2790">
        <f>IF($Y2790="","",INDEX($L$6:$L$40000,$Y2790)&amp;"")</f>
        <v/>
      </c>
    </row>
    <row r="2791">
      <c r="Y2791" s="47">
        <f>IFERROR(MATCH(Library!M2791,$M$6:$M$40000,0),"")</f>
        <v/>
      </c>
      <c r="Z2791">
        <f>IF($Y2791="","",INDEX($C$6:$C$40000,$Y2791)&amp;"")</f>
        <v/>
      </c>
      <c r="AA2791" s="59">
        <f>IF($Y2791="","",IF(INDEX($D$6:$D$40000,$Y2791)="","",INDEX($D$6:$D$40000,$Y2791)))</f>
        <v/>
      </c>
      <c r="AB2791">
        <f>IF($Y2791="","",INDEX($L$6:$L$40000,$Y2791)&amp;"")</f>
        <v/>
      </c>
    </row>
    <row r="2792">
      <c r="Y2792" s="47">
        <f>IFERROR(MATCH(Library!M2792,$M$6:$M$40000,0),"")</f>
        <v/>
      </c>
      <c r="Z2792">
        <f>IF($Y2792="","",INDEX($C$6:$C$40000,$Y2792)&amp;"")</f>
        <v/>
      </c>
      <c r="AA2792" s="59">
        <f>IF($Y2792="","",IF(INDEX($D$6:$D$40000,$Y2792)="","",INDEX($D$6:$D$40000,$Y2792)))</f>
        <v/>
      </c>
      <c r="AB2792">
        <f>IF($Y2792="","",INDEX($L$6:$L$40000,$Y2792)&amp;"")</f>
        <v/>
      </c>
    </row>
    <row r="2793">
      <c r="Y2793" s="47">
        <f>IFERROR(MATCH(Library!M2793,$M$6:$M$40000,0),"")</f>
        <v/>
      </c>
      <c r="Z2793">
        <f>IF($Y2793="","",INDEX($C$6:$C$40000,$Y2793)&amp;"")</f>
        <v/>
      </c>
      <c r="AA2793" s="59">
        <f>IF($Y2793="","",IF(INDEX($D$6:$D$40000,$Y2793)="","",INDEX($D$6:$D$40000,$Y2793)))</f>
        <v/>
      </c>
      <c r="AB2793">
        <f>IF($Y2793="","",INDEX($L$6:$L$40000,$Y2793)&amp;"")</f>
        <v/>
      </c>
    </row>
    <row r="2794">
      <c r="Y2794" s="47">
        <f>IFERROR(MATCH(Library!M2794,$M$6:$M$40000,0),"")</f>
        <v/>
      </c>
      <c r="Z2794">
        <f>IF($Y2794="","",INDEX($C$6:$C$40000,$Y2794)&amp;"")</f>
        <v/>
      </c>
      <c r="AA2794" s="59">
        <f>IF($Y2794="","",IF(INDEX($D$6:$D$40000,$Y2794)="","",INDEX($D$6:$D$40000,$Y2794)))</f>
        <v/>
      </c>
      <c r="AB2794">
        <f>IF($Y2794="","",INDEX($L$6:$L$40000,$Y2794)&amp;"")</f>
        <v/>
      </c>
    </row>
    <row r="2795">
      <c r="Y2795" s="47">
        <f>IFERROR(MATCH(Library!M2795,$M$6:$M$40000,0),"")</f>
        <v/>
      </c>
      <c r="Z2795">
        <f>IF($Y2795="","",INDEX($C$6:$C$40000,$Y2795)&amp;"")</f>
        <v/>
      </c>
      <c r="AA2795" s="59">
        <f>IF($Y2795="","",IF(INDEX($D$6:$D$40000,$Y2795)="","",INDEX($D$6:$D$40000,$Y2795)))</f>
        <v/>
      </c>
      <c r="AB2795">
        <f>IF($Y2795="","",INDEX($L$6:$L$40000,$Y2795)&amp;"")</f>
        <v/>
      </c>
    </row>
    <row r="2796">
      <c r="Y2796" s="47">
        <f>IFERROR(MATCH(Library!M2796,$M$6:$M$40000,0),"")</f>
        <v/>
      </c>
      <c r="Z2796">
        <f>IF($Y2796="","",INDEX($C$6:$C$40000,$Y2796)&amp;"")</f>
        <v/>
      </c>
      <c r="AA2796" s="59">
        <f>IF($Y2796="","",IF(INDEX($D$6:$D$40000,$Y2796)="","",INDEX($D$6:$D$40000,$Y2796)))</f>
        <v/>
      </c>
      <c r="AB2796">
        <f>IF($Y2796="","",INDEX($L$6:$L$40000,$Y2796)&amp;"")</f>
        <v/>
      </c>
    </row>
    <row r="2797">
      <c r="Y2797" s="47">
        <f>IFERROR(MATCH(Library!M2797,$M$6:$M$40000,0),"")</f>
        <v/>
      </c>
      <c r="Z2797">
        <f>IF($Y2797="","",INDEX($C$6:$C$40000,$Y2797)&amp;"")</f>
        <v/>
      </c>
      <c r="AA2797" s="59">
        <f>IF($Y2797="","",IF(INDEX($D$6:$D$40000,$Y2797)="","",INDEX($D$6:$D$40000,$Y2797)))</f>
        <v/>
      </c>
      <c r="AB2797">
        <f>IF($Y2797="","",INDEX($L$6:$L$40000,$Y2797)&amp;"")</f>
        <v/>
      </c>
    </row>
    <row r="2798">
      <c r="Y2798" s="47">
        <f>IFERROR(MATCH(Library!M2798,$M$6:$M$40000,0),"")</f>
        <v/>
      </c>
      <c r="Z2798">
        <f>IF($Y2798="","",INDEX($C$6:$C$40000,$Y2798)&amp;"")</f>
        <v/>
      </c>
      <c r="AA2798" s="59">
        <f>IF($Y2798="","",IF(INDEX($D$6:$D$40000,$Y2798)="","",INDEX($D$6:$D$40000,$Y2798)))</f>
        <v/>
      </c>
      <c r="AB2798">
        <f>IF($Y2798="","",INDEX($L$6:$L$40000,$Y2798)&amp;"")</f>
        <v/>
      </c>
    </row>
    <row r="2799">
      <c r="Y2799" s="47">
        <f>IFERROR(MATCH(Library!M2799,$M$6:$M$40000,0),"")</f>
        <v/>
      </c>
      <c r="Z2799">
        <f>IF($Y2799="","",INDEX($C$6:$C$40000,$Y2799)&amp;"")</f>
        <v/>
      </c>
      <c r="AA2799" s="59">
        <f>IF($Y2799="","",IF(INDEX($D$6:$D$40000,$Y2799)="","",INDEX($D$6:$D$40000,$Y2799)))</f>
        <v/>
      </c>
      <c r="AB2799">
        <f>IF($Y2799="","",INDEX($L$6:$L$40000,$Y2799)&amp;"")</f>
        <v/>
      </c>
    </row>
    <row r="2800">
      <c r="Y2800" s="47">
        <f>IFERROR(MATCH(Library!M2800,$M$6:$M$40000,0),"")</f>
        <v/>
      </c>
      <c r="Z2800">
        <f>IF($Y2800="","",INDEX($C$6:$C$40000,$Y2800)&amp;"")</f>
        <v/>
      </c>
      <c r="AA2800" s="59">
        <f>IF($Y2800="","",IF(INDEX($D$6:$D$40000,$Y2800)="","",INDEX($D$6:$D$40000,$Y2800)))</f>
        <v/>
      </c>
      <c r="AB2800">
        <f>IF($Y2800="","",INDEX($L$6:$L$40000,$Y2800)&amp;"")</f>
        <v/>
      </c>
    </row>
    <row r="2801">
      <c r="Y2801" s="47">
        <f>IFERROR(MATCH(Library!M2801,$M$6:$M$40000,0),"")</f>
        <v/>
      </c>
      <c r="Z2801">
        <f>IF($Y2801="","",INDEX($C$6:$C$40000,$Y2801)&amp;"")</f>
        <v/>
      </c>
      <c r="AA2801" s="59">
        <f>IF($Y2801="","",IF(INDEX($D$6:$D$40000,$Y2801)="","",INDEX($D$6:$D$40000,$Y2801)))</f>
        <v/>
      </c>
      <c r="AB2801">
        <f>IF($Y2801="","",INDEX($L$6:$L$40000,$Y2801)&amp;"")</f>
        <v/>
      </c>
    </row>
    <row r="2802">
      <c r="Y2802" s="47">
        <f>IFERROR(MATCH(Library!M2802,$M$6:$M$40000,0),"")</f>
        <v/>
      </c>
      <c r="Z2802">
        <f>IF($Y2802="","",INDEX($C$6:$C$40000,$Y2802)&amp;"")</f>
        <v/>
      </c>
      <c r="AA2802" s="59">
        <f>IF($Y2802="","",IF(INDEX($D$6:$D$40000,$Y2802)="","",INDEX($D$6:$D$40000,$Y2802)))</f>
        <v/>
      </c>
      <c r="AB2802">
        <f>IF($Y2802="","",INDEX($L$6:$L$40000,$Y2802)&amp;"")</f>
        <v/>
      </c>
    </row>
    <row r="2803">
      <c r="Y2803" s="47">
        <f>IFERROR(MATCH(Library!M2803,$M$6:$M$40000,0),"")</f>
        <v/>
      </c>
      <c r="Z2803">
        <f>IF($Y2803="","",INDEX($C$6:$C$40000,$Y2803)&amp;"")</f>
        <v/>
      </c>
      <c r="AA2803" s="59">
        <f>IF($Y2803="","",IF(INDEX($D$6:$D$40000,$Y2803)="","",INDEX($D$6:$D$40000,$Y2803)))</f>
        <v/>
      </c>
      <c r="AB2803">
        <f>IF($Y2803="","",INDEX($L$6:$L$40000,$Y2803)&amp;"")</f>
        <v/>
      </c>
    </row>
    <row r="2804">
      <c r="Y2804" s="47">
        <f>IFERROR(MATCH(Library!M2804,$M$6:$M$40000,0),"")</f>
        <v/>
      </c>
      <c r="Z2804">
        <f>IF($Y2804="","",INDEX($C$6:$C$40000,$Y2804)&amp;"")</f>
        <v/>
      </c>
      <c r="AA2804" s="59">
        <f>IF($Y2804="","",IF(INDEX($D$6:$D$40000,$Y2804)="","",INDEX($D$6:$D$40000,$Y2804)))</f>
        <v/>
      </c>
      <c r="AB2804">
        <f>IF($Y2804="","",INDEX($L$6:$L$40000,$Y2804)&amp;"")</f>
        <v/>
      </c>
    </row>
    <row r="2805">
      <c r="Y2805" s="47">
        <f>IFERROR(MATCH(Library!M2805,$M$6:$M$40000,0),"")</f>
        <v/>
      </c>
      <c r="Z2805">
        <f>IF($Y2805="","",INDEX($C$6:$C$40000,$Y2805)&amp;"")</f>
        <v/>
      </c>
      <c r="AA2805" s="59">
        <f>IF($Y2805="","",IF(INDEX($D$6:$D$40000,$Y2805)="","",INDEX($D$6:$D$40000,$Y2805)))</f>
        <v/>
      </c>
      <c r="AB2805">
        <f>IF($Y2805="","",INDEX($L$6:$L$40000,$Y2805)&amp;"")</f>
        <v/>
      </c>
    </row>
    <row r="2806">
      <c r="Y2806" s="47">
        <f>IFERROR(MATCH(Library!M2806,$M$6:$M$40000,0),"")</f>
        <v/>
      </c>
      <c r="Z2806">
        <f>IF($Y2806="","",INDEX($C$6:$C$40000,$Y2806)&amp;"")</f>
        <v/>
      </c>
      <c r="AA2806" s="59">
        <f>IF($Y2806="","",IF(INDEX($D$6:$D$40000,$Y2806)="","",INDEX($D$6:$D$40000,$Y2806)))</f>
        <v/>
      </c>
      <c r="AB2806">
        <f>IF($Y2806="","",INDEX($L$6:$L$40000,$Y2806)&amp;"")</f>
        <v/>
      </c>
    </row>
    <row r="2807">
      <c r="Y2807" s="47">
        <f>IFERROR(MATCH(Library!M2807,$M$6:$M$40000,0),"")</f>
        <v/>
      </c>
      <c r="Z2807">
        <f>IF($Y2807="","",INDEX($C$6:$C$40000,$Y2807)&amp;"")</f>
        <v/>
      </c>
      <c r="AA2807" s="59">
        <f>IF($Y2807="","",IF(INDEX($D$6:$D$40000,$Y2807)="","",INDEX($D$6:$D$40000,$Y2807)))</f>
        <v/>
      </c>
      <c r="AB2807">
        <f>IF($Y2807="","",INDEX($L$6:$L$40000,$Y2807)&amp;"")</f>
        <v/>
      </c>
    </row>
    <row r="2808">
      <c r="Y2808" s="47">
        <f>IFERROR(MATCH(Library!M2808,$M$6:$M$40000,0),"")</f>
        <v/>
      </c>
      <c r="Z2808">
        <f>IF($Y2808="","",INDEX($C$6:$C$40000,$Y2808)&amp;"")</f>
        <v/>
      </c>
      <c r="AA2808" s="59">
        <f>IF($Y2808="","",IF(INDEX($D$6:$D$40000,$Y2808)="","",INDEX($D$6:$D$40000,$Y2808)))</f>
        <v/>
      </c>
      <c r="AB2808">
        <f>IF($Y2808="","",INDEX($L$6:$L$40000,$Y2808)&amp;"")</f>
        <v/>
      </c>
    </row>
    <row r="2809">
      <c r="Y2809" s="47">
        <f>IFERROR(MATCH(Library!M2809,$M$6:$M$40000,0),"")</f>
        <v/>
      </c>
      <c r="Z2809">
        <f>IF($Y2809="","",INDEX($C$6:$C$40000,$Y2809)&amp;"")</f>
        <v/>
      </c>
      <c r="AA2809" s="59">
        <f>IF($Y2809="","",IF(INDEX($D$6:$D$40000,$Y2809)="","",INDEX($D$6:$D$40000,$Y2809)))</f>
        <v/>
      </c>
      <c r="AB2809">
        <f>IF($Y2809="","",INDEX($L$6:$L$40000,$Y2809)&amp;"")</f>
        <v/>
      </c>
    </row>
    <row r="2810">
      <c r="Y2810" s="47">
        <f>IFERROR(MATCH(Library!M2810,$M$6:$M$40000,0),"")</f>
        <v/>
      </c>
      <c r="Z2810">
        <f>IF($Y2810="","",INDEX($C$6:$C$40000,$Y2810)&amp;"")</f>
        <v/>
      </c>
      <c r="AA2810" s="59">
        <f>IF($Y2810="","",IF(INDEX($D$6:$D$40000,$Y2810)="","",INDEX($D$6:$D$40000,$Y2810)))</f>
        <v/>
      </c>
      <c r="AB2810">
        <f>IF($Y2810="","",INDEX($L$6:$L$40000,$Y2810)&amp;"")</f>
        <v/>
      </c>
    </row>
    <row r="2811">
      <c r="Y2811" s="47">
        <f>IFERROR(MATCH(Library!M2811,$M$6:$M$40000,0),"")</f>
        <v/>
      </c>
      <c r="Z2811">
        <f>IF($Y2811="","",INDEX($C$6:$C$40000,$Y2811)&amp;"")</f>
        <v/>
      </c>
      <c r="AA2811" s="59">
        <f>IF($Y2811="","",IF(INDEX($D$6:$D$40000,$Y2811)="","",INDEX($D$6:$D$40000,$Y2811)))</f>
        <v/>
      </c>
      <c r="AB2811">
        <f>IF($Y2811="","",INDEX($L$6:$L$40000,$Y2811)&amp;"")</f>
        <v/>
      </c>
    </row>
    <row r="2812">
      <c r="Y2812" s="47">
        <f>IFERROR(MATCH(Library!M2812,$M$6:$M$40000,0),"")</f>
        <v/>
      </c>
      <c r="Z2812">
        <f>IF($Y2812="","",INDEX($C$6:$C$40000,$Y2812)&amp;"")</f>
        <v/>
      </c>
      <c r="AA2812" s="59">
        <f>IF($Y2812="","",IF(INDEX($D$6:$D$40000,$Y2812)="","",INDEX($D$6:$D$40000,$Y2812)))</f>
        <v/>
      </c>
      <c r="AB2812">
        <f>IF($Y2812="","",INDEX($L$6:$L$40000,$Y2812)&amp;"")</f>
        <v/>
      </c>
    </row>
    <row r="2813">
      <c r="Y2813" s="47">
        <f>IFERROR(MATCH(Library!M2813,$M$6:$M$40000,0),"")</f>
        <v/>
      </c>
      <c r="Z2813">
        <f>IF($Y2813="","",INDEX($C$6:$C$40000,$Y2813)&amp;"")</f>
        <v/>
      </c>
      <c r="AA2813" s="59">
        <f>IF($Y2813="","",IF(INDEX($D$6:$D$40000,$Y2813)="","",INDEX($D$6:$D$40000,$Y2813)))</f>
        <v/>
      </c>
      <c r="AB2813">
        <f>IF($Y2813="","",INDEX($L$6:$L$40000,$Y2813)&amp;"")</f>
        <v/>
      </c>
    </row>
    <row r="2814">
      <c r="Y2814" s="47">
        <f>IFERROR(MATCH(Library!M2814,$M$6:$M$40000,0),"")</f>
        <v/>
      </c>
      <c r="Z2814">
        <f>IF($Y2814="","",INDEX($C$6:$C$40000,$Y2814)&amp;"")</f>
        <v/>
      </c>
      <c r="AA2814" s="59">
        <f>IF($Y2814="","",IF(INDEX($D$6:$D$40000,$Y2814)="","",INDEX($D$6:$D$40000,$Y2814)))</f>
        <v/>
      </c>
      <c r="AB2814">
        <f>IF($Y2814="","",INDEX($L$6:$L$40000,$Y2814)&amp;"")</f>
        <v/>
      </c>
    </row>
    <row r="2815">
      <c r="Y2815" s="47">
        <f>IFERROR(MATCH(Library!M2815,$M$6:$M$40000,0),"")</f>
        <v/>
      </c>
      <c r="Z2815">
        <f>IF($Y2815="","",INDEX($C$6:$C$40000,$Y2815)&amp;"")</f>
        <v/>
      </c>
      <c r="AA2815" s="59">
        <f>IF($Y2815="","",IF(INDEX($D$6:$D$40000,$Y2815)="","",INDEX($D$6:$D$40000,$Y2815)))</f>
        <v/>
      </c>
      <c r="AB2815">
        <f>IF($Y2815="","",INDEX($L$6:$L$40000,$Y2815)&amp;"")</f>
        <v/>
      </c>
    </row>
    <row r="2816">
      <c r="Y2816" s="47">
        <f>IFERROR(MATCH(Library!M2816,$M$6:$M$40000,0),"")</f>
        <v/>
      </c>
      <c r="Z2816">
        <f>IF($Y2816="","",INDEX($C$6:$C$40000,$Y2816)&amp;"")</f>
        <v/>
      </c>
      <c r="AA2816" s="59">
        <f>IF($Y2816="","",IF(INDEX($D$6:$D$40000,$Y2816)="","",INDEX($D$6:$D$40000,$Y2816)))</f>
        <v/>
      </c>
      <c r="AB2816">
        <f>IF($Y2816="","",INDEX($L$6:$L$40000,$Y2816)&amp;"")</f>
        <v/>
      </c>
    </row>
    <row r="2817">
      <c r="Y2817" s="47">
        <f>IFERROR(MATCH(Library!M2817,$M$6:$M$40000,0),"")</f>
        <v/>
      </c>
      <c r="Z2817">
        <f>IF($Y2817="","",INDEX($C$6:$C$40000,$Y2817)&amp;"")</f>
        <v/>
      </c>
      <c r="AA2817" s="59">
        <f>IF($Y2817="","",IF(INDEX($D$6:$D$40000,$Y2817)="","",INDEX($D$6:$D$40000,$Y2817)))</f>
        <v/>
      </c>
      <c r="AB2817">
        <f>IF($Y2817="","",INDEX($L$6:$L$40000,$Y2817)&amp;"")</f>
        <v/>
      </c>
    </row>
    <row r="2818">
      <c r="Y2818" s="47">
        <f>IFERROR(MATCH(Library!M2818,$M$6:$M$40000,0),"")</f>
        <v/>
      </c>
      <c r="Z2818">
        <f>IF($Y2818="","",INDEX($C$6:$C$40000,$Y2818)&amp;"")</f>
        <v/>
      </c>
      <c r="AA2818" s="59">
        <f>IF($Y2818="","",IF(INDEX($D$6:$D$40000,$Y2818)="","",INDEX($D$6:$D$40000,$Y2818)))</f>
        <v/>
      </c>
      <c r="AB2818">
        <f>IF($Y2818="","",INDEX($L$6:$L$40000,$Y2818)&amp;"")</f>
        <v/>
      </c>
    </row>
    <row r="2819">
      <c r="Y2819" s="47">
        <f>IFERROR(MATCH(Library!M2819,$M$6:$M$40000,0),"")</f>
        <v/>
      </c>
      <c r="Z2819">
        <f>IF($Y2819="","",INDEX($C$6:$C$40000,$Y2819)&amp;"")</f>
        <v/>
      </c>
      <c r="AA2819" s="59">
        <f>IF($Y2819="","",IF(INDEX($D$6:$D$40000,$Y2819)="","",INDEX($D$6:$D$40000,$Y2819)))</f>
        <v/>
      </c>
      <c r="AB2819">
        <f>IF($Y2819="","",INDEX($L$6:$L$40000,$Y2819)&amp;"")</f>
        <v/>
      </c>
    </row>
    <row r="2820">
      <c r="Y2820" s="47">
        <f>IFERROR(MATCH(Library!M2820,$M$6:$M$40000,0),"")</f>
        <v/>
      </c>
      <c r="Z2820">
        <f>IF($Y2820="","",INDEX($C$6:$C$40000,$Y2820)&amp;"")</f>
        <v/>
      </c>
      <c r="AA2820" s="59">
        <f>IF($Y2820="","",IF(INDEX($D$6:$D$40000,$Y2820)="","",INDEX($D$6:$D$40000,$Y2820)))</f>
        <v/>
      </c>
      <c r="AB2820">
        <f>IF($Y2820="","",INDEX($L$6:$L$40000,$Y2820)&amp;"")</f>
        <v/>
      </c>
    </row>
    <row r="2821">
      <c r="Y2821" s="47">
        <f>IFERROR(MATCH(Library!M2821,$M$6:$M$40000,0),"")</f>
        <v/>
      </c>
      <c r="Z2821">
        <f>IF($Y2821="","",INDEX($C$6:$C$40000,$Y2821)&amp;"")</f>
        <v/>
      </c>
      <c r="AA2821" s="59">
        <f>IF($Y2821="","",IF(INDEX($D$6:$D$40000,$Y2821)="","",INDEX($D$6:$D$40000,$Y2821)))</f>
        <v/>
      </c>
      <c r="AB2821">
        <f>IF($Y2821="","",INDEX($L$6:$L$40000,$Y2821)&amp;"")</f>
        <v/>
      </c>
    </row>
    <row r="2822">
      <c r="Y2822" s="47">
        <f>IFERROR(MATCH(Library!M2822,$M$6:$M$40000,0),"")</f>
        <v/>
      </c>
      <c r="Z2822">
        <f>IF($Y2822="","",INDEX($C$6:$C$40000,$Y2822)&amp;"")</f>
        <v/>
      </c>
      <c r="AA2822" s="59">
        <f>IF($Y2822="","",IF(INDEX($D$6:$D$40000,$Y2822)="","",INDEX($D$6:$D$40000,$Y2822)))</f>
        <v/>
      </c>
      <c r="AB2822">
        <f>IF($Y2822="","",INDEX($L$6:$L$40000,$Y2822)&amp;"")</f>
        <v/>
      </c>
    </row>
    <row r="2823">
      <c r="Y2823" s="47">
        <f>IFERROR(MATCH(Library!M2823,$M$6:$M$40000,0),"")</f>
        <v/>
      </c>
      <c r="Z2823">
        <f>IF($Y2823="","",INDEX($C$6:$C$40000,$Y2823)&amp;"")</f>
        <v/>
      </c>
      <c r="AA2823" s="59">
        <f>IF($Y2823="","",IF(INDEX($D$6:$D$40000,$Y2823)="","",INDEX($D$6:$D$40000,$Y2823)))</f>
        <v/>
      </c>
      <c r="AB2823">
        <f>IF($Y2823="","",INDEX($L$6:$L$40000,$Y2823)&amp;"")</f>
        <v/>
      </c>
    </row>
    <row r="2824">
      <c r="Y2824" s="47">
        <f>IFERROR(MATCH(Library!M2824,$M$6:$M$40000,0),"")</f>
        <v/>
      </c>
      <c r="Z2824">
        <f>IF($Y2824="","",INDEX($C$6:$C$40000,$Y2824)&amp;"")</f>
        <v/>
      </c>
      <c r="AA2824" s="59">
        <f>IF($Y2824="","",IF(INDEX($D$6:$D$40000,$Y2824)="","",INDEX($D$6:$D$40000,$Y2824)))</f>
        <v/>
      </c>
      <c r="AB2824">
        <f>IF($Y2824="","",INDEX($L$6:$L$40000,$Y2824)&amp;"")</f>
        <v/>
      </c>
    </row>
    <row r="2825">
      <c r="Y2825" s="47">
        <f>IFERROR(MATCH(Library!M2825,$M$6:$M$40000,0),"")</f>
        <v/>
      </c>
      <c r="Z2825">
        <f>IF($Y2825="","",INDEX($C$6:$C$40000,$Y2825)&amp;"")</f>
        <v/>
      </c>
      <c r="AA2825" s="59">
        <f>IF($Y2825="","",IF(INDEX($D$6:$D$40000,$Y2825)="","",INDEX($D$6:$D$40000,$Y2825)))</f>
        <v/>
      </c>
      <c r="AB2825">
        <f>IF($Y2825="","",INDEX($L$6:$L$40000,$Y2825)&amp;"")</f>
        <v/>
      </c>
    </row>
    <row r="2826">
      <c r="Y2826" s="47">
        <f>IFERROR(MATCH(Library!M2826,$M$6:$M$40000,0),"")</f>
        <v/>
      </c>
      <c r="Z2826">
        <f>IF($Y2826="","",INDEX($C$6:$C$40000,$Y2826)&amp;"")</f>
        <v/>
      </c>
      <c r="AA2826" s="59">
        <f>IF($Y2826="","",IF(INDEX($D$6:$D$40000,$Y2826)="","",INDEX($D$6:$D$40000,$Y2826)))</f>
        <v/>
      </c>
      <c r="AB2826">
        <f>IF($Y2826="","",INDEX($L$6:$L$40000,$Y2826)&amp;"")</f>
        <v/>
      </c>
    </row>
    <row r="2827">
      <c r="Y2827" s="47">
        <f>IFERROR(MATCH(Library!M2827,$M$6:$M$40000,0),"")</f>
        <v/>
      </c>
      <c r="Z2827">
        <f>IF($Y2827="","",INDEX($C$6:$C$40000,$Y2827)&amp;"")</f>
        <v/>
      </c>
      <c r="AA2827" s="59">
        <f>IF($Y2827="","",IF(INDEX($D$6:$D$40000,$Y2827)="","",INDEX($D$6:$D$40000,$Y2827)))</f>
        <v/>
      </c>
      <c r="AB2827">
        <f>IF($Y2827="","",INDEX($L$6:$L$40000,$Y2827)&amp;"")</f>
        <v/>
      </c>
    </row>
    <row r="2828">
      <c r="Y2828" s="47">
        <f>IFERROR(MATCH(Library!M2828,$M$6:$M$40000,0),"")</f>
        <v/>
      </c>
      <c r="Z2828">
        <f>IF($Y2828="","",INDEX($C$6:$C$40000,$Y2828)&amp;"")</f>
        <v/>
      </c>
      <c r="AA2828" s="59">
        <f>IF($Y2828="","",IF(INDEX($D$6:$D$40000,$Y2828)="","",INDEX($D$6:$D$40000,$Y2828)))</f>
        <v/>
      </c>
      <c r="AB2828">
        <f>IF($Y2828="","",INDEX($L$6:$L$40000,$Y2828)&amp;"")</f>
        <v/>
      </c>
    </row>
    <row r="2829">
      <c r="Y2829" s="47">
        <f>IFERROR(MATCH(Library!M2829,$M$6:$M$40000,0),"")</f>
        <v/>
      </c>
      <c r="Z2829">
        <f>IF($Y2829="","",INDEX($C$6:$C$40000,$Y2829)&amp;"")</f>
        <v/>
      </c>
      <c r="AA2829" s="59">
        <f>IF($Y2829="","",IF(INDEX($D$6:$D$40000,$Y2829)="","",INDEX($D$6:$D$40000,$Y2829)))</f>
        <v/>
      </c>
      <c r="AB2829">
        <f>IF($Y2829="","",INDEX($L$6:$L$40000,$Y2829)&amp;"")</f>
        <v/>
      </c>
    </row>
    <row r="2830">
      <c r="Y2830" s="47">
        <f>IFERROR(MATCH(Library!M2830,$M$6:$M$40000,0),"")</f>
        <v/>
      </c>
      <c r="Z2830">
        <f>IF($Y2830="","",INDEX($C$6:$C$40000,$Y2830)&amp;"")</f>
        <v/>
      </c>
      <c r="AA2830" s="59">
        <f>IF($Y2830="","",IF(INDEX($D$6:$D$40000,$Y2830)="","",INDEX($D$6:$D$40000,$Y2830)))</f>
        <v/>
      </c>
      <c r="AB2830">
        <f>IF($Y2830="","",INDEX($L$6:$L$40000,$Y2830)&amp;"")</f>
        <v/>
      </c>
    </row>
    <row r="2831">
      <c r="Y2831" s="47">
        <f>IFERROR(MATCH(Library!M2831,$M$6:$M$40000,0),"")</f>
        <v/>
      </c>
      <c r="Z2831">
        <f>IF($Y2831="","",INDEX($C$6:$C$40000,$Y2831)&amp;"")</f>
        <v/>
      </c>
      <c r="AA2831" s="59">
        <f>IF($Y2831="","",IF(INDEX($D$6:$D$40000,$Y2831)="","",INDEX($D$6:$D$40000,$Y2831)))</f>
        <v/>
      </c>
      <c r="AB2831">
        <f>IF($Y2831="","",INDEX($L$6:$L$40000,$Y2831)&amp;"")</f>
        <v/>
      </c>
    </row>
    <row r="2832">
      <c r="Y2832" s="47">
        <f>IFERROR(MATCH(Library!M2832,$M$6:$M$40000,0),"")</f>
        <v/>
      </c>
      <c r="Z2832">
        <f>IF($Y2832="","",INDEX($C$6:$C$40000,$Y2832)&amp;"")</f>
        <v/>
      </c>
      <c r="AA2832" s="59">
        <f>IF($Y2832="","",IF(INDEX($D$6:$D$40000,$Y2832)="","",INDEX($D$6:$D$40000,$Y2832)))</f>
        <v/>
      </c>
      <c r="AB2832">
        <f>IF($Y2832="","",INDEX($L$6:$L$40000,$Y2832)&amp;"")</f>
        <v/>
      </c>
    </row>
    <row r="2833">
      <c r="Y2833" s="47">
        <f>IFERROR(MATCH(Library!M2833,$M$6:$M$40000,0),"")</f>
        <v/>
      </c>
      <c r="Z2833">
        <f>IF($Y2833="","",INDEX($C$6:$C$40000,$Y2833)&amp;"")</f>
        <v/>
      </c>
      <c r="AA2833" s="59">
        <f>IF($Y2833="","",IF(INDEX($D$6:$D$40000,$Y2833)="","",INDEX($D$6:$D$40000,$Y2833)))</f>
        <v/>
      </c>
      <c r="AB2833">
        <f>IF($Y2833="","",INDEX($L$6:$L$40000,$Y2833)&amp;"")</f>
        <v/>
      </c>
    </row>
    <row r="2834">
      <c r="Y2834" s="47">
        <f>IFERROR(MATCH(Library!M2834,$M$6:$M$40000,0),"")</f>
        <v/>
      </c>
      <c r="Z2834">
        <f>IF($Y2834="","",INDEX($C$6:$C$40000,$Y2834)&amp;"")</f>
        <v/>
      </c>
      <c r="AA2834" s="59">
        <f>IF($Y2834="","",IF(INDEX($D$6:$D$40000,$Y2834)="","",INDEX($D$6:$D$40000,$Y2834)))</f>
        <v/>
      </c>
      <c r="AB2834">
        <f>IF($Y2834="","",INDEX($L$6:$L$40000,$Y2834)&amp;"")</f>
        <v/>
      </c>
    </row>
    <row r="2835">
      <c r="Y2835" s="47">
        <f>IFERROR(MATCH(Library!M2835,$M$6:$M$40000,0),"")</f>
        <v/>
      </c>
      <c r="Z2835">
        <f>IF($Y2835="","",INDEX($C$6:$C$40000,$Y2835)&amp;"")</f>
        <v/>
      </c>
      <c r="AA2835" s="59">
        <f>IF($Y2835="","",IF(INDEX($D$6:$D$40000,$Y2835)="","",INDEX($D$6:$D$40000,$Y2835)))</f>
        <v/>
      </c>
      <c r="AB2835">
        <f>IF($Y2835="","",INDEX($L$6:$L$40000,$Y2835)&amp;"")</f>
        <v/>
      </c>
    </row>
    <row r="2836">
      <c r="Y2836" s="47">
        <f>IFERROR(MATCH(Library!M2836,$M$6:$M$40000,0),"")</f>
        <v/>
      </c>
      <c r="Z2836">
        <f>IF($Y2836="","",INDEX($C$6:$C$40000,$Y2836)&amp;"")</f>
        <v/>
      </c>
      <c r="AA2836" s="59">
        <f>IF($Y2836="","",IF(INDEX($D$6:$D$40000,$Y2836)="","",INDEX($D$6:$D$40000,$Y2836)))</f>
        <v/>
      </c>
      <c r="AB2836">
        <f>IF($Y2836="","",INDEX($L$6:$L$40000,$Y2836)&amp;"")</f>
        <v/>
      </c>
    </row>
    <row r="2837">
      <c r="Y2837" s="47">
        <f>IFERROR(MATCH(Library!M2837,$M$6:$M$40000,0),"")</f>
        <v/>
      </c>
      <c r="Z2837">
        <f>IF($Y2837="","",INDEX($C$6:$C$40000,$Y2837)&amp;"")</f>
        <v/>
      </c>
      <c r="AA2837" s="59">
        <f>IF($Y2837="","",IF(INDEX($D$6:$D$40000,$Y2837)="","",INDEX($D$6:$D$40000,$Y2837)))</f>
        <v/>
      </c>
      <c r="AB2837">
        <f>IF($Y2837="","",INDEX($L$6:$L$40000,$Y2837)&amp;"")</f>
        <v/>
      </c>
    </row>
    <row r="2838">
      <c r="Y2838" s="47">
        <f>IFERROR(MATCH(Library!M2838,$M$6:$M$40000,0),"")</f>
        <v/>
      </c>
      <c r="Z2838">
        <f>IF($Y2838="","",INDEX($C$6:$C$40000,$Y2838)&amp;"")</f>
        <v/>
      </c>
      <c r="AA2838" s="59">
        <f>IF($Y2838="","",IF(INDEX($D$6:$D$40000,$Y2838)="","",INDEX($D$6:$D$40000,$Y2838)))</f>
        <v/>
      </c>
      <c r="AB2838">
        <f>IF($Y2838="","",INDEX($L$6:$L$40000,$Y2838)&amp;"")</f>
        <v/>
      </c>
    </row>
    <row r="2839">
      <c r="Y2839" s="47">
        <f>IFERROR(MATCH(Library!M2839,$M$6:$M$40000,0),"")</f>
        <v/>
      </c>
      <c r="Z2839">
        <f>IF($Y2839="","",INDEX($C$6:$C$40000,$Y2839)&amp;"")</f>
        <v/>
      </c>
      <c r="AA2839" s="59">
        <f>IF($Y2839="","",IF(INDEX($D$6:$D$40000,$Y2839)="","",INDEX($D$6:$D$40000,$Y2839)))</f>
        <v/>
      </c>
      <c r="AB2839">
        <f>IF($Y2839="","",INDEX($L$6:$L$40000,$Y2839)&amp;"")</f>
        <v/>
      </c>
    </row>
    <row r="2840">
      <c r="Y2840" s="47">
        <f>IFERROR(MATCH(Library!M2840,$M$6:$M$40000,0),"")</f>
        <v/>
      </c>
      <c r="Z2840">
        <f>IF($Y2840="","",INDEX($C$6:$C$40000,$Y2840)&amp;"")</f>
        <v/>
      </c>
      <c r="AA2840" s="59">
        <f>IF($Y2840="","",IF(INDEX($D$6:$D$40000,$Y2840)="","",INDEX($D$6:$D$40000,$Y2840)))</f>
        <v/>
      </c>
      <c r="AB2840">
        <f>IF($Y2840="","",INDEX($L$6:$L$40000,$Y2840)&amp;"")</f>
        <v/>
      </c>
    </row>
    <row r="2841">
      <c r="Y2841" s="47">
        <f>IFERROR(MATCH(Library!M2841,$M$6:$M$40000,0),"")</f>
        <v/>
      </c>
      <c r="Z2841">
        <f>IF($Y2841="","",INDEX($C$6:$C$40000,$Y2841)&amp;"")</f>
        <v/>
      </c>
      <c r="AA2841" s="59">
        <f>IF($Y2841="","",IF(INDEX($D$6:$D$40000,$Y2841)="","",INDEX($D$6:$D$40000,$Y2841)))</f>
        <v/>
      </c>
      <c r="AB2841">
        <f>IF($Y2841="","",INDEX($L$6:$L$40000,$Y2841)&amp;"")</f>
        <v/>
      </c>
    </row>
    <row r="2842">
      <c r="Y2842" s="47">
        <f>IFERROR(MATCH(Library!M2842,$M$6:$M$40000,0),"")</f>
        <v/>
      </c>
      <c r="Z2842">
        <f>IF($Y2842="","",INDEX($C$6:$C$40000,$Y2842)&amp;"")</f>
        <v/>
      </c>
      <c r="AA2842" s="59">
        <f>IF($Y2842="","",IF(INDEX($D$6:$D$40000,$Y2842)="","",INDEX($D$6:$D$40000,$Y2842)))</f>
        <v/>
      </c>
      <c r="AB2842">
        <f>IF($Y2842="","",INDEX($L$6:$L$40000,$Y2842)&amp;"")</f>
        <v/>
      </c>
    </row>
    <row r="2843">
      <c r="Y2843" s="47">
        <f>IFERROR(MATCH(Library!M2843,$M$6:$M$40000,0),"")</f>
        <v/>
      </c>
      <c r="Z2843">
        <f>IF($Y2843="","",INDEX($C$6:$C$40000,$Y2843)&amp;"")</f>
        <v/>
      </c>
      <c r="AA2843" s="59">
        <f>IF($Y2843="","",IF(INDEX($D$6:$D$40000,$Y2843)="","",INDEX($D$6:$D$40000,$Y2843)))</f>
        <v/>
      </c>
      <c r="AB2843">
        <f>IF($Y2843="","",INDEX($L$6:$L$40000,$Y2843)&amp;"")</f>
        <v/>
      </c>
    </row>
    <row r="2844">
      <c r="Y2844" s="47">
        <f>IFERROR(MATCH(Library!M2844,$M$6:$M$40000,0),"")</f>
        <v/>
      </c>
      <c r="Z2844">
        <f>IF($Y2844="","",INDEX($C$6:$C$40000,$Y2844)&amp;"")</f>
        <v/>
      </c>
      <c r="AA2844" s="59">
        <f>IF($Y2844="","",IF(INDEX($D$6:$D$40000,$Y2844)="","",INDEX($D$6:$D$40000,$Y2844)))</f>
        <v/>
      </c>
      <c r="AB2844">
        <f>IF($Y2844="","",INDEX($L$6:$L$40000,$Y2844)&amp;"")</f>
        <v/>
      </c>
    </row>
    <row r="2845">
      <c r="Y2845" s="47">
        <f>IFERROR(MATCH(Library!M2845,$M$6:$M$40000,0),"")</f>
        <v/>
      </c>
      <c r="Z2845">
        <f>IF($Y2845="","",INDEX($C$6:$C$40000,$Y2845)&amp;"")</f>
        <v/>
      </c>
      <c r="AA2845" s="59">
        <f>IF($Y2845="","",IF(INDEX($D$6:$D$40000,$Y2845)="","",INDEX($D$6:$D$40000,$Y2845)))</f>
        <v/>
      </c>
      <c r="AB2845">
        <f>IF($Y2845="","",INDEX($L$6:$L$40000,$Y2845)&amp;"")</f>
        <v/>
      </c>
    </row>
    <row r="2846">
      <c r="Y2846" s="47">
        <f>IFERROR(MATCH(Library!M2846,$M$6:$M$40000,0),"")</f>
        <v/>
      </c>
      <c r="Z2846">
        <f>IF($Y2846="","",INDEX($C$6:$C$40000,$Y2846)&amp;"")</f>
        <v/>
      </c>
      <c r="AA2846" s="59">
        <f>IF($Y2846="","",IF(INDEX($D$6:$D$40000,$Y2846)="","",INDEX($D$6:$D$40000,$Y2846)))</f>
        <v/>
      </c>
      <c r="AB2846">
        <f>IF($Y2846="","",INDEX($L$6:$L$40000,$Y2846)&amp;"")</f>
        <v/>
      </c>
    </row>
    <row r="2847">
      <c r="Y2847" s="47">
        <f>IFERROR(MATCH(Library!M2847,$M$6:$M$40000,0),"")</f>
        <v/>
      </c>
      <c r="Z2847">
        <f>IF($Y2847="","",INDEX($C$6:$C$40000,$Y2847)&amp;"")</f>
        <v/>
      </c>
      <c r="AA2847" s="59">
        <f>IF($Y2847="","",IF(INDEX($D$6:$D$40000,$Y2847)="","",INDEX($D$6:$D$40000,$Y2847)))</f>
        <v/>
      </c>
      <c r="AB2847">
        <f>IF($Y2847="","",INDEX($L$6:$L$40000,$Y2847)&amp;"")</f>
        <v/>
      </c>
    </row>
    <row r="2848">
      <c r="Y2848" s="47">
        <f>IFERROR(MATCH(Library!M2848,$M$6:$M$40000,0),"")</f>
        <v/>
      </c>
      <c r="Z2848">
        <f>IF($Y2848="","",INDEX($C$6:$C$40000,$Y2848)&amp;"")</f>
        <v/>
      </c>
      <c r="AA2848" s="59">
        <f>IF($Y2848="","",IF(INDEX($D$6:$D$40000,$Y2848)="","",INDEX($D$6:$D$40000,$Y2848)))</f>
        <v/>
      </c>
      <c r="AB2848">
        <f>IF($Y2848="","",INDEX($L$6:$L$40000,$Y2848)&amp;"")</f>
        <v/>
      </c>
    </row>
    <row r="2849">
      <c r="Y2849" s="47">
        <f>IFERROR(MATCH(Library!M2849,$M$6:$M$40000,0),"")</f>
        <v/>
      </c>
      <c r="Z2849">
        <f>IF($Y2849="","",INDEX($C$6:$C$40000,$Y2849)&amp;"")</f>
        <v/>
      </c>
      <c r="AA2849" s="59">
        <f>IF($Y2849="","",IF(INDEX($D$6:$D$40000,$Y2849)="","",INDEX($D$6:$D$40000,$Y2849)))</f>
        <v/>
      </c>
      <c r="AB2849">
        <f>IF($Y2849="","",INDEX($L$6:$L$40000,$Y2849)&amp;"")</f>
        <v/>
      </c>
    </row>
    <row r="2850">
      <c r="Y2850" s="47">
        <f>IFERROR(MATCH(Library!M2850,$M$6:$M$40000,0),"")</f>
        <v/>
      </c>
      <c r="Z2850">
        <f>IF($Y2850="","",INDEX($C$6:$C$40000,$Y2850)&amp;"")</f>
        <v/>
      </c>
      <c r="AA2850" s="59">
        <f>IF($Y2850="","",IF(INDEX($D$6:$D$40000,$Y2850)="","",INDEX($D$6:$D$40000,$Y2850)))</f>
        <v/>
      </c>
      <c r="AB2850">
        <f>IF($Y2850="","",INDEX($L$6:$L$40000,$Y2850)&amp;"")</f>
        <v/>
      </c>
    </row>
    <row r="2851">
      <c r="Y2851" s="47">
        <f>IFERROR(MATCH(Library!M2851,$M$6:$M$40000,0),"")</f>
        <v/>
      </c>
      <c r="Z2851">
        <f>IF($Y2851="","",INDEX($C$6:$C$40000,$Y2851)&amp;"")</f>
        <v/>
      </c>
      <c r="AA2851" s="59">
        <f>IF($Y2851="","",IF(INDEX($D$6:$D$40000,$Y2851)="","",INDEX($D$6:$D$40000,$Y2851)))</f>
        <v/>
      </c>
      <c r="AB2851">
        <f>IF($Y2851="","",INDEX($L$6:$L$40000,$Y2851)&amp;"")</f>
        <v/>
      </c>
    </row>
    <row r="2852">
      <c r="Y2852" s="47">
        <f>IFERROR(MATCH(Library!M2852,$M$6:$M$40000,0),"")</f>
        <v/>
      </c>
      <c r="Z2852">
        <f>IF($Y2852="","",INDEX($C$6:$C$40000,$Y2852)&amp;"")</f>
        <v/>
      </c>
      <c r="AA2852" s="59">
        <f>IF($Y2852="","",IF(INDEX($D$6:$D$40000,$Y2852)="","",INDEX($D$6:$D$40000,$Y2852)))</f>
        <v/>
      </c>
      <c r="AB2852">
        <f>IF($Y2852="","",INDEX($L$6:$L$40000,$Y2852)&amp;"")</f>
        <v/>
      </c>
    </row>
    <row r="2853">
      <c r="Y2853" s="47">
        <f>IFERROR(MATCH(Library!M2853,$M$6:$M$40000,0),"")</f>
        <v/>
      </c>
      <c r="Z2853">
        <f>IF($Y2853="","",INDEX($C$6:$C$40000,$Y2853)&amp;"")</f>
        <v/>
      </c>
      <c r="AA2853" s="59">
        <f>IF($Y2853="","",IF(INDEX($D$6:$D$40000,$Y2853)="","",INDEX($D$6:$D$40000,$Y2853)))</f>
        <v/>
      </c>
      <c r="AB2853">
        <f>IF($Y2853="","",INDEX($L$6:$L$40000,$Y2853)&amp;"")</f>
        <v/>
      </c>
    </row>
    <row r="2854">
      <c r="Y2854" s="47">
        <f>IFERROR(MATCH(Library!M2854,$M$6:$M$40000,0),"")</f>
        <v/>
      </c>
      <c r="Z2854">
        <f>IF($Y2854="","",INDEX($C$6:$C$40000,$Y2854)&amp;"")</f>
        <v/>
      </c>
      <c r="AA2854" s="59">
        <f>IF($Y2854="","",IF(INDEX($D$6:$D$40000,$Y2854)="","",INDEX($D$6:$D$40000,$Y2854)))</f>
        <v/>
      </c>
      <c r="AB2854">
        <f>IF($Y2854="","",INDEX($L$6:$L$40000,$Y2854)&amp;"")</f>
        <v/>
      </c>
    </row>
    <row r="2855">
      <c r="Y2855" s="47">
        <f>IFERROR(MATCH(Library!M2855,$M$6:$M$40000,0),"")</f>
        <v/>
      </c>
      <c r="Z2855">
        <f>IF($Y2855="","",INDEX($C$6:$C$40000,$Y2855)&amp;"")</f>
        <v/>
      </c>
      <c r="AA2855" s="59">
        <f>IF($Y2855="","",IF(INDEX($D$6:$D$40000,$Y2855)="","",INDEX($D$6:$D$40000,$Y2855)))</f>
        <v/>
      </c>
      <c r="AB2855">
        <f>IF($Y2855="","",INDEX($L$6:$L$40000,$Y2855)&amp;"")</f>
        <v/>
      </c>
    </row>
    <row r="2856">
      <c r="Y2856" s="47">
        <f>IFERROR(MATCH(Library!M2856,$M$6:$M$40000,0),"")</f>
        <v/>
      </c>
      <c r="Z2856">
        <f>IF($Y2856="","",INDEX($C$6:$C$40000,$Y2856)&amp;"")</f>
        <v/>
      </c>
      <c r="AA2856" s="59">
        <f>IF($Y2856="","",IF(INDEX($D$6:$D$40000,$Y2856)="","",INDEX($D$6:$D$40000,$Y2856)))</f>
        <v/>
      </c>
      <c r="AB2856">
        <f>IF($Y2856="","",INDEX($L$6:$L$40000,$Y2856)&amp;"")</f>
        <v/>
      </c>
    </row>
    <row r="2857">
      <c r="Y2857" s="47">
        <f>IFERROR(MATCH(Library!M2857,$M$6:$M$40000,0),"")</f>
        <v/>
      </c>
      <c r="Z2857">
        <f>IF($Y2857="","",INDEX($C$6:$C$40000,$Y2857)&amp;"")</f>
        <v/>
      </c>
      <c r="AA2857" s="59">
        <f>IF($Y2857="","",IF(INDEX($D$6:$D$40000,$Y2857)="","",INDEX($D$6:$D$40000,$Y2857)))</f>
        <v/>
      </c>
      <c r="AB2857">
        <f>IF($Y2857="","",INDEX($L$6:$L$40000,$Y2857)&amp;"")</f>
        <v/>
      </c>
    </row>
    <row r="2858">
      <c r="Y2858" s="47">
        <f>IFERROR(MATCH(Library!M2858,$M$6:$M$40000,0),"")</f>
        <v/>
      </c>
      <c r="Z2858">
        <f>IF($Y2858="","",INDEX($C$6:$C$40000,$Y2858)&amp;"")</f>
        <v/>
      </c>
      <c r="AA2858" s="59">
        <f>IF($Y2858="","",IF(INDEX($D$6:$D$40000,$Y2858)="","",INDEX($D$6:$D$40000,$Y2858)))</f>
        <v/>
      </c>
      <c r="AB2858">
        <f>IF($Y2858="","",INDEX($L$6:$L$40000,$Y2858)&amp;"")</f>
        <v/>
      </c>
    </row>
    <row r="2859">
      <c r="Y2859" s="47">
        <f>IFERROR(MATCH(Library!M2859,$M$6:$M$40000,0),"")</f>
        <v/>
      </c>
      <c r="Z2859">
        <f>IF($Y2859="","",INDEX($C$6:$C$40000,$Y2859)&amp;"")</f>
        <v/>
      </c>
      <c r="AA2859" s="59">
        <f>IF($Y2859="","",IF(INDEX($D$6:$D$40000,$Y2859)="","",INDEX($D$6:$D$40000,$Y2859)))</f>
        <v/>
      </c>
      <c r="AB2859">
        <f>IF($Y2859="","",INDEX($L$6:$L$40000,$Y2859)&amp;"")</f>
        <v/>
      </c>
    </row>
    <row r="2860">
      <c r="Y2860" s="47">
        <f>IFERROR(MATCH(Library!M2860,$M$6:$M$40000,0),"")</f>
        <v/>
      </c>
      <c r="Z2860">
        <f>IF($Y2860="","",INDEX($C$6:$C$40000,$Y2860)&amp;"")</f>
        <v/>
      </c>
      <c r="AA2860" s="59">
        <f>IF($Y2860="","",IF(INDEX($D$6:$D$40000,$Y2860)="","",INDEX($D$6:$D$40000,$Y2860)))</f>
        <v/>
      </c>
      <c r="AB2860">
        <f>IF($Y2860="","",INDEX($L$6:$L$40000,$Y2860)&amp;"")</f>
        <v/>
      </c>
    </row>
    <row r="2861">
      <c r="Y2861" s="47">
        <f>IFERROR(MATCH(Library!M2861,$M$6:$M$40000,0),"")</f>
        <v/>
      </c>
      <c r="Z2861">
        <f>IF($Y2861="","",INDEX($C$6:$C$40000,$Y2861)&amp;"")</f>
        <v/>
      </c>
      <c r="AA2861" s="59">
        <f>IF($Y2861="","",IF(INDEX($D$6:$D$40000,$Y2861)="","",INDEX($D$6:$D$40000,$Y2861)))</f>
        <v/>
      </c>
      <c r="AB2861">
        <f>IF($Y2861="","",INDEX($L$6:$L$40000,$Y2861)&amp;"")</f>
        <v/>
      </c>
    </row>
    <row r="2862">
      <c r="Y2862" s="47">
        <f>IFERROR(MATCH(Library!M2862,$M$6:$M$40000,0),"")</f>
        <v/>
      </c>
      <c r="Z2862">
        <f>IF($Y2862="","",INDEX($C$6:$C$40000,$Y2862)&amp;"")</f>
        <v/>
      </c>
      <c r="AA2862" s="59">
        <f>IF($Y2862="","",IF(INDEX($D$6:$D$40000,$Y2862)="","",INDEX($D$6:$D$40000,$Y2862)))</f>
        <v/>
      </c>
      <c r="AB2862">
        <f>IF($Y2862="","",INDEX($L$6:$L$40000,$Y2862)&amp;"")</f>
        <v/>
      </c>
    </row>
    <row r="2863">
      <c r="Y2863" s="47">
        <f>IFERROR(MATCH(Library!M2863,$M$6:$M$40000,0),"")</f>
        <v/>
      </c>
      <c r="Z2863">
        <f>IF($Y2863="","",INDEX($C$6:$C$40000,$Y2863)&amp;"")</f>
        <v/>
      </c>
      <c r="AA2863" s="59">
        <f>IF($Y2863="","",IF(INDEX($D$6:$D$40000,$Y2863)="","",INDEX($D$6:$D$40000,$Y2863)))</f>
        <v/>
      </c>
      <c r="AB2863">
        <f>IF($Y2863="","",INDEX($L$6:$L$40000,$Y2863)&amp;"")</f>
        <v/>
      </c>
    </row>
    <row r="2864">
      <c r="Y2864" s="47">
        <f>IFERROR(MATCH(Library!M2864,$M$6:$M$40000,0),"")</f>
        <v/>
      </c>
      <c r="Z2864">
        <f>IF($Y2864="","",INDEX($C$6:$C$40000,$Y2864)&amp;"")</f>
        <v/>
      </c>
      <c r="AA2864" s="59">
        <f>IF($Y2864="","",IF(INDEX($D$6:$D$40000,$Y2864)="","",INDEX($D$6:$D$40000,$Y2864)))</f>
        <v/>
      </c>
      <c r="AB2864">
        <f>IF($Y2864="","",INDEX($L$6:$L$40000,$Y2864)&amp;"")</f>
        <v/>
      </c>
    </row>
    <row r="2865">
      <c r="Y2865" s="47">
        <f>IFERROR(MATCH(Library!M2865,$M$6:$M$40000,0),"")</f>
        <v/>
      </c>
      <c r="Z2865">
        <f>IF($Y2865="","",INDEX($C$6:$C$40000,$Y2865)&amp;"")</f>
        <v/>
      </c>
      <c r="AA2865" s="59">
        <f>IF($Y2865="","",IF(INDEX($D$6:$D$40000,$Y2865)="","",INDEX($D$6:$D$40000,$Y2865)))</f>
        <v/>
      </c>
      <c r="AB2865">
        <f>IF($Y2865="","",INDEX($L$6:$L$40000,$Y2865)&amp;"")</f>
        <v/>
      </c>
    </row>
    <row r="2866">
      <c r="Y2866" s="47">
        <f>IFERROR(MATCH(Library!M2866,$M$6:$M$40000,0),"")</f>
        <v/>
      </c>
      <c r="Z2866">
        <f>IF($Y2866="","",INDEX($C$6:$C$40000,$Y2866)&amp;"")</f>
        <v/>
      </c>
      <c r="AA2866" s="59">
        <f>IF($Y2866="","",IF(INDEX($D$6:$D$40000,$Y2866)="","",INDEX($D$6:$D$40000,$Y2866)))</f>
        <v/>
      </c>
      <c r="AB2866">
        <f>IF($Y2866="","",INDEX($L$6:$L$40000,$Y2866)&amp;"")</f>
        <v/>
      </c>
    </row>
    <row r="2867">
      <c r="Y2867" s="47">
        <f>IFERROR(MATCH(Library!M2867,$M$6:$M$40000,0),"")</f>
        <v/>
      </c>
      <c r="Z2867">
        <f>IF($Y2867="","",INDEX($C$6:$C$40000,$Y2867)&amp;"")</f>
        <v/>
      </c>
      <c r="AA2867" s="59">
        <f>IF($Y2867="","",IF(INDEX($D$6:$D$40000,$Y2867)="","",INDEX($D$6:$D$40000,$Y2867)))</f>
        <v/>
      </c>
      <c r="AB2867">
        <f>IF($Y2867="","",INDEX($L$6:$L$40000,$Y2867)&amp;"")</f>
        <v/>
      </c>
    </row>
    <row r="2868">
      <c r="Y2868" s="47">
        <f>IFERROR(MATCH(Library!M2868,$M$6:$M$40000,0),"")</f>
        <v/>
      </c>
      <c r="Z2868">
        <f>IF($Y2868="","",INDEX($C$6:$C$40000,$Y2868)&amp;"")</f>
        <v/>
      </c>
      <c r="AA2868" s="59">
        <f>IF($Y2868="","",IF(INDEX($D$6:$D$40000,$Y2868)="","",INDEX($D$6:$D$40000,$Y2868)))</f>
        <v/>
      </c>
      <c r="AB2868">
        <f>IF($Y2868="","",INDEX($L$6:$L$40000,$Y2868)&amp;"")</f>
        <v/>
      </c>
    </row>
    <row r="2869">
      <c r="Y2869" s="47">
        <f>IFERROR(MATCH(Library!M2869,$M$6:$M$40000,0),"")</f>
        <v/>
      </c>
      <c r="Z2869">
        <f>IF($Y2869="","",INDEX($C$6:$C$40000,$Y2869)&amp;"")</f>
        <v/>
      </c>
      <c r="AA2869" s="59">
        <f>IF($Y2869="","",IF(INDEX($D$6:$D$40000,$Y2869)="","",INDEX($D$6:$D$40000,$Y2869)))</f>
        <v/>
      </c>
      <c r="AB2869">
        <f>IF($Y2869="","",INDEX($L$6:$L$40000,$Y2869)&amp;"")</f>
        <v/>
      </c>
    </row>
    <row r="2870">
      <c r="Y2870" s="47">
        <f>IFERROR(MATCH(Library!M2870,$M$6:$M$40000,0),"")</f>
        <v/>
      </c>
      <c r="Z2870">
        <f>IF($Y2870="","",INDEX($C$6:$C$40000,$Y2870)&amp;"")</f>
        <v/>
      </c>
      <c r="AA2870" s="59">
        <f>IF($Y2870="","",IF(INDEX($D$6:$D$40000,$Y2870)="","",INDEX($D$6:$D$40000,$Y2870)))</f>
        <v/>
      </c>
      <c r="AB2870">
        <f>IF($Y2870="","",INDEX($L$6:$L$40000,$Y2870)&amp;"")</f>
        <v/>
      </c>
    </row>
    <row r="2871">
      <c r="Y2871" s="47">
        <f>IFERROR(MATCH(Library!M2871,$M$6:$M$40000,0),"")</f>
        <v/>
      </c>
      <c r="Z2871">
        <f>IF($Y2871="","",INDEX($C$6:$C$40000,$Y2871)&amp;"")</f>
        <v/>
      </c>
      <c r="AA2871" s="59">
        <f>IF($Y2871="","",IF(INDEX($D$6:$D$40000,$Y2871)="","",INDEX($D$6:$D$40000,$Y2871)))</f>
        <v/>
      </c>
      <c r="AB2871">
        <f>IF($Y2871="","",INDEX($L$6:$L$40000,$Y2871)&amp;"")</f>
        <v/>
      </c>
    </row>
    <row r="2872">
      <c r="Y2872" s="47">
        <f>IFERROR(MATCH(Library!M2872,$M$6:$M$40000,0),"")</f>
        <v/>
      </c>
      <c r="Z2872">
        <f>IF($Y2872="","",INDEX($C$6:$C$40000,$Y2872)&amp;"")</f>
        <v/>
      </c>
      <c r="AA2872" s="59">
        <f>IF($Y2872="","",IF(INDEX($D$6:$D$40000,$Y2872)="","",INDEX($D$6:$D$40000,$Y2872)))</f>
        <v/>
      </c>
      <c r="AB2872">
        <f>IF($Y2872="","",INDEX($L$6:$L$40000,$Y2872)&amp;"")</f>
        <v/>
      </c>
    </row>
    <row r="2873">
      <c r="Y2873" s="47">
        <f>IFERROR(MATCH(Library!M2873,$M$6:$M$40000,0),"")</f>
        <v/>
      </c>
      <c r="Z2873">
        <f>IF($Y2873="","",INDEX($C$6:$C$40000,$Y2873)&amp;"")</f>
        <v/>
      </c>
      <c r="AA2873" s="59">
        <f>IF($Y2873="","",IF(INDEX($D$6:$D$40000,$Y2873)="","",INDEX($D$6:$D$40000,$Y2873)))</f>
        <v/>
      </c>
      <c r="AB2873">
        <f>IF($Y2873="","",INDEX($L$6:$L$40000,$Y2873)&amp;"")</f>
        <v/>
      </c>
    </row>
    <row r="2874">
      <c r="Y2874" s="47">
        <f>IFERROR(MATCH(Library!M2874,$M$6:$M$40000,0),"")</f>
        <v/>
      </c>
      <c r="Z2874">
        <f>IF($Y2874="","",INDEX($C$6:$C$40000,$Y2874)&amp;"")</f>
        <v/>
      </c>
      <c r="AA2874" s="59">
        <f>IF($Y2874="","",IF(INDEX($D$6:$D$40000,$Y2874)="","",INDEX($D$6:$D$40000,$Y2874)))</f>
        <v/>
      </c>
      <c r="AB2874">
        <f>IF($Y2874="","",INDEX($L$6:$L$40000,$Y2874)&amp;"")</f>
        <v/>
      </c>
    </row>
    <row r="2875">
      <c r="Y2875" s="47">
        <f>IFERROR(MATCH(Library!M2875,$M$6:$M$40000,0),"")</f>
        <v/>
      </c>
      <c r="Z2875">
        <f>IF($Y2875="","",INDEX($C$6:$C$40000,$Y2875)&amp;"")</f>
        <v/>
      </c>
      <c r="AA2875" s="59">
        <f>IF($Y2875="","",IF(INDEX($D$6:$D$40000,$Y2875)="","",INDEX($D$6:$D$40000,$Y2875)))</f>
        <v/>
      </c>
      <c r="AB2875">
        <f>IF($Y2875="","",INDEX($L$6:$L$40000,$Y2875)&amp;"")</f>
        <v/>
      </c>
    </row>
    <row r="2876">
      <c r="Y2876" s="47">
        <f>IFERROR(MATCH(Library!M2876,$M$6:$M$40000,0),"")</f>
        <v/>
      </c>
      <c r="Z2876">
        <f>IF($Y2876="","",INDEX($C$6:$C$40000,$Y2876)&amp;"")</f>
        <v/>
      </c>
      <c r="AA2876" s="59">
        <f>IF($Y2876="","",IF(INDEX($D$6:$D$40000,$Y2876)="","",INDEX($D$6:$D$40000,$Y2876)))</f>
        <v/>
      </c>
      <c r="AB2876">
        <f>IF($Y2876="","",INDEX($L$6:$L$40000,$Y2876)&amp;"")</f>
        <v/>
      </c>
    </row>
    <row r="2877">
      <c r="Y2877" s="47">
        <f>IFERROR(MATCH(Library!M2877,$M$6:$M$40000,0),"")</f>
        <v/>
      </c>
      <c r="Z2877">
        <f>IF($Y2877="","",INDEX($C$6:$C$40000,$Y2877)&amp;"")</f>
        <v/>
      </c>
      <c r="AA2877" s="59">
        <f>IF($Y2877="","",IF(INDEX($D$6:$D$40000,$Y2877)="","",INDEX($D$6:$D$40000,$Y2877)))</f>
        <v/>
      </c>
      <c r="AB2877">
        <f>IF($Y2877="","",INDEX($L$6:$L$40000,$Y2877)&amp;"")</f>
        <v/>
      </c>
    </row>
    <row r="2878">
      <c r="Y2878" s="47">
        <f>IFERROR(MATCH(Library!M2878,$M$6:$M$40000,0),"")</f>
        <v/>
      </c>
      <c r="Z2878">
        <f>IF($Y2878="","",INDEX($C$6:$C$40000,$Y2878)&amp;"")</f>
        <v/>
      </c>
      <c r="AA2878" s="59">
        <f>IF($Y2878="","",IF(INDEX($D$6:$D$40000,$Y2878)="","",INDEX($D$6:$D$40000,$Y2878)))</f>
        <v/>
      </c>
      <c r="AB2878">
        <f>IF($Y2878="","",INDEX($L$6:$L$40000,$Y2878)&amp;"")</f>
        <v/>
      </c>
    </row>
    <row r="2879">
      <c r="Y2879" s="47">
        <f>IFERROR(MATCH(Library!M2879,$M$6:$M$40000,0),"")</f>
        <v/>
      </c>
      <c r="Z2879">
        <f>IF($Y2879="","",INDEX($C$6:$C$40000,$Y2879)&amp;"")</f>
        <v/>
      </c>
      <c r="AA2879" s="59">
        <f>IF($Y2879="","",IF(INDEX($D$6:$D$40000,$Y2879)="","",INDEX($D$6:$D$40000,$Y2879)))</f>
        <v/>
      </c>
      <c r="AB2879">
        <f>IF($Y2879="","",INDEX($L$6:$L$40000,$Y2879)&amp;"")</f>
        <v/>
      </c>
    </row>
    <row r="2880">
      <c r="Y2880" s="47">
        <f>IFERROR(MATCH(Library!M2880,$M$6:$M$40000,0),"")</f>
        <v/>
      </c>
      <c r="Z2880">
        <f>IF($Y2880="","",INDEX($C$6:$C$40000,$Y2880)&amp;"")</f>
        <v/>
      </c>
      <c r="AA2880" s="59">
        <f>IF($Y2880="","",IF(INDEX($D$6:$D$40000,$Y2880)="","",INDEX($D$6:$D$40000,$Y2880)))</f>
        <v/>
      </c>
      <c r="AB2880">
        <f>IF($Y2880="","",INDEX($L$6:$L$40000,$Y2880)&amp;"")</f>
        <v/>
      </c>
    </row>
    <row r="2881">
      <c r="Y2881" s="47">
        <f>IFERROR(MATCH(Library!M2881,$M$6:$M$40000,0),"")</f>
        <v/>
      </c>
      <c r="Z2881">
        <f>IF($Y2881="","",INDEX($C$6:$C$40000,$Y2881)&amp;"")</f>
        <v/>
      </c>
      <c r="AA2881" s="59">
        <f>IF($Y2881="","",IF(INDEX($D$6:$D$40000,$Y2881)="","",INDEX($D$6:$D$40000,$Y2881)))</f>
        <v/>
      </c>
      <c r="AB2881">
        <f>IF($Y2881="","",INDEX($L$6:$L$40000,$Y2881)&amp;"")</f>
        <v/>
      </c>
    </row>
    <row r="2882">
      <c r="Y2882" s="47">
        <f>IFERROR(MATCH(Library!M2882,$M$6:$M$40000,0),"")</f>
        <v/>
      </c>
      <c r="Z2882">
        <f>IF($Y2882="","",INDEX($C$6:$C$40000,$Y2882)&amp;"")</f>
        <v/>
      </c>
      <c r="AA2882" s="59">
        <f>IF($Y2882="","",IF(INDEX($D$6:$D$40000,$Y2882)="","",INDEX($D$6:$D$40000,$Y2882)))</f>
        <v/>
      </c>
      <c r="AB2882">
        <f>IF($Y2882="","",INDEX($L$6:$L$40000,$Y2882)&amp;"")</f>
        <v/>
      </c>
    </row>
    <row r="2883">
      <c r="Y2883" s="47">
        <f>IFERROR(MATCH(Library!M2883,$M$6:$M$40000,0),"")</f>
        <v/>
      </c>
      <c r="Z2883">
        <f>IF($Y2883="","",INDEX($C$6:$C$40000,$Y2883)&amp;"")</f>
        <v/>
      </c>
      <c r="AA2883" s="59">
        <f>IF($Y2883="","",IF(INDEX($D$6:$D$40000,$Y2883)="","",INDEX($D$6:$D$40000,$Y2883)))</f>
        <v/>
      </c>
      <c r="AB2883">
        <f>IF($Y2883="","",INDEX($L$6:$L$40000,$Y2883)&amp;"")</f>
        <v/>
      </c>
    </row>
    <row r="2884">
      <c r="Y2884" s="47">
        <f>IFERROR(MATCH(Library!M2884,$M$6:$M$40000,0),"")</f>
        <v/>
      </c>
      <c r="Z2884">
        <f>IF($Y2884="","",INDEX($C$6:$C$40000,$Y2884)&amp;"")</f>
        <v/>
      </c>
      <c r="AA2884" s="59">
        <f>IF($Y2884="","",IF(INDEX($D$6:$D$40000,$Y2884)="","",INDEX($D$6:$D$40000,$Y2884)))</f>
        <v/>
      </c>
      <c r="AB2884">
        <f>IF($Y2884="","",INDEX($L$6:$L$40000,$Y2884)&amp;"")</f>
        <v/>
      </c>
    </row>
    <row r="2885">
      <c r="Y2885" s="47">
        <f>IFERROR(MATCH(Library!M2885,$M$6:$M$40000,0),"")</f>
        <v/>
      </c>
      <c r="Z2885">
        <f>IF($Y2885="","",INDEX($C$6:$C$40000,$Y2885)&amp;"")</f>
        <v/>
      </c>
      <c r="AA2885" s="59">
        <f>IF($Y2885="","",IF(INDEX($D$6:$D$40000,$Y2885)="","",INDEX($D$6:$D$40000,$Y2885)))</f>
        <v/>
      </c>
      <c r="AB2885">
        <f>IF($Y2885="","",INDEX($L$6:$L$40000,$Y2885)&amp;"")</f>
        <v/>
      </c>
    </row>
    <row r="2886">
      <c r="Y2886" s="47">
        <f>IFERROR(MATCH(Library!M2886,$M$6:$M$40000,0),"")</f>
        <v/>
      </c>
      <c r="Z2886">
        <f>IF($Y2886="","",INDEX($C$6:$C$40000,$Y2886)&amp;"")</f>
        <v/>
      </c>
      <c r="AA2886" s="59">
        <f>IF($Y2886="","",IF(INDEX($D$6:$D$40000,$Y2886)="","",INDEX($D$6:$D$40000,$Y2886)))</f>
        <v/>
      </c>
      <c r="AB2886">
        <f>IF($Y2886="","",INDEX($L$6:$L$40000,$Y2886)&amp;"")</f>
        <v/>
      </c>
    </row>
    <row r="2887">
      <c r="Y2887" s="47">
        <f>IFERROR(MATCH(Library!M2887,$M$6:$M$40000,0),"")</f>
        <v/>
      </c>
      <c r="Z2887">
        <f>IF($Y2887="","",INDEX($C$6:$C$40000,$Y2887)&amp;"")</f>
        <v/>
      </c>
      <c r="AA2887" s="59">
        <f>IF($Y2887="","",IF(INDEX($D$6:$D$40000,$Y2887)="","",INDEX($D$6:$D$40000,$Y2887)))</f>
        <v/>
      </c>
      <c r="AB2887">
        <f>IF($Y2887="","",INDEX($L$6:$L$40000,$Y2887)&amp;"")</f>
        <v/>
      </c>
    </row>
    <row r="2888">
      <c r="Y2888" s="47">
        <f>IFERROR(MATCH(Library!M2888,$M$6:$M$40000,0),"")</f>
        <v/>
      </c>
      <c r="Z2888">
        <f>IF($Y2888="","",INDEX($C$6:$C$40000,$Y2888)&amp;"")</f>
        <v/>
      </c>
      <c r="AA2888" s="59">
        <f>IF($Y2888="","",IF(INDEX($D$6:$D$40000,$Y2888)="","",INDEX($D$6:$D$40000,$Y2888)))</f>
        <v/>
      </c>
      <c r="AB2888">
        <f>IF($Y2888="","",INDEX($L$6:$L$40000,$Y2888)&amp;"")</f>
        <v/>
      </c>
    </row>
    <row r="2889">
      <c r="Y2889" s="47">
        <f>IFERROR(MATCH(Library!M2889,$M$6:$M$40000,0),"")</f>
        <v/>
      </c>
      <c r="Z2889">
        <f>IF($Y2889="","",INDEX($C$6:$C$40000,$Y2889)&amp;"")</f>
        <v/>
      </c>
      <c r="AA2889" s="59">
        <f>IF($Y2889="","",IF(INDEX($D$6:$D$40000,$Y2889)="","",INDEX($D$6:$D$40000,$Y2889)))</f>
        <v/>
      </c>
      <c r="AB2889">
        <f>IF($Y2889="","",INDEX($L$6:$L$40000,$Y2889)&amp;"")</f>
        <v/>
      </c>
    </row>
    <row r="2890">
      <c r="Y2890" s="47">
        <f>IFERROR(MATCH(Library!M2890,$M$6:$M$40000,0),"")</f>
        <v/>
      </c>
      <c r="Z2890">
        <f>IF($Y2890="","",INDEX($C$6:$C$40000,$Y2890)&amp;"")</f>
        <v/>
      </c>
      <c r="AA2890" s="59">
        <f>IF($Y2890="","",IF(INDEX($D$6:$D$40000,$Y2890)="","",INDEX($D$6:$D$40000,$Y2890)))</f>
        <v/>
      </c>
      <c r="AB2890">
        <f>IF($Y2890="","",INDEX($L$6:$L$40000,$Y2890)&amp;"")</f>
        <v/>
      </c>
    </row>
    <row r="2891">
      <c r="Y2891" s="47">
        <f>IFERROR(MATCH(Library!M2891,$M$6:$M$40000,0),"")</f>
        <v/>
      </c>
      <c r="Z2891">
        <f>IF($Y2891="","",INDEX($C$6:$C$40000,$Y2891)&amp;"")</f>
        <v/>
      </c>
      <c r="AA2891" s="59">
        <f>IF($Y2891="","",IF(INDEX($D$6:$D$40000,$Y2891)="","",INDEX($D$6:$D$40000,$Y2891)))</f>
        <v/>
      </c>
      <c r="AB2891">
        <f>IF($Y2891="","",INDEX($L$6:$L$40000,$Y2891)&amp;"")</f>
        <v/>
      </c>
    </row>
    <row r="2892">
      <c r="Y2892" s="47">
        <f>IFERROR(MATCH(Library!M2892,$M$6:$M$40000,0),"")</f>
        <v/>
      </c>
      <c r="Z2892">
        <f>IF($Y2892="","",INDEX($C$6:$C$40000,$Y2892)&amp;"")</f>
        <v/>
      </c>
      <c r="AA2892" s="59">
        <f>IF($Y2892="","",IF(INDEX($D$6:$D$40000,$Y2892)="","",INDEX($D$6:$D$40000,$Y2892)))</f>
        <v/>
      </c>
      <c r="AB2892">
        <f>IF($Y2892="","",INDEX($L$6:$L$40000,$Y2892)&amp;"")</f>
        <v/>
      </c>
    </row>
    <row r="2893">
      <c r="Y2893" s="47">
        <f>IFERROR(MATCH(Library!M2893,$M$6:$M$40000,0),"")</f>
        <v/>
      </c>
      <c r="Z2893">
        <f>IF($Y2893="","",INDEX($C$6:$C$40000,$Y2893)&amp;"")</f>
        <v/>
      </c>
      <c r="AA2893" s="59">
        <f>IF($Y2893="","",IF(INDEX($D$6:$D$40000,$Y2893)="","",INDEX($D$6:$D$40000,$Y2893)))</f>
        <v/>
      </c>
      <c r="AB2893">
        <f>IF($Y2893="","",INDEX($L$6:$L$40000,$Y2893)&amp;"")</f>
        <v/>
      </c>
    </row>
    <row r="2894">
      <c r="Y2894" s="47">
        <f>IFERROR(MATCH(Library!M2894,$M$6:$M$40000,0),"")</f>
        <v/>
      </c>
      <c r="Z2894">
        <f>IF($Y2894="","",INDEX($C$6:$C$40000,$Y2894)&amp;"")</f>
        <v/>
      </c>
      <c r="AA2894" s="59">
        <f>IF($Y2894="","",IF(INDEX($D$6:$D$40000,$Y2894)="","",INDEX($D$6:$D$40000,$Y2894)))</f>
        <v/>
      </c>
      <c r="AB2894">
        <f>IF($Y2894="","",INDEX($L$6:$L$40000,$Y2894)&amp;"")</f>
        <v/>
      </c>
    </row>
    <row r="2895">
      <c r="Y2895" s="47">
        <f>IFERROR(MATCH(Library!M2895,$M$6:$M$40000,0),"")</f>
        <v/>
      </c>
      <c r="Z2895">
        <f>IF($Y2895="","",INDEX($C$6:$C$40000,$Y2895)&amp;"")</f>
        <v/>
      </c>
      <c r="AA2895" s="59">
        <f>IF($Y2895="","",IF(INDEX($D$6:$D$40000,$Y2895)="","",INDEX($D$6:$D$40000,$Y2895)))</f>
        <v/>
      </c>
      <c r="AB2895">
        <f>IF($Y2895="","",INDEX($L$6:$L$40000,$Y2895)&amp;"")</f>
        <v/>
      </c>
    </row>
    <row r="2896">
      <c r="Y2896" s="47">
        <f>IFERROR(MATCH(Library!M2896,$M$6:$M$40000,0),"")</f>
        <v/>
      </c>
      <c r="Z2896">
        <f>IF($Y2896="","",INDEX($C$6:$C$40000,$Y2896)&amp;"")</f>
        <v/>
      </c>
      <c r="AA2896" s="59">
        <f>IF($Y2896="","",IF(INDEX($D$6:$D$40000,$Y2896)="","",INDEX($D$6:$D$40000,$Y2896)))</f>
        <v/>
      </c>
      <c r="AB2896">
        <f>IF($Y2896="","",INDEX($L$6:$L$40000,$Y2896)&amp;"")</f>
        <v/>
      </c>
    </row>
    <row r="2897">
      <c r="Y2897" s="47">
        <f>IFERROR(MATCH(Library!M2897,$M$6:$M$40000,0),"")</f>
        <v/>
      </c>
      <c r="Z2897">
        <f>IF($Y2897="","",INDEX($C$6:$C$40000,$Y2897)&amp;"")</f>
        <v/>
      </c>
      <c r="AA2897" s="59">
        <f>IF($Y2897="","",IF(INDEX($D$6:$D$40000,$Y2897)="","",INDEX($D$6:$D$40000,$Y2897)))</f>
        <v/>
      </c>
      <c r="AB2897">
        <f>IF($Y2897="","",INDEX($L$6:$L$40000,$Y2897)&amp;"")</f>
        <v/>
      </c>
    </row>
    <row r="2898">
      <c r="Y2898" s="47">
        <f>IFERROR(MATCH(Library!M2898,$M$6:$M$40000,0),"")</f>
        <v/>
      </c>
      <c r="Z2898">
        <f>IF($Y2898="","",INDEX($C$6:$C$40000,$Y2898)&amp;"")</f>
        <v/>
      </c>
      <c r="AA2898" s="59">
        <f>IF($Y2898="","",IF(INDEX($D$6:$D$40000,$Y2898)="","",INDEX($D$6:$D$40000,$Y2898)))</f>
        <v/>
      </c>
      <c r="AB2898">
        <f>IF($Y2898="","",INDEX($L$6:$L$40000,$Y2898)&amp;"")</f>
        <v/>
      </c>
    </row>
    <row r="2899">
      <c r="Y2899" s="47">
        <f>IFERROR(MATCH(Library!M2899,$M$6:$M$40000,0),"")</f>
        <v/>
      </c>
      <c r="Z2899">
        <f>IF($Y2899="","",INDEX($C$6:$C$40000,$Y2899)&amp;"")</f>
        <v/>
      </c>
      <c r="AA2899" s="59">
        <f>IF($Y2899="","",IF(INDEX($D$6:$D$40000,$Y2899)="","",INDEX($D$6:$D$40000,$Y2899)))</f>
        <v/>
      </c>
      <c r="AB2899">
        <f>IF($Y2899="","",INDEX($L$6:$L$40000,$Y2899)&amp;"")</f>
        <v/>
      </c>
    </row>
    <row r="2900">
      <c r="Y2900" s="47">
        <f>IFERROR(MATCH(Library!M2900,$M$6:$M$40000,0),"")</f>
        <v/>
      </c>
      <c r="Z2900">
        <f>IF($Y2900="","",INDEX($C$6:$C$40000,$Y2900)&amp;"")</f>
        <v/>
      </c>
      <c r="AA2900" s="59">
        <f>IF($Y2900="","",IF(INDEX($D$6:$D$40000,$Y2900)="","",INDEX($D$6:$D$40000,$Y2900)))</f>
        <v/>
      </c>
      <c r="AB2900">
        <f>IF($Y2900="","",INDEX($L$6:$L$40000,$Y2900)&amp;"")</f>
        <v/>
      </c>
    </row>
    <row r="2901">
      <c r="Y2901" s="47">
        <f>IFERROR(MATCH(Library!M2901,$M$6:$M$40000,0),"")</f>
        <v/>
      </c>
      <c r="Z2901">
        <f>IF($Y2901="","",INDEX($C$6:$C$40000,$Y2901)&amp;"")</f>
        <v/>
      </c>
      <c r="AA2901" s="59">
        <f>IF($Y2901="","",IF(INDEX($D$6:$D$40000,$Y2901)="","",INDEX($D$6:$D$40000,$Y2901)))</f>
        <v/>
      </c>
      <c r="AB2901">
        <f>IF($Y2901="","",INDEX($L$6:$L$40000,$Y2901)&amp;"")</f>
        <v/>
      </c>
    </row>
    <row r="2902">
      <c r="Y2902" s="47">
        <f>IFERROR(MATCH(Library!M2902,$M$6:$M$40000,0),"")</f>
        <v/>
      </c>
      <c r="Z2902">
        <f>IF($Y2902="","",INDEX($C$6:$C$40000,$Y2902)&amp;"")</f>
        <v/>
      </c>
      <c r="AA2902" s="59">
        <f>IF($Y2902="","",IF(INDEX($D$6:$D$40000,$Y2902)="","",INDEX($D$6:$D$40000,$Y2902)))</f>
        <v/>
      </c>
      <c r="AB2902">
        <f>IF($Y2902="","",INDEX($L$6:$L$40000,$Y2902)&amp;"")</f>
        <v/>
      </c>
    </row>
    <row r="2903">
      <c r="Y2903" s="47">
        <f>IFERROR(MATCH(Library!M2903,$M$6:$M$40000,0),"")</f>
        <v/>
      </c>
      <c r="Z2903">
        <f>IF($Y2903="","",INDEX($C$6:$C$40000,$Y2903)&amp;"")</f>
        <v/>
      </c>
      <c r="AA2903" s="59">
        <f>IF($Y2903="","",IF(INDEX($D$6:$D$40000,$Y2903)="","",INDEX($D$6:$D$40000,$Y2903)))</f>
        <v/>
      </c>
      <c r="AB2903">
        <f>IF($Y2903="","",INDEX($L$6:$L$40000,$Y2903)&amp;"")</f>
        <v/>
      </c>
    </row>
    <row r="2904">
      <c r="Y2904" s="47">
        <f>IFERROR(MATCH(Library!M2904,$M$6:$M$40000,0),"")</f>
        <v/>
      </c>
      <c r="Z2904">
        <f>IF($Y2904="","",INDEX($C$6:$C$40000,$Y2904)&amp;"")</f>
        <v/>
      </c>
      <c r="AA2904" s="59">
        <f>IF($Y2904="","",IF(INDEX($D$6:$D$40000,$Y2904)="","",INDEX($D$6:$D$40000,$Y2904)))</f>
        <v/>
      </c>
      <c r="AB2904">
        <f>IF($Y2904="","",INDEX($L$6:$L$40000,$Y2904)&amp;"")</f>
        <v/>
      </c>
    </row>
    <row r="2905">
      <c r="Y2905" s="47">
        <f>IFERROR(MATCH(Library!M2905,$M$6:$M$40000,0),"")</f>
        <v/>
      </c>
      <c r="Z2905">
        <f>IF($Y2905="","",INDEX($C$6:$C$40000,$Y2905)&amp;"")</f>
        <v/>
      </c>
      <c r="AA2905" s="59">
        <f>IF($Y2905="","",IF(INDEX($D$6:$D$40000,$Y2905)="","",INDEX($D$6:$D$40000,$Y2905)))</f>
        <v/>
      </c>
      <c r="AB2905">
        <f>IF($Y2905="","",INDEX($L$6:$L$40000,$Y2905)&amp;"")</f>
        <v/>
      </c>
    </row>
    <row r="2906">
      <c r="Y2906" s="47">
        <f>IFERROR(MATCH(Library!M2906,$M$6:$M$40000,0),"")</f>
        <v/>
      </c>
      <c r="Z2906">
        <f>IF($Y2906="","",INDEX($C$6:$C$40000,$Y2906)&amp;"")</f>
        <v/>
      </c>
      <c r="AA2906" s="59">
        <f>IF($Y2906="","",IF(INDEX($D$6:$D$40000,$Y2906)="","",INDEX($D$6:$D$40000,$Y2906)))</f>
        <v/>
      </c>
      <c r="AB2906">
        <f>IF($Y2906="","",INDEX($L$6:$L$40000,$Y2906)&amp;"")</f>
        <v/>
      </c>
    </row>
    <row r="2907">
      <c r="Y2907" s="47">
        <f>IFERROR(MATCH(Library!M2907,$M$6:$M$40000,0),"")</f>
        <v/>
      </c>
      <c r="Z2907">
        <f>IF($Y2907="","",INDEX($C$6:$C$40000,$Y2907)&amp;"")</f>
        <v/>
      </c>
      <c r="AA2907" s="59">
        <f>IF($Y2907="","",IF(INDEX($D$6:$D$40000,$Y2907)="","",INDEX($D$6:$D$40000,$Y2907)))</f>
        <v/>
      </c>
      <c r="AB2907">
        <f>IF($Y2907="","",INDEX($L$6:$L$40000,$Y2907)&amp;"")</f>
        <v/>
      </c>
    </row>
    <row r="2908">
      <c r="Y2908" s="47">
        <f>IFERROR(MATCH(Library!M2908,$M$6:$M$40000,0),"")</f>
        <v/>
      </c>
      <c r="Z2908">
        <f>IF($Y2908="","",INDEX($C$6:$C$40000,$Y2908)&amp;"")</f>
        <v/>
      </c>
      <c r="AA2908" s="59">
        <f>IF($Y2908="","",IF(INDEX($D$6:$D$40000,$Y2908)="","",INDEX($D$6:$D$40000,$Y2908)))</f>
        <v/>
      </c>
      <c r="AB2908">
        <f>IF($Y2908="","",INDEX($L$6:$L$40000,$Y2908)&amp;"")</f>
        <v/>
      </c>
    </row>
    <row r="2909">
      <c r="Y2909" s="47">
        <f>IFERROR(MATCH(Library!M2909,$M$6:$M$40000,0),"")</f>
        <v/>
      </c>
      <c r="Z2909">
        <f>IF($Y2909="","",INDEX($C$6:$C$40000,$Y2909)&amp;"")</f>
        <v/>
      </c>
      <c r="AA2909" s="59">
        <f>IF($Y2909="","",IF(INDEX($D$6:$D$40000,$Y2909)="","",INDEX($D$6:$D$40000,$Y2909)))</f>
        <v/>
      </c>
      <c r="AB2909">
        <f>IF($Y2909="","",INDEX($L$6:$L$40000,$Y2909)&amp;"")</f>
        <v/>
      </c>
    </row>
    <row r="2910">
      <c r="Y2910" s="47">
        <f>IFERROR(MATCH(Library!M2910,$M$6:$M$40000,0),"")</f>
        <v/>
      </c>
      <c r="Z2910">
        <f>IF($Y2910="","",INDEX($C$6:$C$40000,$Y2910)&amp;"")</f>
        <v/>
      </c>
      <c r="AA2910" s="59">
        <f>IF($Y2910="","",IF(INDEX($D$6:$D$40000,$Y2910)="","",INDEX($D$6:$D$40000,$Y2910)))</f>
        <v/>
      </c>
      <c r="AB2910">
        <f>IF($Y2910="","",INDEX($L$6:$L$40000,$Y2910)&amp;"")</f>
        <v/>
      </c>
    </row>
    <row r="2911">
      <c r="Y2911" s="47">
        <f>IFERROR(MATCH(Library!M2911,$M$6:$M$40000,0),"")</f>
        <v/>
      </c>
      <c r="Z2911">
        <f>IF($Y2911="","",INDEX($C$6:$C$40000,$Y2911)&amp;"")</f>
        <v/>
      </c>
      <c r="AA2911" s="59">
        <f>IF($Y2911="","",IF(INDEX($D$6:$D$40000,$Y2911)="","",INDEX($D$6:$D$40000,$Y2911)))</f>
        <v/>
      </c>
      <c r="AB2911">
        <f>IF($Y2911="","",INDEX($L$6:$L$40000,$Y2911)&amp;"")</f>
        <v/>
      </c>
    </row>
    <row r="2912">
      <c r="Y2912" s="47">
        <f>IFERROR(MATCH(Library!M2912,$M$6:$M$40000,0),"")</f>
        <v/>
      </c>
      <c r="Z2912">
        <f>IF($Y2912="","",INDEX($C$6:$C$40000,$Y2912)&amp;"")</f>
        <v/>
      </c>
      <c r="AA2912" s="59">
        <f>IF($Y2912="","",IF(INDEX($D$6:$D$40000,$Y2912)="","",INDEX($D$6:$D$40000,$Y2912)))</f>
        <v/>
      </c>
      <c r="AB2912">
        <f>IF($Y2912="","",INDEX($L$6:$L$40000,$Y2912)&amp;"")</f>
        <v/>
      </c>
    </row>
    <row r="2913">
      <c r="Y2913" s="47">
        <f>IFERROR(MATCH(Library!M2913,$M$6:$M$40000,0),"")</f>
        <v/>
      </c>
      <c r="Z2913">
        <f>IF($Y2913="","",INDEX($C$6:$C$40000,$Y2913)&amp;"")</f>
        <v/>
      </c>
      <c r="AA2913" s="59">
        <f>IF($Y2913="","",IF(INDEX($D$6:$D$40000,$Y2913)="","",INDEX($D$6:$D$40000,$Y2913)))</f>
        <v/>
      </c>
      <c r="AB2913">
        <f>IF($Y2913="","",INDEX($L$6:$L$40000,$Y2913)&amp;"")</f>
        <v/>
      </c>
    </row>
    <row r="2914">
      <c r="Y2914" s="47">
        <f>IFERROR(MATCH(Library!M2914,$M$6:$M$40000,0),"")</f>
        <v/>
      </c>
      <c r="Z2914">
        <f>IF($Y2914="","",INDEX($C$6:$C$40000,$Y2914)&amp;"")</f>
        <v/>
      </c>
      <c r="AA2914" s="59">
        <f>IF($Y2914="","",IF(INDEX($D$6:$D$40000,$Y2914)="","",INDEX($D$6:$D$40000,$Y2914)))</f>
        <v/>
      </c>
      <c r="AB2914">
        <f>IF($Y2914="","",INDEX($L$6:$L$40000,$Y2914)&amp;"")</f>
        <v/>
      </c>
    </row>
    <row r="2915">
      <c r="Y2915" s="47">
        <f>IFERROR(MATCH(Library!M2915,$M$6:$M$40000,0),"")</f>
        <v/>
      </c>
      <c r="Z2915">
        <f>IF($Y2915="","",INDEX($C$6:$C$40000,$Y2915)&amp;"")</f>
        <v/>
      </c>
      <c r="AA2915" s="59">
        <f>IF($Y2915="","",IF(INDEX($D$6:$D$40000,$Y2915)="","",INDEX($D$6:$D$40000,$Y2915)))</f>
        <v/>
      </c>
      <c r="AB2915">
        <f>IF($Y2915="","",INDEX($L$6:$L$40000,$Y2915)&amp;"")</f>
        <v/>
      </c>
    </row>
    <row r="2916">
      <c r="Y2916" s="47">
        <f>IFERROR(MATCH(Library!M2916,$M$6:$M$40000,0),"")</f>
        <v/>
      </c>
      <c r="Z2916">
        <f>IF($Y2916="","",INDEX($C$6:$C$40000,$Y2916)&amp;"")</f>
        <v/>
      </c>
      <c r="AA2916" s="59">
        <f>IF($Y2916="","",IF(INDEX($D$6:$D$40000,$Y2916)="","",INDEX($D$6:$D$40000,$Y2916)))</f>
        <v/>
      </c>
      <c r="AB2916">
        <f>IF($Y2916="","",INDEX($L$6:$L$40000,$Y2916)&amp;"")</f>
        <v/>
      </c>
    </row>
    <row r="2917">
      <c r="Y2917" s="47">
        <f>IFERROR(MATCH(Library!M2917,$M$6:$M$40000,0),"")</f>
        <v/>
      </c>
      <c r="Z2917">
        <f>IF($Y2917="","",INDEX($C$6:$C$40000,$Y2917)&amp;"")</f>
        <v/>
      </c>
      <c r="AA2917" s="59">
        <f>IF($Y2917="","",IF(INDEX($D$6:$D$40000,$Y2917)="","",INDEX($D$6:$D$40000,$Y2917)))</f>
        <v/>
      </c>
      <c r="AB2917">
        <f>IF($Y2917="","",INDEX($L$6:$L$40000,$Y2917)&amp;"")</f>
        <v/>
      </c>
    </row>
    <row r="2918">
      <c r="Y2918" s="47">
        <f>IFERROR(MATCH(Library!M2918,$M$6:$M$40000,0),"")</f>
        <v/>
      </c>
      <c r="Z2918">
        <f>IF($Y2918="","",INDEX($C$6:$C$40000,$Y2918)&amp;"")</f>
        <v/>
      </c>
      <c r="AA2918" s="59">
        <f>IF($Y2918="","",IF(INDEX($D$6:$D$40000,$Y2918)="","",INDEX($D$6:$D$40000,$Y2918)))</f>
        <v/>
      </c>
      <c r="AB2918">
        <f>IF($Y2918="","",INDEX($L$6:$L$40000,$Y2918)&amp;"")</f>
        <v/>
      </c>
    </row>
    <row r="2919">
      <c r="Y2919" s="47">
        <f>IFERROR(MATCH(Library!M2919,$M$6:$M$40000,0),"")</f>
        <v/>
      </c>
      <c r="Z2919">
        <f>IF($Y2919="","",INDEX($C$6:$C$40000,$Y2919)&amp;"")</f>
        <v/>
      </c>
      <c r="AA2919" s="59">
        <f>IF($Y2919="","",IF(INDEX($D$6:$D$40000,$Y2919)="","",INDEX($D$6:$D$40000,$Y2919)))</f>
        <v/>
      </c>
      <c r="AB2919">
        <f>IF($Y2919="","",INDEX($L$6:$L$40000,$Y2919)&amp;"")</f>
        <v/>
      </c>
    </row>
    <row r="2920">
      <c r="Y2920" s="47">
        <f>IFERROR(MATCH(Library!M2920,$M$6:$M$40000,0),"")</f>
        <v/>
      </c>
      <c r="Z2920">
        <f>IF($Y2920="","",INDEX($C$6:$C$40000,$Y2920)&amp;"")</f>
        <v/>
      </c>
      <c r="AA2920" s="59">
        <f>IF($Y2920="","",IF(INDEX($D$6:$D$40000,$Y2920)="","",INDEX($D$6:$D$40000,$Y2920)))</f>
        <v/>
      </c>
      <c r="AB2920">
        <f>IF($Y2920="","",INDEX($L$6:$L$40000,$Y2920)&amp;"")</f>
        <v/>
      </c>
    </row>
    <row r="2921">
      <c r="Y2921" s="47">
        <f>IFERROR(MATCH(Library!M2921,$M$6:$M$40000,0),"")</f>
        <v/>
      </c>
      <c r="Z2921">
        <f>IF($Y2921="","",INDEX($C$6:$C$40000,$Y2921)&amp;"")</f>
        <v/>
      </c>
      <c r="AA2921" s="59">
        <f>IF($Y2921="","",IF(INDEX($D$6:$D$40000,$Y2921)="","",INDEX($D$6:$D$40000,$Y2921)))</f>
        <v/>
      </c>
      <c r="AB2921">
        <f>IF($Y2921="","",INDEX($L$6:$L$40000,$Y2921)&amp;"")</f>
        <v/>
      </c>
    </row>
    <row r="2922">
      <c r="Y2922" s="47">
        <f>IFERROR(MATCH(Library!M2922,$M$6:$M$40000,0),"")</f>
        <v/>
      </c>
      <c r="Z2922">
        <f>IF($Y2922="","",INDEX($C$6:$C$40000,$Y2922)&amp;"")</f>
        <v/>
      </c>
      <c r="AA2922" s="59">
        <f>IF($Y2922="","",IF(INDEX($D$6:$D$40000,$Y2922)="","",INDEX($D$6:$D$40000,$Y2922)))</f>
        <v/>
      </c>
      <c r="AB2922">
        <f>IF($Y2922="","",INDEX($L$6:$L$40000,$Y2922)&amp;"")</f>
        <v/>
      </c>
    </row>
    <row r="2923">
      <c r="Y2923" s="47">
        <f>IFERROR(MATCH(Library!M2923,$M$6:$M$40000,0),"")</f>
        <v/>
      </c>
      <c r="Z2923">
        <f>IF($Y2923="","",INDEX($C$6:$C$40000,$Y2923)&amp;"")</f>
        <v/>
      </c>
      <c r="AA2923" s="59">
        <f>IF($Y2923="","",IF(INDEX($D$6:$D$40000,$Y2923)="","",INDEX($D$6:$D$40000,$Y2923)))</f>
        <v/>
      </c>
      <c r="AB2923">
        <f>IF($Y2923="","",INDEX($L$6:$L$40000,$Y2923)&amp;"")</f>
        <v/>
      </c>
    </row>
    <row r="2924">
      <c r="Y2924" s="47">
        <f>IFERROR(MATCH(Library!M2924,$M$6:$M$40000,0),"")</f>
        <v/>
      </c>
      <c r="Z2924">
        <f>IF($Y2924="","",INDEX($C$6:$C$40000,$Y2924)&amp;"")</f>
        <v/>
      </c>
      <c r="AA2924" s="59">
        <f>IF($Y2924="","",IF(INDEX($D$6:$D$40000,$Y2924)="","",INDEX($D$6:$D$40000,$Y2924)))</f>
        <v/>
      </c>
      <c r="AB2924">
        <f>IF($Y2924="","",INDEX($L$6:$L$40000,$Y2924)&amp;"")</f>
        <v/>
      </c>
    </row>
    <row r="2925">
      <c r="Y2925" s="47">
        <f>IFERROR(MATCH(Library!M2925,$M$6:$M$40000,0),"")</f>
        <v/>
      </c>
      <c r="Z2925">
        <f>IF($Y2925="","",INDEX($C$6:$C$40000,$Y2925)&amp;"")</f>
        <v/>
      </c>
      <c r="AA2925" s="59">
        <f>IF($Y2925="","",IF(INDEX($D$6:$D$40000,$Y2925)="","",INDEX($D$6:$D$40000,$Y2925)))</f>
        <v/>
      </c>
      <c r="AB2925">
        <f>IF($Y2925="","",INDEX($L$6:$L$40000,$Y2925)&amp;"")</f>
        <v/>
      </c>
    </row>
    <row r="2926">
      <c r="Y2926" s="47">
        <f>IFERROR(MATCH(Library!M2926,$M$6:$M$40000,0),"")</f>
        <v/>
      </c>
      <c r="Z2926">
        <f>IF($Y2926="","",INDEX($C$6:$C$40000,$Y2926)&amp;"")</f>
        <v/>
      </c>
      <c r="AA2926" s="59">
        <f>IF($Y2926="","",IF(INDEX($D$6:$D$40000,$Y2926)="","",INDEX($D$6:$D$40000,$Y2926)))</f>
        <v/>
      </c>
      <c r="AB2926">
        <f>IF($Y2926="","",INDEX($L$6:$L$40000,$Y2926)&amp;"")</f>
        <v/>
      </c>
    </row>
    <row r="2927">
      <c r="Y2927" s="47">
        <f>IFERROR(MATCH(Library!M2927,$M$6:$M$40000,0),"")</f>
        <v/>
      </c>
      <c r="Z2927">
        <f>IF($Y2927="","",INDEX($C$6:$C$40000,$Y2927)&amp;"")</f>
        <v/>
      </c>
      <c r="AA2927" s="59">
        <f>IF($Y2927="","",IF(INDEX($D$6:$D$40000,$Y2927)="","",INDEX($D$6:$D$40000,$Y2927)))</f>
        <v/>
      </c>
      <c r="AB2927">
        <f>IF($Y2927="","",INDEX($L$6:$L$40000,$Y2927)&amp;"")</f>
        <v/>
      </c>
    </row>
    <row r="2928">
      <c r="Y2928" s="47">
        <f>IFERROR(MATCH(Library!M2928,$M$6:$M$40000,0),"")</f>
        <v/>
      </c>
      <c r="Z2928">
        <f>IF($Y2928="","",INDEX($C$6:$C$40000,$Y2928)&amp;"")</f>
        <v/>
      </c>
      <c r="AA2928" s="59">
        <f>IF($Y2928="","",IF(INDEX($D$6:$D$40000,$Y2928)="","",INDEX($D$6:$D$40000,$Y2928)))</f>
        <v/>
      </c>
      <c r="AB2928">
        <f>IF($Y2928="","",INDEX($L$6:$L$40000,$Y2928)&amp;"")</f>
        <v/>
      </c>
    </row>
    <row r="2929">
      <c r="Y2929" s="47">
        <f>IFERROR(MATCH(Library!M2929,$M$6:$M$40000,0),"")</f>
        <v/>
      </c>
      <c r="Z2929">
        <f>IF($Y2929="","",INDEX($C$6:$C$40000,$Y2929)&amp;"")</f>
        <v/>
      </c>
      <c r="AA2929" s="59">
        <f>IF($Y2929="","",IF(INDEX($D$6:$D$40000,$Y2929)="","",INDEX($D$6:$D$40000,$Y2929)))</f>
        <v/>
      </c>
      <c r="AB2929">
        <f>IF($Y2929="","",INDEX($L$6:$L$40000,$Y2929)&amp;"")</f>
        <v/>
      </c>
    </row>
    <row r="2930">
      <c r="Y2930" s="47">
        <f>IFERROR(MATCH(Library!M2930,$M$6:$M$40000,0),"")</f>
        <v/>
      </c>
      <c r="Z2930">
        <f>IF($Y2930="","",INDEX($C$6:$C$40000,$Y2930)&amp;"")</f>
        <v/>
      </c>
      <c r="AA2930" s="59">
        <f>IF($Y2930="","",IF(INDEX($D$6:$D$40000,$Y2930)="","",INDEX($D$6:$D$40000,$Y2930)))</f>
        <v/>
      </c>
      <c r="AB2930">
        <f>IF($Y2930="","",INDEX($L$6:$L$40000,$Y2930)&amp;"")</f>
        <v/>
      </c>
    </row>
    <row r="2931">
      <c r="Y2931" s="47">
        <f>IFERROR(MATCH(Library!M2931,$M$6:$M$40000,0),"")</f>
        <v/>
      </c>
      <c r="Z2931">
        <f>IF($Y2931="","",INDEX($C$6:$C$40000,$Y2931)&amp;"")</f>
        <v/>
      </c>
      <c r="AA2931" s="59">
        <f>IF($Y2931="","",IF(INDEX($D$6:$D$40000,$Y2931)="","",INDEX($D$6:$D$40000,$Y2931)))</f>
        <v/>
      </c>
      <c r="AB2931">
        <f>IF($Y2931="","",INDEX($L$6:$L$40000,$Y2931)&amp;"")</f>
        <v/>
      </c>
    </row>
    <row r="2932">
      <c r="Y2932" s="47">
        <f>IFERROR(MATCH(Library!M2932,$M$6:$M$40000,0),"")</f>
        <v/>
      </c>
      <c r="Z2932">
        <f>IF($Y2932="","",INDEX($C$6:$C$40000,$Y2932)&amp;"")</f>
        <v/>
      </c>
      <c r="AA2932" s="59">
        <f>IF($Y2932="","",IF(INDEX($D$6:$D$40000,$Y2932)="","",INDEX($D$6:$D$40000,$Y2932)))</f>
        <v/>
      </c>
      <c r="AB2932">
        <f>IF($Y2932="","",INDEX($L$6:$L$40000,$Y2932)&amp;"")</f>
        <v/>
      </c>
    </row>
    <row r="2933">
      <c r="Y2933" s="47">
        <f>IFERROR(MATCH(Library!M2933,$M$6:$M$40000,0),"")</f>
        <v/>
      </c>
      <c r="Z2933">
        <f>IF($Y2933="","",INDEX($C$6:$C$40000,$Y2933)&amp;"")</f>
        <v/>
      </c>
      <c r="AA2933" s="59">
        <f>IF($Y2933="","",IF(INDEX($D$6:$D$40000,$Y2933)="","",INDEX($D$6:$D$40000,$Y2933)))</f>
        <v/>
      </c>
      <c r="AB2933">
        <f>IF($Y2933="","",INDEX($L$6:$L$40000,$Y2933)&amp;"")</f>
        <v/>
      </c>
    </row>
    <row r="2934">
      <c r="Y2934" s="47">
        <f>IFERROR(MATCH(Library!M2934,$M$6:$M$40000,0),"")</f>
        <v/>
      </c>
      <c r="Z2934">
        <f>IF($Y2934="","",INDEX($C$6:$C$40000,$Y2934)&amp;"")</f>
        <v/>
      </c>
      <c r="AA2934" s="59">
        <f>IF($Y2934="","",IF(INDEX($D$6:$D$40000,$Y2934)="","",INDEX($D$6:$D$40000,$Y2934)))</f>
        <v/>
      </c>
      <c r="AB2934">
        <f>IF($Y2934="","",INDEX($L$6:$L$40000,$Y2934)&amp;"")</f>
        <v/>
      </c>
    </row>
    <row r="2935">
      <c r="Y2935" s="47">
        <f>IFERROR(MATCH(Library!M2935,$M$6:$M$40000,0),"")</f>
        <v/>
      </c>
      <c r="Z2935">
        <f>IF($Y2935="","",INDEX($C$6:$C$40000,$Y2935)&amp;"")</f>
        <v/>
      </c>
      <c r="AA2935" s="59">
        <f>IF($Y2935="","",IF(INDEX($D$6:$D$40000,$Y2935)="","",INDEX($D$6:$D$40000,$Y2935)))</f>
        <v/>
      </c>
      <c r="AB2935">
        <f>IF($Y2935="","",INDEX($L$6:$L$40000,$Y2935)&amp;"")</f>
        <v/>
      </c>
    </row>
    <row r="2936">
      <c r="Y2936" s="47">
        <f>IFERROR(MATCH(Library!M2936,$M$6:$M$40000,0),"")</f>
        <v/>
      </c>
      <c r="Z2936">
        <f>IF($Y2936="","",INDEX($C$6:$C$40000,$Y2936)&amp;"")</f>
        <v/>
      </c>
      <c r="AA2936" s="59">
        <f>IF($Y2936="","",IF(INDEX($D$6:$D$40000,$Y2936)="","",INDEX($D$6:$D$40000,$Y2936)))</f>
        <v/>
      </c>
      <c r="AB2936">
        <f>IF($Y2936="","",INDEX($L$6:$L$40000,$Y2936)&amp;"")</f>
        <v/>
      </c>
    </row>
    <row r="2937">
      <c r="Y2937" s="47">
        <f>IFERROR(MATCH(Library!M2937,$M$6:$M$40000,0),"")</f>
        <v/>
      </c>
      <c r="Z2937">
        <f>IF($Y2937="","",INDEX($C$6:$C$40000,$Y2937)&amp;"")</f>
        <v/>
      </c>
      <c r="AA2937" s="59">
        <f>IF($Y2937="","",IF(INDEX($D$6:$D$40000,$Y2937)="","",INDEX($D$6:$D$40000,$Y2937)))</f>
        <v/>
      </c>
      <c r="AB2937">
        <f>IF($Y2937="","",INDEX($L$6:$L$40000,$Y2937)&amp;"")</f>
        <v/>
      </c>
    </row>
    <row r="2938">
      <c r="Y2938" s="47">
        <f>IFERROR(MATCH(Library!M2938,$M$6:$M$40000,0),"")</f>
        <v/>
      </c>
      <c r="Z2938">
        <f>IF($Y2938="","",INDEX($C$6:$C$40000,$Y2938)&amp;"")</f>
        <v/>
      </c>
      <c r="AA2938" s="59">
        <f>IF($Y2938="","",IF(INDEX($D$6:$D$40000,$Y2938)="","",INDEX($D$6:$D$40000,$Y2938)))</f>
        <v/>
      </c>
      <c r="AB2938">
        <f>IF($Y2938="","",INDEX($L$6:$L$40000,$Y2938)&amp;"")</f>
        <v/>
      </c>
    </row>
    <row r="2939">
      <c r="Y2939" s="47">
        <f>IFERROR(MATCH(Library!M2939,$M$6:$M$40000,0),"")</f>
        <v/>
      </c>
      <c r="Z2939">
        <f>IF($Y2939="","",INDEX($C$6:$C$40000,$Y2939)&amp;"")</f>
        <v/>
      </c>
      <c r="AA2939" s="59">
        <f>IF($Y2939="","",IF(INDEX($D$6:$D$40000,$Y2939)="","",INDEX($D$6:$D$40000,$Y2939)))</f>
        <v/>
      </c>
      <c r="AB2939">
        <f>IF($Y2939="","",INDEX($L$6:$L$40000,$Y2939)&amp;"")</f>
        <v/>
      </c>
    </row>
    <row r="2940">
      <c r="Y2940" s="47">
        <f>IFERROR(MATCH(Library!M2940,$M$6:$M$40000,0),"")</f>
        <v/>
      </c>
      <c r="Z2940">
        <f>IF($Y2940="","",INDEX($C$6:$C$40000,$Y2940)&amp;"")</f>
        <v/>
      </c>
      <c r="AA2940" s="59">
        <f>IF($Y2940="","",IF(INDEX($D$6:$D$40000,$Y2940)="","",INDEX($D$6:$D$40000,$Y2940)))</f>
        <v/>
      </c>
      <c r="AB2940">
        <f>IF($Y2940="","",INDEX($L$6:$L$40000,$Y2940)&amp;"")</f>
        <v/>
      </c>
    </row>
    <row r="2941">
      <c r="Y2941" s="47">
        <f>IFERROR(MATCH(Library!M2941,$M$6:$M$40000,0),"")</f>
        <v/>
      </c>
      <c r="Z2941">
        <f>IF($Y2941="","",INDEX($C$6:$C$40000,$Y2941)&amp;"")</f>
        <v/>
      </c>
      <c r="AA2941" s="59">
        <f>IF($Y2941="","",IF(INDEX($D$6:$D$40000,$Y2941)="","",INDEX($D$6:$D$40000,$Y2941)))</f>
        <v/>
      </c>
      <c r="AB2941">
        <f>IF($Y2941="","",INDEX($L$6:$L$40000,$Y2941)&amp;"")</f>
        <v/>
      </c>
    </row>
    <row r="2942">
      <c r="Y2942" s="47">
        <f>IFERROR(MATCH(Library!M2942,$M$6:$M$40000,0),"")</f>
        <v/>
      </c>
      <c r="Z2942">
        <f>IF($Y2942="","",INDEX($C$6:$C$40000,$Y2942)&amp;"")</f>
        <v/>
      </c>
      <c r="AA2942" s="59">
        <f>IF($Y2942="","",IF(INDEX($D$6:$D$40000,$Y2942)="","",INDEX($D$6:$D$40000,$Y2942)))</f>
        <v/>
      </c>
      <c r="AB2942">
        <f>IF($Y2942="","",INDEX($L$6:$L$40000,$Y2942)&amp;"")</f>
        <v/>
      </c>
    </row>
    <row r="2943">
      <c r="Y2943" s="47">
        <f>IFERROR(MATCH(Library!M2943,$M$6:$M$40000,0),"")</f>
        <v/>
      </c>
      <c r="Z2943">
        <f>IF($Y2943="","",INDEX($C$6:$C$40000,$Y2943)&amp;"")</f>
        <v/>
      </c>
      <c r="AA2943" s="59">
        <f>IF($Y2943="","",IF(INDEX($D$6:$D$40000,$Y2943)="","",INDEX($D$6:$D$40000,$Y2943)))</f>
        <v/>
      </c>
      <c r="AB2943">
        <f>IF($Y2943="","",INDEX($L$6:$L$40000,$Y2943)&amp;"")</f>
        <v/>
      </c>
    </row>
    <row r="2944">
      <c r="Y2944" s="47">
        <f>IFERROR(MATCH(Library!M2944,$M$6:$M$40000,0),"")</f>
        <v/>
      </c>
      <c r="Z2944">
        <f>IF($Y2944="","",INDEX($C$6:$C$40000,$Y2944)&amp;"")</f>
        <v/>
      </c>
      <c r="AA2944" s="59">
        <f>IF($Y2944="","",IF(INDEX($D$6:$D$40000,$Y2944)="","",INDEX($D$6:$D$40000,$Y2944)))</f>
        <v/>
      </c>
      <c r="AB2944">
        <f>IF($Y2944="","",INDEX($L$6:$L$40000,$Y2944)&amp;"")</f>
        <v/>
      </c>
    </row>
    <row r="2945">
      <c r="Y2945" s="47">
        <f>IFERROR(MATCH(Library!M2945,$M$6:$M$40000,0),"")</f>
        <v/>
      </c>
      <c r="Z2945">
        <f>IF($Y2945="","",INDEX($C$6:$C$40000,$Y2945)&amp;"")</f>
        <v/>
      </c>
      <c r="AA2945" s="59">
        <f>IF($Y2945="","",IF(INDEX($D$6:$D$40000,$Y2945)="","",INDEX($D$6:$D$40000,$Y2945)))</f>
        <v/>
      </c>
      <c r="AB2945">
        <f>IF($Y2945="","",INDEX($L$6:$L$40000,$Y2945)&amp;"")</f>
        <v/>
      </c>
    </row>
    <row r="2946">
      <c r="Y2946" s="47">
        <f>IFERROR(MATCH(Library!M2946,$M$6:$M$40000,0),"")</f>
        <v/>
      </c>
      <c r="Z2946">
        <f>IF($Y2946="","",INDEX($C$6:$C$40000,$Y2946)&amp;"")</f>
        <v/>
      </c>
      <c r="AA2946" s="59">
        <f>IF($Y2946="","",IF(INDEX($D$6:$D$40000,$Y2946)="","",INDEX($D$6:$D$40000,$Y2946)))</f>
        <v/>
      </c>
      <c r="AB2946">
        <f>IF($Y2946="","",INDEX($L$6:$L$40000,$Y2946)&amp;"")</f>
        <v/>
      </c>
    </row>
    <row r="2947">
      <c r="Y2947" s="47">
        <f>IFERROR(MATCH(Library!M2947,$M$6:$M$40000,0),"")</f>
        <v/>
      </c>
      <c r="Z2947">
        <f>IF($Y2947="","",INDEX($C$6:$C$40000,$Y2947)&amp;"")</f>
        <v/>
      </c>
      <c r="AA2947" s="59">
        <f>IF($Y2947="","",IF(INDEX($D$6:$D$40000,$Y2947)="","",INDEX($D$6:$D$40000,$Y2947)))</f>
        <v/>
      </c>
      <c r="AB2947">
        <f>IF($Y2947="","",INDEX($L$6:$L$40000,$Y2947)&amp;"")</f>
        <v/>
      </c>
    </row>
    <row r="2948">
      <c r="Y2948" s="47">
        <f>IFERROR(MATCH(Library!M2948,$M$6:$M$40000,0),"")</f>
        <v/>
      </c>
      <c r="Z2948">
        <f>IF($Y2948="","",INDEX($C$6:$C$40000,$Y2948)&amp;"")</f>
        <v/>
      </c>
      <c r="AA2948" s="59">
        <f>IF($Y2948="","",IF(INDEX($D$6:$D$40000,$Y2948)="","",INDEX($D$6:$D$40000,$Y2948)))</f>
        <v/>
      </c>
      <c r="AB2948">
        <f>IF($Y2948="","",INDEX($L$6:$L$40000,$Y2948)&amp;"")</f>
        <v/>
      </c>
    </row>
    <row r="2949">
      <c r="Y2949" s="47">
        <f>IFERROR(MATCH(Library!M2949,$M$6:$M$40000,0),"")</f>
        <v/>
      </c>
      <c r="Z2949">
        <f>IF($Y2949="","",INDEX($C$6:$C$40000,$Y2949)&amp;"")</f>
        <v/>
      </c>
      <c r="AA2949" s="59">
        <f>IF($Y2949="","",IF(INDEX($D$6:$D$40000,$Y2949)="","",INDEX($D$6:$D$40000,$Y2949)))</f>
        <v/>
      </c>
      <c r="AB2949">
        <f>IF($Y2949="","",INDEX($L$6:$L$40000,$Y2949)&amp;"")</f>
        <v/>
      </c>
    </row>
    <row r="2950">
      <c r="Y2950" s="47">
        <f>IFERROR(MATCH(Library!M2950,$M$6:$M$40000,0),"")</f>
        <v/>
      </c>
      <c r="Z2950">
        <f>IF($Y2950="","",INDEX($C$6:$C$40000,$Y2950)&amp;"")</f>
        <v/>
      </c>
      <c r="AA2950" s="59">
        <f>IF($Y2950="","",IF(INDEX($D$6:$D$40000,$Y2950)="","",INDEX($D$6:$D$40000,$Y2950)))</f>
        <v/>
      </c>
      <c r="AB2950">
        <f>IF($Y2950="","",INDEX($L$6:$L$40000,$Y2950)&amp;"")</f>
        <v/>
      </c>
    </row>
    <row r="2951">
      <c r="Y2951" s="47">
        <f>IFERROR(MATCH(Library!M2951,$M$6:$M$40000,0),"")</f>
        <v/>
      </c>
      <c r="Z2951">
        <f>IF($Y2951="","",INDEX($C$6:$C$40000,$Y2951)&amp;"")</f>
        <v/>
      </c>
      <c r="AA2951" s="59">
        <f>IF($Y2951="","",IF(INDEX($D$6:$D$40000,$Y2951)="","",INDEX($D$6:$D$40000,$Y2951)))</f>
        <v/>
      </c>
      <c r="AB2951">
        <f>IF($Y2951="","",INDEX($L$6:$L$40000,$Y2951)&amp;"")</f>
        <v/>
      </c>
    </row>
    <row r="2952">
      <c r="Y2952" s="47">
        <f>IFERROR(MATCH(Library!M2952,$M$6:$M$40000,0),"")</f>
        <v/>
      </c>
      <c r="Z2952">
        <f>IF($Y2952="","",INDEX($C$6:$C$40000,$Y2952)&amp;"")</f>
        <v/>
      </c>
      <c r="AA2952" s="59">
        <f>IF($Y2952="","",IF(INDEX($D$6:$D$40000,$Y2952)="","",INDEX($D$6:$D$40000,$Y2952)))</f>
        <v/>
      </c>
      <c r="AB2952">
        <f>IF($Y2952="","",INDEX($L$6:$L$40000,$Y2952)&amp;"")</f>
        <v/>
      </c>
    </row>
    <row r="2953">
      <c r="Y2953" s="47">
        <f>IFERROR(MATCH(Library!M2953,$M$6:$M$40000,0),"")</f>
        <v/>
      </c>
      <c r="Z2953">
        <f>IF($Y2953="","",INDEX($C$6:$C$40000,$Y2953)&amp;"")</f>
        <v/>
      </c>
      <c r="AA2953" s="59">
        <f>IF($Y2953="","",IF(INDEX($D$6:$D$40000,$Y2953)="","",INDEX($D$6:$D$40000,$Y2953)))</f>
        <v/>
      </c>
      <c r="AB2953">
        <f>IF($Y2953="","",INDEX($L$6:$L$40000,$Y2953)&amp;"")</f>
        <v/>
      </c>
    </row>
    <row r="2954">
      <c r="Y2954" s="47">
        <f>IFERROR(MATCH(Library!M2954,$M$6:$M$40000,0),"")</f>
        <v/>
      </c>
      <c r="Z2954">
        <f>IF($Y2954="","",INDEX($C$6:$C$40000,$Y2954)&amp;"")</f>
        <v/>
      </c>
      <c r="AA2954" s="59">
        <f>IF($Y2954="","",IF(INDEX($D$6:$D$40000,$Y2954)="","",INDEX($D$6:$D$40000,$Y2954)))</f>
        <v/>
      </c>
      <c r="AB2954">
        <f>IF($Y2954="","",INDEX($L$6:$L$40000,$Y2954)&amp;"")</f>
        <v/>
      </c>
    </row>
    <row r="2955">
      <c r="Y2955" s="47">
        <f>IFERROR(MATCH(Library!M2955,$M$6:$M$40000,0),"")</f>
        <v/>
      </c>
      <c r="Z2955">
        <f>IF($Y2955="","",INDEX($C$6:$C$40000,$Y2955)&amp;"")</f>
        <v/>
      </c>
      <c r="AA2955" s="59">
        <f>IF($Y2955="","",IF(INDEX($D$6:$D$40000,$Y2955)="","",INDEX($D$6:$D$40000,$Y2955)))</f>
        <v/>
      </c>
      <c r="AB2955">
        <f>IF($Y2955="","",INDEX($L$6:$L$40000,$Y2955)&amp;"")</f>
        <v/>
      </c>
    </row>
    <row r="2956">
      <c r="Y2956" s="47">
        <f>IFERROR(MATCH(Library!M2956,$M$6:$M$40000,0),"")</f>
        <v/>
      </c>
      <c r="Z2956">
        <f>IF($Y2956="","",INDEX($C$6:$C$40000,$Y2956)&amp;"")</f>
        <v/>
      </c>
      <c r="AA2956" s="59">
        <f>IF($Y2956="","",IF(INDEX($D$6:$D$40000,$Y2956)="","",INDEX($D$6:$D$40000,$Y2956)))</f>
        <v/>
      </c>
      <c r="AB2956">
        <f>IF($Y2956="","",INDEX($L$6:$L$40000,$Y2956)&amp;"")</f>
        <v/>
      </c>
    </row>
    <row r="2957">
      <c r="Y2957" s="47">
        <f>IFERROR(MATCH(Library!M2957,$M$6:$M$40000,0),"")</f>
        <v/>
      </c>
      <c r="Z2957">
        <f>IF($Y2957="","",INDEX($C$6:$C$40000,$Y2957)&amp;"")</f>
        <v/>
      </c>
      <c r="AA2957" s="59">
        <f>IF($Y2957="","",IF(INDEX($D$6:$D$40000,$Y2957)="","",INDEX($D$6:$D$40000,$Y2957)))</f>
        <v/>
      </c>
      <c r="AB2957">
        <f>IF($Y2957="","",INDEX($L$6:$L$40000,$Y2957)&amp;"")</f>
        <v/>
      </c>
    </row>
    <row r="2958">
      <c r="Y2958" s="47">
        <f>IFERROR(MATCH(Library!M2958,$M$6:$M$40000,0),"")</f>
        <v/>
      </c>
      <c r="Z2958">
        <f>IF($Y2958="","",INDEX($C$6:$C$40000,$Y2958)&amp;"")</f>
        <v/>
      </c>
      <c r="AA2958" s="59">
        <f>IF($Y2958="","",IF(INDEX($D$6:$D$40000,$Y2958)="","",INDEX($D$6:$D$40000,$Y2958)))</f>
        <v/>
      </c>
      <c r="AB2958">
        <f>IF($Y2958="","",INDEX($L$6:$L$40000,$Y2958)&amp;"")</f>
        <v/>
      </c>
    </row>
    <row r="2959">
      <c r="Y2959" s="47">
        <f>IFERROR(MATCH(Library!M2959,$M$6:$M$40000,0),"")</f>
        <v/>
      </c>
      <c r="Z2959">
        <f>IF($Y2959="","",INDEX($C$6:$C$40000,$Y2959)&amp;"")</f>
        <v/>
      </c>
      <c r="AA2959" s="59">
        <f>IF($Y2959="","",IF(INDEX($D$6:$D$40000,$Y2959)="","",INDEX($D$6:$D$40000,$Y2959)))</f>
        <v/>
      </c>
      <c r="AB2959">
        <f>IF($Y2959="","",INDEX($L$6:$L$40000,$Y2959)&amp;"")</f>
        <v/>
      </c>
    </row>
    <row r="2960">
      <c r="Y2960" s="47">
        <f>IFERROR(MATCH(Library!M2960,$M$6:$M$40000,0),"")</f>
        <v/>
      </c>
      <c r="Z2960">
        <f>IF($Y2960="","",INDEX($C$6:$C$40000,$Y2960)&amp;"")</f>
        <v/>
      </c>
      <c r="AA2960" s="59">
        <f>IF($Y2960="","",IF(INDEX($D$6:$D$40000,$Y2960)="","",INDEX($D$6:$D$40000,$Y2960)))</f>
        <v/>
      </c>
      <c r="AB2960">
        <f>IF($Y2960="","",INDEX($L$6:$L$40000,$Y2960)&amp;"")</f>
        <v/>
      </c>
    </row>
    <row r="2961">
      <c r="Y2961" s="47">
        <f>IFERROR(MATCH(Library!M2961,$M$6:$M$40000,0),"")</f>
        <v/>
      </c>
      <c r="Z2961">
        <f>IF($Y2961="","",INDEX($C$6:$C$40000,$Y2961)&amp;"")</f>
        <v/>
      </c>
      <c r="AA2961" s="59">
        <f>IF($Y2961="","",IF(INDEX($D$6:$D$40000,$Y2961)="","",INDEX($D$6:$D$40000,$Y2961)))</f>
        <v/>
      </c>
      <c r="AB2961">
        <f>IF($Y2961="","",INDEX($L$6:$L$40000,$Y2961)&amp;"")</f>
        <v/>
      </c>
    </row>
    <row r="2962">
      <c r="Y2962" s="47">
        <f>IFERROR(MATCH(Library!M2962,$M$6:$M$40000,0),"")</f>
        <v/>
      </c>
      <c r="Z2962">
        <f>IF($Y2962="","",INDEX($C$6:$C$40000,$Y2962)&amp;"")</f>
        <v/>
      </c>
      <c r="AA2962" s="59">
        <f>IF($Y2962="","",IF(INDEX($D$6:$D$40000,$Y2962)="","",INDEX($D$6:$D$40000,$Y2962)))</f>
        <v/>
      </c>
      <c r="AB2962">
        <f>IF($Y2962="","",INDEX($L$6:$L$40000,$Y2962)&amp;"")</f>
        <v/>
      </c>
    </row>
    <row r="2963">
      <c r="Y2963" s="47">
        <f>IFERROR(MATCH(Library!M2963,$M$6:$M$40000,0),"")</f>
        <v/>
      </c>
      <c r="Z2963">
        <f>IF($Y2963="","",INDEX($C$6:$C$40000,$Y2963)&amp;"")</f>
        <v/>
      </c>
      <c r="AA2963" s="59">
        <f>IF($Y2963="","",IF(INDEX($D$6:$D$40000,$Y2963)="","",INDEX($D$6:$D$40000,$Y2963)))</f>
        <v/>
      </c>
      <c r="AB2963">
        <f>IF($Y2963="","",INDEX($L$6:$L$40000,$Y2963)&amp;"")</f>
        <v/>
      </c>
    </row>
    <row r="2964">
      <c r="Y2964" s="47">
        <f>IFERROR(MATCH(Library!M2964,$M$6:$M$40000,0),"")</f>
        <v/>
      </c>
      <c r="Z2964">
        <f>IF($Y2964="","",INDEX($C$6:$C$40000,$Y2964)&amp;"")</f>
        <v/>
      </c>
      <c r="AA2964" s="59">
        <f>IF($Y2964="","",IF(INDEX($D$6:$D$40000,$Y2964)="","",INDEX($D$6:$D$40000,$Y2964)))</f>
        <v/>
      </c>
      <c r="AB2964">
        <f>IF($Y2964="","",INDEX($L$6:$L$40000,$Y2964)&amp;"")</f>
        <v/>
      </c>
    </row>
    <row r="2965">
      <c r="Y2965" s="47">
        <f>IFERROR(MATCH(Library!M2965,$M$6:$M$40000,0),"")</f>
        <v/>
      </c>
      <c r="Z2965">
        <f>IF($Y2965="","",INDEX($C$6:$C$40000,$Y2965)&amp;"")</f>
        <v/>
      </c>
      <c r="AA2965" s="59">
        <f>IF($Y2965="","",IF(INDEX($D$6:$D$40000,$Y2965)="","",INDEX($D$6:$D$40000,$Y2965)))</f>
        <v/>
      </c>
      <c r="AB2965">
        <f>IF($Y2965="","",INDEX($L$6:$L$40000,$Y2965)&amp;"")</f>
        <v/>
      </c>
    </row>
    <row r="2966">
      <c r="Y2966" s="47">
        <f>IFERROR(MATCH(Library!M2966,$M$6:$M$40000,0),"")</f>
        <v/>
      </c>
      <c r="Z2966">
        <f>IF($Y2966="","",INDEX($C$6:$C$40000,$Y2966)&amp;"")</f>
        <v/>
      </c>
      <c r="AA2966" s="59">
        <f>IF($Y2966="","",IF(INDEX($D$6:$D$40000,$Y2966)="","",INDEX($D$6:$D$40000,$Y2966)))</f>
        <v/>
      </c>
      <c r="AB2966">
        <f>IF($Y2966="","",INDEX($L$6:$L$40000,$Y2966)&amp;"")</f>
        <v/>
      </c>
    </row>
    <row r="2967">
      <c r="Y2967" s="47">
        <f>IFERROR(MATCH(Library!M2967,$M$6:$M$40000,0),"")</f>
        <v/>
      </c>
      <c r="Z2967">
        <f>IF($Y2967="","",INDEX($C$6:$C$40000,$Y2967)&amp;"")</f>
        <v/>
      </c>
      <c r="AA2967" s="59">
        <f>IF($Y2967="","",IF(INDEX($D$6:$D$40000,$Y2967)="","",INDEX($D$6:$D$40000,$Y2967)))</f>
        <v/>
      </c>
      <c r="AB2967">
        <f>IF($Y2967="","",INDEX($L$6:$L$40000,$Y2967)&amp;"")</f>
        <v/>
      </c>
    </row>
    <row r="2968">
      <c r="Y2968" s="47">
        <f>IFERROR(MATCH(Library!M2968,$M$6:$M$40000,0),"")</f>
        <v/>
      </c>
      <c r="Z2968">
        <f>IF($Y2968="","",INDEX($C$6:$C$40000,$Y2968)&amp;"")</f>
        <v/>
      </c>
      <c r="AA2968" s="59">
        <f>IF($Y2968="","",IF(INDEX($D$6:$D$40000,$Y2968)="","",INDEX($D$6:$D$40000,$Y2968)))</f>
        <v/>
      </c>
      <c r="AB2968">
        <f>IF($Y2968="","",INDEX($L$6:$L$40000,$Y2968)&amp;"")</f>
        <v/>
      </c>
    </row>
    <row r="2969">
      <c r="Y2969" s="47">
        <f>IFERROR(MATCH(Library!M2969,$M$6:$M$40000,0),"")</f>
        <v/>
      </c>
      <c r="Z2969">
        <f>IF($Y2969="","",INDEX($C$6:$C$40000,$Y2969)&amp;"")</f>
        <v/>
      </c>
      <c r="AA2969" s="59">
        <f>IF($Y2969="","",IF(INDEX($D$6:$D$40000,$Y2969)="","",INDEX($D$6:$D$40000,$Y2969)))</f>
        <v/>
      </c>
      <c r="AB2969">
        <f>IF($Y2969="","",INDEX($L$6:$L$40000,$Y2969)&amp;"")</f>
        <v/>
      </c>
    </row>
    <row r="2970">
      <c r="Y2970" s="47">
        <f>IFERROR(MATCH(Library!M2970,$M$6:$M$40000,0),"")</f>
        <v/>
      </c>
      <c r="Z2970">
        <f>IF($Y2970="","",INDEX($C$6:$C$40000,$Y2970)&amp;"")</f>
        <v/>
      </c>
      <c r="AA2970" s="59">
        <f>IF($Y2970="","",IF(INDEX($D$6:$D$40000,$Y2970)="","",INDEX($D$6:$D$40000,$Y2970)))</f>
        <v/>
      </c>
      <c r="AB2970">
        <f>IF($Y2970="","",INDEX($L$6:$L$40000,$Y2970)&amp;"")</f>
        <v/>
      </c>
    </row>
    <row r="2971">
      <c r="Y2971" s="47">
        <f>IFERROR(MATCH(Library!M2971,$M$6:$M$40000,0),"")</f>
        <v/>
      </c>
      <c r="Z2971">
        <f>IF($Y2971="","",INDEX($C$6:$C$40000,$Y2971)&amp;"")</f>
        <v/>
      </c>
      <c r="AA2971" s="59">
        <f>IF($Y2971="","",IF(INDEX($D$6:$D$40000,$Y2971)="","",INDEX($D$6:$D$40000,$Y2971)))</f>
        <v/>
      </c>
      <c r="AB2971">
        <f>IF($Y2971="","",INDEX($L$6:$L$40000,$Y2971)&amp;"")</f>
        <v/>
      </c>
    </row>
    <row r="2972">
      <c r="Y2972" s="47">
        <f>IFERROR(MATCH(Library!M2972,$M$6:$M$40000,0),"")</f>
        <v/>
      </c>
      <c r="Z2972">
        <f>IF($Y2972="","",INDEX($C$6:$C$40000,$Y2972)&amp;"")</f>
        <v/>
      </c>
      <c r="AA2972" s="59">
        <f>IF($Y2972="","",IF(INDEX($D$6:$D$40000,$Y2972)="","",INDEX($D$6:$D$40000,$Y2972)))</f>
        <v/>
      </c>
      <c r="AB2972">
        <f>IF($Y2972="","",INDEX($L$6:$L$40000,$Y2972)&amp;"")</f>
        <v/>
      </c>
    </row>
    <row r="2973">
      <c r="Y2973" s="47">
        <f>IFERROR(MATCH(Library!M2973,$M$6:$M$40000,0),"")</f>
        <v/>
      </c>
      <c r="Z2973">
        <f>IF($Y2973="","",INDEX($C$6:$C$40000,$Y2973)&amp;"")</f>
        <v/>
      </c>
      <c r="AA2973" s="59">
        <f>IF($Y2973="","",IF(INDEX($D$6:$D$40000,$Y2973)="","",INDEX($D$6:$D$40000,$Y2973)))</f>
        <v/>
      </c>
      <c r="AB2973">
        <f>IF($Y2973="","",INDEX($L$6:$L$40000,$Y2973)&amp;"")</f>
        <v/>
      </c>
    </row>
    <row r="2974">
      <c r="Y2974" s="47">
        <f>IFERROR(MATCH(Library!M2974,$M$6:$M$40000,0),"")</f>
        <v/>
      </c>
      <c r="Z2974">
        <f>IF($Y2974="","",INDEX($C$6:$C$40000,$Y2974)&amp;"")</f>
        <v/>
      </c>
      <c r="AA2974" s="59">
        <f>IF($Y2974="","",IF(INDEX($D$6:$D$40000,$Y2974)="","",INDEX($D$6:$D$40000,$Y2974)))</f>
        <v/>
      </c>
      <c r="AB2974">
        <f>IF($Y2974="","",INDEX($L$6:$L$40000,$Y2974)&amp;"")</f>
        <v/>
      </c>
    </row>
    <row r="2975">
      <c r="Y2975" s="47">
        <f>IFERROR(MATCH(Library!M2975,$M$6:$M$40000,0),"")</f>
        <v/>
      </c>
      <c r="Z2975">
        <f>IF($Y2975="","",INDEX($C$6:$C$40000,$Y2975)&amp;"")</f>
        <v/>
      </c>
      <c r="AA2975" s="59">
        <f>IF($Y2975="","",IF(INDEX($D$6:$D$40000,$Y2975)="","",INDEX($D$6:$D$40000,$Y2975)))</f>
        <v/>
      </c>
      <c r="AB2975">
        <f>IF($Y2975="","",INDEX($L$6:$L$40000,$Y2975)&amp;"")</f>
        <v/>
      </c>
    </row>
    <row r="2976">
      <c r="Y2976" s="47">
        <f>IFERROR(MATCH(Library!M2976,$M$6:$M$40000,0),"")</f>
        <v/>
      </c>
      <c r="Z2976">
        <f>IF($Y2976="","",INDEX($C$6:$C$40000,$Y2976)&amp;"")</f>
        <v/>
      </c>
      <c r="AA2976" s="59">
        <f>IF($Y2976="","",IF(INDEX($D$6:$D$40000,$Y2976)="","",INDEX($D$6:$D$40000,$Y2976)))</f>
        <v/>
      </c>
      <c r="AB2976">
        <f>IF($Y2976="","",INDEX($L$6:$L$40000,$Y2976)&amp;"")</f>
        <v/>
      </c>
    </row>
    <row r="2977">
      <c r="Y2977" s="47">
        <f>IFERROR(MATCH(Library!M2977,$M$6:$M$40000,0),"")</f>
        <v/>
      </c>
      <c r="Z2977">
        <f>IF($Y2977="","",INDEX($C$6:$C$40000,$Y2977)&amp;"")</f>
        <v/>
      </c>
      <c r="AA2977" s="59">
        <f>IF($Y2977="","",IF(INDEX($D$6:$D$40000,$Y2977)="","",INDEX($D$6:$D$40000,$Y2977)))</f>
        <v/>
      </c>
      <c r="AB2977">
        <f>IF($Y2977="","",INDEX($L$6:$L$40000,$Y2977)&amp;"")</f>
        <v/>
      </c>
    </row>
    <row r="2978">
      <c r="Y2978" s="47">
        <f>IFERROR(MATCH(Library!M2978,$M$6:$M$40000,0),"")</f>
        <v/>
      </c>
      <c r="Z2978">
        <f>IF($Y2978="","",INDEX($C$6:$C$40000,$Y2978)&amp;"")</f>
        <v/>
      </c>
      <c r="AA2978" s="59">
        <f>IF($Y2978="","",IF(INDEX($D$6:$D$40000,$Y2978)="","",INDEX($D$6:$D$40000,$Y2978)))</f>
        <v/>
      </c>
      <c r="AB2978">
        <f>IF($Y2978="","",INDEX($L$6:$L$40000,$Y2978)&amp;"")</f>
        <v/>
      </c>
    </row>
    <row r="2979">
      <c r="Y2979" s="47">
        <f>IFERROR(MATCH(Library!M2979,$M$6:$M$40000,0),"")</f>
        <v/>
      </c>
      <c r="Z2979">
        <f>IF($Y2979="","",INDEX($C$6:$C$40000,$Y2979)&amp;"")</f>
        <v/>
      </c>
      <c r="AA2979" s="59">
        <f>IF($Y2979="","",IF(INDEX($D$6:$D$40000,$Y2979)="","",INDEX($D$6:$D$40000,$Y2979)))</f>
        <v/>
      </c>
      <c r="AB2979">
        <f>IF($Y2979="","",INDEX($L$6:$L$40000,$Y2979)&amp;"")</f>
        <v/>
      </c>
    </row>
    <row r="2980">
      <c r="Y2980" s="47">
        <f>IFERROR(MATCH(Library!M2980,$M$6:$M$40000,0),"")</f>
        <v/>
      </c>
      <c r="Z2980">
        <f>IF($Y2980="","",INDEX($C$6:$C$40000,$Y2980)&amp;"")</f>
        <v/>
      </c>
      <c r="AA2980" s="59">
        <f>IF($Y2980="","",IF(INDEX($D$6:$D$40000,$Y2980)="","",INDEX($D$6:$D$40000,$Y2980)))</f>
        <v/>
      </c>
      <c r="AB2980">
        <f>IF($Y2980="","",INDEX($L$6:$L$40000,$Y2980)&amp;"")</f>
        <v/>
      </c>
    </row>
    <row r="2981">
      <c r="Y2981" s="47">
        <f>IFERROR(MATCH(Library!M2981,$M$6:$M$40000,0),"")</f>
        <v/>
      </c>
      <c r="Z2981">
        <f>IF($Y2981="","",INDEX($C$6:$C$40000,$Y2981)&amp;"")</f>
        <v/>
      </c>
      <c r="AA2981" s="59">
        <f>IF($Y2981="","",IF(INDEX($D$6:$D$40000,$Y2981)="","",INDEX($D$6:$D$40000,$Y2981)))</f>
        <v/>
      </c>
      <c r="AB2981">
        <f>IF($Y2981="","",INDEX($L$6:$L$40000,$Y2981)&amp;"")</f>
        <v/>
      </c>
    </row>
    <row r="2982">
      <c r="Y2982" s="47">
        <f>IFERROR(MATCH(Library!M2982,$M$6:$M$40000,0),"")</f>
        <v/>
      </c>
      <c r="Z2982">
        <f>IF($Y2982="","",INDEX($C$6:$C$40000,$Y2982)&amp;"")</f>
        <v/>
      </c>
      <c r="AA2982" s="59">
        <f>IF($Y2982="","",IF(INDEX($D$6:$D$40000,$Y2982)="","",INDEX($D$6:$D$40000,$Y2982)))</f>
        <v/>
      </c>
      <c r="AB2982">
        <f>IF($Y2982="","",INDEX($L$6:$L$40000,$Y2982)&amp;"")</f>
        <v/>
      </c>
    </row>
    <row r="2983">
      <c r="Y2983" s="47">
        <f>IFERROR(MATCH(Library!M2983,$M$6:$M$40000,0),"")</f>
        <v/>
      </c>
      <c r="Z2983">
        <f>IF($Y2983="","",INDEX($C$6:$C$40000,$Y2983)&amp;"")</f>
        <v/>
      </c>
      <c r="AA2983" s="59">
        <f>IF($Y2983="","",IF(INDEX($D$6:$D$40000,$Y2983)="","",INDEX($D$6:$D$40000,$Y2983)))</f>
        <v/>
      </c>
      <c r="AB2983">
        <f>IF($Y2983="","",INDEX($L$6:$L$40000,$Y2983)&amp;"")</f>
        <v/>
      </c>
    </row>
    <row r="2984">
      <c r="Y2984" s="47">
        <f>IFERROR(MATCH(Library!M2984,$M$6:$M$40000,0),"")</f>
        <v/>
      </c>
      <c r="Z2984">
        <f>IF($Y2984="","",INDEX($C$6:$C$40000,$Y2984)&amp;"")</f>
        <v/>
      </c>
      <c r="AA2984" s="59">
        <f>IF($Y2984="","",IF(INDEX($D$6:$D$40000,$Y2984)="","",INDEX($D$6:$D$40000,$Y2984)))</f>
        <v/>
      </c>
      <c r="AB2984">
        <f>IF($Y2984="","",INDEX($L$6:$L$40000,$Y2984)&amp;"")</f>
        <v/>
      </c>
    </row>
    <row r="2985">
      <c r="Y2985" s="47">
        <f>IFERROR(MATCH(Library!M2985,$M$6:$M$40000,0),"")</f>
        <v/>
      </c>
      <c r="Z2985">
        <f>IF($Y2985="","",INDEX($C$6:$C$40000,$Y2985)&amp;"")</f>
        <v/>
      </c>
      <c r="AA2985" s="59">
        <f>IF($Y2985="","",IF(INDEX($D$6:$D$40000,$Y2985)="","",INDEX($D$6:$D$40000,$Y2985)))</f>
        <v/>
      </c>
      <c r="AB2985">
        <f>IF($Y2985="","",INDEX($L$6:$L$40000,$Y2985)&amp;"")</f>
        <v/>
      </c>
    </row>
    <row r="2986">
      <c r="Y2986" s="47">
        <f>IFERROR(MATCH(Library!M2986,$M$6:$M$40000,0),"")</f>
        <v/>
      </c>
      <c r="Z2986">
        <f>IF($Y2986="","",INDEX($C$6:$C$40000,$Y2986)&amp;"")</f>
        <v/>
      </c>
      <c r="AA2986" s="59">
        <f>IF($Y2986="","",IF(INDEX($D$6:$D$40000,$Y2986)="","",INDEX($D$6:$D$40000,$Y2986)))</f>
        <v/>
      </c>
      <c r="AB2986">
        <f>IF($Y2986="","",INDEX($L$6:$L$40000,$Y2986)&amp;"")</f>
        <v/>
      </c>
    </row>
    <row r="2987">
      <c r="Y2987" s="47">
        <f>IFERROR(MATCH(Library!M2987,$M$6:$M$40000,0),"")</f>
        <v/>
      </c>
      <c r="Z2987">
        <f>IF($Y2987="","",INDEX($C$6:$C$40000,$Y2987)&amp;"")</f>
        <v/>
      </c>
      <c r="AA2987" s="59">
        <f>IF($Y2987="","",IF(INDEX($D$6:$D$40000,$Y2987)="","",INDEX($D$6:$D$40000,$Y2987)))</f>
        <v/>
      </c>
      <c r="AB2987">
        <f>IF($Y2987="","",INDEX($L$6:$L$40000,$Y2987)&amp;"")</f>
        <v/>
      </c>
    </row>
    <row r="2988">
      <c r="Y2988" s="47">
        <f>IFERROR(MATCH(Library!M2988,$M$6:$M$40000,0),"")</f>
        <v/>
      </c>
      <c r="Z2988">
        <f>IF($Y2988="","",INDEX($C$6:$C$40000,$Y2988)&amp;"")</f>
        <v/>
      </c>
      <c r="AA2988" s="59">
        <f>IF($Y2988="","",IF(INDEX($D$6:$D$40000,$Y2988)="","",INDEX($D$6:$D$40000,$Y2988)))</f>
        <v/>
      </c>
      <c r="AB2988">
        <f>IF($Y2988="","",INDEX($L$6:$L$40000,$Y2988)&amp;"")</f>
        <v/>
      </c>
    </row>
    <row r="2989">
      <c r="Y2989" s="47">
        <f>IFERROR(MATCH(Library!M2989,$M$6:$M$40000,0),"")</f>
        <v/>
      </c>
      <c r="Z2989">
        <f>IF($Y2989="","",INDEX($C$6:$C$40000,$Y2989)&amp;"")</f>
        <v/>
      </c>
      <c r="AA2989" s="59">
        <f>IF($Y2989="","",IF(INDEX($D$6:$D$40000,$Y2989)="","",INDEX($D$6:$D$40000,$Y2989)))</f>
        <v/>
      </c>
      <c r="AB2989">
        <f>IF($Y2989="","",INDEX($L$6:$L$40000,$Y2989)&amp;"")</f>
        <v/>
      </c>
    </row>
    <row r="2990">
      <c r="Y2990" s="47">
        <f>IFERROR(MATCH(Library!M2990,$M$6:$M$40000,0),"")</f>
        <v/>
      </c>
      <c r="Z2990">
        <f>IF($Y2990="","",INDEX($C$6:$C$40000,$Y2990)&amp;"")</f>
        <v/>
      </c>
      <c r="AA2990" s="59">
        <f>IF($Y2990="","",IF(INDEX($D$6:$D$40000,$Y2990)="","",INDEX($D$6:$D$40000,$Y2990)))</f>
        <v/>
      </c>
      <c r="AB2990">
        <f>IF($Y2990="","",INDEX($L$6:$L$40000,$Y2990)&amp;"")</f>
        <v/>
      </c>
    </row>
    <row r="2991">
      <c r="Y2991" s="47">
        <f>IFERROR(MATCH(Library!M2991,$M$6:$M$40000,0),"")</f>
        <v/>
      </c>
      <c r="Z2991">
        <f>IF($Y2991="","",INDEX($C$6:$C$40000,$Y2991)&amp;"")</f>
        <v/>
      </c>
      <c r="AA2991" s="59">
        <f>IF($Y2991="","",IF(INDEX($D$6:$D$40000,$Y2991)="","",INDEX($D$6:$D$40000,$Y2991)))</f>
        <v/>
      </c>
      <c r="AB2991">
        <f>IF($Y2991="","",INDEX($L$6:$L$40000,$Y2991)&amp;"")</f>
        <v/>
      </c>
    </row>
    <row r="2992">
      <c r="Y2992" s="47">
        <f>IFERROR(MATCH(Library!M2992,$M$6:$M$40000,0),"")</f>
        <v/>
      </c>
      <c r="Z2992">
        <f>IF($Y2992="","",INDEX($C$6:$C$40000,$Y2992)&amp;"")</f>
        <v/>
      </c>
      <c r="AA2992" s="59">
        <f>IF($Y2992="","",IF(INDEX($D$6:$D$40000,$Y2992)="","",INDEX($D$6:$D$40000,$Y2992)))</f>
        <v/>
      </c>
      <c r="AB2992">
        <f>IF($Y2992="","",INDEX($L$6:$L$40000,$Y2992)&amp;"")</f>
        <v/>
      </c>
    </row>
    <row r="2993">
      <c r="Y2993" s="47">
        <f>IFERROR(MATCH(Library!M2993,$M$6:$M$40000,0),"")</f>
        <v/>
      </c>
      <c r="Z2993">
        <f>IF($Y2993="","",INDEX($C$6:$C$40000,$Y2993)&amp;"")</f>
        <v/>
      </c>
      <c r="AA2993" s="59">
        <f>IF($Y2993="","",IF(INDEX($D$6:$D$40000,$Y2993)="","",INDEX($D$6:$D$40000,$Y2993)))</f>
        <v/>
      </c>
      <c r="AB2993">
        <f>IF($Y2993="","",INDEX($L$6:$L$40000,$Y2993)&amp;"")</f>
        <v/>
      </c>
    </row>
    <row r="2994">
      <c r="Y2994" s="47">
        <f>IFERROR(MATCH(Library!M2994,$M$6:$M$40000,0),"")</f>
        <v/>
      </c>
      <c r="Z2994">
        <f>IF($Y2994="","",INDEX($C$6:$C$40000,$Y2994)&amp;"")</f>
        <v/>
      </c>
      <c r="AA2994" s="59">
        <f>IF($Y2994="","",IF(INDEX($D$6:$D$40000,$Y2994)="","",INDEX($D$6:$D$40000,$Y2994)))</f>
        <v/>
      </c>
      <c r="AB2994">
        <f>IF($Y2994="","",INDEX($L$6:$L$40000,$Y2994)&amp;"")</f>
        <v/>
      </c>
    </row>
    <row r="2995">
      <c r="Y2995" s="47">
        <f>IFERROR(MATCH(Library!M2995,$M$6:$M$40000,0),"")</f>
        <v/>
      </c>
      <c r="Z2995">
        <f>IF($Y2995="","",INDEX($C$6:$C$40000,$Y2995)&amp;"")</f>
        <v/>
      </c>
      <c r="AA2995" s="59">
        <f>IF($Y2995="","",IF(INDEX($D$6:$D$40000,$Y2995)="","",INDEX($D$6:$D$40000,$Y2995)))</f>
        <v/>
      </c>
      <c r="AB2995">
        <f>IF($Y2995="","",INDEX($L$6:$L$40000,$Y2995)&amp;"")</f>
        <v/>
      </c>
    </row>
    <row r="2996">
      <c r="Y2996" s="47">
        <f>IFERROR(MATCH(Library!M2996,$M$6:$M$40000,0),"")</f>
        <v/>
      </c>
      <c r="Z2996">
        <f>IF($Y2996="","",INDEX($C$6:$C$40000,$Y2996)&amp;"")</f>
        <v/>
      </c>
      <c r="AA2996" s="59">
        <f>IF($Y2996="","",IF(INDEX($D$6:$D$40000,$Y2996)="","",INDEX($D$6:$D$40000,$Y2996)))</f>
        <v/>
      </c>
      <c r="AB2996">
        <f>IF($Y2996="","",INDEX($L$6:$L$40000,$Y2996)&amp;"")</f>
        <v/>
      </c>
    </row>
    <row r="2997">
      <c r="Y2997" s="47">
        <f>IFERROR(MATCH(Library!M2997,$M$6:$M$40000,0),"")</f>
        <v/>
      </c>
      <c r="Z2997">
        <f>IF($Y2997="","",INDEX($C$6:$C$40000,$Y2997)&amp;"")</f>
        <v/>
      </c>
      <c r="AA2997" s="59">
        <f>IF($Y2997="","",IF(INDEX($D$6:$D$40000,$Y2997)="","",INDEX($D$6:$D$40000,$Y2997)))</f>
        <v/>
      </c>
      <c r="AB2997">
        <f>IF($Y2997="","",INDEX($L$6:$L$40000,$Y2997)&amp;"")</f>
        <v/>
      </c>
    </row>
    <row r="2998">
      <c r="Y2998" s="47">
        <f>IFERROR(MATCH(Library!M2998,$M$6:$M$40000,0),"")</f>
        <v/>
      </c>
      <c r="Z2998">
        <f>IF($Y2998="","",INDEX($C$6:$C$40000,$Y2998)&amp;"")</f>
        <v/>
      </c>
      <c r="AA2998" s="59">
        <f>IF($Y2998="","",IF(INDEX($D$6:$D$40000,$Y2998)="","",INDEX($D$6:$D$40000,$Y2998)))</f>
        <v/>
      </c>
      <c r="AB2998">
        <f>IF($Y2998="","",INDEX($L$6:$L$40000,$Y2998)&amp;"")</f>
        <v/>
      </c>
    </row>
    <row r="2999">
      <c r="Y2999" s="47">
        <f>IFERROR(MATCH(Library!M2999,$M$6:$M$40000,0),"")</f>
        <v/>
      </c>
      <c r="Z2999">
        <f>IF($Y2999="","",INDEX($C$6:$C$40000,$Y2999)&amp;"")</f>
        <v/>
      </c>
      <c r="AA2999" s="59">
        <f>IF($Y2999="","",IF(INDEX($D$6:$D$40000,$Y2999)="","",INDEX($D$6:$D$40000,$Y2999)))</f>
        <v/>
      </c>
      <c r="AB2999">
        <f>IF($Y2999="","",INDEX($L$6:$L$40000,$Y2999)&amp;"")</f>
        <v/>
      </c>
    </row>
    <row r="3000">
      <c r="Y3000" s="47">
        <f>IFERROR(MATCH(Library!M3000,$M$6:$M$40000,0),"")</f>
        <v/>
      </c>
      <c r="Z3000">
        <f>IF($Y3000="","",INDEX($C$6:$C$40000,$Y3000)&amp;"")</f>
        <v/>
      </c>
      <c r="AA3000" s="59">
        <f>IF($Y3000="","",IF(INDEX($D$6:$D$40000,$Y3000)="","",INDEX($D$6:$D$40000,$Y3000)))</f>
        <v/>
      </c>
      <c r="AB3000">
        <f>IF($Y3000="","",INDEX($L$6:$L$40000,$Y3000)&amp;"")</f>
        <v/>
      </c>
    </row>
    <row r="3001">
      <c r="Y3001" s="47">
        <f>IFERROR(MATCH(Library!M3001,$M$6:$M$40000,0),"")</f>
        <v/>
      </c>
      <c r="Z3001">
        <f>IF($Y3001="","",INDEX($C$6:$C$40000,$Y3001)&amp;"")</f>
        <v/>
      </c>
      <c r="AA3001" s="59">
        <f>IF($Y3001="","",IF(INDEX($D$6:$D$40000,$Y3001)="","",INDEX($D$6:$D$40000,$Y3001)))</f>
        <v/>
      </c>
      <c r="AB3001">
        <f>IF($Y3001="","",INDEX($L$6:$L$40000,$Y3001)&amp;"")</f>
        <v/>
      </c>
    </row>
    <row r="3002">
      <c r="Y3002" s="47">
        <f>IFERROR(MATCH(Library!M3002,$M$6:$M$40000,0),"")</f>
        <v/>
      </c>
      <c r="Z3002">
        <f>IF($Y3002="","",INDEX($C$6:$C$40000,$Y3002)&amp;"")</f>
        <v/>
      </c>
      <c r="AA3002" s="59">
        <f>IF($Y3002="","",IF(INDEX($D$6:$D$40000,$Y3002)="","",INDEX($D$6:$D$40000,$Y3002)))</f>
        <v/>
      </c>
      <c r="AB3002">
        <f>IF($Y3002="","",INDEX($L$6:$L$40000,$Y3002)&amp;"")</f>
        <v/>
      </c>
    </row>
    <row r="3003">
      <c r="Y3003" s="47">
        <f>IFERROR(MATCH(Library!M3003,$M$6:$M$40000,0),"")</f>
        <v/>
      </c>
      <c r="Z3003">
        <f>IF($Y3003="","",INDEX($C$6:$C$40000,$Y3003)&amp;"")</f>
        <v/>
      </c>
      <c r="AA3003" s="59">
        <f>IF($Y3003="","",IF(INDEX($D$6:$D$40000,$Y3003)="","",INDEX($D$6:$D$40000,$Y3003)))</f>
        <v/>
      </c>
      <c r="AB3003">
        <f>IF($Y3003="","",INDEX($L$6:$L$40000,$Y3003)&amp;"")</f>
        <v/>
      </c>
    </row>
    <row r="3004">
      <c r="Y3004" s="47">
        <f>IFERROR(MATCH(Library!M3004,$M$6:$M$40000,0),"")</f>
        <v/>
      </c>
      <c r="Z3004">
        <f>IF($Y3004="","",INDEX($C$6:$C$40000,$Y3004)&amp;"")</f>
        <v/>
      </c>
      <c r="AA3004" s="59">
        <f>IF($Y3004="","",IF(INDEX($D$6:$D$40000,$Y3004)="","",INDEX($D$6:$D$40000,$Y3004)))</f>
        <v/>
      </c>
      <c r="AB3004">
        <f>IF($Y3004="","",INDEX($L$6:$L$40000,$Y3004)&amp;"")</f>
        <v/>
      </c>
    </row>
    <row r="3005">
      <c r="Y3005" s="47">
        <f>IFERROR(MATCH(Library!M3005,$M$6:$M$40000,0),"")</f>
        <v/>
      </c>
      <c r="Z3005">
        <f>IF($Y3005="","",INDEX($C$6:$C$40000,$Y3005)&amp;"")</f>
        <v/>
      </c>
      <c r="AA3005" s="59">
        <f>IF($Y3005="","",IF(INDEX($D$6:$D$40000,$Y3005)="","",INDEX($D$6:$D$40000,$Y3005)))</f>
        <v/>
      </c>
      <c r="AB3005">
        <f>IF($Y3005="","",INDEX($L$6:$L$40000,$Y3005)&amp;"")</f>
        <v/>
      </c>
    </row>
    <row r="3006">
      <c r="Y3006" s="47">
        <f>IFERROR(MATCH(Library!M3006,$M$6:$M$40000,0),"")</f>
        <v/>
      </c>
      <c r="Z3006">
        <f>IF($Y3006="","",INDEX($C$6:$C$40000,$Y3006)&amp;"")</f>
        <v/>
      </c>
      <c r="AA3006" s="59">
        <f>IF($Y3006="","",IF(INDEX($D$6:$D$40000,$Y3006)="","",INDEX($D$6:$D$40000,$Y3006)))</f>
        <v/>
      </c>
      <c r="AB3006">
        <f>IF($Y3006="","",INDEX($L$6:$L$40000,$Y3006)&amp;"")</f>
        <v/>
      </c>
    </row>
    <row r="3007">
      <c r="Y3007" s="47">
        <f>IFERROR(MATCH(Library!M3007,$M$6:$M$40000,0),"")</f>
        <v/>
      </c>
      <c r="Z3007">
        <f>IF($Y3007="","",INDEX($C$6:$C$40000,$Y3007)&amp;"")</f>
        <v/>
      </c>
      <c r="AA3007" s="59">
        <f>IF($Y3007="","",IF(INDEX($D$6:$D$40000,$Y3007)="","",INDEX($D$6:$D$40000,$Y3007)))</f>
        <v/>
      </c>
      <c r="AB3007">
        <f>IF($Y3007="","",INDEX($L$6:$L$40000,$Y3007)&amp;"")</f>
        <v/>
      </c>
    </row>
    <row r="3008">
      <c r="Y3008" s="47">
        <f>IFERROR(MATCH(Library!M3008,$M$6:$M$40000,0),"")</f>
        <v/>
      </c>
      <c r="Z3008">
        <f>IF($Y3008="","",INDEX($C$6:$C$40000,$Y3008)&amp;"")</f>
        <v/>
      </c>
      <c r="AA3008" s="59">
        <f>IF($Y3008="","",IF(INDEX($D$6:$D$40000,$Y3008)="","",INDEX($D$6:$D$40000,$Y3008)))</f>
        <v/>
      </c>
      <c r="AB3008">
        <f>IF($Y3008="","",INDEX($L$6:$L$40000,$Y3008)&amp;"")</f>
        <v/>
      </c>
    </row>
    <row r="3009">
      <c r="Y3009" s="47">
        <f>IFERROR(MATCH(Library!M3009,$M$6:$M$40000,0),"")</f>
        <v/>
      </c>
      <c r="Z3009">
        <f>IF($Y3009="","",INDEX($C$6:$C$40000,$Y3009)&amp;"")</f>
        <v/>
      </c>
      <c r="AA3009" s="59">
        <f>IF($Y3009="","",IF(INDEX($D$6:$D$40000,$Y3009)="","",INDEX($D$6:$D$40000,$Y3009)))</f>
        <v/>
      </c>
      <c r="AB3009">
        <f>IF($Y3009="","",INDEX($L$6:$L$40000,$Y3009)&amp;"")</f>
        <v/>
      </c>
    </row>
    <row r="3010">
      <c r="Y3010" s="47">
        <f>IFERROR(MATCH(Library!M3010,$M$6:$M$40000,0),"")</f>
        <v/>
      </c>
      <c r="Z3010">
        <f>IF($Y3010="","",INDEX($C$6:$C$40000,$Y3010)&amp;"")</f>
        <v/>
      </c>
      <c r="AA3010" s="59">
        <f>IF($Y3010="","",IF(INDEX($D$6:$D$40000,$Y3010)="","",INDEX($D$6:$D$40000,$Y3010)))</f>
        <v/>
      </c>
      <c r="AB3010">
        <f>IF($Y3010="","",INDEX($L$6:$L$40000,$Y3010)&amp;"")</f>
        <v/>
      </c>
    </row>
    <row r="3011">
      <c r="Y3011" s="47">
        <f>IFERROR(MATCH(Library!M3011,$M$6:$M$40000,0),"")</f>
        <v/>
      </c>
      <c r="Z3011">
        <f>IF($Y3011="","",INDEX($C$6:$C$40000,$Y3011)&amp;"")</f>
        <v/>
      </c>
      <c r="AA3011" s="59">
        <f>IF($Y3011="","",IF(INDEX($D$6:$D$40000,$Y3011)="","",INDEX($D$6:$D$40000,$Y3011)))</f>
        <v/>
      </c>
      <c r="AB3011">
        <f>IF($Y3011="","",INDEX($L$6:$L$40000,$Y3011)&amp;"")</f>
        <v/>
      </c>
    </row>
    <row r="3012">
      <c r="Y3012" s="47">
        <f>IFERROR(MATCH(Library!M3012,$M$6:$M$40000,0),"")</f>
        <v/>
      </c>
      <c r="Z3012">
        <f>IF($Y3012="","",INDEX($C$6:$C$40000,$Y3012)&amp;"")</f>
        <v/>
      </c>
      <c r="AA3012" s="59">
        <f>IF($Y3012="","",IF(INDEX($D$6:$D$40000,$Y3012)="","",INDEX($D$6:$D$40000,$Y3012)))</f>
        <v/>
      </c>
      <c r="AB3012">
        <f>IF($Y3012="","",INDEX($L$6:$L$40000,$Y3012)&amp;"")</f>
        <v/>
      </c>
    </row>
    <row r="3013">
      <c r="Y3013" s="47">
        <f>IFERROR(MATCH(Library!M3013,$M$6:$M$40000,0),"")</f>
        <v/>
      </c>
      <c r="Z3013">
        <f>IF($Y3013="","",INDEX($C$6:$C$40000,$Y3013)&amp;"")</f>
        <v/>
      </c>
      <c r="AA3013" s="59">
        <f>IF($Y3013="","",IF(INDEX($D$6:$D$40000,$Y3013)="","",INDEX($D$6:$D$40000,$Y3013)))</f>
        <v/>
      </c>
      <c r="AB3013">
        <f>IF($Y3013="","",INDEX($L$6:$L$40000,$Y3013)&amp;"")</f>
        <v/>
      </c>
    </row>
    <row r="3014">
      <c r="Y3014" s="47">
        <f>IFERROR(MATCH(Library!M3014,$M$6:$M$40000,0),"")</f>
        <v/>
      </c>
      <c r="Z3014">
        <f>IF($Y3014="","",INDEX($C$6:$C$40000,$Y3014)&amp;"")</f>
        <v/>
      </c>
      <c r="AA3014" s="59">
        <f>IF($Y3014="","",IF(INDEX($D$6:$D$40000,$Y3014)="","",INDEX($D$6:$D$40000,$Y3014)))</f>
        <v/>
      </c>
      <c r="AB3014">
        <f>IF($Y3014="","",INDEX($L$6:$L$40000,$Y3014)&amp;"")</f>
        <v/>
      </c>
    </row>
    <row r="3015">
      <c r="Y3015" s="47">
        <f>IFERROR(MATCH(Library!M3015,$M$6:$M$40000,0),"")</f>
        <v/>
      </c>
      <c r="Z3015">
        <f>IF($Y3015="","",INDEX($C$6:$C$40000,$Y3015)&amp;"")</f>
        <v/>
      </c>
      <c r="AA3015" s="59">
        <f>IF($Y3015="","",IF(INDEX($D$6:$D$40000,$Y3015)="","",INDEX($D$6:$D$40000,$Y3015)))</f>
        <v/>
      </c>
      <c r="AB3015">
        <f>IF($Y3015="","",INDEX($L$6:$L$40000,$Y3015)&amp;"")</f>
        <v/>
      </c>
    </row>
    <row r="3016">
      <c r="Y3016" s="47">
        <f>IFERROR(MATCH(Library!M3016,$M$6:$M$40000,0),"")</f>
        <v/>
      </c>
      <c r="Z3016">
        <f>IF($Y3016="","",INDEX($C$6:$C$40000,$Y3016)&amp;"")</f>
        <v/>
      </c>
      <c r="AA3016" s="59">
        <f>IF($Y3016="","",IF(INDEX($D$6:$D$40000,$Y3016)="","",INDEX($D$6:$D$40000,$Y3016)))</f>
        <v/>
      </c>
      <c r="AB3016">
        <f>IF($Y3016="","",INDEX($L$6:$L$40000,$Y3016)&amp;"")</f>
        <v/>
      </c>
    </row>
    <row r="3017">
      <c r="Y3017" s="47">
        <f>IFERROR(MATCH(Library!M3017,$M$6:$M$40000,0),"")</f>
        <v/>
      </c>
      <c r="Z3017">
        <f>IF($Y3017="","",INDEX($C$6:$C$40000,$Y3017)&amp;"")</f>
        <v/>
      </c>
      <c r="AA3017" s="59">
        <f>IF($Y3017="","",IF(INDEX($D$6:$D$40000,$Y3017)="","",INDEX($D$6:$D$40000,$Y3017)))</f>
        <v/>
      </c>
      <c r="AB3017">
        <f>IF($Y3017="","",INDEX($L$6:$L$40000,$Y3017)&amp;"")</f>
        <v/>
      </c>
    </row>
    <row r="3018">
      <c r="Y3018" s="47">
        <f>IFERROR(MATCH(Library!M3018,$M$6:$M$40000,0),"")</f>
        <v/>
      </c>
      <c r="Z3018">
        <f>IF($Y3018="","",INDEX($C$6:$C$40000,$Y3018)&amp;"")</f>
        <v/>
      </c>
      <c r="AA3018" s="59">
        <f>IF($Y3018="","",IF(INDEX($D$6:$D$40000,$Y3018)="","",INDEX($D$6:$D$40000,$Y3018)))</f>
        <v/>
      </c>
      <c r="AB3018">
        <f>IF($Y3018="","",INDEX($L$6:$L$40000,$Y3018)&amp;"")</f>
        <v/>
      </c>
    </row>
    <row r="3019">
      <c r="Y3019" s="47">
        <f>IFERROR(MATCH(Library!M3019,$M$6:$M$40000,0),"")</f>
        <v/>
      </c>
      <c r="Z3019">
        <f>IF($Y3019="","",INDEX($C$6:$C$40000,$Y3019)&amp;"")</f>
        <v/>
      </c>
      <c r="AA3019" s="59">
        <f>IF($Y3019="","",IF(INDEX($D$6:$D$40000,$Y3019)="","",INDEX($D$6:$D$40000,$Y3019)))</f>
        <v/>
      </c>
      <c r="AB3019">
        <f>IF($Y3019="","",INDEX($L$6:$L$40000,$Y3019)&amp;"")</f>
        <v/>
      </c>
    </row>
    <row r="3020">
      <c r="Y3020" s="47">
        <f>IFERROR(MATCH(Library!M3020,$M$6:$M$40000,0),"")</f>
        <v/>
      </c>
      <c r="Z3020">
        <f>IF($Y3020="","",INDEX($C$6:$C$40000,$Y3020)&amp;"")</f>
        <v/>
      </c>
      <c r="AA3020" s="59">
        <f>IF($Y3020="","",IF(INDEX($D$6:$D$40000,$Y3020)="","",INDEX($D$6:$D$40000,$Y3020)))</f>
        <v/>
      </c>
      <c r="AB3020">
        <f>IF($Y3020="","",INDEX($L$6:$L$40000,$Y3020)&amp;"")</f>
        <v/>
      </c>
    </row>
    <row r="3021">
      <c r="Y3021" s="47">
        <f>IFERROR(MATCH(Library!M3021,$M$6:$M$40000,0),"")</f>
        <v/>
      </c>
      <c r="Z3021">
        <f>IF($Y3021="","",INDEX($C$6:$C$40000,$Y3021)&amp;"")</f>
        <v/>
      </c>
      <c r="AA3021" s="59">
        <f>IF($Y3021="","",IF(INDEX($D$6:$D$40000,$Y3021)="","",INDEX($D$6:$D$40000,$Y3021)))</f>
        <v/>
      </c>
      <c r="AB3021">
        <f>IF($Y3021="","",INDEX($L$6:$L$40000,$Y3021)&amp;"")</f>
        <v/>
      </c>
    </row>
    <row r="3022">
      <c r="Y3022" s="47">
        <f>IFERROR(MATCH(Library!M3022,$M$6:$M$40000,0),"")</f>
        <v/>
      </c>
      <c r="Z3022">
        <f>IF($Y3022="","",INDEX($C$6:$C$40000,$Y3022)&amp;"")</f>
        <v/>
      </c>
      <c r="AA3022" s="59">
        <f>IF($Y3022="","",IF(INDEX($D$6:$D$40000,$Y3022)="","",INDEX($D$6:$D$40000,$Y3022)))</f>
        <v/>
      </c>
      <c r="AB3022">
        <f>IF($Y3022="","",INDEX($L$6:$L$40000,$Y3022)&amp;"")</f>
        <v/>
      </c>
    </row>
    <row r="3023">
      <c r="Y3023" s="47">
        <f>IFERROR(MATCH(Library!M3023,$M$6:$M$40000,0),"")</f>
        <v/>
      </c>
      <c r="Z3023">
        <f>IF($Y3023="","",INDEX($C$6:$C$40000,$Y3023)&amp;"")</f>
        <v/>
      </c>
      <c r="AA3023" s="59">
        <f>IF($Y3023="","",IF(INDEX($D$6:$D$40000,$Y3023)="","",INDEX($D$6:$D$40000,$Y3023)))</f>
        <v/>
      </c>
      <c r="AB3023">
        <f>IF($Y3023="","",INDEX($L$6:$L$40000,$Y3023)&amp;"")</f>
        <v/>
      </c>
    </row>
    <row r="3024">
      <c r="Y3024" s="47">
        <f>IFERROR(MATCH(Library!M3024,$M$6:$M$40000,0),"")</f>
        <v/>
      </c>
      <c r="Z3024">
        <f>IF($Y3024="","",INDEX($C$6:$C$40000,$Y3024)&amp;"")</f>
        <v/>
      </c>
      <c r="AA3024" s="59">
        <f>IF($Y3024="","",IF(INDEX($D$6:$D$40000,$Y3024)="","",INDEX($D$6:$D$40000,$Y3024)))</f>
        <v/>
      </c>
      <c r="AB3024">
        <f>IF($Y3024="","",INDEX($L$6:$L$40000,$Y3024)&amp;"")</f>
        <v/>
      </c>
    </row>
    <row r="3025">
      <c r="Y3025" s="47">
        <f>IFERROR(MATCH(Library!M3025,$M$6:$M$40000,0),"")</f>
        <v/>
      </c>
      <c r="Z3025">
        <f>IF($Y3025="","",INDEX($C$6:$C$40000,$Y3025)&amp;"")</f>
        <v/>
      </c>
      <c r="AA3025" s="59">
        <f>IF($Y3025="","",IF(INDEX($D$6:$D$40000,$Y3025)="","",INDEX($D$6:$D$40000,$Y3025)))</f>
        <v/>
      </c>
      <c r="AB3025">
        <f>IF($Y3025="","",INDEX($L$6:$L$40000,$Y3025)&amp;"")</f>
        <v/>
      </c>
    </row>
    <row r="3026">
      <c r="Y3026" s="47">
        <f>IFERROR(MATCH(Library!M3026,$M$6:$M$40000,0),"")</f>
        <v/>
      </c>
      <c r="Z3026">
        <f>IF($Y3026="","",INDEX($C$6:$C$40000,$Y3026)&amp;"")</f>
        <v/>
      </c>
      <c r="AA3026" s="59">
        <f>IF($Y3026="","",IF(INDEX($D$6:$D$40000,$Y3026)="","",INDEX($D$6:$D$40000,$Y3026)))</f>
        <v/>
      </c>
      <c r="AB3026">
        <f>IF($Y3026="","",INDEX($L$6:$L$40000,$Y3026)&amp;"")</f>
        <v/>
      </c>
    </row>
    <row r="3027">
      <c r="Y3027" s="47">
        <f>IFERROR(MATCH(Library!M3027,$M$6:$M$40000,0),"")</f>
        <v/>
      </c>
      <c r="Z3027">
        <f>IF($Y3027="","",INDEX($C$6:$C$40000,$Y3027)&amp;"")</f>
        <v/>
      </c>
      <c r="AA3027" s="59">
        <f>IF($Y3027="","",IF(INDEX($D$6:$D$40000,$Y3027)="","",INDEX($D$6:$D$40000,$Y3027)))</f>
        <v/>
      </c>
      <c r="AB3027">
        <f>IF($Y3027="","",INDEX($L$6:$L$40000,$Y3027)&amp;"")</f>
        <v/>
      </c>
    </row>
    <row r="3028">
      <c r="Y3028" s="47">
        <f>IFERROR(MATCH(Library!M3028,$M$6:$M$40000,0),"")</f>
        <v/>
      </c>
      <c r="Z3028">
        <f>IF($Y3028="","",INDEX($C$6:$C$40000,$Y3028)&amp;"")</f>
        <v/>
      </c>
      <c r="AA3028" s="59">
        <f>IF($Y3028="","",IF(INDEX($D$6:$D$40000,$Y3028)="","",INDEX($D$6:$D$40000,$Y3028)))</f>
        <v/>
      </c>
      <c r="AB3028">
        <f>IF($Y3028="","",INDEX($L$6:$L$40000,$Y3028)&amp;"")</f>
        <v/>
      </c>
    </row>
    <row r="3029">
      <c r="Y3029" s="47">
        <f>IFERROR(MATCH(Library!M3029,$M$6:$M$40000,0),"")</f>
        <v/>
      </c>
      <c r="Z3029">
        <f>IF($Y3029="","",INDEX($C$6:$C$40000,$Y3029)&amp;"")</f>
        <v/>
      </c>
      <c r="AA3029" s="59">
        <f>IF($Y3029="","",IF(INDEX($D$6:$D$40000,$Y3029)="","",INDEX($D$6:$D$40000,$Y3029)))</f>
        <v/>
      </c>
      <c r="AB3029">
        <f>IF($Y3029="","",INDEX($L$6:$L$40000,$Y3029)&amp;"")</f>
        <v/>
      </c>
    </row>
    <row r="3030">
      <c r="Y3030" s="47">
        <f>IFERROR(MATCH(Library!M3030,$M$6:$M$40000,0),"")</f>
        <v/>
      </c>
      <c r="Z3030">
        <f>IF($Y3030="","",INDEX($C$6:$C$40000,$Y3030)&amp;"")</f>
        <v/>
      </c>
      <c r="AA3030" s="59">
        <f>IF($Y3030="","",IF(INDEX($D$6:$D$40000,$Y3030)="","",INDEX($D$6:$D$40000,$Y3030)))</f>
        <v/>
      </c>
      <c r="AB3030">
        <f>IF($Y3030="","",INDEX($L$6:$L$40000,$Y3030)&amp;"")</f>
        <v/>
      </c>
    </row>
    <row r="3031">
      <c r="Y3031" s="47">
        <f>IFERROR(MATCH(Library!M3031,$M$6:$M$40000,0),"")</f>
        <v/>
      </c>
      <c r="Z3031">
        <f>IF($Y3031="","",INDEX($C$6:$C$40000,$Y3031)&amp;"")</f>
        <v/>
      </c>
      <c r="AA3031" s="59">
        <f>IF($Y3031="","",IF(INDEX($D$6:$D$40000,$Y3031)="","",INDEX($D$6:$D$40000,$Y3031)))</f>
        <v/>
      </c>
      <c r="AB3031">
        <f>IF($Y3031="","",INDEX($L$6:$L$40000,$Y3031)&amp;"")</f>
        <v/>
      </c>
    </row>
    <row r="3032">
      <c r="Y3032" s="47">
        <f>IFERROR(MATCH(Library!M3032,$M$6:$M$40000,0),"")</f>
        <v/>
      </c>
      <c r="Z3032">
        <f>IF($Y3032="","",INDEX($C$6:$C$40000,$Y3032)&amp;"")</f>
        <v/>
      </c>
      <c r="AA3032" s="59">
        <f>IF($Y3032="","",IF(INDEX($D$6:$D$40000,$Y3032)="","",INDEX($D$6:$D$40000,$Y3032)))</f>
        <v/>
      </c>
      <c r="AB3032">
        <f>IF($Y3032="","",INDEX($L$6:$L$40000,$Y3032)&amp;"")</f>
        <v/>
      </c>
    </row>
    <row r="3033">
      <c r="Y3033" s="47">
        <f>IFERROR(MATCH(Library!M3033,$M$6:$M$40000,0),"")</f>
        <v/>
      </c>
      <c r="Z3033">
        <f>IF($Y3033="","",INDEX($C$6:$C$40000,$Y3033)&amp;"")</f>
        <v/>
      </c>
      <c r="AA3033" s="59">
        <f>IF($Y3033="","",IF(INDEX($D$6:$D$40000,$Y3033)="","",INDEX($D$6:$D$40000,$Y3033)))</f>
        <v/>
      </c>
      <c r="AB3033">
        <f>IF($Y3033="","",INDEX($L$6:$L$40000,$Y3033)&amp;"")</f>
        <v/>
      </c>
    </row>
    <row r="3034">
      <c r="Y3034" s="47">
        <f>IFERROR(MATCH(Library!M3034,$M$6:$M$40000,0),"")</f>
        <v/>
      </c>
      <c r="Z3034">
        <f>IF($Y3034="","",INDEX($C$6:$C$40000,$Y3034)&amp;"")</f>
        <v/>
      </c>
      <c r="AA3034" s="59">
        <f>IF($Y3034="","",IF(INDEX($D$6:$D$40000,$Y3034)="","",INDEX($D$6:$D$40000,$Y3034)))</f>
        <v/>
      </c>
      <c r="AB3034">
        <f>IF($Y3034="","",INDEX($L$6:$L$40000,$Y3034)&amp;"")</f>
        <v/>
      </c>
    </row>
    <row r="3035">
      <c r="Y3035" s="47">
        <f>IFERROR(MATCH(Library!M3035,$M$6:$M$40000,0),"")</f>
        <v/>
      </c>
      <c r="Z3035">
        <f>IF($Y3035="","",INDEX($C$6:$C$40000,$Y3035)&amp;"")</f>
        <v/>
      </c>
      <c r="AA3035" s="59">
        <f>IF($Y3035="","",IF(INDEX($D$6:$D$40000,$Y3035)="","",INDEX($D$6:$D$40000,$Y3035)))</f>
        <v/>
      </c>
      <c r="AB3035">
        <f>IF($Y3035="","",INDEX($L$6:$L$40000,$Y3035)&amp;"")</f>
        <v/>
      </c>
    </row>
    <row r="3036">
      <c r="Y3036" s="47">
        <f>IFERROR(MATCH(Library!M3036,$M$6:$M$40000,0),"")</f>
        <v/>
      </c>
      <c r="Z3036">
        <f>IF($Y3036="","",INDEX($C$6:$C$40000,$Y3036)&amp;"")</f>
        <v/>
      </c>
      <c r="AA3036" s="59">
        <f>IF($Y3036="","",IF(INDEX($D$6:$D$40000,$Y3036)="","",INDEX($D$6:$D$40000,$Y3036)))</f>
        <v/>
      </c>
      <c r="AB3036">
        <f>IF($Y3036="","",INDEX($L$6:$L$40000,$Y3036)&amp;"")</f>
        <v/>
      </c>
    </row>
    <row r="3037">
      <c r="Y3037" s="47">
        <f>IFERROR(MATCH(Library!M3037,$M$6:$M$40000,0),"")</f>
        <v/>
      </c>
      <c r="Z3037">
        <f>IF($Y3037="","",INDEX($C$6:$C$40000,$Y3037)&amp;"")</f>
        <v/>
      </c>
      <c r="AA3037" s="59">
        <f>IF($Y3037="","",IF(INDEX($D$6:$D$40000,$Y3037)="","",INDEX($D$6:$D$40000,$Y3037)))</f>
        <v/>
      </c>
      <c r="AB3037">
        <f>IF($Y3037="","",INDEX($L$6:$L$40000,$Y3037)&amp;"")</f>
        <v/>
      </c>
    </row>
    <row r="3038">
      <c r="Y3038" s="47">
        <f>IFERROR(MATCH(Library!M3038,$M$6:$M$40000,0),"")</f>
        <v/>
      </c>
      <c r="Z3038">
        <f>IF($Y3038="","",INDEX($C$6:$C$40000,$Y3038)&amp;"")</f>
        <v/>
      </c>
      <c r="AA3038" s="59">
        <f>IF($Y3038="","",IF(INDEX($D$6:$D$40000,$Y3038)="","",INDEX($D$6:$D$40000,$Y3038)))</f>
        <v/>
      </c>
      <c r="AB3038">
        <f>IF($Y3038="","",INDEX($L$6:$L$40000,$Y3038)&amp;"")</f>
        <v/>
      </c>
    </row>
    <row r="3039">
      <c r="Y3039" s="47">
        <f>IFERROR(MATCH(Library!M3039,$M$6:$M$40000,0),"")</f>
        <v/>
      </c>
      <c r="Z3039">
        <f>IF($Y3039="","",INDEX($C$6:$C$40000,$Y3039)&amp;"")</f>
        <v/>
      </c>
      <c r="AA3039" s="59">
        <f>IF($Y3039="","",IF(INDEX($D$6:$D$40000,$Y3039)="","",INDEX($D$6:$D$40000,$Y3039)))</f>
        <v/>
      </c>
      <c r="AB3039">
        <f>IF($Y3039="","",INDEX($L$6:$L$40000,$Y3039)&amp;"")</f>
        <v/>
      </c>
    </row>
    <row r="3040">
      <c r="Y3040" s="47">
        <f>IFERROR(MATCH(Library!M3040,$M$6:$M$40000,0),"")</f>
        <v/>
      </c>
      <c r="Z3040">
        <f>IF($Y3040="","",INDEX($C$6:$C$40000,$Y3040)&amp;"")</f>
        <v/>
      </c>
      <c r="AA3040" s="59">
        <f>IF($Y3040="","",IF(INDEX($D$6:$D$40000,$Y3040)="","",INDEX($D$6:$D$40000,$Y3040)))</f>
        <v/>
      </c>
      <c r="AB3040">
        <f>IF($Y3040="","",INDEX($L$6:$L$40000,$Y3040)&amp;"")</f>
        <v/>
      </c>
    </row>
    <row r="3041">
      <c r="Y3041" s="47">
        <f>IFERROR(MATCH(Library!M3041,$M$6:$M$40000,0),"")</f>
        <v/>
      </c>
      <c r="Z3041">
        <f>IF($Y3041="","",INDEX($C$6:$C$40000,$Y3041)&amp;"")</f>
        <v/>
      </c>
      <c r="AA3041" s="59">
        <f>IF($Y3041="","",IF(INDEX($D$6:$D$40000,$Y3041)="","",INDEX($D$6:$D$40000,$Y3041)))</f>
        <v/>
      </c>
      <c r="AB3041">
        <f>IF($Y3041="","",INDEX($L$6:$L$40000,$Y3041)&amp;"")</f>
        <v/>
      </c>
    </row>
    <row r="3042">
      <c r="Y3042" s="47">
        <f>IFERROR(MATCH(Library!M3042,$M$6:$M$40000,0),"")</f>
        <v/>
      </c>
      <c r="Z3042">
        <f>IF($Y3042="","",INDEX($C$6:$C$40000,$Y3042)&amp;"")</f>
        <v/>
      </c>
      <c r="AA3042" s="59">
        <f>IF($Y3042="","",IF(INDEX($D$6:$D$40000,$Y3042)="","",INDEX($D$6:$D$40000,$Y3042)))</f>
        <v/>
      </c>
      <c r="AB3042">
        <f>IF($Y3042="","",INDEX($L$6:$L$40000,$Y3042)&amp;"")</f>
        <v/>
      </c>
    </row>
    <row r="3043">
      <c r="Y3043" s="47">
        <f>IFERROR(MATCH(Library!M3043,$M$6:$M$40000,0),"")</f>
        <v/>
      </c>
      <c r="Z3043">
        <f>IF($Y3043="","",INDEX($C$6:$C$40000,$Y3043)&amp;"")</f>
        <v/>
      </c>
      <c r="AA3043" s="59">
        <f>IF($Y3043="","",IF(INDEX($D$6:$D$40000,$Y3043)="","",INDEX($D$6:$D$40000,$Y3043)))</f>
        <v/>
      </c>
      <c r="AB3043">
        <f>IF($Y3043="","",INDEX($L$6:$L$40000,$Y3043)&amp;"")</f>
        <v/>
      </c>
    </row>
    <row r="3044">
      <c r="Y3044" s="47">
        <f>IFERROR(MATCH(Library!M3044,$M$6:$M$40000,0),"")</f>
        <v/>
      </c>
      <c r="Z3044">
        <f>IF($Y3044="","",INDEX($C$6:$C$40000,$Y3044)&amp;"")</f>
        <v/>
      </c>
      <c r="AA3044" s="59">
        <f>IF($Y3044="","",IF(INDEX($D$6:$D$40000,$Y3044)="","",INDEX($D$6:$D$40000,$Y3044)))</f>
        <v/>
      </c>
      <c r="AB3044">
        <f>IF($Y3044="","",INDEX($L$6:$L$40000,$Y3044)&amp;"")</f>
        <v/>
      </c>
    </row>
    <row r="3045">
      <c r="Y3045" s="47">
        <f>IFERROR(MATCH(Library!M3045,$M$6:$M$40000,0),"")</f>
        <v/>
      </c>
      <c r="Z3045">
        <f>IF($Y3045="","",INDEX($C$6:$C$40000,$Y3045)&amp;"")</f>
        <v/>
      </c>
      <c r="AA3045" s="59">
        <f>IF($Y3045="","",IF(INDEX($D$6:$D$40000,$Y3045)="","",INDEX($D$6:$D$40000,$Y3045)))</f>
        <v/>
      </c>
      <c r="AB3045">
        <f>IF($Y3045="","",INDEX($L$6:$L$40000,$Y3045)&amp;"")</f>
        <v/>
      </c>
    </row>
    <row r="3046">
      <c r="Y3046" s="47">
        <f>IFERROR(MATCH(Library!M3046,$M$6:$M$40000,0),"")</f>
        <v/>
      </c>
      <c r="Z3046">
        <f>IF($Y3046="","",INDEX($C$6:$C$40000,$Y3046)&amp;"")</f>
        <v/>
      </c>
      <c r="AA3046" s="59">
        <f>IF($Y3046="","",IF(INDEX($D$6:$D$40000,$Y3046)="","",INDEX($D$6:$D$40000,$Y3046)))</f>
        <v/>
      </c>
      <c r="AB3046">
        <f>IF($Y3046="","",INDEX($L$6:$L$40000,$Y3046)&amp;"")</f>
        <v/>
      </c>
    </row>
    <row r="3047">
      <c r="Y3047" s="47">
        <f>IFERROR(MATCH(Library!M3047,$M$6:$M$40000,0),"")</f>
        <v/>
      </c>
      <c r="Z3047">
        <f>IF($Y3047="","",INDEX($C$6:$C$40000,$Y3047)&amp;"")</f>
        <v/>
      </c>
      <c r="AA3047" s="59">
        <f>IF($Y3047="","",IF(INDEX($D$6:$D$40000,$Y3047)="","",INDEX($D$6:$D$40000,$Y3047)))</f>
        <v/>
      </c>
      <c r="AB3047">
        <f>IF($Y3047="","",INDEX($L$6:$L$40000,$Y3047)&amp;"")</f>
        <v/>
      </c>
    </row>
    <row r="3048">
      <c r="Y3048" s="47">
        <f>IFERROR(MATCH(Library!M3048,$M$6:$M$40000,0),"")</f>
        <v/>
      </c>
      <c r="Z3048">
        <f>IF($Y3048="","",INDEX($C$6:$C$40000,$Y3048)&amp;"")</f>
        <v/>
      </c>
      <c r="AA3048" s="59">
        <f>IF($Y3048="","",IF(INDEX($D$6:$D$40000,$Y3048)="","",INDEX($D$6:$D$40000,$Y3048)))</f>
        <v/>
      </c>
      <c r="AB3048">
        <f>IF($Y3048="","",INDEX($L$6:$L$40000,$Y3048)&amp;"")</f>
        <v/>
      </c>
    </row>
    <row r="3049">
      <c r="Y3049" s="47">
        <f>IFERROR(MATCH(Library!M3049,$M$6:$M$40000,0),"")</f>
        <v/>
      </c>
      <c r="Z3049">
        <f>IF($Y3049="","",INDEX($C$6:$C$40000,$Y3049)&amp;"")</f>
        <v/>
      </c>
      <c r="AA3049" s="59">
        <f>IF($Y3049="","",IF(INDEX($D$6:$D$40000,$Y3049)="","",INDEX($D$6:$D$40000,$Y3049)))</f>
        <v/>
      </c>
      <c r="AB3049">
        <f>IF($Y3049="","",INDEX($L$6:$L$40000,$Y3049)&amp;"")</f>
        <v/>
      </c>
    </row>
    <row r="3050">
      <c r="Y3050" s="47">
        <f>IFERROR(MATCH(Library!M3050,$M$6:$M$40000,0),"")</f>
        <v/>
      </c>
      <c r="Z3050">
        <f>IF($Y3050="","",INDEX($C$6:$C$40000,$Y3050)&amp;"")</f>
        <v/>
      </c>
      <c r="AA3050" s="59">
        <f>IF($Y3050="","",IF(INDEX($D$6:$D$40000,$Y3050)="","",INDEX($D$6:$D$40000,$Y3050)))</f>
        <v/>
      </c>
      <c r="AB3050">
        <f>IF($Y3050="","",INDEX($L$6:$L$40000,$Y3050)&amp;"")</f>
        <v/>
      </c>
    </row>
    <row r="3051">
      <c r="Y3051" s="47">
        <f>IFERROR(MATCH(Library!M3051,$M$6:$M$40000,0),"")</f>
        <v/>
      </c>
      <c r="Z3051">
        <f>IF($Y3051="","",INDEX($C$6:$C$40000,$Y3051)&amp;"")</f>
        <v/>
      </c>
      <c r="AA3051" s="59">
        <f>IF($Y3051="","",IF(INDEX($D$6:$D$40000,$Y3051)="","",INDEX($D$6:$D$40000,$Y3051)))</f>
        <v/>
      </c>
      <c r="AB3051">
        <f>IF($Y3051="","",INDEX($L$6:$L$40000,$Y3051)&amp;"")</f>
        <v/>
      </c>
    </row>
    <row r="3052">
      <c r="Y3052" s="47">
        <f>IFERROR(MATCH(Library!M3052,$M$6:$M$40000,0),"")</f>
        <v/>
      </c>
      <c r="Z3052">
        <f>IF($Y3052="","",INDEX($C$6:$C$40000,$Y3052)&amp;"")</f>
        <v/>
      </c>
      <c r="AA3052" s="59">
        <f>IF($Y3052="","",IF(INDEX($D$6:$D$40000,$Y3052)="","",INDEX($D$6:$D$40000,$Y3052)))</f>
        <v/>
      </c>
      <c r="AB3052">
        <f>IF($Y3052="","",INDEX($L$6:$L$40000,$Y3052)&amp;"")</f>
        <v/>
      </c>
    </row>
    <row r="3053">
      <c r="Y3053" s="47">
        <f>IFERROR(MATCH(Library!M3053,$M$6:$M$40000,0),"")</f>
        <v/>
      </c>
      <c r="Z3053">
        <f>IF($Y3053="","",INDEX($C$6:$C$40000,$Y3053)&amp;"")</f>
        <v/>
      </c>
      <c r="AA3053" s="59">
        <f>IF($Y3053="","",IF(INDEX($D$6:$D$40000,$Y3053)="","",INDEX($D$6:$D$40000,$Y3053)))</f>
        <v/>
      </c>
      <c r="AB3053">
        <f>IF($Y3053="","",INDEX($L$6:$L$40000,$Y3053)&amp;"")</f>
        <v/>
      </c>
    </row>
    <row r="3054">
      <c r="Y3054" s="47">
        <f>IFERROR(MATCH(Library!M3054,$M$6:$M$40000,0),"")</f>
        <v/>
      </c>
      <c r="Z3054">
        <f>IF($Y3054="","",INDEX($C$6:$C$40000,$Y3054)&amp;"")</f>
        <v/>
      </c>
      <c r="AA3054" s="59">
        <f>IF($Y3054="","",IF(INDEX($D$6:$D$40000,$Y3054)="","",INDEX($D$6:$D$40000,$Y3054)))</f>
        <v/>
      </c>
      <c r="AB3054">
        <f>IF($Y3054="","",INDEX($L$6:$L$40000,$Y3054)&amp;"")</f>
        <v/>
      </c>
    </row>
    <row r="3055">
      <c r="Y3055" s="47">
        <f>IFERROR(MATCH(Library!M3055,$M$6:$M$40000,0),"")</f>
        <v/>
      </c>
      <c r="Z3055">
        <f>IF($Y3055="","",INDEX($C$6:$C$40000,$Y3055)&amp;"")</f>
        <v/>
      </c>
      <c r="AA3055" s="59">
        <f>IF($Y3055="","",IF(INDEX($D$6:$D$40000,$Y3055)="","",INDEX($D$6:$D$40000,$Y3055)))</f>
        <v/>
      </c>
      <c r="AB3055">
        <f>IF($Y3055="","",INDEX($L$6:$L$40000,$Y3055)&amp;"")</f>
        <v/>
      </c>
    </row>
    <row r="3056">
      <c r="Y3056" s="47">
        <f>IFERROR(MATCH(Library!M3056,$M$6:$M$40000,0),"")</f>
        <v/>
      </c>
      <c r="Z3056">
        <f>IF($Y3056="","",INDEX($C$6:$C$40000,$Y3056)&amp;"")</f>
        <v/>
      </c>
      <c r="AA3056" s="59">
        <f>IF($Y3056="","",IF(INDEX($D$6:$D$40000,$Y3056)="","",INDEX($D$6:$D$40000,$Y3056)))</f>
        <v/>
      </c>
      <c r="AB3056">
        <f>IF($Y3056="","",INDEX($L$6:$L$40000,$Y3056)&amp;"")</f>
        <v/>
      </c>
    </row>
    <row r="3057">
      <c r="Y3057" s="47">
        <f>IFERROR(MATCH(Library!M3057,$M$6:$M$40000,0),"")</f>
        <v/>
      </c>
      <c r="Z3057">
        <f>IF($Y3057="","",INDEX($C$6:$C$40000,$Y3057)&amp;"")</f>
        <v/>
      </c>
      <c r="AA3057" s="59">
        <f>IF($Y3057="","",IF(INDEX($D$6:$D$40000,$Y3057)="","",INDEX($D$6:$D$40000,$Y3057)))</f>
        <v/>
      </c>
      <c r="AB3057">
        <f>IF($Y3057="","",INDEX($L$6:$L$40000,$Y3057)&amp;"")</f>
        <v/>
      </c>
    </row>
    <row r="3058">
      <c r="Y3058" s="47">
        <f>IFERROR(MATCH(Library!M3058,$M$6:$M$40000,0),"")</f>
        <v/>
      </c>
      <c r="Z3058">
        <f>IF($Y3058="","",INDEX($C$6:$C$40000,$Y3058)&amp;"")</f>
        <v/>
      </c>
      <c r="AA3058" s="59">
        <f>IF($Y3058="","",IF(INDEX($D$6:$D$40000,$Y3058)="","",INDEX($D$6:$D$40000,$Y3058)))</f>
        <v/>
      </c>
      <c r="AB3058">
        <f>IF($Y3058="","",INDEX($L$6:$L$40000,$Y3058)&amp;"")</f>
        <v/>
      </c>
    </row>
    <row r="3059">
      <c r="Y3059" s="47">
        <f>IFERROR(MATCH(Library!M3059,$M$6:$M$40000,0),"")</f>
        <v/>
      </c>
      <c r="Z3059">
        <f>IF($Y3059="","",INDEX($C$6:$C$40000,$Y3059)&amp;"")</f>
        <v/>
      </c>
      <c r="AA3059" s="59">
        <f>IF($Y3059="","",IF(INDEX($D$6:$D$40000,$Y3059)="","",INDEX($D$6:$D$40000,$Y3059)))</f>
        <v/>
      </c>
      <c r="AB3059">
        <f>IF($Y3059="","",INDEX($L$6:$L$40000,$Y3059)&amp;"")</f>
        <v/>
      </c>
    </row>
    <row r="3060">
      <c r="Y3060" s="47">
        <f>IFERROR(MATCH(Library!M3060,$M$6:$M$40000,0),"")</f>
        <v/>
      </c>
      <c r="Z3060">
        <f>IF($Y3060="","",INDEX($C$6:$C$40000,$Y3060)&amp;"")</f>
        <v/>
      </c>
      <c r="AA3060" s="59">
        <f>IF($Y3060="","",IF(INDEX($D$6:$D$40000,$Y3060)="","",INDEX($D$6:$D$40000,$Y3060)))</f>
        <v/>
      </c>
      <c r="AB3060">
        <f>IF($Y3060="","",INDEX($L$6:$L$40000,$Y3060)&amp;"")</f>
        <v/>
      </c>
    </row>
    <row r="3061">
      <c r="Y3061" s="47">
        <f>IFERROR(MATCH(Library!M3061,$M$6:$M$40000,0),"")</f>
        <v/>
      </c>
      <c r="Z3061">
        <f>IF($Y3061="","",INDEX($C$6:$C$40000,$Y3061)&amp;"")</f>
        <v/>
      </c>
      <c r="AA3061" s="59">
        <f>IF($Y3061="","",IF(INDEX($D$6:$D$40000,$Y3061)="","",INDEX($D$6:$D$40000,$Y3061)))</f>
        <v/>
      </c>
      <c r="AB3061">
        <f>IF($Y3061="","",INDEX($L$6:$L$40000,$Y3061)&amp;"")</f>
        <v/>
      </c>
    </row>
    <row r="3062">
      <c r="Y3062" s="47">
        <f>IFERROR(MATCH(Library!M3062,$M$6:$M$40000,0),"")</f>
        <v/>
      </c>
      <c r="Z3062">
        <f>IF($Y3062="","",INDEX($C$6:$C$40000,$Y3062)&amp;"")</f>
        <v/>
      </c>
      <c r="AA3062" s="59">
        <f>IF($Y3062="","",IF(INDEX($D$6:$D$40000,$Y3062)="","",INDEX($D$6:$D$40000,$Y3062)))</f>
        <v/>
      </c>
      <c r="AB3062">
        <f>IF($Y3062="","",INDEX($L$6:$L$40000,$Y3062)&amp;"")</f>
        <v/>
      </c>
    </row>
    <row r="3063">
      <c r="Y3063" s="47">
        <f>IFERROR(MATCH(Library!M3063,$M$6:$M$40000,0),"")</f>
        <v/>
      </c>
      <c r="Z3063">
        <f>IF($Y3063="","",INDEX($C$6:$C$40000,$Y3063)&amp;"")</f>
        <v/>
      </c>
      <c r="AA3063" s="59">
        <f>IF($Y3063="","",IF(INDEX($D$6:$D$40000,$Y3063)="","",INDEX($D$6:$D$40000,$Y3063)))</f>
        <v/>
      </c>
      <c r="AB3063">
        <f>IF($Y3063="","",INDEX($L$6:$L$40000,$Y3063)&amp;"")</f>
        <v/>
      </c>
    </row>
    <row r="3064">
      <c r="Y3064" s="47">
        <f>IFERROR(MATCH(Library!M3064,$M$6:$M$40000,0),"")</f>
        <v/>
      </c>
      <c r="Z3064">
        <f>IF($Y3064="","",INDEX($C$6:$C$40000,$Y3064)&amp;"")</f>
        <v/>
      </c>
      <c r="AA3064" s="59">
        <f>IF($Y3064="","",IF(INDEX($D$6:$D$40000,$Y3064)="","",INDEX($D$6:$D$40000,$Y3064)))</f>
        <v/>
      </c>
      <c r="AB3064">
        <f>IF($Y3064="","",INDEX($L$6:$L$40000,$Y3064)&amp;"")</f>
        <v/>
      </c>
    </row>
    <row r="3065">
      <c r="Y3065" s="47">
        <f>IFERROR(MATCH(Library!M3065,$M$6:$M$40000,0),"")</f>
        <v/>
      </c>
      <c r="Z3065">
        <f>IF($Y3065="","",INDEX($C$6:$C$40000,$Y3065)&amp;"")</f>
        <v/>
      </c>
      <c r="AA3065" s="59">
        <f>IF($Y3065="","",IF(INDEX($D$6:$D$40000,$Y3065)="","",INDEX($D$6:$D$40000,$Y3065)))</f>
        <v/>
      </c>
      <c r="AB3065">
        <f>IF($Y3065="","",INDEX($L$6:$L$40000,$Y3065)&amp;"")</f>
        <v/>
      </c>
    </row>
    <row r="3066">
      <c r="Y3066" s="47">
        <f>IFERROR(MATCH(Library!M3066,$M$6:$M$40000,0),"")</f>
        <v/>
      </c>
      <c r="Z3066">
        <f>IF($Y3066="","",INDEX($C$6:$C$40000,$Y3066)&amp;"")</f>
        <v/>
      </c>
      <c r="AA3066" s="59">
        <f>IF($Y3066="","",IF(INDEX($D$6:$D$40000,$Y3066)="","",INDEX($D$6:$D$40000,$Y3066)))</f>
        <v/>
      </c>
      <c r="AB3066">
        <f>IF($Y3066="","",INDEX($L$6:$L$40000,$Y3066)&amp;"")</f>
        <v/>
      </c>
    </row>
    <row r="3067">
      <c r="Y3067" s="47">
        <f>IFERROR(MATCH(Library!M3067,$M$6:$M$40000,0),"")</f>
        <v/>
      </c>
      <c r="Z3067">
        <f>IF($Y3067="","",INDEX($C$6:$C$40000,$Y3067)&amp;"")</f>
        <v/>
      </c>
      <c r="AA3067" s="59">
        <f>IF($Y3067="","",IF(INDEX($D$6:$D$40000,$Y3067)="","",INDEX($D$6:$D$40000,$Y3067)))</f>
        <v/>
      </c>
      <c r="AB3067">
        <f>IF($Y3067="","",INDEX($L$6:$L$40000,$Y3067)&amp;"")</f>
        <v/>
      </c>
    </row>
    <row r="3068">
      <c r="Y3068" s="47">
        <f>IFERROR(MATCH(Library!M3068,$M$6:$M$40000,0),"")</f>
        <v/>
      </c>
      <c r="Z3068">
        <f>IF($Y3068="","",INDEX($C$6:$C$40000,$Y3068)&amp;"")</f>
        <v/>
      </c>
      <c r="AA3068" s="59">
        <f>IF($Y3068="","",IF(INDEX($D$6:$D$40000,$Y3068)="","",INDEX($D$6:$D$40000,$Y3068)))</f>
        <v/>
      </c>
      <c r="AB3068">
        <f>IF($Y3068="","",INDEX($L$6:$L$40000,$Y3068)&amp;"")</f>
        <v/>
      </c>
    </row>
    <row r="3069">
      <c r="Y3069" s="47">
        <f>IFERROR(MATCH(Library!M3069,$M$6:$M$40000,0),"")</f>
        <v/>
      </c>
      <c r="Z3069">
        <f>IF($Y3069="","",INDEX($C$6:$C$40000,$Y3069)&amp;"")</f>
        <v/>
      </c>
      <c r="AA3069" s="59">
        <f>IF($Y3069="","",IF(INDEX($D$6:$D$40000,$Y3069)="","",INDEX($D$6:$D$40000,$Y3069)))</f>
        <v/>
      </c>
      <c r="AB3069">
        <f>IF($Y3069="","",INDEX($L$6:$L$40000,$Y3069)&amp;"")</f>
        <v/>
      </c>
    </row>
    <row r="3070">
      <c r="Y3070" s="47">
        <f>IFERROR(MATCH(Library!M3070,$M$6:$M$40000,0),"")</f>
        <v/>
      </c>
      <c r="Z3070">
        <f>IF($Y3070="","",INDEX($C$6:$C$40000,$Y3070)&amp;"")</f>
        <v/>
      </c>
      <c r="AA3070" s="59">
        <f>IF($Y3070="","",IF(INDEX($D$6:$D$40000,$Y3070)="","",INDEX($D$6:$D$40000,$Y3070)))</f>
        <v/>
      </c>
      <c r="AB3070">
        <f>IF($Y3070="","",INDEX($L$6:$L$40000,$Y3070)&amp;"")</f>
        <v/>
      </c>
    </row>
    <row r="3071">
      <c r="Y3071" s="47">
        <f>IFERROR(MATCH(Library!M3071,$M$6:$M$40000,0),"")</f>
        <v/>
      </c>
      <c r="Z3071">
        <f>IF($Y3071="","",INDEX($C$6:$C$40000,$Y3071)&amp;"")</f>
        <v/>
      </c>
      <c r="AA3071" s="59">
        <f>IF($Y3071="","",IF(INDEX($D$6:$D$40000,$Y3071)="","",INDEX($D$6:$D$40000,$Y3071)))</f>
        <v/>
      </c>
      <c r="AB3071">
        <f>IF($Y3071="","",INDEX($L$6:$L$40000,$Y3071)&amp;"")</f>
        <v/>
      </c>
    </row>
    <row r="3072">
      <c r="Y3072" s="47">
        <f>IFERROR(MATCH(Library!M3072,$M$6:$M$40000,0),"")</f>
        <v/>
      </c>
      <c r="Z3072">
        <f>IF($Y3072="","",INDEX($C$6:$C$40000,$Y3072)&amp;"")</f>
        <v/>
      </c>
      <c r="AA3072" s="59">
        <f>IF($Y3072="","",IF(INDEX($D$6:$D$40000,$Y3072)="","",INDEX($D$6:$D$40000,$Y3072)))</f>
        <v/>
      </c>
      <c r="AB3072">
        <f>IF($Y3072="","",INDEX($L$6:$L$40000,$Y3072)&amp;"")</f>
        <v/>
      </c>
    </row>
    <row r="3073">
      <c r="Y3073" s="47">
        <f>IFERROR(MATCH(Library!M3073,$M$6:$M$40000,0),"")</f>
        <v/>
      </c>
      <c r="Z3073">
        <f>IF($Y3073="","",INDEX($C$6:$C$40000,$Y3073)&amp;"")</f>
        <v/>
      </c>
      <c r="AA3073" s="59">
        <f>IF($Y3073="","",IF(INDEX($D$6:$D$40000,$Y3073)="","",INDEX($D$6:$D$40000,$Y3073)))</f>
        <v/>
      </c>
      <c r="AB3073">
        <f>IF($Y3073="","",INDEX($L$6:$L$40000,$Y3073)&amp;"")</f>
        <v/>
      </c>
    </row>
    <row r="3074">
      <c r="Y3074" s="47">
        <f>IFERROR(MATCH(Library!M3074,$M$6:$M$40000,0),"")</f>
        <v/>
      </c>
      <c r="Z3074">
        <f>IF($Y3074="","",INDEX($C$6:$C$40000,$Y3074)&amp;"")</f>
        <v/>
      </c>
      <c r="AA3074" s="59">
        <f>IF($Y3074="","",IF(INDEX($D$6:$D$40000,$Y3074)="","",INDEX($D$6:$D$40000,$Y3074)))</f>
        <v/>
      </c>
      <c r="AB3074">
        <f>IF($Y3074="","",INDEX($L$6:$L$40000,$Y3074)&amp;"")</f>
        <v/>
      </c>
    </row>
    <row r="3075">
      <c r="Y3075" s="47">
        <f>IFERROR(MATCH(Library!M3075,$M$6:$M$40000,0),"")</f>
        <v/>
      </c>
      <c r="Z3075">
        <f>IF($Y3075="","",INDEX($C$6:$C$40000,$Y3075)&amp;"")</f>
        <v/>
      </c>
      <c r="AA3075" s="59">
        <f>IF($Y3075="","",IF(INDEX($D$6:$D$40000,$Y3075)="","",INDEX($D$6:$D$40000,$Y3075)))</f>
        <v/>
      </c>
      <c r="AB3075">
        <f>IF($Y3075="","",INDEX($L$6:$L$40000,$Y3075)&amp;"")</f>
        <v/>
      </c>
    </row>
    <row r="3076">
      <c r="Y3076" s="47">
        <f>IFERROR(MATCH(Library!M3076,$M$6:$M$40000,0),"")</f>
        <v/>
      </c>
      <c r="Z3076">
        <f>IF($Y3076="","",INDEX($C$6:$C$40000,$Y3076)&amp;"")</f>
        <v/>
      </c>
      <c r="AA3076" s="59">
        <f>IF($Y3076="","",IF(INDEX($D$6:$D$40000,$Y3076)="","",INDEX($D$6:$D$40000,$Y3076)))</f>
        <v/>
      </c>
      <c r="AB3076">
        <f>IF($Y3076="","",INDEX($L$6:$L$40000,$Y3076)&amp;"")</f>
        <v/>
      </c>
    </row>
    <row r="3077">
      <c r="Y3077" s="47">
        <f>IFERROR(MATCH(Library!M3077,$M$6:$M$40000,0),"")</f>
        <v/>
      </c>
      <c r="Z3077">
        <f>IF($Y3077="","",INDEX($C$6:$C$40000,$Y3077)&amp;"")</f>
        <v/>
      </c>
      <c r="AA3077" s="59">
        <f>IF($Y3077="","",IF(INDEX($D$6:$D$40000,$Y3077)="","",INDEX($D$6:$D$40000,$Y3077)))</f>
        <v/>
      </c>
      <c r="AB3077">
        <f>IF($Y3077="","",INDEX($L$6:$L$40000,$Y3077)&amp;"")</f>
        <v/>
      </c>
    </row>
    <row r="3078">
      <c r="Y3078" s="47">
        <f>IFERROR(MATCH(Library!M3078,$M$6:$M$40000,0),"")</f>
        <v/>
      </c>
      <c r="Z3078">
        <f>IF($Y3078="","",INDEX($C$6:$C$40000,$Y3078)&amp;"")</f>
        <v/>
      </c>
      <c r="AA3078" s="59">
        <f>IF($Y3078="","",IF(INDEX($D$6:$D$40000,$Y3078)="","",INDEX($D$6:$D$40000,$Y3078)))</f>
        <v/>
      </c>
      <c r="AB3078">
        <f>IF($Y3078="","",INDEX($L$6:$L$40000,$Y3078)&amp;"")</f>
        <v/>
      </c>
    </row>
    <row r="3079">
      <c r="Y3079" s="47">
        <f>IFERROR(MATCH(Library!M3079,$M$6:$M$40000,0),"")</f>
        <v/>
      </c>
      <c r="Z3079">
        <f>IF($Y3079="","",INDEX($C$6:$C$40000,$Y3079)&amp;"")</f>
        <v/>
      </c>
      <c r="AA3079" s="59">
        <f>IF($Y3079="","",IF(INDEX($D$6:$D$40000,$Y3079)="","",INDEX($D$6:$D$40000,$Y3079)))</f>
        <v/>
      </c>
      <c r="AB3079">
        <f>IF($Y3079="","",INDEX($L$6:$L$40000,$Y3079)&amp;"")</f>
        <v/>
      </c>
    </row>
    <row r="3080">
      <c r="Y3080" s="47">
        <f>IFERROR(MATCH(Library!M3080,$M$6:$M$40000,0),"")</f>
        <v/>
      </c>
      <c r="Z3080">
        <f>IF($Y3080="","",INDEX($C$6:$C$40000,$Y3080)&amp;"")</f>
        <v/>
      </c>
      <c r="AA3080" s="59">
        <f>IF($Y3080="","",IF(INDEX($D$6:$D$40000,$Y3080)="","",INDEX($D$6:$D$40000,$Y3080)))</f>
        <v/>
      </c>
      <c r="AB3080">
        <f>IF($Y3080="","",INDEX($L$6:$L$40000,$Y3080)&amp;"")</f>
        <v/>
      </c>
    </row>
    <row r="3081">
      <c r="Y3081" s="47">
        <f>IFERROR(MATCH(Library!M3081,$M$6:$M$40000,0),"")</f>
        <v/>
      </c>
      <c r="Z3081">
        <f>IF($Y3081="","",INDEX($C$6:$C$40000,$Y3081)&amp;"")</f>
        <v/>
      </c>
      <c r="AA3081" s="59">
        <f>IF($Y3081="","",IF(INDEX($D$6:$D$40000,$Y3081)="","",INDEX($D$6:$D$40000,$Y3081)))</f>
        <v/>
      </c>
      <c r="AB3081">
        <f>IF($Y3081="","",INDEX($L$6:$L$40000,$Y3081)&amp;"")</f>
        <v/>
      </c>
    </row>
    <row r="3082">
      <c r="Y3082" s="47">
        <f>IFERROR(MATCH(Library!M3082,$M$6:$M$40000,0),"")</f>
        <v/>
      </c>
      <c r="Z3082">
        <f>IF($Y3082="","",INDEX($C$6:$C$40000,$Y3082)&amp;"")</f>
        <v/>
      </c>
      <c r="AA3082" s="59">
        <f>IF($Y3082="","",IF(INDEX($D$6:$D$40000,$Y3082)="","",INDEX($D$6:$D$40000,$Y3082)))</f>
        <v/>
      </c>
      <c r="AB3082">
        <f>IF($Y3082="","",INDEX($L$6:$L$40000,$Y3082)&amp;"")</f>
        <v/>
      </c>
    </row>
    <row r="3083">
      <c r="Y3083" s="47">
        <f>IFERROR(MATCH(Library!M3083,$M$6:$M$40000,0),"")</f>
        <v/>
      </c>
      <c r="Z3083">
        <f>IF($Y3083="","",INDEX($C$6:$C$40000,$Y3083)&amp;"")</f>
        <v/>
      </c>
      <c r="AA3083" s="59">
        <f>IF($Y3083="","",IF(INDEX($D$6:$D$40000,$Y3083)="","",INDEX($D$6:$D$40000,$Y3083)))</f>
        <v/>
      </c>
      <c r="AB3083">
        <f>IF($Y3083="","",INDEX($L$6:$L$40000,$Y3083)&amp;"")</f>
        <v/>
      </c>
    </row>
    <row r="3084">
      <c r="Y3084" s="47">
        <f>IFERROR(MATCH(Library!M3084,$M$6:$M$40000,0),"")</f>
        <v/>
      </c>
      <c r="Z3084">
        <f>IF($Y3084="","",INDEX($C$6:$C$40000,$Y3084)&amp;"")</f>
        <v/>
      </c>
      <c r="AA3084" s="59">
        <f>IF($Y3084="","",IF(INDEX($D$6:$D$40000,$Y3084)="","",INDEX($D$6:$D$40000,$Y3084)))</f>
        <v/>
      </c>
      <c r="AB3084">
        <f>IF($Y3084="","",INDEX($L$6:$L$40000,$Y3084)&amp;"")</f>
        <v/>
      </c>
    </row>
    <row r="3085">
      <c r="Y3085" s="47">
        <f>IFERROR(MATCH(Library!M3085,$M$6:$M$40000,0),"")</f>
        <v/>
      </c>
      <c r="Z3085">
        <f>IF($Y3085="","",INDEX($C$6:$C$40000,$Y3085)&amp;"")</f>
        <v/>
      </c>
      <c r="AA3085" s="59">
        <f>IF($Y3085="","",IF(INDEX($D$6:$D$40000,$Y3085)="","",INDEX($D$6:$D$40000,$Y3085)))</f>
        <v/>
      </c>
      <c r="AB3085">
        <f>IF($Y3085="","",INDEX($L$6:$L$40000,$Y3085)&amp;"")</f>
        <v/>
      </c>
    </row>
    <row r="3086">
      <c r="Y3086" s="47">
        <f>IFERROR(MATCH(Library!M3086,$M$6:$M$40000,0),"")</f>
        <v/>
      </c>
      <c r="Z3086">
        <f>IF($Y3086="","",INDEX($C$6:$C$40000,$Y3086)&amp;"")</f>
        <v/>
      </c>
      <c r="AA3086" s="59">
        <f>IF($Y3086="","",IF(INDEX($D$6:$D$40000,$Y3086)="","",INDEX($D$6:$D$40000,$Y3086)))</f>
        <v/>
      </c>
      <c r="AB3086">
        <f>IF($Y3086="","",INDEX($L$6:$L$40000,$Y3086)&amp;"")</f>
        <v/>
      </c>
    </row>
    <row r="3087">
      <c r="Y3087" s="47">
        <f>IFERROR(MATCH(Library!M3087,$M$6:$M$40000,0),"")</f>
        <v/>
      </c>
      <c r="Z3087">
        <f>IF($Y3087="","",INDEX($C$6:$C$40000,$Y3087)&amp;"")</f>
        <v/>
      </c>
      <c r="AA3087" s="59">
        <f>IF($Y3087="","",IF(INDEX($D$6:$D$40000,$Y3087)="","",INDEX($D$6:$D$40000,$Y3087)))</f>
        <v/>
      </c>
      <c r="AB3087">
        <f>IF($Y3087="","",INDEX($L$6:$L$40000,$Y3087)&amp;"")</f>
        <v/>
      </c>
    </row>
    <row r="3088">
      <c r="Y3088" s="47">
        <f>IFERROR(MATCH(Library!M3088,$M$6:$M$40000,0),"")</f>
        <v/>
      </c>
      <c r="Z3088">
        <f>IF($Y3088="","",INDEX($C$6:$C$40000,$Y3088)&amp;"")</f>
        <v/>
      </c>
      <c r="AA3088" s="59">
        <f>IF($Y3088="","",IF(INDEX($D$6:$D$40000,$Y3088)="","",INDEX($D$6:$D$40000,$Y3088)))</f>
        <v/>
      </c>
      <c r="AB3088">
        <f>IF($Y3088="","",INDEX($L$6:$L$40000,$Y3088)&amp;"")</f>
        <v/>
      </c>
    </row>
    <row r="3089">
      <c r="Y3089" s="47">
        <f>IFERROR(MATCH(Library!M3089,$M$6:$M$40000,0),"")</f>
        <v/>
      </c>
      <c r="Z3089">
        <f>IF($Y3089="","",INDEX($C$6:$C$40000,$Y3089)&amp;"")</f>
        <v/>
      </c>
      <c r="AA3089" s="59">
        <f>IF($Y3089="","",IF(INDEX($D$6:$D$40000,$Y3089)="","",INDEX($D$6:$D$40000,$Y3089)))</f>
        <v/>
      </c>
      <c r="AB3089">
        <f>IF($Y3089="","",INDEX($L$6:$L$40000,$Y3089)&amp;"")</f>
        <v/>
      </c>
    </row>
    <row r="3090">
      <c r="Y3090" s="47">
        <f>IFERROR(MATCH(Library!M3090,$M$6:$M$40000,0),"")</f>
        <v/>
      </c>
      <c r="Z3090">
        <f>IF($Y3090="","",INDEX($C$6:$C$40000,$Y3090)&amp;"")</f>
        <v/>
      </c>
      <c r="AA3090" s="59">
        <f>IF($Y3090="","",IF(INDEX($D$6:$D$40000,$Y3090)="","",INDEX($D$6:$D$40000,$Y3090)))</f>
        <v/>
      </c>
      <c r="AB3090">
        <f>IF($Y3090="","",INDEX($L$6:$L$40000,$Y3090)&amp;"")</f>
        <v/>
      </c>
    </row>
    <row r="3091">
      <c r="Y3091" s="47">
        <f>IFERROR(MATCH(Library!M3091,$M$6:$M$40000,0),"")</f>
        <v/>
      </c>
      <c r="Z3091">
        <f>IF($Y3091="","",INDEX($C$6:$C$40000,$Y3091)&amp;"")</f>
        <v/>
      </c>
      <c r="AA3091" s="59">
        <f>IF($Y3091="","",IF(INDEX($D$6:$D$40000,$Y3091)="","",INDEX($D$6:$D$40000,$Y3091)))</f>
        <v/>
      </c>
      <c r="AB3091">
        <f>IF($Y3091="","",INDEX($L$6:$L$40000,$Y3091)&amp;"")</f>
        <v/>
      </c>
    </row>
    <row r="3092">
      <c r="Y3092" s="47">
        <f>IFERROR(MATCH(Library!M3092,$M$6:$M$40000,0),"")</f>
        <v/>
      </c>
      <c r="Z3092">
        <f>IF($Y3092="","",INDEX($C$6:$C$40000,$Y3092)&amp;"")</f>
        <v/>
      </c>
      <c r="AA3092" s="59">
        <f>IF($Y3092="","",IF(INDEX($D$6:$D$40000,$Y3092)="","",INDEX($D$6:$D$40000,$Y3092)))</f>
        <v/>
      </c>
      <c r="AB3092">
        <f>IF($Y3092="","",INDEX($L$6:$L$40000,$Y3092)&amp;"")</f>
        <v/>
      </c>
    </row>
    <row r="3093">
      <c r="Y3093" s="47">
        <f>IFERROR(MATCH(Library!M3093,$M$6:$M$40000,0),"")</f>
        <v/>
      </c>
      <c r="Z3093">
        <f>IF($Y3093="","",INDEX($C$6:$C$40000,$Y3093)&amp;"")</f>
        <v/>
      </c>
      <c r="AA3093" s="59">
        <f>IF($Y3093="","",IF(INDEX($D$6:$D$40000,$Y3093)="","",INDEX($D$6:$D$40000,$Y3093)))</f>
        <v/>
      </c>
      <c r="AB3093">
        <f>IF($Y3093="","",INDEX($L$6:$L$40000,$Y3093)&amp;"")</f>
        <v/>
      </c>
    </row>
    <row r="3094">
      <c r="Y3094" s="47">
        <f>IFERROR(MATCH(Library!M3094,$M$6:$M$40000,0),"")</f>
        <v/>
      </c>
      <c r="Z3094">
        <f>IF($Y3094="","",INDEX($C$6:$C$40000,$Y3094)&amp;"")</f>
        <v/>
      </c>
      <c r="AA3094" s="59">
        <f>IF($Y3094="","",IF(INDEX($D$6:$D$40000,$Y3094)="","",INDEX($D$6:$D$40000,$Y3094)))</f>
        <v/>
      </c>
      <c r="AB3094">
        <f>IF($Y3094="","",INDEX($L$6:$L$40000,$Y3094)&amp;"")</f>
        <v/>
      </c>
    </row>
    <row r="3095">
      <c r="Y3095" s="47">
        <f>IFERROR(MATCH(Library!M3095,$M$6:$M$40000,0),"")</f>
        <v/>
      </c>
      <c r="Z3095">
        <f>IF($Y3095="","",INDEX($C$6:$C$40000,$Y3095)&amp;"")</f>
        <v/>
      </c>
      <c r="AA3095" s="59">
        <f>IF($Y3095="","",IF(INDEX($D$6:$D$40000,$Y3095)="","",INDEX($D$6:$D$40000,$Y3095)))</f>
        <v/>
      </c>
      <c r="AB3095">
        <f>IF($Y3095="","",INDEX($L$6:$L$40000,$Y3095)&amp;"")</f>
        <v/>
      </c>
    </row>
    <row r="3096">
      <c r="Y3096" s="47">
        <f>IFERROR(MATCH(Library!M3096,$M$6:$M$40000,0),"")</f>
        <v/>
      </c>
      <c r="Z3096">
        <f>IF($Y3096="","",INDEX($C$6:$C$40000,$Y3096)&amp;"")</f>
        <v/>
      </c>
      <c r="AA3096" s="59">
        <f>IF($Y3096="","",IF(INDEX($D$6:$D$40000,$Y3096)="","",INDEX($D$6:$D$40000,$Y3096)))</f>
        <v/>
      </c>
      <c r="AB3096">
        <f>IF($Y3096="","",INDEX($L$6:$L$40000,$Y3096)&amp;"")</f>
        <v/>
      </c>
    </row>
    <row r="3097">
      <c r="Y3097" s="47">
        <f>IFERROR(MATCH(Library!M3097,$M$6:$M$40000,0),"")</f>
        <v/>
      </c>
      <c r="Z3097">
        <f>IF($Y3097="","",INDEX($C$6:$C$40000,$Y3097)&amp;"")</f>
        <v/>
      </c>
      <c r="AA3097" s="59">
        <f>IF($Y3097="","",IF(INDEX($D$6:$D$40000,$Y3097)="","",INDEX($D$6:$D$40000,$Y3097)))</f>
        <v/>
      </c>
      <c r="AB3097">
        <f>IF($Y3097="","",INDEX($L$6:$L$40000,$Y3097)&amp;"")</f>
        <v/>
      </c>
    </row>
    <row r="3098">
      <c r="Y3098" s="47">
        <f>IFERROR(MATCH(Library!M3098,$M$6:$M$40000,0),"")</f>
        <v/>
      </c>
      <c r="Z3098">
        <f>IF($Y3098="","",INDEX($C$6:$C$40000,$Y3098)&amp;"")</f>
        <v/>
      </c>
      <c r="AA3098" s="59">
        <f>IF($Y3098="","",IF(INDEX($D$6:$D$40000,$Y3098)="","",INDEX($D$6:$D$40000,$Y3098)))</f>
        <v/>
      </c>
      <c r="AB3098">
        <f>IF($Y3098="","",INDEX($L$6:$L$40000,$Y3098)&amp;"")</f>
        <v/>
      </c>
    </row>
    <row r="3099">
      <c r="Y3099" s="47">
        <f>IFERROR(MATCH(Library!M3099,$M$6:$M$40000,0),"")</f>
        <v/>
      </c>
      <c r="Z3099">
        <f>IF($Y3099="","",INDEX($C$6:$C$40000,$Y3099)&amp;"")</f>
        <v/>
      </c>
      <c r="AA3099" s="59">
        <f>IF($Y3099="","",IF(INDEX($D$6:$D$40000,$Y3099)="","",INDEX($D$6:$D$40000,$Y3099)))</f>
        <v/>
      </c>
      <c r="AB3099">
        <f>IF($Y3099="","",INDEX($L$6:$L$40000,$Y3099)&amp;"")</f>
        <v/>
      </c>
    </row>
    <row r="3100">
      <c r="Y3100" s="47">
        <f>IFERROR(MATCH(Library!M3100,$M$6:$M$40000,0),"")</f>
        <v/>
      </c>
      <c r="Z3100">
        <f>IF($Y3100="","",INDEX($C$6:$C$40000,$Y3100)&amp;"")</f>
        <v/>
      </c>
      <c r="AA3100" s="59">
        <f>IF($Y3100="","",IF(INDEX($D$6:$D$40000,$Y3100)="","",INDEX($D$6:$D$40000,$Y3100)))</f>
        <v/>
      </c>
      <c r="AB3100">
        <f>IF($Y3100="","",INDEX($L$6:$L$40000,$Y3100)&amp;"")</f>
        <v/>
      </c>
    </row>
    <row r="3101">
      <c r="Y3101" s="47">
        <f>IFERROR(MATCH(Library!M3101,$M$6:$M$40000,0),"")</f>
        <v/>
      </c>
      <c r="Z3101">
        <f>IF($Y3101="","",INDEX($C$6:$C$40000,$Y3101)&amp;"")</f>
        <v/>
      </c>
      <c r="AA3101" s="59">
        <f>IF($Y3101="","",IF(INDEX($D$6:$D$40000,$Y3101)="","",INDEX($D$6:$D$40000,$Y3101)))</f>
        <v/>
      </c>
      <c r="AB3101">
        <f>IF($Y3101="","",INDEX($L$6:$L$40000,$Y3101)&amp;"")</f>
        <v/>
      </c>
    </row>
    <row r="3102">
      <c r="Y3102" s="47">
        <f>IFERROR(MATCH(Library!M3102,$M$6:$M$40000,0),"")</f>
        <v/>
      </c>
      <c r="Z3102">
        <f>IF($Y3102="","",INDEX($C$6:$C$40000,$Y3102)&amp;"")</f>
        <v/>
      </c>
      <c r="AA3102" s="59">
        <f>IF($Y3102="","",IF(INDEX($D$6:$D$40000,$Y3102)="","",INDEX($D$6:$D$40000,$Y3102)))</f>
        <v/>
      </c>
      <c r="AB3102">
        <f>IF($Y3102="","",INDEX($L$6:$L$40000,$Y3102)&amp;"")</f>
        <v/>
      </c>
    </row>
    <row r="3103">
      <c r="Y3103" s="47">
        <f>IFERROR(MATCH(Library!M3103,$M$6:$M$40000,0),"")</f>
        <v/>
      </c>
      <c r="Z3103">
        <f>IF($Y3103="","",INDEX($C$6:$C$40000,$Y3103)&amp;"")</f>
        <v/>
      </c>
      <c r="AA3103" s="59">
        <f>IF($Y3103="","",IF(INDEX($D$6:$D$40000,$Y3103)="","",INDEX($D$6:$D$40000,$Y3103)))</f>
        <v/>
      </c>
      <c r="AB3103">
        <f>IF($Y3103="","",INDEX($L$6:$L$40000,$Y3103)&amp;"")</f>
        <v/>
      </c>
    </row>
    <row r="3104">
      <c r="Y3104" s="47">
        <f>IFERROR(MATCH(Library!M3104,$M$6:$M$40000,0),"")</f>
        <v/>
      </c>
      <c r="Z3104">
        <f>IF($Y3104="","",INDEX($C$6:$C$40000,$Y3104)&amp;"")</f>
        <v/>
      </c>
      <c r="AA3104" s="59">
        <f>IF($Y3104="","",IF(INDEX($D$6:$D$40000,$Y3104)="","",INDEX($D$6:$D$40000,$Y3104)))</f>
        <v/>
      </c>
      <c r="AB3104">
        <f>IF($Y3104="","",INDEX($L$6:$L$40000,$Y3104)&amp;"")</f>
        <v/>
      </c>
    </row>
    <row r="3105">
      <c r="Y3105" s="47">
        <f>IFERROR(MATCH(Library!M3105,$M$6:$M$40000,0),"")</f>
        <v/>
      </c>
      <c r="Z3105">
        <f>IF($Y3105="","",INDEX($C$6:$C$40000,$Y3105)&amp;"")</f>
        <v/>
      </c>
      <c r="AA3105" s="59">
        <f>IF($Y3105="","",IF(INDEX($D$6:$D$40000,$Y3105)="","",INDEX($D$6:$D$40000,$Y3105)))</f>
        <v/>
      </c>
      <c r="AB3105">
        <f>IF($Y3105="","",INDEX($L$6:$L$40000,$Y3105)&amp;"")</f>
        <v/>
      </c>
    </row>
    <row r="3106">
      <c r="Y3106" s="47">
        <f>IFERROR(MATCH(Library!M3106,$M$6:$M$40000,0),"")</f>
        <v/>
      </c>
      <c r="Z3106">
        <f>IF($Y3106="","",INDEX($C$6:$C$40000,$Y3106)&amp;"")</f>
        <v/>
      </c>
      <c r="AA3106" s="59">
        <f>IF($Y3106="","",IF(INDEX($D$6:$D$40000,$Y3106)="","",INDEX($D$6:$D$40000,$Y3106)))</f>
        <v/>
      </c>
      <c r="AB3106">
        <f>IF($Y3106="","",INDEX($L$6:$L$40000,$Y3106)&amp;"")</f>
        <v/>
      </c>
    </row>
    <row r="3107">
      <c r="Y3107" s="47">
        <f>IFERROR(MATCH(Library!M3107,$M$6:$M$40000,0),"")</f>
        <v/>
      </c>
      <c r="Z3107">
        <f>IF($Y3107="","",INDEX($C$6:$C$40000,$Y3107)&amp;"")</f>
        <v/>
      </c>
      <c r="AA3107" s="59">
        <f>IF($Y3107="","",IF(INDEX($D$6:$D$40000,$Y3107)="","",INDEX($D$6:$D$40000,$Y3107)))</f>
        <v/>
      </c>
      <c r="AB3107">
        <f>IF($Y3107="","",INDEX($L$6:$L$40000,$Y3107)&amp;"")</f>
        <v/>
      </c>
    </row>
    <row r="3108">
      <c r="Y3108" s="47">
        <f>IFERROR(MATCH(Library!M3108,$M$6:$M$40000,0),"")</f>
        <v/>
      </c>
      <c r="Z3108">
        <f>IF($Y3108="","",INDEX($C$6:$C$40000,$Y3108)&amp;"")</f>
        <v/>
      </c>
      <c r="AA3108" s="59">
        <f>IF($Y3108="","",IF(INDEX($D$6:$D$40000,$Y3108)="","",INDEX($D$6:$D$40000,$Y3108)))</f>
        <v/>
      </c>
      <c r="AB3108">
        <f>IF($Y3108="","",INDEX($L$6:$L$40000,$Y3108)&amp;"")</f>
        <v/>
      </c>
    </row>
    <row r="3109">
      <c r="Y3109" s="47">
        <f>IFERROR(MATCH(Library!M3109,$M$6:$M$40000,0),"")</f>
        <v/>
      </c>
      <c r="Z3109">
        <f>IF($Y3109="","",INDEX($C$6:$C$40000,$Y3109)&amp;"")</f>
        <v/>
      </c>
      <c r="AA3109" s="59">
        <f>IF($Y3109="","",IF(INDEX($D$6:$D$40000,$Y3109)="","",INDEX($D$6:$D$40000,$Y3109)))</f>
        <v/>
      </c>
      <c r="AB3109">
        <f>IF($Y3109="","",INDEX($L$6:$L$40000,$Y3109)&amp;"")</f>
        <v/>
      </c>
    </row>
    <row r="3110">
      <c r="Y3110" s="47">
        <f>IFERROR(MATCH(Library!M3110,$M$6:$M$40000,0),"")</f>
        <v/>
      </c>
      <c r="Z3110">
        <f>IF($Y3110="","",INDEX($C$6:$C$40000,$Y3110)&amp;"")</f>
        <v/>
      </c>
      <c r="AA3110" s="59">
        <f>IF($Y3110="","",IF(INDEX($D$6:$D$40000,$Y3110)="","",INDEX($D$6:$D$40000,$Y3110)))</f>
        <v/>
      </c>
      <c r="AB3110">
        <f>IF($Y3110="","",INDEX($L$6:$L$40000,$Y3110)&amp;"")</f>
        <v/>
      </c>
    </row>
    <row r="3111">
      <c r="Y3111" s="47">
        <f>IFERROR(MATCH(Library!M3111,$M$6:$M$40000,0),"")</f>
        <v/>
      </c>
      <c r="Z3111">
        <f>IF($Y3111="","",INDEX($C$6:$C$40000,$Y3111)&amp;"")</f>
        <v/>
      </c>
      <c r="AA3111" s="59">
        <f>IF($Y3111="","",IF(INDEX($D$6:$D$40000,$Y3111)="","",INDEX($D$6:$D$40000,$Y3111)))</f>
        <v/>
      </c>
      <c r="AB3111">
        <f>IF($Y3111="","",INDEX($L$6:$L$40000,$Y3111)&amp;"")</f>
        <v/>
      </c>
    </row>
    <row r="3112">
      <c r="Y3112" s="47">
        <f>IFERROR(MATCH(Library!M3112,$M$6:$M$40000,0),"")</f>
        <v/>
      </c>
      <c r="Z3112">
        <f>IF($Y3112="","",INDEX($C$6:$C$40000,$Y3112)&amp;"")</f>
        <v/>
      </c>
      <c r="AA3112" s="59">
        <f>IF($Y3112="","",IF(INDEX($D$6:$D$40000,$Y3112)="","",INDEX($D$6:$D$40000,$Y3112)))</f>
        <v/>
      </c>
      <c r="AB3112">
        <f>IF($Y3112="","",INDEX($L$6:$L$40000,$Y3112)&amp;"")</f>
        <v/>
      </c>
    </row>
    <row r="3113">
      <c r="Y3113" s="47">
        <f>IFERROR(MATCH(Library!M3113,$M$6:$M$40000,0),"")</f>
        <v/>
      </c>
      <c r="Z3113">
        <f>IF($Y3113="","",INDEX($C$6:$C$40000,$Y3113)&amp;"")</f>
        <v/>
      </c>
      <c r="AA3113" s="59">
        <f>IF($Y3113="","",IF(INDEX($D$6:$D$40000,$Y3113)="","",INDEX($D$6:$D$40000,$Y3113)))</f>
        <v/>
      </c>
      <c r="AB3113">
        <f>IF($Y3113="","",INDEX($L$6:$L$40000,$Y3113)&amp;"")</f>
        <v/>
      </c>
    </row>
    <row r="3114">
      <c r="Y3114" s="47">
        <f>IFERROR(MATCH(Library!M3114,$M$6:$M$40000,0),"")</f>
        <v/>
      </c>
      <c r="Z3114">
        <f>IF($Y3114="","",INDEX($C$6:$C$40000,$Y3114)&amp;"")</f>
        <v/>
      </c>
      <c r="AA3114" s="59">
        <f>IF($Y3114="","",IF(INDEX($D$6:$D$40000,$Y3114)="","",INDEX($D$6:$D$40000,$Y3114)))</f>
        <v/>
      </c>
      <c r="AB3114">
        <f>IF($Y3114="","",INDEX($L$6:$L$40000,$Y3114)&amp;"")</f>
        <v/>
      </c>
    </row>
    <row r="3115">
      <c r="Y3115" s="47">
        <f>IFERROR(MATCH(Library!M3115,$M$6:$M$40000,0),"")</f>
        <v/>
      </c>
      <c r="Z3115">
        <f>IF($Y3115="","",INDEX($C$6:$C$40000,$Y3115)&amp;"")</f>
        <v/>
      </c>
      <c r="AA3115" s="59">
        <f>IF($Y3115="","",IF(INDEX($D$6:$D$40000,$Y3115)="","",INDEX($D$6:$D$40000,$Y3115)))</f>
        <v/>
      </c>
      <c r="AB3115">
        <f>IF($Y3115="","",INDEX($L$6:$L$40000,$Y3115)&amp;"")</f>
        <v/>
      </c>
    </row>
    <row r="3116">
      <c r="Y3116" s="47">
        <f>IFERROR(MATCH(Library!M3116,$M$6:$M$40000,0),"")</f>
        <v/>
      </c>
      <c r="Z3116">
        <f>IF($Y3116="","",INDEX($C$6:$C$40000,$Y3116)&amp;"")</f>
        <v/>
      </c>
      <c r="AA3116" s="59">
        <f>IF($Y3116="","",IF(INDEX($D$6:$D$40000,$Y3116)="","",INDEX($D$6:$D$40000,$Y3116)))</f>
        <v/>
      </c>
      <c r="AB3116">
        <f>IF($Y3116="","",INDEX($L$6:$L$40000,$Y3116)&amp;"")</f>
        <v/>
      </c>
    </row>
    <row r="3117">
      <c r="Y3117" s="47">
        <f>IFERROR(MATCH(Library!M3117,$M$6:$M$40000,0),"")</f>
        <v/>
      </c>
      <c r="Z3117">
        <f>IF($Y3117="","",INDEX($C$6:$C$40000,$Y3117)&amp;"")</f>
        <v/>
      </c>
      <c r="AA3117" s="59">
        <f>IF($Y3117="","",IF(INDEX($D$6:$D$40000,$Y3117)="","",INDEX($D$6:$D$40000,$Y3117)))</f>
        <v/>
      </c>
      <c r="AB3117">
        <f>IF($Y3117="","",INDEX($L$6:$L$40000,$Y3117)&amp;"")</f>
        <v/>
      </c>
    </row>
    <row r="3118">
      <c r="Y3118" s="47">
        <f>IFERROR(MATCH(Library!M3118,$M$6:$M$40000,0),"")</f>
        <v/>
      </c>
      <c r="Z3118">
        <f>IF($Y3118="","",INDEX($C$6:$C$40000,$Y3118)&amp;"")</f>
        <v/>
      </c>
      <c r="AA3118" s="59">
        <f>IF($Y3118="","",IF(INDEX($D$6:$D$40000,$Y3118)="","",INDEX($D$6:$D$40000,$Y3118)))</f>
        <v/>
      </c>
      <c r="AB3118">
        <f>IF($Y3118="","",INDEX($L$6:$L$40000,$Y3118)&amp;"")</f>
        <v/>
      </c>
    </row>
    <row r="3119">
      <c r="Y3119" s="47">
        <f>IFERROR(MATCH(Library!M3119,$M$6:$M$40000,0),"")</f>
        <v/>
      </c>
      <c r="Z3119">
        <f>IF($Y3119="","",INDEX($C$6:$C$40000,$Y3119)&amp;"")</f>
        <v/>
      </c>
      <c r="AA3119" s="59">
        <f>IF($Y3119="","",IF(INDEX($D$6:$D$40000,$Y3119)="","",INDEX($D$6:$D$40000,$Y3119)))</f>
        <v/>
      </c>
      <c r="AB3119">
        <f>IF($Y3119="","",INDEX($L$6:$L$40000,$Y3119)&amp;"")</f>
        <v/>
      </c>
    </row>
    <row r="3120">
      <c r="Y3120" s="47">
        <f>IFERROR(MATCH(Library!M3120,$M$6:$M$40000,0),"")</f>
        <v/>
      </c>
      <c r="Z3120">
        <f>IF($Y3120="","",INDEX($C$6:$C$40000,$Y3120)&amp;"")</f>
        <v/>
      </c>
      <c r="AA3120" s="59">
        <f>IF($Y3120="","",IF(INDEX($D$6:$D$40000,$Y3120)="","",INDEX($D$6:$D$40000,$Y3120)))</f>
        <v/>
      </c>
      <c r="AB3120">
        <f>IF($Y3120="","",INDEX($L$6:$L$40000,$Y3120)&amp;"")</f>
        <v/>
      </c>
    </row>
    <row r="3121">
      <c r="Y3121" s="47">
        <f>IFERROR(MATCH(Library!M3121,$M$6:$M$40000,0),"")</f>
        <v/>
      </c>
      <c r="Z3121">
        <f>IF($Y3121="","",INDEX($C$6:$C$40000,$Y3121)&amp;"")</f>
        <v/>
      </c>
      <c r="AA3121" s="59">
        <f>IF($Y3121="","",IF(INDEX($D$6:$D$40000,$Y3121)="","",INDEX($D$6:$D$40000,$Y3121)))</f>
        <v/>
      </c>
      <c r="AB3121">
        <f>IF($Y3121="","",INDEX($L$6:$L$40000,$Y3121)&amp;"")</f>
        <v/>
      </c>
    </row>
    <row r="3122">
      <c r="Y3122" s="47">
        <f>IFERROR(MATCH(Library!M3122,$M$6:$M$40000,0),"")</f>
        <v/>
      </c>
      <c r="Z3122">
        <f>IF($Y3122="","",INDEX($C$6:$C$40000,$Y3122)&amp;"")</f>
        <v/>
      </c>
      <c r="AA3122" s="59">
        <f>IF($Y3122="","",IF(INDEX($D$6:$D$40000,$Y3122)="","",INDEX($D$6:$D$40000,$Y3122)))</f>
        <v/>
      </c>
      <c r="AB3122">
        <f>IF($Y3122="","",INDEX($L$6:$L$40000,$Y3122)&amp;"")</f>
        <v/>
      </c>
    </row>
    <row r="3123">
      <c r="Y3123" s="47">
        <f>IFERROR(MATCH(Library!M3123,$M$6:$M$40000,0),"")</f>
        <v/>
      </c>
      <c r="Z3123">
        <f>IF($Y3123="","",INDEX($C$6:$C$40000,$Y3123)&amp;"")</f>
        <v/>
      </c>
      <c r="AA3123" s="59">
        <f>IF($Y3123="","",IF(INDEX($D$6:$D$40000,$Y3123)="","",INDEX($D$6:$D$40000,$Y3123)))</f>
        <v/>
      </c>
      <c r="AB3123">
        <f>IF($Y3123="","",INDEX($L$6:$L$40000,$Y3123)&amp;"")</f>
        <v/>
      </c>
    </row>
    <row r="3124">
      <c r="Y3124" s="47">
        <f>IFERROR(MATCH(Library!M3124,$M$6:$M$40000,0),"")</f>
        <v/>
      </c>
      <c r="Z3124">
        <f>IF($Y3124="","",INDEX($C$6:$C$40000,$Y3124)&amp;"")</f>
        <v/>
      </c>
      <c r="AA3124" s="59">
        <f>IF($Y3124="","",IF(INDEX($D$6:$D$40000,$Y3124)="","",INDEX($D$6:$D$40000,$Y3124)))</f>
        <v/>
      </c>
      <c r="AB3124">
        <f>IF($Y3124="","",INDEX($L$6:$L$40000,$Y3124)&amp;"")</f>
        <v/>
      </c>
    </row>
    <row r="3125">
      <c r="Y3125" s="47">
        <f>IFERROR(MATCH(Library!M3125,$M$6:$M$40000,0),"")</f>
        <v/>
      </c>
      <c r="Z3125">
        <f>IF($Y3125="","",INDEX($C$6:$C$40000,$Y3125)&amp;"")</f>
        <v/>
      </c>
      <c r="AA3125" s="59">
        <f>IF($Y3125="","",IF(INDEX($D$6:$D$40000,$Y3125)="","",INDEX($D$6:$D$40000,$Y3125)))</f>
        <v/>
      </c>
      <c r="AB3125">
        <f>IF($Y3125="","",INDEX($L$6:$L$40000,$Y3125)&amp;"")</f>
        <v/>
      </c>
    </row>
    <row r="3126">
      <c r="Y3126" s="47">
        <f>IFERROR(MATCH(Library!M3126,$M$6:$M$40000,0),"")</f>
        <v/>
      </c>
      <c r="Z3126">
        <f>IF($Y3126="","",INDEX($C$6:$C$40000,$Y3126)&amp;"")</f>
        <v/>
      </c>
      <c r="AA3126" s="59">
        <f>IF($Y3126="","",IF(INDEX($D$6:$D$40000,$Y3126)="","",INDEX($D$6:$D$40000,$Y3126)))</f>
        <v/>
      </c>
      <c r="AB3126">
        <f>IF($Y3126="","",INDEX($L$6:$L$40000,$Y3126)&amp;"")</f>
        <v/>
      </c>
    </row>
    <row r="3127">
      <c r="Y3127" s="47">
        <f>IFERROR(MATCH(Library!M3127,$M$6:$M$40000,0),"")</f>
        <v/>
      </c>
      <c r="Z3127">
        <f>IF($Y3127="","",INDEX($C$6:$C$40000,$Y3127)&amp;"")</f>
        <v/>
      </c>
      <c r="AA3127" s="59">
        <f>IF($Y3127="","",IF(INDEX($D$6:$D$40000,$Y3127)="","",INDEX($D$6:$D$40000,$Y3127)))</f>
        <v/>
      </c>
      <c r="AB3127">
        <f>IF($Y3127="","",INDEX($L$6:$L$40000,$Y3127)&amp;"")</f>
        <v/>
      </c>
    </row>
    <row r="3128">
      <c r="Y3128" s="47">
        <f>IFERROR(MATCH(Library!M3128,$M$6:$M$40000,0),"")</f>
        <v/>
      </c>
      <c r="Z3128">
        <f>IF($Y3128="","",INDEX($C$6:$C$40000,$Y3128)&amp;"")</f>
        <v/>
      </c>
      <c r="AA3128" s="59">
        <f>IF($Y3128="","",IF(INDEX($D$6:$D$40000,$Y3128)="","",INDEX($D$6:$D$40000,$Y3128)))</f>
        <v/>
      </c>
      <c r="AB3128">
        <f>IF($Y3128="","",INDEX($L$6:$L$40000,$Y3128)&amp;"")</f>
        <v/>
      </c>
    </row>
    <row r="3129">
      <c r="Y3129" s="47">
        <f>IFERROR(MATCH(Library!M3129,$M$6:$M$40000,0),"")</f>
        <v/>
      </c>
      <c r="Z3129">
        <f>IF($Y3129="","",INDEX($C$6:$C$40000,$Y3129)&amp;"")</f>
        <v/>
      </c>
      <c r="AA3129" s="59">
        <f>IF($Y3129="","",IF(INDEX($D$6:$D$40000,$Y3129)="","",INDEX($D$6:$D$40000,$Y3129)))</f>
        <v/>
      </c>
      <c r="AB3129">
        <f>IF($Y3129="","",INDEX($L$6:$L$40000,$Y3129)&amp;"")</f>
        <v/>
      </c>
    </row>
    <row r="3130">
      <c r="Y3130" s="47">
        <f>IFERROR(MATCH(Library!M3130,$M$6:$M$40000,0),"")</f>
        <v/>
      </c>
      <c r="Z3130">
        <f>IF($Y3130="","",INDEX($C$6:$C$40000,$Y3130)&amp;"")</f>
        <v/>
      </c>
      <c r="AA3130" s="59">
        <f>IF($Y3130="","",IF(INDEX($D$6:$D$40000,$Y3130)="","",INDEX($D$6:$D$40000,$Y3130)))</f>
        <v/>
      </c>
      <c r="AB3130">
        <f>IF($Y3130="","",INDEX($L$6:$L$40000,$Y3130)&amp;"")</f>
        <v/>
      </c>
    </row>
    <row r="3131">
      <c r="Y3131" s="47">
        <f>IFERROR(MATCH(Library!M3131,$M$6:$M$40000,0),"")</f>
        <v/>
      </c>
      <c r="Z3131">
        <f>IF($Y3131="","",INDEX($C$6:$C$40000,$Y3131)&amp;"")</f>
        <v/>
      </c>
      <c r="AA3131" s="59">
        <f>IF($Y3131="","",IF(INDEX($D$6:$D$40000,$Y3131)="","",INDEX($D$6:$D$40000,$Y3131)))</f>
        <v/>
      </c>
      <c r="AB3131">
        <f>IF($Y3131="","",INDEX($L$6:$L$40000,$Y3131)&amp;"")</f>
        <v/>
      </c>
    </row>
    <row r="3132">
      <c r="Y3132" s="47">
        <f>IFERROR(MATCH(Library!M3132,$M$6:$M$40000,0),"")</f>
        <v/>
      </c>
      <c r="Z3132">
        <f>IF($Y3132="","",INDEX($C$6:$C$40000,$Y3132)&amp;"")</f>
        <v/>
      </c>
      <c r="AA3132" s="59">
        <f>IF($Y3132="","",IF(INDEX($D$6:$D$40000,$Y3132)="","",INDEX($D$6:$D$40000,$Y3132)))</f>
        <v/>
      </c>
      <c r="AB3132">
        <f>IF($Y3132="","",INDEX($L$6:$L$40000,$Y3132)&amp;"")</f>
        <v/>
      </c>
    </row>
    <row r="3133">
      <c r="Y3133" s="47">
        <f>IFERROR(MATCH(Library!M3133,$M$6:$M$40000,0),"")</f>
        <v/>
      </c>
      <c r="Z3133">
        <f>IF($Y3133="","",INDEX($C$6:$C$40000,$Y3133)&amp;"")</f>
        <v/>
      </c>
      <c r="AA3133" s="59">
        <f>IF($Y3133="","",IF(INDEX($D$6:$D$40000,$Y3133)="","",INDEX($D$6:$D$40000,$Y3133)))</f>
        <v/>
      </c>
      <c r="AB3133">
        <f>IF($Y3133="","",INDEX($L$6:$L$40000,$Y3133)&amp;"")</f>
        <v/>
      </c>
    </row>
    <row r="3134">
      <c r="Y3134" s="47">
        <f>IFERROR(MATCH(Library!M3134,$M$6:$M$40000,0),"")</f>
        <v/>
      </c>
      <c r="Z3134">
        <f>IF($Y3134="","",INDEX($C$6:$C$40000,$Y3134)&amp;"")</f>
        <v/>
      </c>
      <c r="AA3134" s="59">
        <f>IF($Y3134="","",IF(INDEX($D$6:$D$40000,$Y3134)="","",INDEX($D$6:$D$40000,$Y3134)))</f>
        <v/>
      </c>
      <c r="AB3134">
        <f>IF($Y3134="","",INDEX($L$6:$L$40000,$Y3134)&amp;"")</f>
        <v/>
      </c>
    </row>
    <row r="3135">
      <c r="Y3135" s="47">
        <f>IFERROR(MATCH(Library!M3135,$M$6:$M$40000,0),"")</f>
        <v/>
      </c>
      <c r="Z3135">
        <f>IF($Y3135="","",INDEX($C$6:$C$40000,$Y3135)&amp;"")</f>
        <v/>
      </c>
      <c r="AA3135" s="59">
        <f>IF($Y3135="","",IF(INDEX($D$6:$D$40000,$Y3135)="","",INDEX($D$6:$D$40000,$Y3135)))</f>
        <v/>
      </c>
      <c r="AB3135">
        <f>IF($Y3135="","",INDEX($L$6:$L$40000,$Y3135)&amp;"")</f>
        <v/>
      </c>
    </row>
    <row r="3136">
      <c r="Y3136" s="47">
        <f>IFERROR(MATCH(Library!M3136,$M$6:$M$40000,0),"")</f>
        <v/>
      </c>
      <c r="Z3136">
        <f>IF($Y3136="","",INDEX($C$6:$C$40000,$Y3136)&amp;"")</f>
        <v/>
      </c>
      <c r="AA3136" s="59">
        <f>IF($Y3136="","",IF(INDEX($D$6:$D$40000,$Y3136)="","",INDEX($D$6:$D$40000,$Y3136)))</f>
        <v/>
      </c>
      <c r="AB3136">
        <f>IF($Y3136="","",INDEX($L$6:$L$40000,$Y3136)&amp;"")</f>
        <v/>
      </c>
    </row>
    <row r="3137">
      <c r="Y3137" s="47">
        <f>IFERROR(MATCH(Library!M3137,$M$6:$M$40000,0),"")</f>
        <v/>
      </c>
      <c r="Z3137">
        <f>IF($Y3137="","",INDEX($C$6:$C$40000,$Y3137)&amp;"")</f>
        <v/>
      </c>
      <c r="AA3137" s="59">
        <f>IF($Y3137="","",IF(INDEX($D$6:$D$40000,$Y3137)="","",INDEX($D$6:$D$40000,$Y3137)))</f>
        <v/>
      </c>
      <c r="AB3137">
        <f>IF($Y3137="","",INDEX($L$6:$L$40000,$Y3137)&amp;"")</f>
        <v/>
      </c>
    </row>
    <row r="3138">
      <c r="Y3138" s="47">
        <f>IFERROR(MATCH(Library!M3138,$M$6:$M$40000,0),"")</f>
        <v/>
      </c>
      <c r="Z3138">
        <f>IF($Y3138="","",INDEX($C$6:$C$40000,$Y3138)&amp;"")</f>
        <v/>
      </c>
      <c r="AA3138" s="59">
        <f>IF($Y3138="","",IF(INDEX($D$6:$D$40000,$Y3138)="","",INDEX($D$6:$D$40000,$Y3138)))</f>
        <v/>
      </c>
      <c r="AB3138">
        <f>IF($Y3138="","",INDEX($L$6:$L$40000,$Y3138)&amp;"")</f>
        <v/>
      </c>
    </row>
    <row r="3139">
      <c r="Y3139" s="47">
        <f>IFERROR(MATCH(Library!M3139,$M$6:$M$40000,0),"")</f>
        <v/>
      </c>
      <c r="Z3139">
        <f>IF($Y3139="","",INDEX($C$6:$C$40000,$Y3139)&amp;"")</f>
        <v/>
      </c>
      <c r="AA3139" s="59">
        <f>IF($Y3139="","",IF(INDEX($D$6:$D$40000,$Y3139)="","",INDEX($D$6:$D$40000,$Y3139)))</f>
        <v/>
      </c>
      <c r="AB3139">
        <f>IF($Y3139="","",INDEX($L$6:$L$40000,$Y3139)&amp;"")</f>
        <v/>
      </c>
    </row>
    <row r="3140">
      <c r="Y3140" s="47">
        <f>IFERROR(MATCH(Library!M3140,$M$6:$M$40000,0),"")</f>
        <v/>
      </c>
      <c r="Z3140">
        <f>IF($Y3140="","",INDEX($C$6:$C$40000,$Y3140)&amp;"")</f>
        <v/>
      </c>
      <c r="AA3140" s="59">
        <f>IF($Y3140="","",IF(INDEX($D$6:$D$40000,$Y3140)="","",INDEX($D$6:$D$40000,$Y3140)))</f>
        <v/>
      </c>
      <c r="AB3140">
        <f>IF($Y3140="","",INDEX($L$6:$L$40000,$Y3140)&amp;"")</f>
        <v/>
      </c>
    </row>
    <row r="3141">
      <c r="Y3141" s="47">
        <f>IFERROR(MATCH(Library!M3141,$M$6:$M$40000,0),"")</f>
        <v/>
      </c>
      <c r="Z3141">
        <f>IF($Y3141="","",INDEX($C$6:$C$40000,$Y3141)&amp;"")</f>
        <v/>
      </c>
      <c r="AA3141" s="59">
        <f>IF($Y3141="","",IF(INDEX($D$6:$D$40000,$Y3141)="","",INDEX($D$6:$D$40000,$Y3141)))</f>
        <v/>
      </c>
      <c r="AB3141">
        <f>IF($Y3141="","",INDEX($L$6:$L$40000,$Y3141)&amp;"")</f>
        <v/>
      </c>
    </row>
    <row r="3142">
      <c r="Y3142" s="47">
        <f>IFERROR(MATCH(Library!M3142,$M$6:$M$40000,0),"")</f>
        <v/>
      </c>
      <c r="Z3142">
        <f>IF($Y3142="","",INDEX($C$6:$C$40000,$Y3142)&amp;"")</f>
        <v/>
      </c>
      <c r="AA3142" s="59">
        <f>IF($Y3142="","",IF(INDEX($D$6:$D$40000,$Y3142)="","",INDEX($D$6:$D$40000,$Y3142)))</f>
        <v/>
      </c>
      <c r="AB3142">
        <f>IF($Y3142="","",INDEX($L$6:$L$40000,$Y3142)&amp;"")</f>
        <v/>
      </c>
    </row>
    <row r="3143">
      <c r="Y3143" s="47">
        <f>IFERROR(MATCH(Library!M3143,$M$6:$M$40000,0),"")</f>
        <v/>
      </c>
      <c r="Z3143">
        <f>IF($Y3143="","",INDEX($C$6:$C$40000,$Y3143)&amp;"")</f>
        <v/>
      </c>
      <c r="AA3143" s="59">
        <f>IF($Y3143="","",IF(INDEX($D$6:$D$40000,$Y3143)="","",INDEX($D$6:$D$40000,$Y3143)))</f>
        <v/>
      </c>
      <c r="AB3143">
        <f>IF($Y3143="","",INDEX($L$6:$L$40000,$Y3143)&amp;"")</f>
        <v/>
      </c>
    </row>
    <row r="3144">
      <c r="Y3144" s="47">
        <f>IFERROR(MATCH(Library!M3144,$M$6:$M$40000,0),"")</f>
        <v/>
      </c>
      <c r="Z3144">
        <f>IF($Y3144="","",INDEX($C$6:$C$40000,$Y3144)&amp;"")</f>
        <v/>
      </c>
      <c r="AA3144" s="59">
        <f>IF($Y3144="","",IF(INDEX($D$6:$D$40000,$Y3144)="","",INDEX($D$6:$D$40000,$Y3144)))</f>
        <v/>
      </c>
      <c r="AB3144">
        <f>IF($Y3144="","",INDEX($L$6:$L$40000,$Y3144)&amp;"")</f>
        <v/>
      </c>
    </row>
    <row r="3145">
      <c r="Y3145" s="47">
        <f>IFERROR(MATCH(Library!M3145,$M$6:$M$40000,0),"")</f>
        <v/>
      </c>
      <c r="Z3145">
        <f>IF($Y3145="","",INDEX($C$6:$C$40000,$Y3145)&amp;"")</f>
        <v/>
      </c>
      <c r="AA3145" s="59">
        <f>IF($Y3145="","",IF(INDEX($D$6:$D$40000,$Y3145)="","",INDEX($D$6:$D$40000,$Y3145)))</f>
        <v/>
      </c>
      <c r="AB3145">
        <f>IF($Y3145="","",INDEX($L$6:$L$40000,$Y3145)&amp;"")</f>
        <v/>
      </c>
    </row>
    <row r="3146">
      <c r="Y3146" s="47">
        <f>IFERROR(MATCH(Library!M3146,$M$6:$M$40000,0),"")</f>
        <v/>
      </c>
      <c r="Z3146">
        <f>IF($Y3146="","",INDEX($C$6:$C$40000,$Y3146)&amp;"")</f>
        <v/>
      </c>
      <c r="AA3146" s="59">
        <f>IF($Y3146="","",IF(INDEX($D$6:$D$40000,$Y3146)="","",INDEX($D$6:$D$40000,$Y3146)))</f>
        <v/>
      </c>
      <c r="AB3146">
        <f>IF($Y3146="","",INDEX($L$6:$L$40000,$Y3146)&amp;"")</f>
        <v/>
      </c>
    </row>
    <row r="3147">
      <c r="Y3147" s="47">
        <f>IFERROR(MATCH(Library!M3147,$M$6:$M$40000,0),"")</f>
        <v/>
      </c>
      <c r="Z3147">
        <f>IF($Y3147="","",INDEX($C$6:$C$40000,$Y3147)&amp;"")</f>
        <v/>
      </c>
      <c r="AA3147" s="59">
        <f>IF($Y3147="","",IF(INDEX($D$6:$D$40000,$Y3147)="","",INDEX($D$6:$D$40000,$Y3147)))</f>
        <v/>
      </c>
      <c r="AB3147">
        <f>IF($Y3147="","",INDEX($L$6:$L$40000,$Y3147)&amp;"")</f>
        <v/>
      </c>
    </row>
    <row r="3148">
      <c r="Y3148" s="47">
        <f>IFERROR(MATCH(Library!M3148,$M$6:$M$40000,0),"")</f>
        <v/>
      </c>
      <c r="Z3148">
        <f>IF($Y3148="","",INDEX($C$6:$C$40000,$Y3148)&amp;"")</f>
        <v/>
      </c>
      <c r="AA3148" s="59">
        <f>IF($Y3148="","",IF(INDEX($D$6:$D$40000,$Y3148)="","",INDEX($D$6:$D$40000,$Y3148)))</f>
        <v/>
      </c>
      <c r="AB3148">
        <f>IF($Y3148="","",INDEX($L$6:$L$40000,$Y3148)&amp;"")</f>
        <v/>
      </c>
    </row>
    <row r="3149">
      <c r="Y3149" s="47">
        <f>IFERROR(MATCH(Library!M3149,$M$6:$M$40000,0),"")</f>
        <v/>
      </c>
      <c r="Z3149">
        <f>IF($Y3149="","",INDEX($C$6:$C$40000,$Y3149)&amp;"")</f>
        <v/>
      </c>
      <c r="AA3149" s="59">
        <f>IF($Y3149="","",IF(INDEX($D$6:$D$40000,$Y3149)="","",INDEX($D$6:$D$40000,$Y3149)))</f>
        <v/>
      </c>
      <c r="AB3149">
        <f>IF($Y3149="","",INDEX($L$6:$L$40000,$Y3149)&amp;"")</f>
        <v/>
      </c>
    </row>
    <row r="3150">
      <c r="Y3150" s="47">
        <f>IFERROR(MATCH(Library!M3150,$M$6:$M$40000,0),"")</f>
        <v/>
      </c>
      <c r="Z3150">
        <f>IF($Y3150="","",INDEX($C$6:$C$40000,$Y3150)&amp;"")</f>
        <v/>
      </c>
      <c r="AA3150" s="59">
        <f>IF($Y3150="","",IF(INDEX($D$6:$D$40000,$Y3150)="","",INDEX($D$6:$D$40000,$Y3150)))</f>
        <v/>
      </c>
      <c r="AB3150">
        <f>IF($Y3150="","",INDEX($L$6:$L$40000,$Y3150)&amp;"")</f>
        <v/>
      </c>
    </row>
    <row r="3151">
      <c r="Y3151" s="47">
        <f>IFERROR(MATCH(Library!M3151,$M$6:$M$40000,0),"")</f>
        <v/>
      </c>
      <c r="Z3151">
        <f>IF($Y3151="","",INDEX($C$6:$C$40000,$Y3151)&amp;"")</f>
        <v/>
      </c>
      <c r="AA3151" s="59">
        <f>IF($Y3151="","",IF(INDEX($D$6:$D$40000,$Y3151)="","",INDEX($D$6:$D$40000,$Y3151)))</f>
        <v/>
      </c>
      <c r="AB3151">
        <f>IF($Y3151="","",INDEX($L$6:$L$40000,$Y3151)&amp;"")</f>
        <v/>
      </c>
    </row>
    <row r="3152">
      <c r="Y3152" s="47">
        <f>IFERROR(MATCH(Library!M3152,$M$6:$M$40000,0),"")</f>
        <v/>
      </c>
      <c r="Z3152">
        <f>IF($Y3152="","",INDEX($C$6:$C$40000,$Y3152)&amp;"")</f>
        <v/>
      </c>
      <c r="AA3152" s="59">
        <f>IF($Y3152="","",IF(INDEX($D$6:$D$40000,$Y3152)="","",INDEX($D$6:$D$40000,$Y3152)))</f>
        <v/>
      </c>
      <c r="AB3152">
        <f>IF($Y3152="","",INDEX($L$6:$L$40000,$Y3152)&amp;"")</f>
        <v/>
      </c>
    </row>
    <row r="3153">
      <c r="Y3153" s="47">
        <f>IFERROR(MATCH(Library!M3153,$M$6:$M$40000,0),"")</f>
        <v/>
      </c>
      <c r="Z3153">
        <f>IF($Y3153="","",INDEX($C$6:$C$40000,$Y3153)&amp;"")</f>
        <v/>
      </c>
      <c r="AA3153" s="59">
        <f>IF($Y3153="","",IF(INDEX($D$6:$D$40000,$Y3153)="","",INDEX($D$6:$D$40000,$Y3153)))</f>
        <v/>
      </c>
      <c r="AB3153">
        <f>IF($Y3153="","",INDEX($L$6:$L$40000,$Y3153)&amp;"")</f>
        <v/>
      </c>
    </row>
    <row r="3154">
      <c r="Y3154" s="47">
        <f>IFERROR(MATCH(Library!M3154,$M$6:$M$40000,0),"")</f>
        <v/>
      </c>
      <c r="Z3154">
        <f>IF($Y3154="","",INDEX($C$6:$C$40000,$Y3154)&amp;"")</f>
        <v/>
      </c>
      <c r="AA3154" s="59">
        <f>IF($Y3154="","",IF(INDEX($D$6:$D$40000,$Y3154)="","",INDEX($D$6:$D$40000,$Y3154)))</f>
        <v/>
      </c>
      <c r="AB3154">
        <f>IF($Y3154="","",INDEX($L$6:$L$40000,$Y3154)&amp;"")</f>
        <v/>
      </c>
    </row>
    <row r="3155">
      <c r="Y3155" s="47">
        <f>IFERROR(MATCH(Library!M3155,$M$6:$M$40000,0),"")</f>
        <v/>
      </c>
      <c r="Z3155">
        <f>IF($Y3155="","",INDEX($C$6:$C$40000,$Y3155)&amp;"")</f>
        <v/>
      </c>
      <c r="AA3155" s="59">
        <f>IF($Y3155="","",IF(INDEX($D$6:$D$40000,$Y3155)="","",INDEX($D$6:$D$40000,$Y3155)))</f>
        <v/>
      </c>
      <c r="AB3155">
        <f>IF($Y3155="","",INDEX($L$6:$L$40000,$Y3155)&amp;"")</f>
        <v/>
      </c>
    </row>
    <row r="3156">
      <c r="Y3156" s="47">
        <f>IFERROR(MATCH(Library!M3156,$M$6:$M$40000,0),"")</f>
        <v/>
      </c>
      <c r="Z3156">
        <f>IF($Y3156="","",INDEX($C$6:$C$40000,$Y3156)&amp;"")</f>
        <v/>
      </c>
      <c r="AA3156" s="59">
        <f>IF($Y3156="","",IF(INDEX($D$6:$D$40000,$Y3156)="","",INDEX($D$6:$D$40000,$Y3156)))</f>
        <v/>
      </c>
      <c r="AB3156">
        <f>IF($Y3156="","",INDEX($L$6:$L$40000,$Y3156)&amp;"")</f>
        <v/>
      </c>
    </row>
    <row r="3157">
      <c r="Y3157" s="47">
        <f>IFERROR(MATCH(Library!M3157,$M$6:$M$40000,0),"")</f>
        <v/>
      </c>
      <c r="Z3157">
        <f>IF($Y3157="","",INDEX($C$6:$C$40000,$Y3157)&amp;"")</f>
        <v/>
      </c>
      <c r="AA3157" s="59">
        <f>IF($Y3157="","",IF(INDEX($D$6:$D$40000,$Y3157)="","",INDEX($D$6:$D$40000,$Y3157)))</f>
        <v/>
      </c>
      <c r="AB3157">
        <f>IF($Y3157="","",INDEX($L$6:$L$40000,$Y3157)&amp;"")</f>
        <v/>
      </c>
    </row>
    <row r="3158">
      <c r="Y3158" s="47">
        <f>IFERROR(MATCH(Library!M3158,$M$6:$M$40000,0),"")</f>
        <v/>
      </c>
      <c r="Z3158">
        <f>IF($Y3158="","",INDEX($C$6:$C$40000,$Y3158)&amp;"")</f>
        <v/>
      </c>
      <c r="AA3158" s="59">
        <f>IF($Y3158="","",IF(INDEX($D$6:$D$40000,$Y3158)="","",INDEX($D$6:$D$40000,$Y3158)))</f>
        <v/>
      </c>
      <c r="AB3158">
        <f>IF($Y3158="","",INDEX($L$6:$L$40000,$Y3158)&amp;"")</f>
        <v/>
      </c>
    </row>
    <row r="3159">
      <c r="Y3159" s="47">
        <f>IFERROR(MATCH(Library!M3159,$M$6:$M$40000,0),"")</f>
        <v/>
      </c>
      <c r="Z3159">
        <f>IF($Y3159="","",INDEX($C$6:$C$40000,$Y3159)&amp;"")</f>
        <v/>
      </c>
      <c r="AA3159" s="59">
        <f>IF($Y3159="","",IF(INDEX($D$6:$D$40000,$Y3159)="","",INDEX($D$6:$D$40000,$Y3159)))</f>
        <v/>
      </c>
      <c r="AB3159">
        <f>IF($Y3159="","",INDEX($L$6:$L$40000,$Y3159)&amp;"")</f>
        <v/>
      </c>
    </row>
    <row r="3160">
      <c r="Y3160" s="47">
        <f>IFERROR(MATCH(Library!M3160,$M$6:$M$40000,0),"")</f>
        <v/>
      </c>
      <c r="Z3160">
        <f>IF($Y3160="","",INDEX($C$6:$C$40000,$Y3160)&amp;"")</f>
        <v/>
      </c>
      <c r="AA3160" s="59">
        <f>IF($Y3160="","",IF(INDEX($D$6:$D$40000,$Y3160)="","",INDEX($D$6:$D$40000,$Y3160)))</f>
        <v/>
      </c>
      <c r="AB3160">
        <f>IF($Y3160="","",INDEX($L$6:$L$40000,$Y3160)&amp;"")</f>
        <v/>
      </c>
    </row>
    <row r="3161">
      <c r="Y3161" s="47">
        <f>IFERROR(MATCH(Library!M3161,$M$6:$M$40000,0),"")</f>
        <v/>
      </c>
      <c r="Z3161">
        <f>IF($Y3161="","",INDEX($C$6:$C$40000,$Y3161)&amp;"")</f>
        <v/>
      </c>
      <c r="AA3161" s="59">
        <f>IF($Y3161="","",IF(INDEX($D$6:$D$40000,$Y3161)="","",INDEX($D$6:$D$40000,$Y3161)))</f>
        <v/>
      </c>
      <c r="AB3161">
        <f>IF($Y3161="","",INDEX($L$6:$L$40000,$Y3161)&amp;"")</f>
        <v/>
      </c>
    </row>
    <row r="3162">
      <c r="Y3162" s="47">
        <f>IFERROR(MATCH(Library!M3162,$M$6:$M$40000,0),"")</f>
        <v/>
      </c>
      <c r="Z3162">
        <f>IF($Y3162="","",INDEX($C$6:$C$40000,$Y3162)&amp;"")</f>
        <v/>
      </c>
      <c r="AA3162" s="59">
        <f>IF($Y3162="","",IF(INDEX($D$6:$D$40000,$Y3162)="","",INDEX($D$6:$D$40000,$Y3162)))</f>
        <v/>
      </c>
      <c r="AB3162">
        <f>IF($Y3162="","",INDEX($L$6:$L$40000,$Y3162)&amp;"")</f>
        <v/>
      </c>
    </row>
    <row r="3163">
      <c r="Y3163" s="47">
        <f>IFERROR(MATCH(Library!M3163,$M$6:$M$40000,0),"")</f>
        <v/>
      </c>
      <c r="Z3163">
        <f>IF($Y3163="","",INDEX($C$6:$C$40000,$Y3163)&amp;"")</f>
        <v/>
      </c>
      <c r="AA3163" s="59">
        <f>IF($Y3163="","",IF(INDEX($D$6:$D$40000,$Y3163)="","",INDEX($D$6:$D$40000,$Y3163)))</f>
        <v/>
      </c>
      <c r="AB3163">
        <f>IF($Y3163="","",INDEX($L$6:$L$40000,$Y3163)&amp;"")</f>
        <v/>
      </c>
    </row>
    <row r="3164">
      <c r="Y3164" s="47">
        <f>IFERROR(MATCH(Library!M3164,$M$6:$M$40000,0),"")</f>
        <v/>
      </c>
      <c r="Z3164">
        <f>IF($Y3164="","",INDEX($C$6:$C$40000,$Y3164)&amp;"")</f>
        <v/>
      </c>
      <c r="AA3164" s="59">
        <f>IF($Y3164="","",IF(INDEX($D$6:$D$40000,$Y3164)="","",INDEX($D$6:$D$40000,$Y3164)))</f>
        <v/>
      </c>
      <c r="AB3164">
        <f>IF($Y3164="","",INDEX($L$6:$L$40000,$Y3164)&amp;"")</f>
        <v/>
      </c>
    </row>
    <row r="3165">
      <c r="Y3165" s="47">
        <f>IFERROR(MATCH(Library!M3165,$M$6:$M$40000,0),"")</f>
        <v/>
      </c>
      <c r="Z3165">
        <f>IF($Y3165="","",INDEX($C$6:$C$40000,$Y3165)&amp;"")</f>
        <v/>
      </c>
      <c r="AA3165" s="59">
        <f>IF($Y3165="","",IF(INDEX($D$6:$D$40000,$Y3165)="","",INDEX($D$6:$D$40000,$Y3165)))</f>
        <v/>
      </c>
      <c r="AB3165">
        <f>IF($Y3165="","",INDEX($L$6:$L$40000,$Y3165)&amp;"")</f>
        <v/>
      </c>
    </row>
    <row r="3166">
      <c r="Y3166" s="47">
        <f>IFERROR(MATCH(Library!M3166,$M$6:$M$40000,0),"")</f>
        <v/>
      </c>
      <c r="Z3166">
        <f>IF($Y3166="","",INDEX($C$6:$C$40000,$Y3166)&amp;"")</f>
        <v/>
      </c>
      <c r="AA3166" s="59">
        <f>IF($Y3166="","",IF(INDEX($D$6:$D$40000,$Y3166)="","",INDEX($D$6:$D$40000,$Y3166)))</f>
        <v/>
      </c>
      <c r="AB3166">
        <f>IF($Y3166="","",INDEX($L$6:$L$40000,$Y3166)&amp;"")</f>
        <v/>
      </c>
    </row>
    <row r="3167">
      <c r="Y3167" s="47">
        <f>IFERROR(MATCH(Library!M3167,$M$6:$M$40000,0),"")</f>
        <v/>
      </c>
      <c r="Z3167">
        <f>IF($Y3167="","",INDEX($C$6:$C$40000,$Y3167)&amp;"")</f>
        <v/>
      </c>
      <c r="AA3167" s="59">
        <f>IF($Y3167="","",IF(INDEX($D$6:$D$40000,$Y3167)="","",INDEX($D$6:$D$40000,$Y3167)))</f>
        <v/>
      </c>
      <c r="AB3167">
        <f>IF($Y3167="","",INDEX($L$6:$L$40000,$Y3167)&amp;"")</f>
        <v/>
      </c>
    </row>
    <row r="3168">
      <c r="Y3168" s="47">
        <f>IFERROR(MATCH(Library!M3168,$M$6:$M$40000,0),"")</f>
        <v/>
      </c>
      <c r="Z3168">
        <f>IF($Y3168="","",INDEX($C$6:$C$40000,$Y3168)&amp;"")</f>
        <v/>
      </c>
      <c r="AA3168" s="59">
        <f>IF($Y3168="","",IF(INDEX($D$6:$D$40000,$Y3168)="","",INDEX($D$6:$D$40000,$Y3168)))</f>
        <v/>
      </c>
      <c r="AB3168">
        <f>IF($Y3168="","",INDEX($L$6:$L$40000,$Y3168)&amp;"")</f>
        <v/>
      </c>
    </row>
    <row r="3169">
      <c r="Y3169" s="47">
        <f>IFERROR(MATCH(Library!M3169,$M$6:$M$40000,0),"")</f>
        <v/>
      </c>
      <c r="Z3169">
        <f>IF($Y3169="","",INDEX($C$6:$C$40000,$Y3169)&amp;"")</f>
        <v/>
      </c>
      <c r="AA3169" s="59">
        <f>IF($Y3169="","",IF(INDEX($D$6:$D$40000,$Y3169)="","",INDEX($D$6:$D$40000,$Y3169)))</f>
        <v/>
      </c>
      <c r="AB3169">
        <f>IF($Y3169="","",INDEX($L$6:$L$40000,$Y3169)&amp;"")</f>
        <v/>
      </c>
    </row>
    <row r="3170">
      <c r="Y3170" s="47">
        <f>IFERROR(MATCH(Library!M3170,$M$6:$M$40000,0),"")</f>
        <v/>
      </c>
      <c r="Z3170">
        <f>IF($Y3170="","",INDEX($C$6:$C$40000,$Y3170)&amp;"")</f>
        <v/>
      </c>
      <c r="AA3170" s="59">
        <f>IF($Y3170="","",IF(INDEX($D$6:$D$40000,$Y3170)="","",INDEX($D$6:$D$40000,$Y3170)))</f>
        <v/>
      </c>
      <c r="AB3170">
        <f>IF($Y3170="","",INDEX($L$6:$L$40000,$Y3170)&amp;"")</f>
        <v/>
      </c>
    </row>
    <row r="3171">
      <c r="Y3171" s="47">
        <f>IFERROR(MATCH(Library!M3171,$M$6:$M$40000,0),"")</f>
        <v/>
      </c>
      <c r="Z3171">
        <f>IF($Y3171="","",INDEX($C$6:$C$40000,$Y3171)&amp;"")</f>
        <v/>
      </c>
      <c r="AA3171" s="59">
        <f>IF($Y3171="","",IF(INDEX($D$6:$D$40000,$Y3171)="","",INDEX($D$6:$D$40000,$Y3171)))</f>
        <v/>
      </c>
      <c r="AB3171">
        <f>IF($Y3171="","",INDEX($L$6:$L$40000,$Y3171)&amp;"")</f>
        <v/>
      </c>
    </row>
    <row r="3172">
      <c r="Y3172" s="47">
        <f>IFERROR(MATCH(Library!M3172,$M$6:$M$40000,0),"")</f>
        <v/>
      </c>
      <c r="Z3172">
        <f>IF($Y3172="","",INDEX($C$6:$C$40000,$Y3172)&amp;"")</f>
        <v/>
      </c>
      <c r="AA3172" s="59">
        <f>IF($Y3172="","",IF(INDEX($D$6:$D$40000,$Y3172)="","",INDEX($D$6:$D$40000,$Y3172)))</f>
        <v/>
      </c>
      <c r="AB3172">
        <f>IF($Y3172="","",INDEX($L$6:$L$40000,$Y3172)&amp;"")</f>
        <v/>
      </c>
    </row>
    <row r="3173">
      <c r="Y3173" s="47">
        <f>IFERROR(MATCH(Library!M3173,$M$6:$M$40000,0),"")</f>
        <v/>
      </c>
      <c r="Z3173">
        <f>IF($Y3173="","",INDEX($C$6:$C$40000,$Y3173)&amp;"")</f>
        <v/>
      </c>
      <c r="AA3173" s="59">
        <f>IF($Y3173="","",IF(INDEX($D$6:$D$40000,$Y3173)="","",INDEX($D$6:$D$40000,$Y3173)))</f>
        <v/>
      </c>
      <c r="AB3173">
        <f>IF($Y3173="","",INDEX($L$6:$L$40000,$Y3173)&amp;"")</f>
        <v/>
      </c>
    </row>
    <row r="3174">
      <c r="Y3174" s="47">
        <f>IFERROR(MATCH(Library!M3174,$M$6:$M$40000,0),"")</f>
        <v/>
      </c>
      <c r="Z3174">
        <f>IF($Y3174="","",INDEX($C$6:$C$40000,$Y3174)&amp;"")</f>
        <v/>
      </c>
      <c r="AA3174" s="59">
        <f>IF($Y3174="","",IF(INDEX($D$6:$D$40000,$Y3174)="","",INDEX($D$6:$D$40000,$Y3174)))</f>
        <v/>
      </c>
      <c r="AB3174">
        <f>IF($Y3174="","",INDEX($L$6:$L$40000,$Y3174)&amp;"")</f>
        <v/>
      </c>
    </row>
    <row r="3175">
      <c r="Y3175" s="47">
        <f>IFERROR(MATCH(Library!M3175,$M$6:$M$40000,0),"")</f>
        <v/>
      </c>
      <c r="Z3175">
        <f>IF($Y3175="","",INDEX($C$6:$C$40000,$Y3175)&amp;"")</f>
        <v/>
      </c>
      <c r="AA3175" s="59">
        <f>IF($Y3175="","",IF(INDEX($D$6:$D$40000,$Y3175)="","",INDEX($D$6:$D$40000,$Y3175)))</f>
        <v/>
      </c>
      <c r="AB3175">
        <f>IF($Y3175="","",INDEX($L$6:$L$40000,$Y3175)&amp;"")</f>
        <v/>
      </c>
    </row>
    <row r="3176">
      <c r="Y3176" s="47">
        <f>IFERROR(MATCH(Library!M3176,$M$6:$M$40000,0),"")</f>
        <v/>
      </c>
      <c r="Z3176">
        <f>IF($Y3176="","",INDEX($C$6:$C$40000,$Y3176)&amp;"")</f>
        <v/>
      </c>
      <c r="AA3176" s="59">
        <f>IF($Y3176="","",IF(INDEX($D$6:$D$40000,$Y3176)="","",INDEX($D$6:$D$40000,$Y3176)))</f>
        <v/>
      </c>
      <c r="AB3176">
        <f>IF($Y3176="","",INDEX($L$6:$L$40000,$Y3176)&amp;"")</f>
        <v/>
      </c>
    </row>
    <row r="3177">
      <c r="Y3177" s="47">
        <f>IFERROR(MATCH(Library!M3177,$M$6:$M$40000,0),"")</f>
        <v/>
      </c>
      <c r="Z3177">
        <f>IF($Y3177="","",INDEX($C$6:$C$40000,$Y3177)&amp;"")</f>
        <v/>
      </c>
      <c r="AA3177" s="59">
        <f>IF($Y3177="","",IF(INDEX($D$6:$D$40000,$Y3177)="","",INDEX($D$6:$D$40000,$Y3177)))</f>
        <v/>
      </c>
      <c r="AB3177">
        <f>IF($Y3177="","",INDEX($L$6:$L$40000,$Y3177)&amp;"")</f>
        <v/>
      </c>
    </row>
    <row r="3178">
      <c r="Y3178" s="47">
        <f>IFERROR(MATCH(Library!M3178,$M$6:$M$40000,0),"")</f>
        <v/>
      </c>
      <c r="Z3178">
        <f>IF($Y3178="","",INDEX($C$6:$C$40000,$Y3178)&amp;"")</f>
        <v/>
      </c>
      <c r="AA3178" s="59">
        <f>IF($Y3178="","",IF(INDEX($D$6:$D$40000,$Y3178)="","",INDEX($D$6:$D$40000,$Y3178)))</f>
        <v/>
      </c>
      <c r="AB3178">
        <f>IF($Y3178="","",INDEX($L$6:$L$40000,$Y3178)&amp;"")</f>
        <v/>
      </c>
    </row>
    <row r="3179">
      <c r="Y3179" s="47">
        <f>IFERROR(MATCH(Library!M3179,$M$6:$M$40000,0),"")</f>
        <v/>
      </c>
      <c r="Z3179">
        <f>IF($Y3179="","",INDEX($C$6:$C$40000,$Y3179)&amp;"")</f>
        <v/>
      </c>
      <c r="AA3179" s="59">
        <f>IF($Y3179="","",IF(INDEX($D$6:$D$40000,$Y3179)="","",INDEX($D$6:$D$40000,$Y3179)))</f>
        <v/>
      </c>
      <c r="AB3179">
        <f>IF($Y3179="","",INDEX($L$6:$L$40000,$Y3179)&amp;"")</f>
        <v/>
      </c>
    </row>
    <row r="3180">
      <c r="Y3180" s="47">
        <f>IFERROR(MATCH(Library!M3180,$M$6:$M$40000,0),"")</f>
        <v/>
      </c>
      <c r="Z3180">
        <f>IF($Y3180="","",INDEX($C$6:$C$40000,$Y3180)&amp;"")</f>
        <v/>
      </c>
      <c r="AA3180" s="59">
        <f>IF($Y3180="","",IF(INDEX($D$6:$D$40000,$Y3180)="","",INDEX($D$6:$D$40000,$Y3180)))</f>
        <v/>
      </c>
      <c r="AB3180">
        <f>IF($Y3180="","",INDEX($L$6:$L$40000,$Y3180)&amp;"")</f>
        <v/>
      </c>
    </row>
    <row r="3181">
      <c r="Y3181" s="47">
        <f>IFERROR(MATCH(Library!M3181,$M$6:$M$40000,0),"")</f>
        <v/>
      </c>
      <c r="Z3181">
        <f>IF($Y3181="","",INDEX($C$6:$C$40000,$Y3181)&amp;"")</f>
        <v/>
      </c>
      <c r="AA3181" s="59">
        <f>IF($Y3181="","",IF(INDEX($D$6:$D$40000,$Y3181)="","",INDEX($D$6:$D$40000,$Y3181)))</f>
        <v/>
      </c>
      <c r="AB3181">
        <f>IF($Y3181="","",INDEX($L$6:$L$40000,$Y3181)&amp;"")</f>
        <v/>
      </c>
    </row>
    <row r="3182">
      <c r="Y3182" s="47">
        <f>IFERROR(MATCH(Library!M3182,$M$6:$M$40000,0),"")</f>
        <v/>
      </c>
      <c r="Z3182">
        <f>IF($Y3182="","",INDEX($C$6:$C$40000,$Y3182)&amp;"")</f>
        <v/>
      </c>
      <c r="AA3182" s="59">
        <f>IF($Y3182="","",IF(INDEX($D$6:$D$40000,$Y3182)="","",INDEX($D$6:$D$40000,$Y3182)))</f>
        <v/>
      </c>
      <c r="AB3182">
        <f>IF($Y3182="","",INDEX($L$6:$L$40000,$Y3182)&amp;"")</f>
        <v/>
      </c>
    </row>
    <row r="3183">
      <c r="Y3183" s="47">
        <f>IFERROR(MATCH(Library!M3183,$M$6:$M$40000,0),"")</f>
        <v/>
      </c>
      <c r="Z3183">
        <f>IF($Y3183="","",INDEX($C$6:$C$40000,$Y3183)&amp;"")</f>
        <v/>
      </c>
      <c r="AA3183" s="59">
        <f>IF($Y3183="","",IF(INDEX($D$6:$D$40000,$Y3183)="","",INDEX($D$6:$D$40000,$Y3183)))</f>
        <v/>
      </c>
      <c r="AB3183">
        <f>IF($Y3183="","",INDEX($L$6:$L$40000,$Y3183)&amp;"")</f>
        <v/>
      </c>
    </row>
    <row r="3184">
      <c r="Y3184" s="47">
        <f>IFERROR(MATCH(Library!M3184,$M$6:$M$40000,0),"")</f>
        <v/>
      </c>
      <c r="Z3184">
        <f>IF($Y3184="","",INDEX($C$6:$C$40000,$Y3184)&amp;"")</f>
        <v/>
      </c>
      <c r="AA3184" s="59">
        <f>IF($Y3184="","",IF(INDEX($D$6:$D$40000,$Y3184)="","",INDEX($D$6:$D$40000,$Y3184)))</f>
        <v/>
      </c>
      <c r="AB3184">
        <f>IF($Y3184="","",INDEX($L$6:$L$40000,$Y3184)&amp;"")</f>
        <v/>
      </c>
    </row>
    <row r="3185">
      <c r="Y3185" s="47">
        <f>IFERROR(MATCH(Library!M3185,$M$6:$M$40000,0),"")</f>
        <v/>
      </c>
      <c r="Z3185">
        <f>IF($Y3185="","",INDEX($C$6:$C$40000,$Y3185)&amp;"")</f>
        <v/>
      </c>
      <c r="AA3185" s="59">
        <f>IF($Y3185="","",IF(INDEX($D$6:$D$40000,$Y3185)="","",INDEX($D$6:$D$40000,$Y3185)))</f>
        <v/>
      </c>
      <c r="AB3185">
        <f>IF($Y3185="","",INDEX($L$6:$L$40000,$Y3185)&amp;"")</f>
        <v/>
      </c>
    </row>
    <row r="3186">
      <c r="Y3186" s="47">
        <f>IFERROR(MATCH(Library!M3186,$M$6:$M$40000,0),"")</f>
        <v/>
      </c>
      <c r="Z3186">
        <f>IF($Y3186="","",INDEX($C$6:$C$40000,$Y3186)&amp;"")</f>
        <v/>
      </c>
      <c r="AA3186" s="59">
        <f>IF($Y3186="","",IF(INDEX($D$6:$D$40000,$Y3186)="","",INDEX($D$6:$D$40000,$Y3186)))</f>
        <v/>
      </c>
      <c r="AB3186">
        <f>IF($Y3186="","",INDEX($L$6:$L$40000,$Y3186)&amp;"")</f>
        <v/>
      </c>
    </row>
    <row r="3187">
      <c r="Y3187" s="47">
        <f>IFERROR(MATCH(Library!M3187,$M$6:$M$40000,0),"")</f>
        <v/>
      </c>
      <c r="Z3187">
        <f>IF($Y3187="","",INDEX($C$6:$C$40000,$Y3187)&amp;"")</f>
        <v/>
      </c>
      <c r="AA3187" s="59">
        <f>IF($Y3187="","",IF(INDEX($D$6:$D$40000,$Y3187)="","",INDEX($D$6:$D$40000,$Y3187)))</f>
        <v/>
      </c>
      <c r="AB3187">
        <f>IF($Y3187="","",INDEX($L$6:$L$40000,$Y3187)&amp;"")</f>
        <v/>
      </c>
    </row>
    <row r="3188">
      <c r="Y3188" s="47">
        <f>IFERROR(MATCH(Library!M3188,$M$6:$M$40000,0),"")</f>
        <v/>
      </c>
      <c r="Z3188">
        <f>IF($Y3188="","",INDEX($C$6:$C$40000,$Y3188)&amp;"")</f>
        <v/>
      </c>
      <c r="AA3188" s="59">
        <f>IF($Y3188="","",IF(INDEX($D$6:$D$40000,$Y3188)="","",INDEX($D$6:$D$40000,$Y3188)))</f>
        <v/>
      </c>
      <c r="AB3188">
        <f>IF($Y3188="","",INDEX($L$6:$L$40000,$Y3188)&amp;"")</f>
        <v/>
      </c>
    </row>
    <row r="3189">
      <c r="Y3189" s="47">
        <f>IFERROR(MATCH(Library!M3189,$M$6:$M$40000,0),"")</f>
        <v/>
      </c>
      <c r="Z3189">
        <f>IF($Y3189="","",INDEX($C$6:$C$40000,$Y3189)&amp;"")</f>
        <v/>
      </c>
      <c r="AA3189" s="59">
        <f>IF($Y3189="","",IF(INDEX($D$6:$D$40000,$Y3189)="","",INDEX($D$6:$D$40000,$Y3189)))</f>
        <v/>
      </c>
      <c r="AB3189">
        <f>IF($Y3189="","",INDEX($L$6:$L$40000,$Y3189)&amp;"")</f>
        <v/>
      </c>
    </row>
    <row r="3190">
      <c r="Y3190" s="47">
        <f>IFERROR(MATCH(Library!M3190,$M$6:$M$40000,0),"")</f>
        <v/>
      </c>
      <c r="Z3190">
        <f>IF($Y3190="","",INDEX($C$6:$C$40000,$Y3190)&amp;"")</f>
        <v/>
      </c>
      <c r="AA3190" s="59">
        <f>IF($Y3190="","",IF(INDEX($D$6:$D$40000,$Y3190)="","",INDEX($D$6:$D$40000,$Y3190)))</f>
        <v/>
      </c>
      <c r="AB3190">
        <f>IF($Y3190="","",INDEX($L$6:$L$40000,$Y3190)&amp;"")</f>
        <v/>
      </c>
    </row>
    <row r="3191">
      <c r="Y3191" s="47">
        <f>IFERROR(MATCH(Library!M3191,$M$6:$M$40000,0),"")</f>
        <v/>
      </c>
      <c r="Z3191">
        <f>IF($Y3191="","",INDEX($C$6:$C$40000,$Y3191)&amp;"")</f>
        <v/>
      </c>
      <c r="AA3191" s="59">
        <f>IF($Y3191="","",IF(INDEX($D$6:$D$40000,$Y3191)="","",INDEX($D$6:$D$40000,$Y3191)))</f>
        <v/>
      </c>
      <c r="AB3191">
        <f>IF($Y3191="","",INDEX($L$6:$L$40000,$Y3191)&amp;"")</f>
        <v/>
      </c>
    </row>
    <row r="3192">
      <c r="Y3192" s="47">
        <f>IFERROR(MATCH(Library!M3192,$M$6:$M$40000,0),"")</f>
        <v/>
      </c>
      <c r="Z3192">
        <f>IF($Y3192="","",INDEX($C$6:$C$40000,$Y3192)&amp;"")</f>
        <v/>
      </c>
      <c r="AA3192" s="59">
        <f>IF($Y3192="","",IF(INDEX($D$6:$D$40000,$Y3192)="","",INDEX($D$6:$D$40000,$Y3192)))</f>
        <v/>
      </c>
      <c r="AB3192">
        <f>IF($Y3192="","",INDEX($L$6:$L$40000,$Y3192)&amp;"")</f>
        <v/>
      </c>
    </row>
    <row r="3193">
      <c r="Y3193" s="47">
        <f>IFERROR(MATCH(Library!M3193,$M$6:$M$40000,0),"")</f>
        <v/>
      </c>
      <c r="Z3193">
        <f>IF($Y3193="","",INDEX($C$6:$C$40000,$Y3193)&amp;"")</f>
        <v/>
      </c>
      <c r="AA3193" s="59">
        <f>IF($Y3193="","",IF(INDEX($D$6:$D$40000,$Y3193)="","",INDEX($D$6:$D$40000,$Y3193)))</f>
        <v/>
      </c>
      <c r="AB3193">
        <f>IF($Y3193="","",INDEX($L$6:$L$40000,$Y3193)&amp;"")</f>
        <v/>
      </c>
    </row>
    <row r="3194">
      <c r="Y3194" s="47">
        <f>IFERROR(MATCH(Library!M3194,$M$6:$M$40000,0),"")</f>
        <v/>
      </c>
      <c r="Z3194">
        <f>IF($Y3194="","",INDEX($C$6:$C$40000,$Y3194)&amp;"")</f>
        <v/>
      </c>
      <c r="AA3194" s="59">
        <f>IF($Y3194="","",IF(INDEX($D$6:$D$40000,$Y3194)="","",INDEX($D$6:$D$40000,$Y3194)))</f>
        <v/>
      </c>
      <c r="AB3194">
        <f>IF($Y3194="","",INDEX($L$6:$L$40000,$Y3194)&amp;"")</f>
        <v/>
      </c>
    </row>
    <row r="3195">
      <c r="Y3195" s="47">
        <f>IFERROR(MATCH(Library!M3195,$M$6:$M$40000,0),"")</f>
        <v/>
      </c>
      <c r="Z3195">
        <f>IF($Y3195="","",INDEX($C$6:$C$40000,$Y3195)&amp;"")</f>
        <v/>
      </c>
      <c r="AA3195" s="59">
        <f>IF($Y3195="","",IF(INDEX($D$6:$D$40000,$Y3195)="","",INDEX($D$6:$D$40000,$Y3195)))</f>
        <v/>
      </c>
      <c r="AB3195">
        <f>IF($Y3195="","",INDEX($L$6:$L$40000,$Y3195)&amp;"")</f>
        <v/>
      </c>
    </row>
    <row r="3196">
      <c r="Y3196" s="47">
        <f>IFERROR(MATCH(Library!M3196,$M$6:$M$40000,0),"")</f>
        <v/>
      </c>
      <c r="Z3196">
        <f>IF($Y3196="","",INDEX($C$6:$C$40000,$Y3196)&amp;"")</f>
        <v/>
      </c>
      <c r="AA3196" s="59">
        <f>IF($Y3196="","",IF(INDEX($D$6:$D$40000,$Y3196)="","",INDEX($D$6:$D$40000,$Y3196)))</f>
        <v/>
      </c>
      <c r="AB3196">
        <f>IF($Y3196="","",INDEX($L$6:$L$40000,$Y3196)&amp;"")</f>
        <v/>
      </c>
    </row>
    <row r="3197">
      <c r="Y3197" s="47">
        <f>IFERROR(MATCH(Library!M3197,$M$6:$M$40000,0),"")</f>
        <v/>
      </c>
      <c r="Z3197">
        <f>IF($Y3197="","",INDEX($C$6:$C$40000,$Y3197)&amp;"")</f>
        <v/>
      </c>
      <c r="AA3197" s="59">
        <f>IF($Y3197="","",IF(INDEX($D$6:$D$40000,$Y3197)="","",INDEX($D$6:$D$40000,$Y3197)))</f>
        <v/>
      </c>
      <c r="AB3197">
        <f>IF($Y3197="","",INDEX($L$6:$L$40000,$Y3197)&amp;"")</f>
        <v/>
      </c>
    </row>
    <row r="3198">
      <c r="Y3198" s="47">
        <f>IFERROR(MATCH(Library!M3198,$M$6:$M$40000,0),"")</f>
        <v/>
      </c>
      <c r="Z3198">
        <f>IF($Y3198="","",INDEX($C$6:$C$40000,$Y3198)&amp;"")</f>
        <v/>
      </c>
      <c r="AA3198" s="59">
        <f>IF($Y3198="","",IF(INDEX($D$6:$D$40000,$Y3198)="","",INDEX($D$6:$D$40000,$Y3198)))</f>
        <v/>
      </c>
      <c r="AB3198">
        <f>IF($Y3198="","",INDEX($L$6:$L$40000,$Y3198)&amp;"")</f>
        <v/>
      </c>
    </row>
    <row r="3199">
      <c r="Y3199" s="47">
        <f>IFERROR(MATCH(Library!M3199,$M$6:$M$40000,0),"")</f>
        <v/>
      </c>
      <c r="Z3199">
        <f>IF($Y3199="","",INDEX($C$6:$C$40000,$Y3199)&amp;"")</f>
        <v/>
      </c>
      <c r="AA3199" s="59">
        <f>IF($Y3199="","",IF(INDEX($D$6:$D$40000,$Y3199)="","",INDEX($D$6:$D$40000,$Y3199)))</f>
        <v/>
      </c>
      <c r="AB3199">
        <f>IF($Y3199="","",INDEX($L$6:$L$40000,$Y3199)&amp;"")</f>
        <v/>
      </c>
    </row>
    <row r="3200">
      <c r="Y3200" s="47">
        <f>IFERROR(MATCH(Library!M3200,$M$6:$M$40000,0),"")</f>
        <v/>
      </c>
      <c r="Z3200">
        <f>IF($Y3200="","",INDEX($C$6:$C$40000,$Y3200)&amp;"")</f>
        <v/>
      </c>
      <c r="AA3200" s="59">
        <f>IF($Y3200="","",IF(INDEX($D$6:$D$40000,$Y3200)="","",INDEX($D$6:$D$40000,$Y3200)))</f>
        <v/>
      </c>
      <c r="AB3200">
        <f>IF($Y3200="","",INDEX($L$6:$L$40000,$Y3200)&amp;"")</f>
        <v/>
      </c>
    </row>
    <row r="3201">
      <c r="Y3201" s="47">
        <f>IFERROR(MATCH(Library!M3201,$M$6:$M$40000,0),"")</f>
        <v/>
      </c>
      <c r="Z3201">
        <f>IF($Y3201="","",INDEX($C$6:$C$40000,$Y3201)&amp;"")</f>
        <v/>
      </c>
      <c r="AA3201" s="59">
        <f>IF($Y3201="","",IF(INDEX($D$6:$D$40000,$Y3201)="","",INDEX($D$6:$D$40000,$Y3201)))</f>
        <v/>
      </c>
      <c r="AB3201">
        <f>IF($Y3201="","",INDEX($L$6:$L$40000,$Y3201)&amp;"")</f>
        <v/>
      </c>
    </row>
    <row r="3202">
      <c r="Y3202" s="47">
        <f>IFERROR(MATCH(Library!M3202,$M$6:$M$40000,0),"")</f>
        <v/>
      </c>
      <c r="Z3202">
        <f>IF($Y3202="","",INDEX($C$6:$C$40000,$Y3202)&amp;"")</f>
        <v/>
      </c>
      <c r="AA3202" s="59">
        <f>IF($Y3202="","",IF(INDEX($D$6:$D$40000,$Y3202)="","",INDEX($D$6:$D$40000,$Y3202)))</f>
        <v/>
      </c>
      <c r="AB3202">
        <f>IF($Y3202="","",INDEX($L$6:$L$40000,$Y3202)&amp;"")</f>
        <v/>
      </c>
    </row>
    <row r="3203">
      <c r="Y3203" s="47">
        <f>IFERROR(MATCH(Library!M3203,$M$6:$M$40000,0),"")</f>
        <v/>
      </c>
      <c r="Z3203">
        <f>IF($Y3203="","",INDEX($C$6:$C$40000,$Y3203)&amp;"")</f>
        <v/>
      </c>
      <c r="AA3203" s="59">
        <f>IF($Y3203="","",IF(INDEX($D$6:$D$40000,$Y3203)="","",INDEX($D$6:$D$40000,$Y3203)))</f>
        <v/>
      </c>
      <c r="AB3203">
        <f>IF($Y3203="","",INDEX($L$6:$L$40000,$Y3203)&amp;"")</f>
        <v/>
      </c>
    </row>
    <row r="3204">
      <c r="Y3204" s="47">
        <f>IFERROR(MATCH(Library!M3204,$M$6:$M$40000,0),"")</f>
        <v/>
      </c>
      <c r="Z3204">
        <f>IF($Y3204="","",INDEX($C$6:$C$40000,$Y3204)&amp;"")</f>
        <v/>
      </c>
      <c r="AA3204" s="59">
        <f>IF($Y3204="","",IF(INDEX($D$6:$D$40000,$Y3204)="","",INDEX($D$6:$D$40000,$Y3204)))</f>
        <v/>
      </c>
      <c r="AB3204">
        <f>IF($Y3204="","",INDEX($L$6:$L$40000,$Y3204)&amp;"")</f>
        <v/>
      </c>
    </row>
    <row r="3205">
      <c r="Y3205" s="47">
        <f>IFERROR(MATCH(Library!M3205,$M$6:$M$40000,0),"")</f>
        <v/>
      </c>
      <c r="Z3205">
        <f>IF($Y3205="","",INDEX($C$6:$C$40000,$Y3205)&amp;"")</f>
        <v/>
      </c>
      <c r="AA3205" s="59">
        <f>IF($Y3205="","",IF(INDEX($D$6:$D$40000,$Y3205)="","",INDEX($D$6:$D$40000,$Y3205)))</f>
        <v/>
      </c>
      <c r="AB3205">
        <f>IF($Y3205="","",INDEX($L$6:$L$40000,$Y3205)&amp;"")</f>
        <v/>
      </c>
    </row>
    <row r="3206">
      <c r="Y3206" s="47">
        <f>IFERROR(MATCH(Library!M3206,$M$6:$M$40000,0),"")</f>
        <v/>
      </c>
      <c r="Z3206">
        <f>IF($Y3206="","",INDEX($C$6:$C$40000,$Y3206)&amp;"")</f>
        <v/>
      </c>
      <c r="AA3206" s="59">
        <f>IF($Y3206="","",IF(INDEX($D$6:$D$40000,$Y3206)="","",INDEX($D$6:$D$40000,$Y3206)))</f>
        <v/>
      </c>
      <c r="AB3206">
        <f>IF($Y3206="","",INDEX($L$6:$L$40000,$Y3206)&amp;"")</f>
        <v/>
      </c>
    </row>
    <row r="3207">
      <c r="Y3207" s="47">
        <f>IFERROR(MATCH(Library!M3207,$M$6:$M$40000,0),"")</f>
        <v/>
      </c>
      <c r="Z3207">
        <f>IF($Y3207="","",INDEX($C$6:$C$40000,$Y3207)&amp;"")</f>
        <v/>
      </c>
      <c r="AA3207" s="59">
        <f>IF($Y3207="","",IF(INDEX($D$6:$D$40000,$Y3207)="","",INDEX($D$6:$D$40000,$Y3207)))</f>
        <v/>
      </c>
      <c r="AB3207">
        <f>IF($Y3207="","",INDEX($L$6:$L$40000,$Y3207)&amp;"")</f>
        <v/>
      </c>
    </row>
    <row r="3208">
      <c r="Y3208" s="47">
        <f>IFERROR(MATCH(Library!M3208,$M$6:$M$40000,0),"")</f>
        <v/>
      </c>
      <c r="Z3208">
        <f>IF($Y3208="","",INDEX($C$6:$C$40000,$Y3208)&amp;"")</f>
        <v/>
      </c>
      <c r="AA3208" s="59">
        <f>IF($Y3208="","",IF(INDEX($D$6:$D$40000,$Y3208)="","",INDEX($D$6:$D$40000,$Y3208)))</f>
        <v/>
      </c>
      <c r="AB3208">
        <f>IF($Y3208="","",INDEX($L$6:$L$40000,$Y3208)&amp;"")</f>
        <v/>
      </c>
    </row>
    <row r="3209">
      <c r="Y3209" s="47">
        <f>IFERROR(MATCH(Library!M3209,$M$6:$M$40000,0),"")</f>
        <v/>
      </c>
      <c r="Z3209">
        <f>IF($Y3209="","",INDEX($C$6:$C$40000,$Y3209)&amp;"")</f>
        <v/>
      </c>
      <c r="AA3209" s="59">
        <f>IF($Y3209="","",IF(INDEX($D$6:$D$40000,$Y3209)="","",INDEX($D$6:$D$40000,$Y3209)))</f>
        <v/>
      </c>
      <c r="AB3209">
        <f>IF($Y3209="","",INDEX($L$6:$L$40000,$Y3209)&amp;"")</f>
        <v/>
      </c>
    </row>
    <row r="3210">
      <c r="Y3210" s="47">
        <f>IFERROR(MATCH(Library!M3210,$M$6:$M$40000,0),"")</f>
        <v/>
      </c>
      <c r="Z3210">
        <f>IF($Y3210="","",INDEX($C$6:$C$40000,$Y3210)&amp;"")</f>
        <v/>
      </c>
      <c r="AA3210" s="59">
        <f>IF($Y3210="","",IF(INDEX($D$6:$D$40000,$Y3210)="","",INDEX($D$6:$D$40000,$Y3210)))</f>
        <v/>
      </c>
      <c r="AB3210">
        <f>IF($Y3210="","",INDEX($L$6:$L$40000,$Y3210)&amp;"")</f>
        <v/>
      </c>
    </row>
    <row r="3211">
      <c r="Y3211" s="47">
        <f>IFERROR(MATCH(Library!M3211,$M$6:$M$40000,0),"")</f>
        <v/>
      </c>
      <c r="Z3211">
        <f>IF($Y3211="","",INDEX($C$6:$C$40000,$Y3211)&amp;"")</f>
        <v/>
      </c>
      <c r="AA3211" s="59">
        <f>IF($Y3211="","",IF(INDEX($D$6:$D$40000,$Y3211)="","",INDEX($D$6:$D$40000,$Y3211)))</f>
        <v/>
      </c>
      <c r="AB3211">
        <f>IF($Y3211="","",INDEX($L$6:$L$40000,$Y3211)&amp;"")</f>
        <v/>
      </c>
    </row>
    <row r="3212">
      <c r="Y3212" s="47">
        <f>IFERROR(MATCH(Library!M3212,$M$6:$M$40000,0),"")</f>
        <v/>
      </c>
      <c r="Z3212">
        <f>IF($Y3212="","",INDEX($C$6:$C$40000,$Y3212)&amp;"")</f>
        <v/>
      </c>
      <c r="AA3212" s="59">
        <f>IF($Y3212="","",IF(INDEX($D$6:$D$40000,$Y3212)="","",INDEX($D$6:$D$40000,$Y3212)))</f>
        <v/>
      </c>
      <c r="AB3212">
        <f>IF($Y3212="","",INDEX($L$6:$L$40000,$Y3212)&amp;"")</f>
        <v/>
      </c>
    </row>
    <row r="3213">
      <c r="Y3213" s="47">
        <f>IFERROR(MATCH(Library!M3213,$M$6:$M$40000,0),"")</f>
        <v/>
      </c>
      <c r="Z3213">
        <f>IF($Y3213="","",INDEX($C$6:$C$40000,$Y3213)&amp;"")</f>
        <v/>
      </c>
      <c r="AA3213" s="59">
        <f>IF($Y3213="","",IF(INDEX($D$6:$D$40000,$Y3213)="","",INDEX($D$6:$D$40000,$Y3213)))</f>
        <v/>
      </c>
      <c r="AB3213">
        <f>IF($Y3213="","",INDEX($L$6:$L$40000,$Y3213)&amp;"")</f>
        <v/>
      </c>
    </row>
    <row r="3214">
      <c r="Y3214" s="47">
        <f>IFERROR(MATCH(Library!M3214,$M$6:$M$40000,0),"")</f>
        <v/>
      </c>
      <c r="Z3214">
        <f>IF($Y3214="","",INDEX($C$6:$C$40000,$Y3214)&amp;"")</f>
        <v/>
      </c>
      <c r="AA3214" s="59">
        <f>IF($Y3214="","",IF(INDEX($D$6:$D$40000,$Y3214)="","",INDEX($D$6:$D$40000,$Y3214)))</f>
        <v/>
      </c>
      <c r="AB3214">
        <f>IF($Y3214="","",INDEX($L$6:$L$40000,$Y3214)&amp;"")</f>
        <v/>
      </c>
    </row>
    <row r="3215">
      <c r="Y3215" s="47">
        <f>IFERROR(MATCH(Library!M3215,$M$6:$M$40000,0),"")</f>
        <v/>
      </c>
      <c r="Z3215">
        <f>IF($Y3215="","",INDEX($C$6:$C$40000,$Y3215)&amp;"")</f>
        <v/>
      </c>
      <c r="AA3215" s="59">
        <f>IF($Y3215="","",IF(INDEX($D$6:$D$40000,$Y3215)="","",INDEX($D$6:$D$40000,$Y3215)))</f>
        <v/>
      </c>
      <c r="AB3215">
        <f>IF($Y3215="","",INDEX($L$6:$L$40000,$Y3215)&amp;"")</f>
        <v/>
      </c>
    </row>
    <row r="3216">
      <c r="Y3216" s="47">
        <f>IFERROR(MATCH(Library!M3216,$M$6:$M$40000,0),"")</f>
        <v/>
      </c>
      <c r="Z3216">
        <f>IF($Y3216="","",INDEX($C$6:$C$40000,$Y3216)&amp;"")</f>
        <v/>
      </c>
      <c r="AA3216" s="59">
        <f>IF($Y3216="","",IF(INDEX($D$6:$D$40000,$Y3216)="","",INDEX($D$6:$D$40000,$Y3216)))</f>
        <v/>
      </c>
      <c r="AB3216">
        <f>IF($Y3216="","",INDEX($L$6:$L$40000,$Y3216)&amp;"")</f>
        <v/>
      </c>
    </row>
    <row r="3217">
      <c r="Y3217" s="47">
        <f>IFERROR(MATCH(Library!M3217,$M$6:$M$40000,0),"")</f>
        <v/>
      </c>
      <c r="Z3217">
        <f>IF($Y3217="","",INDEX($C$6:$C$40000,$Y3217)&amp;"")</f>
        <v/>
      </c>
      <c r="AA3217" s="59">
        <f>IF($Y3217="","",IF(INDEX($D$6:$D$40000,$Y3217)="","",INDEX($D$6:$D$40000,$Y3217)))</f>
        <v/>
      </c>
      <c r="AB3217">
        <f>IF($Y3217="","",INDEX($L$6:$L$40000,$Y3217)&amp;"")</f>
        <v/>
      </c>
    </row>
    <row r="3218">
      <c r="Y3218" s="47">
        <f>IFERROR(MATCH(Library!M3218,$M$6:$M$40000,0),"")</f>
        <v/>
      </c>
      <c r="Z3218">
        <f>IF($Y3218="","",INDEX($C$6:$C$40000,$Y3218)&amp;"")</f>
        <v/>
      </c>
      <c r="AA3218" s="59">
        <f>IF($Y3218="","",IF(INDEX($D$6:$D$40000,$Y3218)="","",INDEX($D$6:$D$40000,$Y3218)))</f>
        <v/>
      </c>
      <c r="AB3218">
        <f>IF($Y3218="","",INDEX($L$6:$L$40000,$Y3218)&amp;"")</f>
        <v/>
      </c>
    </row>
    <row r="3219">
      <c r="Y3219" s="47">
        <f>IFERROR(MATCH(Library!M3219,$M$6:$M$40000,0),"")</f>
        <v/>
      </c>
      <c r="Z3219">
        <f>IF($Y3219="","",INDEX($C$6:$C$40000,$Y3219)&amp;"")</f>
        <v/>
      </c>
      <c r="AA3219" s="59">
        <f>IF($Y3219="","",IF(INDEX($D$6:$D$40000,$Y3219)="","",INDEX($D$6:$D$40000,$Y3219)))</f>
        <v/>
      </c>
      <c r="AB3219">
        <f>IF($Y3219="","",INDEX($L$6:$L$40000,$Y3219)&amp;"")</f>
        <v/>
      </c>
    </row>
    <row r="3220">
      <c r="Y3220" s="47">
        <f>IFERROR(MATCH(Library!M3220,$M$6:$M$40000,0),"")</f>
        <v/>
      </c>
      <c r="Z3220">
        <f>IF($Y3220="","",INDEX($C$6:$C$40000,$Y3220)&amp;"")</f>
        <v/>
      </c>
      <c r="AA3220" s="59">
        <f>IF($Y3220="","",IF(INDEX($D$6:$D$40000,$Y3220)="","",INDEX($D$6:$D$40000,$Y3220)))</f>
        <v/>
      </c>
      <c r="AB3220">
        <f>IF($Y3220="","",INDEX($L$6:$L$40000,$Y3220)&amp;"")</f>
        <v/>
      </c>
    </row>
    <row r="3221">
      <c r="Y3221" s="47">
        <f>IFERROR(MATCH(Library!M3221,$M$6:$M$40000,0),"")</f>
        <v/>
      </c>
      <c r="Z3221">
        <f>IF($Y3221="","",INDEX($C$6:$C$40000,$Y3221)&amp;"")</f>
        <v/>
      </c>
      <c r="AA3221" s="59">
        <f>IF($Y3221="","",IF(INDEX($D$6:$D$40000,$Y3221)="","",INDEX($D$6:$D$40000,$Y3221)))</f>
        <v/>
      </c>
      <c r="AB3221">
        <f>IF($Y3221="","",INDEX($L$6:$L$40000,$Y3221)&amp;"")</f>
        <v/>
      </c>
    </row>
    <row r="3222">
      <c r="Y3222" s="47">
        <f>IFERROR(MATCH(Library!M3222,$M$6:$M$40000,0),"")</f>
        <v/>
      </c>
      <c r="Z3222">
        <f>IF($Y3222="","",INDEX($C$6:$C$40000,$Y3222)&amp;"")</f>
        <v/>
      </c>
      <c r="AA3222" s="59">
        <f>IF($Y3222="","",IF(INDEX($D$6:$D$40000,$Y3222)="","",INDEX($D$6:$D$40000,$Y3222)))</f>
        <v/>
      </c>
      <c r="AB3222">
        <f>IF($Y3222="","",INDEX($L$6:$L$40000,$Y3222)&amp;"")</f>
        <v/>
      </c>
    </row>
    <row r="3223">
      <c r="Y3223" s="47">
        <f>IFERROR(MATCH(Library!M3223,$M$6:$M$40000,0),"")</f>
        <v/>
      </c>
      <c r="Z3223">
        <f>IF($Y3223="","",INDEX($C$6:$C$40000,$Y3223)&amp;"")</f>
        <v/>
      </c>
      <c r="AA3223" s="59">
        <f>IF($Y3223="","",IF(INDEX($D$6:$D$40000,$Y3223)="","",INDEX($D$6:$D$40000,$Y3223)))</f>
        <v/>
      </c>
      <c r="AB3223">
        <f>IF($Y3223="","",INDEX($L$6:$L$40000,$Y3223)&amp;"")</f>
        <v/>
      </c>
    </row>
    <row r="3224">
      <c r="Y3224" s="47">
        <f>IFERROR(MATCH(Library!M3224,$M$6:$M$40000,0),"")</f>
        <v/>
      </c>
      <c r="Z3224">
        <f>IF($Y3224="","",INDEX($C$6:$C$40000,$Y3224)&amp;"")</f>
        <v/>
      </c>
      <c r="AA3224" s="59">
        <f>IF($Y3224="","",IF(INDEX($D$6:$D$40000,$Y3224)="","",INDEX($D$6:$D$40000,$Y3224)))</f>
        <v/>
      </c>
      <c r="AB3224">
        <f>IF($Y3224="","",INDEX($L$6:$L$40000,$Y3224)&amp;"")</f>
        <v/>
      </c>
    </row>
    <row r="3225">
      <c r="Y3225" s="47">
        <f>IFERROR(MATCH(Library!M3225,$M$6:$M$40000,0),"")</f>
        <v/>
      </c>
      <c r="Z3225">
        <f>IF($Y3225="","",INDEX($C$6:$C$40000,$Y3225)&amp;"")</f>
        <v/>
      </c>
      <c r="AA3225" s="59">
        <f>IF($Y3225="","",IF(INDEX($D$6:$D$40000,$Y3225)="","",INDEX($D$6:$D$40000,$Y3225)))</f>
        <v/>
      </c>
      <c r="AB3225">
        <f>IF($Y3225="","",INDEX($L$6:$L$40000,$Y3225)&amp;"")</f>
        <v/>
      </c>
    </row>
    <row r="3226">
      <c r="Y3226" s="47">
        <f>IFERROR(MATCH(Library!M3226,$M$6:$M$40000,0),"")</f>
        <v/>
      </c>
      <c r="Z3226">
        <f>IF($Y3226="","",INDEX($C$6:$C$40000,$Y3226)&amp;"")</f>
        <v/>
      </c>
      <c r="AA3226" s="59">
        <f>IF($Y3226="","",IF(INDEX($D$6:$D$40000,$Y3226)="","",INDEX($D$6:$D$40000,$Y3226)))</f>
        <v/>
      </c>
      <c r="AB3226">
        <f>IF($Y3226="","",INDEX($L$6:$L$40000,$Y3226)&amp;"")</f>
        <v/>
      </c>
    </row>
    <row r="3227">
      <c r="Y3227" s="47">
        <f>IFERROR(MATCH(Library!M3227,$M$6:$M$40000,0),"")</f>
        <v/>
      </c>
      <c r="Z3227">
        <f>IF($Y3227="","",INDEX($C$6:$C$40000,$Y3227)&amp;"")</f>
        <v/>
      </c>
      <c r="AA3227" s="59">
        <f>IF($Y3227="","",IF(INDEX($D$6:$D$40000,$Y3227)="","",INDEX($D$6:$D$40000,$Y3227)))</f>
        <v/>
      </c>
      <c r="AB3227">
        <f>IF($Y3227="","",INDEX($L$6:$L$40000,$Y3227)&amp;"")</f>
        <v/>
      </c>
    </row>
    <row r="3228">
      <c r="Y3228" s="47">
        <f>IFERROR(MATCH(Library!M3228,$M$6:$M$40000,0),"")</f>
        <v/>
      </c>
      <c r="Z3228">
        <f>IF($Y3228="","",INDEX($C$6:$C$40000,$Y3228)&amp;"")</f>
        <v/>
      </c>
      <c r="AA3228" s="59">
        <f>IF($Y3228="","",IF(INDEX($D$6:$D$40000,$Y3228)="","",INDEX($D$6:$D$40000,$Y3228)))</f>
        <v/>
      </c>
      <c r="AB3228">
        <f>IF($Y3228="","",INDEX($L$6:$L$40000,$Y3228)&amp;"")</f>
        <v/>
      </c>
    </row>
    <row r="3229">
      <c r="Y3229" s="47">
        <f>IFERROR(MATCH(Library!M3229,$M$6:$M$40000,0),"")</f>
        <v/>
      </c>
      <c r="Z3229">
        <f>IF($Y3229="","",INDEX($C$6:$C$40000,$Y3229)&amp;"")</f>
        <v/>
      </c>
      <c r="AA3229" s="59">
        <f>IF($Y3229="","",IF(INDEX($D$6:$D$40000,$Y3229)="","",INDEX($D$6:$D$40000,$Y3229)))</f>
        <v/>
      </c>
      <c r="AB3229">
        <f>IF($Y3229="","",INDEX($L$6:$L$40000,$Y3229)&amp;"")</f>
        <v/>
      </c>
    </row>
    <row r="3230">
      <c r="Y3230" s="47">
        <f>IFERROR(MATCH(Library!M3230,$M$6:$M$40000,0),"")</f>
        <v/>
      </c>
      <c r="Z3230">
        <f>IF($Y3230="","",INDEX($C$6:$C$40000,$Y3230)&amp;"")</f>
        <v/>
      </c>
      <c r="AA3230" s="59">
        <f>IF($Y3230="","",IF(INDEX($D$6:$D$40000,$Y3230)="","",INDEX($D$6:$D$40000,$Y3230)))</f>
        <v/>
      </c>
      <c r="AB3230">
        <f>IF($Y3230="","",INDEX($L$6:$L$40000,$Y3230)&amp;"")</f>
        <v/>
      </c>
    </row>
    <row r="3231">
      <c r="Y3231" s="47">
        <f>IFERROR(MATCH(Library!M3231,$M$6:$M$40000,0),"")</f>
        <v/>
      </c>
      <c r="Z3231">
        <f>IF($Y3231="","",INDEX($C$6:$C$40000,$Y3231)&amp;"")</f>
        <v/>
      </c>
      <c r="AA3231" s="59">
        <f>IF($Y3231="","",IF(INDEX($D$6:$D$40000,$Y3231)="","",INDEX($D$6:$D$40000,$Y3231)))</f>
        <v/>
      </c>
      <c r="AB3231">
        <f>IF($Y3231="","",INDEX($L$6:$L$40000,$Y3231)&amp;"")</f>
        <v/>
      </c>
    </row>
    <row r="3232">
      <c r="Y3232" s="47">
        <f>IFERROR(MATCH(Library!M3232,$M$6:$M$40000,0),"")</f>
        <v/>
      </c>
      <c r="Z3232">
        <f>IF($Y3232="","",INDEX($C$6:$C$40000,$Y3232)&amp;"")</f>
        <v/>
      </c>
      <c r="AA3232" s="59">
        <f>IF($Y3232="","",IF(INDEX($D$6:$D$40000,$Y3232)="","",INDEX($D$6:$D$40000,$Y3232)))</f>
        <v/>
      </c>
      <c r="AB3232">
        <f>IF($Y3232="","",INDEX($L$6:$L$40000,$Y3232)&amp;"")</f>
        <v/>
      </c>
    </row>
    <row r="3233">
      <c r="Y3233" s="47">
        <f>IFERROR(MATCH(Library!M3233,$M$6:$M$40000,0),"")</f>
        <v/>
      </c>
      <c r="Z3233">
        <f>IF($Y3233="","",INDEX($C$6:$C$40000,$Y3233)&amp;"")</f>
        <v/>
      </c>
      <c r="AA3233" s="59">
        <f>IF($Y3233="","",IF(INDEX($D$6:$D$40000,$Y3233)="","",INDEX($D$6:$D$40000,$Y3233)))</f>
        <v/>
      </c>
      <c r="AB3233">
        <f>IF($Y3233="","",INDEX($L$6:$L$40000,$Y3233)&amp;"")</f>
        <v/>
      </c>
    </row>
    <row r="3234">
      <c r="Y3234" s="47">
        <f>IFERROR(MATCH(Library!M3234,$M$6:$M$40000,0),"")</f>
        <v/>
      </c>
      <c r="Z3234">
        <f>IF($Y3234="","",INDEX($C$6:$C$40000,$Y3234)&amp;"")</f>
        <v/>
      </c>
      <c r="AA3234" s="59">
        <f>IF($Y3234="","",IF(INDEX($D$6:$D$40000,$Y3234)="","",INDEX($D$6:$D$40000,$Y3234)))</f>
        <v/>
      </c>
      <c r="AB3234">
        <f>IF($Y3234="","",INDEX($L$6:$L$40000,$Y3234)&amp;"")</f>
        <v/>
      </c>
    </row>
    <row r="3235">
      <c r="Y3235" s="47">
        <f>IFERROR(MATCH(Library!M3235,$M$6:$M$40000,0),"")</f>
        <v/>
      </c>
      <c r="Z3235">
        <f>IF($Y3235="","",INDEX($C$6:$C$40000,$Y3235)&amp;"")</f>
        <v/>
      </c>
      <c r="AA3235" s="59">
        <f>IF($Y3235="","",IF(INDEX($D$6:$D$40000,$Y3235)="","",INDEX($D$6:$D$40000,$Y3235)))</f>
        <v/>
      </c>
      <c r="AB3235">
        <f>IF($Y3235="","",INDEX($L$6:$L$40000,$Y3235)&amp;"")</f>
        <v/>
      </c>
    </row>
    <row r="3236">
      <c r="Y3236" s="47">
        <f>IFERROR(MATCH(Library!M3236,$M$6:$M$40000,0),"")</f>
        <v/>
      </c>
      <c r="Z3236">
        <f>IF($Y3236="","",INDEX($C$6:$C$40000,$Y3236)&amp;"")</f>
        <v/>
      </c>
      <c r="AA3236" s="59">
        <f>IF($Y3236="","",IF(INDEX($D$6:$D$40000,$Y3236)="","",INDEX($D$6:$D$40000,$Y3236)))</f>
        <v/>
      </c>
      <c r="AB3236">
        <f>IF($Y3236="","",INDEX($L$6:$L$40000,$Y3236)&amp;"")</f>
        <v/>
      </c>
    </row>
    <row r="3237">
      <c r="Y3237" s="47">
        <f>IFERROR(MATCH(Library!M3237,$M$6:$M$40000,0),"")</f>
        <v/>
      </c>
      <c r="Z3237">
        <f>IF($Y3237="","",INDEX($C$6:$C$40000,$Y3237)&amp;"")</f>
        <v/>
      </c>
      <c r="AA3237" s="59">
        <f>IF($Y3237="","",IF(INDEX($D$6:$D$40000,$Y3237)="","",INDEX($D$6:$D$40000,$Y3237)))</f>
        <v/>
      </c>
      <c r="AB3237">
        <f>IF($Y3237="","",INDEX($L$6:$L$40000,$Y3237)&amp;"")</f>
        <v/>
      </c>
    </row>
    <row r="3238">
      <c r="Y3238" s="47">
        <f>IFERROR(MATCH(Library!M3238,$M$6:$M$40000,0),"")</f>
        <v/>
      </c>
      <c r="Z3238">
        <f>IF($Y3238="","",INDEX($C$6:$C$40000,$Y3238)&amp;"")</f>
        <v/>
      </c>
      <c r="AA3238" s="59">
        <f>IF($Y3238="","",IF(INDEX($D$6:$D$40000,$Y3238)="","",INDEX($D$6:$D$40000,$Y3238)))</f>
        <v/>
      </c>
      <c r="AB3238">
        <f>IF($Y3238="","",INDEX($L$6:$L$40000,$Y3238)&amp;"")</f>
        <v/>
      </c>
    </row>
    <row r="3239">
      <c r="Y3239" s="47">
        <f>IFERROR(MATCH(Library!M3239,$M$6:$M$40000,0),"")</f>
        <v/>
      </c>
      <c r="Z3239">
        <f>IF($Y3239="","",INDEX($C$6:$C$40000,$Y3239)&amp;"")</f>
        <v/>
      </c>
      <c r="AA3239" s="59">
        <f>IF($Y3239="","",IF(INDEX($D$6:$D$40000,$Y3239)="","",INDEX($D$6:$D$40000,$Y3239)))</f>
        <v/>
      </c>
      <c r="AB3239">
        <f>IF($Y3239="","",INDEX($L$6:$L$40000,$Y3239)&amp;"")</f>
        <v/>
      </c>
    </row>
    <row r="3240">
      <c r="Y3240" s="47">
        <f>IFERROR(MATCH(Library!M3240,$M$6:$M$40000,0),"")</f>
        <v/>
      </c>
      <c r="Z3240">
        <f>IF($Y3240="","",INDEX($C$6:$C$40000,$Y3240)&amp;"")</f>
        <v/>
      </c>
      <c r="AA3240" s="59">
        <f>IF($Y3240="","",IF(INDEX($D$6:$D$40000,$Y3240)="","",INDEX($D$6:$D$40000,$Y3240)))</f>
        <v/>
      </c>
      <c r="AB3240">
        <f>IF($Y3240="","",INDEX($L$6:$L$40000,$Y3240)&amp;"")</f>
        <v/>
      </c>
    </row>
    <row r="3241">
      <c r="Y3241" s="47">
        <f>IFERROR(MATCH(Library!M3241,$M$6:$M$40000,0),"")</f>
        <v/>
      </c>
      <c r="Z3241">
        <f>IF($Y3241="","",INDEX($C$6:$C$40000,$Y3241)&amp;"")</f>
        <v/>
      </c>
      <c r="AA3241" s="59">
        <f>IF($Y3241="","",IF(INDEX($D$6:$D$40000,$Y3241)="","",INDEX($D$6:$D$40000,$Y3241)))</f>
        <v/>
      </c>
      <c r="AB3241">
        <f>IF($Y3241="","",INDEX($L$6:$L$40000,$Y3241)&amp;"")</f>
        <v/>
      </c>
    </row>
    <row r="3242">
      <c r="Y3242" s="47">
        <f>IFERROR(MATCH(Library!M3242,$M$6:$M$40000,0),"")</f>
        <v/>
      </c>
      <c r="Z3242">
        <f>IF($Y3242="","",INDEX($C$6:$C$40000,$Y3242)&amp;"")</f>
        <v/>
      </c>
      <c r="AA3242" s="59">
        <f>IF($Y3242="","",IF(INDEX($D$6:$D$40000,$Y3242)="","",INDEX($D$6:$D$40000,$Y3242)))</f>
        <v/>
      </c>
      <c r="AB3242">
        <f>IF($Y3242="","",INDEX($L$6:$L$40000,$Y3242)&amp;"")</f>
        <v/>
      </c>
    </row>
    <row r="3243">
      <c r="Y3243" s="47">
        <f>IFERROR(MATCH(Library!M3243,$M$6:$M$40000,0),"")</f>
        <v/>
      </c>
      <c r="Z3243">
        <f>IF($Y3243="","",INDEX($C$6:$C$40000,$Y3243)&amp;"")</f>
        <v/>
      </c>
      <c r="AA3243" s="59">
        <f>IF($Y3243="","",IF(INDEX($D$6:$D$40000,$Y3243)="","",INDEX($D$6:$D$40000,$Y3243)))</f>
        <v/>
      </c>
      <c r="AB3243">
        <f>IF($Y3243="","",INDEX($L$6:$L$40000,$Y3243)&amp;"")</f>
        <v/>
      </c>
    </row>
    <row r="3244">
      <c r="Y3244" s="47">
        <f>IFERROR(MATCH(Library!M3244,$M$6:$M$40000,0),"")</f>
        <v/>
      </c>
      <c r="Z3244">
        <f>IF($Y3244="","",INDEX($C$6:$C$40000,$Y3244)&amp;"")</f>
        <v/>
      </c>
      <c r="AA3244" s="59">
        <f>IF($Y3244="","",IF(INDEX($D$6:$D$40000,$Y3244)="","",INDEX($D$6:$D$40000,$Y3244)))</f>
        <v/>
      </c>
      <c r="AB3244">
        <f>IF($Y3244="","",INDEX($L$6:$L$40000,$Y3244)&amp;"")</f>
        <v/>
      </c>
    </row>
    <row r="3245">
      <c r="Y3245" s="47">
        <f>IFERROR(MATCH(Library!M3245,$M$6:$M$40000,0),"")</f>
        <v/>
      </c>
      <c r="Z3245">
        <f>IF($Y3245="","",INDEX($C$6:$C$40000,$Y3245)&amp;"")</f>
        <v/>
      </c>
      <c r="AA3245" s="59">
        <f>IF($Y3245="","",IF(INDEX($D$6:$D$40000,$Y3245)="","",INDEX($D$6:$D$40000,$Y3245)))</f>
        <v/>
      </c>
      <c r="AB3245">
        <f>IF($Y3245="","",INDEX($L$6:$L$40000,$Y3245)&amp;"")</f>
        <v/>
      </c>
    </row>
    <row r="3246">
      <c r="Y3246" s="47">
        <f>IFERROR(MATCH(Library!M3246,$M$6:$M$40000,0),"")</f>
        <v/>
      </c>
      <c r="Z3246">
        <f>IF($Y3246="","",INDEX($C$6:$C$40000,$Y3246)&amp;"")</f>
        <v/>
      </c>
      <c r="AA3246" s="59">
        <f>IF($Y3246="","",IF(INDEX($D$6:$D$40000,$Y3246)="","",INDEX($D$6:$D$40000,$Y3246)))</f>
        <v/>
      </c>
      <c r="AB3246">
        <f>IF($Y3246="","",INDEX($L$6:$L$40000,$Y3246)&amp;"")</f>
        <v/>
      </c>
    </row>
    <row r="3247">
      <c r="Y3247" s="47">
        <f>IFERROR(MATCH(Library!M3247,$M$6:$M$40000,0),"")</f>
        <v/>
      </c>
      <c r="Z3247">
        <f>IF($Y3247="","",INDEX($C$6:$C$40000,$Y3247)&amp;"")</f>
        <v/>
      </c>
      <c r="AA3247" s="59">
        <f>IF($Y3247="","",IF(INDEX($D$6:$D$40000,$Y3247)="","",INDEX($D$6:$D$40000,$Y3247)))</f>
        <v/>
      </c>
      <c r="AB3247">
        <f>IF($Y3247="","",INDEX($L$6:$L$40000,$Y3247)&amp;"")</f>
        <v/>
      </c>
    </row>
    <row r="3248">
      <c r="Y3248" s="47">
        <f>IFERROR(MATCH(Library!M3248,$M$6:$M$40000,0),"")</f>
        <v/>
      </c>
      <c r="Z3248">
        <f>IF($Y3248="","",INDEX($C$6:$C$40000,$Y3248)&amp;"")</f>
        <v/>
      </c>
      <c r="AA3248" s="59">
        <f>IF($Y3248="","",IF(INDEX($D$6:$D$40000,$Y3248)="","",INDEX($D$6:$D$40000,$Y3248)))</f>
        <v/>
      </c>
      <c r="AB3248">
        <f>IF($Y3248="","",INDEX($L$6:$L$40000,$Y3248)&amp;"")</f>
        <v/>
      </c>
    </row>
    <row r="3249">
      <c r="Y3249" s="47">
        <f>IFERROR(MATCH(Library!M3249,$M$6:$M$40000,0),"")</f>
        <v/>
      </c>
      <c r="Z3249">
        <f>IF($Y3249="","",INDEX($C$6:$C$40000,$Y3249)&amp;"")</f>
        <v/>
      </c>
      <c r="AA3249" s="59">
        <f>IF($Y3249="","",IF(INDEX($D$6:$D$40000,$Y3249)="","",INDEX($D$6:$D$40000,$Y3249)))</f>
        <v/>
      </c>
      <c r="AB3249">
        <f>IF($Y3249="","",INDEX($L$6:$L$40000,$Y3249)&amp;"")</f>
        <v/>
      </c>
    </row>
    <row r="3250">
      <c r="Y3250" s="47">
        <f>IFERROR(MATCH(Library!M3250,$M$6:$M$40000,0),"")</f>
        <v/>
      </c>
      <c r="Z3250">
        <f>IF($Y3250="","",INDEX($C$6:$C$40000,$Y3250)&amp;"")</f>
        <v/>
      </c>
      <c r="AA3250" s="59">
        <f>IF($Y3250="","",IF(INDEX($D$6:$D$40000,$Y3250)="","",INDEX($D$6:$D$40000,$Y3250)))</f>
        <v/>
      </c>
      <c r="AB3250">
        <f>IF($Y3250="","",INDEX($L$6:$L$40000,$Y3250)&amp;"")</f>
        <v/>
      </c>
    </row>
    <row r="3251">
      <c r="Y3251" s="47">
        <f>IFERROR(MATCH(Library!M3251,$M$6:$M$40000,0),"")</f>
        <v/>
      </c>
      <c r="Z3251">
        <f>IF($Y3251="","",INDEX($C$6:$C$40000,$Y3251)&amp;"")</f>
        <v/>
      </c>
      <c r="AA3251" s="59">
        <f>IF($Y3251="","",IF(INDEX($D$6:$D$40000,$Y3251)="","",INDEX($D$6:$D$40000,$Y3251)))</f>
        <v/>
      </c>
      <c r="AB3251">
        <f>IF($Y3251="","",INDEX($L$6:$L$40000,$Y3251)&amp;"")</f>
        <v/>
      </c>
    </row>
    <row r="3252">
      <c r="Y3252" s="47">
        <f>IFERROR(MATCH(Library!M3252,$M$6:$M$40000,0),"")</f>
        <v/>
      </c>
      <c r="Z3252">
        <f>IF($Y3252="","",INDEX($C$6:$C$40000,$Y3252)&amp;"")</f>
        <v/>
      </c>
      <c r="AA3252" s="59">
        <f>IF($Y3252="","",IF(INDEX($D$6:$D$40000,$Y3252)="","",INDEX($D$6:$D$40000,$Y3252)))</f>
        <v/>
      </c>
      <c r="AB3252">
        <f>IF($Y3252="","",INDEX($L$6:$L$40000,$Y3252)&amp;"")</f>
        <v/>
      </c>
    </row>
    <row r="3253">
      <c r="Y3253" s="47">
        <f>IFERROR(MATCH(Library!M3253,$M$6:$M$40000,0),"")</f>
        <v/>
      </c>
      <c r="Z3253">
        <f>IF($Y3253="","",INDEX($C$6:$C$40000,$Y3253)&amp;"")</f>
        <v/>
      </c>
      <c r="AA3253" s="59">
        <f>IF($Y3253="","",IF(INDEX($D$6:$D$40000,$Y3253)="","",INDEX($D$6:$D$40000,$Y3253)))</f>
        <v/>
      </c>
      <c r="AB3253">
        <f>IF($Y3253="","",INDEX($L$6:$L$40000,$Y3253)&amp;"")</f>
        <v/>
      </c>
    </row>
    <row r="3254">
      <c r="Y3254" s="47">
        <f>IFERROR(MATCH(Library!M3254,$M$6:$M$40000,0),"")</f>
        <v/>
      </c>
      <c r="Z3254">
        <f>IF($Y3254="","",INDEX($C$6:$C$40000,$Y3254)&amp;"")</f>
        <v/>
      </c>
      <c r="AA3254" s="59">
        <f>IF($Y3254="","",IF(INDEX($D$6:$D$40000,$Y3254)="","",INDEX($D$6:$D$40000,$Y3254)))</f>
        <v/>
      </c>
      <c r="AB3254">
        <f>IF($Y3254="","",INDEX($L$6:$L$40000,$Y3254)&amp;"")</f>
        <v/>
      </c>
    </row>
    <row r="3255">
      <c r="Y3255" s="47">
        <f>IFERROR(MATCH(Library!M3255,$M$6:$M$40000,0),"")</f>
        <v/>
      </c>
      <c r="Z3255">
        <f>IF($Y3255="","",INDEX($C$6:$C$40000,$Y3255)&amp;"")</f>
        <v/>
      </c>
      <c r="AA3255" s="59">
        <f>IF($Y3255="","",IF(INDEX($D$6:$D$40000,$Y3255)="","",INDEX($D$6:$D$40000,$Y3255)))</f>
        <v/>
      </c>
      <c r="AB3255">
        <f>IF($Y3255="","",INDEX($L$6:$L$40000,$Y3255)&amp;"")</f>
        <v/>
      </c>
    </row>
    <row r="3256">
      <c r="Y3256" s="47">
        <f>IFERROR(MATCH(Library!M3256,$M$6:$M$40000,0),"")</f>
        <v/>
      </c>
      <c r="Z3256">
        <f>IF($Y3256="","",INDEX($C$6:$C$40000,$Y3256)&amp;"")</f>
        <v/>
      </c>
      <c r="AA3256" s="59">
        <f>IF($Y3256="","",IF(INDEX($D$6:$D$40000,$Y3256)="","",INDEX($D$6:$D$40000,$Y3256)))</f>
        <v/>
      </c>
      <c r="AB3256">
        <f>IF($Y3256="","",INDEX($L$6:$L$40000,$Y3256)&amp;"")</f>
        <v/>
      </c>
    </row>
    <row r="3257">
      <c r="Y3257" s="47">
        <f>IFERROR(MATCH(Library!M3257,$M$6:$M$40000,0),"")</f>
        <v/>
      </c>
      <c r="Z3257">
        <f>IF($Y3257="","",INDEX($C$6:$C$40000,$Y3257)&amp;"")</f>
        <v/>
      </c>
      <c r="AA3257" s="59">
        <f>IF($Y3257="","",IF(INDEX($D$6:$D$40000,$Y3257)="","",INDEX($D$6:$D$40000,$Y3257)))</f>
        <v/>
      </c>
      <c r="AB3257">
        <f>IF($Y3257="","",INDEX($L$6:$L$40000,$Y3257)&amp;"")</f>
        <v/>
      </c>
    </row>
    <row r="3258">
      <c r="Y3258" s="47">
        <f>IFERROR(MATCH(Library!M3258,$M$6:$M$40000,0),"")</f>
        <v/>
      </c>
      <c r="Z3258">
        <f>IF($Y3258="","",INDEX($C$6:$C$40000,$Y3258)&amp;"")</f>
        <v/>
      </c>
      <c r="AA3258" s="59">
        <f>IF($Y3258="","",IF(INDEX($D$6:$D$40000,$Y3258)="","",INDEX($D$6:$D$40000,$Y3258)))</f>
        <v/>
      </c>
      <c r="AB3258">
        <f>IF($Y3258="","",INDEX($L$6:$L$40000,$Y3258)&amp;"")</f>
        <v/>
      </c>
    </row>
    <row r="3259">
      <c r="Y3259" s="47">
        <f>IFERROR(MATCH(Library!M3259,$M$6:$M$40000,0),"")</f>
        <v/>
      </c>
      <c r="Z3259">
        <f>IF($Y3259="","",INDEX($C$6:$C$40000,$Y3259)&amp;"")</f>
        <v/>
      </c>
      <c r="AA3259" s="59">
        <f>IF($Y3259="","",IF(INDEX($D$6:$D$40000,$Y3259)="","",INDEX($D$6:$D$40000,$Y3259)))</f>
        <v/>
      </c>
      <c r="AB3259">
        <f>IF($Y3259="","",INDEX($L$6:$L$40000,$Y3259)&amp;"")</f>
        <v/>
      </c>
    </row>
    <row r="3260">
      <c r="Y3260" s="47">
        <f>IFERROR(MATCH(Library!M3260,$M$6:$M$40000,0),"")</f>
        <v/>
      </c>
      <c r="Z3260">
        <f>IF($Y3260="","",INDEX($C$6:$C$40000,$Y3260)&amp;"")</f>
        <v/>
      </c>
      <c r="AA3260" s="59">
        <f>IF($Y3260="","",IF(INDEX($D$6:$D$40000,$Y3260)="","",INDEX($D$6:$D$40000,$Y3260)))</f>
        <v/>
      </c>
      <c r="AB3260">
        <f>IF($Y3260="","",INDEX($L$6:$L$40000,$Y3260)&amp;"")</f>
        <v/>
      </c>
    </row>
    <row r="3261">
      <c r="Y3261" s="47">
        <f>IFERROR(MATCH(Library!M3261,$M$6:$M$40000,0),"")</f>
        <v/>
      </c>
      <c r="Z3261">
        <f>IF($Y3261="","",INDEX($C$6:$C$40000,$Y3261)&amp;"")</f>
        <v/>
      </c>
      <c r="AA3261" s="59">
        <f>IF($Y3261="","",IF(INDEX($D$6:$D$40000,$Y3261)="","",INDEX($D$6:$D$40000,$Y3261)))</f>
        <v/>
      </c>
      <c r="AB3261">
        <f>IF($Y3261="","",INDEX($L$6:$L$40000,$Y3261)&amp;"")</f>
        <v/>
      </c>
    </row>
    <row r="3262">
      <c r="Y3262" s="47">
        <f>IFERROR(MATCH(Library!M3262,$M$6:$M$40000,0),"")</f>
        <v/>
      </c>
      <c r="Z3262">
        <f>IF($Y3262="","",INDEX($C$6:$C$40000,$Y3262)&amp;"")</f>
        <v/>
      </c>
      <c r="AA3262" s="59">
        <f>IF($Y3262="","",IF(INDEX($D$6:$D$40000,$Y3262)="","",INDEX($D$6:$D$40000,$Y3262)))</f>
        <v/>
      </c>
      <c r="AB3262">
        <f>IF($Y3262="","",INDEX($L$6:$L$40000,$Y3262)&amp;"")</f>
        <v/>
      </c>
    </row>
    <row r="3263">
      <c r="Y3263" s="47">
        <f>IFERROR(MATCH(Library!M3263,$M$6:$M$40000,0),"")</f>
        <v/>
      </c>
      <c r="Z3263">
        <f>IF($Y3263="","",INDEX($C$6:$C$40000,$Y3263)&amp;"")</f>
        <v/>
      </c>
      <c r="AA3263" s="59">
        <f>IF($Y3263="","",IF(INDEX($D$6:$D$40000,$Y3263)="","",INDEX($D$6:$D$40000,$Y3263)))</f>
        <v/>
      </c>
      <c r="AB3263">
        <f>IF($Y3263="","",INDEX($L$6:$L$40000,$Y3263)&amp;"")</f>
        <v/>
      </c>
    </row>
    <row r="3264">
      <c r="Y3264" s="47">
        <f>IFERROR(MATCH(Library!M3264,$M$6:$M$40000,0),"")</f>
        <v/>
      </c>
      <c r="Z3264">
        <f>IF($Y3264="","",INDEX($C$6:$C$40000,$Y3264)&amp;"")</f>
        <v/>
      </c>
      <c r="AA3264" s="59">
        <f>IF($Y3264="","",IF(INDEX($D$6:$D$40000,$Y3264)="","",INDEX($D$6:$D$40000,$Y3264)))</f>
        <v/>
      </c>
      <c r="AB3264">
        <f>IF($Y3264="","",INDEX($L$6:$L$40000,$Y3264)&amp;"")</f>
        <v/>
      </c>
    </row>
    <row r="3265">
      <c r="Y3265" s="47">
        <f>IFERROR(MATCH(Library!M3265,$M$6:$M$40000,0),"")</f>
        <v/>
      </c>
      <c r="Z3265">
        <f>IF($Y3265="","",INDEX($C$6:$C$40000,$Y3265)&amp;"")</f>
        <v/>
      </c>
      <c r="AA3265" s="59">
        <f>IF($Y3265="","",IF(INDEX($D$6:$D$40000,$Y3265)="","",INDEX($D$6:$D$40000,$Y3265)))</f>
        <v/>
      </c>
      <c r="AB3265">
        <f>IF($Y3265="","",INDEX($L$6:$L$40000,$Y3265)&amp;"")</f>
        <v/>
      </c>
    </row>
    <row r="3266">
      <c r="Y3266" s="47">
        <f>IFERROR(MATCH(Library!M3266,$M$6:$M$40000,0),"")</f>
        <v/>
      </c>
      <c r="Z3266">
        <f>IF($Y3266="","",INDEX($C$6:$C$40000,$Y3266)&amp;"")</f>
        <v/>
      </c>
      <c r="AA3266" s="59">
        <f>IF($Y3266="","",IF(INDEX($D$6:$D$40000,$Y3266)="","",INDEX($D$6:$D$40000,$Y3266)))</f>
        <v/>
      </c>
      <c r="AB3266">
        <f>IF($Y3266="","",INDEX($L$6:$L$40000,$Y3266)&amp;"")</f>
        <v/>
      </c>
    </row>
    <row r="3267">
      <c r="Y3267" s="47">
        <f>IFERROR(MATCH(Library!M3267,$M$6:$M$40000,0),"")</f>
        <v/>
      </c>
      <c r="Z3267">
        <f>IF($Y3267="","",INDEX($C$6:$C$40000,$Y3267)&amp;"")</f>
        <v/>
      </c>
      <c r="AA3267" s="59">
        <f>IF($Y3267="","",IF(INDEX($D$6:$D$40000,$Y3267)="","",INDEX($D$6:$D$40000,$Y3267)))</f>
        <v/>
      </c>
      <c r="AB3267">
        <f>IF($Y3267="","",INDEX($L$6:$L$40000,$Y3267)&amp;"")</f>
        <v/>
      </c>
    </row>
  </sheetData>
  <pageMargins left="0.75" right="0.75" top="1" bottom="1" header="0.5" footer="0.5"/>
</worksheet>
</file>

<file path=xl/worksheets/sheet10.xml><?xml version="1.0" encoding="utf-8"?>
<worksheet xmlns="http://schemas.openxmlformats.org/spreadsheetml/2006/main">
  <sheetPr>
    <tabColor rgb="00B7791F"/>
    <outlinePr summaryBelow="1" summaryRight="1"/>
    <pageSetUpPr fitToPage="1"/>
  </sheetPr>
  <dimension ref="B2:D30"/>
  <sheetViews>
    <sheetView showGridLines="0" workbookViewId="0">
      <selection activeCell="A1" sqref="A1"/>
    </sheetView>
  </sheetViews>
  <sheetFormatPr baseColWidth="8" defaultRowHeight="15"/>
  <cols>
    <col width="3" customWidth="1" min="1" max="1"/>
    <col width="34" customWidth="1" min="2" max="2"/>
    <col width="26" customWidth="1" min="3" max="3"/>
    <col width="90" customWidth="1" min="4" max="4"/>
  </cols>
  <sheetData>
    <row r="2" ht="30" customHeight="1">
      <c r="B2" s="55" t="inlineStr">
        <is>
          <t>Settings &amp; Guide</t>
        </is>
      </c>
    </row>
    <row r="3">
      <c r="B3" s="35">
        <f>HYPERLINK("#'Dashboard'!A1","◄ Dashboard")</f>
        <v/>
      </c>
    </row>
    <row r="4">
      <c r="B4" s="124" t="inlineStr">
        <is>
          <t>Time zone (IANA name)</t>
        </is>
      </c>
      <c r="C4" s="125" t="inlineStr">
        <is>
          <t>America/New_York</t>
        </is>
      </c>
      <c r="D4" s="2" t="inlineStr">
        <is>
          <t>Used to decide which calendar day a video belongs to. Changing it takes effect at the next update.</t>
        </is>
      </c>
    </row>
    <row r="5">
      <c r="B5" s="124" t="inlineStr">
        <is>
          <t>Last updated</t>
        </is>
      </c>
      <c r="C5" s="126" t="n">
        <v>46304.13543981482</v>
      </c>
    </row>
    <row r="6">
      <c r="B6" s="124" t="inlineStr">
        <is>
          <t>Videos in library</t>
        </is>
      </c>
      <c r="C6" s="127">
        <f>COUNTA(tblVideos[Seq])</f>
        <v/>
      </c>
    </row>
    <row r="7">
      <c r="B7" s="124" t="inlineStr">
        <is>
          <t>Workbook version</t>
        </is>
      </c>
      <c r="C7" s="128" t="inlineStr">
        <is>
          <t>1.0</t>
        </is>
      </c>
    </row>
    <row r="10">
      <c r="B10" s="121" t="inlineStr">
        <is>
          <t>Using the workbook</t>
        </is>
      </c>
    </row>
    <row r="11">
      <c r="B11" s="129" t="inlineStr">
        <is>
          <t>Dashboard - the home page: progress, per-channel breakdown, up-next list and newest uploads.</t>
        </is>
      </c>
    </row>
    <row r="12">
      <c r="B12" s="129" t="inlineStr">
        <is>
          <t>Library - every video. Filter with the header arrows. Use Mark (dropdown) to set Watched / Watch Later / Skipped, and Watched On for the date (Ctrl+; = today).</t>
        </is>
      </c>
    </row>
    <row r="13">
      <c r="B13" s="129" t="inlineStr">
        <is>
          <t xml:space="preserve">   Marking a lot at once: filter, type the mark in the first visible cell, copy it, and paste over the rest of the visible cells.</t>
        </is>
      </c>
    </row>
    <row r="14">
      <c r="B14" s="129" t="inlineStr">
        <is>
          <t xml:space="preserve">   Catching up on a back catalogue: set 'Watched Through' for a channel on the Channels sheet instead of marking thousands of rows.</t>
        </is>
      </c>
    </row>
    <row r="15">
      <c r="B15" s="129" t="inlineStr">
        <is>
          <t xml:space="preserve">   'Skipped' videos (trailers, clips you'll never watch) are left out of the percentage calculations.</t>
        </is>
      </c>
    </row>
    <row r="16">
      <c r="B16" s="129" t="inlineStr">
        <is>
          <t>Queue - pick a channel / list / order to get the next 30 videos to watch, each with a link.</t>
        </is>
      </c>
    </row>
    <row r="17">
      <c r="B17" s="129" t="inlineStr">
        <is>
          <t>Calendar - pick a year, month and channel to see that month's uploads on a Monday-first calendar. Click a title to open it.</t>
        </is>
      </c>
    </row>
    <row r="18">
      <c r="B18" s="129" t="inlineStr">
        <is>
          <t>Events - holidays, fandom days, Disney/Pixar/Marvel/Star Wars/Harry Potter releases and trailers, game releases and Carlin milestones, shown on the Calendar. Add your own (multi-day and yearly-repeating supported) at the bottom of the Events sheet.</t>
        </is>
      </c>
    </row>
    <row r="19">
      <c r="B19" s="129" t="inlineStr">
        <is>
          <t>History - upload heatmap (year x month), year view, uploads per year and a month-by-month timeline with charts.</t>
        </is>
      </c>
    </row>
    <row r="20">
      <c r="B20" s="129" t="inlineStr">
        <is>
          <t>Stats - progress per channel, upload profile, watching-vs-uploading pace and records.</t>
        </is>
      </c>
    </row>
    <row r="21">
      <c r="B21" s="129" t="inlineStr">
        <is>
          <t>Sheets other than Library / Channels / Settings are protected (no password) so formulas aren't overwritten by accident: Review &gt; Unprotect Sheet.</t>
        </is>
      </c>
    </row>
    <row r="22">
      <c r="B22" s="129" t="inlineStr"/>
    </row>
    <row r="23">
      <c r="B23" s="121" t="inlineStr">
        <is>
          <t>About this copy</t>
        </is>
      </c>
    </row>
    <row r="24">
      <c r="B24" s="129" t="inlineStr">
        <is>
          <t>This is a snapshot taken from the fan website. It does not update itself - download a fresh copy from the site for newer videos (your marks would not carry over).</t>
        </is>
      </c>
    </row>
    <row r="25">
      <c r="B25" s="129" t="inlineStr">
        <is>
          <t>Your marks live in the gold columns of the Library sheet and in 'Watched Through' on the Channels sheet. Keep a backup copy of the file.</t>
        </is>
      </c>
    </row>
    <row r="26">
      <c r="B26" s="129" t="inlineStr">
        <is>
          <t>Got a newer download? Use the 'Carry Over' sheet in the NEW file to bring your marks across from the old one (steps are on that sheet).</t>
        </is>
      </c>
    </row>
    <row r="27">
      <c r="B27" s="129" t="inlineStr"/>
    </row>
    <row r="28">
      <c r="B28" s="121" t="inlineStr">
        <is>
          <t>Statistics caveats</t>
        </is>
      </c>
    </row>
    <row r="29">
      <c r="B29" s="129" t="inlineStr">
        <is>
          <t>• Watch-activity charts only count videos that have a 'Watched On' date. Videos counted as watched via 'Watched Through' or without a date are not in them.</t>
        </is>
      </c>
    </row>
    <row r="30">
      <c r="B30" s="129" t="inlineStr">
        <is>
          <t>• View counts grow with age, so old videos vs new ones isn't a like-for-like comparison.</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sheetData>
    <row r="1">
      <c r="A1" t="n">
        <v>2012</v>
      </c>
      <c r="C1" t="inlineStr">
        <is>
          <t>January</t>
        </is>
      </c>
      <c r="E1" t="inlineStr">
        <is>
          <t>All channels</t>
        </is>
      </c>
      <c r="G1" t="inlineStr">
        <is>
          <t>Holiday</t>
        </is>
      </c>
      <c r="H1" t="inlineStr">
        <is>
          <t>🎉</t>
        </is>
      </c>
    </row>
    <row r="2">
      <c r="A2" t="n">
        <v>2013</v>
      </c>
      <c r="C2" t="inlineStr">
        <is>
          <t>February</t>
        </is>
      </c>
      <c r="E2">
        <f>IF(Channels!$C$6="","",Channels!$C$6)</f>
        <v/>
      </c>
      <c r="G2" t="inlineStr">
        <is>
          <t>Fandom</t>
        </is>
      </c>
      <c r="H2" t="inlineStr">
        <is>
          <t>🌟</t>
        </is>
      </c>
    </row>
    <row r="3">
      <c r="A3" t="n">
        <v>2014</v>
      </c>
      <c r="C3" t="inlineStr">
        <is>
          <t>March</t>
        </is>
      </c>
      <c r="E3">
        <f>IF(Channels!$C$7="","",Channels!$C$7)</f>
        <v/>
      </c>
      <c r="G3" t="inlineStr">
        <is>
          <t>Movie / trailer</t>
        </is>
      </c>
      <c r="H3" t="inlineStr">
        <is>
          <t>🎬</t>
        </is>
      </c>
    </row>
    <row r="4">
      <c r="A4" t="n">
        <v>2015</v>
      </c>
      <c r="C4" t="inlineStr">
        <is>
          <t>April</t>
        </is>
      </c>
      <c r="E4">
        <f>IF(Channels!$C$8="","",Channels!$C$8)</f>
        <v/>
      </c>
      <c r="G4" t="inlineStr">
        <is>
          <t>Game release</t>
        </is>
      </c>
      <c r="H4" t="inlineStr">
        <is>
          <t>🎮</t>
        </is>
      </c>
    </row>
    <row r="5">
      <c r="A5" t="n">
        <v>2016</v>
      </c>
      <c r="C5" t="inlineStr">
        <is>
          <t>May</t>
        </is>
      </c>
      <c r="E5">
        <f>IF(Channels!$C$9="","",Channels!$C$9)</f>
        <v/>
      </c>
      <c r="G5" t="inlineStr">
        <is>
          <t>Carlin life</t>
        </is>
      </c>
      <c r="H5" t="inlineStr">
        <is>
          <t>💛</t>
        </is>
      </c>
    </row>
    <row r="6">
      <c r="A6" t="n">
        <v>2017</v>
      </c>
      <c r="C6" t="inlineStr">
        <is>
          <t>June</t>
        </is>
      </c>
      <c r="E6">
        <f>IF(Channels!$C$10="","",Channels!$C$10)</f>
        <v/>
      </c>
      <c r="G6" t="inlineStr">
        <is>
          <t>SCB milestone</t>
        </is>
      </c>
      <c r="H6" t="inlineStr">
        <is>
          <t>🏆</t>
        </is>
      </c>
    </row>
    <row r="7">
      <c r="A7" t="n">
        <v>2018</v>
      </c>
      <c r="C7" t="inlineStr">
        <is>
          <t>July</t>
        </is>
      </c>
      <c r="E7">
        <f>IF(Channels!$C$11="","",Channels!$C$11)</f>
        <v/>
      </c>
      <c r="G7" t="inlineStr">
        <is>
          <t>Other</t>
        </is>
      </c>
      <c r="H7" t="inlineStr">
        <is>
          <t>📌</t>
        </is>
      </c>
    </row>
    <row r="8">
      <c r="A8" t="n">
        <v>2019</v>
      </c>
      <c r="C8" t="inlineStr">
        <is>
          <t>August</t>
        </is>
      </c>
    </row>
    <row r="9">
      <c r="A9" t="n">
        <v>2020</v>
      </c>
      <c r="C9" t="inlineStr">
        <is>
          <t>September</t>
        </is>
      </c>
    </row>
    <row r="10">
      <c r="A10" t="n">
        <v>2021</v>
      </c>
      <c r="C10" t="inlineStr">
        <is>
          <t>October</t>
        </is>
      </c>
    </row>
    <row r="11">
      <c r="A11" t="n">
        <v>2022</v>
      </c>
      <c r="C11" t="inlineStr">
        <is>
          <t>November</t>
        </is>
      </c>
    </row>
    <row r="12">
      <c r="A12" t="n">
        <v>2023</v>
      </c>
      <c r="C12" t="inlineStr">
        <is>
          <t>December</t>
        </is>
      </c>
    </row>
    <row r="13">
      <c r="A13" t="n">
        <v>2024</v>
      </c>
    </row>
    <row r="14">
      <c r="A14" t="n">
        <v>2025</v>
      </c>
    </row>
    <row r="15">
      <c r="A15" t="n">
        <v>2026</v>
      </c>
    </row>
    <row r="16">
      <c r="A16" t="n">
        <v>2027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596"/>
  <sheetViews>
    <sheetView workbookViewId="0">
      <selection activeCell="A1" sqref="A1"/>
    </sheetView>
  </sheetViews>
  <sheetFormatPr baseColWidth="8" defaultRowHeight="15"/>
  <sheetData>
    <row r="1">
      <c r="A1" s="130" t="inlineStr">
        <is>
          <t>grid start / end</t>
        </is>
      </c>
      <c r="B1" s="59">
        <f>Calendar!$K$3</f>
        <v/>
      </c>
    </row>
    <row r="2">
      <c r="A2" s="130" t="inlineStr">
        <is>
          <t>len</t>
        </is>
      </c>
      <c r="B2" s="59">
        <f>B1+41</f>
        <v/>
      </c>
      <c r="H2" s="59">
        <f>Calendar!$K$3+0</f>
        <v/>
      </c>
      <c r="I2" s="59">
        <f>Calendar!$K$3+1</f>
        <v/>
      </c>
      <c r="J2" s="59">
        <f>Calendar!$K$3+2</f>
        <v/>
      </c>
      <c r="K2" s="59">
        <f>Calendar!$K$3+3</f>
        <v/>
      </c>
      <c r="L2" s="59">
        <f>Calendar!$K$3+4</f>
        <v/>
      </c>
      <c r="M2" s="59">
        <f>Calendar!$K$3+5</f>
        <v/>
      </c>
      <c r="N2" s="59">
        <f>Calendar!$K$3+6</f>
        <v/>
      </c>
      <c r="O2" s="59">
        <f>Calendar!$K$3+7</f>
        <v/>
      </c>
      <c r="P2" s="59">
        <f>Calendar!$K$3+8</f>
        <v/>
      </c>
      <c r="Q2" s="59">
        <f>Calendar!$K$3+9</f>
        <v/>
      </c>
      <c r="R2" s="59">
        <f>Calendar!$K$3+10</f>
        <v/>
      </c>
      <c r="S2" s="59">
        <f>Calendar!$K$3+11</f>
        <v/>
      </c>
      <c r="T2" s="59">
        <f>Calendar!$K$3+12</f>
        <v/>
      </c>
      <c r="U2" s="59">
        <f>Calendar!$K$3+13</f>
        <v/>
      </c>
      <c r="V2" s="59">
        <f>Calendar!$K$3+14</f>
        <v/>
      </c>
      <c r="W2" s="59">
        <f>Calendar!$K$3+15</f>
        <v/>
      </c>
      <c r="X2" s="59">
        <f>Calendar!$K$3+16</f>
        <v/>
      </c>
      <c r="Y2" s="59">
        <f>Calendar!$K$3+17</f>
        <v/>
      </c>
      <c r="Z2" s="59">
        <f>Calendar!$K$3+18</f>
        <v/>
      </c>
      <c r="AA2" s="59">
        <f>Calendar!$K$3+19</f>
        <v/>
      </c>
      <c r="AB2" s="59">
        <f>Calendar!$K$3+20</f>
        <v/>
      </c>
      <c r="AC2" s="59">
        <f>Calendar!$K$3+21</f>
        <v/>
      </c>
      <c r="AD2" s="59">
        <f>Calendar!$K$3+22</f>
        <v/>
      </c>
      <c r="AE2" s="59">
        <f>Calendar!$K$3+23</f>
        <v/>
      </c>
      <c r="AF2" s="59">
        <f>Calendar!$K$3+24</f>
        <v/>
      </c>
      <c r="AG2" s="59">
        <f>Calendar!$K$3+25</f>
        <v/>
      </c>
      <c r="AH2" s="59">
        <f>Calendar!$K$3+26</f>
        <v/>
      </c>
      <c r="AI2" s="59">
        <f>Calendar!$K$3+27</f>
        <v/>
      </c>
      <c r="AJ2" s="59">
        <f>Calendar!$K$3+28</f>
        <v/>
      </c>
      <c r="AK2" s="59">
        <f>Calendar!$K$3+29</f>
        <v/>
      </c>
      <c r="AL2" s="59">
        <f>Calendar!$K$3+30</f>
        <v/>
      </c>
      <c r="AM2" s="59">
        <f>Calendar!$K$3+31</f>
        <v/>
      </c>
      <c r="AN2" s="59">
        <f>Calendar!$K$3+32</f>
        <v/>
      </c>
      <c r="AO2" s="59">
        <f>Calendar!$K$3+33</f>
        <v/>
      </c>
      <c r="AP2" s="59">
        <f>Calendar!$K$3+34</f>
        <v/>
      </c>
      <c r="AQ2" s="59">
        <f>Calendar!$K$3+35</f>
        <v/>
      </c>
      <c r="AR2" s="59">
        <f>Calendar!$K$3+36</f>
        <v/>
      </c>
      <c r="AS2" s="59">
        <f>Calendar!$K$3+37</f>
        <v/>
      </c>
      <c r="AT2" s="59">
        <f>Calendar!$K$3+38</f>
        <v/>
      </c>
      <c r="AU2" s="59">
        <f>Calendar!$K$3+39</f>
        <v/>
      </c>
      <c r="AV2" s="59">
        <f>Calendar!$K$3+40</f>
        <v/>
      </c>
      <c r="AW2" s="59">
        <f>Calendar!$K$3+41</f>
        <v/>
      </c>
    </row>
    <row r="3">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c r="AK3" t="n">
        <v>0</v>
      </c>
      <c r="AL3" t="n">
        <v>0</v>
      </c>
      <c r="AM3" t="n">
        <v>0</v>
      </c>
      <c r="AN3" t="n">
        <v>0</v>
      </c>
      <c r="AO3" t="n">
        <v>0</v>
      </c>
      <c r="AP3" t="n">
        <v>0</v>
      </c>
      <c r="AQ3" t="n">
        <v>0</v>
      </c>
      <c r="AR3" t="n">
        <v>0</v>
      </c>
      <c r="AS3" t="n">
        <v>0</v>
      </c>
      <c r="AT3" t="n">
        <v>0</v>
      </c>
      <c r="AU3" t="n">
        <v>0</v>
      </c>
      <c r="AV3" t="n">
        <v>0</v>
      </c>
      <c r="AW3" t="n">
        <v>0</v>
      </c>
    </row>
    <row r="4">
      <c r="A4">
        <f>IF(AND(ISNUMBER(Events!$A6),ISNUMBER(Events!$B6)),MAX(0,Events!$B6-Events!$A6),0)</f>
        <v/>
      </c>
      <c r="B4">
        <f>IF(ISNUMBER(Events!$A6),DATE(YEAR($B$1)-1,MONTH(Events!$A6),DAY(Events!$A6)),"")</f>
        <v/>
      </c>
      <c r="C4">
        <f>IF(ISNUMBER(Events!$A6),DATE(YEAR($B$1),MONTH(Events!$A6),DAY(Events!$A6)),"")</f>
        <v/>
      </c>
      <c r="D4">
        <f>IF(ISNUMBER(Events!$A6),DATE(YEAR($B$2),MONTH(Events!$A6),DAY(Events!$A6)),"")</f>
        <v/>
      </c>
      <c r="E4">
        <f>IF(OR(NOT(ISNUMBER(Events!$A6)),Events!$G6="No",Calendar!$H$4="None"),"",IF(OR(Calendar!$H$4="All events",Events!$D6=Calendar!$H$4),IF(Events!$E6="Yes",IF(AND(B4&gt;=Events!$A6,B4&lt;=$B$2,B4+$A4&gt;=$B$1),B4,IF(AND(C4&gt;=Events!$A6,C4&lt;=$B$2,C4+$A4&gt;=$B$1),C4,IF(AND(D4&gt;=Events!$A6,D4&lt;=$B$2,D4+$A4&gt;=$B$1),D4,""))),IF(AND(Events!$A6&lt;=$B$2,Events!$A6+$A4&gt;=$B$1),Events!$A6,"")),""))</f>
        <v/>
      </c>
      <c r="F4">
        <f>IF(E4="","",E4+A4)</f>
        <v/>
      </c>
      <c r="G4">
        <f>IF(E4="","",IF(AND(E4&lt;=EOMONTH(Calendar!$K$2,0),F4&gt;=Calendar!$K$2),E4+1/100000,""))</f>
        <v/>
      </c>
      <c r="H4">
        <f>H3+IF(AND($E4&lt;&gt;"",$E4&lt;=H$2,$F4&gt;=H$2),1,0)</f>
        <v/>
      </c>
      <c r="I4">
        <f>I3+IF(AND($E4&lt;&gt;"",$E4&lt;=I$2,$F4&gt;=I$2),1,0)</f>
        <v/>
      </c>
      <c r="J4">
        <f>J3+IF(AND($E4&lt;&gt;"",$E4&lt;=J$2,$F4&gt;=J$2),1,0)</f>
        <v/>
      </c>
      <c r="K4">
        <f>K3+IF(AND($E4&lt;&gt;"",$E4&lt;=K$2,$F4&gt;=K$2),1,0)</f>
        <v/>
      </c>
      <c r="L4">
        <f>L3+IF(AND($E4&lt;&gt;"",$E4&lt;=L$2,$F4&gt;=L$2),1,0)</f>
        <v/>
      </c>
      <c r="M4">
        <f>M3+IF(AND($E4&lt;&gt;"",$E4&lt;=M$2,$F4&gt;=M$2),1,0)</f>
        <v/>
      </c>
      <c r="N4">
        <f>N3+IF(AND($E4&lt;&gt;"",$E4&lt;=N$2,$F4&gt;=N$2),1,0)</f>
        <v/>
      </c>
      <c r="O4">
        <f>O3+IF(AND($E4&lt;&gt;"",$E4&lt;=O$2,$F4&gt;=O$2),1,0)</f>
        <v/>
      </c>
      <c r="P4">
        <f>P3+IF(AND($E4&lt;&gt;"",$E4&lt;=P$2,$F4&gt;=P$2),1,0)</f>
        <v/>
      </c>
      <c r="Q4">
        <f>Q3+IF(AND($E4&lt;&gt;"",$E4&lt;=Q$2,$F4&gt;=Q$2),1,0)</f>
        <v/>
      </c>
      <c r="R4">
        <f>R3+IF(AND($E4&lt;&gt;"",$E4&lt;=R$2,$F4&gt;=R$2),1,0)</f>
        <v/>
      </c>
      <c r="S4">
        <f>S3+IF(AND($E4&lt;&gt;"",$E4&lt;=S$2,$F4&gt;=S$2),1,0)</f>
        <v/>
      </c>
      <c r="T4">
        <f>T3+IF(AND($E4&lt;&gt;"",$E4&lt;=T$2,$F4&gt;=T$2),1,0)</f>
        <v/>
      </c>
      <c r="U4">
        <f>U3+IF(AND($E4&lt;&gt;"",$E4&lt;=U$2,$F4&gt;=U$2),1,0)</f>
        <v/>
      </c>
      <c r="V4">
        <f>V3+IF(AND($E4&lt;&gt;"",$E4&lt;=V$2,$F4&gt;=V$2),1,0)</f>
        <v/>
      </c>
      <c r="W4">
        <f>W3+IF(AND($E4&lt;&gt;"",$E4&lt;=W$2,$F4&gt;=W$2),1,0)</f>
        <v/>
      </c>
      <c r="X4">
        <f>X3+IF(AND($E4&lt;&gt;"",$E4&lt;=X$2,$F4&gt;=X$2),1,0)</f>
        <v/>
      </c>
      <c r="Y4">
        <f>Y3+IF(AND($E4&lt;&gt;"",$E4&lt;=Y$2,$F4&gt;=Y$2),1,0)</f>
        <v/>
      </c>
      <c r="Z4">
        <f>Z3+IF(AND($E4&lt;&gt;"",$E4&lt;=Z$2,$F4&gt;=Z$2),1,0)</f>
        <v/>
      </c>
      <c r="AA4">
        <f>AA3+IF(AND($E4&lt;&gt;"",$E4&lt;=AA$2,$F4&gt;=AA$2),1,0)</f>
        <v/>
      </c>
      <c r="AB4">
        <f>AB3+IF(AND($E4&lt;&gt;"",$E4&lt;=AB$2,$F4&gt;=AB$2),1,0)</f>
        <v/>
      </c>
      <c r="AC4">
        <f>AC3+IF(AND($E4&lt;&gt;"",$E4&lt;=AC$2,$F4&gt;=AC$2),1,0)</f>
        <v/>
      </c>
      <c r="AD4">
        <f>AD3+IF(AND($E4&lt;&gt;"",$E4&lt;=AD$2,$F4&gt;=AD$2),1,0)</f>
        <v/>
      </c>
      <c r="AE4">
        <f>AE3+IF(AND($E4&lt;&gt;"",$E4&lt;=AE$2,$F4&gt;=AE$2),1,0)</f>
        <v/>
      </c>
      <c r="AF4">
        <f>AF3+IF(AND($E4&lt;&gt;"",$E4&lt;=AF$2,$F4&gt;=AF$2),1,0)</f>
        <v/>
      </c>
      <c r="AG4">
        <f>AG3+IF(AND($E4&lt;&gt;"",$E4&lt;=AG$2,$F4&gt;=AG$2),1,0)</f>
        <v/>
      </c>
      <c r="AH4">
        <f>AH3+IF(AND($E4&lt;&gt;"",$E4&lt;=AH$2,$F4&gt;=AH$2),1,0)</f>
        <v/>
      </c>
      <c r="AI4">
        <f>AI3+IF(AND($E4&lt;&gt;"",$E4&lt;=AI$2,$F4&gt;=AI$2),1,0)</f>
        <v/>
      </c>
      <c r="AJ4">
        <f>AJ3+IF(AND($E4&lt;&gt;"",$E4&lt;=AJ$2,$F4&gt;=AJ$2),1,0)</f>
        <v/>
      </c>
      <c r="AK4">
        <f>AK3+IF(AND($E4&lt;&gt;"",$E4&lt;=AK$2,$F4&gt;=AK$2),1,0)</f>
        <v/>
      </c>
      <c r="AL4">
        <f>AL3+IF(AND($E4&lt;&gt;"",$E4&lt;=AL$2,$F4&gt;=AL$2),1,0)</f>
        <v/>
      </c>
      <c r="AM4">
        <f>AM3+IF(AND($E4&lt;&gt;"",$E4&lt;=AM$2,$F4&gt;=AM$2),1,0)</f>
        <v/>
      </c>
      <c r="AN4">
        <f>AN3+IF(AND($E4&lt;&gt;"",$E4&lt;=AN$2,$F4&gt;=AN$2),1,0)</f>
        <v/>
      </c>
      <c r="AO4">
        <f>AO3+IF(AND($E4&lt;&gt;"",$E4&lt;=AO$2,$F4&gt;=AO$2),1,0)</f>
        <v/>
      </c>
      <c r="AP4">
        <f>AP3+IF(AND($E4&lt;&gt;"",$E4&lt;=AP$2,$F4&gt;=AP$2),1,0)</f>
        <v/>
      </c>
      <c r="AQ4">
        <f>AQ3+IF(AND($E4&lt;&gt;"",$E4&lt;=AQ$2,$F4&gt;=AQ$2),1,0)</f>
        <v/>
      </c>
      <c r="AR4">
        <f>AR3+IF(AND($E4&lt;&gt;"",$E4&lt;=AR$2,$F4&gt;=AR$2),1,0)</f>
        <v/>
      </c>
      <c r="AS4">
        <f>AS3+IF(AND($E4&lt;&gt;"",$E4&lt;=AS$2,$F4&gt;=AS$2),1,0)</f>
        <v/>
      </c>
      <c r="AT4">
        <f>AT3+IF(AND($E4&lt;&gt;"",$E4&lt;=AT$2,$F4&gt;=AT$2),1,0)</f>
        <v/>
      </c>
      <c r="AU4">
        <f>AU3+IF(AND($E4&lt;&gt;"",$E4&lt;=AU$2,$F4&gt;=AU$2),1,0)</f>
        <v/>
      </c>
      <c r="AV4">
        <f>AV3+IF(AND($E4&lt;&gt;"",$E4&lt;=AV$2,$F4&gt;=AV$2),1,0)</f>
        <v/>
      </c>
      <c r="AW4">
        <f>AW3+IF(AND($E4&lt;&gt;"",$E4&lt;=AW$2,$F4&gt;=AW$2),1,0)</f>
        <v/>
      </c>
    </row>
    <row r="5">
      <c r="A5">
        <f>IF(AND(ISNUMBER(Events!$A7),ISNUMBER(Events!$B7)),MAX(0,Events!$B7-Events!$A7),0)</f>
        <v/>
      </c>
      <c r="B5">
        <f>IF(ISNUMBER(Events!$A7),DATE(YEAR($B$1)-1,MONTH(Events!$A7),DAY(Events!$A7)),"")</f>
        <v/>
      </c>
      <c r="C5">
        <f>IF(ISNUMBER(Events!$A7),DATE(YEAR($B$1),MONTH(Events!$A7),DAY(Events!$A7)),"")</f>
        <v/>
      </c>
      <c r="D5">
        <f>IF(ISNUMBER(Events!$A7),DATE(YEAR($B$2),MONTH(Events!$A7),DAY(Events!$A7)),"")</f>
        <v/>
      </c>
      <c r="E5">
        <f>IF(OR(NOT(ISNUMBER(Events!$A7)),Events!$G7="No",Calendar!$H$4="None"),"",IF(OR(Calendar!$H$4="All events",Events!$D7=Calendar!$H$4),IF(Events!$E7="Yes",IF(AND(B5&gt;=Events!$A7,B5&lt;=$B$2,B5+$A5&gt;=$B$1),B5,IF(AND(C5&gt;=Events!$A7,C5&lt;=$B$2,C5+$A5&gt;=$B$1),C5,IF(AND(D5&gt;=Events!$A7,D5&lt;=$B$2,D5+$A5&gt;=$B$1),D5,""))),IF(AND(Events!$A7&lt;=$B$2,Events!$A7+$A5&gt;=$B$1),Events!$A7,"")),""))</f>
        <v/>
      </c>
      <c r="F5">
        <f>IF(E5="","",E5+A5)</f>
        <v/>
      </c>
      <c r="G5">
        <f>IF(E5="","",IF(AND(E5&lt;=EOMONTH(Calendar!$K$2,0),F5&gt;=Calendar!$K$2),E5+2/100000,""))</f>
        <v/>
      </c>
      <c r="H5">
        <f>H4+IF(AND($E5&lt;&gt;"",$E5&lt;=H$2,$F5&gt;=H$2),1,0)</f>
        <v/>
      </c>
      <c r="I5">
        <f>I4+IF(AND($E5&lt;&gt;"",$E5&lt;=I$2,$F5&gt;=I$2),1,0)</f>
        <v/>
      </c>
      <c r="J5">
        <f>J4+IF(AND($E5&lt;&gt;"",$E5&lt;=J$2,$F5&gt;=J$2),1,0)</f>
        <v/>
      </c>
      <c r="K5">
        <f>K4+IF(AND($E5&lt;&gt;"",$E5&lt;=K$2,$F5&gt;=K$2),1,0)</f>
        <v/>
      </c>
      <c r="L5">
        <f>L4+IF(AND($E5&lt;&gt;"",$E5&lt;=L$2,$F5&gt;=L$2),1,0)</f>
        <v/>
      </c>
      <c r="M5">
        <f>M4+IF(AND($E5&lt;&gt;"",$E5&lt;=M$2,$F5&gt;=M$2),1,0)</f>
        <v/>
      </c>
      <c r="N5">
        <f>N4+IF(AND($E5&lt;&gt;"",$E5&lt;=N$2,$F5&gt;=N$2),1,0)</f>
        <v/>
      </c>
      <c r="O5">
        <f>O4+IF(AND($E5&lt;&gt;"",$E5&lt;=O$2,$F5&gt;=O$2),1,0)</f>
        <v/>
      </c>
      <c r="P5">
        <f>P4+IF(AND($E5&lt;&gt;"",$E5&lt;=P$2,$F5&gt;=P$2),1,0)</f>
        <v/>
      </c>
      <c r="Q5">
        <f>Q4+IF(AND($E5&lt;&gt;"",$E5&lt;=Q$2,$F5&gt;=Q$2),1,0)</f>
        <v/>
      </c>
      <c r="R5">
        <f>R4+IF(AND($E5&lt;&gt;"",$E5&lt;=R$2,$F5&gt;=R$2),1,0)</f>
        <v/>
      </c>
      <c r="S5">
        <f>S4+IF(AND($E5&lt;&gt;"",$E5&lt;=S$2,$F5&gt;=S$2),1,0)</f>
        <v/>
      </c>
      <c r="T5">
        <f>T4+IF(AND($E5&lt;&gt;"",$E5&lt;=T$2,$F5&gt;=T$2),1,0)</f>
        <v/>
      </c>
      <c r="U5">
        <f>U4+IF(AND($E5&lt;&gt;"",$E5&lt;=U$2,$F5&gt;=U$2),1,0)</f>
        <v/>
      </c>
      <c r="V5">
        <f>V4+IF(AND($E5&lt;&gt;"",$E5&lt;=V$2,$F5&gt;=V$2),1,0)</f>
        <v/>
      </c>
      <c r="W5">
        <f>W4+IF(AND($E5&lt;&gt;"",$E5&lt;=W$2,$F5&gt;=W$2),1,0)</f>
        <v/>
      </c>
      <c r="X5">
        <f>X4+IF(AND($E5&lt;&gt;"",$E5&lt;=X$2,$F5&gt;=X$2),1,0)</f>
        <v/>
      </c>
      <c r="Y5">
        <f>Y4+IF(AND($E5&lt;&gt;"",$E5&lt;=Y$2,$F5&gt;=Y$2),1,0)</f>
        <v/>
      </c>
      <c r="Z5">
        <f>Z4+IF(AND($E5&lt;&gt;"",$E5&lt;=Z$2,$F5&gt;=Z$2),1,0)</f>
        <v/>
      </c>
      <c r="AA5">
        <f>AA4+IF(AND($E5&lt;&gt;"",$E5&lt;=AA$2,$F5&gt;=AA$2),1,0)</f>
        <v/>
      </c>
      <c r="AB5">
        <f>AB4+IF(AND($E5&lt;&gt;"",$E5&lt;=AB$2,$F5&gt;=AB$2),1,0)</f>
        <v/>
      </c>
      <c r="AC5">
        <f>AC4+IF(AND($E5&lt;&gt;"",$E5&lt;=AC$2,$F5&gt;=AC$2),1,0)</f>
        <v/>
      </c>
      <c r="AD5">
        <f>AD4+IF(AND($E5&lt;&gt;"",$E5&lt;=AD$2,$F5&gt;=AD$2),1,0)</f>
        <v/>
      </c>
      <c r="AE5">
        <f>AE4+IF(AND($E5&lt;&gt;"",$E5&lt;=AE$2,$F5&gt;=AE$2),1,0)</f>
        <v/>
      </c>
      <c r="AF5">
        <f>AF4+IF(AND($E5&lt;&gt;"",$E5&lt;=AF$2,$F5&gt;=AF$2),1,0)</f>
        <v/>
      </c>
      <c r="AG5">
        <f>AG4+IF(AND($E5&lt;&gt;"",$E5&lt;=AG$2,$F5&gt;=AG$2),1,0)</f>
        <v/>
      </c>
      <c r="AH5">
        <f>AH4+IF(AND($E5&lt;&gt;"",$E5&lt;=AH$2,$F5&gt;=AH$2),1,0)</f>
        <v/>
      </c>
      <c r="AI5">
        <f>AI4+IF(AND($E5&lt;&gt;"",$E5&lt;=AI$2,$F5&gt;=AI$2),1,0)</f>
        <v/>
      </c>
      <c r="AJ5">
        <f>AJ4+IF(AND($E5&lt;&gt;"",$E5&lt;=AJ$2,$F5&gt;=AJ$2),1,0)</f>
        <v/>
      </c>
      <c r="AK5">
        <f>AK4+IF(AND($E5&lt;&gt;"",$E5&lt;=AK$2,$F5&gt;=AK$2),1,0)</f>
        <v/>
      </c>
      <c r="AL5">
        <f>AL4+IF(AND($E5&lt;&gt;"",$E5&lt;=AL$2,$F5&gt;=AL$2),1,0)</f>
        <v/>
      </c>
      <c r="AM5">
        <f>AM4+IF(AND($E5&lt;&gt;"",$E5&lt;=AM$2,$F5&gt;=AM$2),1,0)</f>
        <v/>
      </c>
      <c r="AN5">
        <f>AN4+IF(AND($E5&lt;&gt;"",$E5&lt;=AN$2,$F5&gt;=AN$2),1,0)</f>
        <v/>
      </c>
      <c r="AO5">
        <f>AO4+IF(AND($E5&lt;&gt;"",$E5&lt;=AO$2,$F5&gt;=AO$2),1,0)</f>
        <v/>
      </c>
      <c r="AP5">
        <f>AP4+IF(AND($E5&lt;&gt;"",$E5&lt;=AP$2,$F5&gt;=AP$2),1,0)</f>
        <v/>
      </c>
      <c r="AQ5">
        <f>AQ4+IF(AND($E5&lt;&gt;"",$E5&lt;=AQ$2,$F5&gt;=AQ$2),1,0)</f>
        <v/>
      </c>
      <c r="AR5">
        <f>AR4+IF(AND($E5&lt;&gt;"",$E5&lt;=AR$2,$F5&gt;=AR$2),1,0)</f>
        <v/>
      </c>
      <c r="AS5">
        <f>AS4+IF(AND($E5&lt;&gt;"",$E5&lt;=AS$2,$F5&gt;=AS$2),1,0)</f>
        <v/>
      </c>
      <c r="AT5">
        <f>AT4+IF(AND($E5&lt;&gt;"",$E5&lt;=AT$2,$F5&gt;=AT$2),1,0)</f>
        <v/>
      </c>
      <c r="AU5">
        <f>AU4+IF(AND($E5&lt;&gt;"",$E5&lt;=AU$2,$F5&gt;=AU$2),1,0)</f>
        <v/>
      </c>
      <c r="AV5">
        <f>AV4+IF(AND($E5&lt;&gt;"",$E5&lt;=AV$2,$F5&gt;=AV$2),1,0)</f>
        <v/>
      </c>
      <c r="AW5">
        <f>AW4+IF(AND($E5&lt;&gt;"",$E5&lt;=AW$2,$F5&gt;=AW$2),1,0)</f>
        <v/>
      </c>
    </row>
    <row r="6">
      <c r="A6">
        <f>IF(AND(ISNUMBER(Events!$A8),ISNUMBER(Events!$B8)),MAX(0,Events!$B8-Events!$A8),0)</f>
        <v/>
      </c>
      <c r="B6">
        <f>IF(ISNUMBER(Events!$A8),DATE(YEAR($B$1)-1,MONTH(Events!$A8),DAY(Events!$A8)),"")</f>
        <v/>
      </c>
      <c r="C6">
        <f>IF(ISNUMBER(Events!$A8),DATE(YEAR($B$1),MONTH(Events!$A8),DAY(Events!$A8)),"")</f>
        <v/>
      </c>
      <c r="D6">
        <f>IF(ISNUMBER(Events!$A8),DATE(YEAR($B$2),MONTH(Events!$A8),DAY(Events!$A8)),"")</f>
        <v/>
      </c>
      <c r="E6">
        <f>IF(OR(NOT(ISNUMBER(Events!$A8)),Events!$G8="No",Calendar!$H$4="None"),"",IF(OR(Calendar!$H$4="All events",Events!$D8=Calendar!$H$4),IF(Events!$E8="Yes",IF(AND(B6&gt;=Events!$A8,B6&lt;=$B$2,B6+$A6&gt;=$B$1),B6,IF(AND(C6&gt;=Events!$A8,C6&lt;=$B$2,C6+$A6&gt;=$B$1),C6,IF(AND(D6&gt;=Events!$A8,D6&lt;=$B$2,D6+$A6&gt;=$B$1),D6,""))),IF(AND(Events!$A8&lt;=$B$2,Events!$A8+$A6&gt;=$B$1),Events!$A8,"")),""))</f>
        <v/>
      </c>
      <c r="F6">
        <f>IF(E6="","",E6+A6)</f>
        <v/>
      </c>
      <c r="G6">
        <f>IF(E6="","",IF(AND(E6&lt;=EOMONTH(Calendar!$K$2,0),F6&gt;=Calendar!$K$2),E6+3/100000,""))</f>
        <v/>
      </c>
      <c r="H6">
        <f>H5+IF(AND($E6&lt;&gt;"",$E6&lt;=H$2,$F6&gt;=H$2),1,0)</f>
        <v/>
      </c>
      <c r="I6">
        <f>I5+IF(AND($E6&lt;&gt;"",$E6&lt;=I$2,$F6&gt;=I$2),1,0)</f>
        <v/>
      </c>
      <c r="J6">
        <f>J5+IF(AND($E6&lt;&gt;"",$E6&lt;=J$2,$F6&gt;=J$2),1,0)</f>
        <v/>
      </c>
      <c r="K6">
        <f>K5+IF(AND($E6&lt;&gt;"",$E6&lt;=K$2,$F6&gt;=K$2),1,0)</f>
        <v/>
      </c>
      <c r="L6">
        <f>L5+IF(AND($E6&lt;&gt;"",$E6&lt;=L$2,$F6&gt;=L$2),1,0)</f>
        <v/>
      </c>
      <c r="M6">
        <f>M5+IF(AND($E6&lt;&gt;"",$E6&lt;=M$2,$F6&gt;=M$2),1,0)</f>
        <v/>
      </c>
      <c r="N6">
        <f>N5+IF(AND($E6&lt;&gt;"",$E6&lt;=N$2,$F6&gt;=N$2),1,0)</f>
        <v/>
      </c>
      <c r="O6">
        <f>O5+IF(AND($E6&lt;&gt;"",$E6&lt;=O$2,$F6&gt;=O$2),1,0)</f>
        <v/>
      </c>
      <c r="P6">
        <f>P5+IF(AND($E6&lt;&gt;"",$E6&lt;=P$2,$F6&gt;=P$2),1,0)</f>
        <v/>
      </c>
      <c r="Q6">
        <f>Q5+IF(AND($E6&lt;&gt;"",$E6&lt;=Q$2,$F6&gt;=Q$2),1,0)</f>
        <v/>
      </c>
      <c r="R6">
        <f>R5+IF(AND($E6&lt;&gt;"",$E6&lt;=R$2,$F6&gt;=R$2),1,0)</f>
        <v/>
      </c>
      <c r="S6">
        <f>S5+IF(AND($E6&lt;&gt;"",$E6&lt;=S$2,$F6&gt;=S$2),1,0)</f>
        <v/>
      </c>
      <c r="T6">
        <f>T5+IF(AND($E6&lt;&gt;"",$E6&lt;=T$2,$F6&gt;=T$2),1,0)</f>
        <v/>
      </c>
      <c r="U6">
        <f>U5+IF(AND($E6&lt;&gt;"",$E6&lt;=U$2,$F6&gt;=U$2),1,0)</f>
        <v/>
      </c>
      <c r="V6">
        <f>V5+IF(AND($E6&lt;&gt;"",$E6&lt;=V$2,$F6&gt;=V$2),1,0)</f>
        <v/>
      </c>
      <c r="W6">
        <f>W5+IF(AND($E6&lt;&gt;"",$E6&lt;=W$2,$F6&gt;=W$2),1,0)</f>
        <v/>
      </c>
      <c r="X6">
        <f>X5+IF(AND($E6&lt;&gt;"",$E6&lt;=X$2,$F6&gt;=X$2),1,0)</f>
        <v/>
      </c>
      <c r="Y6">
        <f>Y5+IF(AND($E6&lt;&gt;"",$E6&lt;=Y$2,$F6&gt;=Y$2),1,0)</f>
        <v/>
      </c>
      <c r="Z6">
        <f>Z5+IF(AND($E6&lt;&gt;"",$E6&lt;=Z$2,$F6&gt;=Z$2),1,0)</f>
        <v/>
      </c>
      <c r="AA6">
        <f>AA5+IF(AND($E6&lt;&gt;"",$E6&lt;=AA$2,$F6&gt;=AA$2),1,0)</f>
        <v/>
      </c>
      <c r="AB6">
        <f>AB5+IF(AND($E6&lt;&gt;"",$E6&lt;=AB$2,$F6&gt;=AB$2),1,0)</f>
        <v/>
      </c>
      <c r="AC6">
        <f>AC5+IF(AND($E6&lt;&gt;"",$E6&lt;=AC$2,$F6&gt;=AC$2),1,0)</f>
        <v/>
      </c>
      <c r="AD6">
        <f>AD5+IF(AND($E6&lt;&gt;"",$E6&lt;=AD$2,$F6&gt;=AD$2),1,0)</f>
        <v/>
      </c>
      <c r="AE6">
        <f>AE5+IF(AND($E6&lt;&gt;"",$E6&lt;=AE$2,$F6&gt;=AE$2),1,0)</f>
        <v/>
      </c>
      <c r="AF6">
        <f>AF5+IF(AND($E6&lt;&gt;"",$E6&lt;=AF$2,$F6&gt;=AF$2),1,0)</f>
        <v/>
      </c>
      <c r="AG6">
        <f>AG5+IF(AND($E6&lt;&gt;"",$E6&lt;=AG$2,$F6&gt;=AG$2),1,0)</f>
        <v/>
      </c>
      <c r="AH6">
        <f>AH5+IF(AND($E6&lt;&gt;"",$E6&lt;=AH$2,$F6&gt;=AH$2),1,0)</f>
        <v/>
      </c>
      <c r="AI6">
        <f>AI5+IF(AND($E6&lt;&gt;"",$E6&lt;=AI$2,$F6&gt;=AI$2),1,0)</f>
        <v/>
      </c>
      <c r="AJ6">
        <f>AJ5+IF(AND($E6&lt;&gt;"",$E6&lt;=AJ$2,$F6&gt;=AJ$2),1,0)</f>
        <v/>
      </c>
      <c r="AK6">
        <f>AK5+IF(AND($E6&lt;&gt;"",$E6&lt;=AK$2,$F6&gt;=AK$2),1,0)</f>
        <v/>
      </c>
      <c r="AL6">
        <f>AL5+IF(AND($E6&lt;&gt;"",$E6&lt;=AL$2,$F6&gt;=AL$2),1,0)</f>
        <v/>
      </c>
      <c r="AM6">
        <f>AM5+IF(AND($E6&lt;&gt;"",$E6&lt;=AM$2,$F6&gt;=AM$2),1,0)</f>
        <v/>
      </c>
      <c r="AN6">
        <f>AN5+IF(AND($E6&lt;&gt;"",$E6&lt;=AN$2,$F6&gt;=AN$2),1,0)</f>
        <v/>
      </c>
      <c r="AO6">
        <f>AO5+IF(AND($E6&lt;&gt;"",$E6&lt;=AO$2,$F6&gt;=AO$2),1,0)</f>
        <v/>
      </c>
      <c r="AP6">
        <f>AP5+IF(AND($E6&lt;&gt;"",$E6&lt;=AP$2,$F6&gt;=AP$2),1,0)</f>
        <v/>
      </c>
      <c r="AQ6">
        <f>AQ5+IF(AND($E6&lt;&gt;"",$E6&lt;=AQ$2,$F6&gt;=AQ$2),1,0)</f>
        <v/>
      </c>
      <c r="AR6">
        <f>AR5+IF(AND($E6&lt;&gt;"",$E6&lt;=AR$2,$F6&gt;=AR$2),1,0)</f>
        <v/>
      </c>
      <c r="AS6">
        <f>AS5+IF(AND($E6&lt;&gt;"",$E6&lt;=AS$2,$F6&gt;=AS$2),1,0)</f>
        <v/>
      </c>
      <c r="AT6">
        <f>AT5+IF(AND($E6&lt;&gt;"",$E6&lt;=AT$2,$F6&gt;=AT$2),1,0)</f>
        <v/>
      </c>
      <c r="AU6">
        <f>AU5+IF(AND($E6&lt;&gt;"",$E6&lt;=AU$2,$F6&gt;=AU$2),1,0)</f>
        <v/>
      </c>
      <c r="AV6">
        <f>AV5+IF(AND($E6&lt;&gt;"",$E6&lt;=AV$2,$F6&gt;=AV$2),1,0)</f>
        <v/>
      </c>
      <c r="AW6">
        <f>AW5+IF(AND($E6&lt;&gt;"",$E6&lt;=AW$2,$F6&gt;=AW$2),1,0)</f>
        <v/>
      </c>
    </row>
    <row r="7">
      <c r="A7">
        <f>IF(AND(ISNUMBER(Events!$A9),ISNUMBER(Events!$B9)),MAX(0,Events!$B9-Events!$A9),0)</f>
        <v/>
      </c>
      <c r="B7">
        <f>IF(ISNUMBER(Events!$A9),DATE(YEAR($B$1)-1,MONTH(Events!$A9),DAY(Events!$A9)),"")</f>
        <v/>
      </c>
      <c r="C7">
        <f>IF(ISNUMBER(Events!$A9),DATE(YEAR($B$1),MONTH(Events!$A9),DAY(Events!$A9)),"")</f>
        <v/>
      </c>
      <c r="D7">
        <f>IF(ISNUMBER(Events!$A9),DATE(YEAR($B$2),MONTH(Events!$A9),DAY(Events!$A9)),"")</f>
        <v/>
      </c>
      <c r="E7">
        <f>IF(OR(NOT(ISNUMBER(Events!$A9)),Events!$G9="No",Calendar!$H$4="None"),"",IF(OR(Calendar!$H$4="All events",Events!$D9=Calendar!$H$4),IF(Events!$E9="Yes",IF(AND(B7&gt;=Events!$A9,B7&lt;=$B$2,B7+$A7&gt;=$B$1),B7,IF(AND(C7&gt;=Events!$A9,C7&lt;=$B$2,C7+$A7&gt;=$B$1),C7,IF(AND(D7&gt;=Events!$A9,D7&lt;=$B$2,D7+$A7&gt;=$B$1),D7,""))),IF(AND(Events!$A9&lt;=$B$2,Events!$A9+$A7&gt;=$B$1),Events!$A9,"")),""))</f>
        <v/>
      </c>
      <c r="F7">
        <f>IF(E7="","",E7+A7)</f>
        <v/>
      </c>
      <c r="G7">
        <f>IF(E7="","",IF(AND(E7&lt;=EOMONTH(Calendar!$K$2,0),F7&gt;=Calendar!$K$2),E7+4/100000,""))</f>
        <v/>
      </c>
      <c r="H7">
        <f>H6+IF(AND($E7&lt;&gt;"",$E7&lt;=H$2,$F7&gt;=H$2),1,0)</f>
        <v/>
      </c>
      <c r="I7">
        <f>I6+IF(AND($E7&lt;&gt;"",$E7&lt;=I$2,$F7&gt;=I$2),1,0)</f>
        <v/>
      </c>
      <c r="J7">
        <f>J6+IF(AND($E7&lt;&gt;"",$E7&lt;=J$2,$F7&gt;=J$2),1,0)</f>
        <v/>
      </c>
      <c r="K7">
        <f>K6+IF(AND($E7&lt;&gt;"",$E7&lt;=K$2,$F7&gt;=K$2),1,0)</f>
        <v/>
      </c>
      <c r="L7">
        <f>L6+IF(AND($E7&lt;&gt;"",$E7&lt;=L$2,$F7&gt;=L$2),1,0)</f>
        <v/>
      </c>
      <c r="M7">
        <f>M6+IF(AND($E7&lt;&gt;"",$E7&lt;=M$2,$F7&gt;=M$2),1,0)</f>
        <v/>
      </c>
      <c r="N7">
        <f>N6+IF(AND($E7&lt;&gt;"",$E7&lt;=N$2,$F7&gt;=N$2),1,0)</f>
        <v/>
      </c>
      <c r="O7">
        <f>O6+IF(AND($E7&lt;&gt;"",$E7&lt;=O$2,$F7&gt;=O$2),1,0)</f>
        <v/>
      </c>
      <c r="P7">
        <f>P6+IF(AND($E7&lt;&gt;"",$E7&lt;=P$2,$F7&gt;=P$2),1,0)</f>
        <v/>
      </c>
      <c r="Q7">
        <f>Q6+IF(AND($E7&lt;&gt;"",$E7&lt;=Q$2,$F7&gt;=Q$2),1,0)</f>
        <v/>
      </c>
      <c r="R7">
        <f>R6+IF(AND($E7&lt;&gt;"",$E7&lt;=R$2,$F7&gt;=R$2),1,0)</f>
        <v/>
      </c>
      <c r="S7">
        <f>S6+IF(AND($E7&lt;&gt;"",$E7&lt;=S$2,$F7&gt;=S$2),1,0)</f>
        <v/>
      </c>
      <c r="T7">
        <f>T6+IF(AND($E7&lt;&gt;"",$E7&lt;=T$2,$F7&gt;=T$2),1,0)</f>
        <v/>
      </c>
      <c r="U7">
        <f>U6+IF(AND($E7&lt;&gt;"",$E7&lt;=U$2,$F7&gt;=U$2),1,0)</f>
        <v/>
      </c>
      <c r="V7">
        <f>V6+IF(AND($E7&lt;&gt;"",$E7&lt;=V$2,$F7&gt;=V$2),1,0)</f>
        <v/>
      </c>
      <c r="W7">
        <f>W6+IF(AND($E7&lt;&gt;"",$E7&lt;=W$2,$F7&gt;=W$2),1,0)</f>
        <v/>
      </c>
      <c r="X7">
        <f>X6+IF(AND($E7&lt;&gt;"",$E7&lt;=X$2,$F7&gt;=X$2),1,0)</f>
        <v/>
      </c>
      <c r="Y7">
        <f>Y6+IF(AND($E7&lt;&gt;"",$E7&lt;=Y$2,$F7&gt;=Y$2),1,0)</f>
        <v/>
      </c>
      <c r="Z7">
        <f>Z6+IF(AND($E7&lt;&gt;"",$E7&lt;=Z$2,$F7&gt;=Z$2),1,0)</f>
        <v/>
      </c>
      <c r="AA7">
        <f>AA6+IF(AND($E7&lt;&gt;"",$E7&lt;=AA$2,$F7&gt;=AA$2),1,0)</f>
        <v/>
      </c>
      <c r="AB7">
        <f>AB6+IF(AND($E7&lt;&gt;"",$E7&lt;=AB$2,$F7&gt;=AB$2),1,0)</f>
        <v/>
      </c>
      <c r="AC7">
        <f>AC6+IF(AND($E7&lt;&gt;"",$E7&lt;=AC$2,$F7&gt;=AC$2),1,0)</f>
        <v/>
      </c>
      <c r="AD7">
        <f>AD6+IF(AND($E7&lt;&gt;"",$E7&lt;=AD$2,$F7&gt;=AD$2),1,0)</f>
        <v/>
      </c>
      <c r="AE7">
        <f>AE6+IF(AND($E7&lt;&gt;"",$E7&lt;=AE$2,$F7&gt;=AE$2),1,0)</f>
        <v/>
      </c>
      <c r="AF7">
        <f>AF6+IF(AND($E7&lt;&gt;"",$E7&lt;=AF$2,$F7&gt;=AF$2),1,0)</f>
        <v/>
      </c>
      <c r="AG7">
        <f>AG6+IF(AND($E7&lt;&gt;"",$E7&lt;=AG$2,$F7&gt;=AG$2),1,0)</f>
        <v/>
      </c>
      <c r="AH7">
        <f>AH6+IF(AND($E7&lt;&gt;"",$E7&lt;=AH$2,$F7&gt;=AH$2),1,0)</f>
        <v/>
      </c>
      <c r="AI7">
        <f>AI6+IF(AND($E7&lt;&gt;"",$E7&lt;=AI$2,$F7&gt;=AI$2),1,0)</f>
        <v/>
      </c>
      <c r="AJ7">
        <f>AJ6+IF(AND($E7&lt;&gt;"",$E7&lt;=AJ$2,$F7&gt;=AJ$2),1,0)</f>
        <v/>
      </c>
      <c r="AK7">
        <f>AK6+IF(AND($E7&lt;&gt;"",$E7&lt;=AK$2,$F7&gt;=AK$2),1,0)</f>
        <v/>
      </c>
      <c r="AL7">
        <f>AL6+IF(AND($E7&lt;&gt;"",$E7&lt;=AL$2,$F7&gt;=AL$2),1,0)</f>
        <v/>
      </c>
      <c r="AM7">
        <f>AM6+IF(AND($E7&lt;&gt;"",$E7&lt;=AM$2,$F7&gt;=AM$2),1,0)</f>
        <v/>
      </c>
      <c r="AN7">
        <f>AN6+IF(AND($E7&lt;&gt;"",$E7&lt;=AN$2,$F7&gt;=AN$2),1,0)</f>
        <v/>
      </c>
      <c r="AO7">
        <f>AO6+IF(AND($E7&lt;&gt;"",$E7&lt;=AO$2,$F7&gt;=AO$2),1,0)</f>
        <v/>
      </c>
      <c r="AP7">
        <f>AP6+IF(AND($E7&lt;&gt;"",$E7&lt;=AP$2,$F7&gt;=AP$2),1,0)</f>
        <v/>
      </c>
      <c r="AQ7">
        <f>AQ6+IF(AND($E7&lt;&gt;"",$E7&lt;=AQ$2,$F7&gt;=AQ$2),1,0)</f>
        <v/>
      </c>
      <c r="AR7">
        <f>AR6+IF(AND($E7&lt;&gt;"",$E7&lt;=AR$2,$F7&gt;=AR$2),1,0)</f>
        <v/>
      </c>
      <c r="AS7">
        <f>AS6+IF(AND($E7&lt;&gt;"",$E7&lt;=AS$2,$F7&gt;=AS$2),1,0)</f>
        <v/>
      </c>
      <c r="AT7">
        <f>AT6+IF(AND($E7&lt;&gt;"",$E7&lt;=AT$2,$F7&gt;=AT$2),1,0)</f>
        <v/>
      </c>
      <c r="AU7">
        <f>AU6+IF(AND($E7&lt;&gt;"",$E7&lt;=AU$2,$F7&gt;=AU$2),1,0)</f>
        <v/>
      </c>
      <c r="AV7">
        <f>AV6+IF(AND($E7&lt;&gt;"",$E7&lt;=AV$2,$F7&gt;=AV$2),1,0)</f>
        <v/>
      </c>
      <c r="AW7">
        <f>AW6+IF(AND($E7&lt;&gt;"",$E7&lt;=AW$2,$F7&gt;=AW$2),1,0)</f>
        <v/>
      </c>
    </row>
    <row r="8">
      <c r="A8">
        <f>IF(AND(ISNUMBER(Events!$A10),ISNUMBER(Events!$B10)),MAX(0,Events!$B10-Events!$A10),0)</f>
        <v/>
      </c>
      <c r="B8">
        <f>IF(ISNUMBER(Events!$A10),DATE(YEAR($B$1)-1,MONTH(Events!$A10),DAY(Events!$A10)),"")</f>
        <v/>
      </c>
      <c r="C8">
        <f>IF(ISNUMBER(Events!$A10),DATE(YEAR($B$1),MONTH(Events!$A10),DAY(Events!$A10)),"")</f>
        <v/>
      </c>
      <c r="D8">
        <f>IF(ISNUMBER(Events!$A10),DATE(YEAR($B$2),MONTH(Events!$A10),DAY(Events!$A10)),"")</f>
        <v/>
      </c>
      <c r="E8">
        <f>IF(OR(NOT(ISNUMBER(Events!$A10)),Events!$G10="No",Calendar!$H$4="None"),"",IF(OR(Calendar!$H$4="All events",Events!$D10=Calendar!$H$4),IF(Events!$E10="Yes",IF(AND(B8&gt;=Events!$A10,B8&lt;=$B$2,B8+$A8&gt;=$B$1),B8,IF(AND(C8&gt;=Events!$A10,C8&lt;=$B$2,C8+$A8&gt;=$B$1),C8,IF(AND(D8&gt;=Events!$A10,D8&lt;=$B$2,D8+$A8&gt;=$B$1),D8,""))),IF(AND(Events!$A10&lt;=$B$2,Events!$A10+$A8&gt;=$B$1),Events!$A10,"")),""))</f>
        <v/>
      </c>
      <c r="F8">
        <f>IF(E8="","",E8+A8)</f>
        <v/>
      </c>
      <c r="G8">
        <f>IF(E8="","",IF(AND(E8&lt;=EOMONTH(Calendar!$K$2,0),F8&gt;=Calendar!$K$2),E8+5/100000,""))</f>
        <v/>
      </c>
      <c r="H8">
        <f>H7+IF(AND($E8&lt;&gt;"",$E8&lt;=H$2,$F8&gt;=H$2),1,0)</f>
        <v/>
      </c>
      <c r="I8">
        <f>I7+IF(AND($E8&lt;&gt;"",$E8&lt;=I$2,$F8&gt;=I$2),1,0)</f>
        <v/>
      </c>
      <c r="J8">
        <f>J7+IF(AND($E8&lt;&gt;"",$E8&lt;=J$2,$F8&gt;=J$2),1,0)</f>
        <v/>
      </c>
      <c r="K8">
        <f>K7+IF(AND($E8&lt;&gt;"",$E8&lt;=K$2,$F8&gt;=K$2),1,0)</f>
        <v/>
      </c>
      <c r="L8">
        <f>L7+IF(AND($E8&lt;&gt;"",$E8&lt;=L$2,$F8&gt;=L$2),1,0)</f>
        <v/>
      </c>
      <c r="M8">
        <f>M7+IF(AND($E8&lt;&gt;"",$E8&lt;=M$2,$F8&gt;=M$2),1,0)</f>
        <v/>
      </c>
      <c r="N8">
        <f>N7+IF(AND($E8&lt;&gt;"",$E8&lt;=N$2,$F8&gt;=N$2),1,0)</f>
        <v/>
      </c>
      <c r="O8">
        <f>O7+IF(AND($E8&lt;&gt;"",$E8&lt;=O$2,$F8&gt;=O$2),1,0)</f>
        <v/>
      </c>
      <c r="P8">
        <f>P7+IF(AND($E8&lt;&gt;"",$E8&lt;=P$2,$F8&gt;=P$2),1,0)</f>
        <v/>
      </c>
      <c r="Q8">
        <f>Q7+IF(AND($E8&lt;&gt;"",$E8&lt;=Q$2,$F8&gt;=Q$2),1,0)</f>
        <v/>
      </c>
      <c r="R8">
        <f>R7+IF(AND($E8&lt;&gt;"",$E8&lt;=R$2,$F8&gt;=R$2),1,0)</f>
        <v/>
      </c>
      <c r="S8">
        <f>S7+IF(AND($E8&lt;&gt;"",$E8&lt;=S$2,$F8&gt;=S$2),1,0)</f>
        <v/>
      </c>
      <c r="T8">
        <f>T7+IF(AND($E8&lt;&gt;"",$E8&lt;=T$2,$F8&gt;=T$2),1,0)</f>
        <v/>
      </c>
      <c r="U8">
        <f>U7+IF(AND($E8&lt;&gt;"",$E8&lt;=U$2,$F8&gt;=U$2),1,0)</f>
        <v/>
      </c>
      <c r="V8">
        <f>V7+IF(AND($E8&lt;&gt;"",$E8&lt;=V$2,$F8&gt;=V$2),1,0)</f>
        <v/>
      </c>
      <c r="W8">
        <f>W7+IF(AND($E8&lt;&gt;"",$E8&lt;=W$2,$F8&gt;=W$2),1,0)</f>
        <v/>
      </c>
      <c r="X8">
        <f>X7+IF(AND($E8&lt;&gt;"",$E8&lt;=X$2,$F8&gt;=X$2),1,0)</f>
        <v/>
      </c>
      <c r="Y8">
        <f>Y7+IF(AND($E8&lt;&gt;"",$E8&lt;=Y$2,$F8&gt;=Y$2),1,0)</f>
        <v/>
      </c>
      <c r="Z8">
        <f>Z7+IF(AND($E8&lt;&gt;"",$E8&lt;=Z$2,$F8&gt;=Z$2),1,0)</f>
        <v/>
      </c>
      <c r="AA8">
        <f>AA7+IF(AND($E8&lt;&gt;"",$E8&lt;=AA$2,$F8&gt;=AA$2),1,0)</f>
        <v/>
      </c>
      <c r="AB8">
        <f>AB7+IF(AND($E8&lt;&gt;"",$E8&lt;=AB$2,$F8&gt;=AB$2),1,0)</f>
        <v/>
      </c>
      <c r="AC8">
        <f>AC7+IF(AND($E8&lt;&gt;"",$E8&lt;=AC$2,$F8&gt;=AC$2),1,0)</f>
        <v/>
      </c>
      <c r="AD8">
        <f>AD7+IF(AND($E8&lt;&gt;"",$E8&lt;=AD$2,$F8&gt;=AD$2),1,0)</f>
        <v/>
      </c>
      <c r="AE8">
        <f>AE7+IF(AND($E8&lt;&gt;"",$E8&lt;=AE$2,$F8&gt;=AE$2),1,0)</f>
        <v/>
      </c>
      <c r="AF8">
        <f>AF7+IF(AND($E8&lt;&gt;"",$E8&lt;=AF$2,$F8&gt;=AF$2),1,0)</f>
        <v/>
      </c>
      <c r="AG8">
        <f>AG7+IF(AND($E8&lt;&gt;"",$E8&lt;=AG$2,$F8&gt;=AG$2),1,0)</f>
        <v/>
      </c>
      <c r="AH8">
        <f>AH7+IF(AND($E8&lt;&gt;"",$E8&lt;=AH$2,$F8&gt;=AH$2),1,0)</f>
        <v/>
      </c>
      <c r="AI8">
        <f>AI7+IF(AND($E8&lt;&gt;"",$E8&lt;=AI$2,$F8&gt;=AI$2),1,0)</f>
        <v/>
      </c>
      <c r="AJ8">
        <f>AJ7+IF(AND($E8&lt;&gt;"",$E8&lt;=AJ$2,$F8&gt;=AJ$2),1,0)</f>
        <v/>
      </c>
      <c r="AK8">
        <f>AK7+IF(AND($E8&lt;&gt;"",$E8&lt;=AK$2,$F8&gt;=AK$2),1,0)</f>
        <v/>
      </c>
      <c r="AL8">
        <f>AL7+IF(AND($E8&lt;&gt;"",$E8&lt;=AL$2,$F8&gt;=AL$2),1,0)</f>
        <v/>
      </c>
      <c r="AM8">
        <f>AM7+IF(AND($E8&lt;&gt;"",$E8&lt;=AM$2,$F8&gt;=AM$2),1,0)</f>
        <v/>
      </c>
      <c r="AN8">
        <f>AN7+IF(AND($E8&lt;&gt;"",$E8&lt;=AN$2,$F8&gt;=AN$2),1,0)</f>
        <v/>
      </c>
      <c r="AO8">
        <f>AO7+IF(AND($E8&lt;&gt;"",$E8&lt;=AO$2,$F8&gt;=AO$2),1,0)</f>
        <v/>
      </c>
      <c r="AP8">
        <f>AP7+IF(AND($E8&lt;&gt;"",$E8&lt;=AP$2,$F8&gt;=AP$2),1,0)</f>
        <v/>
      </c>
      <c r="AQ8">
        <f>AQ7+IF(AND($E8&lt;&gt;"",$E8&lt;=AQ$2,$F8&gt;=AQ$2),1,0)</f>
        <v/>
      </c>
      <c r="AR8">
        <f>AR7+IF(AND($E8&lt;&gt;"",$E8&lt;=AR$2,$F8&gt;=AR$2),1,0)</f>
        <v/>
      </c>
      <c r="AS8">
        <f>AS7+IF(AND($E8&lt;&gt;"",$E8&lt;=AS$2,$F8&gt;=AS$2),1,0)</f>
        <v/>
      </c>
      <c r="AT8">
        <f>AT7+IF(AND($E8&lt;&gt;"",$E8&lt;=AT$2,$F8&gt;=AT$2),1,0)</f>
        <v/>
      </c>
      <c r="AU8">
        <f>AU7+IF(AND($E8&lt;&gt;"",$E8&lt;=AU$2,$F8&gt;=AU$2),1,0)</f>
        <v/>
      </c>
      <c r="AV8">
        <f>AV7+IF(AND($E8&lt;&gt;"",$E8&lt;=AV$2,$F8&gt;=AV$2),1,0)</f>
        <v/>
      </c>
      <c r="AW8">
        <f>AW7+IF(AND($E8&lt;&gt;"",$E8&lt;=AW$2,$F8&gt;=AW$2),1,0)</f>
        <v/>
      </c>
    </row>
    <row r="9">
      <c r="A9">
        <f>IF(AND(ISNUMBER(Events!$A11),ISNUMBER(Events!$B11)),MAX(0,Events!$B11-Events!$A11),0)</f>
        <v/>
      </c>
      <c r="B9">
        <f>IF(ISNUMBER(Events!$A11),DATE(YEAR($B$1)-1,MONTH(Events!$A11),DAY(Events!$A11)),"")</f>
        <v/>
      </c>
      <c r="C9">
        <f>IF(ISNUMBER(Events!$A11),DATE(YEAR($B$1),MONTH(Events!$A11),DAY(Events!$A11)),"")</f>
        <v/>
      </c>
      <c r="D9">
        <f>IF(ISNUMBER(Events!$A11),DATE(YEAR($B$2),MONTH(Events!$A11),DAY(Events!$A11)),"")</f>
        <v/>
      </c>
      <c r="E9">
        <f>IF(OR(NOT(ISNUMBER(Events!$A11)),Events!$G11="No",Calendar!$H$4="None"),"",IF(OR(Calendar!$H$4="All events",Events!$D11=Calendar!$H$4),IF(Events!$E11="Yes",IF(AND(B9&gt;=Events!$A11,B9&lt;=$B$2,B9+$A9&gt;=$B$1),B9,IF(AND(C9&gt;=Events!$A11,C9&lt;=$B$2,C9+$A9&gt;=$B$1),C9,IF(AND(D9&gt;=Events!$A11,D9&lt;=$B$2,D9+$A9&gt;=$B$1),D9,""))),IF(AND(Events!$A11&lt;=$B$2,Events!$A11+$A9&gt;=$B$1),Events!$A11,"")),""))</f>
        <v/>
      </c>
      <c r="F9">
        <f>IF(E9="","",E9+A9)</f>
        <v/>
      </c>
      <c r="G9">
        <f>IF(E9="","",IF(AND(E9&lt;=EOMONTH(Calendar!$K$2,0),F9&gt;=Calendar!$K$2),E9+6/100000,""))</f>
        <v/>
      </c>
      <c r="H9">
        <f>H8+IF(AND($E9&lt;&gt;"",$E9&lt;=H$2,$F9&gt;=H$2),1,0)</f>
        <v/>
      </c>
      <c r="I9">
        <f>I8+IF(AND($E9&lt;&gt;"",$E9&lt;=I$2,$F9&gt;=I$2),1,0)</f>
        <v/>
      </c>
      <c r="J9">
        <f>J8+IF(AND($E9&lt;&gt;"",$E9&lt;=J$2,$F9&gt;=J$2),1,0)</f>
        <v/>
      </c>
      <c r="K9">
        <f>K8+IF(AND($E9&lt;&gt;"",$E9&lt;=K$2,$F9&gt;=K$2),1,0)</f>
        <v/>
      </c>
      <c r="L9">
        <f>L8+IF(AND($E9&lt;&gt;"",$E9&lt;=L$2,$F9&gt;=L$2),1,0)</f>
        <v/>
      </c>
      <c r="M9">
        <f>M8+IF(AND($E9&lt;&gt;"",$E9&lt;=M$2,$F9&gt;=M$2),1,0)</f>
        <v/>
      </c>
      <c r="N9">
        <f>N8+IF(AND($E9&lt;&gt;"",$E9&lt;=N$2,$F9&gt;=N$2),1,0)</f>
        <v/>
      </c>
      <c r="O9">
        <f>O8+IF(AND($E9&lt;&gt;"",$E9&lt;=O$2,$F9&gt;=O$2),1,0)</f>
        <v/>
      </c>
      <c r="P9">
        <f>P8+IF(AND($E9&lt;&gt;"",$E9&lt;=P$2,$F9&gt;=P$2),1,0)</f>
        <v/>
      </c>
      <c r="Q9">
        <f>Q8+IF(AND($E9&lt;&gt;"",$E9&lt;=Q$2,$F9&gt;=Q$2),1,0)</f>
        <v/>
      </c>
      <c r="R9">
        <f>R8+IF(AND($E9&lt;&gt;"",$E9&lt;=R$2,$F9&gt;=R$2),1,0)</f>
        <v/>
      </c>
      <c r="S9">
        <f>S8+IF(AND($E9&lt;&gt;"",$E9&lt;=S$2,$F9&gt;=S$2),1,0)</f>
        <v/>
      </c>
      <c r="T9">
        <f>T8+IF(AND($E9&lt;&gt;"",$E9&lt;=T$2,$F9&gt;=T$2),1,0)</f>
        <v/>
      </c>
      <c r="U9">
        <f>U8+IF(AND($E9&lt;&gt;"",$E9&lt;=U$2,$F9&gt;=U$2),1,0)</f>
        <v/>
      </c>
      <c r="V9">
        <f>V8+IF(AND($E9&lt;&gt;"",$E9&lt;=V$2,$F9&gt;=V$2),1,0)</f>
        <v/>
      </c>
      <c r="W9">
        <f>W8+IF(AND($E9&lt;&gt;"",$E9&lt;=W$2,$F9&gt;=W$2),1,0)</f>
        <v/>
      </c>
      <c r="X9">
        <f>X8+IF(AND($E9&lt;&gt;"",$E9&lt;=X$2,$F9&gt;=X$2),1,0)</f>
        <v/>
      </c>
      <c r="Y9">
        <f>Y8+IF(AND($E9&lt;&gt;"",$E9&lt;=Y$2,$F9&gt;=Y$2),1,0)</f>
        <v/>
      </c>
      <c r="Z9">
        <f>Z8+IF(AND($E9&lt;&gt;"",$E9&lt;=Z$2,$F9&gt;=Z$2),1,0)</f>
        <v/>
      </c>
      <c r="AA9">
        <f>AA8+IF(AND($E9&lt;&gt;"",$E9&lt;=AA$2,$F9&gt;=AA$2),1,0)</f>
        <v/>
      </c>
      <c r="AB9">
        <f>AB8+IF(AND($E9&lt;&gt;"",$E9&lt;=AB$2,$F9&gt;=AB$2),1,0)</f>
        <v/>
      </c>
      <c r="AC9">
        <f>AC8+IF(AND($E9&lt;&gt;"",$E9&lt;=AC$2,$F9&gt;=AC$2),1,0)</f>
        <v/>
      </c>
      <c r="AD9">
        <f>AD8+IF(AND($E9&lt;&gt;"",$E9&lt;=AD$2,$F9&gt;=AD$2),1,0)</f>
        <v/>
      </c>
      <c r="AE9">
        <f>AE8+IF(AND($E9&lt;&gt;"",$E9&lt;=AE$2,$F9&gt;=AE$2),1,0)</f>
        <v/>
      </c>
      <c r="AF9">
        <f>AF8+IF(AND($E9&lt;&gt;"",$E9&lt;=AF$2,$F9&gt;=AF$2),1,0)</f>
        <v/>
      </c>
      <c r="AG9">
        <f>AG8+IF(AND($E9&lt;&gt;"",$E9&lt;=AG$2,$F9&gt;=AG$2),1,0)</f>
        <v/>
      </c>
      <c r="AH9">
        <f>AH8+IF(AND($E9&lt;&gt;"",$E9&lt;=AH$2,$F9&gt;=AH$2),1,0)</f>
        <v/>
      </c>
      <c r="AI9">
        <f>AI8+IF(AND($E9&lt;&gt;"",$E9&lt;=AI$2,$F9&gt;=AI$2),1,0)</f>
        <v/>
      </c>
      <c r="AJ9">
        <f>AJ8+IF(AND($E9&lt;&gt;"",$E9&lt;=AJ$2,$F9&gt;=AJ$2),1,0)</f>
        <v/>
      </c>
      <c r="AK9">
        <f>AK8+IF(AND($E9&lt;&gt;"",$E9&lt;=AK$2,$F9&gt;=AK$2),1,0)</f>
        <v/>
      </c>
      <c r="AL9">
        <f>AL8+IF(AND($E9&lt;&gt;"",$E9&lt;=AL$2,$F9&gt;=AL$2),1,0)</f>
        <v/>
      </c>
      <c r="AM9">
        <f>AM8+IF(AND($E9&lt;&gt;"",$E9&lt;=AM$2,$F9&gt;=AM$2),1,0)</f>
        <v/>
      </c>
      <c r="AN9">
        <f>AN8+IF(AND($E9&lt;&gt;"",$E9&lt;=AN$2,$F9&gt;=AN$2),1,0)</f>
        <v/>
      </c>
      <c r="AO9">
        <f>AO8+IF(AND($E9&lt;&gt;"",$E9&lt;=AO$2,$F9&gt;=AO$2),1,0)</f>
        <v/>
      </c>
      <c r="AP9">
        <f>AP8+IF(AND($E9&lt;&gt;"",$E9&lt;=AP$2,$F9&gt;=AP$2),1,0)</f>
        <v/>
      </c>
      <c r="AQ9">
        <f>AQ8+IF(AND($E9&lt;&gt;"",$E9&lt;=AQ$2,$F9&gt;=AQ$2),1,0)</f>
        <v/>
      </c>
      <c r="AR9">
        <f>AR8+IF(AND($E9&lt;&gt;"",$E9&lt;=AR$2,$F9&gt;=AR$2),1,0)</f>
        <v/>
      </c>
      <c r="AS9">
        <f>AS8+IF(AND($E9&lt;&gt;"",$E9&lt;=AS$2,$F9&gt;=AS$2),1,0)</f>
        <v/>
      </c>
      <c r="AT9">
        <f>AT8+IF(AND($E9&lt;&gt;"",$E9&lt;=AT$2,$F9&gt;=AT$2),1,0)</f>
        <v/>
      </c>
      <c r="AU9">
        <f>AU8+IF(AND($E9&lt;&gt;"",$E9&lt;=AU$2,$F9&gt;=AU$2),1,0)</f>
        <v/>
      </c>
      <c r="AV9">
        <f>AV8+IF(AND($E9&lt;&gt;"",$E9&lt;=AV$2,$F9&gt;=AV$2),1,0)</f>
        <v/>
      </c>
      <c r="AW9">
        <f>AW8+IF(AND($E9&lt;&gt;"",$E9&lt;=AW$2,$F9&gt;=AW$2),1,0)</f>
        <v/>
      </c>
    </row>
    <row r="10">
      <c r="A10">
        <f>IF(AND(ISNUMBER(Events!$A12),ISNUMBER(Events!$B12)),MAX(0,Events!$B12-Events!$A12),0)</f>
        <v/>
      </c>
      <c r="B10">
        <f>IF(ISNUMBER(Events!$A12),DATE(YEAR($B$1)-1,MONTH(Events!$A12),DAY(Events!$A12)),"")</f>
        <v/>
      </c>
      <c r="C10">
        <f>IF(ISNUMBER(Events!$A12),DATE(YEAR($B$1),MONTH(Events!$A12),DAY(Events!$A12)),"")</f>
        <v/>
      </c>
      <c r="D10">
        <f>IF(ISNUMBER(Events!$A12),DATE(YEAR($B$2),MONTH(Events!$A12),DAY(Events!$A12)),"")</f>
        <v/>
      </c>
      <c r="E10">
        <f>IF(OR(NOT(ISNUMBER(Events!$A12)),Events!$G12="No",Calendar!$H$4="None"),"",IF(OR(Calendar!$H$4="All events",Events!$D12=Calendar!$H$4),IF(Events!$E12="Yes",IF(AND(B10&gt;=Events!$A12,B10&lt;=$B$2,B10+$A10&gt;=$B$1),B10,IF(AND(C10&gt;=Events!$A12,C10&lt;=$B$2,C10+$A10&gt;=$B$1),C10,IF(AND(D10&gt;=Events!$A12,D10&lt;=$B$2,D10+$A10&gt;=$B$1),D10,""))),IF(AND(Events!$A12&lt;=$B$2,Events!$A12+$A10&gt;=$B$1),Events!$A12,"")),""))</f>
        <v/>
      </c>
      <c r="F10">
        <f>IF(E10="","",E10+A10)</f>
        <v/>
      </c>
      <c r="G10">
        <f>IF(E10="","",IF(AND(E10&lt;=EOMONTH(Calendar!$K$2,0),F10&gt;=Calendar!$K$2),E10+7/100000,""))</f>
        <v/>
      </c>
      <c r="H10">
        <f>H9+IF(AND($E10&lt;&gt;"",$E10&lt;=H$2,$F10&gt;=H$2),1,0)</f>
        <v/>
      </c>
      <c r="I10">
        <f>I9+IF(AND($E10&lt;&gt;"",$E10&lt;=I$2,$F10&gt;=I$2),1,0)</f>
        <v/>
      </c>
      <c r="J10">
        <f>J9+IF(AND($E10&lt;&gt;"",$E10&lt;=J$2,$F10&gt;=J$2),1,0)</f>
        <v/>
      </c>
      <c r="K10">
        <f>K9+IF(AND($E10&lt;&gt;"",$E10&lt;=K$2,$F10&gt;=K$2),1,0)</f>
        <v/>
      </c>
      <c r="L10">
        <f>L9+IF(AND($E10&lt;&gt;"",$E10&lt;=L$2,$F10&gt;=L$2),1,0)</f>
        <v/>
      </c>
      <c r="M10">
        <f>M9+IF(AND($E10&lt;&gt;"",$E10&lt;=M$2,$F10&gt;=M$2),1,0)</f>
        <v/>
      </c>
      <c r="N10">
        <f>N9+IF(AND($E10&lt;&gt;"",$E10&lt;=N$2,$F10&gt;=N$2),1,0)</f>
        <v/>
      </c>
      <c r="O10">
        <f>O9+IF(AND($E10&lt;&gt;"",$E10&lt;=O$2,$F10&gt;=O$2),1,0)</f>
        <v/>
      </c>
      <c r="P10">
        <f>P9+IF(AND($E10&lt;&gt;"",$E10&lt;=P$2,$F10&gt;=P$2),1,0)</f>
        <v/>
      </c>
      <c r="Q10">
        <f>Q9+IF(AND($E10&lt;&gt;"",$E10&lt;=Q$2,$F10&gt;=Q$2),1,0)</f>
        <v/>
      </c>
      <c r="R10">
        <f>R9+IF(AND($E10&lt;&gt;"",$E10&lt;=R$2,$F10&gt;=R$2),1,0)</f>
        <v/>
      </c>
      <c r="S10">
        <f>S9+IF(AND($E10&lt;&gt;"",$E10&lt;=S$2,$F10&gt;=S$2),1,0)</f>
        <v/>
      </c>
      <c r="T10">
        <f>T9+IF(AND($E10&lt;&gt;"",$E10&lt;=T$2,$F10&gt;=T$2),1,0)</f>
        <v/>
      </c>
      <c r="U10">
        <f>U9+IF(AND($E10&lt;&gt;"",$E10&lt;=U$2,$F10&gt;=U$2),1,0)</f>
        <v/>
      </c>
      <c r="V10">
        <f>V9+IF(AND($E10&lt;&gt;"",$E10&lt;=V$2,$F10&gt;=V$2),1,0)</f>
        <v/>
      </c>
      <c r="W10">
        <f>W9+IF(AND($E10&lt;&gt;"",$E10&lt;=W$2,$F10&gt;=W$2),1,0)</f>
        <v/>
      </c>
      <c r="X10">
        <f>X9+IF(AND($E10&lt;&gt;"",$E10&lt;=X$2,$F10&gt;=X$2),1,0)</f>
        <v/>
      </c>
      <c r="Y10">
        <f>Y9+IF(AND($E10&lt;&gt;"",$E10&lt;=Y$2,$F10&gt;=Y$2),1,0)</f>
        <v/>
      </c>
      <c r="Z10">
        <f>Z9+IF(AND($E10&lt;&gt;"",$E10&lt;=Z$2,$F10&gt;=Z$2),1,0)</f>
        <v/>
      </c>
      <c r="AA10">
        <f>AA9+IF(AND($E10&lt;&gt;"",$E10&lt;=AA$2,$F10&gt;=AA$2),1,0)</f>
        <v/>
      </c>
      <c r="AB10">
        <f>AB9+IF(AND($E10&lt;&gt;"",$E10&lt;=AB$2,$F10&gt;=AB$2),1,0)</f>
        <v/>
      </c>
      <c r="AC10">
        <f>AC9+IF(AND($E10&lt;&gt;"",$E10&lt;=AC$2,$F10&gt;=AC$2),1,0)</f>
        <v/>
      </c>
      <c r="AD10">
        <f>AD9+IF(AND($E10&lt;&gt;"",$E10&lt;=AD$2,$F10&gt;=AD$2),1,0)</f>
        <v/>
      </c>
      <c r="AE10">
        <f>AE9+IF(AND($E10&lt;&gt;"",$E10&lt;=AE$2,$F10&gt;=AE$2),1,0)</f>
        <v/>
      </c>
      <c r="AF10">
        <f>AF9+IF(AND($E10&lt;&gt;"",$E10&lt;=AF$2,$F10&gt;=AF$2),1,0)</f>
        <v/>
      </c>
      <c r="AG10">
        <f>AG9+IF(AND($E10&lt;&gt;"",$E10&lt;=AG$2,$F10&gt;=AG$2),1,0)</f>
        <v/>
      </c>
      <c r="AH10">
        <f>AH9+IF(AND($E10&lt;&gt;"",$E10&lt;=AH$2,$F10&gt;=AH$2),1,0)</f>
        <v/>
      </c>
      <c r="AI10">
        <f>AI9+IF(AND($E10&lt;&gt;"",$E10&lt;=AI$2,$F10&gt;=AI$2),1,0)</f>
        <v/>
      </c>
      <c r="AJ10">
        <f>AJ9+IF(AND($E10&lt;&gt;"",$E10&lt;=AJ$2,$F10&gt;=AJ$2),1,0)</f>
        <v/>
      </c>
      <c r="AK10">
        <f>AK9+IF(AND($E10&lt;&gt;"",$E10&lt;=AK$2,$F10&gt;=AK$2),1,0)</f>
        <v/>
      </c>
      <c r="AL10">
        <f>AL9+IF(AND($E10&lt;&gt;"",$E10&lt;=AL$2,$F10&gt;=AL$2),1,0)</f>
        <v/>
      </c>
      <c r="AM10">
        <f>AM9+IF(AND($E10&lt;&gt;"",$E10&lt;=AM$2,$F10&gt;=AM$2),1,0)</f>
        <v/>
      </c>
      <c r="AN10">
        <f>AN9+IF(AND($E10&lt;&gt;"",$E10&lt;=AN$2,$F10&gt;=AN$2),1,0)</f>
        <v/>
      </c>
      <c r="AO10">
        <f>AO9+IF(AND($E10&lt;&gt;"",$E10&lt;=AO$2,$F10&gt;=AO$2),1,0)</f>
        <v/>
      </c>
      <c r="AP10">
        <f>AP9+IF(AND($E10&lt;&gt;"",$E10&lt;=AP$2,$F10&gt;=AP$2),1,0)</f>
        <v/>
      </c>
      <c r="AQ10">
        <f>AQ9+IF(AND($E10&lt;&gt;"",$E10&lt;=AQ$2,$F10&gt;=AQ$2),1,0)</f>
        <v/>
      </c>
      <c r="AR10">
        <f>AR9+IF(AND($E10&lt;&gt;"",$E10&lt;=AR$2,$F10&gt;=AR$2),1,0)</f>
        <v/>
      </c>
      <c r="AS10">
        <f>AS9+IF(AND($E10&lt;&gt;"",$E10&lt;=AS$2,$F10&gt;=AS$2),1,0)</f>
        <v/>
      </c>
      <c r="AT10">
        <f>AT9+IF(AND($E10&lt;&gt;"",$E10&lt;=AT$2,$F10&gt;=AT$2),1,0)</f>
        <v/>
      </c>
      <c r="AU10">
        <f>AU9+IF(AND($E10&lt;&gt;"",$E10&lt;=AU$2,$F10&gt;=AU$2),1,0)</f>
        <v/>
      </c>
      <c r="AV10">
        <f>AV9+IF(AND($E10&lt;&gt;"",$E10&lt;=AV$2,$F10&gt;=AV$2),1,0)</f>
        <v/>
      </c>
      <c r="AW10">
        <f>AW9+IF(AND($E10&lt;&gt;"",$E10&lt;=AW$2,$F10&gt;=AW$2),1,0)</f>
        <v/>
      </c>
    </row>
    <row r="11">
      <c r="A11">
        <f>IF(AND(ISNUMBER(Events!$A13),ISNUMBER(Events!$B13)),MAX(0,Events!$B13-Events!$A13),0)</f>
        <v/>
      </c>
      <c r="B11">
        <f>IF(ISNUMBER(Events!$A13),DATE(YEAR($B$1)-1,MONTH(Events!$A13),DAY(Events!$A13)),"")</f>
        <v/>
      </c>
      <c r="C11">
        <f>IF(ISNUMBER(Events!$A13),DATE(YEAR($B$1),MONTH(Events!$A13),DAY(Events!$A13)),"")</f>
        <v/>
      </c>
      <c r="D11">
        <f>IF(ISNUMBER(Events!$A13),DATE(YEAR($B$2),MONTH(Events!$A13),DAY(Events!$A13)),"")</f>
        <v/>
      </c>
      <c r="E11">
        <f>IF(OR(NOT(ISNUMBER(Events!$A13)),Events!$G13="No",Calendar!$H$4="None"),"",IF(OR(Calendar!$H$4="All events",Events!$D13=Calendar!$H$4),IF(Events!$E13="Yes",IF(AND(B11&gt;=Events!$A13,B11&lt;=$B$2,B11+$A11&gt;=$B$1),B11,IF(AND(C11&gt;=Events!$A13,C11&lt;=$B$2,C11+$A11&gt;=$B$1),C11,IF(AND(D11&gt;=Events!$A13,D11&lt;=$B$2,D11+$A11&gt;=$B$1),D11,""))),IF(AND(Events!$A13&lt;=$B$2,Events!$A13+$A11&gt;=$B$1),Events!$A13,"")),""))</f>
        <v/>
      </c>
      <c r="F11">
        <f>IF(E11="","",E11+A11)</f>
        <v/>
      </c>
      <c r="G11">
        <f>IF(E11="","",IF(AND(E11&lt;=EOMONTH(Calendar!$K$2,0),F11&gt;=Calendar!$K$2),E11+8/100000,""))</f>
        <v/>
      </c>
      <c r="H11">
        <f>H10+IF(AND($E11&lt;&gt;"",$E11&lt;=H$2,$F11&gt;=H$2),1,0)</f>
        <v/>
      </c>
      <c r="I11">
        <f>I10+IF(AND($E11&lt;&gt;"",$E11&lt;=I$2,$F11&gt;=I$2),1,0)</f>
        <v/>
      </c>
      <c r="J11">
        <f>J10+IF(AND($E11&lt;&gt;"",$E11&lt;=J$2,$F11&gt;=J$2),1,0)</f>
        <v/>
      </c>
      <c r="K11">
        <f>K10+IF(AND($E11&lt;&gt;"",$E11&lt;=K$2,$F11&gt;=K$2),1,0)</f>
        <v/>
      </c>
      <c r="L11">
        <f>L10+IF(AND($E11&lt;&gt;"",$E11&lt;=L$2,$F11&gt;=L$2),1,0)</f>
        <v/>
      </c>
      <c r="M11">
        <f>M10+IF(AND($E11&lt;&gt;"",$E11&lt;=M$2,$F11&gt;=M$2),1,0)</f>
        <v/>
      </c>
      <c r="N11">
        <f>N10+IF(AND($E11&lt;&gt;"",$E11&lt;=N$2,$F11&gt;=N$2),1,0)</f>
        <v/>
      </c>
      <c r="O11">
        <f>O10+IF(AND($E11&lt;&gt;"",$E11&lt;=O$2,$F11&gt;=O$2),1,0)</f>
        <v/>
      </c>
      <c r="P11">
        <f>P10+IF(AND($E11&lt;&gt;"",$E11&lt;=P$2,$F11&gt;=P$2),1,0)</f>
        <v/>
      </c>
      <c r="Q11">
        <f>Q10+IF(AND($E11&lt;&gt;"",$E11&lt;=Q$2,$F11&gt;=Q$2),1,0)</f>
        <v/>
      </c>
      <c r="R11">
        <f>R10+IF(AND($E11&lt;&gt;"",$E11&lt;=R$2,$F11&gt;=R$2),1,0)</f>
        <v/>
      </c>
      <c r="S11">
        <f>S10+IF(AND($E11&lt;&gt;"",$E11&lt;=S$2,$F11&gt;=S$2),1,0)</f>
        <v/>
      </c>
      <c r="T11">
        <f>T10+IF(AND($E11&lt;&gt;"",$E11&lt;=T$2,$F11&gt;=T$2),1,0)</f>
        <v/>
      </c>
      <c r="U11">
        <f>U10+IF(AND($E11&lt;&gt;"",$E11&lt;=U$2,$F11&gt;=U$2),1,0)</f>
        <v/>
      </c>
      <c r="V11">
        <f>V10+IF(AND($E11&lt;&gt;"",$E11&lt;=V$2,$F11&gt;=V$2),1,0)</f>
        <v/>
      </c>
      <c r="W11">
        <f>W10+IF(AND($E11&lt;&gt;"",$E11&lt;=W$2,$F11&gt;=W$2),1,0)</f>
        <v/>
      </c>
      <c r="X11">
        <f>X10+IF(AND($E11&lt;&gt;"",$E11&lt;=X$2,$F11&gt;=X$2),1,0)</f>
        <v/>
      </c>
      <c r="Y11">
        <f>Y10+IF(AND($E11&lt;&gt;"",$E11&lt;=Y$2,$F11&gt;=Y$2),1,0)</f>
        <v/>
      </c>
      <c r="Z11">
        <f>Z10+IF(AND($E11&lt;&gt;"",$E11&lt;=Z$2,$F11&gt;=Z$2),1,0)</f>
        <v/>
      </c>
      <c r="AA11">
        <f>AA10+IF(AND($E11&lt;&gt;"",$E11&lt;=AA$2,$F11&gt;=AA$2),1,0)</f>
        <v/>
      </c>
      <c r="AB11">
        <f>AB10+IF(AND($E11&lt;&gt;"",$E11&lt;=AB$2,$F11&gt;=AB$2),1,0)</f>
        <v/>
      </c>
      <c r="AC11">
        <f>AC10+IF(AND($E11&lt;&gt;"",$E11&lt;=AC$2,$F11&gt;=AC$2),1,0)</f>
        <v/>
      </c>
      <c r="AD11">
        <f>AD10+IF(AND($E11&lt;&gt;"",$E11&lt;=AD$2,$F11&gt;=AD$2),1,0)</f>
        <v/>
      </c>
      <c r="AE11">
        <f>AE10+IF(AND($E11&lt;&gt;"",$E11&lt;=AE$2,$F11&gt;=AE$2),1,0)</f>
        <v/>
      </c>
      <c r="AF11">
        <f>AF10+IF(AND($E11&lt;&gt;"",$E11&lt;=AF$2,$F11&gt;=AF$2),1,0)</f>
        <v/>
      </c>
      <c r="AG11">
        <f>AG10+IF(AND($E11&lt;&gt;"",$E11&lt;=AG$2,$F11&gt;=AG$2),1,0)</f>
        <v/>
      </c>
      <c r="AH11">
        <f>AH10+IF(AND($E11&lt;&gt;"",$E11&lt;=AH$2,$F11&gt;=AH$2),1,0)</f>
        <v/>
      </c>
      <c r="AI11">
        <f>AI10+IF(AND($E11&lt;&gt;"",$E11&lt;=AI$2,$F11&gt;=AI$2),1,0)</f>
        <v/>
      </c>
      <c r="AJ11">
        <f>AJ10+IF(AND($E11&lt;&gt;"",$E11&lt;=AJ$2,$F11&gt;=AJ$2),1,0)</f>
        <v/>
      </c>
      <c r="AK11">
        <f>AK10+IF(AND($E11&lt;&gt;"",$E11&lt;=AK$2,$F11&gt;=AK$2),1,0)</f>
        <v/>
      </c>
      <c r="AL11">
        <f>AL10+IF(AND($E11&lt;&gt;"",$E11&lt;=AL$2,$F11&gt;=AL$2),1,0)</f>
        <v/>
      </c>
      <c r="AM11">
        <f>AM10+IF(AND($E11&lt;&gt;"",$E11&lt;=AM$2,$F11&gt;=AM$2),1,0)</f>
        <v/>
      </c>
      <c r="AN11">
        <f>AN10+IF(AND($E11&lt;&gt;"",$E11&lt;=AN$2,$F11&gt;=AN$2),1,0)</f>
        <v/>
      </c>
      <c r="AO11">
        <f>AO10+IF(AND($E11&lt;&gt;"",$E11&lt;=AO$2,$F11&gt;=AO$2),1,0)</f>
        <v/>
      </c>
      <c r="AP11">
        <f>AP10+IF(AND($E11&lt;&gt;"",$E11&lt;=AP$2,$F11&gt;=AP$2),1,0)</f>
        <v/>
      </c>
      <c r="AQ11">
        <f>AQ10+IF(AND($E11&lt;&gt;"",$E11&lt;=AQ$2,$F11&gt;=AQ$2),1,0)</f>
        <v/>
      </c>
      <c r="AR11">
        <f>AR10+IF(AND($E11&lt;&gt;"",$E11&lt;=AR$2,$F11&gt;=AR$2),1,0)</f>
        <v/>
      </c>
      <c r="AS11">
        <f>AS10+IF(AND($E11&lt;&gt;"",$E11&lt;=AS$2,$F11&gt;=AS$2),1,0)</f>
        <v/>
      </c>
      <c r="AT11">
        <f>AT10+IF(AND($E11&lt;&gt;"",$E11&lt;=AT$2,$F11&gt;=AT$2),1,0)</f>
        <v/>
      </c>
      <c r="AU11">
        <f>AU10+IF(AND($E11&lt;&gt;"",$E11&lt;=AU$2,$F11&gt;=AU$2),1,0)</f>
        <v/>
      </c>
      <c r="AV11">
        <f>AV10+IF(AND($E11&lt;&gt;"",$E11&lt;=AV$2,$F11&gt;=AV$2),1,0)</f>
        <v/>
      </c>
      <c r="AW11">
        <f>AW10+IF(AND($E11&lt;&gt;"",$E11&lt;=AW$2,$F11&gt;=AW$2),1,0)</f>
        <v/>
      </c>
    </row>
    <row r="12">
      <c r="A12">
        <f>IF(AND(ISNUMBER(Events!$A14),ISNUMBER(Events!$B14)),MAX(0,Events!$B14-Events!$A14),0)</f>
        <v/>
      </c>
      <c r="B12">
        <f>IF(ISNUMBER(Events!$A14),DATE(YEAR($B$1)-1,MONTH(Events!$A14),DAY(Events!$A14)),"")</f>
        <v/>
      </c>
      <c r="C12">
        <f>IF(ISNUMBER(Events!$A14),DATE(YEAR($B$1),MONTH(Events!$A14),DAY(Events!$A14)),"")</f>
        <v/>
      </c>
      <c r="D12">
        <f>IF(ISNUMBER(Events!$A14),DATE(YEAR($B$2),MONTH(Events!$A14),DAY(Events!$A14)),"")</f>
        <v/>
      </c>
      <c r="E12">
        <f>IF(OR(NOT(ISNUMBER(Events!$A14)),Events!$G14="No",Calendar!$H$4="None"),"",IF(OR(Calendar!$H$4="All events",Events!$D14=Calendar!$H$4),IF(Events!$E14="Yes",IF(AND(B12&gt;=Events!$A14,B12&lt;=$B$2,B12+$A12&gt;=$B$1),B12,IF(AND(C12&gt;=Events!$A14,C12&lt;=$B$2,C12+$A12&gt;=$B$1),C12,IF(AND(D12&gt;=Events!$A14,D12&lt;=$B$2,D12+$A12&gt;=$B$1),D12,""))),IF(AND(Events!$A14&lt;=$B$2,Events!$A14+$A12&gt;=$B$1),Events!$A14,"")),""))</f>
        <v/>
      </c>
      <c r="F12">
        <f>IF(E12="","",E12+A12)</f>
        <v/>
      </c>
      <c r="G12">
        <f>IF(E12="","",IF(AND(E12&lt;=EOMONTH(Calendar!$K$2,0),F12&gt;=Calendar!$K$2),E12+9/100000,""))</f>
        <v/>
      </c>
      <c r="H12">
        <f>H11+IF(AND($E12&lt;&gt;"",$E12&lt;=H$2,$F12&gt;=H$2),1,0)</f>
        <v/>
      </c>
      <c r="I12">
        <f>I11+IF(AND($E12&lt;&gt;"",$E12&lt;=I$2,$F12&gt;=I$2),1,0)</f>
        <v/>
      </c>
      <c r="J12">
        <f>J11+IF(AND($E12&lt;&gt;"",$E12&lt;=J$2,$F12&gt;=J$2),1,0)</f>
        <v/>
      </c>
      <c r="K12">
        <f>K11+IF(AND($E12&lt;&gt;"",$E12&lt;=K$2,$F12&gt;=K$2),1,0)</f>
        <v/>
      </c>
      <c r="L12">
        <f>L11+IF(AND($E12&lt;&gt;"",$E12&lt;=L$2,$F12&gt;=L$2),1,0)</f>
        <v/>
      </c>
      <c r="M12">
        <f>M11+IF(AND($E12&lt;&gt;"",$E12&lt;=M$2,$F12&gt;=M$2),1,0)</f>
        <v/>
      </c>
      <c r="N12">
        <f>N11+IF(AND($E12&lt;&gt;"",$E12&lt;=N$2,$F12&gt;=N$2),1,0)</f>
        <v/>
      </c>
      <c r="O12">
        <f>O11+IF(AND($E12&lt;&gt;"",$E12&lt;=O$2,$F12&gt;=O$2),1,0)</f>
        <v/>
      </c>
      <c r="P12">
        <f>P11+IF(AND($E12&lt;&gt;"",$E12&lt;=P$2,$F12&gt;=P$2),1,0)</f>
        <v/>
      </c>
      <c r="Q12">
        <f>Q11+IF(AND($E12&lt;&gt;"",$E12&lt;=Q$2,$F12&gt;=Q$2),1,0)</f>
        <v/>
      </c>
      <c r="R12">
        <f>R11+IF(AND($E12&lt;&gt;"",$E12&lt;=R$2,$F12&gt;=R$2),1,0)</f>
        <v/>
      </c>
      <c r="S12">
        <f>S11+IF(AND($E12&lt;&gt;"",$E12&lt;=S$2,$F12&gt;=S$2),1,0)</f>
        <v/>
      </c>
      <c r="T12">
        <f>T11+IF(AND($E12&lt;&gt;"",$E12&lt;=T$2,$F12&gt;=T$2),1,0)</f>
        <v/>
      </c>
      <c r="U12">
        <f>U11+IF(AND($E12&lt;&gt;"",$E12&lt;=U$2,$F12&gt;=U$2),1,0)</f>
        <v/>
      </c>
      <c r="V12">
        <f>V11+IF(AND($E12&lt;&gt;"",$E12&lt;=V$2,$F12&gt;=V$2),1,0)</f>
        <v/>
      </c>
      <c r="W12">
        <f>W11+IF(AND($E12&lt;&gt;"",$E12&lt;=W$2,$F12&gt;=W$2),1,0)</f>
        <v/>
      </c>
      <c r="X12">
        <f>X11+IF(AND($E12&lt;&gt;"",$E12&lt;=X$2,$F12&gt;=X$2),1,0)</f>
        <v/>
      </c>
      <c r="Y12">
        <f>Y11+IF(AND($E12&lt;&gt;"",$E12&lt;=Y$2,$F12&gt;=Y$2),1,0)</f>
        <v/>
      </c>
      <c r="Z12">
        <f>Z11+IF(AND($E12&lt;&gt;"",$E12&lt;=Z$2,$F12&gt;=Z$2),1,0)</f>
        <v/>
      </c>
      <c r="AA12">
        <f>AA11+IF(AND($E12&lt;&gt;"",$E12&lt;=AA$2,$F12&gt;=AA$2),1,0)</f>
        <v/>
      </c>
      <c r="AB12">
        <f>AB11+IF(AND($E12&lt;&gt;"",$E12&lt;=AB$2,$F12&gt;=AB$2),1,0)</f>
        <v/>
      </c>
      <c r="AC12">
        <f>AC11+IF(AND($E12&lt;&gt;"",$E12&lt;=AC$2,$F12&gt;=AC$2),1,0)</f>
        <v/>
      </c>
      <c r="AD12">
        <f>AD11+IF(AND($E12&lt;&gt;"",$E12&lt;=AD$2,$F12&gt;=AD$2),1,0)</f>
        <v/>
      </c>
      <c r="AE12">
        <f>AE11+IF(AND($E12&lt;&gt;"",$E12&lt;=AE$2,$F12&gt;=AE$2),1,0)</f>
        <v/>
      </c>
      <c r="AF12">
        <f>AF11+IF(AND($E12&lt;&gt;"",$E12&lt;=AF$2,$F12&gt;=AF$2),1,0)</f>
        <v/>
      </c>
      <c r="AG12">
        <f>AG11+IF(AND($E12&lt;&gt;"",$E12&lt;=AG$2,$F12&gt;=AG$2),1,0)</f>
        <v/>
      </c>
      <c r="AH12">
        <f>AH11+IF(AND($E12&lt;&gt;"",$E12&lt;=AH$2,$F12&gt;=AH$2),1,0)</f>
        <v/>
      </c>
      <c r="AI12">
        <f>AI11+IF(AND($E12&lt;&gt;"",$E12&lt;=AI$2,$F12&gt;=AI$2),1,0)</f>
        <v/>
      </c>
      <c r="AJ12">
        <f>AJ11+IF(AND($E12&lt;&gt;"",$E12&lt;=AJ$2,$F12&gt;=AJ$2),1,0)</f>
        <v/>
      </c>
      <c r="AK12">
        <f>AK11+IF(AND($E12&lt;&gt;"",$E12&lt;=AK$2,$F12&gt;=AK$2),1,0)</f>
        <v/>
      </c>
      <c r="AL12">
        <f>AL11+IF(AND($E12&lt;&gt;"",$E12&lt;=AL$2,$F12&gt;=AL$2),1,0)</f>
        <v/>
      </c>
      <c r="AM12">
        <f>AM11+IF(AND($E12&lt;&gt;"",$E12&lt;=AM$2,$F12&gt;=AM$2),1,0)</f>
        <v/>
      </c>
      <c r="AN12">
        <f>AN11+IF(AND($E12&lt;&gt;"",$E12&lt;=AN$2,$F12&gt;=AN$2),1,0)</f>
        <v/>
      </c>
      <c r="AO12">
        <f>AO11+IF(AND($E12&lt;&gt;"",$E12&lt;=AO$2,$F12&gt;=AO$2),1,0)</f>
        <v/>
      </c>
      <c r="AP12">
        <f>AP11+IF(AND($E12&lt;&gt;"",$E12&lt;=AP$2,$F12&gt;=AP$2),1,0)</f>
        <v/>
      </c>
      <c r="AQ12">
        <f>AQ11+IF(AND($E12&lt;&gt;"",$E12&lt;=AQ$2,$F12&gt;=AQ$2),1,0)</f>
        <v/>
      </c>
      <c r="AR12">
        <f>AR11+IF(AND($E12&lt;&gt;"",$E12&lt;=AR$2,$F12&gt;=AR$2),1,0)</f>
        <v/>
      </c>
      <c r="AS12">
        <f>AS11+IF(AND($E12&lt;&gt;"",$E12&lt;=AS$2,$F12&gt;=AS$2),1,0)</f>
        <v/>
      </c>
      <c r="AT12">
        <f>AT11+IF(AND($E12&lt;&gt;"",$E12&lt;=AT$2,$F12&gt;=AT$2),1,0)</f>
        <v/>
      </c>
      <c r="AU12">
        <f>AU11+IF(AND($E12&lt;&gt;"",$E12&lt;=AU$2,$F12&gt;=AU$2),1,0)</f>
        <v/>
      </c>
      <c r="AV12">
        <f>AV11+IF(AND($E12&lt;&gt;"",$E12&lt;=AV$2,$F12&gt;=AV$2),1,0)</f>
        <v/>
      </c>
      <c r="AW12">
        <f>AW11+IF(AND($E12&lt;&gt;"",$E12&lt;=AW$2,$F12&gt;=AW$2),1,0)</f>
        <v/>
      </c>
    </row>
    <row r="13">
      <c r="A13">
        <f>IF(AND(ISNUMBER(Events!$A15),ISNUMBER(Events!$B15)),MAX(0,Events!$B15-Events!$A15),0)</f>
        <v/>
      </c>
      <c r="B13">
        <f>IF(ISNUMBER(Events!$A15),DATE(YEAR($B$1)-1,MONTH(Events!$A15),DAY(Events!$A15)),"")</f>
        <v/>
      </c>
      <c r="C13">
        <f>IF(ISNUMBER(Events!$A15),DATE(YEAR($B$1),MONTH(Events!$A15),DAY(Events!$A15)),"")</f>
        <v/>
      </c>
      <c r="D13">
        <f>IF(ISNUMBER(Events!$A15),DATE(YEAR($B$2),MONTH(Events!$A15),DAY(Events!$A15)),"")</f>
        <v/>
      </c>
      <c r="E13">
        <f>IF(OR(NOT(ISNUMBER(Events!$A15)),Events!$G15="No",Calendar!$H$4="None"),"",IF(OR(Calendar!$H$4="All events",Events!$D15=Calendar!$H$4),IF(Events!$E15="Yes",IF(AND(B13&gt;=Events!$A15,B13&lt;=$B$2,B13+$A13&gt;=$B$1),B13,IF(AND(C13&gt;=Events!$A15,C13&lt;=$B$2,C13+$A13&gt;=$B$1),C13,IF(AND(D13&gt;=Events!$A15,D13&lt;=$B$2,D13+$A13&gt;=$B$1),D13,""))),IF(AND(Events!$A15&lt;=$B$2,Events!$A15+$A13&gt;=$B$1),Events!$A15,"")),""))</f>
        <v/>
      </c>
      <c r="F13">
        <f>IF(E13="","",E13+A13)</f>
        <v/>
      </c>
      <c r="G13">
        <f>IF(E13="","",IF(AND(E13&lt;=EOMONTH(Calendar!$K$2,0),F13&gt;=Calendar!$K$2),E13+10/100000,""))</f>
        <v/>
      </c>
      <c r="H13">
        <f>H12+IF(AND($E13&lt;&gt;"",$E13&lt;=H$2,$F13&gt;=H$2),1,0)</f>
        <v/>
      </c>
      <c r="I13">
        <f>I12+IF(AND($E13&lt;&gt;"",$E13&lt;=I$2,$F13&gt;=I$2),1,0)</f>
        <v/>
      </c>
      <c r="J13">
        <f>J12+IF(AND($E13&lt;&gt;"",$E13&lt;=J$2,$F13&gt;=J$2),1,0)</f>
        <v/>
      </c>
      <c r="K13">
        <f>K12+IF(AND($E13&lt;&gt;"",$E13&lt;=K$2,$F13&gt;=K$2),1,0)</f>
        <v/>
      </c>
      <c r="L13">
        <f>L12+IF(AND($E13&lt;&gt;"",$E13&lt;=L$2,$F13&gt;=L$2),1,0)</f>
        <v/>
      </c>
      <c r="M13">
        <f>M12+IF(AND($E13&lt;&gt;"",$E13&lt;=M$2,$F13&gt;=M$2),1,0)</f>
        <v/>
      </c>
      <c r="N13">
        <f>N12+IF(AND($E13&lt;&gt;"",$E13&lt;=N$2,$F13&gt;=N$2),1,0)</f>
        <v/>
      </c>
      <c r="O13">
        <f>O12+IF(AND($E13&lt;&gt;"",$E13&lt;=O$2,$F13&gt;=O$2),1,0)</f>
        <v/>
      </c>
      <c r="P13">
        <f>P12+IF(AND($E13&lt;&gt;"",$E13&lt;=P$2,$F13&gt;=P$2),1,0)</f>
        <v/>
      </c>
      <c r="Q13">
        <f>Q12+IF(AND($E13&lt;&gt;"",$E13&lt;=Q$2,$F13&gt;=Q$2),1,0)</f>
        <v/>
      </c>
      <c r="R13">
        <f>R12+IF(AND($E13&lt;&gt;"",$E13&lt;=R$2,$F13&gt;=R$2),1,0)</f>
        <v/>
      </c>
      <c r="S13">
        <f>S12+IF(AND($E13&lt;&gt;"",$E13&lt;=S$2,$F13&gt;=S$2),1,0)</f>
        <v/>
      </c>
      <c r="T13">
        <f>T12+IF(AND($E13&lt;&gt;"",$E13&lt;=T$2,$F13&gt;=T$2),1,0)</f>
        <v/>
      </c>
      <c r="U13">
        <f>U12+IF(AND($E13&lt;&gt;"",$E13&lt;=U$2,$F13&gt;=U$2),1,0)</f>
        <v/>
      </c>
      <c r="V13">
        <f>V12+IF(AND($E13&lt;&gt;"",$E13&lt;=V$2,$F13&gt;=V$2),1,0)</f>
        <v/>
      </c>
      <c r="W13">
        <f>W12+IF(AND($E13&lt;&gt;"",$E13&lt;=W$2,$F13&gt;=W$2),1,0)</f>
        <v/>
      </c>
      <c r="X13">
        <f>X12+IF(AND($E13&lt;&gt;"",$E13&lt;=X$2,$F13&gt;=X$2),1,0)</f>
        <v/>
      </c>
      <c r="Y13">
        <f>Y12+IF(AND($E13&lt;&gt;"",$E13&lt;=Y$2,$F13&gt;=Y$2),1,0)</f>
        <v/>
      </c>
      <c r="Z13">
        <f>Z12+IF(AND($E13&lt;&gt;"",$E13&lt;=Z$2,$F13&gt;=Z$2),1,0)</f>
        <v/>
      </c>
      <c r="AA13">
        <f>AA12+IF(AND($E13&lt;&gt;"",$E13&lt;=AA$2,$F13&gt;=AA$2),1,0)</f>
        <v/>
      </c>
      <c r="AB13">
        <f>AB12+IF(AND($E13&lt;&gt;"",$E13&lt;=AB$2,$F13&gt;=AB$2),1,0)</f>
        <v/>
      </c>
      <c r="AC13">
        <f>AC12+IF(AND($E13&lt;&gt;"",$E13&lt;=AC$2,$F13&gt;=AC$2),1,0)</f>
        <v/>
      </c>
      <c r="AD13">
        <f>AD12+IF(AND($E13&lt;&gt;"",$E13&lt;=AD$2,$F13&gt;=AD$2),1,0)</f>
        <v/>
      </c>
      <c r="AE13">
        <f>AE12+IF(AND($E13&lt;&gt;"",$E13&lt;=AE$2,$F13&gt;=AE$2),1,0)</f>
        <v/>
      </c>
      <c r="AF13">
        <f>AF12+IF(AND($E13&lt;&gt;"",$E13&lt;=AF$2,$F13&gt;=AF$2),1,0)</f>
        <v/>
      </c>
      <c r="AG13">
        <f>AG12+IF(AND($E13&lt;&gt;"",$E13&lt;=AG$2,$F13&gt;=AG$2),1,0)</f>
        <v/>
      </c>
      <c r="AH13">
        <f>AH12+IF(AND($E13&lt;&gt;"",$E13&lt;=AH$2,$F13&gt;=AH$2),1,0)</f>
        <v/>
      </c>
      <c r="AI13">
        <f>AI12+IF(AND($E13&lt;&gt;"",$E13&lt;=AI$2,$F13&gt;=AI$2),1,0)</f>
        <v/>
      </c>
      <c r="AJ13">
        <f>AJ12+IF(AND($E13&lt;&gt;"",$E13&lt;=AJ$2,$F13&gt;=AJ$2),1,0)</f>
        <v/>
      </c>
      <c r="AK13">
        <f>AK12+IF(AND($E13&lt;&gt;"",$E13&lt;=AK$2,$F13&gt;=AK$2),1,0)</f>
        <v/>
      </c>
      <c r="AL13">
        <f>AL12+IF(AND($E13&lt;&gt;"",$E13&lt;=AL$2,$F13&gt;=AL$2),1,0)</f>
        <v/>
      </c>
      <c r="AM13">
        <f>AM12+IF(AND($E13&lt;&gt;"",$E13&lt;=AM$2,$F13&gt;=AM$2),1,0)</f>
        <v/>
      </c>
      <c r="AN13">
        <f>AN12+IF(AND($E13&lt;&gt;"",$E13&lt;=AN$2,$F13&gt;=AN$2),1,0)</f>
        <v/>
      </c>
      <c r="AO13">
        <f>AO12+IF(AND($E13&lt;&gt;"",$E13&lt;=AO$2,$F13&gt;=AO$2),1,0)</f>
        <v/>
      </c>
      <c r="AP13">
        <f>AP12+IF(AND($E13&lt;&gt;"",$E13&lt;=AP$2,$F13&gt;=AP$2),1,0)</f>
        <v/>
      </c>
      <c r="AQ13">
        <f>AQ12+IF(AND($E13&lt;&gt;"",$E13&lt;=AQ$2,$F13&gt;=AQ$2),1,0)</f>
        <v/>
      </c>
      <c r="AR13">
        <f>AR12+IF(AND($E13&lt;&gt;"",$E13&lt;=AR$2,$F13&gt;=AR$2),1,0)</f>
        <v/>
      </c>
      <c r="AS13">
        <f>AS12+IF(AND($E13&lt;&gt;"",$E13&lt;=AS$2,$F13&gt;=AS$2),1,0)</f>
        <v/>
      </c>
      <c r="AT13">
        <f>AT12+IF(AND($E13&lt;&gt;"",$E13&lt;=AT$2,$F13&gt;=AT$2),1,0)</f>
        <v/>
      </c>
      <c r="AU13">
        <f>AU12+IF(AND($E13&lt;&gt;"",$E13&lt;=AU$2,$F13&gt;=AU$2),1,0)</f>
        <v/>
      </c>
      <c r="AV13">
        <f>AV12+IF(AND($E13&lt;&gt;"",$E13&lt;=AV$2,$F13&gt;=AV$2),1,0)</f>
        <v/>
      </c>
      <c r="AW13">
        <f>AW12+IF(AND($E13&lt;&gt;"",$E13&lt;=AW$2,$F13&gt;=AW$2),1,0)</f>
        <v/>
      </c>
    </row>
    <row r="14">
      <c r="A14">
        <f>IF(AND(ISNUMBER(Events!$A16),ISNUMBER(Events!$B16)),MAX(0,Events!$B16-Events!$A16),0)</f>
        <v/>
      </c>
      <c r="B14">
        <f>IF(ISNUMBER(Events!$A16),DATE(YEAR($B$1)-1,MONTH(Events!$A16),DAY(Events!$A16)),"")</f>
        <v/>
      </c>
      <c r="C14">
        <f>IF(ISNUMBER(Events!$A16),DATE(YEAR($B$1),MONTH(Events!$A16),DAY(Events!$A16)),"")</f>
        <v/>
      </c>
      <c r="D14">
        <f>IF(ISNUMBER(Events!$A16),DATE(YEAR($B$2),MONTH(Events!$A16),DAY(Events!$A16)),"")</f>
        <v/>
      </c>
      <c r="E14">
        <f>IF(OR(NOT(ISNUMBER(Events!$A16)),Events!$G16="No",Calendar!$H$4="None"),"",IF(OR(Calendar!$H$4="All events",Events!$D16=Calendar!$H$4),IF(Events!$E16="Yes",IF(AND(B14&gt;=Events!$A16,B14&lt;=$B$2,B14+$A14&gt;=$B$1),B14,IF(AND(C14&gt;=Events!$A16,C14&lt;=$B$2,C14+$A14&gt;=$B$1),C14,IF(AND(D14&gt;=Events!$A16,D14&lt;=$B$2,D14+$A14&gt;=$B$1),D14,""))),IF(AND(Events!$A16&lt;=$B$2,Events!$A16+$A14&gt;=$B$1),Events!$A16,"")),""))</f>
        <v/>
      </c>
      <c r="F14">
        <f>IF(E14="","",E14+A14)</f>
        <v/>
      </c>
      <c r="G14">
        <f>IF(E14="","",IF(AND(E14&lt;=EOMONTH(Calendar!$K$2,0),F14&gt;=Calendar!$K$2),E14+11/100000,""))</f>
        <v/>
      </c>
      <c r="H14">
        <f>H13+IF(AND($E14&lt;&gt;"",$E14&lt;=H$2,$F14&gt;=H$2),1,0)</f>
        <v/>
      </c>
      <c r="I14">
        <f>I13+IF(AND($E14&lt;&gt;"",$E14&lt;=I$2,$F14&gt;=I$2),1,0)</f>
        <v/>
      </c>
      <c r="J14">
        <f>J13+IF(AND($E14&lt;&gt;"",$E14&lt;=J$2,$F14&gt;=J$2),1,0)</f>
        <v/>
      </c>
      <c r="K14">
        <f>K13+IF(AND($E14&lt;&gt;"",$E14&lt;=K$2,$F14&gt;=K$2),1,0)</f>
        <v/>
      </c>
      <c r="L14">
        <f>L13+IF(AND($E14&lt;&gt;"",$E14&lt;=L$2,$F14&gt;=L$2),1,0)</f>
        <v/>
      </c>
      <c r="M14">
        <f>M13+IF(AND($E14&lt;&gt;"",$E14&lt;=M$2,$F14&gt;=M$2),1,0)</f>
        <v/>
      </c>
      <c r="N14">
        <f>N13+IF(AND($E14&lt;&gt;"",$E14&lt;=N$2,$F14&gt;=N$2),1,0)</f>
        <v/>
      </c>
      <c r="O14">
        <f>O13+IF(AND($E14&lt;&gt;"",$E14&lt;=O$2,$F14&gt;=O$2),1,0)</f>
        <v/>
      </c>
      <c r="P14">
        <f>P13+IF(AND($E14&lt;&gt;"",$E14&lt;=P$2,$F14&gt;=P$2),1,0)</f>
        <v/>
      </c>
      <c r="Q14">
        <f>Q13+IF(AND($E14&lt;&gt;"",$E14&lt;=Q$2,$F14&gt;=Q$2),1,0)</f>
        <v/>
      </c>
      <c r="R14">
        <f>R13+IF(AND($E14&lt;&gt;"",$E14&lt;=R$2,$F14&gt;=R$2),1,0)</f>
        <v/>
      </c>
      <c r="S14">
        <f>S13+IF(AND($E14&lt;&gt;"",$E14&lt;=S$2,$F14&gt;=S$2),1,0)</f>
        <v/>
      </c>
      <c r="T14">
        <f>T13+IF(AND($E14&lt;&gt;"",$E14&lt;=T$2,$F14&gt;=T$2),1,0)</f>
        <v/>
      </c>
      <c r="U14">
        <f>U13+IF(AND($E14&lt;&gt;"",$E14&lt;=U$2,$F14&gt;=U$2),1,0)</f>
        <v/>
      </c>
      <c r="V14">
        <f>V13+IF(AND($E14&lt;&gt;"",$E14&lt;=V$2,$F14&gt;=V$2),1,0)</f>
        <v/>
      </c>
      <c r="W14">
        <f>W13+IF(AND($E14&lt;&gt;"",$E14&lt;=W$2,$F14&gt;=W$2),1,0)</f>
        <v/>
      </c>
      <c r="X14">
        <f>X13+IF(AND($E14&lt;&gt;"",$E14&lt;=X$2,$F14&gt;=X$2),1,0)</f>
        <v/>
      </c>
      <c r="Y14">
        <f>Y13+IF(AND($E14&lt;&gt;"",$E14&lt;=Y$2,$F14&gt;=Y$2),1,0)</f>
        <v/>
      </c>
      <c r="Z14">
        <f>Z13+IF(AND($E14&lt;&gt;"",$E14&lt;=Z$2,$F14&gt;=Z$2),1,0)</f>
        <v/>
      </c>
      <c r="AA14">
        <f>AA13+IF(AND($E14&lt;&gt;"",$E14&lt;=AA$2,$F14&gt;=AA$2),1,0)</f>
        <v/>
      </c>
      <c r="AB14">
        <f>AB13+IF(AND($E14&lt;&gt;"",$E14&lt;=AB$2,$F14&gt;=AB$2),1,0)</f>
        <v/>
      </c>
      <c r="AC14">
        <f>AC13+IF(AND($E14&lt;&gt;"",$E14&lt;=AC$2,$F14&gt;=AC$2),1,0)</f>
        <v/>
      </c>
      <c r="AD14">
        <f>AD13+IF(AND($E14&lt;&gt;"",$E14&lt;=AD$2,$F14&gt;=AD$2),1,0)</f>
        <v/>
      </c>
      <c r="AE14">
        <f>AE13+IF(AND($E14&lt;&gt;"",$E14&lt;=AE$2,$F14&gt;=AE$2),1,0)</f>
        <v/>
      </c>
      <c r="AF14">
        <f>AF13+IF(AND($E14&lt;&gt;"",$E14&lt;=AF$2,$F14&gt;=AF$2),1,0)</f>
        <v/>
      </c>
      <c r="AG14">
        <f>AG13+IF(AND($E14&lt;&gt;"",$E14&lt;=AG$2,$F14&gt;=AG$2),1,0)</f>
        <v/>
      </c>
      <c r="AH14">
        <f>AH13+IF(AND($E14&lt;&gt;"",$E14&lt;=AH$2,$F14&gt;=AH$2),1,0)</f>
        <v/>
      </c>
      <c r="AI14">
        <f>AI13+IF(AND($E14&lt;&gt;"",$E14&lt;=AI$2,$F14&gt;=AI$2),1,0)</f>
        <v/>
      </c>
      <c r="AJ14">
        <f>AJ13+IF(AND($E14&lt;&gt;"",$E14&lt;=AJ$2,$F14&gt;=AJ$2),1,0)</f>
        <v/>
      </c>
      <c r="AK14">
        <f>AK13+IF(AND($E14&lt;&gt;"",$E14&lt;=AK$2,$F14&gt;=AK$2),1,0)</f>
        <v/>
      </c>
      <c r="AL14">
        <f>AL13+IF(AND($E14&lt;&gt;"",$E14&lt;=AL$2,$F14&gt;=AL$2),1,0)</f>
        <v/>
      </c>
      <c r="AM14">
        <f>AM13+IF(AND($E14&lt;&gt;"",$E14&lt;=AM$2,$F14&gt;=AM$2),1,0)</f>
        <v/>
      </c>
      <c r="AN14">
        <f>AN13+IF(AND($E14&lt;&gt;"",$E14&lt;=AN$2,$F14&gt;=AN$2),1,0)</f>
        <v/>
      </c>
      <c r="AO14">
        <f>AO13+IF(AND($E14&lt;&gt;"",$E14&lt;=AO$2,$F14&gt;=AO$2),1,0)</f>
        <v/>
      </c>
      <c r="AP14">
        <f>AP13+IF(AND($E14&lt;&gt;"",$E14&lt;=AP$2,$F14&gt;=AP$2),1,0)</f>
        <v/>
      </c>
      <c r="AQ14">
        <f>AQ13+IF(AND($E14&lt;&gt;"",$E14&lt;=AQ$2,$F14&gt;=AQ$2),1,0)</f>
        <v/>
      </c>
      <c r="AR14">
        <f>AR13+IF(AND($E14&lt;&gt;"",$E14&lt;=AR$2,$F14&gt;=AR$2),1,0)</f>
        <v/>
      </c>
      <c r="AS14">
        <f>AS13+IF(AND($E14&lt;&gt;"",$E14&lt;=AS$2,$F14&gt;=AS$2),1,0)</f>
        <v/>
      </c>
      <c r="AT14">
        <f>AT13+IF(AND($E14&lt;&gt;"",$E14&lt;=AT$2,$F14&gt;=AT$2),1,0)</f>
        <v/>
      </c>
      <c r="AU14">
        <f>AU13+IF(AND($E14&lt;&gt;"",$E14&lt;=AU$2,$F14&gt;=AU$2),1,0)</f>
        <v/>
      </c>
      <c r="AV14">
        <f>AV13+IF(AND($E14&lt;&gt;"",$E14&lt;=AV$2,$F14&gt;=AV$2),1,0)</f>
        <v/>
      </c>
      <c r="AW14">
        <f>AW13+IF(AND($E14&lt;&gt;"",$E14&lt;=AW$2,$F14&gt;=AW$2),1,0)</f>
        <v/>
      </c>
    </row>
    <row r="15">
      <c r="A15">
        <f>IF(AND(ISNUMBER(Events!$A17),ISNUMBER(Events!$B17)),MAX(0,Events!$B17-Events!$A17),0)</f>
        <v/>
      </c>
      <c r="B15">
        <f>IF(ISNUMBER(Events!$A17),DATE(YEAR($B$1)-1,MONTH(Events!$A17),DAY(Events!$A17)),"")</f>
        <v/>
      </c>
      <c r="C15">
        <f>IF(ISNUMBER(Events!$A17),DATE(YEAR($B$1),MONTH(Events!$A17),DAY(Events!$A17)),"")</f>
        <v/>
      </c>
      <c r="D15">
        <f>IF(ISNUMBER(Events!$A17),DATE(YEAR($B$2),MONTH(Events!$A17),DAY(Events!$A17)),"")</f>
        <v/>
      </c>
      <c r="E15">
        <f>IF(OR(NOT(ISNUMBER(Events!$A17)),Events!$G17="No",Calendar!$H$4="None"),"",IF(OR(Calendar!$H$4="All events",Events!$D17=Calendar!$H$4),IF(Events!$E17="Yes",IF(AND(B15&gt;=Events!$A17,B15&lt;=$B$2,B15+$A15&gt;=$B$1),B15,IF(AND(C15&gt;=Events!$A17,C15&lt;=$B$2,C15+$A15&gt;=$B$1),C15,IF(AND(D15&gt;=Events!$A17,D15&lt;=$B$2,D15+$A15&gt;=$B$1),D15,""))),IF(AND(Events!$A17&lt;=$B$2,Events!$A17+$A15&gt;=$B$1),Events!$A17,"")),""))</f>
        <v/>
      </c>
      <c r="F15">
        <f>IF(E15="","",E15+A15)</f>
        <v/>
      </c>
      <c r="G15">
        <f>IF(E15="","",IF(AND(E15&lt;=EOMONTH(Calendar!$K$2,0),F15&gt;=Calendar!$K$2),E15+12/100000,""))</f>
        <v/>
      </c>
      <c r="H15">
        <f>H14+IF(AND($E15&lt;&gt;"",$E15&lt;=H$2,$F15&gt;=H$2),1,0)</f>
        <v/>
      </c>
      <c r="I15">
        <f>I14+IF(AND($E15&lt;&gt;"",$E15&lt;=I$2,$F15&gt;=I$2),1,0)</f>
        <v/>
      </c>
      <c r="J15">
        <f>J14+IF(AND($E15&lt;&gt;"",$E15&lt;=J$2,$F15&gt;=J$2),1,0)</f>
        <v/>
      </c>
      <c r="K15">
        <f>K14+IF(AND($E15&lt;&gt;"",$E15&lt;=K$2,$F15&gt;=K$2),1,0)</f>
        <v/>
      </c>
      <c r="L15">
        <f>L14+IF(AND($E15&lt;&gt;"",$E15&lt;=L$2,$F15&gt;=L$2),1,0)</f>
        <v/>
      </c>
      <c r="M15">
        <f>M14+IF(AND($E15&lt;&gt;"",$E15&lt;=M$2,$F15&gt;=M$2),1,0)</f>
        <v/>
      </c>
      <c r="N15">
        <f>N14+IF(AND($E15&lt;&gt;"",$E15&lt;=N$2,$F15&gt;=N$2),1,0)</f>
        <v/>
      </c>
      <c r="O15">
        <f>O14+IF(AND($E15&lt;&gt;"",$E15&lt;=O$2,$F15&gt;=O$2),1,0)</f>
        <v/>
      </c>
      <c r="P15">
        <f>P14+IF(AND($E15&lt;&gt;"",$E15&lt;=P$2,$F15&gt;=P$2),1,0)</f>
        <v/>
      </c>
      <c r="Q15">
        <f>Q14+IF(AND($E15&lt;&gt;"",$E15&lt;=Q$2,$F15&gt;=Q$2),1,0)</f>
        <v/>
      </c>
      <c r="R15">
        <f>R14+IF(AND($E15&lt;&gt;"",$E15&lt;=R$2,$F15&gt;=R$2),1,0)</f>
        <v/>
      </c>
      <c r="S15">
        <f>S14+IF(AND($E15&lt;&gt;"",$E15&lt;=S$2,$F15&gt;=S$2),1,0)</f>
        <v/>
      </c>
      <c r="T15">
        <f>T14+IF(AND($E15&lt;&gt;"",$E15&lt;=T$2,$F15&gt;=T$2),1,0)</f>
        <v/>
      </c>
      <c r="U15">
        <f>U14+IF(AND($E15&lt;&gt;"",$E15&lt;=U$2,$F15&gt;=U$2),1,0)</f>
        <v/>
      </c>
      <c r="V15">
        <f>V14+IF(AND($E15&lt;&gt;"",$E15&lt;=V$2,$F15&gt;=V$2),1,0)</f>
        <v/>
      </c>
      <c r="W15">
        <f>W14+IF(AND($E15&lt;&gt;"",$E15&lt;=W$2,$F15&gt;=W$2),1,0)</f>
        <v/>
      </c>
      <c r="X15">
        <f>X14+IF(AND($E15&lt;&gt;"",$E15&lt;=X$2,$F15&gt;=X$2),1,0)</f>
        <v/>
      </c>
      <c r="Y15">
        <f>Y14+IF(AND($E15&lt;&gt;"",$E15&lt;=Y$2,$F15&gt;=Y$2),1,0)</f>
        <v/>
      </c>
      <c r="Z15">
        <f>Z14+IF(AND($E15&lt;&gt;"",$E15&lt;=Z$2,$F15&gt;=Z$2),1,0)</f>
        <v/>
      </c>
      <c r="AA15">
        <f>AA14+IF(AND($E15&lt;&gt;"",$E15&lt;=AA$2,$F15&gt;=AA$2),1,0)</f>
        <v/>
      </c>
      <c r="AB15">
        <f>AB14+IF(AND($E15&lt;&gt;"",$E15&lt;=AB$2,$F15&gt;=AB$2),1,0)</f>
        <v/>
      </c>
      <c r="AC15">
        <f>AC14+IF(AND($E15&lt;&gt;"",$E15&lt;=AC$2,$F15&gt;=AC$2),1,0)</f>
        <v/>
      </c>
      <c r="AD15">
        <f>AD14+IF(AND($E15&lt;&gt;"",$E15&lt;=AD$2,$F15&gt;=AD$2),1,0)</f>
        <v/>
      </c>
      <c r="AE15">
        <f>AE14+IF(AND($E15&lt;&gt;"",$E15&lt;=AE$2,$F15&gt;=AE$2),1,0)</f>
        <v/>
      </c>
      <c r="AF15">
        <f>AF14+IF(AND($E15&lt;&gt;"",$E15&lt;=AF$2,$F15&gt;=AF$2),1,0)</f>
        <v/>
      </c>
      <c r="AG15">
        <f>AG14+IF(AND($E15&lt;&gt;"",$E15&lt;=AG$2,$F15&gt;=AG$2),1,0)</f>
        <v/>
      </c>
      <c r="AH15">
        <f>AH14+IF(AND($E15&lt;&gt;"",$E15&lt;=AH$2,$F15&gt;=AH$2),1,0)</f>
        <v/>
      </c>
      <c r="AI15">
        <f>AI14+IF(AND($E15&lt;&gt;"",$E15&lt;=AI$2,$F15&gt;=AI$2),1,0)</f>
        <v/>
      </c>
      <c r="AJ15">
        <f>AJ14+IF(AND($E15&lt;&gt;"",$E15&lt;=AJ$2,$F15&gt;=AJ$2),1,0)</f>
        <v/>
      </c>
      <c r="AK15">
        <f>AK14+IF(AND($E15&lt;&gt;"",$E15&lt;=AK$2,$F15&gt;=AK$2),1,0)</f>
        <v/>
      </c>
      <c r="AL15">
        <f>AL14+IF(AND($E15&lt;&gt;"",$E15&lt;=AL$2,$F15&gt;=AL$2),1,0)</f>
        <v/>
      </c>
      <c r="AM15">
        <f>AM14+IF(AND($E15&lt;&gt;"",$E15&lt;=AM$2,$F15&gt;=AM$2),1,0)</f>
        <v/>
      </c>
      <c r="AN15">
        <f>AN14+IF(AND($E15&lt;&gt;"",$E15&lt;=AN$2,$F15&gt;=AN$2),1,0)</f>
        <v/>
      </c>
      <c r="AO15">
        <f>AO14+IF(AND($E15&lt;&gt;"",$E15&lt;=AO$2,$F15&gt;=AO$2),1,0)</f>
        <v/>
      </c>
      <c r="AP15">
        <f>AP14+IF(AND($E15&lt;&gt;"",$E15&lt;=AP$2,$F15&gt;=AP$2),1,0)</f>
        <v/>
      </c>
      <c r="AQ15">
        <f>AQ14+IF(AND($E15&lt;&gt;"",$E15&lt;=AQ$2,$F15&gt;=AQ$2),1,0)</f>
        <v/>
      </c>
      <c r="AR15">
        <f>AR14+IF(AND($E15&lt;&gt;"",$E15&lt;=AR$2,$F15&gt;=AR$2),1,0)</f>
        <v/>
      </c>
      <c r="AS15">
        <f>AS14+IF(AND($E15&lt;&gt;"",$E15&lt;=AS$2,$F15&gt;=AS$2),1,0)</f>
        <v/>
      </c>
      <c r="AT15">
        <f>AT14+IF(AND($E15&lt;&gt;"",$E15&lt;=AT$2,$F15&gt;=AT$2),1,0)</f>
        <v/>
      </c>
      <c r="AU15">
        <f>AU14+IF(AND($E15&lt;&gt;"",$E15&lt;=AU$2,$F15&gt;=AU$2),1,0)</f>
        <v/>
      </c>
      <c r="AV15">
        <f>AV14+IF(AND($E15&lt;&gt;"",$E15&lt;=AV$2,$F15&gt;=AV$2),1,0)</f>
        <v/>
      </c>
      <c r="AW15">
        <f>AW14+IF(AND($E15&lt;&gt;"",$E15&lt;=AW$2,$F15&gt;=AW$2),1,0)</f>
        <v/>
      </c>
    </row>
    <row r="16">
      <c r="A16">
        <f>IF(AND(ISNUMBER(Events!$A18),ISNUMBER(Events!$B18)),MAX(0,Events!$B18-Events!$A18),0)</f>
        <v/>
      </c>
      <c r="B16">
        <f>IF(ISNUMBER(Events!$A18),DATE(YEAR($B$1)-1,MONTH(Events!$A18),DAY(Events!$A18)),"")</f>
        <v/>
      </c>
      <c r="C16">
        <f>IF(ISNUMBER(Events!$A18),DATE(YEAR($B$1),MONTH(Events!$A18),DAY(Events!$A18)),"")</f>
        <v/>
      </c>
      <c r="D16">
        <f>IF(ISNUMBER(Events!$A18),DATE(YEAR($B$2),MONTH(Events!$A18),DAY(Events!$A18)),"")</f>
        <v/>
      </c>
      <c r="E16">
        <f>IF(OR(NOT(ISNUMBER(Events!$A18)),Events!$G18="No",Calendar!$H$4="None"),"",IF(OR(Calendar!$H$4="All events",Events!$D18=Calendar!$H$4),IF(Events!$E18="Yes",IF(AND(B16&gt;=Events!$A18,B16&lt;=$B$2,B16+$A16&gt;=$B$1),B16,IF(AND(C16&gt;=Events!$A18,C16&lt;=$B$2,C16+$A16&gt;=$B$1),C16,IF(AND(D16&gt;=Events!$A18,D16&lt;=$B$2,D16+$A16&gt;=$B$1),D16,""))),IF(AND(Events!$A18&lt;=$B$2,Events!$A18+$A16&gt;=$B$1),Events!$A18,"")),""))</f>
        <v/>
      </c>
      <c r="F16">
        <f>IF(E16="","",E16+A16)</f>
        <v/>
      </c>
      <c r="G16">
        <f>IF(E16="","",IF(AND(E16&lt;=EOMONTH(Calendar!$K$2,0),F16&gt;=Calendar!$K$2),E16+13/100000,""))</f>
        <v/>
      </c>
      <c r="H16">
        <f>H15+IF(AND($E16&lt;&gt;"",$E16&lt;=H$2,$F16&gt;=H$2),1,0)</f>
        <v/>
      </c>
      <c r="I16">
        <f>I15+IF(AND($E16&lt;&gt;"",$E16&lt;=I$2,$F16&gt;=I$2),1,0)</f>
        <v/>
      </c>
      <c r="J16">
        <f>J15+IF(AND($E16&lt;&gt;"",$E16&lt;=J$2,$F16&gt;=J$2),1,0)</f>
        <v/>
      </c>
      <c r="K16">
        <f>K15+IF(AND($E16&lt;&gt;"",$E16&lt;=K$2,$F16&gt;=K$2),1,0)</f>
        <v/>
      </c>
      <c r="L16">
        <f>L15+IF(AND($E16&lt;&gt;"",$E16&lt;=L$2,$F16&gt;=L$2),1,0)</f>
        <v/>
      </c>
      <c r="M16">
        <f>M15+IF(AND($E16&lt;&gt;"",$E16&lt;=M$2,$F16&gt;=M$2),1,0)</f>
        <v/>
      </c>
      <c r="N16">
        <f>N15+IF(AND($E16&lt;&gt;"",$E16&lt;=N$2,$F16&gt;=N$2),1,0)</f>
        <v/>
      </c>
      <c r="O16">
        <f>O15+IF(AND($E16&lt;&gt;"",$E16&lt;=O$2,$F16&gt;=O$2),1,0)</f>
        <v/>
      </c>
      <c r="P16">
        <f>P15+IF(AND($E16&lt;&gt;"",$E16&lt;=P$2,$F16&gt;=P$2),1,0)</f>
        <v/>
      </c>
      <c r="Q16">
        <f>Q15+IF(AND($E16&lt;&gt;"",$E16&lt;=Q$2,$F16&gt;=Q$2),1,0)</f>
        <v/>
      </c>
      <c r="R16">
        <f>R15+IF(AND($E16&lt;&gt;"",$E16&lt;=R$2,$F16&gt;=R$2),1,0)</f>
        <v/>
      </c>
      <c r="S16">
        <f>S15+IF(AND($E16&lt;&gt;"",$E16&lt;=S$2,$F16&gt;=S$2),1,0)</f>
        <v/>
      </c>
      <c r="T16">
        <f>T15+IF(AND($E16&lt;&gt;"",$E16&lt;=T$2,$F16&gt;=T$2),1,0)</f>
        <v/>
      </c>
      <c r="U16">
        <f>U15+IF(AND($E16&lt;&gt;"",$E16&lt;=U$2,$F16&gt;=U$2),1,0)</f>
        <v/>
      </c>
      <c r="V16">
        <f>V15+IF(AND($E16&lt;&gt;"",$E16&lt;=V$2,$F16&gt;=V$2),1,0)</f>
        <v/>
      </c>
      <c r="W16">
        <f>W15+IF(AND($E16&lt;&gt;"",$E16&lt;=W$2,$F16&gt;=W$2),1,0)</f>
        <v/>
      </c>
      <c r="X16">
        <f>X15+IF(AND($E16&lt;&gt;"",$E16&lt;=X$2,$F16&gt;=X$2),1,0)</f>
        <v/>
      </c>
      <c r="Y16">
        <f>Y15+IF(AND($E16&lt;&gt;"",$E16&lt;=Y$2,$F16&gt;=Y$2),1,0)</f>
        <v/>
      </c>
      <c r="Z16">
        <f>Z15+IF(AND($E16&lt;&gt;"",$E16&lt;=Z$2,$F16&gt;=Z$2),1,0)</f>
        <v/>
      </c>
      <c r="AA16">
        <f>AA15+IF(AND($E16&lt;&gt;"",$E16&lt;=AA$2,$F16&gt;=AA$2),1,0)</f>
        <v/>
      </c>
      <c r="AB16">
        <f>AB15+IF(AND($E16&lt;&gt;"",$E16&lt;=AB$2,$F16&gt;=AB$2),1,0)</f>
        <v/>
      </c>
      <c r="AC16">
        <f>AC15+IF(AND($E16&lt;&gt;"",$E16&lt;=AC$2,$F16&gt;=AC$2),1,0)</f>
        <v/>
      </c>
      <c r="AD16">
        <f>AD15+IF(AND($E16&lt;&gt;"",$E16&lt;=AD$2,$F16&gt;=AD$2),1,0)</f>
        <v/>
      </c>
      <c r="AE16">
        <f>AE15+IF(AND($E16&lt;&gt;"",$E16&lt;=AE$2,$F16&gt;=AE$2),1,0)</f>
        <v/>
      </c>
      <c r="AF16">
        <f>AF15+IF(AND($E16&lt;&gt;"",$E16&lt;=AF$2,$F16&gt;=AF$2),1,0)</f>
        <v/>
      </c>
      <c r="AG16">
        <f>AG15+IF(AND($E16&lt;&gt;"",$E16&lt;=AG$2,$F16&gt;=AG$2),1,0)</f>
        <v/>
      </c>
      <c r="AH16">
        <f>AH15+IF(AND($E16&lt;&gt;"",$E16&lt;=AH$2,$F16&gt;=AH$2),1,0)</f>
        <v/>
      </c>
      <c r="AI16">
        <f>AI15+IF(AND($E16&lt;&gt;"",$E16&lt;=AI$2,$F16&gt;=AI$2),1,0)</f>
        <v/>
      </c>
      <c r="AJ16">
        <f>AJ15+IF(AND($E16&lt;&gt;"",$E16&lt;=AJ$2,$F16&gt;=AJ$2),1,0)</f>
        <v/>
      </c>
      <c r="AK16">
        <f>AK15+IF(AND($E16&lt;&gt;"",$E16&lt;=AK$2,$F16&gt;=AK$2),1,0)</f>
        <v/>
      </c>
      <c r="AL16">
        <f>AL15+IF(AND($E16&lt;&gt;"",$E16&lt;=AL$2,$F16&gt;=AL$2),1,0)</f>
        <v/>
      </c>
      <c r="AM16">
        <f>AM15+IF(AND($E16&lt;&gt;"",$E16&lt;=AM$2,$F16&gt;=AM$2),1,0)</f>
        <v/>
      </c>
      <c r="AN16">
        <f>AN15+IF(AND($E16&lt;&gt;"",$E16&lt;=AN$2,$F16&gt;=AN$2),1,0)</f>
        <v/>
      </c>
      <c r="AO16">
        <f>AO15+IF(AND($E16&lt;&gt;"",$E16&lt;=AO$2,$F16&gt;=AO$2),1,0)</f>
        <v/>
      </c>
      <c r="AP16">
        <f>AP15+IF(AND($E16&lt;&gt;"",$E16&lt;=AP$2,$F16&gt;=AP$2),1,0)</f>
        <v/>
      </c>
      <c r="AQ16">
        <f>AQ15+IF(AND($E16&lt;&gt;"",$E16&lt;=AQ$2,$F16&gt;=AQ$2),1,0)</f>
        <v/>
      </c>
      <c r="AR16">
        <f>AR15+IF(AND($E16&lt;&gt;"",$E16&lt;=AR$2,$F16&gt;=AR$2),1,0)</f>
        <v/>
      </c>
      <c r="AS16">
        <f>AS15+IF(AND($E16&lt;&gt;"",$E16&lt;=AS$2,$F16&gt;=AS$2),1,0)</f>
        <v/>
      </c>
      <c r="AT16">
        <f>AT15+IF(AND($E16&lt;&gt;"",$E16&lt;=AT$2,$F16&gt;=AT$2),1,0)</f>
        <v/>
      </c>
      <c r="AU16">
        <f>AU15+IF(AND($E16&lt;&gt;"",$E16&lt;=AU$2,$F16&gt;=AU$2),1,0)</f>
        <v/>
      </c>
      <c r="AV16">
        <f>AV15+IF(AND($E16&lt;&gt;"",$E16&lt;=AV$2,$F16&gt;=AV$2),1,0)</f>
        <v/>
      </c>
      <c r="AW16">
        <f>AW15+IF(AND($E16&lt;&gt;"",$E16&lt;=AW$2,$F16&gt;=AW$2),1,0)</f>
        <v/>
      </c>
    </row>
    <row r="17">
      <c r="A17">
        <f>IF(AND(ISNUMBER(Events!$A19),ISNUMBER(Events!$B19)),MAX(0,Events!$B19-Events!$A19),0)</f>
        <v/>
      </c>
      <c r="B17">
        <f>IF(ISNUMBER(Events!$A19),DATE(YEAR($B$1)-1,MONTH(Events!$A19),DAY(Events!$A19)),"")</f>
        <v/>
      </c>
      <c r="C17">
        <f>IF(ISNUMBER(Events!$A19),DATE(YEAR($B$1),MONTH(Events!$A19),DAY(Events!$A19)),"")</f>
        <v/>
      </c>
      <c r="D17">
        <f>IF(ISNUMBER(Events!$A19),DATE(YEAR($B$2),MONTH(Events!$A19),DAY(Events!$A19)),"")</f>
        <v/>
      </c>
      <c r="E17">
        <f>IF(OR(NOT(ISNUMBER(Events!$A19)),Events!$G19="No",Calendar!$H$4="None"),"",IF(OR(Calendar!$H$4="All events",Events!$D19=Calendar!$H$4),IF(Events!$E19="Yes",IF(AND(B17&gt;=Events!$A19,B17&lt;=$B$2,B17+$A17&gt;=$B$1),B17,IF(AND(C17&gt;=Events!$A19,C17&lt;=$B$2,C17+$A17&gt;=$B$1),C17,IF(AND(D17&gt;=Events!$A19,D17&lt;=$B$2,D17+$A17&gt;=$B$1),D17,""))),IF(AND(Events!$A19&lt;=$B$2,Events!$A19+$A17&gt;=$B$1),Events!$A19,"")),""))</f>
        <v/>
      </c>
      <c r="F17">
        <f>IF(E17="","",E17+A17)</f>
        <v/>
      </c>
      <c r="G17">
        <f>IF(E17="","",IF(AND(E17&lt;=EOMONTH(Calendar!$K$2,0),F17&gt;=Calendar!$K$2),E17+14/100000,""))</f>
        <v/>
      </c>
      <c r="H17">
        <f>H16+IF(AND($E17&lt;&gt;"",$E17&lt;=H$2,$F17&gt;=H$2),1,0)</f>
        <v/>
      </c>
      <c r="I17">
        <f>I16+IF(AND($E17&lt;&gt;"",$E17&lt;=I$2,$F17&gt;=I$2),1,0)</f>
        <v/>
      </c>
      <c r="J17">
        <f>J16+IF(AND($E17&lt;&gt;"",$E17&lt;=J$2,$F17&gt;=J$2),1,0)</f>
        <v/>
      </c>
      <c r="K17">
        <f>K16+IF(AND($E17&lt;&gt;"",$E17&lt;=K$2,$F17&gt;=K$2),1,0)</f>
        <v/>
      </c>
      <c r="L17">
        <f>L16+IF(AND($E17&lt;&gt;"",$E17&lt;=L$2,$F17&gt;=L$2),1,0)</f>
        <v/>
      </c>
      <c r="M17">
        <f>M16+IF(AND($E17&lt;&gt;"",$E17&lt;=M$2,$F17&gt;=M$2),1,0)</f>
        <v/>
      </c>
      <c r="N17">
        <f>N16+IF(AND($E17&lt;&gt;"",$E17&lt;=N$2,$F17&gt;=N$2),1,0)</f>
        <v/>
      </c>
      <c r="O17">
        <f>O16+IF(AND($E17&lt;&gt;"",$E17&lt;=O$2,$F17&gt;=O$2),1,0)</f>
        <v/>
      </c>
      <c r="P17">
        <f>P16+IF(AND($E17&lt;&gt;"",$E17&lt;=P$2,$F17&gt;=P$2),1,0)</f>
        <v/>
      </c>
      <c r="Q17">
        <f>Q16+IF(AND($E17&lt;&gt;"",$E17&lt;=Q$2,$F17&gt;=Q$2),1,0)</f>
        <v/>
      </c>
      <c r="R17">
        <f>R16+IF(AND($E17&lt;&gt;"",$E17&lt;=R$2,$F17&gt;=R$2),1,0)</f>
        <v/>
      </c>
      <c r="S17">
        <f>S16+IF(AND($E17&lt;&gt;"",$E17&lt;=S$2,$F17&gt;=S$2),1,0)</f>
        <v/>
      </c>
      <c r="T17">
        <f>T16+IF(AND($E17&lt;&gt;"",$E17&lt;=T$2,$F17&gt;=T$2),1,0)</f>
        <v/>
      </c>
      <c r="U17">
        <f>U16+IF(AND($E17&lt;&gt;"",$E17&lt;=U$2,$F17&gt;=U$2),1,0)</f>
        <v/>
      </c>
      <c r="V17">
        <f>V16+IF(AND($E17&lt;&gt;"",$E17&lt;=V$2,$F17&gt;=V$2),1,0)</f>
        <v/>
      </c>
      <c r="W17">
        <f>W16+IF(AND($E17&lt;&gt;"",$E17&lt;=W$2,$F17&gt;=W$2),1,0)</f>
        <v/>
      </c>
      <c r="X17">
        <f>X16+IF(AND($E17&lt;&gt;"",$E17&lt;=X$2,$F17&gt;=X$2),1,0)</f>
        <v/>
      </c>
      <c r="Y17">
        <f>Y16+IF(AND($E17&lt;&gt;"",$E17&lt;=Y$2,$F17&gt;=Y$2),1,0)</f>
        <v/>
      </c>
      <c r="Z17">
        <f>Z16+IF(AND($E17&lt;&gt;"",$E17&lt;=Z$2,$F17&gt;=Z$2),1,0)</f>
        <v/>
      </c>
      <c r="AA17">
        <f>AA16+IF(AND($E17&lt;&gt;"",$E17&lt;=AA$2,$F17&gt;=AA$2),1,0)</f>
        <v/>
      </c>
      <c r="AB17">
        <f>AB16+IF(AND($E17&lt;&gt;"",$E17&lt;=AB$2,$F17&gt;=AB$2),1,0)</f>
        <v/>
      </c>
      <c r="AC17">
        <f>AC16+IF(AND($E17&lt;&gt;"",$E17&lt;=AC$2,$F17&gt;=AC$2),1,0)</f>
        <v/>
      </c>
      <c r="AD17">
        <f>AD16+IF(AND($E17&lt;&gt;"",$E17&lt;=AD$2,$F17&gt;=AD$2),1,0)</f>
        <v/>
      </c>
      <c r="AE17">
        <f>AE16+IF(AND($E17&lt;&gt;"",$E17&lt;=AE$2,$F17&gt;=AE$2),1,0)</f>
        <v/>
      </c>
      <c r="AF17">
        <f>AF16+IF(AND($E17&lt;&gt;"",$E17&lt;=AF$2,$F17&gt;=AF$2),1,0)</f>
        <v/>
      </c>
      <c r="AG17">
        <f>AG16+IF(AND($E17&lt;&gt;"",$E17&lt;=AG$2,$F17&gt;=AG$2),1,0)</f>
        <v/>
      </c>
      <c r="AH17">
        <f>AH16+IF(AND($E17&lt;&gt;"",$E17&lt;=AH$2,$F17&gt;=AH$2),1,0)</f>
        <v/>
      </c>
      <c r="AI17">
        <f>AI16+IF(AND($E17&lt;&gt;"",$E17&lt;=AI$2,$F17&gt;=AI$2),1,0)</f>
        <v/>
      </c>
      <c r="AJ17">
        <f>AJ16+IF(AND($E17&lt;&gt;"",$E17&lt;=AJ$2,$F17&gt;=AJ$2),1,0)</f>
        <v/>
      </c>
      <c r="AK17">
        <f>AK16+IF(AND($E17&lt;&gt;"",$E17&lt;=AK$2,$F17&gt;=AK$2),1,0)</f>
        <v/>
      </c>
      <c r="AL17">
        <f>AL16+IF(AND($E17&lt;&gt;"",$E17&lt;=AL$2,$F17&gt;=AL$2),1,0)</f>
        <v/>
      </c>
      <c r="AM17">
        <f>AM16+IF(AND($E17&lt;&gt;"",$E17&lt;=AM$2,$F17&gt;=AM$2),1,0)</f>
        <v/>
      </c>
      <c r="AN17">
        <f>AN16+IF(AND($E17&lt;&gt;"",$E17&lt;=AN$2,$F17&gt;=AN$2),1,0)</f>
        <v/>
      </c>
      <c r="AO17">
        <f>AO16+IF(AND($E17&lt;&gt;"",$E17&lt;=AO$2,$F17&gt;=AO$2),1,0)</f>
        <v/>
      </c>
      <c r="AP17">
        <f>AP16+IF(AND($E17&lt;&gt;"",$E17&lt;=AP$2,$F17&gt;=AP$2),1,0)</f>
        <v/>
      </c>
      <c r="AQ17">
        <f>AQ16+IF(AND($E17&lt;&gt;"",$E17&lt;=AQ$2,$F17&gt;=AQ$2),1,0)</f>
        <v/>
      </c>
      <c r="AR17">
        <f>AR16+IF(AND($E17&lt;&gt;"",$E17&lt;=AR$2,$F17&gt;=AR$2),1,0)</f>
        <v/>
      </c>
      <c r="AS17">
        <f>AS16+IF(AND($E17&lt;&gt;"",$E17&lt;=AS$2,$F17&gt;=AS$2),1,0)</f>
        <v/>
      </c>
      <c r="AT17">
        <f>AT16+IF(AND($E17&lt;&gt;"",$E17&lt;=AT$2,$F17&gt;=AT$2),1,0)</f>
        <v/>
      </c>
      <c r="AU17">
        <f>AU16+IF(AND($E17&lt;&gt;"",$E17&lt;=AU$2,$F17&gt;=AU$2),1,0)</f>
        <v/>
      </c>
      <c r="AV17">
        <f>AV16+IF(AND($E17&lt;&gt;"",$E17&lt;=AV$2,$F17&gt;=AV$2),1,0)</f>
        <v/>
      </c>
      <c r="AW17">
        <f>AW16+IF(AND($E17&lt;&gt;"",$E17&lt;=AW$2,$F17&gt;=AW$2),1,0)</f>
        <v/>
      </c>
    </row>
    <row r="18">
      <c r="A18">
        <f>IF(AND(ISNUMBER(Events!$A20),ISNUMBER(Events!$B20)),MAX(0,Events!$B20-Events!$A20),0)</f>
        <v/>
      </c>
      <c r="B18">
        <f>IF(ISNUMBER(Events!$A20),DATE(YEAR($B$1)-1,MONTH(Events!$A20),DAY(Events!$A20)),"")</f>
        <v/>
      </c>
      <c r="C18">
        <f>IF(ISNUMBER(Events!$A20),DATE(YEAR($B$1),MONTH(Events!$A20),DAY(Events!$A20)),"")</f>
        <v/>
      </c>
      <c r="D18">
        <f>IF(ISNUMBER(Events!$A20),DATE(YEAR($B$2),MONTH(Events!$A20),DAY(Events!$A20)),"")</f>
        <v/>
      </c>
      <c r="E18">
        <f>IF(OR(NOT(ISNUMBER(Events!$A20)),Events!$G20="No",Calendar!$H$4="None"),"",IF(OR(Calendar!$H$4="All events",Events!$D20=Calendar!$H$4),IF(Events!$E20="Yes",IF(AND(B18&gt;=Events!$A20,B18&lt;=$B$2,B18+$A18&gt;=$B$1),B18,IF(AND(C18&gt;=Events!$A20,C18&lt;=$B$2,C18+$A18&gt;=$B$1),C18,IF(AND(D18&gt;=Events!$A20,D18&lt;=$B$2,D18+$A18&gt;=$B$1),D18,""))),IF(AND(Events!$A20&lt;=$B$2,Events!$A20+$A18&gt;=$B$1),Events!$A20,"")),""))</f>
        <v/>
      </c>
      <c r="F18">
        <f>IF(E18="","",E18+A18)</f>
        <v/>
      </c>
      <c r="G18">
        <f>IF(E18="","",IF(AND(E18&lt;=EOMONTH(Calendar!$K$2,0),F18&gt;=Calendar!$K$2),E18+15/100000,""))</f>
        <v/>
      </c>
      <c r="H18">
        <f>H17+IF(AND($E18&lt;&gt;"",$E18&lt;=H$2,$F18&gt;=H$2),1,0)</f>
        <v/>
      </c>
      <c r="I18">
        <f>I17+IF(AND($E18&lt;&gt;"",$E18&lt;=I$2,$F18&gt;=I$2),1,0)</f>
        <v/>
      </c>
      <c r="J18">
        <f>J17+IF(AND($E18&lt;&gt;"",$E18&lt;=J$2,$F18&gt;=J$2),1,0)</f>
        <v/>
      </c>
      <c r="K18">
        <f>K17+IF(AND($E18&lt;&gt;"",$E18&lt;=K$2,$F18&gt;=K$2),1,0)</f>
        <v/>
      </c>
      <c r="L18">
        <f>L17+IF(AND($E18&lt;&gt;"",$E18&lt;=L$2,$F18&gt;=L$2),1,0)</f>
        <v/>
      </c>
      <c r="M18">
        <f>M17+IF(AND($E18&lt;&gt;"",$E18&lt;=M$2,$F18&gt;=M$2),1,0)</f>
        <v/>
      </c>
      <c r="N18">
        <f>N17+IF(AND($E18&lt;&gt;"",$E18&lt;=N$2,$F18&gt;=N$2),1,0)</f>
        <v/>
      </c>
      <c r="O18">
        <f>O17+IF(AND($E18&lt;&gt;"",$E18&lt;=O$2,$F18&gt;=O$2),1,0)</f>
        <v/>
      </c>
      <c r="P18">
        <f>P17+IF(AND($E18&lt;&gt;"",$E18&lt;=P$2,$F18&gt;=P$2),1,0)</f>
        <v/>
      </c>
      <c r="Q18">
        <f>Q17+IF(AND($E18&lt;&gt;"",$E18&lt;=Q$2,$F18&gt;=Q$2),1,0)</f>
        <v/>
      </c>
      <c r="R18">
        <f>R17+IF(AND($E18&lt;&gt;"",$E18&lt;=R$2,$F18&gt;=R$2),1,0)</f>
        <v/>
      </c>
      <c r="S18">
        <f>S17+IF(AND($E18&lt;&gt;"",$E18&lt;=S$2,$F18&gt;=S$2),1,0)</f>
        <v/>
      </c>
      <c r="T18">
        <f>T17+IF(AND($E18&lt;&gt;"",$E18&lt;=T$2,$F18&gt;=T$2),1,0)</f>
        <v/>
      </c>
      <c r="U18">
        <f>U17+IF(AND($E18&lt;&gt;"",$E18&lt;=U$2,$F18&gt;=U$2),1,0)</f>
        <v/>
      </c>
      <c r="V18">
        <f>V17+IF(AND($E18&lt;&gt;"",$E18&lt;=V$2,$F18&gt;=V$2),1,0)</f>
        <v/>
      </c>
      <c r="W18">
        <f>W17+IF(AND($E18&lt;&gt;"",$E18&lt;=W$2,$F18&gt;=W$2),1,0)</f>
        <v/>
      </c>
      <c r="X18">
        <f>X17+IF(AND($E18&lt;&gt;"",$E18&lt;=X$2,$F18&gt;=X$2),1,0)</f>
        <v/>
      </c>
      <c r="Y18">
        <f>Y17+IF(AND($E18&lt;&gt;"",$E18&lt;=Y$2,$F18&gt;=Y$2),1,0)</f>
        <v/>
      </c>
      <c r="Z18">
        <f>Z17+IF(AND($E18&lt;&gt;"",$E18&lt;=Z$2,$F18&gt;=Z$2),1,0)</f>
        <v/>
      </c>
      <c r="AA18">
        <f>AA17+IF(AND($E18&lt;&gt;"",$E18&lt;=AA$2,$F18&gt;=AA$2),1,0)</f>
        <v/>
      </c>
      <c r="AB18">
        <f>AB17+IF(AND($E18&lt;&gt;"",$E18&lt;=AB$2,$F18&gt;=AB$2),1,0)</f>
        <v/>
      </c>
      <c r="AC18">
        <f>AC17+IF(AND($E18&lt;&gt;"",$E18&lt;=AC$2,$F18&gt;=AC$2),1,0)</f>
        <v/>
      </c>
      <c r="AD18">
        <f>AD17+IF(AND($E18&lt;&gt;"",$E18&lt;=AD$2,$F18&gt;=AD$2),1,0)</f>
        <v/>
      </c>
      <c r="AE18">
        <f>AE17+IF(AND($E18&lt;&gt;"",$E18&lt;=AE$2,$F18&gt;=AE$2),1,0)</f>
        <v/>
      </c>
      <c r="AF18">
        <f>AF17+IF(AND($E18&lt;&gt;"",$E18&lt;=AF$2,$F18&gt;=AF$2),1,0)</f>
        <v/>
      </c>
      <c r="AG18">
        <f>AG17+IF(AND($E18&lt;&gt;"",$E18&lt;=AG$2,$F18&gt;=AG$2),1,0)</f>
        <v/>
      </c>
      <c r="AH18">
        <f>AH17+IF(AND($E18&lt;&gt;"",$E18&lt;=AH$2,$F18&gt;=AH$2),1,0)</f>
        <v/>
      </c>
      <c r="AI18">
        <f>AI17+IF(AND($E18&lt;&gt;"",$E18&lt;=AI$2,$F18&gt;=AI$2),1,0)</f>
        <v/>
      </c>
      <c r="AJ18">
        <f>AJ17+IF(AND($E18&lt;&gt;"",$E18&lt;=AJ$2,$F18&gt;=AJ$2),1,0)</f>
        <v/>
      </c>
      <c r="AK18">
        <f>AK17+IF(AND($E18&lt;&gt;"",$E18&lt;=AK$2,$F18&gt;=AK$2),1,0)</f>
        <v/>
      </c>
      <c r="AL18">
        <f>AL17+IF(AND($E18&lt;&gt;"",$E18&lt;=AL$2,$F18&gt;=AL$2),1,0)</f>
        <v/>
      </c>
      <c r="AM18">
        <f>AM17+IF(AND($E18&lt;&gt;"",$E18&lt;=AM$2,$F18&gt;=AM$2),1,0)</f>
        <v/>
      </c>
      <c r="AN18">
        <f>AN17+IF(AND($E18&lt;&gt;"",$E18&lt;=AN$2,$F18&gt;=AN$2),1,0)</f>
        <v/>
      </c>
      <c r="AO18">
        <f>AO17+IF(AND($E18&lt;&gt;"",$E18&lt;=AO$2,$F18&gt;=AO$2),1,0)</f>
        <v/>
      </c>
      <c r="AP18">
        <f>AP17+IF(AND($E18&lt;&gt;"",$E18&lt;=AP$2,$F18&gt;=AP$2),1,0)</f>
        <v/>
      </c>
      <c r="AQ18">
        <f>AQ17+IF(AND($E18&lt;&gt;"",$E18&lt;=AQ$2,$F18&gt;=AQ$2),1,0)</f>
        <v/>
      </c>
      <c r="AR18">
        <f>AR17+IF(AND($E18&lt;&gt;"",$E18&lt;=AR$2,$F18&gt;=AR$2),1,0)</f>
        <v/>
      </c>
      <c r="AS18">
        <f>AS17+IF(AND($E18&lt;&gt;"",$E18&lt;=AS$2,$F18&gt;=AS$2),1,0)</f>
        <v/>
      </c>
      <c r="AT18">
        <f>AT17+IF(AND($E18&lt;&gt;"",$E18&lt;=AT$2,$F18&gt;=AT$2),1,0)</f>
        <v/>
      </c>
      <c r="AU18">
        <f>AU17+IF(AND($E18&lt;&gt;"",$E18&lt;=AU$2,$F18&gt;=AU$2),1,0)</f>
        <v/>
      </c>
      <c r="AV18">
        <f>AV17+IF(AND($E18&lt;&gt;"",$E18&lt;=AV$2,$F18&gt;=AV$2),1,0)</f>
        <v/>
      </c>
      <c r="AW18">
        <f>AW17+IF(AND($E18&lt;&gt;"",$E18&lt;=AW$2,$F18&gt;=AW$2),1,0)</f>
        <v/>
      </c>
    </row>
    <row r="19">
      <c r="A19">
        <f>IF(AND(ISNUMBER(Events!$A21),ISNUMBER(Events!$B21)),MAX(0,Events!$B21-Events!$A21),0)</f>
        <v/>
      </c>
      <c r="B19">
        <f>IF(ISNUMBER(Events!$A21),DATE(YEAR($B$1)-1,MONTH(Events!$A21),DAY(Events!$A21)),"")</f>
        <v/>
      </c>
      <c r="C19">
        <f>IF(ISNUMBER(Events!$A21),DATE(YEAR($B$1),MONTH(Events!$A21),DAY(Events!$A21)),"")</f>
        <v/>
      </c>
      <c r="D19">
        <f>IF(ISNUMBER(Events!$A21),DATE(YEAR($B$2),MONTH(Events!$A21),DAY(Events!$A21)),"")</f>
        <v/>
      </c>
      <c r="E19">
        <f>IF(OR(NOT(ISNUMBER(Events!$A21)),Events!$G21="No",Calendar!$H$4="None"),"",IF(OR(Calendar!$H$4="All events",Events!$D21=Calendar!$H$4),IF(Events!$E21="Yes",IF(AND(B19&gt;=Events!$A21,B19&lt;=$B$2,B19+$A19&gt;=$B$1),B19,IF(AND(C19&gt;=Events!$A21,C19&lt;=$B$2,C19+$A19&gt;=$B$1),C19,IF(AND(D19&gt;=Events!$A21,D19&lt;=$B$2,D19+$A19&gt;=$B$1),D19,""))),IF(AND(Events!$A21&lt;=$B$2,Events!$A21+$A19&gt;=$B$1),Events!$A21,"")),""))</f>
        <v/>
      </c>
      <c r="F19">
        <f>IF(E19="","",E19+A19)</f>
        <v/>
      </c>
      <c r="G19">
        <f>IF(E19="","",IF(AND(E19&lt;=EOMONTH(Calendar!$K$2,0),F19&gt;=Calendar!$K$2),E19+16/100000,""))</f>
        <v/>
      </c>
      <c r="H19">
        <f>H18+IF(AND($E19&lt;&gt;"",$E19&lt;=H$2,$F19&gt;=H$2),1,0)</f>
        <v/>
      </c>
      <c r="I19">
        <f>I18+IF(AND($E19&lt;&gt;"",$E19&lt;=I$2,$F19&gt;=I$2),1,0)</f>
        <v/>
      </c>
      <c r="J19">
        <f>J18+IF(AND($E19&lt;&gt;"",$E19&lt;=J$2,$F19&gt;=J$2),1,0)</f>
        <v/>
      </c>
      <c r="K19">
        <f>K18+IF(AND($E19&lt;&gt;"",$E19&lt;=K$2,$F19&gt;=K$2),1,0)</f>
        <v/>
      </c>
      <c r="L19">
        <f>L18+IF(AND($E19&lt;&gt;"",$E19&lt;=L$2,$F19&gt;=L$2),1,0)</f>
        <v/>
      </c>
      <c r="M19">
        <f>M18+IF(AND($E19&lt;&gt;"",$E19&lt;=M$2,$F19&gt;=M$2),1,0)</f>
        <v/>
      </c>
      <c r="N19">
        <f>N18+IF(AND($E19&lt;&gt;"",$E19&lt;=N$2,$F19&gt;=N$2),1,0)</f>
        <v/>
      </c>
      <c r="O19">
        <f>O18+IF(AND($E19&lt;&gt;"",$E19&lt;=O$2,$F19&gt;=O$2),1,0)</f>
        <v/>
      </c>
      <c r="P19">
        <f>P18+IF(AND($E19&lt;&gt;"",$E19&lt;=P$2,$F19&gt;=P$2),1,0)</f>
        <v/>
      </c>
      <c r="Q19">
        <f>Q18+IF(AND($E19&lt;&gt;"",$E19&lt;=Q$2,$F19&gt;=Q$2),1,0)</f>
        <v/>
      </c>
      <c r="R19">
        <f>R18+IF(AND($E19&lt;&gt;"",$E19&lt;=R$2,$F19&gt;=R$2),1,0)</f>
        <v/>
      </c>
      <c r="S19">
        <f>S18+IF(AND($E19&lt;&gt;"",$E19&lt;=S$2,$F19&gt;=S$2),1,0)</f>
        <v/>
      </c>
      <c r="T19">
        <f>T18+IF(AND($E19&lt;&gt;"",$E19&lt;=T$2,$F19&gt;=T$2),1,0)</f>
        <v/>
      </c>
      <c r="U19">
        <f>U18+IF(AND($E19&lt;&gt;"",$E19&lt;=U$2,$F19&gt;=U$2),1,0)</f>
        <v/>
      </c>
      <c r="V19">
        <f>V18+IF(AND($E19&lt;&gt;"",$E19&lt;=V$2,$F19&gt;=V$2),1,0)</f>
        <v/>
      </c>
      <c r="W19">
        <f>W18+IF(AND($E19&lt;&gt;"",$E19&lt;=W$2,$F19&gt;=W$2),1,0)</f>
        <v/>
      </c>
      <c r="X19">
        <f>X18+IF(AND($E19&lt;&gt;"",$E19&lt;=X$2,$F19&gt;=X$2),1,0)</f>
        <v/>
      </c>
      <c r="Y19">
        <f>Y18+IF(AND($E19&lt;&gt;"",$E19&lt;=Y$2,$F19&gt;=Y$2),1,0)</f>
        <v/>
      </c>
      <c r="Z19">
        <f>Z18+IF(AND($E19&lt;&gt;"",$E19&lt;=Z$2,$F19&gt;=Z$2),1,0)</f>
        <v/>
      </c>
      <c r="AA19">
        <f>AA18+IF(AND($E19&lt;&gt;"",$E19&lt;=AA$2,$F19&gt;=AA$2),1,0)</f>
        <v/>
      </c>
      <c r="AB19">
        <f>AB18+IF(AND($E19&lt;&gt;"",$E19&lt;=AB$2,$F19&gt;=AB$2),1,0)</f>
        <v/>
      </c>
      <c r="AC19">
        <f>AC18+IF(AND($E19&lt;&gt;"",$E19&lt;=AC$2,$F19&gt;=AC$2),1,0)</f>
        <v/>
      </c>
      <c r="AD19">
        <f>AD18+IF(AND($E19&lt;&gt;"",$E19&lt;=AD$2,$F19&gt;=AD$2),1,0)</f>
        <v/>
      </c>
      <c r="AE19">
        <f>AE18+IF(AND($E19&lt;&gt;"",$E19&lt;=AE$2,$F19&gt;=AE$2),1,0)</f>
        <v/>
      </c>
      <c r="AF19">
        <f>AF18+IF(AND($E19&lt;&gt;"",$E19&lt;=AF$2,$F19&gt;=AF$2),1,0)</f>
        <v/>
      </c>
      <c r="AG19">
        <f>AG18+IF(AND($E19&lt;&gt;"",$E19&lt;=AG$2,$F19&gt;=AG$2),1,0)</f>
        <v/>
      </c>
      <c r="AH19">
        <f>AH18+IF(AND($E19&lt;&gt;"",$E19&lt;=AH$2,$F19&gt;=AH$2),1,0)</f>
        <v/>
      </c>
      <c r="AI19">
        <f>AI18+IF(AND($E19&lt;&gt;"",$E19&lt;=AI$2,$F19&gt;=AI$2),1,0)</f>
        <v/>
      </c>
      <c r="AJ19">
        <f>AJ18+IF(AND($E19&lt;&gt;"",$E19&lt;=AJ$2,$F19&gt;=AJ$2),1,0)</f>
        <v/>
      </c>
      <c r="AK19">
        <f>AK18+IF(AND($E19&lt;&gt;"",$E19&lt;=AK$2,$F19&gt;=AK$2),1,0)</f>
        <v/>
      </c>
      <c r="AL19">
        <f>AL18+IF(AND($E19&lt;&gt;"",$E19&lt;=AL$2,$F19&gt;=AL$2),1,0)</f>
        <v/>
      </c>
      <c r="AM19">
        <f>AM18+IF(AND($E19&lt;&gt;"",$E19&lt;=AM$2,$F19&gt;=AM$2),1,0)</f>
        <v/>
      </c>
      <c r="AN19">
        <f>AN18+IF(AND($E19&lt;&gt;"",$E19&lt;=AN$2,$F19&gt;=AN$2),1,0)</f>
        <v/>
      </c>
      <c r="AO19">
        <f>AO18+IF(AND($E19&lt;&gt;"",$E19&lt;=AO$2,$F19&gt;=AO$2),1,0)</f>
        <v/>
      </c>
      <c r="AP19">
        <f>AP18+IF(AND($E19&lt;&gt;"",$E19&lt;=AP$2,$F19&gt;=AP$2),1,0)</f>
        <v/>
      </c>
      <c r="AQ19">
        <f>AQ18+IF(AND($E19&lt;&gt;"",$E19&lt;=AQ$2,$F19&gt;=AQ$2),1,0)</f>
        <v/>
      </c>
      <c r="AR19">
        <f>AR18+IF(AND($E19&lt;&gt;"",$E19&lt;=AR$2,$F19&gt;=AR$2),1,0)</f>
        <v/>
      </c>
      <c r="AS19">
        <f>AS18+IF(AND($E19&lt;&gt;"",$E19&lt;=AS$2,$F19&gt;=AS$2),1,0)</f>
        <v/>
      </c>
      <c r="AT19">
        <f>AT18+IF(AND($E19&lt;&gt;"",$E19&lt;=AT$2,$F19&gt;=AT$2),1,0)</f>
        <v/>
      </c>
      <c r="AU19">
        <f>AU18+IF(AND($E19&lt;&gt;"",$E19&lt;=AU$2,$F19&gt;=AU$2),1,0)</f>
        <v/>
      </c>
      <c r="AV19">
        <f>AV18+IF(AND($E19&lt;&gt;"",$E19&lt;=AV$2,$F19&gt;=AV$2),1,0)</f>
        <v/>
      </c>
      <c r="AW19">
        <f>AW18+IF(AND($E19&lt;&gt;"",$E19&lt;=AW$2,$F19&gt;=AW$2),1,0)</f>
        <v/>
      </c>
    </row>
    <row r="20">
      <c r="A20">
        <f>IF(AND(ISNUMBER(Events!$A22),ISNUMBER(Events!$B22)),MAX(0,Events!$B22-Events!$A22),0)</f>
        <v/>
      </c>
      <c r="B20">
        <f>IF(ISNUMBER(Events!$A22),DATE(YEAR($B$1)-1,MONTH(Events!$A22),DAY(Events!$A22)),"")</f>
        <v/>
      </c>
      <c r="C20">
        <f>IF(ISNUMBER(Events!$A22),DATE(YEAR($B$1),MONTH(Events!$A22),DAY(Events!$A22)),"")</f>
        <v/>
      </c>
      <c r="D20">
        <f>IF(ISNUMBER(Events!$A22),DATE(YEAR($B$2),MONTH(Events!$A22),DAY(Events!$A22)),"")</f>
        <v/>
      </c>
      <c r="E20">
        <f>IF(OR(NOT(ISNUMBER(Events!$A22)),Events!$G22="No",Calendar!$H$4="None"),"",IF(OR(Calendar!$H$4="All events",Events!$D22=Calendar!$H$4),IF(Events!$E22="Yes",IF(AND(B20&gt;=Events!$A22,B20&lt;=$B$2,B20+$A20&gt;=$B$1),B20,IF(AND(C20&gt;=Events!$A22,C20&lt;=$B$2,C20+$A20&gt;=$B$1),C20,IF(AND(D20&gt;=Events!$A22,D20&lt;=$B$2,D20+$A20&gt;=$B$1),D20,""))),IF(AND(Events!$A22&lt;=$B$2,Events!$A22+$A20&gt;=$B$1),Events!$A22,"")),""))</f>
        <v/>
      </c>
      <c r="F20">
        <f>IF(E20="","",E20+A20)</f>
        <v/>
      </c>
      <c r="G20">
        <f>IF(E20="","",IF(AND(E20&lt;=EOMONTH(Calendar!$K$2,0),F20&gt;=Calendar!$K$2),E20+17/100000,""))</f>
        <v/>
      </c>
      <c r="H20">
        <f>H19+IF(AND($E20&lt;&gt;"",$E20&lt;=H$2,$F20&gt;=H$2),1,0)</f>
        <v/>
      </c>
      <c r="I20">
        <f>I19+IF(AND($E20&lt;&gt;"",$E20&lt;=I$2,$F20&gt;=I$2),1,0)</f>
        <v/>
      </c>
      <c r="J20">
        <f>J19+IF(AND($E20&lt;&gt;"",$E20&lt;=J$2,$F20&gt;=J$2),1,0)</f>
        <v/>
      </c>
      <c r="K20">
        <f>K19+IF(AND($E20&lt;&gt;"",$E20&lt;=K$2,$F20&gt;=K$2),1,0)</f>
        <v/>
      </c>
      <c r="L20">
        <f>L19+IF(AND($E20&lt;&gt;"",$E20&lt;=L$2,$F20&gt;=L$2),1,0)</f>
        <v/>
      </c>
      <c r="M20">
        <f>M19+IF(AND($E20&lt;&gt;"",$E20&lt;=M$2,$F20&gt;=M$2),1,0)</f>
        <v/>
      </c>
      <c r="N20">
        <f>N19+IF(AND($E20&lt;&gt;"",$E20&lt;=N$2,$F20&gt;=N$2),1,0)</f>
        <v/>
      </c>
      <c r="O20">
        <f>O19+IF(AND($E20&lt;&gt;"",$E20&lt;=O$2,$F20&gt;=O$2),1,0)</f>
        <v/>
      </c>
      <c r="P20">
        <f>P19+IF(AND($E20&lt;&gt;"",$E20&lt;=P$2,$F20&gt;=P$2),1,0)</f>
        <v/>
      </c>
      <c r="Q20">
        <f>Q19+IF(AND($E20&lt;&gt;"",$E20&lt;=Q$2,$F20&gt;=Q$2),1,0)</f>
        <v/>
      </c>
      <c r="R20">
        <f>R19+IF(AND($E20&lt;&gt;"",$E20&lt;=R$2,$F20&gt;=R$2),1,0)</f>
        <v/>
      </c>
      <c r="S20">
        <f>S19+IF(AND($E20&lt;&gt;"",$E20&lt;=S$2,$F20&gt;=S$2),1,0)</f>
        <v/>
      </c>
      <c r="T20">
        <f>T19+IF(AND($E20&lt;&gt;"",$E20&lt;=T$2,$F20&gt;=T$2),1,0)</f>
        <v/>
      </c>
      <c r="U20">
        <f>U19+IF(AND($E20&lt;&gt;"",$E20&lt;=U$2,$F20&gt;=U$2),1,0)</f>
        <v/>
      </c>
      <c r="V20">
        <f>V19+IF(AND($E20&lt;&gt;"",$E20&lt;=V$2,$F20&gt;=V$2),1,0)</f>
        <v/>
      </c>
      <c r="W20">
        <f>W19+IF(AND($E20&lt;&gt;"",$E20&lt;=W$2,$F20&gt;=W$2),1,0)</f>
        <v/>
      </c>
      <c r="X20">
        <f>X19+IF(AND($E20&lt;&gt;"",$E20&lt;=X$2,$F20&gt;=X$2),1,0)</f>
        <v/>
      </c>
      <c r="Y20">
        <f>Y19+IF(AND($E20&lt;&gt;"",$E20&lt;=Y$2,$F20&gt;=Y$2),1,0)</f>
        <v/>
      </c>
      <c r="Z20">
        <f>Z19+IF(AND($E20&lt;&gt;"",$E20&lt;=Z$2,$F20&gt;=Z$2),1,0)</f>
        <v/>
      </c>
      <c r="AA20">
        <f>AA19+IF(AND($E20&lt;&gt;"",$E20&lt;=AA$2,$F20&gt;=AA$2),1,0)</f>
        <v/>
      </c>
      <c r="AB20">
        <f>AB19+IF(AND($E20&lt;&gt;"",$E20&lt;=AB$2,$F20&gt;=AB$2),1,0)</f>
        <v/>
      </c>
      <c r="AC20">
        <f>AC19+IF(AND($E20&lt;&gt;"",$E20&lt;=AC$2,$F20&gt;=AC$2),1,0)</f>
        <v/>
      </c>
      <c r="AD20">
        <f>AD19+IF(AND($E20&lt;&gt;"",$E20&lt;=AD$2,$F20&gt;=AD$2),1,0)</f>
        <v/>
      </c>
      <c r="AE20">
        <f>AE19+IF(AND($E20&lt;&gt;"",$E20&lt;=AE$2,$F20&gt;=AE$2),1,0)</f>
        <v/>
      </c>
      <c r="AF20">
        <f>AF19+IF(AND($E20&lt;&gt;"",$E20&lt;=AF$2,$F20&gt;=AF$2),1,0)</f>
        <v/>
      </c>
      <c r="AG20">
        <f>AG19+IF(AND($E20&lt;&gt;"",$E20&lt;=AG$2,$F20&gt;=AG$2),1,0)</f>
        <v/>
      </c>
      <c r="AH20">
        <f>AH19+IF(AND($E20&lt;&gt;"",$E20&lt;=AH$2,$F20&gt;=AH$2),1,0)</f>
        <v/>
      </c>
      <c r="AI20">
        <f>AI19+IF(AND($E20&lt;&gt;"",$E20&lt;=AI$2,$F20&gt;=AI$2),1,0)</f>
        <v/>
      </c>
      <c r="AJ20">
        <f>AJ19+IF(AND($E20&lt;&gt;"",$E20&lt;=AJ$2,$F20&gt;=AJ$2),1,0)</f>
        <v/>
      </c>
      <c r="AK20">
        <f>AK19+IF(AND($E20&lt;&gt;"",$E20&lt;=AK$2,$F20&gt;=AK$2),1,0)</f>
        <v/>
      </c>
      <c r="AL20">
        <f>AL19+IF(AND($E20&lt;&gt;"",$E20&lt;=AL$2,$F20&gt;=AL$2),1,0)</f>
        <v/>
      </c>
      <c r="AM20">
        <f>AM19+IF(AND($E20&lt;&gt;"",$E20&lt;=AM$2,$F20&gt;=AM$2),1,0)</f>
        <v/>
      </c>
      <c r="AN20">
        <f>AN19+IF(AND($E20&lt;&gt;"",$E20&lt;=AN$2,$F20&gt;=AN$2),1,0)</f>
        <v/>
      </c>
      <c r="AO20">
        <f>AO19+IF(AND($E20&lt;&gt;"",$E20&lt;=AO$2,$F20&gt;=AO$2),1,0)</f>
        <v/>
      </c>
      <c r="AP20">
        <f>AP19+IF(AND($E20&lt;&gt;"",$E20&lt;=AP$2,$F20&gt;=AP$2),1,0)</f>
        <v/>
      </c>
      <c r="AQ20">
        <f>AQ19+IF(AND($E20&lt;&gt;"",$E20&lt;=AQ$2,$F20&gt;=AQ$2),1,0)</f>
        <v/>
      </c>
      <c r="AR20">
        <f>AR19+IF(AND($E20&lt;&gt;"",$E20&lt;=AR$2,$F20&gt;=AR$2),1,0)</f>
        <v/>
      </c>
      <c r="AS20">
        <f>AS19+IF(AND($E20&lt;&gt;"",$E20&lt;=AS$2,$F20&gt;=AS$2),1,0)</f>
        <v/>
      </c>
      <c r="AT20">
        <f>AT19+IF(AND($E20&lt;&gt;"",$E20&lt;=AT$2,$F20&gt;=AT$2),1,0)</f>
        <v/>
      </c>
      <c r="AU20">
        <f>AU19+IF(AND($E20&lt;&gt;"",$E20&lt;=AU$2,$F20&gt;=AU$2),1,0)</f>
        <v/>
      </c>
      <c r="AV20">
        <f>AV19+IF(AND($E20&lt;&gt;"",$E20&lt;=AV$2,$F20&gt;=AV$2),1,0)</f>
        <v/>
      </c>
      <c r="AW20">
        <f>AW19+IF(AND($E20&lt;&gt;"",$E20&lt;=AW$2,$F20&gt;=AW$2),1,0)</f>
        <v/>
      </c>
    </row>
    <row r="21">
      <c r="A21">
        <f>IF(AND(ISNUMBER(Events!$A23),ISNUMBER(Events!$B23)),MAX(0,Events!$B23-Events!$A23),0)</f>
        <v/>
      </c>
      <c r="B21">
        <f>IF(ISNUMBER(Events!$A23),DATE(YEAR($B$1)-1,MONTH(Events!$A23),DAY(Events!$A23)),"")</f>
        <v/>
      </c>
      <c r="C21">
        <f>IF(ISNUMBER(Events!$A23),DATE(YEAR($B$1),MONTH(Events!$A23),DAY(Events!$A23)),"")</f>
        <v/>
      </c>
      <c r="D21">
        <f>IF(ISNUMBER(Events!$A23),DATE(YEAR($B$2),MONTH(Events!$A23),DAY(Events!$A23)),"")</f>
        <v/>
      </c>
      <c r="E21">
        <f>IF(OR(NOT(ISNUMBER(Events!$A23)),Events!$G23="No",Calendar!$H$4="None"),"",IF(OR(Calendar!$H$4="All events",Events!$D23=Calendar!$H$4),IF(Events!$E23="Yes",IF(AND(B21&gt;=Events!$A23,B21&lt;=$B$2,B21+$A21&gt;=$B$1),B21,IF(AND(C21&gt;=Events!$A23,C21&lt;=$B$2,C21+$A21&gt;=$B$1),C21,IF(AND(D21&gt;=Events!$A23,D21&lt;=$B$2,D21+$A21&gt;=$B$1),D21,""))),IF(AND(Events!$A23&lt;=$B$2,Events!$A23+$A21&gt;=$B$1),Events!$A23,"")),""))</f>
        <v/>
      </c>
      <c r="F21">
        <f>IF(E21="","",E21+A21)</f>
        <v/>
      </c>
      <c r="G21">
        <f>IF(E21="","",IF(AND(E21&lt;=EOMONTH(Calendar!$K$2,0),F21&gt;=Calendar!$K$2),E21+18/100000,""))</f>
        <v/>
      </c>
      <c r="H21">
        <f>H20+IF(AND($E21&lt;&gt;"",$E21&lt;=H$2,$F21&gt;=H$2),1,0)</f>
        <v/>
      </c>
      <c r="I21">
        <f>I20+IF(AND($E21&lt;&gt;"",$E21&lt;=I$2,$F21&gt;=I$2),1,0)</f>
        <v/>
      </c>
      <c r="J21">
        <f>J20+IF(AND($E21&lt;&gt;"",$E21&lt;=J$2,$F21&gt;=J$2),1,0)</f>
        <v/>
      </c>
      <c r="K21">
        <f>K20+IF(AND($E21&lt;&gt;"",$E21&lt;=K$2,$F21&gt;=K$2),1,0)</f>
        <v/>
      </c>
      <c r="L21">
        <f>L20+IF(AND($E21&lt;&gt;"",$E21&lt;=L$2,$F21&gt;=L$2),1,0)</f>
        <v/>
      </c>
      <c r="M21">
        <f>M20+IF(AND($E21&lt;&gt;"",$E21&lt;=M$2,$F21&gt;=M$2),1,0)</f>
        <v/>
      </c>
      <c r="N21">
        <f>N20+IF(AND($E21&lt;&gt;"",$E21&lt;=N$2,$F21&gt;=N$2),1,0)</f>
        <v/>
      </c>
      <c r="O21">
        <f>O20+IF(AND($E21&lt;&gt;"",$E21&lt;=O$2,$F21&gt;=O$2),1,0)</f>
        <v/>
      </c>
      <c r="P21">
        <f>P20+IF(AND($E21&lt;&gt;"",$E21&lt;=P$2,$F21&gt;=P$2),1,0)</f>
        <v/>
      </c>
      <c r="Q21">
        <f>Q20+IF(AND($E21&lt;&gt;"",$E21&lt;=Q$2,$F21&gt;=Q$2),1,0)</f>
        <v/>
      </c>
      <c r="R21">
        <f>R20+IF(AND($E21&lt;&gt;"",$E21&lt;=R$2,$F21&gt;=R$2),1,0)</f>
        <v/>
      </c>
      <c r="S21">
        <f>S20+IF(AND($E21&lt;&gt;"",$E21&lt;=S$2,$F21&gt;=S$2),1,0)</f>
        <v/>
      </c>
      <c r="T21">
        <f>T20+IF(AND($E21&lt;&gt;"",$E21&lt;=T$2,$F21&gt;=T$2),1,0)</f>
        <v/>
      </c>
      <c r="U21">
        <f>U20+IF(AND($E21&lt;&gt;"",$E21&lt;=U$2,$F21&gt;=U$2),1,0)</f>
        <v/>
      </c>
      <c r="V21">
        <f>V20+IF(AND($E21&lt;&gt;"",$E21&lt;=V$2,$F21&gt;=V$2),1,0)</f>
        <v/>
      </c>
      <c r="W21">
        <f>W20+IF(AND($E21&lt;&gt;"",$E21&lt;=W$2,$F21&gt;=W$2),1,0)</f>
        <v/>
      </c>
      <c r="X21">
        <f>X20+IF(AND($E21&lt;&gt;"",$E21&lt;=X$2,$F21&gt;=X$2),1,0)</f>
        <v/>
      </c>
      <c r="Y21">
        <f>Y20+IF(AND($E21&lt;&gt;"",$E21&lt;=Y$2,$F21&gt;=Y$2),1,0)</f>
        <v/>
      </c>
      <c r="Z21">
        <f>Z20+IF(AND($E21&lt;&gt;"",$E21&lt;=Z$2,$F21&gt;=Z$2),1,0)</f>
        <v/>
      </c>
      <c r="AA21">
        <f>AA20+IF(AND($E21&lt;&gt;"",$E21&lt;=AA$2,$F21&gt;=AA$2),1,0)</f>
        <v/>
      </c>
      <c r="AB21">
        <f>AB20+IF(AND($E21&lt;&gt;"",$E21&lt;=AB$2,$F21&gt;=AB$2),1,0)</f>
        <v/>
      </c>
      <c r="AC21">
        <f>AC20+IF(AND($E21&lt;&gt;"",$E21&lt;=AC$2,$F21&gt;=AC$2),1,0)</f>
        <v/>
      </c>
      <c r="AD21">
        <f>AD20+IF(AND($E21&lt;&gt;"",$E21&lt;=AD$2,$F21&gt;=AD$2),1,0)</f>
        <v/>
      </c>
      <c r="AE21">
        <f>AE20+IF(AND($E21&lt;&gt;"",$E21&lt;=AE$2,$F21&gt;=AE$2),1,0)</f>
        <v/>
      </c>
      <c r="AF21">
        <f>AF20+IF(AND($E21&lt;&gt;"",$E21&lt;=AF$2,$F21&gt;=AF$2),1,0)</f>
        <v/>
      </c>
      <c r="AG21">
        <f>AG20+IF(AND($E21&lt;&gt;"",$E21&lt;=AG$2,$F21&gt;=AG$2),1,0)</f>
        <v/>
      </c>
      <c r="AH21">
        <f>AH20+IF(AND($E21&lt;&gt;"",$E21&lt;=AH$2,$F21&gt;=AH$2),1,0)</f>
        <v/>
      </c>
      <c r="AI21">
        <f>AI20+IF(AND($E21&lt;&gt;"",$E21&lt;=AI$2,$F21&gt;=AI$2),1,0)</f>
        <v/>
      </c>
      <c r="AJ21">
        <f>AJ20+IF(AND($E21&lt;&gt;"",$E21&lt;=AJ$2,$F21&gt;=AJ$2),1,0)</f>
        <v/>
      </c>
      <c r="AK21">
        <f>AK20+IF(AND($E21&lt;&gt;"",$E21&lt;=AK$2,$F21&gt;=AK$2),1,0)</f>
        <v/>
      </c>
      <c r="AL21">
        <f>AL20+IF(AND($E21&lt;&gt;"",$E21&lt;=AL$2,$F21&gt;=AL$2),1,0)</f>
        <v/>
      </c>
      <c r="AM21">
        <f>AM20+IF(AND($E21&lt;&gt;"",$E21&lt;=AM$2,$F21&gt;=AM$2),1,0)</f>
        <v/>
      </c>
      <c r="AN21">
        <f>AN20+IF(AND($E21&lt;&gt;"",$E21&lt;=AN$2,$F21&gt;=AN$2),1,0)</f>
        <v/>
      </c>
      <c r="AO21">
        <f>AO20+IF(AND($E21&lt;&gt;"",$E21&lt;=AO$2,$F21&gt;=AO$2),1,0)</f>
        <v/>
      </c>
      <c r="AP21">
        <f>AP20+IF(AND($E21&lt;&gt;"",$E21&lt;=AP$2,$F21&gt;=AP$2),1,0)</f>
        <v/>
      </c>
      <c r="AQ21">
        <f>AQ20+IF(AND($E21&lt;&gt;"",$E21&lt;=AQ$2,$F21&gt;=AQ$2),1,0)</f>
        <v/>
      </c>
      <c r="AR21">
        <f>AR20+IF(AND($E21&lt;&gt;"",$E21&lt;=AR$2,$F21&gt;=AR$2),1,0)</f>
        <v/>
      </c>
      <c r="AS21">
        <f>AS20+IF(AND($E21&lt;&gt;"",$E21&lt;=AS$2,$F21&gt;=AS$2),1,0)</f>
        <v/>
      </c>
      <c r="AT21">
        <f>AT20+IF(AND($E21&lt;&gt;"",$E21&lt;=AT$2,$F21&gt;=AT$2),1,0)</f>
        <v/>
      </c>
      <c r="AU21">
        <f>AU20+IF(AND($E21&lt;&gt;"",$E21&lt;=AU$2,$F21&gt;=AU$2),1,0)</f>
        <v/>
      </c>
      <c r="AV21">
        <f>AV20+IF(AND($E21&lt;&gt;"",$E21&lt;=AV$2,$F21&gt;=AV$2),1,0)</f>
        <v/>
      </c>
      <c r="AW21">
        <f>AW20+IF(AND($E21&lt;&gt;"",$E21&lt;=AW$2,$F21&gt;=AW$2),1,0)</f>
        <v/>
      </c>
    </row>
    <row r="22">
      <c r="A22">
        <f>IF(AND(ISNUMBER(Events!$A24),ISNUMBER(Events!$B24)),MAX(0,Events!$B24-Events!$A24),0)</f>
        <v/>
      </c>
      <c r="B22">
        <f>IF(ISNUMBER(Events!$A24),DATE(YEAR($B$1)-1,MONTH(Events!$A24),DAY(Events!$A24)),"")</f>
        <v/>
      </c>
      <c r="C22">
        <f>IF(ISNUMBER(Events!$A24),DATE(YEAR($B$1),MONTH(Events!$A24),DAY(Events!$A24)),"")</f>
        <v/>
      </c>
      <c r="D22">
        <f>IF(ISNUMBER(Events!$A24),DATE(YEAR($B$2),MONTH(Events!$A24),DAY(Events!$A24)),"")</f>
        <v/>
      </c>
      <c r="E22">
        <f>IF(OR(NOT(ISNUMBER(Events!$A24)),Events!$G24="No",Calendar!$H$4="None"),"",IF(OR(Calendar!$H$4="All events",Events!$D24=Calendar!$H$4),IF(Events!$E24="Yes",IF(AND(B22&gt;=Events!$A24,B22&lt;=$B$2,B22+$A22&gt;=$B$1),B22,IF(AND(C22&gt;=Events!$A24,C22&lt;=$B$2,C22+$A22&gt;=$B$1),C22,IF(AND(D22&gt;=Events!$A24,D22&lt;=$B$2,D22+$A22&gt;=$B$1),D22,""))),IF(AND(Events!$A24&lt;=$B$2,Events!$A24+$A22&gt;=$B$1),Events!$A24,"")),""))</f>
        <v/>
      </c>
      <c r="F22">
        <f>IF(E22="","",E22+A22)</f>
        <v/>
      </c>
      <c r="G22">
        <f>IF(E22="","",IF(AND(E22&lt;=EOMONTH(Calendar!$K$2,0),F22&gt;=Calendar!$K$2),E22+19/100000,""))</f>
        <v/>
      </c>
      <c r="H22">
        <f>H21+IF(AND($E22&lt;&gt;"",$E22&lt;=H$2,$F22&gt;=H$2),1,0)</f>
        <v/>
      </c>
      <c r="I22">
        <f>I21+IF(AND($E22&lt;&gt;"",$E22&lt;=I$2,$F22&gt;=I$2),1,0)</f>
        <v/>
      </c>
      <c r="J22">
        <f>J21+IF(AND($E22&lt;&gt;"",$E22&lt;=J$2,$F22&gt;=J$2),1,0)</f>
        <v/>
      </c>
      <c r="K22">
        <f>K21+IF(AND($E22&lt;&gt;"",$E22&lt;=K$2,$F22&gt;=K$2),1,0)</f>
        <v/>
      </c>
      <c r="L22">
        <f>L21+IF(AND($E22&lt;&gt;"",$E22&lt;=L$2,$F22&gt;=L$2),1,0)</f>
        <v/>
      </c>
      <c r="M22">
        <f>M21+IF(AND($E22&lt;&gt;"",$E22&lt;=M$2,$F22&gt;=M$2),1,0)</f>
        <v/>
      </c>
      <c r="N22">
        <f>N21+IF(AND($E22&lt;&gt;"",$E22&lt;=N$2,$F22&gt;=N$2),1,0)</f>
        <v/>
      </c>
      <c r="O22">
        <f>O21+IF(AND($E22&lt;&gt;"",$E22&lt;=O$2,$F22&gt;=O$2),1,0)</f>
        <v/>
      </c>
      <c r="P22">
        <f>P21+IF(AND($E22&lt;&gt;"",$E22&lt;=P$2,$F22&gt;=P$2),1,0)</f>
        <v/>
      </c>
      <c r="Q22">
        <f>Q21+IF(AND($E22&lt;&gt;"",$E22&lt;=Q$2,$F22&gt;=Q$2),1,0)</f>
        <v/>
      </c>
      <c r="R22">
        <f>R21+IF(AND($E22&lt;&gt;"",$E22&lt;=R$2,$F22&gt;=R$2),1,0)</f>
        <v/>
      </c>
      <c r="S22">
        <f>S21+IF(AND($E22&lt;&gt;"",$E22&lt;=S$2,$F22&gt;=S$2),1,0)</f>
        <v/>
      </c>
      <c r="T22">
        <f>T21+IF(AND($E22&lt;&gt;"",$E22&lt;=T$2,$F22&gt;=T$2),1,0)</f>
        <v/>
      </c>
      <c r="U22">
        <f>U21+IF(AND($E22&lt;&gt;"",$E22&lt;=U$2,$F22&gt;=U$2),1,0)</f>
        <v/>
      </c>
      <c r="V22">
        <f>V21+IF(AND($E22&lt;&gt;"",$E22&lt;=V$2,$F22&gt;=V$2),1,0)</f>
        <v/>
      </c>
      <c r="W22">
        <f>W21+IF(AND($E22&lt;&gt;"",$E22&lt;=W$2,$F22&gt;=W$2),1,0)</f>
        <v/>
      </c>
      <c r="X22">
        <f>X21+IF(AND($E22&lt;&gt;"",$E22&lt;=X$2,$F22&gt;=X$2),1,0)</f>
        <v/>
      </c>
      <c r="Y22">
        <f>Y21+IF(AND($E22&lt;&gt;"",$E22&lt;=Y$2,$F22&gt;=Y$2),1,0)</f>
        <v/>
      </c>
      <c r="Z22">
        <f>Z21+IF(AND($E22&lt;&gt;"",$E22&lt;=Z$2,$F22&gt;=Z$2),1,0)</f>
        <v/>
      </c>
      <c r="AA22">
        <f>AA21+IF(AND($E22&lt;&gt;"",$E22&lt;=AA$2,$F22&gt;=AA$2),1,0)</f>
        <v/>
      </c>
      <c r="AB22">
        <f>AB21+IF(AND($E22&lt;&gt;"",$E22&lt;=AB$2,$F22&gt;=AB$2),1,0)</f>
        <v/>
      </c>
      <c r="AC22">
        <f>AC21+IF(AND($E22&lt;&gt;"",$E22&lt;=AC$2,$F22&gt;=AC$2),1,0)</f>
        <v/>
      </c>
      <c r="AD22">
        <f>AD21+IF(AND($E22&lt;&gt;"",$E22&lt;=AD$2,$F22&gt;=AD$2),1,0)</f>
        <v/>
      </c>
      <c r="AE22">
        <f>AE21+IF(AND($E22&lt;&gt;"",$E22&lt;=AE$2,$F22&gt;=AE$2),1,0)</f>
        <v/>
      </c>
      <c r="AF22">
        <f>AF21+IF(AND($E22&lt;&gt;"",$E22&lt;=AF$2,$F22&gt;=AF$2),1,0)</f>
        <v/>
      </c>
      <c r="AG22">
        <f>AG21+IF(AND($E22&lt;&gt;"",$E22&lt;=AG$2,$F22&gt;=AG$2),1,0)</f>
        <v/>
      </c>
      <c r="AH22">
        <f>AH21+IF(AND($E22&lt;&gt;"",$E22&lt;=AH$2,$F22&gt;=AH$2),1,0)</f>
        <v/>
      </c>
      <c r="AI22">
        <f>AI21+IF(AND($E22&lt;&gt;"",$E22&lt;=AI$2,$F22&gt;=AI$2),1,0)</f>
        <v/>
      </c>
      <c r="AJ22">
        <f>AJ21+IF(AND($E22&lt;&gt;"",$E22&lt;=AJ$2,$F22&gt;=AJ$2),1,0)</f>
        <v/>
      </c>
      <c r="AK22">
        <f>AK21+IF(AND($E22&lt;&gt;"",$E22&lt;=AK$2,$F22&gt;=AK$2),1,0)</f>
        <v/>
      </c>
      <c r="AL22">
        <f>AL21+IF(AND($E22&lt;&gt;"",$E22&lt;=AL$2,$F22&gt;=AL$2),1,0)</f>
        <v/>
      </c>
      <c r="AM22">
        <f>AM21+IF(AND($E22&lt;&gt;"",$E22&lt;=AM$2,$F22&gt;=AM$2),1,0)</f>
        <v/>
      </c>
      <c r="AN22">
        <f>AN21+IF(AND($E22&lt;&gt;"",$E22&lt;=AN$2,$F22&gt;=AN$2),1,0)</f>
        <v/>
      </c>
      <c r="AO22">
        <f>AO21+IF(AND($E22&lt;&gt;"",$E22&lt;=AO$2,$F22&gt;=AO$2),1,0)</f>
        <v/>
      </c>
      <c r="AP22">
        <f>AP21+IF(AND($E22&lt;&gt;"",$E22&lt;=AP$2,$F22&gt;=AP$2),1,0)</f>
        <v/>
      </c>
      <c r="AQ22">
        <f>AQ21+IF(AND($E22&lt;&gt;"",$E22&lt;=AQ$2,$F22&gt;=AQ$2),1,0)</f>
        <v/>
      </c>
      <c r="AR22">
        <f>AR21+IF(AND($E22&lt;&gt;"",$E22&lt;=AR$2,$F22&gt;=AR$2),1,0)</f>
        <v/>
      </c>
      <c r="AS22">
        <f>AS21+IF(AND($E22&lt;&gt;"",$E22&lt;=AS$2,$F22&gt;=AS$2),1,0)</f>
        <v/>
      </c>
      <c r="AT22">
        <f>AT21+IF(AND($E22&lt;&gt;"",$E22&lt;=AT$2,$F22&gt;=AT$2),1,0)</f>
        <v/>
      </c>
      <c r="AU22">
        <f>AU21+IF(AND($E22&lt;&gt;"",$E22&lt;=AU$2,$F22&gt;=AU$2),1,0)</f>
        <v/>
      </c>
      <c r="AV22">
        <f>AV21+IF(AND($E22&lt;&gt;"",$E22&lt;=AV$2,$F22&gt;=AV$2),1,0)</f>
        <v/>
      </c>
      <c r="AW22">
        <f>AW21+IF(AND($E22&lt;&gt;"",$E22&lt;=AW$2,$F22&gt;=AW$2),1,0)</f>
        <v/>
      </c>
    </row>
    <row r="23">
      <c r="A23">
        <f>IF(AND(ISNUMBER(Events!$A25),ISNUMBER(Events!$B25)),MAX(0,Events!$B25-Events!$A25),0)</f>
        <v/>
      </c>
      <c r="B23">
        <f>IF(ISNUMBER(Events!$A25),DATE(YEAR($B$1)-1,MONTH(Events!$A25),DAY(Events!$A25)),"")</f>
        <v/>
      </c>
      <c r="C23">
        <f>IF(ISNUMBER(Events!$A25),DATE(YEAR($B$1),MONTH(Events!$A25),DAY(Events!$A25)),"")</f>
        <v/>
      </c>
      <c r="D23">
        <f>IF(ISNUMBER(Events!$A25),DATE(YEAR($B$2),MONTH(Events!$A25),DAY(Events!$A25)),"")</f>
        <v/>
      </c>
      <c r="E23">
        <f>IF(OR(NOT(ISNUMBER(Events!$A25)),Events!$G25="No",Calendar!$H$4="None"),"",IF(OR(Calendar!$H$4="All events",Events!$D25=Calendar!$H$4),IF(Events!$E25="Yes",IF(AND(B23&gt;=Events!$A25,B23&lt;=$B$2,B23+$A23&gt;=$B$1),B23,IF(AND(C23&gt;=Events!$A25,C23&lt;=$B$2,C23+$A23&gt;=$B$1),C23,IF(AND(D23&gt;=Events!$A25,D23&lt;=$B$2,D23+$A23&gt;=$B$1),D23,""))),IF(AND(Events!$A25&lt;=$B$2,Events!$A25+$A23&gt;=$B$1),Events!$A25,"")),""))</f>
        <v/>
      </c>
      <c r="F23">
        <f>IF(E23="","",E23+A23)</f>
        <v/>
      </c>
      <c r="G23">
        <f>IF(E23="","",IF(AND(E23&lt;=EOMONTH(Calendar!$K$2,0),F23&gt;=Calendar!$K$2),E23+20/100000,""))</f>
        <v/>
      </c>
      <c r="H23">
        <f>H22+IF(AND($E23&lt;&gt;"",$E23&lt;=H$2,$F23&gt;=H$2),1,0)</f>
        <v/>
      </c>
      <c r="I23">
        <f>I22+IF(AND($E23&lt;&gt;"",$E23&lt;=I$2,$F23&gt;=I$2),1,0)</f>
        <v/>
      </c>
      <c r="J23">
        <f>J22+IF(AND($E23&lt;&gt;"",$E23&lt;=J$2,$F23&gt;=J$2),1,0)</f>
        <v/>
      </c>
      <c r="K23">
        <f>K22+IF(AND($E23&lt;&gt;"",$E23&lt;=K$2,$F23&gt;=K$2),1,0)</f>
        <v/>
      </c>
      <c r="L23">
        <f>L22+IF(AND($E23&lt;&gt;"",$E23&lt;=L$2,$F23&gt;=L$2),1,0)</f>
        <v/>
      </c>
      <c r="M23">
        <f>M22+IF(AND($E23&lt;&gt;"",$E23&lt;=M$2,$F23&gt;=M$2),1,0)</f>
        <v/>
      </c>
      <c r="N23">
        <f>N22+IF(AND($E23&lt;&gt;"",$E23&lt;=N$2,$F23&gt;=N$2),1,0)</f>
        <v/>
      </c>
      <c r="O23">
        <f>O22+IF(AND($E23&lt;&gt;"",$E23&lt;=O$2,$F23&gt;=O$2),1,0)</f>
        <v/>
      </c>
      <c r="P23">
        <f>P22+IF(AND($E23&lt;&gt;"",$E23&lt;=P$2,$F23&gt;=P$2),1,0)</f>
        <v/>
      </c>
      <c r="Q23">
        <f>Q22+IF(AND($E23&lt;&gt;"",$E23&lt;=Q$2,$F23&gt;=Q$2),1,0)</f>
        <v/>
      </c>
      <c r="R23">
        <f>R22+IF(AND($E23&lt;&gt;"",$E23&lt;=R$2,$F23&gt;=R$2),1,0)</f>
        <v/>
      </c>
      <c r="S23">
        <f>S22+IF(AND($E23&lt;&gt;"",$E23&lt;=S$2,$F23&gt;=S$2),1,0)</f>
        <v/>
      </c>
      <c r="T23">
        <f>T22+IF(AND($E23&lt;&gt;"",$E23&lt;=T$2,$F23&gt;=T$2),1,0)</f>
        <v/>
      </c>
      <c r="U23">
        <f>U22+IF(AND($E23&lt;&gt;"",$E23&lt;=U$2,$F23&gt;=U$2),1,0)</f>
        <v/>
      </c>
      <c r="V23">
        <f>V22+IF(AND($E23&lt;&gt;"",$E23&lt;=V$2,$F23&gt;=V$2),1,0)</f>
        <v/>
      </c>
      <c r="W23">
        <f>W22+IF(AND($E23&lt;&gt;"",$E23&lt;=W$2,$F23&gt;=W$2),1,0)</f>
        <v/>
      </c>
      <c r="X23">
        <f>X22+IF(AND($E23&lt;&gt;"",$E23&lt;=X$2,$F23&gt;=X$2),1,0)</f>
        <v/>
      </c>
      <c r="Y23">
        <f>Y22+IF(AND($E23&lt;&gt;"",$E23&lt;=Y$2,$F23&gt;=Y$2),1,0)</f>
        <v/>
      </c>
      <c r="Z23">
        <f>Z22+IF(AND($E23&lt;&gt;"",$E23&lt;=Z$2,$F23&gt;=Z$2),1,0)</f>
        <v/>
      </c>
      <c r="AA23">
        <f>AA22+IF(AND($E23&lt;&gt;"",$E23&lt;=AA$2,$F23&gt;=AA$2),1,0)</f>
        <v/>
      </c>
      <c r="AB23">
        <f>AB22+IF(AND($E23&lt;&gt;"",$E23&lt;=AB$2,$F23&gt;=AB$2),1,0)</f>
        <v/>
      </c>
      <c r="AC23">
        <f>AC22+IF(AND($E23&lt;&gt;"",$E23&lt;=AC$2,$F23&gt;=AC$2),1,0)</f>
        <v/>
      </c>
      <c r="AD23">
        <f>AD22+IF(AND($E23&lt;&gt;"",$E23&lt;=AD$2,$F23&gt;=AD$2),1,0)</f>
        <v/>
      </c>
      <c r="AE23">
        <f>AE22+IF(AND($E23&lt;&gt;"",$E23&lt;=AE$2,$F23&gt;=AE$2),1,0)</f>
        <v/>
      </c>
      <c r="AF23">
        <f>AF22+IF(AND($E23&lt;&gt;"",$E23&lt;=AF$2,$F23&gt;=AF$2),1,0)</f>
        <v/>
      </c>
      <c r="AG23">
        <f>AG22+IF(AND($E23&lt;&gt;"",$E23&lt;=AG$2,$F23&gt;=AG$2),1,0)</f>
        <v/>
      </c>
      <c r="AH23">
        <f>AH22+IF(AND($E23&lt;&gt;"",$E23&lt;=AH$2,$F23&gt;=AH$2),1,0)</f>
        <v/>
      </c>
      <c r="AI23">
        <f>AI22+IF(AND($E23&lt;&gt;"",$E23&lt;=AI$2,$F23&gt;=AI$2),1,0)</f>
        <v/>
      </c>
      <c r="AJ23">
        <f>AJ22+IF(AND($E23&lt;&gt;"",$E23&lt;=AJ$2,$F23&gt;=AJ$2),1,0)</f>
        <v/>
      </c>
      <c r="AK23">
        <f>AK22+IF(AND($E23&lt;&gt;"",$E23&lt;=AK$2,$F23&gt;=AK$2),1,0)</f>
        <v/>
      </c>
      <c r="AL23">
        <f>AL22+IF(AND($E23&lt;&gt;"",$E23&lt;=AL$2,$F23&gt;=AL$2),1,0)</f>
        <v/>
      </c>
      <c r="AM23">
        <f>AM22+IF(AND($E23&lt;&gt;"",$E23&lt;=AM$2,$F23&gt;=AM$2),1,0)</f>
        <v/>
      </c>
      <c r="AN23">
        <f>AN22+IF(AND($E23&lt;&gt;"",$E23&lt;=AN$2,$F23&gt;=AN$2),1,0)</f>
        <v/>
      </c>
      <c r="AO23">
        <f>AO22+IF(AND($E23&lt;&gt;"",$E23&lt;=AO$2,$F23&gt;=AO$2),1,0)</f>
        <v/>
      </c>
      <c r="AP23">
        <f>AP22+IF(AND($E23&lt;&gt;"",$E23&lt;=AP$2,$F23&gt;=AP$2),1,0)</f>
        <v/>
      </c>
      <c r="AQ23">
        <f>AQ22+IF(AND($E23&lt;&gt;"",$E23&lt;=AQ$2,$F23&gt;=AQ$2),1,0)</f>
        <v/>
      </c>
      <c r="AR23">
        <f>AR22+IF(AND($E23&lt;&gt;"",$E23&lt;=AR$2,$F23&gt;=AR$2),1,0)</f>
        <v/>
      </c>
      <c r="AS23">
        <f>AS22+IF(AND($E23&lt;&gt;"",$E23&lt;=AS$2,$F23&gt;=AS$2),1,0)</f>
        <v/>
      </c>
      <c r="AT23">
        <f>AT22+IF(AND($E23&lt;&gt;"",$E23&lt;=AT$2,$F23&gt;=AT$2),1,0)</f>
        <v/>
      </c>
      <c r="AU23">
        <f>AU22+IF(AND($E23&lt;&gt;"",$E23&lt;=AU$2,$F23&gt;=AU$2),1,0)</f>
        <v/>
      </c>
      <c r="AV23">
        <f>AV22+IF(AND($E23&lt;&gt;"",$E23&lt;=AV$2,$F23&gt;=AV$2),1,0)</f>
        <v/>
      </c>
      <c r="AW23">
        <f>AW22+IF(AND($E23&lt;&gt;"",$E23&lt;=AW$2,$F23&gt;=AW$2),1,0)</f>
        <v/>
      </c>
    </row>
    <row r="24">
      <c r="A24">
        <f>IF(AND(ISNUMBER(Events!$A26),ISNUMBER(Events!$B26)),MAX(0,Events!$B26-Events!$A26),0)</f>
        <v/>
      </c>
      <c r="B24">
        <f>IF(ISNUMBER(Events!$A26),DATE(YEAR($B$1)-1,MONTH(Events!$A26),DAY(Events!$A26)),"")</f>
        <v/>
      </c>
      <c r="C24">
        <f>IF(ISNUMBER(Events!$A26),DATE(YEAR($B$1),MONTH(Events!$A26),DAY(Events!$A26)),"")</f>
        <v/>
      </c>
      <c r="D24">
        <f>IF(ISNUMBER(Events!$A26),DATE(YEAR($B$2),MONTH(Events!$A26),DAY(Events!$A26)),"")</f>
        <v/>
      </c>
      <c r="E24">
        <f>IF(OR(NOT(ISNUMBER(Events!$A26)),Events!$G26="No",Calendar!$H$4="None"),"",IF(OR(Calendar!$H$4="All events",Events!$D26=Calendar!$H$4),IF(Events!$E26="Yes",IF(AND(B24&gt;=Events!$A26,B24&lt;=$B$2,B24+$A24&gt;=$B$1),B24,IF(AND(C24&gt;=Events!$A26,C24&lt;=$B$2,C24+$A24&gt;=$B$1),C24,IF(AND(D24&gt;=Events!$A26,D24&lt;=$B$2,D24+$A24&gt;=$B$1),D24,""))),IF(AND(Events!$A26&lt;=$B$2,Events!$A26+$A24&gt;=$B$1),Events!$A26,"")),""))</f>
        <v/>
      </c>
      <c r="F24">
        <f>IF(E24="","",E24+A24)</f>
        <v/>
      </c>
      <c r="G24">
        <f>IF(E24="","",IF(AND(E24&lt;=EOMONTH(Calendar!$K$2,0),F24&gt;=Calendar!$K$2),E24+21/100000,""))</f>
        <v/>
      </c>
      <c r="H24">
        <f>H23+IF(AND($E24&lt;&gt;"",$E24&lt;=H$2,$F24&gt;=H$2),1,0)</f>
        <v/>
      </c>
      <c r="I24">
        <f>I23+IF(AND($E24&lt;&gt;"",$E24&lt;=I$2,$F24&gt;=I$2),1,0)</f>
        <v/>
      </c>
      <c r="J24">
        <f>J23+IF(AND($E24&lt;&gt;"",$E24&lt;=J$2,$F24&gt;=J$2),1,0)</f>
        <v/>
      </c>
      <c r="K24">
        <f>K23+IF(AND($E24&lt;&gt;"",$E24&lt;=K$2,$F24&gt;=K$2),1,0)</f>
        <v/>
      </c>
      <c r="L24">
        <f>L23+IF(AND($E24&lt;&gt;"",$E24&lt;=L$2,$F24&gt;=L$2),1,0)</f>
        <v/>
      </c>
      <c r="M24">
        <f>M23+IF(AND($E24&lt;&gt;"",$E24&lt;=M$2,$F24&gt;=M$2),1,0)</f>
        <v/>
      </c>
      <c r="N24">
        <f>N23+IF(AND($E24&lt;&gt;"",$E24&lt;=N$2,$F24&gt;=N$2),1,0)</f>
        <v/>
      </c>
      <c r="O24">
        <f>O23+IF(AND($E24&lt;&gt;"",$E24&lt;=O$2,$F24&gt;=O$2),1,0)</f>
        <v/>
      </c>
      <c r="P24">
        <f>P23+IF(AND($E24&lt;&gt;"",$E24&lt;=P$2,$F24&gt;=P$2),1,0)</f>
        <v/>
      </c>
      <c r="Q24">
        <f>Q23+IF(AND($E24&lt;&gt;"",$E24&lt;=Q$2,$F24&gt;=Q$2),1,0)</f>
        <v/>
      </c>
      <c r="R24">
        <f>R23+IF(AND($E24&lt;&gt;"",$E24&lt;=R$2,$F24&gt;=R$2),1,0)</f>
        <v/>
      </c>
      <c r="S24">
        <f>S23+IF(AND($E24&lt;&gt;"",$E24&lt;=S$2,$F24&gt;=S$2),1,0)</f>
        <v/>
      </c>
      <c r="T24">
        <f>T23+IF(AND($E24&lt;&gt;"",$E24&lt;=T$2,$F24&gt;=T$2),1,0)</f>
        <v/>
      </c>
      <c r="U24">
        <f>U23+IF(AND($E24&lt;&gt;"",$E24&lt;=U$2,$F24&gt;=U$2),1,0)</f>
        <v/>
      </c>
      <c r="V24">
        <f>V23+IF(AND($E24&lt;&gt;"",$E24&lt;=V$2,$F24&gt;=V$2),1,0)</f>
        <v/>
      </c>
      <c r="W24">
        <f>W23+IF(AND($E24&lt;&gt;"",$E24&lt;=W$2,$F24&gt;=W$2),1,0)</f>
        <v/>
      </c>
      <c r="X24">
        <f>X23+IF(AND($E24&lt;&gt;"",$E24&lt;=X$2,$F24&gt;=X$2),1,0)</f>
        <v/>
      </c>
      <c r="Y24">
        <f>Y23+IF(AND($E24&lt;&gt;"",$E24&lt;=Y$2,$F24&gt;=Y$2),1,0)</f>
        <v/>
      </c>
      <c r="Z24">
        <f>Z23+IF(AND($E24&lt;&gt;"",$E24&lt;=Z$2,$F24&gt;=Z$2),1,0)</f>
        <v/>
      </c>
      <c r="AA24">
        <f>AA23+IF(AND($E24&lt;&gt;"",$E24&lt;=AA$2,$F24&gt;=AA$2),1,0)</f>
        <v/>
      </c>
      <c r="AB24">
        <f>AB23+IF(AND($E24&lt;&gt;"",$E24&lt;=AB$2,$F24&gt;=AB$2),1,0)</f>
        <v/>
      </c>
      <c r="AC24">
        <f>AC23+IF(AND($E24&lt;&gt;"",$E24&lt;=AC$2,$F24&gt;=AC$2),1,0)</f>
        <v/>
      </c>
      <c r="AD24">
        <f>AD23+IF(AND($E24&lt;&gt;"",$E24&lt;=AD$2,$F24&gt;=AD$2),1,0)</f>
        <v/>
      </c>
      <c r="AE24">
        <f>AE23+IF(AND($E24&lt;&gt;"",$E24&lt;=AE$2,$F24&gt;=AE$2),1,0)</f>
        <v/>
      </c>
      <c r="AF24">
        <f>AF23+IF(AND($E24&lt;&gt;"",$E24&lt;=AF$2,$F24&gt;=AF$2),1,0)</f>
        <v/>
      </c>
      <c r="AG24">
        <f>AG23+IF(AND($E24&lt;&gt;"",$E24&lt;=AG$2,$F24&gt;=AG$2),1,0)</f>
        <v/>
      </c>
      <c r="AH24">
        <f>AH23+IF(AND($E24&lt;&gt;"",$E24&lt;=AH$2,$F24&gt;=AH$2),1,0)</f>
        <v/>
      </c>
      <c r="AI24">
        <f>AI23+IF(AND($E24&lt;&gt;"",$E24&lt;=AI$2,$F24&gt;=AI$2),1,0)</f>
        <v/>
      </c>
      <c r="AJ24">
        <f>AJ23+IF(AND($E24&lt;&gt;"",$E24&lt;=AJ$2,$F24&gt;=AJ$2),1,0)</f>
        <v/>
      </c>
      <c r="AK24">
        <f>AK23+IF(AND($E24&lt;&gt;"",$E24&lt;=AK$2,$F24&gt;=AK$2),1,0)</f>
        <v/>
      </c>
      <c r="AL24">
        <f>AL23+IF(AND($E24&lt;&gt;"",$E24&lt;=AL$2,$F24&gt;=AL$2),1,0)</f>
        <v/>
      </c>
      <c r="AM24">
        <f>AM23+IF(AND($E24&lt;&gt;"",$E24&lt;=AM$2,$F24&gt;=AM$2),1,0)</f>
        <v/>
      </c>
      <c r="AN24">
        <f>AN23+IF(AND($E24&lt;&gt;"",$E24&lt;=AN$2,$F24&gt;=AN$2),1,0)</f>
        <v/>
      </c>
      <c r="AO24">
        <f>AO23+IF(AND($E24&lt;&gt;"",$E24&lt;=AO$2,$F24&gt;=AO$2),1,0)</f>
        <v/>
      </c>
      <c r="AP24">
        <f>AP23+IF(AND($E24&lt;&gt;"",$E24&lt;=AP$2,$F24&gt;=AP$2),1,0)</f>
        <v/>
      </c>
      <c r="AQ24">
        <f>AQ23+IF(AND($E24&lt;&gt;"",$E24&lt;=AQ$2,$F24&gt;=AQ$2),1,0)</f>
        <v/>
      </c>
      <c r="AR24">
        <f>AR23+IF(AND($E24&lt;&gt;"",$E24&lt;=AR$2,$F24&gt;=AR$2),1,0)</f>
        <v/>
      </c>
      <c r="AS24">
        <f>AS23+IF(AND($E24&lt;&gt;"",$E24&lt;=AS$2,$F24&gt;=AS$2),1,0)</f>
        <v/>
      </c>
      <c r="AT24">
        <f>AT23+IF(AND($E24&lt;&gt;"",$E24&lt;=AT$2,$F24&gt;=AT$2),1,0)</f>
        <v/>
      </c>
      <c r="AU24">
        <f>AU23+IF(AND($E24&lt;&gt;"",$E24&lt;=AU$2,$F24&gt;=AU$2),1,0)</f>
        <v/>
      </c>
      <c r="AV24">
        <f>AV23+IF(AND($E24&lt;&gt;"",$E24&lt;=AV$2,$F24&gt;=AV$2),1,0)</f>
        <v/>
      </c>
      <c r="AW24">
        <f>AW23+IF(AND($E24&lt;&gt;"",$E24&lt;=AW$2,$F24&gt;=AW$2),1,0)</f>
        <v/>
      </c>
    </row>
    <row r="25">
      <c r="A25">
        <f>IF(AND(ISNUMBER(Events!$A27),ISNUMBER(Events!$B27)),MAX(0,Events!$B27-Events!$A27),0)</f>
        <v/>
      </c>
      <c r="B25">
        <f>IF(ISNUMBER(Events!$A27),DATE(YEAR($B$1)-1,MONTH(Events!$A27),DAY(Events!$A27)),"")</f>
        <v/>
      </c>
      <c r="C25">
        <f>IF(ISNUMBER(Events!$A27),DATE(YEAR($B$1),MONTH(Events!$A27),DAY(Events!$A27)),"")</f>
        <v/>
      </c>
      <c r="D25">
        <f>IF(ISNUMBER(Events!$A27),DATE(YEAR($B$2),MONTH(Events!$A27),DAY(Events!$A27)),"")</f>
        <v/>
      </c>
      <c r="E25">
        <f>IF(OR(NOT(ISNUMBER(Events!$A27)),Events!$G27="No",Calendar!$H$4="None"),"",IF(OR(Calendar!$H$4="All events",Events!$D27=Calendar!$H$4),IF(Events!$E27="Yes",IF(AND(B25&gt;=Events!$A27,B25&lt;=$B$2,B25+$A25&gt;=$B$1),B25,IF(AND(C25&gt;=Events!$A27,C25&lt;=$B$2,C25+$A25&gt;=$B$1),C25,IF(AND(D25&gt;=Events!$A27,D25&lt;=$B$2,D25+$A25&gt;=$B$1),D25,""))),IF(AND(Events!$A27&lt;=$B$2,Events!$A27+$A25&gt;=$B$1),Events!$A27,"")),""))</f>
        <v/>
      </c>
      <c r="F25">
        <f>IF(E25="","",E25+A25)</f>
        <v/>
      </c>
      <c r="G25">
        <f>IF(E25="","",IF(AND(E25&lt;=EOMONTH(Calendar!$K$2,0),F25&gt;=Calendar!$K$2),E25+22/100000,""))</f>
        <v/>
      </c>
      <c r="H25">
        <f>H24+IF(AND($E25&lt;&gt;"",$E25&lt;=H$2,$F25&gt;=H$2),1,0)</f>
        <v/>
      </c>
      <c r="I25">
        <f>I24+IF(AND($E25&lt;&gt;"",$E25&lt;=I$2,$F25&gt;=I$2),1,0)</f>
        <v/>
      </c>
      <c r="J25">
        <f>J24+IF(AND($E25&lt;&gt;"",$E25&lt;=J$2,$F25&gt;=J$2),1,0)</f>
        <v/>
      </c>
      <c r="K25">
        <f>K24+IF(AND($E25&lt;&gt;"",$E25&lt;=K$2,$F25&gt;=K$2),1,0)</f>
        <v/>
      </c>
      <c r="L25">
        <f>L24+IF(AND($E25&lt;&gt;"",$E25&lt;=L$2,$F25&gt;=L$2),1,0)</f>
        <v/>
      </c>
      <c r="M25">
        <f>M24+IF(AND($E25&lt;&gt;"",$E25&lt;=M$2,$F25&gt;=M$2),1,0)</f>
        <v/>
      </c>
      <c r="N25">
        <f>N24+IF(AND($E25&lt;&gt;"",$E25&lt;=N$2,$F25&gt;=N$2),1,0)</f>
        <v/>
      </c>
      <c r="O25">
        <f>O24+IF(AND($E25&lt;&gt;"",$E25&lt;=O$2,$F25&gt;=O$2),1,0)</f>
        <v/>
      </c>
      <c r="P25">
        <f>P24+IF(AND($E25&lt;&gt;"",$E25&lt;=P$2,$F25&gt;=P$2),1,0)</f>
        <v/>
      </c>
      <c r="Q25">
        <f>Q24+IF(AND($E25&lt;&gt;"",$E25&lt;=Q$2,$F25&gt;=Q$2),1,0)</f>
        <v/>
      </c>
      <c r="R25">
        <f>R24+IF(AND($E25&lt;&gt;"",$E25&lt;=R$2,$F25&gt;=R$2),1,0)</f>
        <v/>
      </c>
      <c r="S25">
        <f>S24+IF(AND($E25&lt;&gt;"",$E25&lt;=S$2,$F25&gt;=S$2),1,0)</f>
        <v/>
      </c>
      <c r="T25">
        <f>T24+IF(AND($E25&lt;&gt;"",$E25&lt;=T$2,$F25&gt;=T$2),1,0)</f>
        <v/>
      </c>
      <c r="U25">
        <f>U24+IF(AND($E25&lt;&gt;"",$E25&lt;=U$2,$F25&gt;=U$2),1,0)</f>
        <v/>
      </c>
      <c r="V25">
        <f>V24+IF(AND($E25&lt;&gt;"",$E25&lt;=V$2,$F25&gt;=V$2),1,0)</f>
        <v/>
      </c>
      <c r="W25">
        <f>W24+IF(AND($E25&lt;&gt;"",$E25&lt;=W$2,$F25&gt;=W$2),1,0)</f>
        <v/>
      </c>
      <c r="X25">
        <f>X24+IF(AND($E25&lt;&gt;"",$E25&lt;=X$2,$F25&gt;=X$2),1,0)</f>
        <v/>
      </c>
      <c r="Y25">
        <f>Y24+IF(AND($E25&lt;&gt;"",$E25&lt;=Y$2,$F25&gt;=Y$2),1,0)</f>
        <v/>
      </c>
      <c r="Z25">
        <f>Z24+IF(AND($E25&lt;&gt;"",$E25&lt;=Z$2,$F25&gt;=Z$2),1,0)</f>
        <v/>
      </c>
      <c r="AA25">
        <f>AA24+IF(AND($E25&lt;&gt;"",$E25&lt;=AA$2,$F25&gt;=AA$2),1,0)</f>
        <v/>
      </c>
      <c r="AB25">
        <f>AB24+IF(AND($E25&lt;&gt;"",$E25&lt;=AB$2,$F25&gt;=AB$2),1,0)</f>
        <v/>
      </c>
      <c r="AC25">
        <f>AC24+IF(AND($E25&lt;&gt;"",$E25&lt;=AC$2,$F25&gt;=AC$2),1,0)</f>
        <v/>
      </c>
      <c r="AD25">
        <f>AD24+IF(AND($E25&lt;&gt;"",$E25&lt;=AD$2,$F25&gt;=AD$2),1,0)</f>
        <v/>
      </c>
      <c r="AE25">
        <f>AE24+IF(AND($E25&lt;&gt;"",$E25&lt;=AE$2,$F25&gt;=AE$2),1,0)</f>
        <v/>
      </c>
      <c r="AF25">
        <f>AF24+IF(AND($E25&lt;&gt;"",$E25&lt;=AF$2,$F25&gt;=AF$2),1,0)</f>
        <v/>
      </c>
      <c r="AG25">
        <f>AG24+IF(AND($E25&lt;&gt;"",$E25&lt;=AG$2,$F25&gt;=AG$2),1,0)</f>
        <v/>
      </c>
      <c r="AH25">
        <f>AH24+IF(AND($E25&lt;&gt;"",$E25&lt;=AH$2,$F25&gt;=AH$2),1,0)</f>
        <v/>
      </c>
      <c r="AI25">
        <f>AI24+IF(AND($E25&lt;&gt;"",$E25&lt;=AI$2,$F25&gt;=AI$2),1,0)</f>
        <v/>
      </c>
      <c r="AJ25">
        <f>AJ24+IF(AND($E25&lt;&gt;"",$E25&lt;=AJ$2,$F25&gt;=AJ$2),1,0)</f>
        <v/>
      </c>
      <c r="AK25">
        <f>AK24+IF(AND($E25&lt;&gt;"",$E25&lt;=AK$2,$F25&gt;=AK$2),1,0)</f>
        <v/>
      </c>
      <c r="AL25">
        <f>AL24+IF(AND($E25&lt;&gt;"",$E25&lt;=AL$2,$F25&gt;=AL$2),1,0)</f>
        <v/>
      </c>
      <c r="AM25">
        <f>AM24+IF(AND($E25&lt;&gt;"",$E25&lt;=AM$2,$F25&gt;=AM$2),1,0)</f>
        <v/>
      </c>
      <c r="AN25">
        <f>AN24+IF(AND($E25&lt;&gt;"",$E25&lt;=AN$2,$F25&gt;=AN$2),1,0)</f>
        <v/>
      </c>
      <c r="AO25">
        <f>AO24+IF(AND($E25&lt;&gt;"",$E25&lt;=AO$2,$F25&gt;=AO$2),1,0)</f>
        <v/>
      </c>
      <c r="AP25">
        <f>AP24+IF(AND($E25&lt;&gt;"",$E25&lt;=AP$2,$F25&gt;=AP$2),1,0)</f>
        <v/>
      </c>
      <c r="AQ25">
        <f>AQ24+IF(AND($E25&lt;&gt;"",$E25&lt;=AQ$2,$F25&gt;=AQ$2),1,0)</f>
        <v/>
      </c>
      <c r="AR25">
        <f>AR24+IF(AND($E25&lt;&gt;"",$E25&lt;=AR$2,$F25&gt;=AR$2),1,0)</f>
        <v/>
      </c>
      <c r="AS25">
        <f>AS24+IF(AND($E25&lt;&gt;"",$E25&lt;=AS$2,$F25&gt;=AS$2),1,0)</f>
        <v/>
      </c>
      <c r="AT25">
        <f>AT24+IF(AND($E25&lt;&gt;"",$E25&lt;=AT$2,$F25&gt;=AT$2),1,0)</f>
        <v/>
      </c>
      <c r="AU25">
        <f>AU24+IF(AND($E25&lt;&gt;"",$E25&lt;=AU$2,$F25&gt;=AU$2),1,0)</f>
        <v/>
      </c>
      <c r="AV25">
        <f>AV24+IF(AND($E25&lt;&gt;"",$E25&lt;=AV$2,$F25&gt;=AV$2),1,0)</f>
        <v/>
      </c>
      <c r="AW25">
        <f>AW24+IF(AND($E25&lt;&gt;"",$E25&lt;=AW$2,$F25&gt;=AW$2),1,0)</f>
        <v/>
      </c>
    </row>
    <row r="26">
      <c r="A26">
        <f>IF(AND(ISNUMBER(Events!$A28),ISNUMBER(Events!$B28)),MAX(0,Events!$B28-Events!$A28),0)</f>
        <v/>
      </c>
      <c r="B26">
        <f>IF(ISNUMBER(Events!$A28),DATE(YEAR($B$1)-1,MONTH(Events!$A28),DAY(Events!$A28)),"")</f>
        <v/>
      </c>
      <c r="C26">
        <f>IF(ISNUMBER(Events!$A28),DATE(YEAR($B$1),MONTH(Events!$A28),DAY(Events!$A28)),"")</f>
        <v/>
      </c>
      <c r="D26">
        <f>IF(ISNUMBER(Events!$A28),DATE(YEAR($B$2),MONTH(Events!$A28),DAY(Events!$A28)),"")</f>
        <v/>
      </c>
      <c r="E26">
        <f>IF(OR(NOT(ISNUMBER(Events!$A28)),Events!$G28="No",Calendar!$H$4="None"),"",IF(OR(Calendar!$H$4="All events",Events!$D28=Calendar!$H$4),IF(Events!$E28="Yes",IF(AND(B26&gt;=Events!$A28,B26&lt;=$B$2,B26+$A26&gt;=$B$1),B26,IF(AND(C26&gt;=Events!$A28,C26&lt;=$B$2,C26+$A26&gt;=$B$1),C26,IF(AND(D26&gt;=Events!$A28,D26&lt;=$B$2,D26+$A26&gt;=$B$1),D26,""))),IF(AND(Events!$A28&lt;=$B$2,Events!$A28+$A26&gt;=$B$1),Events!$A28,"")),""))</f>
        <v/>
      </c>
      <c r="F26">
        <f>IF(E26="","",E26+A26)</f>
        <v/>
      </c>
      <c r="G26">
        <f>IF(E26="","",IF(AND(E26&lt;=EOMONTH(Calendar!$K$2,0),F26&gt;=Calendar!$K$2),E26+23/100000,""))</f>
        <v/>
      </c>
      <c r="H26">
        <f>H25+IF(AND($E26&lt;&gt;"",$E26&lt;=H$2,$F26&gt;=H$2),1,0)</f>
        <v/>
      </c>
      <c r="I26">
        <f>I25+IF(AND($E26&lt;&gt;"",$E26&lt;=I$2,$F26&gt;=I$2),1,0)</f>
        <v/>
      </c>
      <c r="J26">
        <f>J25+IF(AND($E26&lt;&gt;"",$E26&lt;=J$2,$F26&gt;=J$2),1,0)</f>
        <v/>
      </c>
      <c r="K26">
        <f>K25+IF(AND($E26&lt;&gt;"",$E26&lt;=K$2,$F26&gt;=K$2),1,0)</f>
        <v/>
      </c>
      <c r="L26">
        <f>L25+IF(AND($E26&lt;&gt;"",$E26&lt;=L$2,$F26&gt;=L$2),1,0)</f>
        <v/>
      </c>
      <c r="M26">
        <f>M25+IF(AND($E26&lt;&gt;"",$E26&lt;=M$2,$F26&gt;=M$2),1,0)</f>
        <v/>
      </c>
      <c r="N26">
        <f>N25+IF(AND($E26&lt;&gt;"",$E26&lt;=N$2,$F26&gt;=N$2),1,0)</f>
        <v/>
      </c>
      <c r="O26">
        <f>O25+IF(AND($E26&lt;&gt;"",$E26&lt;=O$2,$F26&gt;=O$2),1,0)</f>
        <v/>
      </c>
      <c r="P26">
        <f>P25+IF(AND($E26&lt;&gt;"",$E26&lt;=P$2,$F26&gt;=P$2),1,0)</f>
        <v/>
      </c>
      <c r="Q26">
        <f>Q25+IF(AND($E26&lt;&gt;"",$E26&lt;=Q$2,$F26&gt;=Q$2),1,0)</f>
        <v/>
      </c>
      <c r="R26">
        <f>R25+IF(AND($E26&lt;&gt;"",$E26&lt;=R$2,$F26&gt;=R$2),1,0)</f>
        <v/>
      </c>
      <c r="S26">
        <f>S25+IF(AND($E26&lt;&gt;"",$E26&lt;=S$2,$F26&gt;=S$2),1,0)</f>
        <v/>
      </c>
      <c r="T26">
        <f>T25+IF(AND($E26&lt;&gt;"",$E26&lt;=T$2,$F26&gt;=T$2),1,0)</f>
        <v/>
      </c>
      <c r="U26">
        <f>U25+IF(AND($E26&lt;&gt;"",$E26&lt;=U$2,$F26&gt;=U$2),1,0)</f>
        <v/>
      </c>
      <c r="V26">
        <f>V25+IF(AND($E26&lt;&gt;"",$E26&lt;=V$2,$F26&gt;=V$2),1,0)</f>
        <v/>
      </c>
      <c r="W26">
        <f>W25+IF(AND($E26&lt;&gt;"",$E26&lt;=W$2,$F26&gt;=W$2),1,0)</f>
        <v/>
      </c>
      <c r="X26">
        <f>X25+IF(AND($E26&lt;&gt;"",$E26&lt;=X$2,$F26&gt;=X$2),1,0)</f>
        <v/>
      </c>
      <c r="Y26">
        <f>Y25+IF(AND($E26&lt;&gt;"",$E26&lt;=Y$2,$F26&gt;=Y$2),1,0)</f>
        <v/>
      </c>
      <c r="Z26">
        <f>Z25+IF(AND($E26&lt;&gt;"",$E26&lt;=Z$2,$F26&gt;=Z$2),1,0)</f>
        <v/>
      </c>
      <c r="AA26">
        <f>AA25+IF(AND($E26&lt;&gt;"",$E26&lt;=AA$2,$F26&gt;=AA$2),1,0)</f>
        <v/>
      </c>
      <c r="AB26">
        <f>AB25+IF(AND($E26&lt;&gt;"",$E26&lt;=AB$2,$F26&gt;=AB$2),1,0)</f>
        <v/>
      </c>
      <c r="AC26">
        <f>AC25+IF(AND($E26&lt;&gt;"",$E26&lt;=AC$2,$F26&gt;=AC$2),1,0)</f>
        <v/>
      </c>
      <c r="AD26">
        <f>AD25+IF(AND($E26&lt;&gt;"",$E26&lt;=AD$2,$F26&gt;=AD$2),1,0)</f>
        <v/>
      </c>
      <c r="AE26">
        <f>AE25+IF(AND($E26&lt;&gt;"",$E26&lt;=AE$2,$F26&gt;=AE$2),1,0)</f>
        <v/>
      </c>
      <c r="AF26">
        <f>AF25+IF(AND($E26&lt;&gt;"",$E26&lt;=AF$2,$F26&gt;=AF$2),1,0)</f>
        <v/>
      </c>
      <c r="AG26">
        <f>AG25+IF(AND($E26&lt;&gt;"",$E26&lt;=AG$2,$F26&gt;=AG$2),1,0)</f>
        <v/>
      </c>
      <c r="AH26">
        <f>AH25+IF(AND($E26&lt;&gt;"",$E26&lt;=AH$2,$F26&gt;=AH$2),1,0)</f>
        <v/>
      </c>
      <c r="AI26">
        <f>AI25+IF(AND($E26&lt;&gt;"",$E26&lt;=AI$2,$F26&gt;=AI$2),1,0)</f>
        <v/>
      </c>
      <c r="AJ26">
        <f>AJ25+IF(AND($E26&lt;&gt;"",$E26&lt;=AJ$2,$F26&gt;=AJ$2),1,0)</f>
        <v/>
      </c>
      <c r="AK26">
        <f>AK25+IF(AND($E26&lt;&gt;"",$E26&lt;=AK$2,$F26&gt;=AK$2),1,0)</f>
        <v/>
      </c>
      <c r="AL26">
        <f>AL25+IF(AND($E26&lt;&gt;"",$E26&lt;=AL$2,$F26&gt;=AL$2),1,0)</f>
        <v/>
      </c>
      <c r="AM26">
        <f>AM25+IF(AND($E26&lt;&gt;"",$E26&lt;=AM$2,$F26&gt;=AM$2),1,0)</f>
        <v/>
      </c>
      <c r="AN26">
        <f>AN25+IF(AND($E26&lt;&gt;"",$E26&lt;=AN$2,$F26&gt;=AN$2),1,0)</f>
        <v/>
      </c>
      <c r="AO26">
        <f>AO25+IF(AND($E26&lt;&gt;"",$E26&lt;=AO$2,$F26&gt;=AO$2),1,0)</f>
        <v/>
      </c>
      <c r="AP26">
        <f>AP25+IF(AND($E26&lt;&gt;"",$E26&lt;=AP$2,$F26&gt;=AP$2),1,0)</f>
        <v/>
      </c>
      <c r="AQ26">
        <f>AQ25+IF(AND($E26&lt;&gt;"",$E26&lt;=AQ$2,$F26&gt;=AQ$2),1,0)</f>
        <v/>
      </c>
      <c r="AR26">
        <f>AR25+IF(AND($E26&lt;&gt;"",$E26&lt;=AR$2,$F26&gt;=AR$2),1,0)</f>
        <v/>
      </c>
      <c r="AS26">
        <f>AS25+IF(AND($E26&lt;&gt;"",$E26&lt;=AS$2,$F26&gt;=AS$2),1,0)</f>
        <v/>
      </c>
      <c r="AT26">
        <f>AT25+IF(AND($E26&lt;&gt;"",$E26&lt;=AT$2,$F26&gt;=AT$2),1,0)</f>
        <v/>
      </c>
      <c r="AU26">
        <f>AU25+IF(AND($E26&lt;&gt;"",$E26&lt;=AU$2,$F26&gt;=AU$2),1,0)</f>
        <v/>
      </c>
      <c r="AV26">
        <f>AV25+IF(AND($E26&lt;&gt;"",$E26&lt;=AV$2,$F26&gt;=AV$2),1,0)</f>
        <v/>
      </c>
      <c r="AW26">
        <f>AW25+IF(AND($E26&lt;&gt;"",$E26&lt;=AW$2,$F26&gt;=AW$2),1,0)</f>
        <v/>
      </c>
    </row>
    <row r="27">
      <c r="A27">
        <f>IF(AND(ISNUMBER(Events!$A29),ISNUMBER(Events!$B29)),MAX(0,Events!$B29-Events!$A29),0)</f>
        <v/>
      </c>
      <c r="B27">
        <f>IF(ISNUMBER(Events!$A29),DATE(YEAR($B$1)-1,MONTH(Events!$A29),DAY(Events!$A29)),"")</f>
        <v/>
      </c>
      <c r="C27">
        <f>IF(ISNUMBER(Events!$A29),DATE(YEAR($B$1),MONTH(Events!$A29),DAY(Events!$A29)),"")</f>
        <v/>
      </c>
      <c r="D27">
        <f>IF(ISNUMBER(Events!$A29),DATE(YEAR($B$2),MONTH(Events!$A29),DAY(Events!$A29)),"")</f>
        <v/>
      </c>
      <c r="E27">
        <f>IF(OR(NOT(ISNUMBER(Events!$A29)),Events!$G29="No",Calendar!$H$4="None"),"",IF(OR(Calendar!$H$4="All events",Events!$D29=Calendar!$H$4),IF(Events!$E29="Yes",IF(AND(B27&gt;=Events!$A29,B27&lt;=$B$2,B27+$A27&gt;=$B$1),B27,IF(AND(C27&gt;=Events!$A29,C27&lt;=$B$2,C27+$A27&gt;=$B$1),C27,IF(AND(D27&gt;=Events!$A29,D27&lt;=$B$2,D27+$A27&gt;=$B$1),D27,""))),IF(AND(Events!$A29&lt;=$B$2,Events!$A29+$A27&gt;=$B$1),Events!$A29,"")),""))</f>
        <v/>
      </c>
      <c r="F27">
        <f>IF(E27="","",E27+A27)</f>
        <v/>
      </c>
      <c r="G27">
        <f>IF(E27="","",IF(AND(E27&lt;=EOMONTH(Calendar!$K$2,0),F27&gt;=Calendar!$K$2),E27+24/100000,""))</f>
        <v/>
      </c>
      <c r="H27">
        <f>H26+IF(AND($E27&lt;&gt;"",$E27&lt;=H$2,$F27&gt;=H$2),1,0)</f>
        <v/>
      </c>
      <c r="I27">
        <f>I26+IF(AND($E27&lt;&gt;"",$E27&lt;=I$2,$F27&gt;=I$2),1,0)</f>
        <v/>
      </c>
      <c r="J27">
        <f>J26+IF(AND($E27&lt;&gt;"",$E27&lt;=J$2,$F27&gt;=J$2),1,0)</f>
        <v/>
      </c>
      <c r="K27">
        <f>K26+IF(AND($E27&lt;&gt;"",$E27&lt;=K$2,$F27&gt;=K$2),1,0)</f>
        <v/>
      </c>
      <c r="L27">
        <f>L26+IF(AND($E27&lt;&gt;"",$E27&lt;=L$2,$F27&gt;=L$2),1,0)</f>
        <v/>
      </c>
      <c r="M27">
        <f>M26+IF(AND($E27&lt;&gt;"",$E27&lt;=M$2,$F27&gt;=M$2),1,0)</f>
        <v/>
      </c>
      <c r="N27">
        <f>N26+IF(AND($E27&lt;&gt;"",$E27&lt;=N$2,$F27&gt;=N$2),1,0)</f>
        <v/>
      </c>
      <c r="O27">
        <f>O26+IF(AND($E27&lt;&gt;"",$E27&lt;=O$2,$F27&gt;=O$2),1,0)</f>
        <v/>
      </c>
      <c r="P27">
        <f>P26+IF(AND($E27&lt;&gt;"",$E27&lt;=P$2,$F27&gt;=P$2),1,0)</f>
        <v/>
      </c>
      <c r="Q27">
        <f>Q26+IF(AND($E27&lt;&gt;"",$E27&lt;=Q$2,$F27&gt;=Q$2),1,0)</f>
        <v/>
      </c>
      <c r="R27">
        <f>R26+IF(AND($E27&lt;&gt;"",$E27&lt;=R$2,$F27&gt;=R$2),1,0)</f>
        <v/>
      </c>
      <c r="S27">
        <f>S26+IF(AND($E27&lt;&gt;"",$E27&lt;=S$2,$F27&gt;=S$2),1,0)</f>
        <v/>
      </c>
      <c r="T27">
        <f>T26+IF(AND($E27&lt;&gt;"",$E27&lt;=T$2,$F27&gt;=T$2),1,0)</f>
        <v/>
      </c>
      <c r="U27">
        <f>U26+IF(AND($E27&lt;&gt;"",$E27&lt;=U$2,$F27&gt;=U$2),1,0)</f>
        <v/>
      </c>
      <c r="V27">
        <f>V26+IF(AND($E27&lt;&gt;"",$E27&lt;=V$2,$F27&gt;=V$2),1,0)</f>
        <v/>
      </c>
      <c r="W27">
        <f>W26+IF(AND($E27&lt;&gt;"",$E27&lt;=W$2,$F27&gt;=W$2),1,0)</f>
        <v/>
      </c>
      <c r="X27">
        <f>X26+IF(AND($E27&lt;&gt;"",$E27&lt;=X$2,$F27&gt;=X$2),1,0)</f>
        <v/>
      </c>
      <c r="Y27">
        <f>Y26+IF(AND($E27&lt;&gt;"",$E27&lt;=Y$2,$F27&gt;=Y$2),1,0)</f>
        <v/>
      </c>
      <c r="Z27">
        <f>Z26+IF(AND($E27&lt;&gt;"",$E27&lt;=Z$2,$F27&gt;=Z$2),1,0)</f>
        <v/>
      </c>
      <c r="AA27">
        <f>AA26+IF(AND($E27&lt;&gt;"",$E27&lt;=AA$2,$F27&gt;=AA$2),1,0)</f>
        <v/>
      </c>
      <c r="AB27">
        <f>AB26+IF(AND($E27&lt;&gt;"",$E27&lt;=AB$2,$F27&gt;=AB$2),1,0)</f>
        <v/>
      </c>
      <c r="AC27">
        <f>AC26+IF(AND($E27&lt;&gt;"",$E27&lt;=AC$2,$F27&gt;=AC$2),1,0)</f>
        <v/>
      </c>
      <c r="AD27">
        <f>AD26+IF(AND($E27&lt;&gt;"",$E27&lt;=AD$2,$F27&gt;=AD$2),1,0)</f>
        <v/>
      </c>
      <c r="AE27">
        <f>AE26+IF(AND($E27&lt;&gt;"",$E27&lt;=AE$2,$F27&gt;=AE$2),1,0)</f>
        <v/>
      </c>
      <c r="AF27">
        <f>AF26+IF(AND($E27&lt;&gt;"",$E27&lt;=AF$2,$F27&gt;=AF$2),1,0)</f>
        <v/>
      </c>
      <c r="AG27">
        <f>AG26+IF(AND($E27&lt;&gt;"",$E27&lt;=AG$2,$F27&gt;=AG$2),1,0)</f>
        <v/>
      </c>
      <c r="AH27">
        <f>AH26+IF(AND($E27&lt;&gt;"",$E27&lt;=AH$2,$F27&gt;=AH$2),1,0)</f>
        <v/>
      </c>
      <c r="AI27">
        <f>AI26+IF(AND($E27&lt;&gt;"",$E27&lt;=AI$2,$F27&gt;=AI$2),1,0)</f>
        <v/>
      </c>
      <c r="AJ27">
        <f>AJ26+IF(AND($E27&lt;&gt;"",$E27&lt;=AJ$2,$F27&gt;=AJ$2),1,0)</f>
        <v/>
      </c>
      <c r="AK27">
        <f>AK26+IF(AND($E27&lt;&gt;"",$E27&lt;=AK$2,$F27&gt;=AK$2),1,0)</f>
        <v/>
      </c>
      <c r="AL27">
        <f>AL26+IF(AND($E27&lt;&gt;"",$E27&lt;=AL$2,$F27&gt;=AL$2),1,0)</f>
        <v/>
      </c>
      <c r="AM27">
        <f>AM26+IF(AND($E27&lt;&gt;"",$E27&lt;=AM$2,$F27&gt;=AM$2),1,0)</f>
        <v/>
      </c>
      <c r="AN27">
        <f>AN26+IF(AND($E27&lt;&gt;"",$E27&lt;=AN$2,$F27&gt;=AN$2),1,0)</f>
        <v/>
      </c>
      <c r="AO27">
        <f>AO26+IF(AND($E27&lt;&gt;"",$E27&lt;=AO$2,$F27&gt;=AO$2),1,0)</f>
        <v/>
      </c>
      <c r="AP27">
        <f>AP26+IF(AND($E27&lt;&gt;"",$E27&lt;=AP$2,$F27&gt;=AP$2),1,0)</f>
        <v/>
      </c>
      <c r="AQ27">
        <f>AQ26+IF(AND($E27&lt;&gt;"",$E27&lt;=AQ$2,$F27&gt;=AQ$2),1,0)</f>
        <v/>
      </c>
      <c r="AR27">
        <f>AR26+IF(AND($E27&lt;&gt;"",$E27&lt;=AR$2,$F27&gt;=AR$2),1,0)</f>
        <v/>
      </c>
      <c r="AS27">
        <f>AS26+IF(AND($E27&lt;&gt;"",$E27&lt;=AS$2,$F27&gt;=AS$2),1,0)</f>
        <v/>
      </c>
      <c r="AT27">
        <f>AT26+IF(AND($E27&lt;&gt;"",$E27&lt;=AT$2,$F27&gt;=AT$2),1,0)</f>
        <v/>
      </c>
      <c r="AU27">
        <f>AU26+IF(AND($E27&lt;&gt;"",$E27&lt;=AU$2,$F27&gt;=AU$2),1,0)</f>
        <v/>
      </c>
      <c r="AV27">
        <f>AV26+IF(AND($E27&lt;&gt;"",$E27&lt;=AV$2,$F27&gt;=AV$2),1,0)</f>
        <v/>
      </c>
      <c r="AW27">
        <f>AW26+IF(AND($E27&lt;&gt;"",$E27&lt;=AW$2,$F27&gt;=AW$2),1,0)</f>
        <v/>
      </c>
    </row>
    <row r="28">
      <c r="A28">
        <f>IF(AND(ISNUMBER(Events!$A30),ISNUMBER(Events!$B30)),MAX(0,Events!$B30-Events!$A30),0)</f>
        <v/>
      </c>
      <c r="B28">
        <f>IF(ISNUMBER(Events!$A30),DATE(YEAR($B$1)-1,MONTH(Events!$A30),DAY(Events!$A30)),"")</f>
        <v/>
      </c>
      <c r="C28">
        <f>IF(ISNUMBER(Events!$A30),DATE(YEAR($B$1),MONTH(Events!$A30),DAY(Events!$A30)),"")</f>
        <v/>
      </c>
      <c r="D28">
        <f>IF(ISNUMBER(Events!$A30),DATE(YEAR($B$2),MONTH(Events!$A30),DAY(Events!$A30)),"")</f>
        <v/>
      </c>
      <c r="E28">
        <f>IF(OR(NOT(ISNUMBER(Events!$A30)),Events!$G30="No",Calendar!$H$4="None"),"",IF(OR(Calendar!$H$4="All events",Events!$D30=Calendar!$H$4),IF(Events!$E30="Yes",IF(AND(B28&gt;=Events!$A30,B28&lt;=$B$2,B28+$A28&gt;=$B$1),B28,IF(AND(C28&gt;=Events!$A30,C28&lt;=$B$2,C28+$A28&gt;=$B$1),C28,IF(AND(D28&gt;=Events!$A30,D28&lt;=$B$2,D28+$A28&gt;=$B$1),D28,""))),IF(AND(Events!$A30&lt;=$B$2,Events!$A30+$A28&gt;=$B$1),Events!$A30,"")),""))</f>
        <v/>
      </c>
      <c r="F28">
        <f>IF(E28="","",E28+A28)</f>
        <v/>
      </c>
      <c r="G28">
        <f>IF(E28="","",IF(AND(E28&lt;=EOMONTH(Calendar!$K$2,0),F28&gt;=Calendar!$K$2),E28+25/100000,""))</f>
        <v/>
      </c>
      <c r="H28">
        <f>H27+IF(AND($E28&lt;&gt;"",$E28&lt;=H$2,$F28&gt;=H$2),1,0)</f>
        <v/>
      </c>
      <c r="I28">
        <f>I27+IF(AND($E28&lt;&gt;"",$E28&lt;=I$2,$F28&gt;=I$2),1,0)</f>
        <v/>
      </c>
      <c r="J28">
        <f>J27+IF(AND($E28&lt;&gt;"",$E28&lt;=J$2,$F28&gt;=J$2),1,0)</f>
        <v/>
      </c>
      <c r="K28">
        <f>K27+IF(AND($E28&lt;&gt;"",$E28&lt;=K$2,$F28&gt;=K$2),1,0)</f>
        <v/>
      </c>
      <c r="L28">
        <f>L27+IF(AND($E28&lt;&gt;"",$E28&lt;=L$2,$F28&gt;=L$2),1,0)</f>
        <v/>
      </c>
      <c r="M28">
        <f>M27+IF(AND($E28&lt;&gt;"",$E28&lt;=M$2,$F28&gt;=M$2),1,0)</f>
        <v/>
      </c>
      <c r="N28">
        <f>N27+IF(AND($E28&lt;&gt;"",$E28&lt;=N$2,$F28&gt;=N$2),1,0)</f>
        <v/>
      </c>
      <c r="O28">
        <f>O27+IF(AND($E28&lt;&gt;"",$E28&lt;=O$2,$F28&gt;=O$2),1,0)</f>
        <v/>
      </c>
      <c r="P28">
        <f>P27+IF(AND($E28&lt;&gt;"",$E28&lt;=P$2,$F28&gt;=P$2),1,0)</f>
        <v/>
      </c>
      <c r="Q28">
        <f>Q27+IF(AND($E28&lt;&gt;"",$E28&lt;=Q$2,$F28&gt;=Q$2),1,0)</f>
        <v/>
      </c>
      <c r="R28">
        <f>R27+IF(AND($E28&lt;&gt;"",$E28&lt;=R$2,$F28&gt;=R$2),1,0)</f>
        <v/>
      </c>
      <c r="S28">
        <f>S27+IF(AND($E28&lt;&gt;"",$E28&lt;=S$2,$F28&gt;=S$2),1,0)</f>
        <v/>
      </c>
      <c r="T28">
        <f>T27+IF(AND($E28&lt;&gt;"",$E28&lt;=T$2,$F28&gt;=T$2),1,0)</f>
        <v/>
      </c>
      <c r="U28">
        <f>U27+IF(AND($E28&lt;&gt;"",$E28&lt;=U$2,$F28&gt;=U$2),1,0)</f>
        <v/>
      </c>
      <c r="V28">
        <f>V27+IF(AND($E28&lt;&gt;"",$E28&lt;=V$2,$F28&gt;=V$2),1,0)</f>
        <v/>
      </c>
      <c r="W28">
        <f>W27+IF(AND($E28&lt;&gt;"",$E28&lt;=W$2,$F28&gt;=W$2),1,0)</f>
        <v/>
      </c>
      <c r="X28">
        <f>X27+IF(AND($E28&lt;&gt;"",$E28&lt;=X$2,$F28&gt;=X$2),1,0)</f>
        <v/>
      </c>
      <c r="Y28">
        <f>Y27+IF(AND($E28&lt;&gt;"",$E28&lt;=Y$2,$F28&gt;=Y$2),1,0)</f>
        <v/>
      </c>
      <c r="Z28">
        <f>Z27+IF(AND($E28&lt;&gt;"",$E28&lt;=Z$2,$F28&gt;=Z$2),1,0)</f>
        <v/>
      </c>
      <c r="AA28">
        <f>AA27+IF(AND($E28&lt;&gt;"",$E28&lt;=AA$2,$F28&gt;=AA$2),1,0)</f>
        <v/>
      </c>
      <c r="AB28">
        <f>AB27+IF(AND($E28&lt;&gt;"",$E28&lt;=AB$2,$F28&gt;=AB$2),1,0)</f>
        <v/>
      </c>
      <c r="AC28">
        <f>AC27+IF(AND($E28&lt;&gt;"",$E28&lt;=AC$2,$F28&gt;=AC$2),1,0)</f>
        <v/>
      </c>
      <c r="AD28">
        <f>AD27+IF(AND($E28&lt;&gt;"",$E28&lt;=AD$2,$F28&gt;=AD$2),1,0)</f>
        <v/>
      </c>
      <c r="AE28">
        <f>AE27+IF(AND($E28&lt;&gt;"",$E28&lt;=AE$2,$F28&gt;=AE$2),1,0)</f>
        <v/>
      </c>
      <c r="AF28">
        <f>AF27+IF(AND($E28&lt;&gt;"",$E28&lt;=AF$2,$F28&gt;=AF$2),1,0)</f>
        <v/>
      </c>
      <c r="AG28">
        <f>AG27+IF(AND($E28&lt;&gt;"",$E28&lt;=AG$2,$F28&gt;=AG$2),1,0)</f>
        <v/>
      </c>
      <c r="AH28">
        <f>AH27+IF(AND($E28&lt;&gt;"",$E28&lt;=AH$2,$F28&gt;=AH$2),1,0)</f>
        <v/>
      </c>
      <c r="AI28">
        <f>AI27+IF(AND($E28&lt;&gt;"",$E28&lt;=AI$2,$F28&gt;=AI$2),1,0)</f>
        <v/>
      </c>
      <c r="AJ28">
        <f>AJ27+IF(AND($E28&lt;&gt;"",$E28&lt;=AJ$2,$F28&gt;=AJ$2),1,0)</f>
        <v/>
      </c>
      <c r="AK28">
        <f>AK27+IF(AND($E28&lt;&gt;"",$E28&lt;=AK$2,$F28&gt;=AK$2),1,0)</f>
        <v/>
      </c>
      <c r="AL28">
        <f>AL27+IF(AND($E28&lt;&gt;"",$E28&lt;=AL$2,$F28&gt;=AL$2),1,0)</f>
        <v/>
      </c>
      <c r="AM28">
        <f>AM27+IF(AND($E28&lt;&gt;"",$E28&lt;=AM$2,$F28&gt;=AM$2),1,0)</f>
        <v/>
      </c>
      <c r="AN28">
        <f>AN27+IF(AND($E28&lt;&gt;"",$E28&lt;=AN$2,$F28&gt;=AN$2),1,0)</f>
        <v/>
      </c>
      <c r="AO28">
        <f>AO27+IF(AND($E28&lt;&gt;"",$E28&lt;=AO$2,$F28&gt;=AO$2),1,0)</f>
        <v/>
      </c>
      <c r="AP28">
        <f>AP27+IF(AND($E28&lt;&gt;"",$E28&lt;=AP$2,$F28&gt;=AP$2),1,0)</f>
        <v/>
      </c>
      <c r="AQ28">
        <f>AQ27+IF(AND($E28&lt;&gt;"",$E28&lt;=AQ$2,$F28&gt;=AQ$2),1,0)</f>
        <v/>
      </c>
      <c r="AR28">
        <f>AR27+IF(AND($E28&lt;&gt;"",$E28&lt;=AR$2,$F28&gt;=AR$2),1,0)</f>
        <v/>
      </c>
      <c r="AS28">
        <f>AS27+IF(AND($E28&lt;&gt;"",$E28&lt;=AS$2,$F28&gt;=AS$2),1,0)</f>
        <v/>
      </c>
      <c r="AT28">
        <f>AT27+IF(AND($E28&lt;&gt;"",$E28&lt;=AT$2,$F28&gt;=AT$2),1,0)</f>
        <v/>
      </c>
      <c r="AU28">
        <f>AU27+IF(AND($E28&lt;&gt;"",$E28&lt;=AU$2,$F28&gt;=AU$2),1,0)</f>
        <v/>
      </c>
      <c r="AV28">
        <f>AV27+IF(AND($E28&lt;&gt;"",$E28&lt;=AV$2,$F28&gt;=AV$2),1,0)</f>
        <v/>
      </c>
      <c r="AW28">
        <f>AW27+IF(AND($E28&lt;&gt;"",$E28&lt;=AW$2,$F28&gt;=AW$2),1,0)</f>
        <v/>
      </c>
    </row>
    <row r="29">
      <c r="A29">
        <f>IF(AND(ISNUMBER(Events!$A31),ISNUMBER(Events!$B31)),MAX(0,Events!$B31-Events!$A31),0)</f>
        <v/>
      </c>
      <c r="B29">
        <f>IF(ISNUMBER(Events!$A31),DATE(YEAR($B$1)-1,MONTH(Events!$A31),DAY(Events!$A31)),"")</f>
        <v/>
      </c>
      <c r="C29">
        <f>IF(ISNUMBER(Events!$A31),DATE(YEAR($B$1),MONTH(Events!$A31),DAY(Events!$A31)),"")</f>
        <v/>
      </c>
      <c r="D29">
        <f>IF(ISNUMBER(Events!$A31),DATE(YEAR($B$2),MONTH(Events!$A31),DAY(Events!$A31)),"")</f>
        <v/>
      </c>
      <c r="E29">
        <f>IF(OR(NOT(ISNUMBER(Events!$A31)),Events!$G31="No",Calendar!$H$4="None"),"",IF(OR(Calendar!$H$4="All events",Events!$D31=Calendar!$H$4),IF(Events!$E31="Yes",IF(AND(B29&gt;=Events!$A31,B29&lt;=$B$2,B29+$A29&gt;=$B$1),B29,IF(AND(C29&gt;=Events!$A31,C29&lt;=$B$2,C29+$A29&gt;=$B$1),C29,IF(AND(D29&gt;=Events!$A31,D29&lt;=$B$2,D29+$A29&gt;=$B$1),D29,""))),IF(AND(Events!$A31&lt;=$B$2,Events!$A31+$A29&gt;=$B$1),Events!$A31,"")),""))</f>
        <v/>
      </c>
      <c r="F29">
        <f>IF(E29="","",E29+A29)</f>
        <v/>
      </c>
      <c r="G29">
        <f>IF(E29="","",IF(AND(E29&lt;=EOMONTH(Calendar!$K$2,0),F29&gt;=Calendar!$K$2),E29+26/100000,""))</f>
        <v/>
      </c>
      <c r="H29">
        <f>H28+IF(AND($E29&lt;&gt;"",$E29&lt;=H$2,$F29&gt;=H$2),1,0)</f>
        <v/>
      </c>
      <c r="I29">
        <f>I28+IF(AND($E29&lt;&gt;"",$E29&lt;=I$2,$F29&gt;=I$2),1,0)</f>
        <v/>
      </c>
      <c r="J29">
        <f>J28+IF(AND($E29&lt;&gt;"",$E29&lt;=J$2,$F29&gt;=J$2),1,0)</f>
        <v/>
      </c>
      <c r="K29">
        <f>K28+IF(AND($E29&lt;&gt;"",$E29&lt;=K$2,$F29&gt;=K$2),1,0)</f>
        <v/>
      </c>
      <c r="L29">
        <f>L28+IF(AND($E29&lt;&gt;"",$E29&lt;=L$2,$F29&gt;=L$2),1,0)</f>
        <v/>
      </c>
      <c r="M29">
        <f>M28+IF(AND($E29&lt;&gt;"",$E29&lt;=M$2,$F29&gt;=M$2),1,0)</f>
        <v/>
      </c>
      <c r="N29">
        <f>N28+IF(AND($E29&lt;&gt;"",$E29&lt;=N$2,$F29&gt;=N$2),1,0)</f>
        <v/>
      </c>
      <c r="O29">
        <f>O28+IF(AND($E29&lt;&gt;"",$E29&lt;=O$2,$F29&gt;=O$2),1,0)</f>
        <v/>
      </c>
      <c r="P29">
        <f>P28+IF(AND($E29&lt;&gt;"",$E29&lt;=P$2,$F29&gt;=P$2),1,0)</f>
        <v/>
      </c>
      <c r="Q29">
        <f>Q28+IF(AND($E29&lt;&gt;"",$E29&lt;=Q$2,$F29&gt;=Q$2),1,0)</f>
        <v/>
      </c>
      <c r="R29">
        <f>R28+IF(AND($E29&lt;&gt;"",$E29&lt;=R$2,$F29&gt;=R$2),1,0)</f>
        <v/>
      </c>
      <c r="S29">
        <f>S28+IF(AND($E29&lt;&gt;"",$E29&lt;=S$2,$F29&gt;=S$2),1,0)</f>
        <v/>
      </c>
      <c r="T29">
        <f>T28+IF(AND($E29&lt;&gt;"",$E29&lt;=T$2,$F29&gt;=T$2),1,0)</f>
        <v/>
      </c>
      <c r="U29">
        <f>U28+IF(AND($E29&lt;&gt;"",$E29&lt;=U$2,$F29&gt;=U$2),1,0)</f>
        <v/>
      </c>
      <c r="V29">
        <f>V28+IF(AND($E29&lt;&gt;"",$E29&lt;=V$2,$F29&gt;=V$2),1,0)</f>
        <v/>
      </c>
      <c r="W29">
        <f>W28+IF(AND($E29&lt;&gt;"",$E29&lt;=W$2,$F29&gt;=W$2),1,0)</f>
        <v/>
      </c>
      <c r="X29">
        <f>X28+IF(AND($E29&lt;&gt;"",$E29&lt;=X$2,$F29&gt;=X$2),1,0)</f>
        <v/>
      </c>
      <c r="Y29">
        <f>Y28+IF(AND($E29&lt;&gt;"",$E29&lt;=Y$2,$F29&gt;=Y$2),1,0)</f>
        <v/>
      </c>
      <c r="Z29">
        <f>Z28+IF(AND($E29&lt;&gt;"",$E29&lt;=Z$2,$F29&gt;=Z$2),1,0)</f>
        <v/>
      </c>
      <c r="AA29">
        <f>AA28+IF(AND($E29&lt;&gt;"",$E29&lt;=AA$2,$F29&gt;=AA$2),1,0)</f>
        <v/>
      </c>
      <c r="AB29">
        <f>AB28+IF(AND($E29&lt;&gt;"",$E29&lt;=AB$2,$F29&gt;=AB$2),1,0)</f>
        <v/>
      </c>
      <c r="AC29">
        <f>AC28+IF(AND($E29&lt;&gt;"",$E29&lt;=AC$2,$F29&gt;=AC$2),1,0)</f>
        <v/>
      </c>
      <c r="AD29">
        <f>AD28+IF(AND($E29&lt;&gt;"",$E29&lt;=AD$2,$F29&gt;=AD$2),1,0)</f>
        <v/>
      </c>
      <c r="AE29">
        <f>AE28+IF(AND($E29&lt;&gt;"",$E29&lt;=AE$2,$F29&gt;=AE$2),1,0)</f>
        <v/>
      </c>
      <c r="AF29">
        <f>AF28+IF(AND($E29&lt;&gt;"",$E29&lt;=AF$2,$F29&gt;=AF$2),1,0)</f>
        <v/>
      </c>
      <c r="AG29">
        <f>AG28+IF(AND($E29&lt;&gt;"",$E29&lt;=AG$2,$F29&gt;=AG$2),1,0)</f>
        <v/>
      </c>
      <c r="AH29">
        <f>AH28+IF(AND($E29&lt;&gt;"",$E29&lt;=AH$2,$F29&gt;=AH$2),1,0)</f>
        <v/>
      </c>
      <c r="AI29">
        <f>AI28+IF(AND($E29&lt;&gt;"",$E29&lt;=AI$2,$F29&gt;=AI$2),1,0)</f>
        <v/>
      </c>
      <c r="AJ29">
        <f>AJ28+IF(AND($E29&lt;&gt;"",$E29&lt;=AJ$2,$F29&gt;=AJ$2),1,0)</f>
        <v/>
      </c>
      <c r="AK29">
        <f>AK28+IF(AND($E29&lt;&gt;"",$E29&lt;=AK$2,$F29&gt;=AK$2),1,0)</f>
        <v/>
      </c>
      <c r="AL29">
        <f>AL28+IF(AND($E29&lt;&gt;"",$E29&lt;=AL$2,$F29&gt;=AL$2),1,0)</f>
        <v/>
      </c>
      <c r="AM29">
        <f>AM28+IF(AND($E29&lt;&gt;"",$E29&lt;=AM$2,$F29&gt;=AM$2),1,0)</f>
        <v/>
      </c>
      <c r="AN29">
        <f>AN28+IF(AND($E29&lt;&gt;"",$E29&lt;=AN$2,$F29&gt;=AN$2),1,0)</f>
        <v/>
      </c>
      <c r="AO29">
        <f>AO28+IF(AND($E29&lt;&gt;"",$E29&lt;=AO$2,$F29&gt;=AO$2),1,0)</f>
        <v/>
      </c>
      <c r="AP29">
        <f>AP28+IF(AND($E29&lt;&gt;"",$E29&lt;=AP$2,$F29&gt;=AP$2),1,0)</f>
        <v/>
      </c>
      <c r="AQ29">
        <f>AQ28+IF(AND($E29&lt;&gt;"",$E29&lt;=AQ$2,$F29&gt;=AQ$2),1,0)</f>
        <v/>
      </c>
      <c r="AR29">
        <f>AR28+IF(AND($E29&lt;&gt;"",$E29&lt;=AR$2,$F29&gt;=AR$2),1,0)</f>
        <v/>
      </c>
      <c r="AS29">
        <f>AS28+IF(AND($E29&lt;&gt;"",$E29&lt;=AS$2,$F29&gt;=AS$2),1,0)</f>
        <v/>
      </c>
      <c r="AT29">
        <f>AT28+IF(AND($E29&lt;&gt;"",$E29&lt;=AT$2,$F29&gt;=AT$2),1,0)</f>
        <v/>
      </c>
      <c r="AU29">
        <f>AU28+IF(AND($E29&lt;&gt;"",$E29&lt;=AU$2,$F29&gt;=AU$2),1,0)</f>
        <v/>
      </c>
      <c r="AV29">
        <f>AV28+IF(AND($E29&lt;&gt;"",$E29&lt;=AV$2,$F29&gt;=AV$2),1,0)</f>
        <v/>
      </c>
      <c r="AW29">
        <f>AW28+IF(AND($E29&lt;&gt;"",$E29&lt;=AW$2,$F29&gt;=AW$2),1,0)</f>
        <v/>
      </c>
    </row>
    <row r="30">
      <c r="A30">
        <f>IF(AND(ISNUMBER(Events!$A32),ISNUMBER(Events!$B32)),MAX(0,Events!$B32-Events!$A32),0)</f>
        <v/>
      </c>
      <c r="B30">
        <f>IF(ISNUMBER(Events!$A32),DATE(YEAR($B$1)-1,MONTH(Events!$A32),DAY(Events!$A32)),"")</f>
        <v/>
      </c>
      <c r="C30">
        <f>IF(ISNUMBER(Events!$A32),DATE(YEAR($B$1),MONTH(Events!$A32),DAY(Events!$A32)),"")</f>
        <v/>
      </c>
      <c r="D30">
        <f>IF(ISNUMBER(Events!$A32),DATE(YEAR($B$2),MONTH(Events!$A32),DAY(Events!$A32)),"")</f>
        <v/>
      </c>
      <c r="E30">
        <f>IF(OR(NOT(ISNUMBER(Events!$A32)),Events!$G32="No",Calendar!$H$4="None"),"",IF(OR(Calendar!$H$4="All events",Events!$D32=Calendar!$H$4),IF(Events!$E32="Yes",IF(AND(B30&gt;=Events!$A32,B30&lt;=$B$2,B30+$A30&gt;=$B$1),B30,IF(AND(C30&gt;=Events!$A32,C30&lt;=$B$2,C30+$A30&gt;=$B$1),C30,IF(AND(D30&gt;=Events!$A32,D30&lt;=$B$2,D30+$A30&gt;=$B$1),D30,""))),IF(AND(Events!$A32&lt;=$B$2,Events!$A32+$A30&gt;=$B$1),Events!$A32,"")),""))</f>
        <v/>
      </c>
      <c r="F30">
        <f>IF(E30="","",E30+A30)</f>
        <v/>
      </c>
      <c r="G30">
        <f>IF(E30="","",IF(AND(E30&lt;=EOMONTH(Calendar!$K$2,0),F30&gt;=Calendar!$K$2),E30+27/100000,""))</f>
        <v/>
      </c>
      <c r="H30">
        <f>H29+IF(AND($E30&lt;&gt;"",$E30&lt;=H$2,$F30&gt;=H$2),1,0)</f>
        <v/>
      </c>
      <c r="I30">
        <f>I29+IF(AND($E30&lt;&gt;"",$E30&lt;=I$2,$F30&gt;=I$2),1,0)</f>
        <v/>
      </c>
      <c r="J30">
        <f>J29+IF(AND($E30&lt;&gt;"",$E30&lt;=J$2,$F30&gt;=J$2),1,0)</f>
        <v/>
      </c>
      <c r="K30">
        <f>K29+IF(AND($E30&lt;&gt;"",$E30&lt;=K$2,$F30&gt;=K$2),1,0)</f>
        <v/>
      </c>
      <c r="L30">
        <f>L29+IF(AND($E30&lt;&gt;"",$E30&lt;=L$2,$F30&gt;=L$2),1,0)</f>
        <v/>
      </c>
      <c r="M30">
        <f>M29+IF(AND($E30&lt;&gt;"",$E30&lt;=M$2,$F30&gt;=M$2),1,0)</f>
        <v/>
      </c>
      <c r="N30">
        <f>N29+IF(AND($E30&lt;&gt;"",$E30&lt;=N$2,$F30&gt;=N$2),1,0)</f>
        <v/>
      </c>
      <c r="O30">
        <f>O29+IF(AND($E30&lt;&gt;"",$E30&lt;=O$2,$F30&gt;=O$2),1,0)</f>
        <v/>
      </c>
      <c r="P30">
        <f>P29+IF(AND($E30&lt;&gt;"",$E30&lt;=P$2,$F30&gt;=P$2),1,0)</f>
        <v/>
      </c>
      <c r="Q30">
        <f>Q29+IF(AND($E30&lt;&gt;"",$E30&lt;=Q$2,$F30&gt;=Q$2),1,0)</f>
        <v/>
      </c>
      <c r="R30">
        <f>R29+IF(AND($E30&lt;&gt;"",$E30&lt;=R$2,$F30&gt;=R$2),1,0)</f>
        <v/>
      </c>
      <c r="S30">
        <f>S29+IF(AND($E30&lt;&gt;"",$E30&lt;=S$2,$F30&gt;=S$2),1,0)</f>
        <v/>
      </c>
      <c r="T30">
        <f>T29+IF(AND($E30&lt;&gt;"",$E30&lt;=T$2,$F30&gt;=T$2),1,0)</f>
        <v/>
      </c>
      <c r="U30">
        <f>U29+IF(AND($E30&lt;&gt;"",$E30&lt;=U$2,$F30&gt;=U$2),1,0)</f>
        <v/>
      </c>
      <c r="V30">
        <f>V29+IF(AND($E30&lt;&gt;"",$E30&lt;=V$2,$F30&gt;=V$2),1,0)</f>
        <v/>
      </c>
      <c r="W30">
        <f>W29+IF(AND($E30&lt;&gt;"",$E30&lt;=W$2,$F30&gt;=W$2),1,0)</f>
        <v/>
      </c>
      <c r="X30">
        <f>X29+IF(AND($E30&lt;&gt;"",$E30&lt;=X$2,$F30&gt;=X$2),1,0)</f>
        <v/>
      </c>
      <c r="Y30">
        <f>Y29+IF(AND($E30&lt;&gt;"",$E30&lt;=Y$2,$F30&gt;=Y$2),1,0)</f>
        <v/>
      </c>
      <c r="Z30">
        <f>Z29+IF(AND($E30&lt;&gt;"",$E30&lt;=Z$2,$F30&gt;=Z$2),1,0)</f>
        <v/>
      </c>
      <c r="AA30">
        <f>AA29+IF(AND($E30&lt;&gt;"",$E30&lt;=AA$2,$F30&gt;=AA$2),1,0)</f>
        <v/>
      </c>
      <c r="AB30">
        <f>AB29+IF(AND($E30&lt;&gt;"",$E30&lt;=AB$2,$F30&gt;=AB$2),1,0)</f>
        <v/>
      </c>
      <c r="AC30">
        <f>AC29+IF(AND($E30&lt;&gt;"",$E30&lt;=AC$2,$F30&gt;=AC$2),1,0)</f>
        <v/>
      </c>
      <c r="AD30">
        <f>AD29+IF(AND($E30&lt;&gt;"",$E30&lt;=AD$2,$F30&gt;=AD$2),1,0)</f>
        <v/>
      </c>
      <c r="AE30">
        <f>AE29+IF(AND($E30&lt;&gt;"",$E30&lt;=AE$2,$F30&gt;=AE$2),1,0)</f>
        <v/>
      </c>
      <c r="AF30">
        <f>AF29+IF(AND($E30&lt;&gt;"",$E30&lt;=AF$2,$F30&gt;=AF$2),1,0)</f>
        <v/>
      </c>
      <c r="AG30">
        <f>AG29+IF(AND($E30&lt;&gt;"",$E30&lt;=AG$2,$F30&gt;=AG$2),1,0)</f>
        <v/>
      </c>
      <c r="AH30">
        <f>AH29+IF(AND($E30&lt;&gt;"",$E30&lt;=AH$2,$F30&gt;=AH$2),1,0)</f>
        <v/>
      </c>
      <c r="AI30">
        <f>AI29+IF(AND($E30&lt;&gt;"",$E30&lt;=AI$2,$F30&gt;=AI$2),1,0)</f>
        <v/>
      </c>
      <c r="AJ30">
        <f>AJ29+IF(AND($E30&lt;&gt;"",$E30&lt;=AJ$2,$F30&gt;=AJ$2),1,0)</f>
        <v/>
      </c>
      <c r="AK30">
        <f>AK29+IF(AND($E30&lt;&gt;"",$E30&lt;=AK$2,$F30&gt;=AK$2),1,0)</f>
        <v/>
      </c>
      <c r="AL30">
        <f>AL29+IF(AND($E30&lt;&gt;"",$E30&lt;=AL$2,$F30&gt;=AL$2),1,0)</f>
        <v/>
      </c>
      <c r="AM30">
        <f>AM29+IF(AND($E30&lt;&gt;"",$E30&lt;=AM$2,$F30&gt;=AM$2),1,0)</f>
        <v/>
      </c>
      <c r="AN30">
        <f>AN29+IF(AND($E30&lt;&gt;"",$E30&lt;=AN$2,$F30&gt;=AN$2),1,0)</f>
        <v/>
      </c>
      <c r="AO30">
        <f>AO29+IF(AND($E30&lt;&gt;"",$E30&lt;=AO$2,$F30&gt;=AO$2),1,0)</f>
        <v/>
      </c>
      <c r="AP30">
        <f>AP29+IF(AND($E30&lt;&gt;"",$E30&lt;=AP$2,$F30&gt;=AP$2),1,0)</f>
        <v/>
      </c>
      <c r="AQ30">
        <f>AQ29+IF(AND($E30&lt;&gt;"",$E30&lt;=AQ$2,$F30&gt;=AQ$2),1,0)</f>
        <v/>
      </c>
      <c r="AR30">
        <f>AR29+IF(AND($E30&lt;&gt;"",$E30&lt;=AR$2,$F30&gt;=AR$2),1,0)</f>
        <v/>
      </c>
      <c r="AS30">
        <f>AS29+IF(AND($E30&lt;&gt;"",$E30&lt;=AS$2,$F30&gt;=AS$2),1,0)</f>
        <v/>
      </c>
      <c r="AT30">
        <f>AT29+IF(AND($E30&lt;&gt;"",$E30&lt;=AT$2,$F30&gt;=AT$2),1,0)</f>
        <v/>
      </c>
      <c r="AU30">
        <f>AU29+IF(AND($E30&lt;&gt;"",$E30&lt;=AU$2,$F30&gt;=AU$2),1,0)</f>
        <v/>
      </c>
      <c r="AV30">
        <f>AV29+IF(AND($E30&lt;&gt;"",$E30&lt;=AV$2,$F30&gt;=AV$2),1,0)</f>
        <v/>
      </c>
      <c r="AW30">
        <f>AW29+IF(AND($E30&lt;&gt;"",$E30&lt;=AW$2,$F30&gt;=AW$2),1,0)</f>
        <v/>
      </c>
    </row>
    <row r="31">
      <c r="A31">
        <f>IF(AND(ISNUMBER(Events!$A33),ISNUMBER(Events!$B33)),MAX(0,Events!$B33-Events!$A33),0)</f>
        <v/>
      </c>
      <c r="B31">
        <f>IF(ISNUMBER(Events!$A33),DATE(YEAR($B$1)-1,MONTH(Events!$A33),DAY(Events!$A33)),"")</f>
        <v/>
      </c>
      <c r="C31">
        <f>IF(ISNUMBER(Events!$A33),DATE(YEAR($B$1),MONTH(Events!$A33),DAY(Events!$A33)),"")</f>
        <v/>
      </c>
      <c r="D31">
        <f>IF(ISNUMBER(Events!$A33),DATE(YEAR($B$2),MONTH(Events!$A33),DAY(Events!$A33)),"")</f>
        <v/>
      </c>
      <c r="E31">
        <f>IF(OR(NOT(ISNUMBER(Events!$A33)),Events!$G33="No",Calendar!$H$4="None"),"",IF(OR(Calendar!$H$4="All events",Events!$D33=Calendar!$H$4),IF(Events!$E33="Yes",IF(AND(B31&gt;=Events!$A33,B31&lt;=$B$2,B31+$A31&gt;=$B$1),B31,IF(AND(C31&gt;=Events!$A33,C31&lt;=$B$2,C31+$A31&gt;=$B$1),C31,IF(AND(D31&gt;=Events!$A33,D31&lt;=$B$2,D31+$A31&gt;=$B$1),D31,""))),IF(AND(Events!$A33&lt;=$B$2,Events!$A33+$A31&gt;=$B$1),Events!$A33,"")),""))</f>
        <v/>
      </c>
      <c r="F31">
        <f>IF(E31="","",E31+A31)</f>
        <v/>
      </c>
      <c r="G31">
        <f>IF(E31="","",IF(AND(E31&lt;=EOMONTH(Calendar!$K$2,0),F31&gt;=Calendar!$K$2),E31+28/100000,""))</f>
        <v/>
      </c>
      <c r="H31">
        <f>H30+IF(AND($E31&lt;&gt;"",$E31&lt;=H$2,$F31&gt;=H$2),1,0)</f>
        <v/>
      </c>
      <c r="I31">
        <f>I30+IF(AND($E31&lt;&gt;"",$E31&lt;=I$2,$F31&gt;=I$2),1,0)</f>
        <v/>
      </c>
      <c r="J31">
        <f>J30+IF(AND($E31&lt;&gt;"",$E31&lt;=J$2,$F31&gt;=J$2),1,0)</f>
        <v/>
      </c>
      <c r="K31">
        <f>K30+IF(AND($E31&lt;&gt;"",$E31&lt;=K$2,$F31&gt;=K$2),1,0)</f>
        <v/>
      </c>
      <c r="L31">
        <f>L30+IF(AND($E31&lt;&gt;"",$E31&lt;=L$2,$F31&gt;=L$2),1,0)</f>
        <v/>
      </c>
      <c r="M31">
        <f>M30+IF(AND($E31&lt;&gt;"",$E31&lt;=M$2,$F31&gt;=M$2),1,0)</f>
        <v/>
      </c>
      <c r="N31">
        <f>N30+IF(AND($E31&lt;&gt;"",$E31&lt;=N$2,$F31&gt;=N$2),1,0)</f>
        <v/>
      </c>
      <c r="O31">
        <f>O30+IF(AND($E31&lt;&gt;"",$E31&lt;=O$2,$F31&gt;=O$2),1,0)</f>
        <v/>
      </c>
      <c r="P31">
        <f>P30+IF(AND($E31&lt;&gt;"",$E31&lt;=P$2,$F31&gt;=P$2),1,0)</f>
        <v/>
      </c>
      <c r="Q31">
        <f>Q30+IF(AND($E31&lt;&gt;"",$E31&lt;=Q$2,$F31&gt;=Q$2),1,0)</f>
        <v/>
      </c>
      <c r="R31">
        <f>R30+IF(AND($E31&lt;&gt;"",$E31&lt;=R$2,$F31&gt;=R$2),1,0)</f>
        <v/>
      </c>
      <c r="S31">
        <f>S30+IF(AND($E31&lt;&gt;"",$E31&lt;=S$2,$F31&gt;=S$2),1,0)</f>
        <v/>
      </c>
      <c r="T31">
        <f>T30+IF(AND($E31&lt;&gt;"",$E31&lt;=T$2,$F31&gt;=T$2),1,0)</f>
        <v/>
      </c>
      <c r="U31">
        <f>U30+IF(AND($E31&lt;&gt;"",$E31&lt;=U$2,$F31&gt;=U$2),1,0)</f>
        <v/>
      </c>
      <c r="V31">
        <f>V30+IF(AND($E31&lt;&gt;"",$E31&lt;=V$2,$F31&gt;=V$2),1,0)</f>
        <v/>
      </c>
      <c r="W31">
        <f>W30+IF(AND($E31&lt;&gt;"",$E31&lt;=W$2,$F31&gt;=W$2),1,0)</f>
        <v/>
      </c>
      <c r="X31">
        <f>X30+IF(AND($E31&lt;&gt;"",$E31&lt;=X$2,$F31&gt;=X$2),1,0)</f>
        <v/>
      </c>
      <c r="Y31">
        <f>Y30+IF(AND($E31&lt;&gt;"",$E31&lt;=Y$2,$F31&gt;=Y$2),1,0)</f>
        <v/>
      </c>
      <c r="Z31">
        <f>Z30+IF(AND($E31&lt;&gt;"",$E31&lt;=Z$2,$F31&gt;=Z$2),1,0)</f>
        <v/>
      </c>
      <c r="AA31">
        <f>AA30+IF(AND($E31&lt;&gt;"",$E31&lt;=AA$2,$F31&gt;=AA$2),1,0)</f>
        <v/>
      </c>
      <c r="AB31">
        <f>AB30+IF(AND($E31&lt;&gt;"",$E31&lt;=AB$2,$F31&gt;=AB$2),1,0)</f>
        <v/>
      </c>
      <c r="AC31">
        <f>AC30+IF(AND($E31&lt;&gt;"",$E31&lt;=AC$2,$F31&gt;=AC$2),1,0)</f>
        <v/>
      </c>
      <c r="AD31">
        <f>AD30+IF(AND($E31&lt;&gt;"",$E31&lt;=AD$2,$F31&gt;=AD$2),1,0)</f>
        <v/>
      </c>
      <c r="AE31">
        <f>AE30+IF(AND($E31&lt;&gt;"",$E31&lt;=AE$2,$F31&gt;=AE$2),1,0)</f>
        <v/>
      </c>
      <c r="AF31">
        <f>AF30+IF(AND($E31&lt;&gt;"",$E31&lt;=AF$2,$F31&gt;=AF$2),1,0)</f>
        <v/>
      </c>
      <c r="AG31">
        <f>AG30+IF(AND($E31&lt;&gt;"",$E31&lt;=AG$2,$F31&gt;=AG$2),1,0)</f>
        <v/>
      </c>
      <c r="AH31">
        <f>AH30+IF(AND($E31&lt;&gt;"",$E31&lt;=AH$2,$F31&gt;=AH$2),1,0)</f>
        <v/>
      </c>
      <c r="AI31">
        <f>AI30+IF(AND($E31&lt;&gt;"",$E31&lt;=AI$2,$F31&gt;=AI$2),1,0)</f>
        <v/>
      </c>
      <c r="AJ31">
        <f>AJ30+IF(AND($E31&lt;&gt;"",$E31&lt;=AJ$2,$F31&gt;=AJ$2),1,0)</f>
        <v/>
      </c>
      <c r="AK31">
        <f>AK30+IF(AND($E31&lt;&gt;"",$E31&lt;=AK$2,$F31&gt;=AK$2),1,0)</f>
        <v/>
      </c>
      <c r="AL31">
        <f>AL30+IF(AND($E31&lt;&gt;"",$E31&lt;=AL$2,$F31&gt;=AL$2),1,0)</f>
        <v/>
      </c>
      <c r="AM31">
        <f>AM30+IF(AND($E31&lt;&gt;"",$E31&lt;=AM$2,$F31&gt;=AM$2),1,0)</f>
        <v/>
      </c>
      <c r="AN31">
        <f>AN30+IF(AND($E31&lt;&gt;"",$E31&lt;=AN$2,$F31&gt;=AN$2),1,0)</f>
        <v/>
      </c>
      <c r="AO31">
        <f>AO30+IF(AND($E31&lt;&gt;"",$E31&lt;=AO$2,$F31&gt;=AO$2),1,0)</f>
        <v/>
      </c>
      <c r="AP31">
        <f>AP30+IF(AND($E31&lt;&gt;"",$E31&lt;=AP$2,$F31&gt;=AP$2),1,0)</f>
        <v/>
      </c>
      <c r="AQ31">
        <f>AQ30+IF(AND($E31&lt;&gt;"",$E31&lt;=AQ$2,$F31&gt;=AQ$2),1,0)</f>
        <v/>
      </c>
      <c r="AR31">
        <f>AR30+IF(AND($E31&lt;&gt;"",$E31&lt;=AR$2,$F31&gt;=AR$2),1,0)</f>
        <v/>
      </c>
      <c r="AS31">
        <f>AS30+IF(AND($E31&lt;&gt;"",$E31&lt;=AS$2,$F31&gt;=AS$2),1,0)</f>
        <v/>
      </c>
      <c r="AT31">
        <f>AT30+IF(AND($E31&lt;&gt;"",$E31&lt;=AT$2,$F31&gt;=AT$2),1,0)</f>
        <v/>
      </c>
      <c r="AU31">
        <f>AU30+IF(AND($E31&lt;&gt;"",$E31&lt;=AU$2,$F31&gt;=AU$2),1,0)</f>
        <v/>
      </c>
      <c r="AV31">
        <f>AV30+IF(AND($E31&lt;&gt;"",$E31&lt;=AV$2,$F31&gt;=AV$2),1,0)</f>
        <v/>
      </c>
      <c r="AW31">
        <f>AW30+IF(AND($E31&lt;&gt;"",$E31&lt;=AW$2,$F31&gt;=AW$2),1,0)</f>
        <v/>
      </c>
    </row>
    <row r="32">
      <c r="A32">
        <f>IF(AND(ISNUMBER(Events!$A34),ISNUMBER(Events!$B34)),MAX(0,Events!$B34-Events!$A34),0)</f>
        <v/>
      </c>
      <c r="B32">
        <f>IF(ISNUMBER(Events!$A34),DATE(YEAR($B$1)-1,MONTH(Events!$A34),DAY(Events!$A34)),"")</f>
        <v/>
      </c>
      <c r="C32">
        <f>IF(ISNUMBER(Events!$A34),DATE(YEAR($B$1),MONTH(Events!$A34),DAY(Events!$A34)),"")</f>
        <v/>
      </c>
      <c r="D32">
        <f>IF(ISNUMBER(Events!$A34),DATE(YEAR($B$2),MONTH(Events!$A34),DAY(Events!$A34)),"")</f>
        <v/>
      </c>
      <c r="E32">
        <f>IF(OR(NOT(ISNUMBER(Events!$A34)),Events!$G34="No",Calendar!$H$4="None"),"",IF(OR(Calendar!$H$4="All events",Events!$D34=Calendar!$H$4),IF(Events!$E34="Yes",IF(AND(B32&gt;=Events!$A34,B32&lt;=$B$2,B32+$A32&gt;=$B$1),B32,IF(AND(C32&gt;=Events!$A34,C32&lt;=$B$2,C32+$A32&gt;=$B$1),C32,IF(AND(D32&gt;=Events!$A34,D32&lt;=$B$2,D32+$A32&gt;=$B$1),D32,""))),IF(AND(Events!$A34&lt;=$B$2,Events!$A34+$A32&gt;=$B$1),Events!$A34,"")),""))</f>
        <v/>
      </c>
      <c r="F32">
        <f>IF(E32="","",E32+A32)</f>
        <v/>
      </c>
      <c r="G32">
        <f>IF(E32="","",IF(AND(E32&lt;=EOMONTH(Calendar!$K$2,0),F32&gt;=Calendar!$K$2),E32+29/100000,""))</f>
        <v/>
      </c>
      <c r="H32">
        <f>H31+IF(AND($E32&lt;&gt;"",$E32&lt;=H$2,$F32&gt;=H$2),1,0)</f>
        <v/>
      </c>
      <c r="I32">
        <f>I31+IF(AND($E32&lt;&gt;"",$E32&lt;=I$2,$F32&gt;=I$2),1,0)</f>
        <v/>
      </c>
      <c r="J32">
        <f>J31+IF(AND($E32&lt;&gt;"",$E32&lt;=J$2,$F32&gt;=J$2),1,0)</f>
        <v/>
      </c>
      <c r="K32">
        <f>K31+IF(AND($E32&lt;&gt;"",$E32&lt;=K$2,$F32&gt;=K$2),1,0)</f>
        <v/>
      </c>
      <c r="L32">
        <f>L31+IF(AND($E32&lt;&gt;"",$E32&lt;=L$2,$F32&gt;=L$2),1,0)</f>
        <v/>
      </c>
      <c r="M32">
        <f>M31+IF(AND($E32&lt;&gt;"",$E32&lt;=M$2,$F32&gt;=M$2),1,0)</f>
        <v/>
      </c>
      <c r="N32">
        <f>N31+IF(AND($E32&lt;&gt;"",$E32&lt;=N$2,$F32&gt;=N$2),1,0)</f>
        <v/>
      </c>
      <c r="O32">
        <f>O31+IF(AND($E32&lt;&gt;"",$E32&lt;=O$2,$F32&gt;=O$2),1,0)</f>
        <v/>
      </c>
      <c r="P32">
        <f>P31+IF(AND($E32&lt;&gt;"",$E32&lt;=P$2,$F32&gt;=P$2),1,0)</f>
        <v/>
      </c>
      <c r="Q32">
        <f>Q31+IF(AND($E32&lt;&gt;"",$E32&lt;=Q$2,$F32&gt;=Q$2),1,0)</f>
        <v/>
      </c>
      <c r="R32">
        <f>R31+IF(AND($E32&lt;&gt;"",$E32&lt;=R$2,$F32&gt;=R$2),1,0)</f>
        <v/>
      </c>
      <c r="S32">
        <f>S31+IF(AND($E32&lt;&gt;"",$E32&lt;=S$2,$F32&gt;=S$2),1,0)</f>
        <v/>
      </c>
      <c r="T32">
        <f>T31+IF(AND($E32&lt;&gt;"",$E32&lt;=T$2,$F32&gt;=T$2),1,0)</f>
        <v/>
      </c>
      <c r="U32">
        <f>U31+IF(AND($E32&lt;&gt;"",$E32&lt;=U$2,$F32&gt;=U$2),1,0)</f>
        <v/>
      </c>
      <c r="V32">
        <f>V31+IF(AND($E32&lt;&gt;"",$E32&lt;=V$2,$F32&gt;=V$2),1,0)</f>
        <v/>
      </c>
      <c r="W32">
        <f>W31+IF(AND($E32&lt;&gt;"",$E32&lt;=W$2,$F32&gt;=W$2),1,0)</f>
        <v/>
      </c>
      <c r="X32">
        <f>X31+IF(AND($E32&lt;&gt;"",$E32&lt;=X$2,$F32&gt;=X$2),1,0)</f>
        <v/>
      </c>
      <c r="Y32">
        <f>Y31+IF(AND($E32&lt;&gt;"",$E32&lt;=Y$2,$F32&gt;=Y$2),1,0)</f>
        <v/>
      </c>
      <c r="Z32">
        <f>Z31+IF(AND($E32&lt;&gt;"",$E32&lt;=Z$2,$F32&gt;=Z$2),1,0)</f>
        <v/>
      </c>
      <c r="AA32">
        <f>AA31+IF(AND($E32&lt;&gt;"",$E32&lt;=AA$2,$F32&gt;=AA$2),1,0)</f>
        <v/>
      </c>
      <c r="AB32">
        <f>AB31+IF(AND($E32&lt;&gt;"",$E32&lt;=AB$2,$F32&gt;=AB$2),1,0)</f>
        <v/>
      </c>
      <c r="AC32">
        <f>AC31+IF(AND($E32&lt;&gt;"",$E32&lt;=AC$2,$F32&gt;=AC$2),1,0)</f>
        <v/>
      </c>
      <c r="AD32">
        <f>AD31+IF(AND($E32&lt;&gt;"",$E32&lt;=AD$2,$F32&gt;=AD$2),1,0)</f>
        <v/>
      </c>
      <c r="AE32">
        <f>AE31+IF(AND($E32&lt;&gt;"",$E32&lt;=AE$2,$F32&gt;=AE$2),1,0)</f>
        <v/>
      </c>
      <c r="AF32">
        <f>AF31+IF(AND($E32&lt;&gt;"",$E32&lt;=AF$2,$F32&gt;=AF$2),1,0)</f>
        <v/>
      </c>
      <c r="AG32">
        <f>AG31+IF(AND($E32&lt;&gt;"",$E32&lt;=AG$2,$F32&gt;=AG$2),1,0)</f>
        <v/>
      </c>
      <c r="AH32">
        <f>AH31+IF(AND($E32&lt;&gt;"",$E32&lt;=AH$2,$F32&gt;=AH$2),1,0)</f>
        <v/>
      </c>
      <c r="AI32">
        <f>AI31+IF(AND($E32&lt;&gt;"",$E32&lt;=AI$2,$F32&gt;=AI$2),1,0)</f>
        <v/>
      </c>
      <c r="AJ32">
        <f>AJ31+IF(AND($E32&lt;&gt;"",$E32&lt;=AJ$2,$F32&gt;=AJ$2),1,0)</f>
        <v/>
      </c>
      <c r="AK32">
        <f>AK31+IF(AND($E32&lt;&gt;"",$E32&lt;=AK$2,$F32&gt;=AK$2),1,0)</f>
        <v/>
      </c>
      <c r="AL32">
        <f>AL31+IF(AND($E32&lt;&gt;"",$E32&lt;=AL$2,$F32&gt;=AL$2),1,0)</f>
        <v/>
      </c>
      <c r="AM32">
        <f>AM31+IF(AND($E32&lt;&gt;"",$E32&lt;=AM$2,$F32&gt;=AM$2),1,0)</f>
        <v/>
      </c>
      <c r="AN32">
        <f>AN31+IF(AND($E32&lt;&gt;"",$E32&lt;=AN$2,$F32&gt;=AN$2),1,0)</f>
        <v/>
      </c>
      <c r="AO32">
        <f>AO31+IF(AND($E32&lt;&gt;"",$E32&lt;=AO$2,$F32&gt;=AO$2),1,0)</f>
        <v/>
      </c>
      <c r="AP32">
        <f>AP31+IF(AND($E32&lt;&gt;"",$E32&lt;=AP$2,$F32&gt;=AP$2),1,0)</f>
        <v/>
      </c>
      <c r="AQ32">
        <f>AQ31+IF(AND($E32&lt;&gt;"",$E32&lt;=AQ$2,$F32&gt;=AQ$2),1,0)</f>
        <v/>
      </c>
      <c r="AR32">
        <f>AR31+IF(AND($E32&lt;&gt;"",$E32&lt;=AR$2,$F32&gt;=AR$2),1,0)</f>
        <v/>
      </c>
      <c r="AS32">
        <f>AS31+IF(AND($E32&lt;&gt;"",$E32&lt;=AS$2,$F32&gt;=AS$2),1,0)</f>
        <v/>
      </c>
      <c r="AT32">
        <f>AT31+IF(AND($E32&lt;&gt;"",$E32&lt;=AT$2,$F32&gt;=AT$2),1,0)</f>
        <v/>
      </c>
      <c r="AU32">
        <f>AU31+IF(AND($E32&lt;&gt;"",$E32&lt;=AU$2,$F32&gt;=AU$2),1,0)</f>
        <v/>
      </c>
      <c r="AV32">
        <f>AV31+IF(AND($E32&lt;&gt;"",$E32&lt;=AV$2,$F32&gt;=AV$2),1,0)</f>
        <v/>
      </c>
      <c r="AW32">
        <f>AW31+IF(AND($E32&lt;&gt;"",$E32&lt;=AW$2,$F32&gt;=AW$2),1,0)</f>
        <v/>
      </c>
    </row>
    <row r="33">
      <c r="A33">
        <f>IF(AND(ISNUMBER(Events!$A35),ISNUMBER(Events!$B35)),MAX(0,Events!$B35-Events!$A35),0)</f>
        <v/>
      </c>
      <c r="B33">
        <f>IF(ISNUMBER(Events!$A35),DATE(YEAR($B$1)-1,MONTH(Events!$A35),DAY(Events!$A35)),"")</f>
        <v/>
      </c>
      <c r="C33">
        <f>IF(ISNUMBER(Events!$A35),DATE(YEAR($B$1),MONTH(Events!$A35),DAY(Events!$A35)),"")</f>
        <v/>
      </c>
      <c r="D33">
        <f>IF(ISNUMBER(Events!$A35),DATE(YEAR($B$2),MONTH(Events!$A35),DAY(Events!$A35)),"")</f>
        <v/>
      </c>
      <c r="E33">
        <f>IF(OR(NOT(ISNUMBER(Events!$A35)),Events!$G35="No",Calendar!$H$4="None"),"",IF(OR(Calendar!$H$4="All events",Events!$D35=Calendar!$H$4),IF(Events!$E35="Yes",IF(AND(B33&gt;=Events!$A35,B33&lt;=$B$2,B33+$A33&gt;=$B$1),B33,IF(AND(C33&gt;=Events!$A35,C33&lt;=$B$2,C33+$A33&gt;=$B$1),C33,IF(AND(D33&gt;=Events!$A35,D33&lt;=$B$2,D33+$A33&gt;=$B$1),D33,""))),IF(AND(Events!$A35&lt;=$B$2,Events!$A35+$A33&gt;=$B$1),Events!$A35,"")),""))</f>
        <v/>
      </c>
      <c r="F33">
        <f>IF(E33="","",E33+A33)</f>
        <v/>
      </c>
      <c r="G33">
        <f>IF(E33="","",IF(AND(E33&lt;=EOMONTH(Calendar!$K$2,0),F33&gt;=Calendar!$K$2),E33+30/100000,""))</f>
        <v/>
      </c>
      <c r="H33">
        <f>H32+IF(AND($E33&lt;&gt;"",$E33&lt;=H$2,$F33&gt;=H$2),1,0)</f>
        <v/>
      </c>
      <c r="I33">
        <f>I32+IF(AND($E33&lt;&gt;"",$E33&lt;=I$2,$F33&gt;=I$2),1,0)</f>
        <v/>
      </c>
      <c r="J33">
        <f>J32+IF(AND($E33&lt;&gt;"",$E33&lt;=J$2,$F33&gt;=J$2),1,0)</f>
        <v/>
      </c>
      <c r="K33">
        <f>K32+IF(AND($E33&lt;&gt;"",$E33&lt;=K$2,$F33&gt;=K$2),1,0)</f>
        <v/>
      </c>
      <c r="L33">
        <f>L32+IF(AND($E33&lt;&gt;"",$E33&lt;=L$2,$F33&gt;=L$2),1,0)</f>
        <v/>
      </c>
      <c r="M33">
        <f>M32+IF(AND($E33&lt;&gt;"",$E33&lt;=M$2,$F33&gt;=M$2),1,0)</f>
        <v/>
      </c>
      <c r="N33">
        <f>N32+IF(AND($E33&lt;&gt;"",$E33&lt;=N$2,$F33&gt;=N$2),1,0)</f>
        <v/>
      </c>
      <c r="O33">
        <f>O32+IF(AND($E33&lt;&gt;"",$E33&lt;=O$2,$F33&gt;=O$2),1,0)</f>
        <v/>
      </c>
      <c r="P33">
        <f>P32+IF(AND($E33&lt;&gt;"",$E33&lt;=P$2,$F33&gt;=P$2),1,0)</f>
        <v/>
      </c>
      <c r="Q33">
        <f>Q32+IF(AND($E33&lt;&gt;"",$E33&lt;=Q$2,$F33&gt;=Q$2),1,0)</f>
        <v/>
      </c>
      <c r="R33">
        <f>R32+IF(AND($E33&lt;&gt;"",$E33&lt;=R$2,$F33&gt;=R$2),1,0)</f>
        <v/>
      </c>
      <c r="S33">
        <f>S32+IF(AND($E33&lt;&gt;"",$E33&lt;=S$2,$F33&gt;=S$2),1,0)</f>
        <v/>
      </c>
      <c r="T33">
        <f>T32+IF(AND($E33&lt;&gt;"",$E33&lt;=T$2,$F33&gt;=T$2),1,0)</f>
        <v/>
      </c>
      <c r="U33">
        <f>U32+IF(AND($E33&lt;&gt;"",$E33&lt;=U$2,$F33&gt;=U$2),1,0)</f>
        <v/>
      </c>
      <c r="V33">
        <f>V32+IF(AND($E33&lt;&gt;"",$E33&lt;=V$2,$F33&gt;=V$2),1,0)</f>
        <v/>
      </c>
      <c r="W33">
        <f>W32+IF(AND($E33&lt;&gt;"",$E33&lt;=W$2,$F33&gt;=W$2),1,0)</f>
        <v/>
      </c>
      <c r="X33">
        <f>X32+IF(AND($E33&lt;&gt;"",$E33&lt;=X$2,$F33&gt;=X$2),1,0)</f>
        <v/>
      </c>
      <c r="Y33">
        <f>Y32+IF(AND($E33&lt;&gt;"",$E33&lt;=Y$2,$F33&gt;=Y$2),1,0)</f>
        <v/>
      </c>
      <c r="Z33">
        <f>Z32+IF(AND($E33&lt;&gt;"",$E33&lt;=Z$2,$F33&gt;=Z$2),1,0)</f>
        <v/>
      </c>
      <c r="AA33">
        <f>AA32+IF(AND($E33&lt;&gt;"",$E33&lt;=AA$2,$F33&gt;=AA$2),1,0)</f>
        <v/>
      </c>
      <c r="AB33">
        <f>AB32+IF(AND($E33&lt;&gt;"",$E33&lt;=AB$2,$F33&gt;=AB$2),1,0)</f>
        <v/>
      </c>
      <c r="AC33">
        <f>AC32+IF(AND($E33&lt;&gt;"",$E33&lt;=AC$2,$F33&gt;=AC$2),1,0)</f>
        <v/>
      </c>
      <c r="AD33">
        <f>AD32+IF(AND($E33&lt;&gt;"",$E33&lt;=AD$2,$F33&gt;=AD$2),1,0)</f>
        <v/>
      </c>
      <c r="AE33">
        <f>AE32+IF(AND($E33&lt;&gt;"",$E33&lt;=AE$2,$F33&gt;=AE$2),1,0)</f>
        <v/>
      </c>
      <c r="AF33">
        <f>AF32+IF(AND($E33&lt;&gt;"",$E33&lt;=AF$2,$F33&gt;=AF$2),1,0)</f>
        <v/>
      </c>
      <c r="AG33">
        <f>AG32+IF(AND($E33&lt;&gt;"",$E33&lt;=AG$2,$F33&gt;=AG$2),1,0)</f>
        <v/>
      </c>
      <c r="AH33">
        <f>AH32+IF(AND($E33&lt;&gt;"",$E33&lt;=AH$2,$F33&gt;=AH$2),1,0)</f>
        <v/>
      </c>
      <c r="AI33">
        <f>AI32+IF(AND($E33&lt;&gt;"",$E33&lt;=AI$2,$F33&gt;=AI$2),1,0)</f>
        <v/>
      </c>
      <c r="AJ33">
        <f>AJ32+IF(AND($E33&lt;&gt;"",$E33&lt;=AJ$2,$F33&gt;=AJ$2),1,0)</f>
        <v/>
      </c>
      <c r="AK33">
        <f>AK32+IF(AND($E33&lt;&gt;"",$E33&lt;=AK$2,$F33&gt;=AK$2),1,0)</f>
        <v/>
      </c>
      <c r="AL33">
        <f>AL32+IF(AND($E33&lt;&gt;"",$E33&lt;=AL$2,$F33&gt;=AL$2),1,0)</f>
        <v/>
      </c>
      <c r="AM33">
        <f>AM32+IF(AND($E33&lt;&gt;"",$E33&lt;=AM$2,$F33&gt;=AM$2),1,0)</f>
        <v/>
      </c>
      <c r="AN33">
        <f>AN32+IF(AND($E33&lt;&gt;"",$E33&lt;=AN$2,$F33&gt;=AN$2),1,0)</f>
        <v/>
      </c>
      <c r="AO33">
        <f>AO32+IF(AND($E33&lt;&gt;"",$E33&lt;=AO$2,$F33&gt;=AO$2),1,0)</f>
        <v/>
      </c>
      <c r="AP33">
        <f>AP32+IF(AND($E33&lt;&gt;"",$E33&lt;=AP$2,$F33&gt;=AP$2),1,0)</f>
        <v/>
      </c>
      <c r="AQ33">
        <f>AQ32+IF(AND($E33&lt;&gt;"",$E33&lt;=AQ$2,$F33&gt;=AQ$2),1,0)</f>
        <v/>
      </c>
      <c r="AR33">
        <f>AR32+IF(AND($E33&lt;&gt;"",$E33&lt;=AR$2,$F33&gt;=AR$2),1,0)</f>
        <v/>
      </c>
      <c r="AS33">
        <f>AS32+IF(AND($E33&lt;&gt;"",$E33&lt;=AS$2,$F33&gt;=AS$2),1,0)</f>
        <v/>
      </c>
      <c r="AT33">
        <f>AT32+IF(AND($E33&lt;&gt;"",$E33&lt;=AT$2,$F33&gt;=AT$2),1,0)</f>
        <v/>
      </c>
      <c r="AU33">
        <f>AU32+IF(AND($E33&lt;&gt;"",$E33&lt;=AU$2,$F33&gt;=AU$2),1,0)</f>
        <v/>
      </c>
      <c r="AV33">
        <f>AV32+IF(AND($E33&lt;&gt;"",$E33&lt;=AV$2,$F33&gt;=AV$2),1,0)</f>
        <v/>
      </c>
      <c r="AW33">
        <f>AW32+IF(AND($E33&lt;&gt;"",$E33&lt;=AW$2,$F33&gt;=AW$2),1,0)</f>
        <v/>
      </c>
    </row>
    <row r="34">
      <c r="A34">
        <f>IF(AND(ISNUMBER(Events!$A36),ISNUMBER(Events!$B36)),MAX(0,Events!$B36-Events!$A36),0)</f>
        <v/>
      </c>
      <c r="B34">
        <f>IF(ISNUMBER(Events!$A36),DATE(YEAR($B$1)-1,MONTH(Events!$A36),DAY(Events!$A36)),"")</f>
        <v/>
      </c>
      <c r="C34">
        <f>IF(ISNUMBER(Events!$A36),DATE(YEAR($B$1),MONTH(Events!$A36),DAY(Events!$A36)),"")</f>
        <v/>
      </c>
      <c r="D34">
        <f>IF(ISNUMBER(Events!$A36),DATE(YEAR($B$2),MONTH(Events!$A36),DAY(Events!$A36)),"")</f>
        <v/>
      </c>
      <c r="E34">
        <f>IF(OR(NOT(ISNUMBER(Events!$A36)),Events!$G36="No",Calendar!$H$4="None"),"",IF(OR(Calendar!$H$4="All events",Events!$D36=Calendar!$H$4),IF(Events!$E36="Yes",IF(AND(B34&gt;=Events!$A36,B34&lt;=$B$2,B34+$A34&gt;=$B$1),B34,IF(AND(C34&gt;=Events!$A36,C34&lt;=$B$2,C34+$A34&gt;=$B$1),C34,IF(AND(D34&gt;=Events!$A36,D34&lt;=$B$2,D34+$A34&gt;=$B$1),D34,""))),IF(AND(Events!$A36&lt;=$B$2,Events!$A36+$A34&gt;=$B$1),Events!$A36,"")),""))</f>
        <v/>
      </c>
      <c r="F34">
        <f>IF(E34="","",E34+A34)</f>
        <v/>
      </c>
      <c r="G34">
        <f>IF(E34="","",IF(AND(E34&lt;=EOMONTH(Calendar!$K$2,0),F34&gt;=Calendar!$K$2),E34+31/100000,""))</f>
        <v/>
      </c>
      <c r="H34">
        <f>H33+IF(AND($E34&lt;&gt;"",$E34&lt;=H$2,$F34&gt;=H$2),1,0)</f>
        <v/>
      </c>
      <c r="I34">
        <f>I33+IF(AND($E34&lt;&gt;"",$E34&lt;=I$2,$F34&gt;=I$2),1,0)</f>
        <v/>
      </c>
      <c r="J34">
        <f>J33+IF(AND($E34&lt;&gt;"",$E34&lt;=J$2,$F34&gt;=J$2),1,0)</f>
        <v/>
      </c>
      <c r="K34">
        <f>K33+IF(AND($E34&lt;&gt;"",$E34&lt;=K$2,$F34&gt;=K$2),1,0)</f>
        <v/>
      </c>
      <c r="L34">
        <f>L33+IF(AND($E34&lt;&gt;"",$E34&lt;=L$2,$F34&gt;=L$2),1,0)</f>
        <v/>
      </c>
      <c r="M34">
        <f>M33+IF(AND($E34&lt;&gt;"",$E34&lt;=M$2,$F34&gt;=M$2),1,0)</f>
        <v/>
      </c>
      <c r="N34">
        <f>N33+IF(AND($E34&lt;&gt;"",$E34&lt;=N$2,$F34&gt;=N$2),1,0)</f>
        <v/>
      </c>
      <c r="O34">
        <f>O33+IF(AND($E34&lt;&gt;"",$E34&lt;=O$2,$F34&gt;=O$2),1,0)</f>
        <v/>
      </c>
      <c r="P34">
        <f>P33+IF(AND($E34&lt;&gt;"",$E34&lt;=P$2,$F34&gt;=P$2),1,0)</f>
        <v/>
      </c>
      <c r="Q34">
        <f>Q33+IF(AND($E34&lt;&gt;"",$E34&lt;=Q$2,$F34&gt;=Q$2),1,0)</f>
        <v/>
      </c>
      <c r="R34">
        <f>R33+IF(AND($E34&lt;&gt;"",$E34&lt;=R$2,$F34&gt;=R$2),1,0)</f>
        <v/>
      </c>
      <c r="S34">
        <f>S33+IF(AND($E34&lt;&gt;"",$E34&lt;=S$2,$F34&gt;=S$2),1,0)</f>
        <v/>
      </c>
      <c r="T34">
        <f>T33+IF(AND($E34&lt;&gt;"",$E34&lt;=T$2,$F34&gt;=T$2),1,0)</f>
        <v/>
      </c>
      <c r="U34">
        <f>U33+IF(AND($E34&lt;&gt;"",$E34&lt;=U$2,$F34&gt;=U$2),1,0)</f>
        <v/>
      </c>
      <c r="V34">
        <f>V33+IF(AND($E34&lt;&gt;"",$E34&lt;=V$2,$F34&gt;=V$2),1,0)</f>
        <v/>
      </c>
      <c r="W34">
        <f>W33+IF(AND($E34&lt;&gt;"",$E34&lt;=W$2,$F34&gt;=W$2),1,0)</f>
        <v/>
      </c>
      <c r="X34">
        <f>X33+IF(AND($E34&lt;&gt;"",$E34&lt;=X$2,$F34&gt;=X$2),1,0)</f>
        <v/>
      </c>
      <c r="Y34">
        <f>Y33+IF(AND($E34&lt;&gt;"",$E34&lt;=Y$2,$F34&gt;=Y$2),1,0)</f>
        <v/>
      </c>
      <c r="Z34">
        <f>Z33+IF(AND($E34&lt;&gt;"",$E34&lt;=Z$2,$F34&gt;=Z$2),1,0)</f>
        <v/>
      </c>
      <c r="AA34">
        <f>AA33+IF(AND($E34&lt;&gt;"",$E34&lt;=AA$2,$F34&gt;=AA$2),1,0)</f>
        <v/>
      </c>
      <c r="AB34">
        <f>AB33+IF(AND($E34&lt;&gt;"",$E34&lt;=AB$2,$F34&gt;=AB$2),1,0)</f>
        <v/>
      </c>
      <c r="AC34">
        <f>AC33+IF(AND($E34&lt;&gt;"",$E34&lt;=AC$2,$F34&gt;=AC$2),1,0)</f>
        <v/>
      </c>
      <c r="AD34">
        <f>AD33+IF(AND($E34&lt;&gt;"",$E34&lt;=AD$2,$F34&gt;=AD$2),1,0)</f>
        <v/>
      </c>
      <c r="AE34">
        <f>AE33+IF(AND($E34&lt;&gt;"",$E34&lt;=AE$2,$F34&gt;=AE$2),1,0)</f>
        <v/>
      </c>
      <c r="AF34">
        <f>AF33+IF(AND($E34&lt;&gt;"",$E34&lt;=AF$2,$F34&gt;=AF$2),1,0)</f>
        <v/>
      </c>
      <c r="AG34">
        <f>AG33+IF(AND($E34&lt;&gt;"",$E34&lt;=AG$2,$F34&gt;=AG$2),1,0)</f>
        <v/>
      </c>
      <c r="AH34">
        <f>AH33+IF(AND($E34&lt;&gt;"",$E34&lt;=AH$2,$F34&gt;=AH$2),1,0)</f>
        <v/>
      </c>
      <c r="AI34">
        <f>AI33+IF(AND($E34&lt;&gt;"",$E34&lt;=AI$2,$F34&gt;=AI$2),1,0)</f>
        <v/>
      </c>
      <c r="AJ34">
        <f>AJ33+IF(AND($E34&lt;&gt;"",$E34&lt;=AJ$2,$F34&gt;=AJ$2),1,0)</f>
        <v/>
      </c>
      <c r="AK34">
        <f>AK33+IF(AND($E34&lt;&gt;"",$E34&lt;=AK$2,$F34&gt;=AK$2),1,0)</f>
        <v/>
      </c>
      <c r="AL34">
        <f>AL33+IF(AND($E34&lt;&gt;"",$E34&lt;=AL$2,$F34&gt;=AL$2),1,0)</f>
        <v/>
      </c>
      <c r="AM34">
        <f>AM33+IF(AND($E34&lt;&gt;"",$E34&lt;=AM$2,$F34&gt;=AM$2),1,0)</f>
        <v/>
      </c>
      <c r="AN34">
        <f>AN33+IF(AND($E34&lt;&gt;"",$E34&lt;=AN$2,$F34&gt;=AN$2),1,0)</f>
        <v/>
      </c>
      <c r="AO34">
        <f>AO33+IF(AND($E34&lt;&gt;"",$E34&lt;=AO$2,$F34&gt;=AO$2),1,0)</f>
        <v/>
      </c>
      <c r="AP34">
        <f>AP33+IF(AND($E34&lt;&gt;"",$E34&lt;=AP$2,$F34&gt;=AP$2),1,0)</f>
        <v/>
      </c>
      <c r="AQ34">
        <f>AQ33+IF(AND($E34&lt;&gt;"",$E34&lt;=AQ$2,$F34&gt;=AQ$2),1,0)</f>
        <v/>
      </c>
      <c r="AR34">
        <f>AR33+IF(AND($E34&lt;&gt;"",$E34&lt;=AR$2,$F34&gt;=AR$2),1,0)</f>
        <v/>
      </c>
      <c r="AS34">
        <f>AS33+IF(AND($E34&lt;&gt;"",$E34&lt;=AS$2,$F34&gt;=AS$2),1,0)</f>
        <v/>
      </c>
      <c r="AT34">
        <f>AT33+IF(AND($E34&lt;&gt;"",$E34&lt;=AT$2,$F34&gt;=AT$2),1,0)</f>
        <v/>
      </c>
      <c r="AU34">
        <f>AU33+IF(AND($E34&lt;&gt;"",$E34&lt;=AU$2,$F34&gt;=AU$2),1,0)</f>
        <v/>
      </c>
      <c r="AV34">
        <f>AV33+IF(AND($E34&lt;&gt;"",$E34&lt;=AV$2,$F34&gt;=AV$2),1,0)</f>
        <v/>
      </c>
      <c r="AW34">
        <f>AW33+IF(AND($E34&lt;&gt;"",$E34&lt;=AW$2,$F34&gt;=AW$2),1,0)</f>
        <v/>
      </c>
    </row>
    <row r="35">
      <c r="A35">
        <f>IF(AND(ISNUMBER(Events!$A37),ISNUMBER(Events!$B37)),MAX(0,Events!$B37-Events!$A37),0)</f>
        <v/>
      </c>
      <c r="B35">
        <f>IF(ISNUMBER(Events!$A37),DATE(YEAR($B$1)-1,MONTH(Events!$A37),DAY(Events!$A37)),"")</f>
        <v/>
      </c>
      <c r="C35">
        <f>IF(ISNUMBER(Events!$A37),DATE(YEAR($B$1),MONTH(Events!$A37),DAY(Events!$A37)),"")</f>
        <v/>
      </c>
      <c r="D35">
        <f>IF(ISNUMBER(Events!$A37),DATE(YEAR($B$2),MONTH(Events!$A37),DAY(Events!$A37)),"")</f>
        <v/>
      </c>
      <c r="E35">
        <f>IF(OR(NOT(ISNUMBER(Events!$A37)),Events!$G37="No",Calendar!$H$4="None"),"",IF(OR(Calendar!$H$4="All events",Events!$D37=Calendar!$H$4),IF(Events!$E37="Yes",IF(AND(B35&gt;=Events!$A37,B35&lt;=$B$2,B35+$A35&gt;=$B$1),B35,IF(AND(C35&gt;=Events!$A37,C35&lt;=$B$2,C35+$A35&gt;=$B$1),C35,IF(AND(D35&gt;=Events!$A37,D35&lt;=$B$2,D35+$A35&gt;=$B$1),D35,""))),IF(AND(Events!$A37&lt;=$B$2,Events!$A37+$A35&gt;=$B$1),Events!$A37,"")),""))</f>
        <v/>
      </c>
      <c r="F35">
        <f>IF(E35="","",E35+A35)</f>
        <v/>
      </c>
      <c r="G35">
        <f>IF(E35="","",IF(AND(E35&lt;=EOMONTH(Calendar!$K$2,0),F35&gt;=Calendar!$K$2),E35+32/100000,""))</f>
        <v/>
      </c>
      <c r="H35">
        <f>H34+IF(AND($E35&lt;&gt;"",$E35&lt;=H$2,$F35&gt;=H$2),1,0)</f>
        <v/>
      </c>
      <c r="I35">
        <f>I34+IF(AND($E35&lt;&gt;"",$E35&lt;=I$2,$F35&gt;=I$2),1,0)</f>
        <v/>
      </c>
      <c r="J35">
        <f>J34+IF(AND($E35&lt;&gt;"",$E35&lt;=J$2,$F35&gt;=J$2),1,0)</f>
        <v/>
      </c>
      <c r="K35">
        <f>K34+IF(AND($E35&lt;&gt;"",$E35&lt;=K$2,$F35&gt;=K$2),1,0)</f>
        <v/>
      </c>
      <c r="L35">
        <f>L34+IF(AND($E35&lt;&gt;"",$E35&lt;=L$2,$F35&gt;=L$2),1,0)</f>
        <v/>
      </c>
      <c r="M35">
        <f>M34+IF(AND($E35&lt;&gt;"",$E35&lt;=M$2,$F35&gt;=M$2),1,0)</f>
        <v/>
      </c>
      <c r="N35">
        <f>N34+IF(AND($E35&lt;&gt;"",$E35&lt;=N$2,$F35&gt;=N$2),1,0)</f>
        <v/>
      </c>
      <c r="O35">
        <f>O34+IF(AND($E35&lt;&gt;"",$E35&lt;=O$2,$F35&gt;=O$2),1,0)</f>
        <v/>
      </c>
      <c r="P35">
        <f>P34+IF(AND($E35&lt;&gt;"",$E35&lt;=P$2,$F35&gt;=P$2),1,0)</f>
        <v/>
      </c>
      <c r="Q35">
        <f>Q34+IF(AND($E35&lt;&gt;"",$E35&lt;=Q$2,$F35&gt;=Q$2),1,0)</f>
        <v/>
      </c>
      <c r="R35">
        <f>R34+IF(AND($E35&lt;&gt;"",$E35&lt;=R$2,$F35&gt;=R$2),1,0)</f>
        <v/>
      </c>
      <c r="S35">
        <f>S34+IF(AND($E35&lt;&gt;"",$E35&lt;=S$2,$F35&gt;=S$2),1,0)</f>
        <v/>
      </c>
      <c r="T35">
        <f>T34+IF(AND($E35&lt;&gt;"",$E35&lt;=T$2,$F35&gt;=T$2),1,0)</f>
        <v/>
      </c>
      <c r="U35">
        <f>U34+IF(AND($E35&lt;&gt;"",$E35&lt;=U$2,$F35&gt;=U$2),1,0)</f>
        <v/>
      </c>
      <c r="V35">
        <f>V34+IF(AND($E35&lt;&gt;"",$E35&lt;=V$2,$F35&gt;=V$2),1,0)</f>
        <v/>
      </c>
      <c r="W35">
        <f>W34+IF(AND($E35&lt;&gt;"",$E35&lt;=W$2,$F35&gt;=W$2),1,0)</f>
        <v/>
      </c>
      <c r="X35">
        <f>X34+IF(AND($E35&lt;&gt;"",$E35&lt;=X$2,$F35&gt;=X$2),1,0)</f>
        <v/>
      </c>
      <c r="Y35">
        <f>Y34+IF(AND($E35&lt;&gt;"",$E35&lt;=Y$2,$F35&gt;=Y$2),1,0)</f>
        <v/>
      </c>
      <c r="Z35">
        <f>Z34+IF(AND($E35&lt;&gt;"",$E35&lt;=Z$2,$F35&gt;=Z$2),1,0)</f>
        <v/>
      </c>
      <c r="AA35">
        <f>AA34+IF(AND($E35&lt;&gt;"",$E35&lt;=AA$2,$F35&gt;=AA$2),1,0)</f>
        <v/>
      </c>
      <c r="AB35">
        <f>AB34+IF(AND($E35&lt;&gt;"",$E35&lt;=AB$2,$F35&gt;=AB$2),1,0)</f>
        <v/>
      </c>
      <c r="AC35">
        <f>AC34+IF(AND($E35&lt;&gt;"",$E35&lt;=AC$2,$F35&gt;=AC$2),1,0)</f>
        <v/>
      </c>
      <c r="AD35">
        <f>AD34+IF(AND($E35&lt;&gt;"",$E35&lt;=AD$2,$F35&gt;=AD$2),1,0)</f>
        <v/>
      </c>
      <c r="AE35">
        <f>AE34+IF(AND($E35&lt;&gt;"",$E35&lt;=AE$2,$F35&gt;=AE$2),1,0)</f>
        <v/>
      </c>
      <c r="AF35">
        <f>AF34+IF(AND($E35&lt;&gt;"",$E35&lt;=AF$2,$F35&gt;=AF$2),1,0)</f>
        <v/>
      </c>
      <c r="AG35">
        <f>AG34+IF(AND($E35&lt;&gt;"",$E35&lt;=AG$2,$F35&gt;=AG$2),1,0)</f>
        <v/>
      </c>
      <c r="AH35">
        <f>AH34+IF(AND($E35&lt;&gt;"",$E35&lt;=AH$2,$F35&gt;=AH$2),1,0)</f>
        <v/>
      </c>
      <c r="AI35">
        <f>AI34+IF(AND($E35&lt;&gt;"",$E35&lt;=AI$2,$F35&gt;=AI$2),1,0)</f>
        <v/>
      </c>
      <c r="AJ35">
        <f>AJ34+IF(AND($E35&lt;&gt;"",$E35&lt;=AJ$2,$F35&gt;=AJ$2),1,0)</f>
        <v/>
      </c>
      <c r="AK35">
        <f>AK34+IF(AND($E35&lt;&gt;"",$E35&lt;=AK$2,$F35&gt;=AK$2),1,0)</f>
        <v/>
      </c>
      <c r="AL35">
        <f>AL34+IF(AND($E35&lt;&gt;"",$E35&lt;=AL$2,$F35&gt;=AL$2),1,0)</f>
        <v/>
      </c>
      <c r="AM35">
        <f>AM34+IF(AND($E35&lt;&gt;"",$E35&lt;=AM$2,$F35&gt;=AM$2),1,0)</f>
        <v/>
      </c>
      <c r="AN35">
        <f>AN34+IF(AND($E35&lt;&gt;"",$E35&lt;=AN$2,$F35&gt;=AN$2),1,0)</f>
        <v/>
      </c>
      <c r="AO35">
        <f>AO34+IF(AND($E35&lt;&gt;"",$E35&lt;=AO$2,$F35&gt;=AO$2),1,0)</f>
        <v/>
      </c>
      <c r="AP35">
        <f>AP34+IF(AND($E35&lt;&gt;"",$E35&lt;=AP$2,$F35&gt;=AP$2),1,0)</f>
        <v/>
      </c>
      <c r="AQ35">
        <f>AQ34+IF(AND($E35&lt;&gt;"",$E35&lt;=AQ$2,$F35&gt;=AQ$2),1,0)</f>
        <v/>
      </c>
      <c r="AR35">
        <f>AR34+IF(AND($E35&lt;&gt;"",$E35&lt;=AR$2,$F35&gt;=AR$2),1,0)</f>
        <v/>
      </c>
      <c r="AS35">
        <f>AS34+IF(AND($E35&lt;&gt;"",$E35&lt;=AS$2,$F35&gt;=AS$2),1,0)</f>
        <v/>
      </c>
      <c r="AT35">
        <f>AT34+IF(AND($E35&lt;&gt;"",$E35&lt;=AT$2,$F35&gt;=AT$2),1,0)</f>
        <v/>
      </c>
      <c r="AU35">
        <f>AU34+IF(AND($E35&lt;&gt;"",$E35&lt;=AU$2,$F35&gt;=AU$2),1,0)</f>
        <v/>
      </c>
      <c r="AV35">
        <f>AV34+IF(AND($E35&lt;&gt;"",$E35&lt;=AV$2,$F35&gt;=AV$2),1,0)</f>
        <v/>
      </c>
      <c r="AW35">
        <f>AW34+IF(AND($E35&lt;&gt;"",$E35&lt;=AW$2,$F35&gt;=AW$2),1,0)</f>
        <v/>
      </c>
    </row>
    <row r="36">
      <c r="A36">
        <f>IF(AND(ISNUMBER(Events!$A38),ISNUMBER(Events!$B38)),MAX(0,Events!$B38-Events!$A38),0)</f>
        <v/>
      </c>
      <c r="B36">
        <f>IF(ISNUMBER(Events!$A38),DATE(YEAR($B$1)-1,MONTH(Events!$A38),DAY(Events!$A38)),"")</f>
        <v/>
      </c>
      <c r="C36">
        <f>IF(ISNUMBER(Events!$A38),DATE(YEAR($B$1),MONTH(Events!$A38),DAY(Events!$A38)),"")</f>
        <v/>
      </c>
      <c r="D36">
        <f>IF(ISNUMBER(Events!$A38),DATE(YEAR($B$2),MONTH(Events!$A38),DAY(Events!$A38)),"")</f>
        <v/>
      </c>
      <c r="E36">
        <f>IF(OR(NOT(ISNUMBER(Events!$A38)),Events!$G38="No",Calendar!$H$4="None"),"",IF(OR(Calendar!$H$4="All events",Events!$D38=Calendar!$H$4),IF(Events!$E38="Yes",IF(AND(B36&gt;=Events!$A38,B36&lt;=$B$2,B36+$A36&gt;=$B$1),B36,IF(AND(C36&gt;=Events!$A38,C36&lt;=$B$2,C36+$A36&gt;=$B$1),C36,IF(AND(D36&gt;=Events!$A38,D36&lt;=$B$2,D36+$A36&gt;=$B$1),D36,""))),IF(AND(Events!$A38&lt;=$B$2,Events!$A38+$A36&gt;=$B$1),Events!$A38,"")),""))</f>
        <v/>
      </c>
      <c r="F36">
        <f>IF(E36="","",E36+A36)</f>
        <v/>
      </c>
      <c r="G36">
        <f>IF(E36="","",IF(AND(E36&lt;=EOMONTH(Calendar!$K$2,0),F36&gt;=Calendar!$K$2),E36+33/100000,""))</f>
        <v/>
      </c>
      <c r="H36">
        <f>H35+IF(AND($E36&lt;&gt;"",$E36&lt;=H$2,$F36&gt;=H$2),1,0)</f>
        <v/>
      </c>
      <c r="I36">
        <f>I35+IF(AND($E36&lt;&gt;"",$E36&lt;=I$2,$F36&gt;=I$2),1,0)</f>
        <v/>
      </c>
      <c r="J36">
        <f>J35+IF(AND($E36&lt;&gt;"",$E36&lt;=J$2,$F36&gt;=J$2),1,0)</f>
        <v/>
      </c>
      <c r="K36">
        <f>K35+IF(AND($E36&lt;&gt;"",$E36&lt;=K$2,$F36&gt;=K$2),1,0)</f>
        <v/>
      </c>
      <c r="L36">
        <f>L35+IF(AND($E36&lt;&gt;"",$E36&lt;=L$2,$F36&gt;=L$2),1,0)</f>
        <v/>
      </c>
      <c r="M36">
        <f>M35+IF(AND($E36&lt;&gt;"",$E36&lt;=M$2,$F36&gt;=M$2),1,0)</f>
        <v/>
      </c>
      <c r="N36">
        <f>N35+IF(AND($E36&lt;&gt;"",$E36&lt;=N$2,$F36&gt;=N$2),1,0)</f>
        <v/>
      </c>
      <c r="O36">
        <f>O35+IF(AND($E36&lt;&gt;"",$E36&lt;=O$2,$F36&gt;=O$2),1,0)</f>
        <v/>
      </c>
      <c r="P36">
        <f>P35+IF(AND($E36&lt;&gt;"",$E36&lt;=P$2,$F36&gt;=P$2),1,0)</f>
        <v/>
      </c>
      <c r="Q36">
        <f>Q35+IF(AND($E36&lt;&gt;"",$E36&lt;=Q$2,$F36&gt;=Q$2),1,0)</f>
        <v/>
      </c>
      <c r="R36">
        <f>R35+IF(AND($E36&lt;&gt;"",$E36&lt;=R$2,$F36&gt;=R$2),1,0)</f>
        <v/>
      </c>
      <c r="S36">
        <f>S35+IF(AND($E36&lt;&gt;"",$E36&lt;=S$2,$F36&gt;=S$2),1,0)</f>
        <v/>
      </c>
      <c r="T36">
        <f>T35+IF(AND($E36&lt;&gt;"",$E36&lt;=T$2,$F36&gt;=T$2),1,0)</f>
        <v/>
      </c>
      <c r="U36">
        <f>U35+IF(AND($E36&lt;&gt;"",$E36&lt;=U$2,$F36&gt;=U$2),1,0)</f>
        <v/>
      </c>
      <c r="V36">
        <f>V35+IF(AND($E36&lt;&gt;"",$E36&lt;=V$2,$F36&gt;=V$2),1,0)</f>
        <v/>
      </c>
      <c r="W36">
        <f>W35+IF(AND($E36&lt;&gt;"",$E36&lt;=W$2,$F36&gt;=W$2),1,0)</f>
        <v/>
      </c>
      <c r="X36">
        <f>X35+IF(AND($E36&lt;&gt;"",$E36&lt;=X$2,$F36&gt;=X$2),1,0)</f>
        <v/>
      </c>
      <c r="Y36">
        <f>Y35+IF(AND($E36&lt;&gt;"",$E36&lt;=Y$2,$F36&gt;=Y$2),1,0)</f>
        <v/>
      </c>
      <c r="Z36">
        <f>Z35+IF(AND($E36&lt;&gt;"",$E36&lt;=Z$2,$F36&gt;=Z$2),1,0)</f>
        <v/>
      </c>
      <c r="AA36">
        <f>AA35+IF(AND($E36&lt;&gt;"",$E36&lt;=AA$2,$F36&gt;=AA$2),1,0)</f>
        <v/>
      </c>
      <c r="AB36">
        <f>AB35+IF(AND($E36&lt;&gt;"",$E36&lt;=AB$2,$F36&gt;=AB$2),1,0)</f>
        <v/>
      </c>
      <c r="AC36">
        <f>AC35+IF(AND($E36&lt;&gt;"",$E36&lt;=AC$2,$F36&gt;=AC$2),1,0)</f>
        <v/>
      </c>
      <c r="AD36">
        <f>AD35+IF(AND($E36&lt;&gt;"",$E36&lt;=AD$2,$F36&gt;=AD$2),1,0)</f>
        <v/>
      </c>
      <c r="AE36">
        <f>AE35+IF(AND($E36&lt;&gt;"",$E36&lt;=AE$2,$F36&gt;=AE$2),1,0)</f>
        <v/>
      </c>
      <c r="AF36">
        <f>AF35+IF(AND($E36&lt;&gt;"",$E36&lt;=AF$2,$F36&gt;=AF$2),1,0)</f>
        <v/>
      </c>
      <c r="AG36">
        <f>AG35+IF(AND($E36&lt;&gt;"",$E36&lt;=AG$2,$F36&gt;=AG$2),1,0)</f>
        <v/>
      </c>
      <c r="AH36">
        <f>AH35+IF(AND($E36&lt;&gt;"",$E36&lt;=AH$2,$F36&gt;=AH$2),1,0)</f>
        <v/>
      </c>
      <c r="AI36">
        <f>AI35+IF(AND($E36&lt;&gt;"",$E36&lt;=AI$2,$F36&gt;=AI$2),1,0)</f>
        <v/>
      </c>
      <c r="AJ36">
        <f>AJ35+IF(AND($E36&lt;&gt;"",$E36&lt;=AJ$2,$F36&gt;=AJ$2),1,0)</f>
        <v/>
      </c>
      <c r="AK36">
        <f>AK35+IF(AND($E36&lt;&gt;"",$E36&lt;=AK$2,$F36&gt;=AK$2),1,0)</f>
        <v/>
      </c>
      <c r="AL36">
        <f>AL35+IF(AND($E36&lt;&gt;"",$E36&lt;=AL$2,$F36&gt;=AL$2),1,0)</f>
        <v/>
      </c>
      <c r="AM36">
        <f>AM35+IF(AND($E36&lt;&gt;"",$E36&lt;=AM$2,$F36&gt;=AM$2),1,0)</f>
        <v/>
      </c>
      <c r="AN36">
        <f>AN35+IF(AND($E36&lt;&gt;"",$E36&lt;=AN$2,$F36&gt;=AN$2),1,0)</f>
        <v/>
      </c>
      <c r="AO36">
        <f>AO35+IF(AND($E36&lt;&gt;"",$E36&lt;=AO$2,$F36&gt;=AO$2),1,0)</f>
        <v/>
      </c>
      <c r="AP36">
        <f>AP35+IF(AND($E36&lt;&gt;"",$E36&lt;=AP$2,$F36&gt;=AP$2),1,0)</f>
        <v/>
      </c>
      <c r="AQ36">
        <f>AQ35+IF(AND($E36&lt;&gt;"",$E36&lt;=AQ$2,$F36&gt;=AQ$2),1,0)</f>
        <v/>
      </c>
      <c r="AR36">
        <f>AR35+IF(AND($E36&lt;&gt;"",$E36&lt;=AR$2,$F36&gt;=AR$2),1,0)</f>
        <v/>
      </c>
      <c r="AS36">
        <f>AS35+IF(AND($E36&lt;&gt;"",$E36&lt;=AS$2,$F36&gt;=AS$2),1,0)</f>
        <v/>
      </c>
      <c r="AT36">
        <f>AT35+IF(AND($E36&lt;&gt;"",$E36&lt;=AT$2,$F36&gt;=AT$2),1,0)</f>
        <v/>
      </c>
      <c r="AU36">
        <f>AU35+IF(AND($E36&lt;&gt;"",$E36&lt;=AU$2,$F36&gt;=AU$2),1,0)</f>
        <v/>
      </c>
      <c r="AV36">
        <f>AV35+IF(AND($E36&lt;&gt;"",$E36&lt;=AV$2,$F36&gt;=AV$2),1,0)</f>
        <v/>
      </c>
      <c r="AW36">
        <f>AW35+IF(AND($E36&lt;&gt;"",$E36&lt;=AW$2,$F36&gt;=AW$2),1,0)</f>
        <v/>
      </c>
    </row>
    <row r="37">
      <c r="A37">
        <f>IF(AND(ISNUMBER(Events!$A39),ISNUMBER(Events!$B39)),MAX(0,Events!$B39-Events!$A39),0)</f>
        <v/>
      </c>
      <c r="B37">
        <f>IF(ISNUMBER(Events!$A39),DATE(YEAR($B$1)-1,MONTH(Events!$A39),DAY(Events!$A39)),"")</f>
        <v/>
      </c>
      <c r="C37">
        <f>IF(ISNUMBER(Events!$A39),DATE(YEAR($B$1),MONTH(Events!$A39),DAY(Events!$A39)),"")</f>
        <v/>
      </c>
      <c r="D37">
        <f>IF(ISNUMBER(Events!$A39),DATE(YEAR($B$2),MONTH(Events!$A39),DAY(Events!$A39)),"")</f>
        <v/>
      </c>
      <c r="E37">
        <f>IF(OR(NOT(ISNUMBER(Events!$A39)),Events!$G39="No",Calendar!$H$4="None"),"",IF(OR(Calendar!$H$4="All events",Events!$D39=Calendar!$H$4),IF(Events!$E39="Yes",IF(AND(B37&gt;=Events!$A39,B37&lt;=$B$2,B37+$A37&gt;=$B$1),B37,IF(AND(C37&gt;=Events!$A39,C37&lt;=$B$2,C37+$A37&gt;=$B$1),C37,IF(AND(D37&gt;=Events!$A39,D37&lt;=$B$2,D37+$A37&gt;=$B$1),D37,""))),IF(AND(Events!$A39&lt;=$B$2,Events!$A39+$A37&gt;=$B$1),Events!$A39,"")),""))</f>
        <v/>
      </c>
      <c r="F37">
        <f>IF(E37="","",E37+A37)</f>
        <v/>
      </c>
      <c r="G37">
        <f>IF(E37="","",IF(AND(E37&lt;=EOMONTH(Calendar!$K$2,0),F37&gt;=Calendar!$K$2),E37+34/100000,""))</f>
        <v/>
      </c>
      <c r="H37">
        <f>H36+IF(AND($E37&lt;&gt;"",$E37&lt;=H$2,$F37&gt;=H$2),1,0)</f>
        <v/>
      </c>
      <c r="I37">
        <f>I36+IF(AND($E37&lt;&gt;"",$E37&lt;=I$2,$F37&gt;=I$2),1,0)</f>
        <v/>
      </c>
      <c r="J37">
        <f>J36+IF(AND($E37&lt;&gt;"",$E37&lt;=J$2,$F37&gt;=J$2),1,0)</f>
        <v/>
      </c>
      <c r="K37">
        <f>K36+IF(AND($E37&lt;&gt;"",$E37&lt;=K$2,$F37&gt;=K$2),1,0)</f>
        <v/>
      </c>
      <c r="L37">
        <f>L36+IF(AND($E37&lt;&gt;"",$E37&lt;=L$2,$F37&gt;=L$2),1,0)</f>
        <v/>
      </c>
      <c r="M37">
        <f>M36+IF(AND($E37&lt;&gt;"",$E37&lt;=M$2,$F37&gt;=M$2),1,0)</f>
        <v/>
      </c>
      <c r="N37">
        <f>N36+IF(AND($E37&lt;&gt;"",$E37&lt;=N$2,$F37&gt;=N$2),1,0)</f>
        <v/>
      </c>
      <c r="O37">
        <f>O36+IF(AND($E37&lt;&gt;"",$E37&lt;=O$2,$F37&gt;=O$2),1,0)</f>
        <v/>
      </c>
      <c r="P37">
        <f>P36+IF(AND($E37&lt;&gt;"",$E37&lt;=P$2,$F37&gt;=P$2),1,0)</f>
        <v/>
      </c>
      <c r="Q37">
        <f>Q36+IF(AND($E37&lt;&gt;"",$E37&lt;=Q$2,$F37&gt;=Q$2),1,0)</f>
        <v/>
      </c>
      <c r="R37">
        <f>R36+IF(AND($E37&lt;&gt;"",$E37&lt;=R$2,$F37&gt;=R$2),1,0)</f>
        <v/>
      </c>
      <c r="S37">
        <f>S36+IF(AND($E37&lt;&gt;"",$E37&lt;=S$2,$F37&gt;=S$2),1,0)</f>
        <v/>
      </c>
      <c r="T37">
        <f>T36+IF(AND($E37&lt;&gt;"",$E37&lt;=T$2,$F37&gt;=T$2),1,0)</f>
        <v/>
      </c>
      <c r="U37">
        <f>U36+IF(AND($E37&lt;&gt;"",$E37&lt;=U$2,$F37&gt;=U$2),1,0)</f>
        <v/>
      </c>
      <c r="V37">
        <f>V36+IF(AND($E37&lt;&gt;"",$E37&lt;=V$2,$F37&gt;=V$2),1,0)</f>
        <v/>
      </c>
      <c r="W37">
        <f>W36+IF(AND($E37&lt;&gt;"",$E37&lt;=W$2,$F37&gt;=W$2),1,0)</f>
        <v/>
      </c>
      <c r="X37">
        <f>X36+IF(AND($E37&lt;&gt;"",$E37&lt;=X$2,$F37&gt;=X$2),1,0)</f>
        <v/>
      </c>
      <c r="Y37">
        <f>Y36+IF(AND($E37&lt;&gt;"",$E37&lt;=Y$2,$F37&gt;=Y$2),1,0)</f>
        <v/>
      </c>
      <c r="Z37">
        <f>Z36+IF(AND($E37&lt;&gt;"",$E37&lt;=Z$2,$F37&gt;=Z$2),1,0)</f>
        <v/>
      </c>
      <c r="AA37">
        <f>AA36+IF(AND($E37&lt;&gt;"",$E37&lt;=AA$2,$F37&gt;=AA$2),1,0)</f>
        <v/>
      </c>
      <c r="AB37">
        <f>AB36+IF(AND($E37&lt;&gt;"",$E37&lt;=AB$2,$F37&gt;=AB$2),1,0)</f>
        <v/>
      </c>
      <c r="AC37">
        <f>AC36+IF(AND($E37&lt;&gt;"",$E37&lt;=AC$2,$F37&gt;=AC$2),1,0)</f>
        <v/>
      </c>
      <c r="AD37">
        <f>AD36+IF(AND($E37&lt;&gt;"",$E37&lt;=AD$2,$F37&gt;=AD$2),1,0)</f>
        <v/>
      </c>
      <c r="AE37">
        <f>AE36+IF(AND($E37&lt;&gt;"",$E37&lt;=AE$2,$F37&gt;=AE$2),1,0)</f>
        <v/>
      </c>
      <c r="AF37">
        <f>AF36+IF(AND($E37&lt;&gt;"",$E37&lt;=AF$2,$F37&gt;=AF$2),1,0)</f>
        <v/>
      </c>
      <c r="AG37">
        <f>AG36+IF(AND($E37&lt;&gt;"",$E37&lt;=AG$2,$F37&gt;=AG$2),1,0)</f>
        <v/>
      </c>
      <c r="AH37">
        <f>AH36+IF(AND($E37&lt;&gt;"",$E37&lt;=AH$2,$F37&gt;=AH$2),1,0)</f>
        <v/>
      </c>
      <c r="AI37">
        <f>AI36+IF(AND($E37&lt;&gt;"",$E37&lt;=AI$2,$F37&gt;=AI$2),1,0)</f>
        <v/>
      </c>
      <c r="AJ37">
        <f>AJ36+IF(AND($E37&lt;&gt;"",$E37&lt;=AJ$2,$F37&gt;=AJ$2),1,0)</f>
        <v/>
      </c>
      <c r="AK37">
        <f>AK36+IF(AND($E37&lt;&gt;"",$E37&lt;=AK$2,$F37&gt;=AK$2),1,0)</f>
        <v/>
      </c>
      <c r="AL37">
        <f>AL36+IF(AND($E37&lt;&gt;"",$E37&lt;=AL$2,$F37&gt;=AL$2),1,0)</f>
        <v/>
      </c>
      <c r="AM37">
        <f>AM36+IF(AND($E37&lt;&gt;"",$E37&lt;=AM$2,$F37&gt;=AM$2),1,0)</f>
        <v/>
      </c>
      <c r="AN37">
        <f>AN36+IF(AND($E37&lt;&gt;"",$E37&lt;=AN$2,$F37&gt;=AN$2),1,0)</f>
        <v/>
      </c>
      <c r="AO37">
        <f>AO36+IF(AND($E37&lt;&gt;"",$E37&lt;=AO$2,$F37&gt;=AO$2),1,0)</f>
        <v/>
      </c>
      <c r="AP37">
        <f>AP36+IF(AND($E37&lt;&gt;"",$E37&lt;=AP$2,$F37&gt;=AP$2),1,0)</f>
        <v/>
      </c>
      <c r="AQ37">
        <f>AQ36+IF(AND($E37&lt;&gt;"",$E37&lt;=AQ$2,$F37&gt;=AQ$2),1,0)</f>
        <v/>
      </c>
      <c r="AR37">
        <f>AR36+IF(AND($E37&lt;&gt;"",$E37&lt;=AR$2,$F37&gt;=AR$2),1,0)</f>
        <v/>
      </c>
      <c r="AS37">
        <f>AS36+IF(AND($E37&lt;&gt;"",$E37&lt;=AS$2,$F37&gt;=AS$2),1,0)</f>
        <v/>
      </c>
      <c r="AT37">
        <f>AT36+IF(AND($E37&lt;&gt;"",$E37&lt;=AT$2,$F37&gt;=AT$2),1,0)</f>
        <v/>
      </c>
      <c r="AU37">
        <f>AU36+IF(AND($E37&lt;&gt;"",$E37&lt;=AU$2,$F37&gt;=AU$2),1,0)</f>
        <v/>
      </c>
      <c r="AV37">
        <f>AV36+IF(AND($E37&lt;&gt;"",$E37&lt;=AV$2,$F37&gt;=AV$2),1,0)</f>
        <v/>
      </c>
      <c r="AW37">
        <f>AW36+IF(AND($E37&lt;&gt;"",$E37&lt;=AW$2,$F37&gt;=AW$2),1,0)</f>
        <v/>
      </c>
    </row>
    <row r="38">
      <c r="A38">
        <f>IF(AND(ISNUMBER(Events!$A40),ISNUMBER(Events!$B40)),MAX(0,Events!$B40-Events!$A40),0)</f>
        <v/>
      </c>
      <c r="B38">
        <f>IF(ISNUMBER(Events!$A40),DATE(YEAR($B$1)-1,MONTH(Events!$A40),DAY(Events!$A40)),"")</f>
        <v/>
      </c>
      <c r="C38">
        <f>IF(ISNUMBER(Events!$A40),DATE(YEAR($B$1),MONTH(Events!$A40),DAY(Events!$A40)),"")</f>
        <v/>
      </c>
      <c r="D38">
        <f>IF(ISNUMBER(Events!$A40),DATE(YEAR($B$2),MONTH(Events!$A40),DAY(Events!$A40)),"")</f>
        <v/>
      </c>
      <c r="E38">
        <f>IF(OR(NOT(ISNUMBER(Events!$A40)),Events!$G40="No",Calendar!$H$4="None"),"",IF(OR(Calendar!$H$4="All events",Events!$D40=Calendar!$H$4),IF(Events!$E40="Yes",IF(AND(B38&gt;=Events!$A40,B38&lt;=$B$2,B38+$A38&gt;=$B$1),B38,IF(AND(C38&gt;=Events!$A40,C38&lt;=$B$2,C38+$A38&gt;=$B$1),C38,IF(AND(D38&gt;=Events!$A40,D38&lt;=$B$2,D38+$A38&gt;=$B$1),D38,""))),IF(AND(Events!$A40&lt;=$B$2,Events!$A40+$A38&gt;=$B$1),Events!$A40,"")),""))</f>
        <v/>
      </c>
      <c r="F38">
        <f>IF(E38="","",E38+A38)</f>
        <v/>
      </c>
      <c r="G38">
        <f>IF(E38="","",IF(AND(E38&lt;=EOMONTH(Calendar!$K$2,0),F38&gt;=Calendar!$K$2),E38+35/100000,""))</f>
        <v/>
      </c>
      <c r="H38">
        <f>H37+IF(AND($E38&lt;&gt;"",$E38&lt;=H$2,$F38&gt;=H$2),1,0)</f>
        <v/>
      </c>
      <c r="I38">
        <f>I37+IF(AND($E38&lt;&gt;"",$E38&lt;=I$2,$F38&gt;=I$2),1,0)</f>
        <v/>
      </c>
      <c r="J38">
        <f>J37+IF(AND($E38&lt;&gt;"",$E38&lt;=J$2,$F38&gt;=J$2),1,0)</f>
        <v/>
      </c>
      <c r="K38">
        <f>K37+IF(AND($E38&lt;&gt;"",$E38&lt;=K$2,$F38&gt;=K$2),1,0)</f>
        <v/>
      </c>
      <c r="L38">
        <f>L37+IF(AND($E38&lt;&gt;"",$E38&lt;=L$2,$F38&gt;=L$2),1,0)</f>
        <v/>
      </c>
      <c r="M38">
        <f>M37+IF(AND($E38&lt;&gt;"",$E38&lt;=M$2,$F38&gt;=M$2),1,0)</f>
        <v/>
      </c>
      <c r="N38">
        <f>N37+IF(AND($E38&lt;&gt;"",$E38&lt;=N$2,$F38&gt;=N$2),1,0)</f>
        <v/>
      </c>
      <c r="O38">
        <f>O37+IF(AND($E38&lt;&gt;"",$E38&lt;=O$2,$F38&gt;=O$2),1,0)</f>
        <v/>
      </c>
      <c r="P38">
        <f>P37+IF(AND($E38&lt;&gt;"",$E38&lt;=P$2,$F38&gt;=P$2),1,0)</f>
        <v/>
      </c>
      <c r="Q38">
        <f>Q37+IF(AND($E38&lt;&gt;"",$E38&lt;=Q$2,$F38&gt;=Q$2),1,0)</f>
        <v/>
      </c>
      <c r="R38">
        <f>R37+IF(AND($E38&lt;&gt;"",$E38&lt;=R$2,$F38&gt;=R$2),1,0)</f>
        <v/>
      </c>
      <c r="S38">
        <f>S37+IF(AND($E38&lt;&gt;"",$E38&lt;=S$2,$F38&gt;=S$2),1,0)</f>
        <v/>
      </c>
      <c r="T38">
        <f>T37+IF(AND($E38&lt;&gt;"",$E38&lt;=T$2,$F38&gt;=T$2),1,0)</f>
        <v/>
      </c>
      <c r="U38">
        <f>U37+IF(AND($E38&lt;&gt;"",$E38&lt;=U$2,$F38&gt;=U$2),1,0)</f>
        <v/>
      </c>
      <c r="V38">
        <f>V37+IF(AND($E38&lt;&gt;"",$E38&lt;=V$2,$F38&gt;=V$2),1,0)</f>
        <v/>
      </c>
      <c r="W38">
        <f>W37+IF(AND($E38&lt;&gt;"",$E38&lt;=W$2,$F38&gt;=W$2),1,0)</f>
        <v/>
      </c>
      <c r="X38">
        <f>X37+IF(AND($E38&lt;&gt;"",$E38&lt;=X$2,$F38&gt;=X$2),1,0)</f>
        <v/>
      </c>
      <c r="Y38">
        <f>Y37+IF(AND($E38&lt;&gt;"",$E38&lt;=Y$2,$F38&gt;=Y$2),1,0)</f>
        <v/>
      </c>
      <c r="Z38">
        <f>Z37+IF(AND($E38&lt;&gt;"",$E38&lt;=Z$2,$F38&gt;=Z$2),1,0)</f>
        <v/>
      </c>
      <c r="AA38">
        <f>AA37+IF(AND($E38&lt;&gt;"",$E38&lt;=AA$2,$F38&gt;=AA$2),1,0)</f>
        <v/>
      </c>
      <c r="AB38">
        <f>AB37+IF(AND($E38&lt;&gt;"",$E38&lt;=AB$2,$F38&gt;=AB$2),1,0)</f>
        <v/>
      </c>
      <c r="AC38">
        <f>AC37+IF(AND($E38&lt;&gt;"",$E38&lt;=AC$2,$F38&gt;=AC$2),1,0)</f>
        <v/>
      </c>
      <c r="AD38">
        <f>AD37+IF(AND($E38&lt;&gt;"",$E38&lt;=AD$2,$F38&gt;=AD$2),1,0)</f>
        <v/>
      </c>
      <c r="AE38">
        <f>AE37+IF(AND($E38&lt;&gt;"",$E38&lt;=AE$2,$F38&gt;=AE$2),1,0)</f>
        <v/>
      </c>
      <c r="AF38">
        <f>AF37+IF(AND($E38&lt;&gt;"",$E38&lt;=AF$2,$F38&gt;=AF$2),1,0)</f>
        <v/>
      </c>
      <c r="AG38">
        <f>AG37+IF(AND($E38&lt;&gt;"",$E38&lt;=AG$2,$F38&gt;=AG$2),1,0)</f>
        <v/>
      </c>
      <c r="AH38">
        <f>AH37+IF(AND($E38&lt;&gt;"",$E38&lt;=AH$2,$F38&gt;=AH$2),1,0)</f>
        <v/>
      </c>
      <c r="AI38">
        <f>AI37+IF(AND($E38&lt;&gt;"",$E38&lt;=AI$2,$F38&gt;=AI$2),1,0)</f>
        <v/>
      </c>
      <c r="AJ38">
        <f>AJ37+IF(AND($E38&lt;&gt;"",$E38&lt;=AJ$2,$F38&gt;=AJ$2),1,0)</f>
        <v/>
      </c>
      <c r="AK38">
        <f>AK37+IF(AND($E38&lt;&gt;"",$E38&lt;=AK$2,$F38&gt;=AK$2),1,0)</f>
        <v/>
      </c>
      <c r="AL38">
        <f>AL37+IF(AND($E38&lt;&gt;"",$E38&lt;=AL$2,$F38&gt;=AL$2),1,0)</f>
        <v/>
      </c>
      <c r="AM38">
        <f>AM37+IF(AND($E38&lt;&gt;"",$E38&lt;=AM$2,$F38&gt;=AM$2),1,0)</f>
        <v/>
      </c>
      <c r="AN38">
        <f>AN37+IF(AND($E38&lt;&gt;"",$E38&lt;=AN$2,$F38&gt;=AN$2),1,0)</f>
        <v/>
      </c>
      <c r="AO38">
        <f>AO37+IF(AND($E38&lt;&gt;"",$E38&lt;=AO$2,$F38&gt;=AO$2),1,0)</f>
        <v/>
      </c>
      <c r="AP38">
        <f>AP37+IF(AND($E38&lt;&gt;"",$E38&lt;=AP$2,$F38&gt;=AP$2),1,0)</f>
        <v/>
      </c>
      <c r="AQ38">
        <f>AQ37+IF(AND($E38&lt;&gt;"",$E38&lt;=AQ$2,$F38&gt;=AQ$2),1,0)</f>
        <v/>
      </c>
      <c r="AR38">
        <f>AR37+IF(AND($E38&lt;&gt;"",$E38&lt;=AR$2,$F38&gt;=AR$2),1,0)</f>
        <v/>
      </c>
      <c r="AS38">
        <f>AS37+IF(AND($E38&lt;&gt;"",$E38&lt;=AS$2,$F38&gt;=AS$2),1,0)</f>
        <v/>
      </c>
      <c r="AT38">
        <f>AT37+IF(AND($E38&lt;&gt;"",$E38&lt;=AT$2,$F38&gt;=AT$2),1,0)</f>
        <v/>
      </c>
      <c r="AU38">
        <f>AU37+IF(AND($E38&lt;&gt;"",$E38&lt;=AU$2,$F38&gt;=AU$2),1,0)</f>
        <v/>
      </c>
      <c r="AV38">
        <f>AV37+IF(AND($E38&lt;&gt;"",$E38&lt;=AV$2,$F38&gt;=AV$2),1,0)</f>
        <v/>
      </c>
      <c r="AW38">
        <f>AW37+IF(AND($E38&lt;&gt;"",$E38&lt;=AW$2,$F38&gt;=AW$2),1,0)</f>
        <v/>
      </c>
    </row>
    <row r="39">
      <c r="A39">
        <f>IF(AND(ISNUMBER(Events!$A41),ISNUMBER(Events!$B41)),MAX(0,Events!$B41-Events!$A41),0)</f>
        <v/>
      </c>
      <c r="B39">
        <f>IF(ISNUMBER(Events!$A41),DATE(YEAR($B$1)-1,MONTH(Events!$A41),DAY(Events!$A41)),"")</f>
        <v/>
      </c>
      <c r="C39">
        <f>IF(ISNUMBER(Events!$A41),DATE(YEAR($B$1),MONTH(Events!$A41),DAY(Events!$A41)),"")</f>
        <v/>
      </c>
      <c r="D39">
        <f>IF(ISNUMBER(Events!$A41),DATE(YEAR($B$2),MONTH(Events!$A41),DAY(Events!$A41)),"")</f>
        <v/>
      </c>
      <c r="E39">
        <f>IF(OR(NOT(ISNUMBER(Events!$A41)),Events!$G41="No",Calendar!$H$4="None"),"",IF(OR(Calendar!$H$4="All events",Events!$D41=Calendar!$H$4),IF(Events!$E41="Yes",IF(AND(B39&gt;=Events!$A41,B39&lt;=$B$2,B39+$A39&gt;=$B$1),B39,IF(AND(C39&gt;=Events!$A41,C39&lt;=$B$2,C39+$A39&gt;=$B$1),C39,IF(AND(D39&gt;=Events!$A41,D39&lt;=$B$2,D39+$A39&gt;=$B$1),D39,""))),IF(AND(Events!$A41&lt;=$B$2,Events!$A41+$A39&gt;=$B$1),Events!$A41,"")),""))</f>
        <v/>
      </c>
      <c r="F39">
        <f>IF(E39="","",E39+A39)</f>
        <v/>
      </c>
      <c r="G39">
        <f>IF(E39="","",IF(AND(E39&lt;=EOMONTH(Calendar!$K$2,0),F39&gt;=Calendar!$K$2),E39+36/100000,""))</f>
        <v/>
      </c>
      <c r="H39">
        <f>H38+IF(AND($E39&lt;&gt;"",$E39&lt;=H$2,$F39&gt;=H$2),1,0)</f>
        <v/>
      </c>
      <c r="I39">
        <f>I38+IF(AND($E39&lt;&gt;"",$E39&lt;=I$2,$F39&gt;=I$2),1,0)</f>
        <v/>
      </c>
      <c r="J39">
        <f>J38+IF(AND($E39&lt;&gt;"",$E39&lt;=J$2,$F39&gt;=J$2),1,0)</f>
        <v/>
      </c>
      <c r="K39">
        <f>K38+IF(AND($E39&lt;&gt;"",$E39&lt;=K$2,$F39&gt;=K$2),1,0)</f>
        <v/>
      </c>
      <c r="L39">
        <f>L38+IF(AND($E39&lt;&gt;"",$E39&lt;=L$2,$F39&gt;=L$2),1,0)</f>
        <v/>
      </c>
      <c r="M39">
        <f>M38+IF(AND($E39&lt;&gt;"",$E39&lt;=M$2,$F39&gt;=M$2),1,0)</f>
        <v/>
      </c>
      <c r="N39">
        <f>N38+IF(AND($E39&lt;&gt;"",$E39&lt;=N$2,$F39&gt;=N$2),1,0)</f>
        <v/>
      </c>
      <c r="O39">
        <f>O38+IF(AND($E39&lt;&gt;"",$E39&lt;=O$2,$F39&gt;=O$2),1,0)</f>
        <v/>
      </c>
      <c r="P39">
        <f>P38+IF(AND($E39&lt;&gt;"",$E39&lt;=P$2,$F39&gt;=P$2),1,0)</f>
        <v/>
      </c>
      <c r="Q39">
        <f>Q38+IF(AND($E39&lt;&gt;"",$E39&lt;=Q$2,$F39&gt;=Q$2),1,0)</f>
        <v/>
      </c>
      <c r="R39">
        <f>R38+IF(AND($E39&lt;&gt;"",$E39&lt;=R$2,$F39&gt;=R$2),1,0)</f>
        <v/>
      </c>
      <c r="S39">
        <f>S38+IF(AND($E39&lt;&gt;"",$E39&lt;=S$2,$F39&gt;=S$2),1,0)</f>
        <v/>
      </c>
      <c r="T39">
        <f>T38+IF(AND($E39&lt;&gt;"",$E39&lt;=T$2,$F39&gt;=T$2),1,0)</f>
        <v/>
      </c>
      <c r="U39">
        <f>U38+IF(AND($E39&lt;&gt;"",$E39&lt;=U$2,$F39&gt;=U$2),1,0)</f>
        <v/>
      </c>
      <c r="V39">
        <f>V38+IF(AND($E39&lt;&gt;"",$E39&lt;=V$2,$F39&gt;=V$2),1,0)</f>
        <v/>
      </c>
      <c r="W39">
        <f>W38+IF(AND($E39&lt;&gt;"",$E39&lt;=W$2,$F39&gt;=W$2),1,0)</f>
        <v/>
      </c>
      <c r="X39">
        <f>X38+IF(AND($E39&lt;&gt;"",$E39&lt;=X$2,$F39&gt;=X$2),1,0)</f>
        <v/>
      </c>
      <c r="Y39">
        <f>Y38+IF(AND($E39&lt;&gt;"",$E39&lt;=Y$2,$F39&gt;=Y$2),1,0)</f>
        <v/>
      </c>
      <c r="Z39">
        <f>Z38+IF(AND($E39&lt;&gt;"",$E39&lt;=Z$2,$F39&gt;=Z$2),1,0)</f>
        <v/>
      </c>
      <c r="AA39">
        <f>AA38+IF(AND($E39&lt;&gt;"",$E39&lt;=AA$2,$F39&gt;=AA$2),1,0)</f>
        <v/>
      </c>
      <c r="AB39">
        <f>AB38+IF(AND($E39&lt;&gt;"",$E39&lt;=AB$2,$F39&gt;=AB$2),1,0)</f>
        <v/>
      </c>
      <c r="AC39">
        <f>AC38+IF(AND($E39&lt;&gt;"",$E39&lt;=AC$2,$F39&gt;=AC$2),1,0)</f>
        <v/>
      </c>
      <c r="AD39">
        <f>AD38+IF(AND($E39&lt;&gt;"",$E39&lt;=AD$2,$F39&gt;=AD$2),1,0)</f>
        <v/>
      </c>
      <c r="AE39">
        <f>AE38+IF(AND($E39&lt;&gt;"",$E39&lt;=AE$2,$F39&gt;=AE$2),1,0)</f>
        <v/>
      </c>
      <c r="AF39">
        <f>AF38+IF(AND($E39&lt;&gt;"",$E39&lt;=AF$2,$F39&gt;=AF$2),1,0)</f>
        <v/>
      </c>
      <c r="AG39">
        <f>AG38+IF(AND($E39&lt;&gt;"",$E39&lt;=AG$2,$F39&gt;=AG$2),1,0)</f>
        <v/>
      </c>
      <c r="AH39">
        <f>AH38+IF(AND($E39&lt;&gt;"",$E39&lt;=AH$2,$F39&gt;=AH$2),1,0)</f>
        <v/>
      </c>
      <c r="AI39">
        <f>AI38+IF(AND($E39&lt;&gt;"",$E39&lt;=AI$2,$F39&gt;=AI$2),1,0)</f>
        <v/>
      </c>
      <c r="AJ39">
        <f>AJ38+IF(AND($E39&lt;&gt;"",$E39&lt;=AJ$2,$F39&gt;=AJ$2),1,0)</f>
        <v/>
      </c>
      <c r="AK39">
        <f>AK38+IF(AND($E39&lt;&gt;"",$E39&lt;=AK$2,$F39&gt;=AK$2),1,0)</f>
        <v/>
      </c>
      <c r="AL39">
        <f>AL38+IF(AND($E39&lt;&gt;"",$E39&lt;=AL$2,$F39&gt;=AL$2),1,0)</f>
        <v/>
      </c>
      <c r="AM39">
        <f>AM38+IF(AND($E39&lt;&gt;"",$E39&lt;=AM$2,$F39&gt;=AM$2),1,0)</f>
        <v/>
      </c>
      <c r="AN39">
        <f>AN38+IF(AND($E39&lt;&gt;"",$E39&lt;=AN$2,$F39&gt;=AN$2),1,0)</f>
        <v/>
      </c>
      <c r="AO39">
        <f>AO38+IF(AND($E39&lt;&gt;"",$E39&lt;=AO$2,$F39&gt;=AO$2),1,0)</f>
        <v/>
      </c>
      <c r="AP39">
        <f>AP38+IF(AND($E39&lt;&gt;"",$E39&lt;=AP$2,$F39&gt;=AP$2),1,0)</f>
        <v/>
      </c>
      <c r="AQ39">
        <f>AQ38+IF(AND($E39&lt;&gt;"",$E39&lt;=AQ$2,$F39&gt;=AQ$2),1,0)</f>
        <v/>
      </c>
      <c r="AR39">
        <f>AR38+IF(AND($E39&lt;&gt;"",$E39&lt;=AR$2,$F39&gt;=AR$2),1,0)</f>
        <v/>
      </c>
      <c r="AS39">
        <f>AS38+IF(AND($E39&lt;&gt;"",$E39&lt;=AS$2,$F39&gt;=AS$2),1,0)</f>
        <v/>
      </c>
      <c r="AT39">
        <f>AT38+IF(AND($E39&lt;&gt;"",$E39&lt;=AT$2,$F39&gt;=AT$2),1,0)</f>
        <v/>
      </c>
      <c r="AU39">
        <f>AU38+IF(AND($E39&lt;&gt;"",$E39&lt;=AU$2,$F39&gt;=AU$2),1,0)</f>
        <v/>
      </c>
      <c r="AV39">
        <f>AV38+IF(AND($E39&lt;&gt;"",$E39&lt;=AV$2,$F39&gt;=AV$2),1,0)</f>
        <v/>
      </c>
      <c r="AW39">
        <f>AW38+IF(AND($E39&lt;&gt;"",$E39&lt;=AW$2,$F39&gt;=AW$2),1,0)</f>
        <v/>
      </c>
    </row>
    <row r="40">
      <c r="A40">
        <f>IF(AND(ISNUMBER(Events!$A42),ISNUMBER(Events!$B42)),MAX(0,Events!$B42-Events!$A42),0)</f>
        <v/>
      </c>
      <c r="B40">
        <f>IF(ISNUMBER(Events!$A42),DATE(YEAR($B$1)-1,MONTH(Events!$A42),DAY(Events!$A42)),"")</f>
        <v/>
      </c>
      <c r="C40">
        <f>IF(ISNUMBER(Events!$A42),DATE(YEAR($B$1),MONTH(Events!$A42),DAY(Events!$A42)),"")</f>
        <v/>
      </c>
      <c r="D40">
        <f>IF(ISNUMBER(Events!$A42),DATE(YEAR($B$2),MONTH(Events!$A42),DAY(Events!$A42)),"")</f>
        <v/>
      </c>
      <c r="E40">
        <f>IF(OR(NOT(ISNUMBER(Events!$A42)),Events!$G42="No",Calendar!$H$4="None"),"",IF(OR(Calendar!$H$4="All events",Events!$D42=Calendar!$H$4),IF(Events!$E42="Yes",IF(AND(B40&gt;=Events!$A42,B40&lt;=$B$2,B40+$A40&gt;=$B$1),B40,IF(AND(C40&gt;=Events!$A42,C40&lt;=$B$2,C40+$A40&gt;=$B$1),C40,IF(AND(D40&gt;=Events!$A42,D40&lt;=$B$2,D40+$A40&gt;=$B$1),D40,""))),IF(AND(Events!$A42&lt;=$B$2,Events!$A42+$A40&gt;=$B$1),Events!$A42,"")),""))</f>
        <v/>
      </c>
      <c r="F40">
        <f>IF(E40="","",E40+A40)</f>
        <v/>
      </c>
      <c r="G40">
        <f>IF(E40="","",IF(AND(E40&lt;=EOMONTH(Calendar!$K$2,0),F40&gt;=Calendar!$K$2),E40+37/100000,""))</f>
        <v/>
      </c>
      <c r="H40">
        <f>H39+IF(AND($E40&lt;&gt;"",$E40&lt;=H$2,$F40&gt;=H$2),1,0)</f>
        <v/>
      </c>
      <c r="I40">
        <f>I39+IF(AND($E40&lt;&gt;"",$E40&lt;=I$2,$F40&gt;=I$2),1,0)</f>
        <v/>
      </c>
      <c r="J40">
        <f>J39+IF(AND($E40&lt;&gt;"",$E40&lt;=J$2,$F40&gt;=J$2),1,0)</f>
        <v/>
      </c>
      <c r="K40">
        <f>K39+IF(AND($E40&lt;&gt;"",$E40&lt;=K$2,$F40&gt;=K$2),1,0)</f>
        <v/>
      </c>
      <c r="L40">
        <f>L39+IF(AND($E40&lt;&gt;"",$E40&lt;=L$2,$F40&gt;=L$2),1,0)</f>
        <v/>
      </c>
      <c r="M40">
        <f>M39+IF(AND($E40&lt;&gt;"",$E40&lt;=M$2,$F40&gt;=M$2),1,0)</f>
        <v/>
      </c>
      <c r="N40">
        <f>N39+IF(AND($E40&lt;&gt;"",$E40&lt;=N$2,$F40&gt;=N$2),1,0)</f>
        <v/>
      </c>
      <c r="O40">
        <f>O39+IF(AND($E40&lt;&gt;"",$E40&lt;=O$2,$F40&gt;=O$2),1,0)</f>
        <v/>
      </c>
      <c r="P40">
        <f>P39+IF(AND($E40&lt;&gt;"",$E40&lt;=P$2,$F40&gt;=P$2),1,0)</f>
        <v/>
      </c>
      <c r="Q40">
        <f>Q39+IF(AND($E40&lt;&gt;"",$E40&lt;=Q$2,$F40&gt;=Q$2),1,0)</f>
        <v/>
      </c>
      <c r="R40">
        <f>R39+IF(AND($E40&lt;&gt;"",$E40&lt;=R$2,$F40&gt;=R$2),1,0)</f>
        <v/>
      </c>
      <c r="S40">
        <f>S39+IF(AND($E40&lt;&gt;"",$E40&lt;=S$2,$F40&gt;=S$2),1,0)</f>
        <v/>
      </c>
      <c r="T40">
        <f>T39+IF(AND($E40&lt;&gt;"",$E40&lt;=T$2,$F40&gt;=T$2),1,0)</f>
        <v/>
      </c>
      <c r="U40">
        <f>U39+IF(AND($E40&lt;&gt;"",$E40&lt;=U$2,$F40&gt;=U$2),1,0)</f>
        <v/>
      </c>
      <c r="V40">
        <f>V39+IF(AND($E40&lt;&gt;"",$E40&lt;=V$2,$F40&gt;=V$2),1,0)</f>
        <v/>
      </c>
      <c r="W40">
        <f>W39+IF(AND($E40&lt;&gt;"",$E40&lt;=W$2,$F40&gt;=W$2),1,0)</f>
        <v/>
      </c>
      <c r="X40">
        <f>X39+IF(AND($E40&lt;&gt;"",$E40&lt;=X$2,$F40&gt;=X$2),1,0)</f>
        <v/>
      </c>
      <c r="Y40">
        <f>Y39+IF(AND($E40&lt;&gt;"",$E40&lt;=Y$2,$F40&gt;=Y$2),1,0)</f>
        <v/>
      </c>
      <c r="Z40">
        <f>Z39+IF(AND($E40&lt;&gt;"",$E40&lt;=Z$2,$F40&gt;=Z$2),1,0)</f>
        <v/>
      </c>
      <c r="AA40">
        <f>AA39+IF(AND($E40&lt;&gt;"",$E40&lt;=AA$2,$F40&gt;=AA$2),1,0)</f>
        <v/>
      </c>
      <c r="AB40">
        <f>AB39+IF(AND($E40&lt;&gt;"",$E40&lt;=AB$2,$F40&gt;=AB$2),1,0)</f>
        <v/>
      </c>
      <c r="AC40">
        <f>AC39+IF(AND($E40&lt;&gt;"",$E40&lt;=AC$2,$F40&gt;=AC$2),1,0)</f>
        <v/>
      </c>
      <c r="AD40">
        <f>AD39+IF(AND($E40&lt;&gt;"",$E40&lt;=AD$2,$F40&gt;=AD$2),1,0)</f>
        <v/>
      </c>
      <c r="AE40">
        <f>AE39+IF(AND($E40&lt;&gt;"",$E40&lt;=AE$2,$F40&gt;=AE$2),1,0)</f>
        <v/>
      </c>
      <c r="AF40">
        <f>AF39+IF(AND($E40&lt;&gt;"",$E40&lt;=AF$2,$F40&gt;=AF$2),1,0)</f>
        <v/>
      </c>
      <c r="AG40">
        <f>AG39+IF(AND($E40&lt;&gt;"",$E40&lt;=AG$2,$F40&gt;=AG$2),1,0)</f>
        <v/>
      </c>
      <c r="AH40">
        <f>AH39+IF(AND($E40&lt;&gt;"",$E40&lt;=AH$2,$F40&gt;=AH$2),1,0)</f>
        <v/>
      </c>
      <c r="AI40">
        <f>AI39+IF(AND($E40&lt;&gt;"",$E40&lt;=AI$2,$F40&gt;=AI$2),1,0)</f>
        <v/>
      </c>
      <c r="AJ40">
        <f>AJ39+IF(AND($E40&lt;&gt;"",$E40&lt;=AJ$2,$F40&gt;=AJ$2),1,0)</f>
        <v/>
      </c>
      <c r="AK40">
        <f>AK39+IF(AND($E40&lt;&gt;"",$E40&lt;=AK$2,$F40&gt;=AK$2),1,0)</f>
        <v/>
      </c>
      <c r="AL40">
        <f>AL39+IF(AND($E40&lt;&gt;"",$E40&lt;=AL$2,$F40&gt;=AL$2),1,0)</f>
        <v/>
      </c>
      <c r="AM40">
        <f>AM39+IF(AND($E40&lt;&gt;"",$E40&lt;=AM$2,$F40&gt;=AM$2),1,0)</f>
        <v/>
      </c>
      <c r="AN40">
        <f>AN39+IF(AND($E40&lt;&gt;"",$E40&lt;=AN$2,$F40&gt;=AN$2),1,0)</f>
        <v/>
      </c>
      <c r="AO40">
        <f>AO39+IF(AND($E40&lt;&gt;"",$E40&lt;=AO$2,$F40&gt;=AO$2),1,0)</f>
        <v/>
      </c>
      <c r="AP40">
        <f>AP39+IF(AND($E40&lt;&gt;"",$E40&lt;=AP$2,$F40&gt;=AP$2),1,0)</f>
        <v/>
      </c>
      <c r="AQ40">
        <f>AQ39+IF(AND($E40&lt;&gt;"",$E40&lt;=AQ$2,$F40&gt;=AQ$2),1,0)</f>
        <v/>
      </c>
      <c r="AR40">
        <f>AR39+IF(AND($E40&lt;&gt;"",$E40&lt;=AR$2,$F40&gt;=AR$2),1,0)</f>
        <v/>
      </c>
      <c r="AS40">
        <f>AS39+IF(AND($E40&lt;&gt;"",$E40&lt;=AS$2,$F40&gt;=AS$2),1,0)</f>
        <v/>
      </c>
      <c r="AT40">
        <f>AT39+IF(AND($E40&lt;&gt;"",$E40&lt;=AT$2,$F40&gt;=AT$2),1,0)</f>
        <v/>
      </c>
      <c r="AU40">
        <f>AU39+IF(AND($E40&lt;&gt;"",$E40&lt;=AU$2,$F40&gt;=AU$2),1,0)</f>
        <v/>
      </c>
      <c r="AV40">
        <f>AV39+IF(AND($E40&lt;&gt;"",$E40&lt;=AV$2,$F40&gt;=AV$2),1,0)</f>
        <v/>
      </c>
      <c r="AW40">
        <f>AW39+IF(AND($E40&lt;&gt;"",$E40&lt;=AW$2,$F40&gt;=AW$2),1,0)</f>
        <v/>
      </c>
    </row>
    <row r="41">
      <c r="A41">
        <f>IF(AND(ISNUMBER(Events!$A43),ISNUMBER(Events!$B43)),MAX(0,Events!$B43-Events!$A43),0)</f>
        <v/>
      </c>
      <c r="B41">
        <f>IF(ISNUMBER(Events!$A43),DATE(YEAR($B$1)-1,MONTH(Events!$A43),DAY(Events!$A43)),"")</f>
        <v/>
      </c>
      <c r="C41">
        <f>IF(ISNUMBER(Events!$A43),DATE(YEAR($B$1),MONTH(Events!$A43),DAY(Events!$A43)),"")</f>
        <v/>
      </c>
      <c r="D41">
        <f>IF(ISNUMBER(Events!$A43),DATE(YEAR($B$2),MONTH(Events!$A43),DAY(Events!$A43)),"")</f>
        <v/>
      </c>
      <c r="E41">
        <f>IF(OR(NOT(ISNUMBER(Events!$A43)),Events!$G43="No",Calendar!$H$4="None"),"",IF(OR(Calendar!$H$4="All events",Events!$D43=Calendar!$H$4),IF(Events!$E43="Yes",IF(AND(B41&gt;=Events!$A43,B41&lt;=$B$2,B41+$A41&gt;=$B$1),B41,IF(AND(C41&gt;=Events!$A43,C41&lt;=$B$2,C41+$A41&gt;=$B$1),C41,IF(AND(D41&gt;=Events!$A43,D41&lt;=$B$2,D41+$A41&gt;=$B$1),D41,""))),IF(AND(Events!$A43&lt;=$B$2,Events!$A43+$A41&gt;=$B$1),Events!$A43,"")),""))</f>
        <v/>
      </c>
      <c r="F41">
        <f>IF(E41="","",E41+A41)</f>
        <v/>
      </c>
      <c r="G41">
        <f>IF(E41="","",IF(AND(E41&lt;=EOMONTH(Calendar!$K$2,0),F41&gt;=Calendar!$K$2),E41+38/100000,""))</f>
        <v/>
      </c>
      <c r="H41">
        <f>H40+IF(AND($E41&lt;&gt;"",$E41&lt;=H$2,$F41&gt;=H$2),1,0)</f>
        <v/>
      </c>
      <c r="I41">
        <f>I40+IF(AND($E41&lt;&gt;"",$E41&lt;=I$2,$F41&gt;=I$2),1,0)</f>
        <v/>
      </c>
      <c r="J41">
        <f>J40+IF(AND($E41&lt;&gt;"",$E41&lt;=J$2,$F41&gt;=J$2),1,0)</f>
        <v/>
      </c>
      <c r="K41">
        <f>K40+IF(AND($E41&lt;&gt;"",$E41&lt;=K$2,$F41&gt;=K$2),1,0)</f>
        <v/>
      </c>
      <c r="L41">
        <f>L40+IF(AND($E41&lt;&gt;"",$E41&lt;=L$2,$F41&gt;=L$2),1,0)</f>
        <v/>
      </c>
      <c r="M41">
        <f>M40+IF(AND($E41&lt;&gt;"",$E41&lt;=M$2,$F41&gt;=M$2),1,0)</f>
        <v/>
      </c>
      <c r="N41">
        <f>N40+IF(AND($E41&lt;&gt;"",$E41&lt;=N$2,$F41&gt;=N$2),1,0)</f>
        <v/>
      </c>
      <c r="O41">
        <f>O40+IF(AND($E41&lt;&gt;"",$E41&lt;=O$2,$F41&gt;=O$2),1,0)</f>
        <v/>
      </c>
      <c r="P41">
        <f>P40+IF(AND($E41&lt;&gt;"",$E41&lt;=P$2,$F41&gt;=P$2),1,0)</f>
        <v/>
      </c>
      <c r="Q41">
        <f>Q40+IF(AND($E41&lt;&gt;"",$E41&lt;=Q$2,$F41&gt;=Q$2),1,0)</f>
        <v/>
      </c>
      <c r="R41">
        <f>R40+IF(AND($E41&lt;&gt;"",$E41&lt;=R$2,$F41&gt;=R$2),1,0)</f>
        <v/>
      </c>
      <c r="S41">
        <f>S40+IF(AND($E41&lt;&gt;"",$E41&lt;=S$2,$F41&gt;=S$2),1,0)</f>
        <v/>
      </c>
      <c r="T41">
        <f>T40+IF(AND($E41&lt;&gt;"",$E41&lt;=T$2,$F41&gt;=T$2),1,0)</f>
        <v/>
      </c>
      <c r="U41">
        <f>U40+IF(AND($E41&lt;&gt;"",$E41&lt;=U$2,$F41&gt;=U$2),1,0)</f>
        <v/>
      </c>
      <c r="V41">
        <f>V40+IF(AND($E41&lt;&gt;"",$E41&lt;=V$2,$F41&gt;=V$2),1,0)</f>
        <v/>
      </c>
      <c r="W41">
        <f>W40+IF(AND($E41&lt;&gt;"",$E41&lt;=W$2,$F41&gt;=W$2),1,0)</f>
        <v/>
      </c>
      <c r="X41">
        <f>X40+IF(AND($E41&lt;&gt;"",$E41&lt;=X$2,$F41&gt;=X$2),1,0)</f>
        <v/>
      </c>
      <c r="Y41">
        <f>Y40+IF(AND($E41&lt;&gt;"",$E41&lt;=Y$2,$F41&gt;=Y$2),1,0)</f>
        <v/>
      </c>
      <c r="Z41">
        <f>Z40+IF(AND($E41&lt;&gt;"",$E41&lt;=Z$2,$F41&gt;=Z$2),1,0)</f>
        <v/>
      </c>
      <c r="AA41">
        <f>AA40+IF(AND($E41&lt;&gt;"",$E41&lt;=AA$2,$F41&gt;=AA$2),1,0)</f>
        <v/>
      </c>
      <c r="AB41">
        <f>AB40+IF(AND($E41&lt;&gt;"",$E41&lt;=AB$2,$F41&gt;=AB$2),1,0)</f>
        <v/>
      </c>
      <c r="AC41">
        <f>AC40+IF(AND($E41&lt;&gt;"",$E41&lt;=AC$2,$F41&gt;=AC$2),1,0)</f>
        <v/>
      </c>
      <c r="AD41">
        <f>AD40+IF(AND($E41&lt;&gt;"",$E41&lt;=AD$2,$F41&gt;=AD$2),1,0)</f>
        <v/>
      </c>
      <c r="AE41">
        <f>AE40+IF(AND($E41&lt;&gt;"",$E41&lt;=AE$2,$F41&gt;=AE$2),1,0)</f>
        <v/>
      </c>
      <c r="AF41">
        <f>AF40+IF(AND($E41&lt;&gt;"",$E41&lt;=AF$2,$F41&gt;=AF$2),1,0)</f>
        <v/>
      </c>
      <c r="AG41">
        <f>AG40+IF(AND($E41&lt;&gt;"",$E41&lt;=AG$2,$F41&gt;=AG$2),1,0)</f>
        <v/>
      </c>
      <c r="AH41">
        <f>AH40+IF(AND($E41&lt;&gt;"",$E41&lt;=AH$2,$F41&gt;=AH$2),1,0)</f>
        <v/>
      </c>
      <c r="AI41">
        <f>AI40+IF(AND($E41&lt;&gt;"",$E41&lt;=AI$2,$F41&gt;=AI$2),1,0)</f>
        <v/>
      </c>
      <c r="AJ41">
        <f>AJ40+IF(AND($E41&lt;&gt;"",$E41&lt;=AJ$2,$F41&gt;=AJ$2),1,0)</f>
        <v/>
      </c>
      <c r="AK41">
        <f>AK40+IF(AND($E41&lt;&gt;"",$E41&lt;=AK$2,$F41&gt;=AK$2),1,0)</f>
        <v/>
      </c>
      <c r="AL41">
        <f>AL40+IF(AND($E41&lt;&gt;"",$E41&lt;=AL$2,$F41&gt;=AL$2),1,0)</f>
        <v/>
      </c>
      <c r="AM41">
        <f>AM40+IF(AND($E41&lt;&gt;"",$E41&lt;=AM$2,$F41&gt;=AM$2),1,0)</f>
        <v/>
      </c>
      <c r="AN41">
        <f>AN40+IF(AND($E41&lt;&gt;"",$E41&lt;=AN$2,$F41&gt;=AN$2),1,0)</f>
        <v/>
      </c>
      <c r="AO41">
        <f>AO40+IF(AND($E41&lt;&gt;"",$E41&lt;=AO$2,$F41&gt;=AO$2),1,0)</f>
        <v/>
      </c>
      <c r="AP41">
        <f>AP40+IF(AND($E41&lt;&gt;"",$E41&lt;=AP$2,$F41&gt;=AP$2),1,0)</f>
        <v/>
      </c>
      <c r="AQ41">
        <f>AQ40+IF(AND($E41&lt;&gt;"",$E41&lt;=AQ$2,$F41&gt;=AQ$2),1,0)</f>
        <v/>
      </c>
      <c r="AR41">
        <f>AR40+IF(AND($E41&lt;&gt;"",$E41&lt;=AR$2,$F41&gt;=AR$2),1,0)</f>
        <v/>
      </c>
      <c r="AS41">
        <f>AS40+IF(AND($E41&lt;&gt;"",$E41&lt;=AS$2,$F41&gt;=AS$2),1,0)</f>
        <v/>
      </c>
      <c r="AT41">
        <f>AT40+IF(AND($E41&lt;&gt;"",$E41&lt;=AT$2,$F41&gt;=AT$2),1,0)</f>
        <v/>
      </c>
      <c r="AU41">
        <f>AU40+IF(AND($E41&lt;&gt;"",$E41&lt;=AU$2,$F41&gt;=AU$2),1,0)</f>
        <v/>
      </c>
      <c r="AV41">
        <f>AV40+IF(AND($E41&lt;&gt;"",$E41&lt;=AV$2,$F41&gt;=AV$2),1,0)</f>
        <v/>
      </c>
      <c r="AW41">
        <f>AW40+IF(AND($E41&lt;&gt;"",$E41&lt;=AW$2,$F41&gt;=AW$2),1,0)</f>
        <v/>
      </c>
    </row>
    <row r="42">
      <c r="A42">
        <f>IF(AND(ISNUMBER(Events!$A44),ISNUMBER(Events!$B44)),MAX(0,Events!$B44-Events!$A44),0)</f>
        <v/>
      </c>
      <c r="B42">
        <f>IF(ISNUMBER(Events!$A44),DATE(YEAR($B$1)-1,MONTH(Events!$A44),DAY(Events!$A44)),"")</f>
        <v/>
      </c>
      <c r="C42">
        <f>IF(ISNUMBER(Events!$A44),DATE(YEAR($B$1),MONTH(Events!$A44),DAY(Events!$A44)),"")</f>
        <v/>
      </c>
      <c r="D42">
        <f>IF(ISNUMBER(Events!$A44),DATE(YEAR($B$2),MONTH(Events!$A44),DAY(Events!$A44)),"")</f>
        <v/>
      </c>
      <c r="E42">
        <f>IF(OR(NOT(ISNUMBER(Events!$A44)),Events!$G44="No",Calendar!$H$4="None"),"",IF(OR(Calendar!$H$4="All events",Events!$D44=Calendar!$H$4),IF(Events!$E44="Yes",IF(AND(B42&gt;=Events!$A44,B42&lt;=$B$2,B42+$A42&gt;=$B$1),B42,IF(AND(C42&gt;=Events!$A44,C42&lt;=$B$2,C42+$A42&gt;=$B$1),C42,IF(AND(D42&gt;=Events!$A44,D42&lt;=$B$2,D42+$A42&gt;=$B$1),D42,""))),IF(AND(Events!$A44&lt;=$B$2,Events!$A44+$A42&gt;=$B$1),Events!$A44,"")),""))</f>
        <v/>
      </c>
      <c r="F42">
        <f>IF(E42="","",E42+A42)</f>
        <v/>
      </c>
      <c r="G42">
        <f>IF(E42="","",IF(AND(E42&lt;=EOMONTH(Calendar!$K$2,0),F42&gt;=Calendar!$K$2),E42+39/100000,""))</f>
        <v/>
      </c>
      <c r="H42">
        <f>H41+IF(AND($E42&lt;&gt;"",$E42&lt;=H$2,$F42&gt;=H$2),1,0)</f>
        <v/>
      </c>
      <c r="I42">
        <f>I41+IF(AND($E42&lt;&gt;"",$E42&lt;=I$2,$F42&gt;=I$2),1,0)</f>
        <v/>
      </c>
      <c r="J42">
        <f>J41+IF(AND($E42&lt;&gt;"",$E42&lt;=J$2,$F42&gt;=J$2),1,0)</f>
        <v/>
      </c>
      <c r="K42">
        <f>K41+IF(AND($E42&lt;&gt;"",$E42&lt;=K$2,$F42&gt;=K$2),1,0)</f>
        <v/>
      </c>
      <c r="L42">
        <f>L41+IF(AND($E42&lt;&gt;"",$E42&lt;=L$2,$F42&gt;=L$2),1,0)</f>
        <v/>
      </c>
      <c r="M42">
        <f>M41+IF(AND($E42&lt;&gt;"",$E42&lt;=M$2,$F42&gt;=M$2),1,0)</f>
        <v/>
      </c>
      <c r="N42">
        <f>N41+IF(AND($E42&lt;&gt;"",$E42&lt;=N$2,$F42&gt;=N$2),1,0)</f>
        <v/>
      </c>
      <c r="O42">
        <f>O41+IF(AND($E42&lt;&gt;"",$E42&lt;=O$2,$F42&gt;=O$2),1,0)</f>
        <v/>
      </c>
      <c r="P42">
        <f>P41+IF(AND($E42&lt;&gt;"",$E42&lt;=P$2,$F42&gt;=P$2),1,0)</f>
        <v/>
      </c>
      <c r="Q42">
        <f>Q41+IF(AND($E42&lt;&gt;"",$E42&lt;=Q$2,$F42&gt;=Q$2),1,0)</f>
        <v/>
      </c>
      <c r="R42">
        <f>R41+IF(AND($E42&lt;&gt;"",$E42&lt;=R$2,$F42&gt;=R$2),1,0)</f>
        <v/>
      </c>
      <c r="S42">
        <f>S41+IF(AND($E42&lt;&gt;"",$E42&lt;=S$2,$F42&gt;=S$2),1,0)</f>
        <v/>
      </c>
      <c r="T42">
        <f>T41+IF(AND($E42&lt;&gt;"",$E42&lt;=T$2,$F42&gt;=T$2),1,0)</f>
        <v/>
      </c>
      <c r="U42">
        <f>U41+IF(AND($E42&lt;&gt;"",$E42&lt;=U$2,$F42&gt;=U$2),1,0)</f>
        <v/>
      </c>
      <c r="V42">
        <f>V41+IF(AND($E42&lt;&gt;"",$E42&lt;=V$2,$F42&gt;=V$2),1,0)</f>
        <v/>
      </c>
      <c r="W42">
        <f>W41+IF(AND($E42&lt;&gt;"",$E42&lt;=W$2,$F42&gt;=W$2),1,0)</f>
        <v/>
      </c>
      <c r="X42">
        <f>X41+IF(AND($E42&lt;&gt;"",$E42&lt;=X$2,$F42&gt;=X$2),1,0)</f>
        <v/>
      </c>
      <c r="Y42">
        <f>Y41+IF(AND($E42&lt;&gt;"",$E42&lt;=Y$2,$F42&gt;=Y$2),1,0)</f>
        <v/>
      </c>
      <c r="Z42">
        <f>Z41+IF(AND($E42&lt;&gt;"",$E42&lt;=Z$2,$F42&gt;=Z$2),1,0)</f>
        <v/>
      </c>
      <c r="AA42">
        <f>AA41+IF(AND($E42&lt;&gt;"",$E42&lt;=AA$2,$F42&gt;=AA$2),1,0)</f>
        <v/>
      </c>
      <c r="AB42">
        <f>AB41+IF(AND($E42&lt;&gt;"",$E42&lt;=AB$2,$F42&gt;=AB$2),1,0)</f>
        <v/>
      </c>
      <c r="AC42">
        <f>AC41+IF(AND($E42&lt;&gt;"",$E42&lt;=AC$2,$F42&gt;=AC$2),1,0)</f>
        <v/>
      </c>
      <c r="AD42">
        <f>AD41+IF(AND($E42&lt;&gt;"",$E42&lt;=AD$2,$F42&gt;=AD$2),1,0)</f>
        <v/>
      </c>
      <c r="AE42">
        <f>AE41+IF(AND($E42&lt;&gt;"",$E42&lt;=AE$2,$F42&gt;=AE$2),1,0)</f>
        <v/>
      </c>
      <c r="AF42">
        <f>AF41+IF(AND($E42&lt;&gt;"",$E42&lt;=AF$2,$F42&gt;=AF$2),1,0)</f>
        <v/>
      </c>
      <c r="AG42">
        <f>AG41+IF(AND($E42&lt;&gt;"",$E42&lt;=AG$2,$F42&gt;=AG$2),1,0)</f>
        <v/>
      </c>
      <c r="AH42">
        <f>AH41+IF(AND($E42&lt;&gt;"",$E42&lt;=AH$2,$F42&gt;=AH$2),1,0)</f>
        <v/>
      </c>
      <c r="AI42">
        <f>AI41+IF(AND($E42&lt;&gt;"",$E42&lt;=AI$2,$F42&gt;=AI$2),1,0)</f>
        <v/>
      </c>
      <c r="AJ42">
        <f>AJ41+IF(AND($E42&lt;&gt;"",$E42&lt;=AJ$2,$F42&gt;=AJ$2),1,0)</f>
        <v/>
      </c>
      <c r="AK42">
        <f>AK41+IF(AND($E42&lt;&gt;"",$E42&lt;=AK$2,$F42&gt;=AK$2),1,0)</f>
        <v/>
      </c>
      <c r="AL42">
        <f>AL41+IF(AND($E42&lt;&gt;"",$E42&lt;=AL$2,$F42&gt;=AL$2),1,0)</f>
        <v/>
      </c>
      <c r="AM42">
        <f>AM41+IF(AND($E42&lt;&gt;"",$E42&lt;=AM$2,$F42&gt;=AM$2),1,0)</f>
        <v/>
      </c>
      <c r="AN42">
        <f>AN41+IF(AND($E42&lt;&gt;"",$E42&lt;=AN$2,$F42&gt;=AN$2),1,0)</f>
        <v/>
      </c>
      <c r="AO42">
        <f>AO41+IF(AND($E42&lt;&gt;"",$E42&lt;=AO$2,$F42&gt;=AO$2),1,0)</f>
        <v/>
      </c>
      <c r="AP42">
        <f>AP41+IF(AND($E42&lt;&gt;"",$E42&lt;=AP$2,$F42&gt;=AP$2),1,0)</f>
        <v/>
      </c>
      <c r="AQ42">
        <f>AQ41+IF(AND($E42&lt;&gt;"",$E42&lt;=AQ$2,$F42&gt;=AQ$2),1,0)</f>
        <v/>
      </c>
      <c r="AR42">
        <f>AR41+IF(AND($E42&lt;&gt;"",$E42&lt;=AR$2,$F42&gt;=AR$2),1,0)</f>
        <v/>
      </c>
      <c r="AS42">
        <f>AS41+IF(AND($E42&lt;&gt;"",$E42&lt;=AS$2,$F42&gt;=AS$2),1,0)</f>
        <v/>
      </c>
      <c r="AT42">
        <f>AT41+IF(AND($E42&lt;&gt;"",$E42&lt;=AT$2,$F42&gt;=AT$2),1,0)</f>
        <v/>
      </c>
      <c r="AU42">
        <f>AU41+IF(AND($E42&lt;&gt;"",$E42&lt;=AU$2,$F42&gt;=AU$2),1,0)</f>
        <v/>
      </c>
      <c r="AV42">
        <f>AV41+IF(AND($E42&lt;&gt;"",$E42&lt;=AV$2,$F42&gt;=AV$2),1,0)</f>
        <v/>
      </c>
      <c r="AW42">
        <f>AW41+IF(AND($E42&lt;&gt;"",$E42&lt;=AW$2,$F42&gt;=AW$2),1,0)</f>
        <v/>
      </c>
    </row>
    <row r="43">
      <c r="A43">
        <f>IF(AND(ISNUMBER(Events!$A45),ISNUMBER(Events!$B45)),MAX(0,Events!$B45-Events!$A45),0)</f>
        <v/>
      </c>
      <c r="B43">
        <f>IF(ISNUMBER(Events!$A45),DATE(YEAR($B$1)-1,MONTH(Events!$A45),DAY(Events!$A45)),"")</f>
        <v/>
      </c>
      <c r="C43">
        <f>IF(ISNUMBER(Events!$A45),DATE(YEAR($B$1),MONTH(Events!$A45),DAY(Events!$A45)),"")</f>
        <v/>
      </c>
      <c r="D43">
        <f>IF(ISNUMBER(Events!$A45),DATE(YEAR($B$2),MONTH(Events!$A45),DAY(Events!$A45)),"")</f>
        <v/>
      </c>
      <c r="E43">
        <f>IF(OR(NOT(ISNUMBER(Events!$A45)),Events!$G45="No",Calendar!$H$4="None"),"",IF(OR(Calendar!$H$4="All events",Events!$D45=Calendar!$H$4),IF(Events!$E45="Yes",IF(AND(B43&gt;=Events!$A45,B43&lt;=$B$2,B43+$A43&gt;=$B$1),B43,IF(AND(C43&gt;=Events!$A45,C43&lt;=$B$2,C43+$A43&gt;=$B$1),C43,IF(AND(D43&gt;=Events!$A45,D43&lt;=$B$2,D43+$A43&gt;=$B$1),D43,""))),IF(AND(Events!$A45&lt;=$B$2,Events!$A45+$A43&gt;=$B$1),Events!$A45,"")),""))</f>
        <v/>
      </c>
      <c r="F43">
        <f>IF(E43="","",E43+A43)</f>
        <v/>
      </c>
      <c r="G43">
        <f>IF(E43="","",IF(AND(E43&lt;=EOMONTH(Calendar!$K$2,0),F43&gt;=Calendar!$K$2),E43+40/100000,""))</f>
        <v/>
      </c>
      <c r="H43">
        <f>H42+IF(AND($E43&lt;&gt;"",$E43&lt;=H$2,$F43&gt;=H$2),1,0)</f>
        <v/>
      </c>
      <c r="I43">
        <f>I42+IF(AND($E43&lt;&gt;"",$E43&lt;=I$2,$F43&gt;=I$2),1,0)</f>
        <v/>
      </c>
      <c r="J43">
        <f>J42+IF(AND($E43&lt;&gt;"",$E43&lt;=J$2,$F43&gt;=J$2),1,0)</f>
        <v/>
      </c>
      <c r="K43">
        <f>K42+IF(AND($E43&lt;&gt;"",$E43&lt;=K$2,$F43&gt;=K$2),1,0)</f>
        <v/>
      </c>
      <c r="L43">
        <f>L42+IF(AND($E43&lt;&gt;"",$E43&lt;=L$2,$F43&gt;=L$2),1,0)</f>
        <v/>
      </c>
      <c r="M43">
        <f>M42+IF(AND($E43&lt;&gt;"",$E43&lt;=M$2,$F43&gt;=M$2),1,0)</f>
        <v/>
      </c>
      <c r="N43">
        <f>N42+IF(AND($E43&lt;&gt;"",$E43&lt;=N$2,$F43&gt;=N$2),1,0)</f>
        <v/>
      </c>
      <c r="O43">
        <f>O42+IF(AND($E43&lt;&gt;"",$E43&lt;=O$2,$F43&gt;=O$2),1,0)</f>
        <v/>
      </c>
      <c r="P43">
        <f>P42+IF(AND($E43&lt;&gt;"",$E43&lt;=P$2,$F43&gt;=P$2),1,0)</f>
        <v/>
      </c>
      <c r="Q43">
        <f>Q42+IF(AND($E43&lt;&gt;"",$E43&lt;=Q$2,$F43&gt;=Q$2),1,0)</f>
        <v/>
      </c>
      <c r="R43">
        <f>R42+IF(AND($E43&lt;&gt;"",$E43&lt;=R$2,$F43&gt;=R$2),1,0)</f>
        <v/>
      </c>
      <c r="S43">
        <f>S42+IF(AND($E43&lt;&gt;"",$E43&lt;=S$2,$F43&gt;=S$2),1,0)</f>
        <v/>
      </c>
      <c r="T43">
        <f>T42+IF(AND($E43&lt;&gt;"",$E43&lt;=T$2,$F43&gt;=T$2),1,0)</f>
        <v/>
      </c>
      <c r="U43">
        <f>U42+IF(AND($E43&lt;&gt;"",$E43&lt;=U$2,$F43&gt;=U$2),1,0)</f>
        <v/>
      </c>
      <c r="V43">
        <f>V42+IF(AND($E43&lt;&gt;"",$E43&lt;=V$2,$F43&gt;=V$2),1,0)</f>
        <v/>
      </c>
      <c r="W43">
        <f>W42+IF(AND($E43&lt;&gt;"",$E43&lt;=W$2,$F43&gt;=W$2),1,0)</f>
        <v/>
      </c>
      <c r="X43">
        <f>X42+IF(AND($E43&lt;&gt;"",$E43&lt;=X$2,$F43&gt;=X$2),1,0)</f>
        <v/>
      </c>
      <c r="Y43">
        <f>Y42+IF(AND($E43&lt;&gt;"",$E43&lt;=Y$2,$F43&gt;=Y$2),1,0)</f>
        <v/>
      </c>
      <c r="Z43">
        <f>Z42+IF(AND($E43&lt;&gt;"",$E43&lt;=Z$2,$F43&gt;=Z$2),1,0)</f>
        <v/>
      </c>
      <c r="AA43">
        <f>AA42+IF(AND($E43&lt;&gt;"",$E43&lt;=AA$2,$F43&gt;=AA$2),1,0)</f>
        <v/>
      </c>
      <c r="AB43">
        <f>AB42+IF(AND($E43&lt;&gt;"",$E43&lt;=AB$2,$F43&gt;=AB$2),1,0)</f>
        <v/>
      </c>
      <c r="AC43">
        <f>AC42+IF(AND($E43&lt;&gt;"",$E43&lt;=AC$2,$F43&gt;=AC$2),1,0)</f>
        <v/>
      </c>
      <c r="AD43">
        <f>AD42+IF(AND($E43&lt;&gt;"",$E43&lt;=AD$2,$F43&gt;=AD$2),1,0)</f>
        <v/>
      </c>
      <c r="AE43">
        <f>AE42+IF(AND($E43&lt;&gt;"",$E43&lt;=AE$2,$F43&gt;=AE$2),1,0)</f>
        <v/>
      </c>
      <c r="AF43">
        <f>AF42+IF(AND($E43&lt;&gt;"",$E43&lt;=AF$2,$F43&gt;=AF$2),1,0)</f>
        <v/>
      </c>
      <c r="AG43">
        <f>AG42+IF(AND($E43&lt;&gt;"",$E43&lt;=AG$2,$F43&gt;=AG$2),1,0)</f>
        <v/>
      </c>
      <c r="AH43">
        <f>AH42+IF(AND($E43&lt;&gt;"",$E43&lt;=AH$2,$F43&gt;=AH$2),1,0)</f>
        <v/>
      </c>
      <c r="AI43">
        <f>AI42+IF(AND($E43&lt;&gt;"",$E43&lt;=AI$2,$F43&gt;=AI$2),1,0)</f>
        <v/>
      </c>
      <c r="AJ43">
        <f>AJ42+IF(AND($E43&lt;&gt;"",$E43&lt;=AJ$2,$F43&gt;=AJ$2),1,0)</f>
        <v/>
      </c>
      <c r="AK43">
        <f>AK42+IF(AND($E43&lt;&gt;"",$E43&lt;=AK$2,$F43&gt;=AK$2),1,0)</f>
        <v/>
      </c>
      <c r="AL43">
        <f>AL42+IF(AND($E43&lt;&gt;"",$E43&lt;=AL$2,$F43&gt;=AL$2),1,0)</f>
        <v/>
      </c>
      <c r="AM43">
        <f>AM42+IF(AND($E43&lt;&gt;"",$E43&lt;=AM$2,$F43&gt;=AM$2),1,0)</f>
        <v/>
      </c>
      <c r="AN43">
        <f>AN42+IF(AND($E43&lt;&gt;"",$E43&lt;=AN$2,$F43&gt;=AN$2),1,0)</f>
        <v/>
      </c>
      <c r="AO43">
        <f>AO42+IF(AND($E43&lt;&gt;"",$E43&lt;=AO$2,$F43&gt;=AO$2),1,0)</f>
        <v/>
      </c>
      <c r="AP43">
        <f>AP42+IF(AND($E43&lt;&gt;"",$E43&lt;=AP$2,$F43&gt;=AP$2),1,0)</f>
        <v/>
      </c>
      <c r="AQ43">
        <f>AQ42+IF(AND($E43&lt;&gt;"",$E43&lt;=AQ$2,$F43&gt;=AQ$2),1,0)</f>
        <v/>
      </c>
      <c r="AR43">
        <f>AR42+IF(AND($E43&lt;&gt;"",$E43&lt;=AR$2,$F43&gt;=AR$2),1,0)</f>
        <v/>
      </c>
      <c r="AS43">
        <f>AS42+IF(AND($E43&lt;&gt;"",$E43&lt;=AS$2,$F43&gt;=AS$2),1,0)</f>
        <v/>
      </c>
      <c r="AT43">
        <f>AT42+IF(AND($E43&lt;&gt;"",$E43&lt;=AT$2,$F43&gt;=AT$2),1,0)</f>
        <v/>
      </c>
      <c r="AU43">
        <f>AU42+IF(AND($E43&lt;&gt;"",$E43&lt;=AU$2,$F43&gt;=AU$2),1,0)</f>
        <v/>
      </c>
      <c r="AV43">
        <f>AV42+IF(AND($E43&lt;&gt;"",$E43&lt;=AV$2,$F43&gt;=AV$2),1,0)</f>
        <v/>
      </c>
      <c r="AW43">
        <f>AW42+IF(AND($E43&lt;&gt;"",$E43&lt;=AW$2,$F43&gt;=AW$2),1,0)</f>
        <v/>
      </c>
    </row>
    <row r="44">
      <c r="A44">
        <f>IF(AND(ISNUMBER(Events!$A46),ISNUMBER(Events!$B46)),MAX(0,Events!$B46-Events!$A46),0)</f>
        <v/>
      </c>
      <c r="B44">
        <f>IF(ISNUMBER(Events!$A46),DATE(YEAR($B$1)-1,MONTH(Events!$A46),DAY(Events!$A46)),"")</f>
        <v/>
      </c>
      <c r="C44">
        <f>IF(ISNUMBER(Events!$A46),DATE(YEAR($B$1),MONTH(Events!$A46),DAY(Events!$A46)),"")</f>
        <v/>
      </c>
      <c r="D44">
        <f>IF(ISNUMBER(Events!$A46),DATE(YEAR($B$2),MONTH(Events!$A46),DAY(Events!$A46)),"")</f>
        <v/>
      </c>
      <c r="E44">
        <f>IF(OR(NOT(ISNUMBER(Events!$A46)),Events!$G46="No",Calendar!$H$4="None"),"",IF(OR(Calendar!$H$4="All events",Events!$D46=Calendar!$H$4),IF(Events!$E46="Yes",IF(AND(B44&gt;=Events!$A46,B44&lt;=$B$2,B44+$A44&gt;=$B$1),B44,IF(AND(C44&gt;=Events!$A46,C44&lt;=$B$2,C44+$A44&gt;=$B$1),C44,IF(AND(D44&gt;=Events!$A46,D44&lt;=$B$2,D44+$A44&gt;=$B$1),D44,""))),IF(AND(Events!$A46&lt;=$B$2,Events!$A46+$A44&gt;=$B$1),Events!$A46,"")),""))</f>
        <v/>
      </c>
      <c r="F44">
        <f>IF(E44="","",E44+A44)</f>
        <v/>
      </c>
      <c r="G44">
        <f>IF(E44="","",IF(AND(E44&lt;=EOMONTH(Calendar!$K$2,0),F44&gt;=Calendar!$K$2),E44+41/100000,""))</f>
        <v/>
      </c>
      <c r="H44">
        <f>H43+IF(AND($E44&lt;&gt;"",$E44&lt;=H$2,$F44&gt;=H$2),1,0)</f>
        <v/>
      </c>
      <c r="I44">
        <f>I43+IF(AND($E44&lt;&gt;"",$E44&lt;=I$2,$F44&gt;=I$2),1,0)</f>
        <v/>
      </c>
      <c r="J44">
        <f>J43+IF(AND($E44&lt;&gt;"",$E44&lt;=J$2,$F44&gt;=J$2),1,0)</f>
        <v/>
      </c>
      <c r="K44">
        <f>K43+IF(AND($E44&lt;&gt;"",$E44&lt;=K$2,$F44&gt;=K$2),1,0)</f>
        <v/>
      </c>
      <c r="L44">
        <f>L43+IF(AND($E44&lt;&gt;"",$E44&lt;=L$2,$F44&gt;=L$2),1,0)</f>
        <v/>
      </c>
      <c r="M44">
        <f>M43+IF(AND($E44&lt;&gt;"",$E44&lt;=M$2,$F44&gt;=M$2),1,0)</f>
        <v/>
      </c>
      <c r="N44">
        <f>N43+IF(AND($E44&lt;&gt;"",$E44&lt;=N$2,$F44&gt;=N$2),1,0)</f>
        <v/>
      </c>
      <c r="O44">
        <f>O43+IF(AND($E44&lt;&gt;"",$E44&lt;=O$2,$F44&gt;=O$2),1,0)</f>
        <v/>
      </c>
      <c r="P44">
        <f>P43+IF(AND($E44&lt;&gt;"",$E44&lt;=P$2,$F44&gt;=P$2),1,0)</f>
        <v/>
      </c>
      <c r="Q44">
        <f>Q43+IF(AND($E44&lt;&gt;"",$E44&lt;=Q$2,$F44&gt;=Q$2),1,0)</f>
        <v/>
      </c>
      <c r="R44">
        <f>R43+IF(AND($E44&lt;&gt;"",$E44&lt;=R$2,$F44&gt;=R$2),1,0)</f>
        <v/>
      </c>
      <c r="S44">
        <f>S43+IF(AND($E44&lt;&gt;"",$E44&lt;=S$2,$F44&gt;=S$2),1,0)</f>
        <v/>
      </c>
      <c r="T44">
        <f>T43+IF(AND($E44&lt;&gt;"",$E44&lt;=T$2,$F44&gt;=T$2),1,0)</f>
        <v/>
      </c>
      <c r="U44">
        <f>U43+IF(AND($E44&lt;&gt;"",$E44&lt;=U$2,$F44&gt;=U$2),1,0)</f>
        <v/>
      </c>
      <c r="V44">
        <f>V43+IF(AND($E44&lt;&gt;"",$E44&lt;=V$2,$F44&gt;=V$2),1,0)</f>
        <v/>
      </c>
      <c r="W44">
        <f>W43+IF(AND($E44&lt;&gt;"",$E44&lt;=W$2,$F44&gt;=W$2),1,0)</f>
        <v/>
      </c>
      <c r="X44">
        <f>X43+IF(AND($E44&lt;&gt;"",$E44&lt;=X$2,$F44&gt;=X$2),1,0)</f>
        <v/>
      </c>
      <c r="Y44">
        <f>Y43+IF(AND($E44&lt;&gt;"",$E44&lt;=Y$2,$F44&gt;=Y$2),1,0)</f>
        <v/>
      </c>
      <c r="Z44">
        <f>Z43+IF(AND($E44&lt;&gt;"",$E44&lt;=Z$2,$F44&gt;=Z$2),1,0)</f>
        <v/>
      </c>
      <c r="AA44">
        <f>AA43+IF(AND($E44&lt;&gt;"",$E44&lt;=AA$2,$F44&gt;=AA$2),1,0)</f>
        <v/>
      </c>
      <c r="AB44">
        <f>AB43+IF(AND($E44&lt;&gt;"",$E44&lt;=AB$2,$F44&gt;=AB$2),1,0)</f>
        <v/>
      </c>
      <c r="AC44">
        <f>AC43+IF(AND($E44&lt;&gt;"",$E44&lt;=AC$2,$F44&gt;=AC$2),1,0)</f>
        <v/>
      </c>
      <c r="AD44">
        <f>AD43+IF(AND($E44&lt;&gt;"",$E44&lt;=AD$2,$F44&gt;=AD$2),1,0)</f>
        <v/>
      </c>
      <c r="AE44">
        <f>AE43+IF(AND($E44&lt;&gt;"",$E44&lt;=AE$2,$F44&gt;=AE$2),1,0)</f>
        <v/>
      </c>
      <c r="AF44">
        <f>AF43+IF(AND($E44&lt;&gt;"",$E44&lt;=AF$2,$F44&gt;=AF$2),1,0)</f>
        <v/>
      </c>
      <c r="AG44">
        <f>AG43+IF(AND($E44&lt;&gt;"",$E44&lt;=AG$2,$F44&gt;=AG$2),1,0)</f>
        <v/>
      </c>
      <c r="AH44">
        <f>AH43+IF(AND($E44&lt;&gt;"",$E44&lt;=AH$2,$F44&gt;=AH$2),1,0)</f>
        <v/>
      </c>
      <c r="AI44">
        <f>AI43+IF(AND($E44&lt;&gt;"",$E44&lt;=AI$2,$F44&gt;=AI$2),1,0)</f>
        <v/>
      </c>
      <c r="AJ44">
        <f>AJ43+IF(AND($E44&lt;&gt;"",$E44&lt;=AJ$2,$F44&gt;=AJ$2),1,0)</f>
        <v/>
      </c>
      <c r="AK44">
        <f>AK43+IF(AND($E44&lt;&gt;"",$E44&lt;=AK$2,$F44&gt;=AK$2),1,0)</f>
        <v/>
      </c>
      <c r="AL44">
        <f>AL43+IF(AND($E44&lt;&gt;"",$E44&lt;=AL$2,$F44&gt;=AL$2),1,0)</f>
        <v/>
      </c>
      <c r="AM44">
        <f>AM43+IF(AND($E44&lt;&gt;"",$E44&lt;=AM$2,$F44&gt;=AM$2),1,0)</f>
        <v/>
      </c>
      <c r="AN44">
        <f>AN43+IF(AND($E44&lt;&gt;"",$E44&lt;=AN$2,$F44&gt;=AN$2),1,0)</f>
        <v/>
      </c>
      <c r="AO44">
        <f>AO43+IF(AND($E44&lt;&gt;"",$E44&lt;=AO$2,$F44&gt;=AO$2),1,0)</f>
        <v/>
      </c>
      <c r="AP44">
        <f>AP43+IF(AND($E44&lt;&gt;"",$E44&lt;=AP$2,$F44&gt;=AP$2),1,0)</f>
        <v/>
      </c>
      <c r="AQ44">
        <f>AQ43+IF(AND($E44&lt;&gt;"",$E44&lt;=AQ$2,$F44&gt;=AQ$2),1,0)</f>
        <v/>
      </c>
      <c r="AR44">
        <f>AR43+IF(AND($E44&lt;&gt;"",$E44&lt;=AR$2,$F44&gt;=AR$2),1,0)</f>
        <v/>
      </c>
      <c r="AS44">
        <f>AS43+IF(AND($E44&lt;&gt;"",$E44&lt;=AS$2,$F44&gt;=AS$2),1,0)</f>
        <v/>
      </c>
      <c r="AT44">
        <f>AT43+IF(AND($E44&lt;&gt;"",$E44&lt;=AT$2,$F44&gt;=AT$2),1,0)</f>
        <v/>
      </c>
      <c r="AU44">
        <f>AU43+IF(AND($E44&lt;&gt;"",$E44&lt;=AU$2,$F44&gt;=AU$2),1,0)</f>
        <v/>
      </c>
      <c r="AV44">
        <f>AV43+IF(AND($E44&lt;&gt;"",$E44&lt;=AV$2,$F44&gt;=AV$2),1,0)</f>
        <v/>
      </c>
      <c r="AW44">
        <f>AW43+IF(AND($E44&lt;&gt;"",$E44&lt;=AW$2,$F44&gt;=AW$2),1,0)</f>
        <v/>
      </c>
    </row>
    <row r="45">
      <c r="A45">
        <f>IF(AND(ISNUMBER(Events!$A47),ISNUMBER(Events!$B47)),MAX(0,Events!$B47-Events!$A47),0)</f>
        <v/>
      </c>
      <c r="B45">
        <f>IF(ISNUMBER(Events!$A47),DATE(YEAR($B$1)-1,MONTH(Events!$A47),DAY(Events!$A47)),"")</f>
        <v/>
      </c>
      <c r="C45">
        <f>IF(ISNUMBER(Events!$A47),DATE(YEAR($B$1),MONTH(Events!$A47),DAY(Events!$A47)),"")</f>
        <v/>
      </c>
      <c r="D45">
        <f>IF(ISNUMBER(Events!$A47),DATE(YEAR($B$2),MONTH(Events!$A47),DAY(Events!$A47)),"")</f>
        <v/>
      </c>
      <c r="E45">
        <f>IF(OR(NOT(ISNUMBER(Events!$A47)),Events!$G47="No",Calendar!$H$4="None"),"",IF(OR(Calendar!$H$4="All events",Events!$D47=Calendar!$H$4),IF(Events!$E47="Yes",IF(AND(B45&gt;=Events!$A47,B45&lt;=$B$2,B45+$A45&gt;=$B$1),B45,IF(AND(C45&gt;=Events!$A47,C45&lt;=$B$2,C45+$A45&gt;=$B$1),C45,IF(AND(D45&gt;=Events!$A47,D45&lt;=$B$2,D45+$A45&gt;=$B$1),D45,""))),IF(AND(Events!$A47&lt;=$B$2,Events!$A47+$A45&gt;=$B$1),Events!$A47,"")),""))</f>
        <v/>
      </c>
      <c r="F45">
        <f>IF(E45="","",E45+A45)</f>
        <v/>
      </c>
      <c r="G45">
        <f>IF(E45="","",IF(AND(E45&lt;=EOMONTH(Calendar!$K$2,0),F45&gt;=Calendar!$K$2),E45+42/100000,""))</f>
        <v/>
      </c>
      <c r="H45">
        <f>H44+IF(AND($E45&lt;&gt;"",$E45&lt;=H$2,$F45&gt;=H$2),1,0)</f>
        <v/>
      </c>
      <c r="I45">
        <f>I44+IF(AND($E45&lt;&gt;"",$E45&lt;=I$2,$F45&gt;=I$2),1,0)</f>
        <v/>
      </c>
      <c r="J45">
        <f>J44+IF(AND($E45&lt;&gt;"",$E45&lt;=J$2,$F45&gt;=J$2),1,0)</f>
        <v/>
      </c>
      <c r="K45">
        <f>K44+IF(AND($E45&lt;&gt;"",$E45&lt;=K$2,$F45&gt;=K$2),1,0)</f>
        <v/>
      </c>
      <c r="L45">
        <f>L44+IF(AND($E45&lt;&gt;"",$E45&lt;=L$2,$F45&gt;=L$2),1,0)</f>
        <v/>
      </c>
      <c r="M45">
        <f>M44+IF(AND($E45&lt;&gt;"",$E45&lt;=M$2,$F45&gt;=M$2),1,0)</f>
        <v/>
      </c>
      <c r="N45">
        <f>N44+IF(AND($E45&lt;&gt;"",$E45&lt;=N$2,$F45&gt;=N$2),1,0)</f>
        <v/>
      </c>
      <c r="O45">
        <f>O44+IF(AND($E45&lt;&gt;"",$E45&lt;=O$2,$F45&gt;=O$2),1,0)</f>
        <v/>
      </c>
      <c r="P45">
        <f>P44+IF(AND($E45&lt;&gt;"",$E45&lt;=P$2,$F45&gt;=P$2),1,0)</f>
        <v/>
      </c>
      <c r="Q45">
        <f>Q44+IF(AND($E45&lt;&gt;"",$E45&lt;=Q$2,$F45&gt;=Q$2),1,0)</f>
        <v/>
      </c>
      <c r="R45">
        <f>R44+IF(AND($E45&lt;&gt;"",$E45&lt;=R$2,$F45&gt;=R$2),1,0)</f>
        <v/>
      </c>
      <c r="S45">
        <f>S44+IF(AND($E45&lt;&gt;"",$E45&lt;=S$2,$F45&gt;=S$2),1,0)</f>
        <v/>
      </c>
      <c r="T45">
        <f>T44+IF(AND($E45&lt;&gt;"",$E45&lt;=T$2,$F45&gt;=T$2),1,0)</f>
        <v/>
      </c>
      <c r="U45">
        <f>U44+IF(AND($E45&lt;&gt;"",$E45&lt;=U$2,$F45&gt;=U$2),1,0)</f>
        <v/>
      </c>
      <c r="V45">
        <f>V44+IF(AND($E45&lt;&gt;"",$E45&lt;=V$2,$F45&gt;=V$2),1,0)</f>
        <v/>
      </c>
      <c r="W45">
        <f>W44+IF(AND($E45&lt;&gt;"",$E45&lt;=W$2,$F45&gt;=W$2),1,0)</f>
        <v/>
      </c>
      <c r="X45">
        <f>X44+IF(AND($E45&lt;&gt;"",$E45&lt;=X$2,$F45&gt;=X$2),1,0)</f>
        <v/>
      </c>
      <c r="Y45">
        <f>Y44+IF(AND($E45&lt;&gt;"",$E45&lt;=Y$2,$F45&gt;=Y$2),1,0)</f>
        <v/>
      </c>
      <c r="Z45">
        <f>Z44+IF(AND($E45&lt;&gt;"",$E45&lt;=Z$2,$F45&gt;=Z$2),1,0)</f>
        <v/>
      </c>
      <c r="AA45">
        <f>AA44+IF(AND($E45&lt;&gt;"",$E45&lt;=AA$2,$F45&gt;=AA$2),1,0)</f>
        <v/>
      </c>
      <c r="AB45">
        <f>AB44+IF(AND($E45&lt;&gt;"",$E45&lt;=AB$2,$F45&gt;=AB$2),1,0)</f>
        <v/>
      </c>
      <c r="AC45">
        <f>AC44+IF(AND($E45&lt;&gt;"",$E45&lt;=AC$2,$F45&gt;=AC$2),1,0)</f>
        <v/>
      </c>
      <c r="AD45">
        <f>AD44+IF(AND($E45&lt;&gt;"",$E45&lt;=AD$2,$F45&gt;=AD$2),1,0)</f>
        <v/>
      </c>
      <c r="AE45">
        <f>AE44+IF(AND($E45&lt;&gt;"",$E45&lt;=AE$2,$F45&gt;=AE$2),1,0)</f>
        <v/>
      </c>
      <c r="AF45">
        <f>AF44+IF(AND($E45&lt;&gt;"",$E45&lt;=AF$2,$F45&gt;=AF$2),1,0)</f>
        <v/>
      </c>
      <c r="AG45">
        <f>AG44+IF(AND($E45&lt;&gt;"",$E45&lt;=AG$2,$F45&gt;=AG$2),1,0)</f>
        <v/>
      </c>
      <c r="AH45">
        <f>AH44+IF(AND($E45&lt;&gt;"",$E45&lt;=AH$2,$F45&gt;=AH$2),1,0)</f>
        <v/>
      </c>
      <c r="AI45">
        <f>AI44+IF(AND($E45&lt;&gt;"",$E45&lt;=AI$2,$F45&gt;=AI$2),1,0)</f>
        <v/>
      </c>
      <c r="AJ45">
        <f>AJ44+IF(AND($E45&lt;&gt;"",$E45&lt;=AJ$2,$F45&gt;=AJ$2),1,0)</f>
        <v/>
      </c>
      <c r="AK45">
        <f>AK44+IF(AND($E45&lt;&gt;"",$E45&lt;=AK$2,$F45&gt;=AK$2),1,0)</f>
        <v/>
      </c>
      <c r="AL45">
        <f>AL44+IF(AND($E45&lt;&gt;"",$E45&lt;=AL$2,$F45&gt;=AL$2),1,0)</f>
        <v/>
      </c>
      <c r="AM45">
        <f>AM44+IF(AND($E45&lt;&gt;"",$E45&lt;=AM$2,$F45&gt;=AM$2),1,0)</f>
        <v/>
      </c>
      <c r="AN45">
        <f>AN44+IF(AND($E45&lt;&gt;"",$E45&lt;=AN$2,$F45&gt;=AN$2),1,0)</f>
        <v/>
      </c>
      <c r="AO45">
        <f>AO44+IF(AND($E45&lt;&gt;"",$E45&lt;=AO$2,$F45&gt;=AO$2),1,0)</f>
        <v/>
      </c>
      <c r="AP45">
        <f>AP44+IF(AND($E45&lt;&gt;"",$E45&lt;=AP$2,$F45&gt;=AP$2),1,0)</f>
        <v/>
      </c>
      <c r="AQ45">
        <f>AQ44+IF(AND($E45&lt;&gt;"",$E45&lt;=AQ$2,$F45&gt;=AQ$2),1,0)</f>
        <v/>
      </c>
      <c r="AR45">
        <f>AR44+IF(AND($E45&lt;&gt;"",$E45&lt;=AR$2,$F45&gt;=AR$2),1,0)</f>
        <v/>
      </c>
      <c r="AS45">
        <f>AS44+IF(AND($E45&lt;&gt;"",$E45&lt;=AS$2,$F45&gt;=AS$2),1,0)</f>
        <v/>
      </c>
      <c r="AT45">
        <f>AT44+IF(AND($E45&lt;&gt;"",$E45&lt;=AT$2,$F45&gt;=AT$2),1,0)</f>
        <v/>
      </c>
      <c r="AU45">
        <f>AU44+IF(AND($E45&lt;&gt;"",$E45&lt;=AU$2,$F45&gt;=AU$2),1,0)</f>
        <v/>
      </c>
      <c r="AV45">
        <f>AV44+IF(AND($E45&lt;&gt;"",$E45&lt;=AV$2,$F45&gt;=AV$2),1,0)</f>
        <v/>
      </c>
      <c r="AW45">
        <f>AW44+IF(AND($E45&lt;&gt;"",$E45&lt;=AW$2,$F45&gt;=AW$2),1,0)</f>
        <v/>
      </c>
    </row>
    <row r="46">
      <c r="A46">
        <f>IF(AND(ISNUMBER(Events!$A48),ISNUMBER(Events!$B48)),MAX(0,Events!$B48-Events!$A48),0)</f>
        <v/>
      </c>
      <c r="B46">
        <f>IF(ISNUMBER(Events!$A48),DATE(YEAR($B$1)-1,MONTH(Events!$A48),DAY(Events!$A48)),"")</f>
        <v/>
      </c>
      <c r="C46">
        <f>IF(ISNUMBER(Events!$A48),DATE(YEAR($B$1),MONTH(Events!$A48),DAY(Events!$A48)),"")</f>
        <v/>
      </c>
      <c r="D46">
        <f>IF(ISNUMBER(Events!$A48),DATE(YEAR($B$2),MONTH(Events!$A48),DAY(Events!$A48)),"")</f>
        <v/>
      </c>
      <c r="E46">
        <f>IF(OR(NOT(ISNUMBER(Events!$A48)),Events!$G48="No",Calendar!$H$4="None"),"",IF(OR(Calendar!$H$4="All events",Events!$D48=Calendar!$H$4),IF(Events!$E48="Yes",IF(AND(B46&gt;=Events!$A48,B46&lt;=$B$2,B46+$A46&gt;=$B$1),B46,IF(AND(C46&gt;=Events!$A48,C46&lt;=$B$2,C46+$A46&gt;=$B$1),C46,IF(AND(D46&gt;=Events!$A48,D46&lt;=$B$2,D46+$A46&gt;=$B$1),D46,""))),IF(AND(Events!$A48&lt;=$B$2,Events!$A48+$A46&gt;=$B$1),Events!$A48,"")),""))</f>
        <v/>
      </c>
      <c r="F46">
        <f>IF(E46="","",E46+A46)</f>
        <v/>
      </c>
      <c r="G46">
        <f>IF(E46="","",IF(AND(E46&lt;=EOMONTH(Calendar!$K$2,0),F46&gt;=Calendar!$K$2),E46+43/100000,""))</f>
        <v/>
      </c>
      <c r="H46">
        <f>H45+IF(AND($E46&lt;&gt;"",$E46&lt;=H$2,$F46&gt;=H$2),1,0)</f>
        <v/>
      </c>
      <c r="I46">
        <f>I45+IF(AND($E46&lt;&gt;"",$E46&lt;=I$2,$F46&gt;=I$2),1,0)</f>
        <v/>
      </c>
      <c r="J46">
        <f>J45+IF(AND($E46&lt;&gt;"",$E46&lt;=J$2,$F46&gt;=J$2),1,0)</f>
        <v/>
      </c>
      <c r="K46">
        <f>K45+IF(AND($E46&lt;&gt;"",$E46&lt;=K$2,$F46&gt;=K$2),1,0)</f>
        <v/>
      </c>
      <c r="L46">
        <f>L45+IF(AND($E46&lt;&gt;"",$E46&lt;=L$2,$F46&gt;=L$2),1,0)</f>
        <v/>
      </c>
      <c r="M46">
        <f>M45+IF(AND($E46&lt;&gt;"",$E46&lt;=M$2,$F46&gt;=M$2),1,0)</f>
        <v/>
      </c>
      <c r="N46">
        <f>N45+IF(AND($E46&lt;&gt;"",$E46&lt;=N$2,$F46&gt;=N$2),1,0)</f>
        <v/>
      </c>
      <c r="O46">
        <f>O45+IF(AND($E46&lt;&gt;"",$E46&lt;=O$2,$F46&gt;=O$2),1,0)</f>
        <v/>
      </c>
      <c r="P46">
        <f>P45+IF(AND($E46&lt;&gt;"",$E46&lt;=P$2,$F46&gt;=P$2),1,0)</f>
        <v/>
      </c>
      <c r="Q46">
        <f>Q45+IF(AND($E46&lt;&gt;"",$E46&lt;=Q$2,$F46&gt;=Q$2),1,0)</f>
        <v/>
      </c>
      <c r="R46">
        <f>R45+IF(AND($E46&lt;&gt;"",$E46&lt;=R$2,$F46&gt;=R$2),1,0)</f>
        <v/>
      </c>
      <c r="S46">
        <f>S45+IF(AND($E46&lt;&gt;"",$E46&lt;=S$2,$F46&gt;=S$2),1,0)</f>
        <v/>
      </c>
      <c r="T46">
        <f>T45+IF(AND($E46&lt;&gt;"",$E46&lt;=T$2,$F46&gt;=T$2),1,0)</f>
        <v/>
      </c>
      <c r="U46">
        <f>U45+IF(AND($E46&lt;&gt;"",$E46&lt;=U$2,$F46&gt;=U$2),1,0)</f>
        <v/>
      </c>
      <c r="V46">
        <f>V45+IF(AND($E46&lt;&gt;"",$E46&lt;=V$2,$F46&gt;=V$2),1,0)</f>
        <v/>
      </c>
      <c r="W46">
        <f>W45+IF(AND($E46&lt;&gt;"",$E46&lt;=W$2,$F46&gt;=W$2),1,0)</f>
        <v/>
      </c>
      <c r="X46">
        <f>X45+IF(AND($E46&lt;&gt;"",$E46&lt;=X$2,$F46&gt;=X$2),1,0)</f>
        <v/>
      </c>
      <c r="Y46">
        <f>Y45+IF(AND($E46&lt;&gt;"",$E46&lt;=Y$2,$F46&gt;=Y$2),1,0)</f>
        <v/>
      </c>
      <c r="Z46">
        <f>Z45+IF(AND($E46&lt;&gt;"",$E46&lt;=Z$2,$F46&gt;=Z$2),1,0)</f>
        <v/>
      </c>
      <c r="AA46">
        <f>AA45+IF(AND($E46&lt;&gt;"",$E46&lt;=AA$2,$F46&gt;=AA$2),1,0)</f>
        <v/>
      </c>
      <c r="AB46">
        <f>AB45+IF(AND($E46&lt;&gt;"",$E46&lt;=AB$2,$F46&gt;=AB$2),1,0)</f>
        <v/>
      </c>
      <c r="AC46">
        <f>AC45+IF(AND($E46&lt;&gt;"",$E46&lt;=AC$2,$F46&gt;=AC$2),1,0)</f>
        <v/>
      </c>
      <c r="AD46">
        <f>AD45+IF(AND($E46&lt;&gt;"",$E46&lt;=AD$2,$F46&gt;=AD$2),1,0)</f>
        <v/>
      </c>
      <c r="AE46">
        <f>AE45+IF(AND($E46&lt;&gt;"",$E46&lt;=AE$2,$F46&gt;=AE$2),1,0)</f>
        <v/>
      </c>
      <c r="AF46">
        <f>AF45+IF(AND($E46&lt;&gt;"",$E46&lt;=AF$2,$F46&gt;=AF$2),1,0)</f>
        <v/>
      </c>
      <c r="AG46">
        <f>AG45+IF(AND($E46&lt;&gt;"",$E46&lt;=AG$2,$F46&gt;=AG$2),1,0)</f>
        <v/>
      </c>
      <c r="AH46">
        <f>AH45+IF(AND($E46&lt;&gt;"",$E46&lt;=AH$2,$F46&gt;=AH$2),1,0)</f>
        <v/>
      </c>
      <c r="AI46">
        <f>AI45+IF(AND($E46&lt;&gt;"",$E46&lt;=AI$2,$F46&gt;=AI$2),1,0)</f>
        <v/>
      </c>
      <c r="AJ46">
        <f>AJ45+IF(AND($E46&lt;&gt;"",$E46&lt;=AJ$2,$F46&gt;=AJ$2),1,0)</f>
        <v/>
      </c>
      <c r="AK46">
        <f>AK45+IF(AND($E46&lt;&gt;"",$E46&lt;=AK$2,$F46&gt;=AK$2),1,0)</f>
        <v/>
      </c>
      <c r="AL46">
        <f>AL45+IF(AND($E46&lt;&gt;"",$E46&lt;=AL$2,$F46&gt;=AL$2),1,0)</f>
        <v/>
      </c>
      <c r="AM46">
        <f>AM45+IF(AND($E46&lt;&gt;"",$E46&lt;=AM$2,$F46&gt;=AM$2),1,0)</f>
        <v/>
      </c>
      <c r="AN46">
        <f>AN45+IF(AND($E46&lt;&gt;"",$E46&lt;=AN$2,$F46&gt;=AN$2),1,0)</f>
        <v/>
      </c>
      <c r="AO46">
        <f>AO45+IF(AND($E46&lt;&gt;"",$E46&lt;=AO$2,$F46&gt;=AO$2),1,0)</f>
        <v/>
      </c>
      <c r="AP46">
        <f>AP45+IF(AND($E46&lt;&gt;"",$E46&lt;=AP$2,$F46&gt;=AP$2),1,0)</f>
        <v/>
      </c>
      <c r="AQ46">
        <f>AQ45+IF(AND($E46&lt;&gt;"",$E46&lt;=AQ$2,$F46&gt;=AQ$2),1,0)</f>
        <v/>
      </c>
      <c r="AR46">
        <f>AR45+IF(AND($E46&lt;&gt;"",$E46&lt;=AR$2,$F46&gt;=AR$2),1,0)</f>
        <v/>
      </c>
      <c r="AS46">
        <f>AS45+IF(AND($E46&lt;&gt;"",$E46&lt;=AS$2,$F46&gt;=AS$2),1,0)</f>
        <v/>
      </c>
      <c r="AT46">
        <f>AT45+IF(AND($E46&lt;&gt;"",$E46&lt;=AT$2,$F46&gt;=AT$2),1,0)</f>
        <v/>
      </c>
      <c r="AU46">
        <f>AU45+IF(AND($E46&lt;&gt;"",$E46&lt;=AU$2,$F46&gt;=AU$2),1,0)</f>
        <v/>
      </c>
      <c r="AV46">
        <f>AV45+IF(AND($E46&lt;&gt;"",$E46&lt;=AV$2,$F46&gt;=AV$2),1,0)</f>
        <v/>
      </c>
      <c r="AW46">
        <f>AW45+IF(AND($E46&lt;&gt;"",$E46&lt;=AW$2,$F46&gt;=AW$2),1,0)</f>
        <v/>
      </c>
    </row>
    <row r="47">
      <c r="A47">
        <f>IF(AND(ISNUMBER(Events!$A49),ISNUMBER(Events!$B49)),MAX(0,Events!$B49-Events!$A49),0)</f>
        <v/>
      </c>
      <c r="B47">
        <f>IF(ISNUMBER(Events!$A49),DATE(YEAR($B$1)-1,MONTH(Events!$A49),DAY(Events!$A49)),"")</f>
        <v/>
      </c>
      <c r="C47">
        <f>IF(ISNUMBER(Events!$A49),DATE(YEAR($B$1),MONTH(Events!$A49),DAY(Events!$A49)),"")</f>
        <v/>
      </c>
      <c r="D47">
        <f>IF(ISNUMBER(Events!$A49),DATE(YEAR($B$2),MONTH(Events!$A49),DAY(Events!$A49)),"")</f>
        <v/>
      </c>
      <c r="E47">
        <f>IF(OR(NOT(ISNUMBER(Events!$A49)),Events!$G49="No",Calendar!$H$4="None"),"",IF(OR(Calendar!$H$4="All events",Events!$D49=Calendar!$H$4),IF(Events!$E49="Yes",IF(AND(B47&gt;=Events!$A49,B47&lt;=$B$2,B47+$A47&gt;=$B$1),B47,IF(AND(C47&gt;=Events!$A49,C47&lt;=$B$2,C47+$A47&gt;=$B$1),C47,IF(AND(D47&gt;=Events!$A49,D47&lt;=$B$2,D47+$A47&gt;=$B$1),D47,""))),IF(AND(Events!$A49&lt;=$B$2,Events!$A49+$A47&gt;=$B$1),Events!$A49,"")),""))</f>
        <v/>
      </c>
      <c r="F47">
        <f>IF(E47="","",E47+A47)</f>
        <v/>
      </c>
      <c r="G47">
        <f>IF(E47="","",IF(AND(E47&lt;=EOMONTH(Calendar!$K$2,0),F47&gt;=Calendar!$K$2),E47+44/100000,""))</f>
        <v/>
      </c>
      <c r="H47">
        <f>H46+IF(AND($E47&lt;&gt;"",$E47&lt;=H$2,$F47&gt;=H$2),1,0)</f>
        <v/>
      </c>
      <c r="I47">
        <f>I46+IF(AND($E47&lt;&gt;"",$E47&lt;=I$2,$F47&gt;=I$2),1,0)</f>
        <v/>
      </c>
      <c r="J47">
        <f>J46+IF(AND($E47&lt;&gt;"",$E47&lt;=J$2,$F47&gt;=J$2),1,0)</f>
        <v/>
      </c>
      <c r="K47">
        <f>K46+IF(AND($E47&lt;&gt;"",$E47&lt;=K$2,$F47&gt;=K$2),1,0)</f>
        <v/>
      </c>
      <c r="L47">
        <f>L46+IF(AND($E47&lt;&gt;"",$E47&lt;=L$2,$F47&gt;=L$2),1,0)</f>
        <v/>
      </c>
      <c r="M47">
        <f>M46+IF(AND($E47&lt;&gt;"",$E47&lt;=M$2,$F47&gt;=M$2),1,0)</f>
        <v/>
      </c>
      <c r="N47">
        <f>N46+IF(AND($E47&lt;&gt;"",$E47&lt;=N$2,$F47&gt;=N$2),1,0)</f>
        <v/>
      </c>
      <c r="O47">
        <f>O46+IF(AND($E47&lt;&gt;"",$E47&lt;=O$2,$F47&gt;=O$2),1,0)</f>
        <v/>
      </c>
      <c r="P47">
        <f>P46+IF(AND($E47&lt;&gt;"",$E47&lt;=P$2,$F47&gt;=P$2),1,0)</f>
        <v/>
      </c>
      <c r="Q47">
        <f>Q46+IF(AND($E47&lt;&gt;"",$E47&lt;=Q$2,$F47&gt;=Q$2),1,0)</f>
        <v/>
      </c>
      <c r="R47">
        <f>R46+IF(AND($E47&lt;&gt;"",$E47&lt;=R$2,$F47&gt;=R$2),1,0)</f>
        <v/>
      </c>
      <c r="S47">
        <f>S46+IF(AND($E47&lt;&gt;"",$E47&lt;=S$2,$F47&gt;=S$2),1,0)</f>
        <v/>
      </c>
      <c r="T47">
        <f>T46+IF(AND($E47&lt;&gt;"",$E47&lt;=T$2,$F47&gt;=T$2),1,0)</f>
        <v/>
      </c>
      <c r="U47">
        <f>U46+IF(AND($E47&lt;&gt;"",$E47&lt;=U$2,$F47&gt;=U$2),1,0)</f>
        <v/>
      </c>
      <c r="V47">
        <f>V46+IF(AND($E47&lt;&gt;"",$E47&lt;=V$2,$F47&gt;=V$2),1,0)</f>
        <v/>
      </c>
      <c r="W47">
        <f>W46+IF(AND($E47&lt;&gt;"",$E47&lt;=W$2,$F47&gt;=W$2),1,0)</f>
        <v/>
      </c>
      <c r="X47">
        <f>X46+IF(AND($E47&lt;&gt;"",$E47&lt;=X$2,$F47&gt;=X$2),1,0)</f>
        <v/>
      </c>
      <c r="Y47">
        <f>Y46+IF(AND($E47&lt;&gt;"",$E47&lt;=Y$2,$F47&gt;=Y$2),1,0)</f>
        <v/>
      </c>
      <c r="Z47">
        <f>Z46+IF(AND($E47&lt;&gt;"",$E47&lt;=Z$2,$F47&gt;=Z$2),1,0)</f>
        <v/>
      </c>
      <c r="AA47">
        <f>AA46+IF(AND($E47&lt;&gt;"",$E47&lt;=AA$2,$F47&gt;=AA$2),1,0)</f>
        <v/>
      </c>
      <c r="AB47">
        <f>AB46+IF(AND($E47&lt;&gt;"",$E47&lt;=AB$2,$F47&gt;=AB$2),1,0)</f>
        <v/>
      </c>
      <c r="AC47">
        <f>AC46+IF(AND($E47&lt;&gt;"",$E47&lt;=AC$2,$F47&gt;=AC$2),1,0)</f>
        <v/>
      </c>
      <c r="AD47">
        <f>AD46+IF(AND($E47&lt;&gt;"",$E47&lt;=AD$2,$F47&gt;=AD$2),1,0)</f>
        <v/>
      </c>
      <c r="AE47">
        <f>AE46+IF(AND($E47&lt;&gt;"",$E47&lt;=AE$2,$F47&gt;=AE$2),1,0)</f>
        <v/>
      </c>
      <c r="AF47">
        <f>AF46+IF(AND($E47&lt;&gt;"",$E47&lt;=AF$2,$F47&gt;=AF$2),1,0)</f>
        <v/>
      </c>
      <c r="AG47">
        <f>AG46+IF(AND($E47&lt;&gt;"",$E47&lt;=AG$2,$F47&gt;=AG$2),1,0)</f>
        <v/>
      </c>
      <c r="AH47">
        <f>AH46+IF(AND($E47&lt;&gt;"",$E47&lt;=AH$2,$F47&gt;=AH$2),1,0)</f>
        <v/>
      </c>
      <c r="AI47">
        <f>AI46+IF(AND($E47&lt;&gt;"",$E47&lt;=AI$2,$F47&gt;=AI$2),1,0)</f>
        <v/>
      </c>
      <c r="AJ47">
        <f>AJ46+IF(AND($E47&lt;&gt;"",$E47&lt;=AJ$2,$F47&gt;=AJ$2),1,0)</f>
        <v/>
      </c>
      <c r="AK47">
        <f>AK46+IF(AND($E47&lt;&gt;"",$E47&lt;=AK$2,$F47&gt;=AK$2),1,0)</f>
        <v/>
      </c>
      <c r="AL47">
        <f>AL46+IF(AND($E47&lt;&gt;"",$E47&lt;=AL$2,$F47&gt;=AL$2),1,0)</f>
        <v/>
      </c>
      <c r="AM47">
        <f>AM46+IF(AND($E47&lt;&gt;"",$E47&lt;=AM$2,$F47&gt;=AM$2),1,0)</f>
        <v/>
      </c>
      <c r="AN47">
        <f>AN46+IF(AND($E47&lt;&gt;"",$E47&lt;=AN$2,$F47&gt;=AN$2),1,0)</f>
        <v/>
      </c>
      <c r="AO47">
        <f>AO46+IF(AND($E47&lt;&gt;"",$E47&lt;=AO$2,$F47&gt;=AO$2),1,0)</f>
        <v/>
      </c>
      <c r="AP47">
        <f>AP46+IF(AND($E47&lt;&gt;"",$E47&lt;=AP$2,$F47&gt;=AP$2),1,0)</f>
        <v/>
      </c>
      <c r="AQ47">
        <f>AQ46+IF(AND($E47&lt;&gt;"",$E47&lt;=AQ$2,$F47&gt;=AQ$2),1,0)</f>
        <v/>
      </c>
      <c r="AR47">
        <f>AR46+IF(AND($E47&lt;&gt;"",$E47&lt;=AR$2,$F47&gt;=AR$2),1,0)</f>
        <v/>
      </c>
      <c r="AS47">
        <f>AS46+IF(AND($E47&lt;&gt;"",$E47&lt;=AS$2,$F47&gt;=AS$2),1,0)</f>
        <v/>
      </c>
      <c r="AT47">
        <f>AT46+IF(AND($E47&lt;&gt;"",$E47&lt;=AT$2,$F47&gt;=AT$2),1,0)</f>
        <v/>
      </c>
      <c r="AU47">
        <f>AU46+IF(AND($E47&lt;&gt;"",$E47&lt;=AU$2,$F47&gt;=AU$2),1,0)</f>
        <v/>
      </c>
      <c r="AV47">
        <f>AV46+IF(AND($E47&lt;&gt;"",$E47&lt;=AV$2,$F47&gt;=AV$2),1,0)</f>
        <v/>
      </c>
      <c r="AW47">
        <f>AW46+IF(AND($E47&lt;&gt;"",$E47&lt;=AW$2,$F47&gt;=AW$2),1,0)</f>
        <v/>
      </c>
    </row>
    <row r="48">
      <c r="A48">
        <f>IF(AND(ISNUMBER(Events!$A50),ISNUMBER(Events!$B50)),MAX(0,Events!$B50-Events!$A50),0)</f>
        <v/>
      </c>
      <c r="B48">
        <f>IF(ISNUMBER(Events!$A50),DATE(YEAR($B$1)-1,MONTH(Events!$A50),DAY(Events!$A50)),"")</f>
        <v/>
      </c>
      <c r="C48">
        <f>IF(ISNUMBER(Events!$A50),DATE(YEAR($B$1),MONTH(Events!$A50),DAY(Events!$A50)),"")</f>
        <v/>
      </c>
      <c r="D48">
        <f>IF(ISNUMBER(Events!$A50),DATE(YEAR($B$2),MONTH(Events!$A50),DAY(Events!$A50)),"")</f>
        <v/>
      </c>
      <c r="E48">
        <f>IF(OR(NOT(ISNUMBER(Events!$A50)),Events!$G50="No",Calendar!$H$4="None"),"",IF(OR(Calendar!$H$4="All events",Events!$D50=Calendar!$H$4),IF(Events!$E50="Yes",IF(AND(B48&gt;=Events!$A50,B48&lt;=$B$2,B48+$A48&gt;=$B$1),B48,IF(AND(C48&gt;=Events!$A50,C48&lt;=$B$2,C48+$A48&gt;=$B$1),C48,IF(AND(D48&gt;=Events!$A50,D48&lt;=$B$2,D48+$A48&gt;=$B$1),D48,""))),IF(AND(Events!$A50&lt;=$B$2,Events!$A50+$A48&gt;=$B$1),Events!$A50,"")),""))</f>
        <v/>
      </c>
      <c r="F48">
        <f>IF(E48="","",E48+A48)</f>
        <v/>
      </c>
      <c r="G48">
        <f>IF(E48="","",IF(AND(E48&lt;=EOMONTH(Calendar!$K$2,0),F48&gt;=Calendar!$K$2),E48+45/100000,""))</f>
        <v/>
      </c>
      <c r="H48">
        <f>H47+IF(AND($E48&lt;&gt;"",$E48&lt;=H$2,$F48&gt;=H$2),1,0)</f>
        <v/>
      </c>
      <c r="I48">
        <f>I47+IF(AND($E48&lt;&gt;"",$E48&lt;=I$2,$F48&gt;=I$2),1,0)</f>
        <v/>
      </c>
      <c r="J48">
        <f>J47+IF(AND($E48&lt;&gt;"",$E48&lt;=J$2,$F48&gt;=J$2),1,0)</f>
        <v/>
      </c>
      <c r="K48">
        <f>K47+IF(AND($E48&lt;&gt;"",$E48&lt;=K$2,$F48&gt;=K$2),1,0)</f>
        <v/>
      </c>
      <c r="L48">
        <f>L47+IF(AND($E48&lt;&gt;"",$E48&lt;=L$2,$F48&gt;=L$2),1,0)</f>
        <v/>
      </c>
      <c r="M48">
        <f>M47+IF(AND($E48&lt;&gt;"",$E48&lt;=M$2,$F48&gt;=M$2),1,0)</f>
        <v/>
      </c>
      <c r="N48">
        <f>N47+IF(AND($E48&lt;&gt;"",$E48&lt;=N$2,$F48&gt;=N$2),1,0)</f>
        <v/>
      </c>
      <c r="O48">
        <f>O47+IF(AND($E48&lt;&gt;"",$E48&lt;=O$2,$F48&gt;=O$2),1,0)</f>
        <v/>
      </c>
      <c r="P48">
        <f>P47+IF(AND($E48&lt;&gt;"",$E48&lt;=P$2,$F48&gt;=P$2),1,0)</f>
        <v/>
      </c>
      <c r="Q48">
        <f>Q47+IF(AND($E48&lt;&gt;"",$E48&lt;=Q$2,$F48&gt;=Q$2),1,0)</f>
        <v/>
      </c>
      <c r="R48">
        <f>R47+IF(AND($E48&lt;&gt;"",$E48&lt;=R$2,$F48&gt;=R$2),1,0)</f>
        <v/>
      </c>
      <c r="S48">
        <f>S47+IF(AND($E48&lt;&gt;"",$E48&lt;=S$2,$F48&gt;=S$2),1,0)</f>
        <v/>
      </c>
      <c r="T48">
        <f>T47+IF(AND($E48&lt;&gt;"",$E48&lt;=T$2,$F48&gt;=T$2),1,0)</f>
        <v/>
      </c>
      <c r="U48">
        <f>U47+IF(AND($E48&lt;&gt;"",$E48&lt;=U$2,$F48&gt;=U$2),1,0)</f>
        <v/>
      </c>
      <c r="V48">
        <f>V47+IF(AND($E48&lt;&gt;"",$E48&lt;=V$2,$F48&gt;=V$2),1,0)</f>
        <v/>
      </c>
      <c r="W48">
        <f>W47+IF(AND($E48&lt;&gt;"",$E48&lt;=W$2,$F48&gt;=W$2),1,0)</f>
        <v/>
      </c>
      <c r="X48">
        <f>X47+IF(AND($E48&lt;&gt;"",$E48&lt;=X$2,$F48&gt;=X$2),1,0)</f>
        <v/>
      </c>
      <c r="Y48">
        <f>Y47+IF(AND($E48&lt;&gt;"",$E48&lt;=Y$2,$F48&gt;=Y$2),1,0)</f>
        <v/>
      </c>
      <c r="Z48">
        <f>Z47+IF(AND($E48&lt;&gt;"",$E48&lt;=Z$2,$F48&gt;=Z$2),1,0)</f>
        <v/>
      </c>
      <c r="AA48">
        <f>AA47+IF(AND($E48&lt;&gt;"",$E48&lt;=AA$2,$F48&gt;=AA$2),1,0)</f>
        <v/>
      </c>
      <c r="AB48">
        <f>AB47+IF(AND($E48&lt;&gt;"",$E48&lt;=AB$2,$F48&gt;=AB$2),1,0)</f>
        <v/>
      </c>
      <c r="AC48">
        <f>AC47+IF(AND($E48&lt;&gt;"",$E48&lt;=AC$2,$F48&gt;=AC$2),1,0)</f>
        <v/>
      </c>
      <c r="AD48">
        <f>AD47+IF(AND($E48&lt;&gt;"",$E48&lt;=AD$2,$F48&gt;=AD$2),1,0)</f>
        <v/>
      </c>
      <c r="AE48">
        <f>AE47+IF(AND($E48&lt;&gt;"",$E48&lt;=AE$2,$F48&gt;=AE$2),1,0)</f>
        <v/>
      </c>
      <c r="AF48">
        <f>AF47+IF(AND($E48&lt;&gt;"",$E48&lt;=AF$2,$F48&gt;=AF$2),1,0)</f>
        <v/>
      </c>
      <c r="AG48">
        <f>AG47+IF(AND($E48&lt;&gt;"",$E48&lt;=AG$2,$F48&gt;=AG$2),1,0)</f>
        <v/>
      </c>
      <c r="AH48">
        <f>AH47+IF(AND($E48&lt;&gt;"",$E48&lt;=AH$2,$F48&gt;=AH$2),1,0)</f>
        <v/>
      </c>
      <c r="AI48">
        <f>AI47+IF(AND($E48&lt;&gt;"",$E48&lt;=AI$2,$F48&gt;=AI$2),1,0)</f>
        <v/>
      </c>
      <c r="AJ48">
        <f>AJ47+IF(AND($E48&lt;&gt;"",$E48&lt;=AJ$2,$F48&gt;=AJ$2),1,0)</f>
        <v/>
      </c>
      <c r="AK48">
        <f>AK47+IF(AND($E48&lt;&gt;"",$E48&lt;=AK$2,$F48&gt;=AK$2),1,0)</f>
        <v/>
      </c>
      <c r="AL48">
        <f>AL47+IF(AND($E48&lt;&gt;"",$E48&lt;=AL$2,$F48&gt;=AL$2),1,0)</f>
        <v/>
      </c>
      <c r="AM48">
        <f>AM47+IF(AND($E48&lt;&gt;"",$E48&lt;=AM$2,$F48&gt;=AM$2),1,0)</f>
        <v/>
      </c>
      <c r="AN48">
        <f>AN47+IF(AND($E48&lt;&gt;"",$E48&lt;=AN$2,$F48&gt;=AN$2),1,0)</f>
        <v/>
      </c>
      <c r="AO48">
        <f>AO47+IF(AND($E48&lt;&gt;"",$E48&lt;=AO$2,$F48&gt;=AO$2),1,0)</f>
        <v/>
      </c>
      <c r="AP48">
        <f>AP47+IF(AND($E48&lt;&gt;"",$E48&lt;=AP$2,$F48&gt;=AP$2),1,0)</f>
        <v/>
      </c>
      <c r="AQ48">
        <f>AQ47+IF(AND($E48&lt;&gt;"",$E48&lt;=AQ$2,$F48&gt;=AQ$2),1,0)</f>
        <v/>
      </c>
      <c r="AR48">
        <f>AR47+IF(AND($E48&lt;&gt;"",$E48&lt;=AR$2,$F48&gt;=AR$2),1,0)</f>
        <v/>
      </c>
      <c r="AS48">
        <f>AS47+IF(AND($E48&lt;&gt;"",$E48&lt;=AS$2,$F48&gt;=AS$2),1,0)</f>
        <v/>
      </c>
      <c r="AT48">
        <f>AT47+IF(AND($E48&lt;&gt;"",$E48&lt;=AT$2,$F48&gt;=AT$2),1,0)</f>
        <v/>
      </c>
      <c r="AU48">
        <f>AU47+IF(AND($E48&lt;&gt;"",$E48&lt;=AU$2,$F48&gt;=AU$2),1,0)</f>
        <v/>
      </c>
      <c r="AV48">
        <f>AV47+IF(AND($E48&lt;&gt;"",$E48&lt;=AV$2,$F48&gt;=AV$2),1,0)</f>
        <v/>
      </c>
      <c r="AW48">
        <f>AW47+IF(AND($E48&lt;&gt;"",$E48&lt;=AW$2,$F48&gt;=AW$2),1,0)</f>
        <v/>
      </c>
    </row>
    <row r="49">
      <c r="A49">
        <f>IF(AND(ISNUMBER(Events!$A51),ISNUMBER(Events!$B51)),MAX(0,Events!$B51-Events!$A51),0)</f>
        <v/>
      </c>
      <c r="B49">
        <f>IF(ISNUMBER(Events!$A51),DATE(YEAR($B$1)-1,MONTH(Events!$A51),DAY(Events!$A51)),"")</f>
        <v/>
      </c>
      <c r="C49">
        <f>IF(ISNUMBER(Events!$A51),DATE(YEAR($B$1),MONTH(Events!$A51),DAY(Events!$A51)),"")</f>
        <v/>
      </c>
      <c r="D49">
        <f>IF(ISNUMBER(Events!$A51),DATE(YEAR($B$2),MONTH(Events!$A51),DAY(Events!$A51)),"")</f>
        <v/>
      </c>
      <c r="E49">
        <f>IF(OR(NOT(ISNUMBER(Events!$A51)),Events!$G51="No",Calendar!$H$4="None"),"",IF(OR(Calendar!$H$4="All events",Events!$D51=Calendar!$H$4),IF(Events!$E51="Yes",IF(AND(B49&gt;=Events!$A51,B49&lt;=$B$2,B49+$A49&gt;=$B$1),B49,IF(AND(C49&gt;=Events!$A51,C49&lt;=$B$2,C49+$A49&gt;=$B$1),C49,IF(AND(D49&gt;=Events!$A51,D49&lt;=$B$2,D49+$A49&gt;=$B$1),D49,""))),IF(AND(Events!$A51&lt;=$B$2,Events!$A51+$A49&gt;=$B$1),Events!$A51,"")),""))</f>
        <v/>
      </c>
      <c r="F49">
        <f>IF(E49="","",E49+A49)</f>
        <v/>
      </c>
      <c r="G49">
        <f>IF(E49="","",IF(AND(E49&lt;=EOMONTH(Calendar!$K$2,0),F49&gt;=Calendar!$K$2),E49+46/100000,""))</f>
        <v/>
      </c>
      <c r="H49">
        <f>H48+IF(AND($E49&lt;&gt;"",$E49&lt;=H$2,$F49&gt;=H$2),1,0)</f>
        <v/>
      </c>
      <c r="I49">
        <f>I48+IF(AND($E49&lt;&gt;"",$E49&lt;=I$2,$F49&gt;=I$2),1,0)</f>
        <v/>
      </c>
      <c r="J49">
        <f>J48+IF(AND($E49&lt;&gt;"",$E49&lt;=J$2,$F49&gt;=J$2),1,0)</f>
        <v/>
      </c>
      <c r="K49">
        <f>K48+IF(AND($E49&lt;&gt;"",$E49&lt;=K$2,$F49&gt;=K$2),1,0)</f>
        <v/>
      </c>
      <c r="L49">
        <f>L48+IF(AND($E49&lt;&gt;"",$E49&lt;=L$2,$F49&gt;=L$2),1,0)</f>
        <v/>
      </c>
      <c r="M49">
        <f>M48+IF(AND($E49&lt;&gt;"",$E49&lt;=M$2,$F49&gt;=M$2),1,0)</f>
        <v/>
      </c>
      <c r="N49">
        <f>N48+IF(AND($E49&lt;&gt;"",$E49&lt;=N$2,$F49&gt;=N$2),1,0)</f>
        <v/>
      </c>
      <c r="O49">
        <f>O48+IF(AND($E49&lt;&gt;"",$E49&lt;=O$2,$F49&gt;=O$2),1,0)</f>
        <v/>
      </c>
      <c r="P49">
        <f>P48+IF(AND($E49&lt;&gt;"",$E49&lt;=P$2,$F49&gt;=P$2),1,0)</f>
        <v/>
      </c>
      <c r="Q49">
        <f>Q48+IF(AND($E49&lt;&gt;"",$E49&lt;=Q$2,$F49&gt;=Q$2),1,0)</f>
        <v/>
      </c>
      <c r="R49">
        <f>R48+IF(AND($E49&lt;&gt;"",$E49&lt;=R$2,$F49&gt;=R$2),1,0)</f>
        <v/>
      </c>
      <c r="S49">
        <f>S48+IF(AND($E49&lt;&gt;"",$E49&lt;=S$2,$F49&gt;=S$2),1,0)</f>
        <v/>
      </c>
      <c r="T49">
        <f>T48+IF(AND($E49&lt;&gt;"",$E49&lt;=T$2,$F49&gt;=T$2),1,0)</f>
        <v/>
      </c>
      <c r="U49">
        <f>U48+IF(AND($E49&lt;&gt;"",$E49&lt;=U$2,$F49&gt;=U$2),1,0)</f>
        <v/>
      </c>
      <c r="V49">
        <f>V48+IF(AND($E49&lt;&gt;"",$E49&lt;=V$2,$F49&gt;=V$2),1,0)</f>
        <v/>
      </c>
      <c r="W49">
        <f>W48+IF(AND($E49&lt;&gt;"",$E49&lt;=W$2,$F49&gt;=W$2),1,0)</f>
        <v/>
      </c>
      <c r="X49">
        <f>X48+IF(AND($E49&lt;&gt;"",$E49&lt;=X$2,$F49&gt;=X$2),1,0)</f>
        <v/>
      </c>
      <c r="Y49">
        <f>Y48+IF(AND($E49&lt;&gt;"",$E49&lt;=Y$2,$F49&gt;=Y$2),1,0)</f>
        <v/>
      </c>
      <c r="Z49">
        <f>Z48+IF(AND($E49&lt;&gt;"",$E49&lt;=Z$2,$F49&gt;=Z$2),1,0)</f>
        <v/>
      </c>
      <c r="AA49">
        <f>AA48+IF(AND($E49&lt;&gt;"",$E49&lt;=AA$2,$F49&gt;=AA$2),1,0)</f>
        <v/>
      </c>
      <c r="AB49">
        <f>AB48+IF(AND($E49&lt;&gt;"",$E49&lt;=AB$2,$F49&gt;=AB$2),1,0)</f>
        <v/>
      </c>
      <c r="AC49">
        <f>AC48+IF(AND($E49&lt;&gt;"",$E49&lt;=AC$2,$F49&gt;=AC$2),1,0)</f>
        <v/>
      </c>
      <c r="AD49">
        <f>AD48+IF(AND($E49&lt;&gt;"",$E49&lt;=AD$2,$F49&gt;=AD$2),1,0)</f>
        <v/>
      </c>
      <c r="AE49">
        <f>AE48+IF(AND($E49&lt;&gt;"",$E49&lt;=AE$2,$F49&gt;=AE$2),1,0)</f>
        <v/>
      </c>
      <c r="AF49">
        <f>AF48+IF(AND($E49&lt;&gt;"",$E49&lt;=AF$2,$F49&gt;=AF$2),1,0)</f>
        <v/>
      </c>
      <c r="AG49">
        <f>AG48+IF(AND($E49&lt;&gt;"",$E49&lt;=AG$2,$F49&gt;=AG$2),1,0)</f>
        <v/>
      </c>
      <c r="AH49">
        <f>AH48+IF(AND($E49&lt;&gt;"",$E49&lt;=AH$2,$F49&gt;=AH$2),1,0)</f>
        <v/>
      </c>
      <c r="AI49">
        <f>AI48+IF(AND($E49&lt;&gt;"",$E49&lt;=AI$2,$F49&gt;=AI$2),1,0)</f>
        <v/>
      </c>
      <c r="AJ49">
        <f>AJ48+IF(AND($E49&lt;&gt;"",$E49&lt;=AJ$2,$F49&gt;=AJ$2),1,0)</f>
        <v/>
      </c>
      <c r="AK49">
        <f>AK48+IF(AND($E49&lt;&gt;"",$E49&lt;=AK$2,$F49&gt;=AK$2),1,0)</f>
        <v/>
      </c>
      <c r="AL49">
        <f>AL48+IF(AND($E49&lt;&gt;"",$E49&lt;=AL$2,$F49&gt;=AL$2),1,0)</f>
        <v/>
      </c>
      <c r="AM49">
        <f>AM48+IF(AND($E49&lt;&gt;"",$E49&lt;=AM$2,$F49&gt;=AM$2),1,0)</f>
        <v/>
      </c>
      <c r="AN49">
        <f>AN48+IF(AND($E49&lt;&gt;"",$E49&lt;=AN$2,$F49&gt;=AN$2),1,0)</f>
        <v/>
      </c>
      <c r="AO49">
        <f>AO48+IF(AND($E49&lt;&gt;"",$E49&lt;=AO$2,$F49&gt;=AO$2),1,0)</f>
        <v/>
      </c>
      <c r="AP49">
        <f>AP48+IF(AND($E49&lt;&gt;"",$E49&lt;=AP$2,$F49&gt;=AP$2),1,0)</f>
        <v/>
      </c>
      <c r="AQ49">
        <f>AQ48+IF(AND($E49&lt;&gt;"",$E49&lt;=AQ$2,$F49&gt;=AQ$2),1,0)</f>
        <v/>
      </c>
      <c r="AR49">
        <f>AR48+IF(AND($E49&lt;&gt;"",$E49&lt;=AR$2,$F49&gt;=AR$2),1,0)</f>
        <v/>
      </c>
      <c r="AS49">
        <f>AS48+IF(AND($E49&lt;&gt;"",$E49&lt;=AS$2,$F49&gt;=AS$2),1,0)</f>
        <v/>
      </c>
      <c r="AT49">
        <f>AT48+IF(AND($E49&lt;&gt;"",$E49&lt;=AT$2,$F49&gt;=AT$2),1,0)</f>
        <v/>
      </c>
      <c r="AU49">
        <f>AU48+IF(AND($E49&lt;&gt;"",$E49&lt;=AU$2,$F49&gt;=AU$2),1,0)</f>
        <v/>
      </c>
      <c r="AV49">
        <f>AV48+IF(AND($E49&lt;&gt;"",$E49&lt;=AV$2,$F49&gt;=AV$2),1,0)</f>
        <v/>
      </c>
      <c r="AW49">
        <f>AW48+IF(AND($E49&lt;&gt;"",$E49&lt;=AW$2,$F49&gt;=AW$2),1,0)</f>
        <v/>
      </c>
    </row>
    <row r="50">
      <c r="A50">
        <f>IF(AND(ISNUMBER(Events!$A52),ISNUMBER(Events!$B52)),MAX(0,Events!$B52-Events!$A52),0)</f>
        <v/>
      </c>
      <c r="B50">
        <f>IF(ISNUMBER(Events!$A52),DATE(YEAR($B$1)-1,MONTH(Events!$A52),DAY(Events!$A52)),"")</f>
        <v/>
      </c>
      <c r="C50">
        <f>IF(ISNUMBER(Events!$A52),DATE(YEAR($B$1),MONTH(Events!$A52),DAY(Events!$A52)),"")</f>
        <v/>
      </c>
      <c r="D50">
        <f>IF(ISNUMBER(Events!$A52),DATE(YEAR($B$2),MONTH(Events!$A52),DAY(Events!$A52)),"")</f>
        <v/>
      </c>
      <c r="E50">
        <f>IF(OR(NOT(ISNUMBER(Events!$A52)),Events!$G52="No",Calendar!$H$4="None"),"",IF(OR(Calendar!$H$4="All events",Events!$D52=Calendar!$H$4),IF(Events!$E52="Yes",IF(AND(B50&gt;=Events!$A52,B50&lt;=$B$2,B50+$A50&gt;=$B$1),B50,IF(AND(C50&gt;=Events!$A52,C50&lt;=$B$2,C50+$A50&gt;=$B$1),C50,IF(AND(D50&gt;=Events!$A52,D50&lt;=$B$2,D50+$A50&gt;=$B$1),D50,""))),IF(AND(Events!$A52&lt;=$B$2,Events!$A52+$A50&gt;=$B$1),Events!$A52,"")),""))</f>
        <v/>
      </c>
      <c r="F50">
        <f>IF(E50="","",E50+A50)</f>
        <v/>
      </c>
      <c r="G50">
        <f>IF(E50="","",IF(AND(E50&lt;=EOMONTH(Calendar!$K$2,0),F50&gt;=Calendar!$K$2),E50+47/100000,""))</f>
        <v/>
      </c>
      <c r="H50">
        <f>H49+IF(AND($E50&lt;&gt;"",$E50&lt;=H$2,$F50&gt;=H$2),1,0)</f>
        <v/>
      </c>
      <c r="I50">
        <f>I49+IF(AND($E50&lt;&gt;"",$E50&lt;=I$2,$F50&gt;=I$2),1,0)</f>
        <v/>
      </c>
      <c r="J50">
        <f>J49+IF(AND($E50&lt;&gt;"",$E50&lt;=J$2,$F50&gt;=J$2),1,0)</f>
        <v/>
      </c>
      <c r="K50">
        <f>K49+IF(AND($E50&lt;&gt;"",$E50&lt;=K$2,$F50&gt;=K$2),1,0)</f>
        <v/>
      </c>
      <c r="L50">
        <f>L49+IF(AND($E50&lt;&gt;"",$E50&lt;=L$2,$F50&gt;=L$2),1,0)</f>
        <v/>
      </c>
      <c r="M50">
        <f>M49+IF(AND($E50&lt;&gt;"",$E50&lt;=M$2,$F50&gt;=M$2),1,0)</f>
        <v/>
      </c>
      <c r="N50">
        <f>N49+IF(AND($E50&lt;&gt;"",$E50&lt;=N$2,$F50&gt;=N$2),1,0)</f>
        <v/>
      </c>
      <c r="O50">
        <f>O49+IF(AND($E50&lt;&gt;"",$E50&lt;=O$2,$F50&gt;=O$2),1,0)</f>
        <v/>
      </c>
      <c r="P50">
        <f>P49+IF(AND($E50&lt;&gt;"",$E50&lt;=P$2,$F50&gt;=P$2),1,0)</f>
        <v/>
      </c>
      <c r="Q50">
        <f>Q49+IF(AND($E50&lt;&gt;"",$E50&lt;=Q$2,$F50&gt;=Q$2),1,0)</f>
        <v/>
      </c>
      <c r="R50">
        <f>R49+IF(AND($E50&lt;&gt;"",$E50&lt;=R$2,$F50&gt;=R$2),1,0)</f>
        <v/>
      </c>
      <c r="S50">
        <f>S49+IF(AND($E50&lt;&gt;"",$E50&lt;=S$2,$F50&gt;=S$2),1,0)</f>
        <v/>
      </c>
      <c r="T50">
        <f>T49+IF(AND($E50&lt;&gt;"",$E50&lt;=T$2,$F50&gt;=T$2),1,0)</f>
        <v/>
      </c>
      <c r="U50">
        <f>U49+IF(AND($E50&lt;&gt;"",$E50&lt;=U$2,$F50&gt;=U$2),1,0)</f>
        <v/>
      </c>
      <c r="V50">
        <f>V49+IF(AND($E50&lt;&gt;"",$E50&lt;=V$2,$F50&gt;=V$2),1,0)</f>
        <v/>
      </c>
      <c r="W50">
        <f>W49+IF(AND($E50&lt;&gt;"",$E50&lt;=W$2,$F50&gt;=W$2),1,0)</f>
        <v/>
      </c>
      <c r="X50">
        <f>X49+IF(AND($E50&lt;&gt;"",$E50&lt;=X$2,$F50&gt;=X$2),1,0)</f>
        <v/>
      </c>
      <c r="Y50">
        <f>Y49+IF(AND($E50&lt;&gt;"",$E50&lt;=Y$2,$F50&gt;=Y$2),1,0)</f>
        <v/>
      </c>
      <c r="Z50">
        <f>Z49+IF(AND($E50&lt;&gt;"",$E50&lt;=Z$2,$F50&gt;=Z$2),1,0)</f>
        <v/>
      </c>
      <c r="AA50">
        <f>AA49+IF(AND($E50&lt;&gt;"",$E50&lt;=AA$2,$F50&gt;=AA$2),1,0)</f>
        <v/>
      </c>
      <c r="AB50">
        <f>AB49+IF(AND($E50&lt;&gt;"",$E50&lt;=AB$2,$F50&gt;=AB$2),1,0)</f>
        <v/>
      </c>
      <c r="AC50">
        <f>AC49+IF(AND($E50&lt;&gt;"",$E50&lt;=AC$2,$F50&gt;=AC$2),1,0)</f>
        <v/>
      </c>
      <c r="AD50">
        <f>AD49+IF(AND($E50&lt;&gt;"",$E50&lt;=AD$2,$F50&gt;=AD$2),1,0)</f>
        <v/>
      </c>
      <c r="AE50">
        <f>AE49+IF(AND($E50&lt;&gt;"",$E50&lt;=AE$2,$F50&gt;=AE$2),1,0)</f>
        <v/>
      </c>
      <c r="AF50">
        <f>AF49+IF(AND($E50&lt;&gt;"",$E50&lt;=AF$2,$F50&gt;=AF$2),1,0)</f>
        <v/>
      </c>
      <c r="AG50">
        <f>AG49+IF(AND($E50&lt;&gt;"",$E50&lt;=AG$2,$F50&gt;=AG$2),1,0)</f>
        <v/>
      </c>
      <c r="AH50">
        <f>AH49+IF(AND($E50&lt;&gt;"",$E50&lt;=AH$2,$F50&gt;=AH$2),1,0)</f>
        <v/>
      </c>
      <c r="AI50">
        <f>AI49+IF(AND($E50&lt;&gt;"",$E50&lt;=AI$2,$F50&gt;=AI$2),1,0)</f>
        <v/>
      </c>
      <c r="AJ50">
        <f>AJ49+IF(AND($E50&lt;&gt;"",$E50&lt;=AJ$2,$F50&gt;=AJ$2),1,0)</f>
        <v/>
      </c>
      <c r="AK50">
        <f>AK49+IF(AND($E50&lt;&gt;"",$E50&lt;=AK$2,$F50&gt;=AK$2),1,0)</f>
        <v/>
      </c>
      <c r="AL50">
        <f>AL49+IF(AND($E50&lt;&gt;"",$E50&lt;=AL$2,$F50&gt;=AL$2),1,0)</f>
        <v/>
      </c>
      <c r="AM50">
        <f>AM49+IF(AND($E50&lt;&gt;"",$E50&lt;=AM$2,$F50&gt;=AM$2),1,0)</f>
        <v/>
      </c>
      <c r="AN50">
        <f>AN49+IF(AND($E50&lt;&gt;"",$E50&lt;=AN$2,$F50&gt;=AN$2),1,0)</f>
        <v/>
      </c>
      <c r="AO50">
        <f>AO49+IF(AND($E50&lt;&gt;"",$E50&lt;=AO$2,$F50&gt;=AO$2),1,0)</f>
        <v/>
      </c>
      <c r="AP50">
        <f>AP49+IF(AND($E50&lt;&gt;"",$E50&lt;=AP$2,$F50&gt;=AP$2),1,0)</f>
        <v/>
      </c>
      <c r="AQ50">
        <f>AQ49+IF(AND($E50&lt;&gt;"",$E50&lt;=AQ$2,$F50&gt;=AQ$2),1,0)</f>
        <v/>
      </c>
      <c r="AR50">
        <f>AR49+IF(AND($E50&lt;&gt;"",$E50&lt;=AR$2,$F50&gt;=AR$2),1,0)</f>
        <v/>
      </c>
      <c r="AS50">
        <f>AS49+IF(AND($E50&lt;&gt;"",$E50&lt;=AS$2,$F50&gt;=AS$2),1,0)</f>
        <v/>
      </c>
      <c r="AT50">
        <f>AT49+IF(AND($E50&lt;&gt;"",$E50&lt;=AT$2,$F50&gt;=AT$2),1,0)</f>
        <v/>
      </c>
      <c r="AU50">
        <f>AU49+IF(AND($E50&lt;&gt;"",$E50&lt;=AU$2,$F50&gt;=AU$2),1,0)</f>
        <v/>
      </c>
      <c r="AV50">
        <f>AV49+IF(AND($E50&lt;&gt;"",$E50&lt;=AV$2,$F50&gt;=AV$2),1,0)</f>
        <v/>
      </c>
      <c r="AW50">
        <f>AW49+IF(AND($E50&lt;&gt;"",$E50&lt;=AW$2,$F50&gt;=AW$2),1,0)</f>
        <v/>
      </c>
    </row>
    <row r="51">
      <c r="A51">
        <f>IF(AND(ISNUMBER(Events!$A53),ISNUMBER(Events!$B53)),MAX(0,Events!$B53-Events!$A53),0)</f>
        <v/>
      </c>
      <c r="B51">
        <f>IF(ISNUMBER(Events!$A53),DATE(YEAR($B$1)-1,MONTH(Events!$A53),DAY(Events!$A53)),"")</f>
        <v/>
      </c>
      <c r="C51">
        <f>IF(ISNUMBER(Events!$A53),DATE(YEAR($B$1),MONTH(Events!$A53),DAY(Events!$A53)),"")</f>
        <v/>
      </c>
      <c r="D51">
        <f>IF(ISNUMBER(Events!$A53),DATE(YEAR($B$2),MONTH(Events!$A53),DAY(Events!$A53)),"")</f>
        <v/>
      </c>
      <c r="E51">
        <f>IF(OR(NOT(ISNUMBER(Events!$A53)),Events!$G53="No",Calendar!$H$4="None"),"",IF(OR(Calendar!$H$4="All events",Events!$D53=Calendar!$H$4),IF(Events!$E53="Yes",IF(AND(B51&gt;=Events!$A53,B51&lt;=$B$2,B51+$A51&gt;=$B$1),B51,IF(AND(C51&gt;=Events!$A53,C51&lt;=$B$2,C51+$A51&gt;=$B$1),C51,IF(AND(D51&gt;=Events!$A53,D51&lt;=$B$2,D51+$A51&gt;=$B$1),D51,""))),IF(AND(Events!$A53&lt;=$B$2,Events!$A53+$A51&gt;=$B$1),Events!$A53,"")),""))</f>
        <v/>
      </c>
      <c r="F51">
        <f>IF(E51="","",E51+A51)</f>
        <v/>
      </c>
      <c r="G51">
        <f>IF(E51="","",IF(AND(E51&lt;=EOMONTH(Calendar!$K$2,0),F51&gt;=Calendar!$K$2),E51+48/100000,""))</f>
        <v/>
      </c>
      <c r="H51">
        <f>H50+IF(AND($E51&lt;&gt;"",$E51&lt;=H$2,$F51&gt;=H$2),1,0)</f>
        <v/>
      </c>
      <c r="I51">
        <f>I50+IF(AND($E51&lt;&gt;"",$E51&lt;=I$2,$F51&gt;=I$2),1,0)</f>
        <v/>
      </c>
      <c r="J51">
        <f>J50+IF(AND($E51&lt;&gt;"",$E51&lt;=J$2,$F51&gt;=J$2),1,0)</f>
        <v/>
      </c>
      <c r="K51">
        <f>K50+IF(AND($E51&lt;&gt;"",$E51&lt;=K$2,$F51&gt;=K$2),1,0)</f>
        <v/>
      </c>
      <c r="L51">
        <f>L50+IF(AND($E51&lt;&gt;"",$E51&lt;=L$2,$F51&gt;=L$2),1,0)</f>
        <v/>
      </c>
      <c r="M51">
        <f>M50+IF(AND($E51&lt;&gt;"",$E51&lt;=M$2,$F51&gt;=M$2),1,0)</f>
        <v/>
      </c>
      <c r="N51">
        <f>N50+IF(AND($E51&lt;&gt;"",$E51&lt;=N$2,$F51&gt;=N$2),1,0)</f>
        <v/>
      </c>
      <c r="O51">
        <f>O50+IF(AND($E51&lt;&gt;"",$E51&lt;=O$2,$F51&gt;=O$2),1,0)</f>
        <v/>
      </c>
      <c r="P51">
        <f>P50+IF(AND($E51&lt;&gt;"",$E51&lt;=P$2,$F51&gt;=P$2),1,0)</f>
        <v/>
      </c>
      <c r="Q51">
        <f>Q50+IF(AND($E51&lt;&gt;"",$E51&lt;=Q$2,$F51&gt;=Q$2),1,0)</f>
        <v/>
      </c>
      <c r="R51">
        <f>R50+IF(AND($E51&lt;&gt;"",$E51&lt;=R$2,$F51&gt;=R$2),1,0)</f>
        <v/>
      </c>
      <c r="S51">
        <f>S50+IF(AND($E51&lt;&gt;"",$E51&lt;=S$2,$F51&gt;=S$2),1,0)</f>
        <v/>
      </c>
      <c r="T51">
        <f>T50+IF(AND($E51&lt;&gt;"",$E51&lt;=T$2,$F51&gt;=T$2),1,0)</f>
        <v/>
      </c>
      <c r="U51">
        <f>U50+IF(AND($E51&lt;&gt;"",$E51&lt;=U$2,$F51&gt;=U$2),1,0)</f>
        <v/>
      </c>
      <c r="V51">
        <f>V50+IF(AND($E51&lt;&gt;"",$E51&lt;=V$2,$F51&gt;=V$2),1,0)</f>
        <v/>
      </c>
      <c r="W51">
        <f>W50+IF(AND($E51&lt;&gt;"",$E51&lt;=W$2,$F51&gt;=W$2),1,0)</f>
        <v/>
      </c>
      <c r="X51">
        <f>X50+IF(AND($E51&lt;&gt;"",$E51&lt;=X$2,$F51&gt;=X$2),1,0)</f>
        <v/>
      </c>
      <c r="Y51">
        <f>Y50+IF(AND($E51&lt;&gt;"",$E51&lt;=Y$2,$F51&gt;=Y$2),1,0)</f>
        <v/>
      </c>
      <c r="Z51">
        <f>Z50+IF(AND($E51&lt;&gt;"",$E51&lt;=Z$2,$F51&gt;=Z$2),1,0)</f>
        <v/>
      </c>
      <c r="AA51">
        <f>AA50+IF(AND($E51&lt;&gt;"",$E51&lt;=AA$2,$F51&gt;=AA$2),1,0)</f>
        <v/>
      </c>
      <c r="AB51">
        <f>AB50+IF(AND($E51&lt;&gt;"",$E51&lt;=AB$2,$F51&gt;=AB$2),1,0)</f>
        <v/>
      </c>
      <c r="AC51">
        <f>AC50+IF(AND($E51&lt;&gt;"",$E51&lt;=AC$2,$F51&gt;=AC$2),1,0)</f>
        <v/>
      </c>
      <c r="AD51">
        <f>AD50+IF(AND($E51&lt;&gt;"",$E51&lt;=AD$2,$F51&gt;=AD$2),1,0)</f>
        <v/>
      </c>
      <c r="AE51">
        <f>AE50+IF(AND($E51&lt;&gt;"",$E51&lt;=AE$2,$F51&gt;=AE$2),1,0)</f>
        <v/>
      </c>
      <c r="AF51">
        <f>AF50+IF(AND($E51&lt;&gt;"",$E51&lt;=AF$2,$F51&gt;=AF$2),1,0)</f>
        <v/>
      </c>
      <c r="AG51">
        <f>AG50+IF(AND($E51&lt;&gt;"",$E51&lt;=AG$2,$F51&gt;=AG$2),1,0)</f>
        <v/>
      </c>
      <c r="AH51">
        <f>AH50+IF(AND($E51&lt;&gt;"",$E51&lt;=AH$2,$F51&gt;=AH$2),1,0)</f>
        <v/>
      </c>
      <c r="AI51">
        <f>AI50+IF(AND($E51&lt;&gt;"",$E51&lt;=AI$2,$F51&gt;=AI$2),1,0)</f>
        <v/>
      </c>
      <c r="AJ51">
        <f>AJ50+IF(AND($E51&lt;&gt;"",$E51&lt;=AJ$2,$F51&gt;=AJ$2),1,0)</f>
        <v/>
      </c>
      <c r="AK51">
        <f>AK50+IF(AND($E51&lt;&gt;"",$E51&lt;=AK$2,$F51&gt;=AK$2),1,0)</f>
        <v/>
      </c>
      <c r="AL51">
        <f>AL50+IF(AND($E51&lt;&gt;"",$E51&lt;=AL$2,$F51&gt;=AL$2),1,0)</f>
        <v/>
      </c>
      <c r="AM51">
        <f>AM50+IF(AND($E51&lt;&gt;"",$E51&lt;=AM$2,$F51&gt;=AM$2),1,0)</f>
        <v/>
      </c>
      <c r="AN51">
        <f>AN50+IF(AND($E51&lt;&gt;"",$E51&lt;=AN$2,$F51&gt;=AN$2),1,0)</f>
        <v/>
      </c>
      <c r="AO51">
        <f>AO50+IF(AND($E51&lt;&gt;"",$E51&lt;=AO$2,$F51&gt;=AO$2),1,0)</f>
        <v/>
      </c>
      <c r="AP51">
        <f>AP50+IF(AND($E51&lt;&gt;"",$E51&lt;=AP$2,$F51&gt;=AP$2),1,0)</f>
        <v/>
      </c>
      <c r="AQ51">
        <f>AQ50+IF(AND($E51&lt;&gt;"",$E51&lt;=AQ$2,$F51&gt;=AQ$2),1,0)</f>
        <v/>
      </c>
      <c r="AR51">
        <f>AR50+IF(AND($E51&lt;&gt;"",$E51&lt;=AR$2,$F51&gt;=AR$2),1,0)</f>
        <v/>
      </c>
      <c r="AS51">
        <f>AS50+IF(AND($E51&lt;&gt;"",$E51&lt;=AS$2,$F51&gt;=AS$2),1,0)</f>
        <v/>
      </c>
      <c r="AT51">
        <f>AT50+IF(AND($E51&lt;&gt;"",$E51&lt;=AT$2,$F51&gt;=AT$2),1,0)</f>
        <v/>
      </c>
      <c r="AU51">
        <f>AU50+IF(AND($E51&lt;&gt;"",$E51&lt;=AU$2,$F51&gt;=AU$2),1,0)</f>
        <v/>
      </c>
      <c r="AV51">
        <f>AV50+IF(AND($E51&lt;&gt;"",$E51&lt;=AV$2,$F51&gt;=AV$2),1,0)</f>
        <v/>
      </c>
      <c r="AW51">
        <f>AW50+IF(AND($E51&lt;&gt;"",$E51&lt;=AW$2,$F51&gt;=AW$2),1,0)</f>
        <v/>
      </c>
    </row>
    <row r="52">
      <c r="A52">
        <f>IF(AND(ISNUMBER(Events!$A54),ISNUMBER(Events!$B54)),MAX(0,Events!$B54-Events!$A54),0)</f>
        <v/>
      </c>
      <c r="B52">
        <f>IF(ISNUMBER(Events!$A54),DATE(YEAR($B$1)-1,MONTH(Events!$A54),DAY(Events!$A54)),"")</f>
        <v/>
      </c>
      <c r="C52">
        <f>IF(ISNUMBER(Events!$A54),DATE(YEAR($B$1),MONTH(Events!$A54),DAY(Events!$A54)),"")</f>
        <v/>
      </c>
      <c r="D52">
        <f>IF(ISNUMBER(Events!$A54),DATE(YEAR($B$2),MONTH(Events!$A54),DAY(Events!$A54)),"")</f>
        <v/>
      </c>
      <c r="E52">
        <f>IF(OR(NOT(ISNUMBER(Events!$A54)),Events!$G54="No",Calendar!$H$4="None"),"",IF(OR(Calendar!$H$4="All events",Events!$D54=Calendar!$H$4),IF(Events!$E54="Yes",IF(AND(B52&gt;=Events!$A54,B52&lt;=$B$2,B52+$A52&gt;=$B$1),B52,IF(AND(C52&gt;=Events!$A54,C52&lt;=$B$2,C52+$A52&gt;=$B$1),C52,IF(AND(D52&gt;=Events!$A54,D52&lt;=$B$2,D52+$A52&gt;=$B$1),D52,""))),IF(AND(Events!$A54&lt;=$B$2,Events!$A54+$A52&gt;=$B$1),Events!$A54,"")),""))</f>
        <v/>
      </c>
      <c r="F52">
        <f>IF(E52="","",E52+A52)</f>
        <v/>
      </c>
      <c r="G52">
        <f>IF(E52="","",IF(AND(E52&lt;=EOMONTH(Calendar!$K$2,0),F52&gt;=Calendar!$K$2),E52+49/100000,""))</f>
        <v/>
      </c>
      <c r="H52">
        <f>H51+IF(AND($E52&lt;&gt;"",$E52&lt;=H$2,$F52&gt;=H$2),1,0)</f>
        <v/>
      </c>
      <c r="I52">
        <f>I51+IF(AND($E52&lt;&gt;"",$E52&lt;=I$2,$F52&gt;=I$2),1,0)</f>
        <v/>
      </c>
      <c r="J52">
        <f>J51+IF(AND($E52&lt;&gt;"",$E52&lt;=J$2,$F52&gt;=J$2),1,0)</f>
        <v/>
      </c>
      <c r="K52">
        <f>K51+IF(AND($E52&lt;&gt;"",$E52&lt;=K$2,$F52&gt;=K$2),1,0)</f>
        <v/>
      </c>
      <c r="L52">
        <f>L51+IF(AND($E52&lt;&gt;"",$E52&lt;=L$2,$F52&gt;=L$2),1,0)</f>
        <v/>
      </c>
      <c r="M52">
        <f>M51+IF(AND($E52&lt;&gt;"",$E52&lt;=M$2,$F52&gt;=M$2),1,0)</f>
        <v/>
      </c>
      <c r="N52">
        <f>N51+IF(AND($E52&lt;&gt;"",$E52&lt;=N$2,$F52&gt;=N$2),1,0)</f>
        <v/>
      </c>
      <c r="O52">
        <f>O51+IF(AND($E52&lt;&gt;"",$E52&lt;=O$2,$F52&gt;=O$2),1,0)</f>
        <v/>
      </c>
      <c r="P52">
        <f>P51+IF(AND($E52&lt;&gt;"",$E52&lt;=P$2,$F52&gt;=P$2),1,0)</f>
        <v/>
      </c>
      <c r="Q52">
        <f>Q51+IF(AND($E52&lt;&gt;"",$E52&lt;=Q$2,$F52&gt;=Q$2),1,0)</f>
        <v/>
      </c>
      <c r="R52">
        <f>R51+IF(AND($E52&lt;&gt;"",$E52&lt;=R$2,$F52&gt;=R$2),1,0)</f>
        <v/>
      </c>
      <c r="S52">
        <f>S51+IF(AND($E52&lt;&gt;"",$E52&lt;=S$2,$F52&gt;=S$2),1,0)</f>
        <v/>
      </c>
      <c r="T52">
        <f>T51+IF(AND($E52&lt;&gt;"",$E52&lt;=T$2,$F52&gt;=T$2),1,0)</f>
        <v/>
      </c>
      <c r="U52">
        <f>U51+IF(AND($E52&lt;&gt;"",$E52&lt;=U$2,$F52&gt;=U$2),1,0)</f>
        <v/>
      </c>
      <c r="V52">
        <f>V51+IF(AND($E52&lt;&gt;"",$E52&lt;=V$2,$F52&gt;=V$2),1,0)</f>
        <v/>
      </c>
      <c r="W52">
        <f>W51+IF(AND($E52&lt;&gt;"",$E52&lt;=W$2,$F52&gt;=W$2),1,0)</f>
        <v/>
      </c>
      <c r="X52">
        <f>X51+IF(AND($E52&lt;&gt;"",$E52&lt;=X$2,$F52&gt;=X$2),1,0)</f>
        <v/>
      </c>
      <c r="Y52">
        <f>Y51+IF(AND($E52&lt;&gt;"",$E52&lt;=Y$2,$F52&gt;=Y$2),1,0)</f>
        <v/>
      </c>
      <c r="Z52">
        <f>Z51+IF(AND($E52&lt;&gt;"",$E52&lt;=Z$2,$F52&gt;=Z$2),1,0)</f>
        <v/>
      </c>
      <c r="AA52">
        <f>AA51+IF(AND($E52&lt;&gt;"",$E52&lt;=AA$2,$F52&gt;=AA$2),1,0)</f>
        <v/>
      </c>
      <c r="AB52">
        <f>AB51+IF(AND($E52&lt;&gt;"",$E52&lt;=AB$2,$F52&gt;=AB$2),1,0)</f>
        <v/>
      </c>
      <c r="AC52">
        <f>AC51+IF(AND($E52&lt;&gt;"",$E52&lt;=AC$2,$F52&gt;=AC$2),1,0)</f>
        <v/>
      </c>
      <c r="AD52">
        <f>AD51+IF(AND($E52&lt;&gt;"",$E52&lt;=AD$2,$F52&gt;=AD$2),1,0)</f>
        <v/>
      </c>
      <c r="AE52">
        <f>AE51+IF(AND($E52&lt;&gt;"",$E52&lt;=AE$2,$F52&gt;=AE$2),1,0)</f>
        <v/>
      </c>
      <c r="AF52">
        <f>AF51+IF(AND($E52&lt;&gt;"",$E52&lt;=AF$2,$F52&gt;=AF$2),1,0)</f>
        <v/>
      </c>
      <c r="AG52">
        <f>AG51+IF(AND($E52&lt;&gt;"",$E52&lt;=AG$2,$F52&gt;=AG$2),1,0)</f>
        <v/>
      </c>
      <c r="AH52">
        <f>AH51+IF(AND($E52&lt;&gt;"",$E52&lt;=AH$2,$F52&gt;=AH$2),1,0)</f>
        <v/>
      </c>
      <c r="AI52">
        <f>AI51+IF(AND($E52&lt;&gt;"",$E52&lt;=AI$2,$F52&gt;=AI$2),1,0)</f>
        <v/>
      </c>
      <c r="AJ52">
        <f>AJ51+IF(AND($E52&lt;&gt;"",$E52&lt;=AJ$2,$F52&gt;=AJ$2),1,0)</f>
        <v/>
      </c>
      <c r="AK52">
        <f>AK51+IF(AND($E52&lt;&gt;"",$E52&lt;=AK$2,$F52&gt;=AK$2),1,0)</f>
        <v/>
      </c>
      <c r="AL52">
        <f>AL51+IF(AND($E52&lt;&gt;"",$E52&lt;=AL$2,$F52&gt;=AL$2),1,0)</f>
        <v/>
      </c>
      <c r="AM52">
        <f>AM51+IF(AND($E52&lt;&gt;"",$E52&lt;=AM$2,$F52&gt;=AM$2),1,0)</f>
        <v/>
      </c>
      <c r="AN52">
        <f>AN51+IF(AND($E52&lt;&gt;"",$E52&lt;=AN$2,$F52&gt;=AN$2),1,0)</f>
        <v/>
      </c>
      <c r="AO52">
        <f>AO51+IF(AND($E52&lt;&gt;"",$E52&lt;=AO$2,$F52&gt;=AO$2),1,0)</f>
        <v/>
      </c>
      <c r="AP52">
        <f>AP51+IF(AND($E52&lt;&gt;"",$E52&lt;=AP$2,$F52&gt;=AP$2),1,0)</f>
        <v/>
      </c>
      <c r="AQ52">
        <f>AQ51+IF(AND($E52&lt;&gt;"",$E52&lt;=AQ$2,$F52&gt;=AQ$2),1,0)</f>
        <v/>
      </c>
      <c r="AR52">
        <f>AR51+IF(AND($E52&lt;&gt;"",$E52&lt;=AR$2,$F52&gt;=AR$2),1,0)</f>
        <v/>
      </c>
      <c r="AS52">
        <f>AS51+IF(AND($E52&lt;&gt;"",$E52&lt;=AS$2,$F52&gt;=AS$2),1,0)</f>
        <v/>
      </c>
      <c r="AT52">
        <f>AT51+IF(AND($E52&lt;&gt;"",$E52&lt;=AT$2,$F52&gt;=AT$2),1,0)</f>
        <v/>
      </c>
      <c r="AU52">
        <f>AU51+IF(AND($E52&lt;&gt;"",$E52&lt;=AU$2,$F52&gt;=AU$2),1,0)</f>
        <v/>
      </c>
      <c r="AV52">
        <f>AV51+IF(AND($E52&lt;&gt;"",$E52&lt;=AV$2,$F52&gt;=AV$2),1,0)</f>
        <v/>
      </c>
      <c r="AW52">
        <f>AW51+IF(AND($E52&lt;&gt;"",$E52&lt;=AW$2,$F52&gt;=AW$2),1,0)</f>
        <v/>
      </c>
    </row>
    <row r="53">
      <c r="A53">
        <f>IF(AND(ISNUMBER(Events!$A55),ISNUMBER(Events!$B55)),MAX(0,Events!$B55-Events!$A55),0)</f>
        <v/>
      </c>
      <c r="B53">
        <f>IF(ISNUMBER(Events!$A55),DATE(YEAR($B$1)-1,MONTH(Events!$A55),DAY(Events!$A55)),"")</f>
        <v/>
      </c>
      <c r="C53">
        <f>IF(ISNUMBER(Events!$A55),DATE(YEAR($B$1),MONTH(Events!$A55),DAY(Events!$A55)),"")</f>
        <v/>
      </c>
      <c r="D53">
        <f>IF(ISNUMBER(Events!$A55),DATE(YEAR($B$2),MONTH(Events!$A55),DAY(Events!$A55)),"")</f>
        <v/>
      </c>
      <c r="E53">
        <f>IF(OR(NOT(ISNUMBER(Events!$A55)),Events!$G55="No",Calendar!$H$4="None"),"",IF(OR(Calendar!$H$4="All events",Events!$D55=Calendar!$H$4),IF(Events!$E55="Yes",IF(AND(B53&gt;=Events!$A55,B53&lt;=$B$2,B53+$A53&gt;=$B$1),B53,IF(AND(C53&gt;=Events!$A55,C53&lt;=$B$2,C53+$A53&gt;=$B$1),C53,IF(AND(D53&gt;=Events!$A55,D53&lt;=$B$2,D53+$A53&gt;=$B$1),D53,""))),IF(AND(Events!$A55&lt;=$B$2,Events!$A55+$A53&gt;=$B$1),Events!$A55,"")),""))</f>
        <v/>
      </c>
      <c r="F53">
        <f>IF(E53="","",E53+A53)</f>
        <v/>
      </c>
      <c r="G53">
        <f>IF(E53="","",IF(AND(E53&lt;=EOMONTH(Calendar!$K$2,0),F53&gt;=Calendar!$K$2),E53+50/100000,""))</f>
        <v/>
      </c>
      <c r="H53">
        <f>H52+IF(AND($E53&lt;&gt;"",$E53&lt;=H$2,$F53&gt;=H$2),1,0)</f>
        <v/>
      </c>
      <c r="I53">
        <f>I52+IF(AND($E53&lt;&gt;"",$E53&lt;=I$2,$F53&gt;=I$2),1,0)</f>
        <v/>
      </c>
      <c r="J53">
        <f>J52+IF(AND($E53&lt;&gt;"",$E53&lt;=J$2,$F53&gt;=J$2),1,0)</f>
        <v/>
      </c>
      <c r="K53">
        <f>K52+IF(AND($E53&lt;&gt;"",$E53&lt;=K$2,$F53&gt;=K$2),1,0)</f>
        <v/>
      </c>
      <c r="L53">
        <f>L52+IF(AND($E53&lt;&gt;"",$E53&lt;=L$2,$F53&gt;=L$2),1,0)</f>
        <v/>
      </c>
      <c r="M53">
        <f>M52+IF(AND($E53&lt;&gt;"",$E53&lt;=M$2,$F53&gt;=M$2),1,0)</f>
        <v/>
      </c>
      <c r="N53">
        <f>N52+IF(AND($E53&lt;&gt;"",$E53&lt;=N$2,$F53&gt;=N$2),1,0)</f>
        <v/>
      </c>
      <c r="O53">
        <f>O52+IF(AND($E53&lt;&gt;"",$E53&lt;=O$2,$F53&gt;=O$2),1,0)</f>
        <v/>
      </c>
      <c r="P53">
        <f>P52+IF(AND($E53&lt;&gt;"",$E53&lt;=P$2,$F53&gt;=P$2),1,0)</f>
        <v/>
      </c>
      <c r="Q53">
        <f>Q52+IF(AND($E53&lt;&gt;"",$E53&lt;=Q$2,$F53&gt;=Q$2),1,0)</f>
        <v/>
      </c>
      <c r="R53">
        <f>R52+IF(AND($E53&lt;&gt;"",$E53&lt;=R$2,$F53&gt;=R$2),1,0)</f>
        <v/>
      </c>
      <c r="S53">
        <f>S52+IF(AND($E53&lt;&gt;"",$E53&lt;=S$2,$F53&gt;=S$2),1,0)</f>
        <v/>
      </c>
      <c r="T53">
        <f>T52+IF(AND($E53&lt;&gt;"",$E53&lt;=T$2,$F53&gt;=T$2),1,0)</f>
        <v/>
      </c>
      <c r="U53">
        <f>U52+IF(AND($E53&lt;&gt;"",$E53&lt;=U$2,$F53&gt;=U$2),1,0)</f>
        <v/>
      </c>
      <c r="V53">
        <f>V52+IF(AND($E53&lt;&gt;"",$E53&lt;=V$2,$F53&gt;=V$2),1,0)</f>
        <v/>
      </c>
      <c r="W53">
        <f>W52+IF(AND($E53&lt;&gt;"",$E53&lt;=W$2,$F53&gt;=W$2),1,0)</f>
        <v/>
      </c>
      <c r="X53">
        <f>X52+IF(AND($E53&lt;&gt;"",$E53&lt;=X$2,$F53&gt;=X$2),1,0)</f>
        <v/>
      </c>
      <c r="Y53">
        <f>Y52+IF(AND($E53&lt;&gt;"",$E53&lt;=Y$2,$F53&gt;=Y$2),1,0)</f>
        <v/>
      </c>
      <c r="Z53">
        <f>Z52+IF(AND($E53&lt;&gt;"",$E53&lt;=Z$2,$F53&gt;=Z$2),1,0)</f>
        <v/>
      </c>
      <c r="AA53">
        <f>AA52+IF(AND($E53&lt;&gt;"",$E53&lt;=AA$2,$F53&gt;=AA$2),1,0)</f>
        <v/>
      </c>
      <c r="AB53">
        <f>AB52+IF(AND($E53&lt;&gt;"",$E53&lt;=AB$2,$F53&gt;=AB$2),1,0)</f>
        <v/>
      </c>
      <c r="AC53">
        <f>AC52+IF(AND($E53&lt;&gt;"",$E53&lt;=AC$2,$F53&gt;=AC$2),1,0)</f>
        <v/>
      </c>
      <c r="AD53">
        <f>AD52+IF(AND($E53&lt;&gt;"",$E53&lt;=AD$2,$F53&gt;=AD$2),1,0)</f>
        <v/>
      </c>
      <c r="AE53">
        <f>AE52+IF(AND($E53&lt;&gt;"",$E53&lt;=AE$2,$F53&gt;=AE$2),1,0)</f>
        <v/>
      </c>
      <c r="AF53">
        <f>AF52+IF(AND($E53&lt;&gt;"",$E53&lt;=AF$2,$F53&gt;=AF$2),1,0)</f>
        <v/>
      </c>
      <c r="AG53">
        <f>AG52+IF(AND($E53&lt;&gt;"",$E53&lt;=AG$2,$F53&gt;=AG$2),1,0)</f>
        <v/>
      </c>
      <c r="AH53">
        <f>AH52+IF(AND($E53&lt;&gt;"",$E53&lt;=AH$2,$F53&gt;=AH$2),1,0)</f>
        <v/>
      </c>
      <c r="AI53">
        <f>AI52+IF(AND($E53&lt;&gt;"",$E53&lt;=AI$2,$F53&gt;=AI$2),1,0)</f>
        <v/>
      </c>
      <c r="AJ53">
        <f>AJ52+IF(AND($E53&lt;&gt;"",$E53&lt;=AJ$2,$F53&gt;=AJ$2),1,0)</f>
        <v/>
      </c>
      <c r="AK53">
        <f>AK52+IF(AND($E53&lt;&gt;"",$E53&lt;=AK$2,$F53&gt;=AK$2),1,0)</f>
        <v/>
      </c>
      <c r="AL53">
        <f>AL52+IF(AND($E53&lt;&gt;"",$E53&lt;=AL$2,$F53&gt;=AL$2),1,0)</f>
        <v/>
      </c>
      <c r="AM53">
        <f>AM52+IF(AND($E53&lt;&gt;"",$E53&lt;=AM$2,$F53&gt;=AM$2),1,0)</f>
        <v/>
      </c>
      <c r="AN53">
        <f>AN52+IF(AND($E53&lt;&gt;"",$E53&lt;=AN$2,$F53&gt;=AN$2),1,0)</f>
        <v/>
      </c>
      <c r="AO53">
        <f>AO52+IF(AND($E53&lt;&gt;"",$E53&lt;=AO$2,$F53&gt;=AO$2),1,0)</f>
        <v/>
      </c>
      <c r="AP53">
        <f>AP52+IF(AND($E53&lt;&gt;"",$E53&lt;=AP$2,$F53&gt;=AP$2),1,0)</f>
        <v/>
      </c>
      <c r="AQ53">
        <f>AQ52+IF(AND($E53&lt;&gt;"",$E53&lt;=AQ$2,$F53&gt;=AQ$2),1,0)</f>
        <v/>
      </c>
      <c r="AR53">
        <f>AR52+IF(AND($E53&lt;&gt;"",$E53&lt;=AR$2,$F53&gt;=AR$2),1,0)</f>
        <v/>
      </c>
      <c r="AS53">
        <f>AS52+IF(AND($E53&lt;&gt;"",$E53&lt;=AS$2,$F53&gt;=AS$2),1,0)</f>
        <v/>
      </c>
      <c r="AT53">
        <f>AT52+IF(AND($E53&lt;&gt;"",$E53&lt;=AT$2,$F53&gt;=AT$2),1,0)</f>
        <v/>
      </c>
      <c r="AU53">
        <f>AU52+IF(AND($E53&lt;&gt;"",$E53&lt;=AU$2,$F53&gt;=AU$2),1,0)</f>
        <v/>
      </c>
      <c r="AV53">
        <f>AV52+IF(AND($E53&lt;&gt;"",$E53&lt;=AV$2,$F53&gt;=AV$2),1,0)</f>
        <v/>
      </c>
      <c r="AW53">
        <f>AW52+IF(AND($E53&lt;&gt;"",$E53&lt;=AW$2,$F53&gt;=AW$2),1,0)</f>
        <v/>
      </c>
    </row>
    <row r="54">
      <c r="A54">
        <f>IF(AND(ISNUMBER(Events!$A56),ISNUMBER(Events!$B56)),MAX(0,Events!$B56-Events!$A56),0)</f>
        <v/>
      </c>
      <c r="B54">
        <f>IF(ISNUMBER(Events!$A56),DATE(YEAR($B$1)-1,MONTH(Events!$A56),DAY(Events!$A56)),"")</f>
        <v/>
      </c>
      <c r="C54">
        <f>IF(ISNUMBER(Events!$A56),DATE(YEAR($B$1),MONTH(Events!$A56),DAY(Events!$A56)),"")</f>
        <v/>
      </c>
      <c r="D54">
        <f>IF(ISNUMBER(Events!$A56),DATE(YEAR($B$2),MONTH(Events!$A56),DAY(Events!$A56)),"")</f>
        <v/>
      </c>
      <c r="E54">
        <f>IF(OR(NOT(ISNUMBER(Events!$A56)),Events!$G56="No",Calendar!$H$4="None"),"",IF(OR(Calendar!$H$4="All events",Events!$D56=Calendar!$H$4),IF(Events!$E56="Yes",IF(AND(B54&gt;=Events!$A56,B54&lt;=$B$2,B54+$A54&gt;=$B$1),B54,IF(AND(C54&gt;=Events!$A56,C54&lt;=$B$2,C54+$A54&gt;=$B$1),C54,IF(AND(D54&gt;=Events!$A56,D54&lt;=$B$2,D54+$A54&gt;=$B$1),D54,""))),IF(AND(Events!$A56&lt;=$B$2,Events!$A56+$A54&gt;=$B$1),Events!$A56,"")),""))</f>
        <v/>
      </c>
      <c r="F54">
        <f>IF(E54="","",E54+A54)</f>
        <v/>
      </c>
      <c r="G54">
        <f>IF(E54="","",IF(AND(E54&lt;=EOMONTH(Calendar!$K$2,0),F54&gt;=Calendar!$K$2),E54+51/100000,""))</f>
        <v/>
      </c>
      <c r="H54">
        <f>H53+IF(AND($E54&lt;&gt;"",$E54&lt;=H$2,$F54&gt;=H$2),1,0)</f>
        <v/>
      </c>
      <c r="I54">
        <f>I53+IF(AND($E54&lt;&gt;"",$E54&lt;=I$2,$F54&gt;=I$2),1,0)</f>
        <v/>
      </c>
      <c r="J54">
        <f>J53+IF(AND($E54&lt;&gt;"",$E54&lt;=J$2,$F54&gt;=J$2),1,0)</f>
        <v/>
      </c>
      <c r="K54">
        <f>K53+IF(AND($E54&lt;&gt;"",$E54&lt;=K$2,$F54&gt;=K$2),1,0)</f>
        <v/>
      </c>
      <c r="L54">
        <f>L53+IF(AND($E54&lt;&gt;"",$E54&lt;=L$2,$F54&gt;=L$2),1,0)</f>
        <v/>
      </c>
      <c r="M54">
        <f>M53+IF(AND($E54&lt;&gt;"",$E54&lt;=M$2,$F54&gt;=M$2),1,0)</f>
        <v/>
      </c>
      <c r="N54">
        <f>N53+IF(AND($E54&lt;&gt;"",$E54&lt;=N$2,$F54&gt;=N$2),1,0)</f>
        <v/>
      </c>
      <c r="O54">
        <f>O53+IF(AND($E54&lt;&gt;"",$E54&lt;=O$2,$F54&gt;=O$2),1,0)</f>
        <v/>
      </c>
      <c r="P54">
        <f>P53+IF(AND($E54&lt;&gt;"",$E54&lt;=P$2,$F54&gt;=P$2),1,0)</f>
        <v/>
      </c>
      <c r="Q54">
        <f>Q53+IF(AND($E54&lt;&gt;"",$E54&lt;=Q$2,$F54&gt;=Q$2),1,0)</f>
        <v/>
      </c>
      <c r="R54">
        <f>R53+IF(AND($E54&lt;&gt;"",$E54&lt;=R$2,$F54&gt;=R$2),1,0)</f>
        <v/>
      </c>
      <c r="S54">
        <f>S53+IF(AND($E54&lt;&gt;"",$E54&lt;=S$2,$F54&gt;=S$2),1,0)</f>
        <v/>
      </c>
      <c r="T54">
        <f>T53+IF(AND($E54&lt;&gt;"",$E54&lt;=T$2,$F54&gt;=T$2),1,0)</f>
        <v/>
      </c>
      <c r="U54">
        <f>U53+IF(AND($E54&lt;&gt;"",$E54&lt;=U$2,$F54&gt;=U$2),1,0)</f>
        <v/>
      </c>
      <c r="V54">
        <f>V53+IF(AND($E54&lt;&gt;"",$E54&lt;=V$2,$F54&gt;=V$2),1,0)</f>
        <v/>
      </c>
      <c r="W54">
        <f>W53+IF(AND($E54&lt;&gt;"",$E54&lt;=W$2,$F54&gt;=W$2),1,0)</f>
        <v/>
      </c>
      <c r="X54">
        <f>X53+IF(AND($E54&lt;&gt;"",$E54&lt;=X$2,$F54&gt;=X$2),1,0)</f>
        <v/>
      </c>
      <c r="Y54">
        <f>Y53+IF(AND($E54&lt;&gt;"",$E54&lt;=Y$2,$F54&gt;=Y$2),1,0)</f>
        <v/>
      </c>
      <c r="Z54">
        <f>Z53+IF(AND($E54&lt;&gt;"",$E54&lt;=Z$2,$F54&gt;=Z$2),1,0)</f>
        <v/>
      </c>
      <c r="AA54">
        <f>AA53+IF(AND($E54&lt;&gt;"",$E54&lt;=AA$2,$F54&gt;=AA$2),1,0)</f>
        <v/>
      </c>
      <c r="AB54">
        <f>AB53+IF(AND($E54&lt;&gt;"",$E54&lt;=AB$2,$F54&gt;=AB$2),1,0)</f>
        <v/>
      </c>
      <c r="AC54">
        <f>AC53+IF(AND($E54&lt;&gt;"",$E54&lt;=AC$2,$F54&gt;=AC$2),1,0)</f>
        <v/>
      </c>
      <c r="AD54">
        <f>AD53+IF(AND($E54&lt;&gt;"",$E54&lt;=AD$2,$F54&gt;=AD$2),1,0)</f>
        <v/>
      </c>
      <c r="AE54">
        <f>AE53+IF(AND($E54&lt;&gt;"",$E54&lt;=AE$2,$F54&gt;=AE$2),1,0)</f>
        <v/>
      </c>
      <c r="AF54">
        <f>AF53+IF(AND($E54&lt;&gt;"",$E54&lt;=AF$2,$F54&gt;=AF$2),1,0)</f>
        <v/>
      </c>
      <c r="AG54">
        <f>AG53+IF(AND($E54&lt;&gt;"",$E54&lt;=AG$2,$F54&gt;=AG$2),1,0)</f>
        <v/>
      </c>
      <c r="AH54">
        <f>AH53+IF(AND($E54&lt;&gt;"",$E54&lt;=AH$2,$F54&gt;=AH$2),1,0)</f>
        <v/>
      </c>
      <c r="AI54">
        <f>AI53+IF(AND($E54&lt;&gt;"",$E54&lt;=AI$2,$F54&gt;=AI$2),1,0)</f>
        <v/>
      </c>
      <c r="AJ54">
        <f>AJ53+IF(AND($E54&lt;&gt;"",$E54&lt;=AJ$2,$F54&gt;=AJ$2),1,0)</f>
        <v/>
      </c>
      <c r="AK54">
        <f>AK53+IF(AND($E54&lt;&gt;"",$E54&lt;=AK$2,$F54&gt;=AK$2),1,0)</f>
        <v/>
      </c>
      <c r="AL54">
        <f>AL53+IF(AND($E54&lt;&gt;"",$E54&lt;=AL$2,$F54&gt;=AL$2),1,0)</f>
        <v/>
      </c>
      <c r="AM54">
        <f>AM53+IF(AND($E54&lt;&gt;"",$E54&lt;=AM$2,$F54&gt;=AM$2),1,0)</f>
        <v/>
      </c>
      <c r="AN54">
        <f>AN53+IF(AND($E54&lt;&gt;"",$E54&lt;=AN$2,$F54&gt;=AN$2),1,0)</f>
        <v/>
      </c>
      <c r="AO54">
        <f>AO53+IF(AND($E54&lt;&gt;"",$E54&lt;=AO$2,$F54&gt;=AO$2),1,0)</f>
        <v/>
      </c>
      <c r="AP54">
        <f>AP53+IF(AND($E54&lt;&gt;"",$E54&lt;=AP$2,$F54&gt;=AP$2),1,0)</f>
        <v/>
      </c>
      <c r="AQ54">
        <f>AQ53+IF(AND($E54&lt;&gt;"",$E54&lt;=AQ$2,$F54&gt;=AQ$2),1,0)</f>
        <v/>
      </c>
      <c r="AR54">
        <f>AR53+IF(AND($E54&lt;&gt;"",$E54&lt;=AR$2,$F54&gt;=AR$2),1,0)</f>
        <v/>
      </c>
      <c r="AS54">
        <f>AS53+IF(AND($E54&lt;&gt;"",$E54&lt;=AS$2,$F54&gt;=AS$2),1,0)</f>
        <v/>
      </c>
      <c r="AT54">
        <f>AT53+IF(AND($E54&lt;&gt;"",$E54&lt;=AT$2,$F54&gt;=AT$2),1,0)</f>
        <v/>
      </c>
      <c r="AU54">
        <f>AU53+IF(AND($E54&lt;&gt;"",$E54&lt;=AU$2,$F54&gt;=AU$2),1,0)</f>
        <v/>
      </c>
      <c r="AV54">
        <f>AV53+IF(AND($E54&lt;&gt;"",$E54&lt;=AV$2,$F54&gt;=AV$2),1,0)</f>
        <v/>
      </c>
      <c r="AW54">
        <f>AW53+IF(AND($E54&lt;&gt;"",$E54&lt;=AW$2,$F54&gt;=AW$2),1,0)</f>
        <v/>
      </c>
    </row>
    <row r="55">
      <c r="A55">
        <f>IF(AND(ISNUMBER(Events!$A57),ISNUMBER(Events!$B57)),MAX(0,Events!$B57-Events!$A57),0)</f>
        <v/>
      </c>
      <c r="B55">
        <f>IF(ISNUMBER(Events!$A57),DATE(YEAR($B$1)-1,MONTH(Events!$A57),DAY(Events!$A57)),"")</f>
        <v/>
      </c>
      <c r="C55">
        <f>IF(ISNUMBER(Events!$A57),DATE(YEAR($B$1),MONTH(Events!$A57),DAY(Events!$A57)),"")</f>
        <v/>
      </c>
      <c r="D55">
        <f>IF(ISNUMBER(Events!$A57),DATE(YEAR($B$2),MONTH(Events!$A57),DAY(Events!$A57)),"")</f>
        <v/>
      </c>
      <c r="E55">
        <f>IF(OR(NOT(ISNUMBER(Events!$A57)),Events!$G57="No",Calendar!$H$4="None"),"",IF(OR(Calendar!$H$4="All events",Events!$D57=Calendar!$H$4),IF(Events!$E57="Yes",IF(AND(B55&gt;=Events!$A57,B55&lt;=$B$2,B55+$A55&gt;=$B$1),B55,IF(AND(C55&gt;=Events!$A57,C55&lt;=$B$2,C55+$A55&gt;=$B$1),C55,IF(AND(D55&gt;=Events!$A57,D55&lt;=$B$2,D55+$A55&gt;=$B$1),D55,""))),IF(AND(Events!$A57&lt;=$B$2,Events!$A57+$A55&gt;=$B$1),Events!$A57,"")),""))</f>
        <v/>
      </c>
      <c r="F55">
        <f>IF(E55="","",E55+A55)</f>
        <v/>
      </c>
      <c r="G55">
        <f>IF(E55="","",IF(AND(E55&lt;=EOMONTH(Calendar!$K$2,0),F55&gt;=Calendar!$K$2),E55+52/100000,""))</f>
        <v/>
      </c>
      <c r="H55">
        <f>H54+IF(AND($E55&lt;&gt;"",$E55&lt;=H$2,$F55&gt;=H$2),1,0)</f>
        <v/>
      </c>
      <c r="I55">
        <f>I54+IF(AND($E55&lt;&gt;"",$E55&lt;=I$2,$F55&gt;=I$2),1,0)</f>
        <v/>
      </c>
      <c r="J55">
        <f>J54+IF(AND($E55&lt;&gt;"",$E55&lt;=J$2,$F55&gt;=J$2),1,0)</f>
        <v/>
      </c>
      <c r="K55">
        <f>K54+IF(AND($E55&lt;&gt;"",$E55&lt;=K$2,$F55&gt;=K$2),1,0)</f>
        <v/>
      </c>
      <c r="L55">
        <f>L54+IF(AND($E55&lt;&gt;"",$E55&lt;=L$2,$F55&gt;=L$2),1,0)</f>
        <v/>
      </c>
      <c r="M55">
        <f>M54+IF(AND($E55&lt;&gt;"",$E55&lt;=M$2,$F55&gt;=M$2),1,0)</f>
        <v/>
      </c>
      <c r="N55">
        <f>N54+IF(AND($E55&lt;&gt;"",$E55&lt;=N$2,$F55&gt;=N$2),1,0)</f>
        <v/>
      </c>
      <c r="O55">
        <f>O54+IF(AND($E55&lt;&gt;"",$E55&lt;=O$2,$F55&gt;=O$2),1,0)</f>
        <v/>
      </c>
      <c r="P55">
        <f>P54+IF(AND($E55&lt;&gt;"",$E55&lt;=P$2,$F55&gt;=P$2),1,0)</f>
        <v/>
      </c>
      <c r="Q55">
        <f>Q54+IF(AND($E55&lt;&gt;"",$E55&lt;=Q$2,$F55&gt;=Q$2),1,0)</f>
        <v/>
      </c>
      <c r="R55">
        <f>R54+IF(AND($E55&lt;&gt;"",$E55&lt;=R$2,$F55&gt;=R$2),1,0)</f>
        <v/>
      </c>
      <c r="S55">
        <f>S54+IF(AND($E55&lt;&gt;"",$E55&lt;=S$2,$F55&gt;=S$2),1,0)</f>
        <v/>
      </c>
      <c r="T55">
        <f>T54+IF(AND($E55&lt;&gt;"",$E55&lt;=T$2,$F55&gt;=T$2),1,0)</f>
        <v/>
      </c>
      <c r="U55">
        <f>U54+IF(AND($E55&lt;&gt;"",$E55&lt;=U$2,$F55&gt;=U$2),1,0)</f>
        <v/>
      </c>
      <c r="V55">
        <f>V54+IF(AND($E55&lt;&gt;"",$E55&lt;=V$2,$F55&gt;=V$2),1,0)</f>
        <v/>
      </c>
      <c r="W55">
        <f>W54+IF(AND($E55&lt;&gt;"",$E55&lt;=W$2,$F55&gt;=W$2),1,0)</f>
        <v/>
      </c>
      <c r="X55">
        <f>X54+IF(AND($E55&lt;&gt;"",$E55&lt;=X$2,$F55&gt;=X$2),1,0)</f>
        <v/>
      </c>
      <c r="Y55">
        <f>Y54+IF(AND($E55&lt;&gt;"",$E55&lt;=Y$2,$F55&gt;=Y$2),1,0)</f>
        <v/>
      </c>
      <c r="Z55">
        <f>Z54+IF(AND($E55&lt;&gt;"",$E55&lt;=Z$2,$F55&gt;=Z$2),1,0)</f>
        <v/>
      </c>
      <c r="AA55">
        <f>AA54+IF(AND($E55&lt;&gt;"",$E55&lt;=AA$2,$F55&gt;=AA$2),1,0)</f>
        <v/>
      </c>
      <c r="AB55">
        <f>AB54+IF(AND($E55&lt;&gt;"",$E55&lt;=AB$2,$F55&gt;=AB$2),1,0)</f>
        <v/>
      </c>
      <c r="AC55">
        <f>AC54+IF(AND($E55&lt;&gt;"",$E55&lt;=AC$2,$F55&gt;=AC$2),1,0)</f>
        <v/>
      </c>
      <c r="AD55">
        <f>AD54+IF(AND($E55&lt;&gt;"",$E55&lt;=AD$2,$F55&gt;=AD$2),1,0)</f>
        <v/>
      </c>
      <c r="AE55">
        <f>AE54+IF(AND($E55&lt;&gt;"",$E55&lt;=AE$2,$F55&gt;=AE$2),1,0)</f>
        <v/>
      </c>
      <c r="AF55">
        <f>AF54+IF(AND($E55&lt;&gt;"",$E55&lt;=AF$2,$F55&gt;=AF$2),1,0)</f>
        <v/>
      </c>
      <c r="AG55">
        <f>AG54+IF(AND($E55&lt;&gt;"",$E55&lt;=AG$2,$F55&gt;=AG$2),1,0)</f>
        <v/>
      </c>
      <c r="AH55">
        <f>AH54+IF(AND($E55&lt;&gt;"",$E55&lt;=AH$2,$F55&gt;=AH$2),1,0)</f>
        <v/>
      </c>
      <c r="AI55">
        <f>AI54+IF(AND($E55&lt;&gt;"",$E55&lt;=AI$2,$F55&gt;=AI$2),1,0)</f>
        <v/>
      </c>
      <c r="AJ55">
        <f>AJ54+IF(AND($E55&lt;&gt;"",$E55&lt;=AJ$2,$F55&gt;=AJ$2),1,0)</f>
        <v/>
      </c>
      <c r="AK55">
        <f>AK54+IF(AND($E55&lt;&gt;"",$E55&lt;=AK$2,$F55&gt;=AK$2),1,0)</f>
        <v/>
      </c>
      <c r="AL55">
        <f>AL54+IF(AND($E55&lt;&gt;"",$E55&lt;=AL$2,$F55&gt;=AL$2),1,0)</f>
        <v/>
      </c>
      <c r="AM55">
        <f>AM54+IF(AND($E55&lt;&gt;"",$E55&lt;=AM$2,$F55&gt;=AM$2),1,0)</f>
        <v/>
      </c>
      <c r="AN55">
        <f>AN54+IF(AND($E55&lt;&gt;"",$E55&lt;=AN$2,$F55&gt;=AN$2),1,0)</f>
        <v/>
      </c>
      <c r="AO55">
        <f>AO54+IF(AND($E55&lt;&gt;"",$E55&lt;=AO$2,$F55&gt;=AO$2),1,0)</f>
        <v/>
      </c>
      <c r="AP55">
        <f>AP54+IF(AND($E55&lt;&gt;"",$E55&lt;=AP$2,$F55&gt;=AP$2),1,0)</f>
        <v/>
      </c>
      <c r="AQ55">
        <f>AQ54+IF(AND($E55&lt;&gt;"",$E55&lt;=AQ$2,$F55&gt;=AQ$2),1,0)</f>
        <v/>
      </c>
      <c r="AR55">
        <f>AR54+IF(AND($E55&lt;&gt;"",$E55&lt;=AR$2,$F55&gt;=AR$2),1,0)</f>
        <v/>
      </c>
      <c r="AS55">
        <f>AS54+IF(AND($E55&lt;&gt;"",$E55&lt;=AS$2,$F55&gt;=AS$2),1,0)</f>
        <v/>
      </c>
      <c r="AT55">
        <f>AT54+IF(AND($E55&lt;&gt;"",$E55&lt;=AT$2,$F55&gt;=AT$2),1,0)</f>
        <v/>
      </c>
      <c r="AU55">
        <f>AU54+IF(AND($E55&lt;&gt;"",$E55&lt;=AU$2,$F55&gt;=AU$2),1,0)</f>
        <v/>
      </c>
      <c r="AV55">
        <f>AV54+IF(AND($E55&lt;&gt;"",$E55&lt;=AV$2,$F55&gt;=AV$2),1,0)</f>
        <v/>
      </c>
      <c r="AW55">
        <f>AW54+IF(AND($E55&lt;&gt;"",$E55&lt;=AW$2,$F55&gt;=AW$2),1,0)</f>
        <v/>
      </c>
    </row>
    <row r="56">
      <c r="A56">
        <f>IF(AND(ISNUMBER(Events!$A58),ISNUMBER(Events!$B58)),MAX(0,Events!$B58-Events!$A58),0)</f>
        <v/>
      </c>
      <c r="B56">
        <f>IF(ISNUMBER(Events!$A58),DATE(YEAR($B$1)-1,MONTH(Events!$A58),DAY(Events!$A58)),"")</f>
        <v/>
      </c>
      <c r="C56">
        <f>IF(ISNUMBER(Events!$A58),DATE(YEAR($B$1),MONTH(Events!$A58),DAY(Events!$A58)),"")</f>
        <v/>
      </c>
      <c r="D56">
        <f>IF(ISNUMBER(Events!$A58),DATE(YEAR($B$2),MONTH(Events!$A58),DAY(Events!$A58)),"")</f>
        <v/>
      </c>
      <c r="E56">
        <f>IF(OR(NOT(ISNUMBER(Events!$A58)),Events!$G58="No",Calendar!$H$4="None"),"",IF(OR(Calendar!$H$4="All events",Events!$D58=Calendar!$H$4),IF(Events!$E58="Yes",IF(AND(B56&gt;=Events!$A58,B56&lt;=$B$2,B56+$A56&gt;=$B$1),B56,IF(AND(C56&gt;=Events!$A58,C56&lt;=$B$2,C56+$A56&gt;=$B$1),C56,IF(AND(D56&gt;=Events!$A58,D56&lt;=$B$2,D56+$A56&gt;=$B$1),D56,""))),IF(AND(Events!$A58&lt;=$B$2,Events!$A58+$A56&gt;=$B$1),Events!$A58,"")),""))</f>
        <v/>
      </c>
      <c r="F56">
        <f>IF(E56="","",E56+A56)</f>
        <v/>
      </c>
      <c r="G56">
        <f>IF(E56="","",IF(AND(E56&lt;=EOMONTH(Calendar!$K$2,0),F56&gt;=Calendar!$K$2),E56+53/100000,""))</f>
        <v/>
      </c>
      <c r="H56">
        <f>H55+IF(AND($E56&lt;&gt;"",$E56&lt;=H$2,$F56&gt;=H$2),1,0)</f>
        <v/>
      </c>
      <c r="I56">
        <f>I55+IF(AND($E56&lt;&gt;"",$E56&lt;=I$2,$F56&gt;=I$2),1,0)</f>
        <v/>
      </c>
      <c r="J56">
        <f>J55+IF(AND($E56&lt;&gt;"",$E56&lt;=J$2,$F56&gt;=J$2),1,0)</f>
        <v/>
      </c>
      <c r="K56">
        <f>K55+IF(AND($E56&lt;&gt;"",$E56&lt;=K$2,$F56&gt;=K$2),1,0)</f>
        <v/>
      </c>
      <c r="L56">
        <f>L55+IF(AND($E56&lt;&gt;"",$E56&lt;=L$2,$F56&gt;=L$2),1,0)</f>
        <v/>
      </c>
      <c r="M56">
        <f>M55+IF(AND($E56&lt;&gt;"",$E56&lt;=M$2,$F56&gt;=M$2),1,0)</f>
        <v/>
      </c>
      <c r="N56">
        <f>N55+IF(AND($E56&lt;&gt;"",$E56&lt;=N$2,$F56&gt;=N$2),1,0)</f>
        <v/>
      </c>
      <c r="O56">
        <f>O55+IF(AND($E56&lt;&gt;"",$E56&lt;=O$2,$F56&gt;=O$2),1,0)</f>
        <v/>
      </c>
      <c r="P56">
        <f>P55+IF(AND($E56&lt;&gt;"",$E56&lt;=P$2,$F56&gt;=P$2),1,0)</f>
        <v/>
      </c>
      <c r="Q56">
        <f>Q55+IF(AND($E56&lt;&gt;"",$E56&lt;=Q$2,$F56&gt;=Q$2),1,0)</f>
        <v/>
      </c>
      <c r="R56">
        <f>R55+IF(AND($E56&lt;&gt;"",$E56&lt;=R$2,$F56&gt;=R$2),1,0)</f>
        <v/>
      </c>
      <c r="S56">
        <f>S55+IF(AND($E56&lt;&gt;"",$E56&lt;=S$2,$F56&gt;=S$2),1,0)</f>
        <v/>
      </c>
      <c r="T56">
        <f>T55+IF(AND($E56&lt;&gt;"",$E56&lt;=T$2,$F56&gt;=T$2),1,0)</f>
        <v/>
      </c>
      <c r="U56">
        <f>U55+IF(AND($E56&lt;&gt;"",$E56&lt;=U$2,$F56&gt;=U$2),1,0)</f>
        <v/>
      </c>
      <c r="V56">
        <f>V55+IF(AND($E56&lt;&gt;"",$E56&lt;=V$2,$F56&gt;=V$2),1,0)</f>
        <v/>
      </c>
      <c r="W56">
        <f>W55+IF(AND($E56&lt;&gt;"",$E56&lt;=W$2,$F56&gt;=W$2),1,0)</f>
        <v/>
      </c>
      <c r="X56">
        <f>X55+IF(AND($E56&lt;&gt;"",$E56&lt;=X$2,$F56&gt;=X$2),1,0)</f>
        <v/>
      </c>
      <c r="Y56">
        <f>Y55+IF(AND($E56&lt;&gt;"",$E56&lt;=Y$2,$F56&gt;=Y$2),1,0)</f>
        <v/>
      </c>
      <c r="Z56">
        <f>Z55+IF(AND($E56&lt;&gt;"",$E56&lt;=Z$2,$F56&gt;=Z$2),1,0)</f>
        <v/>
      </c>
      <c r="AA56">
        <f>AA55+IF(AND($E56&lt;&gt;"",$E56&lt;=AA$2,$F56&gt;=AA$2),1,0)</f>
        <v/>
      </c>
      <c r="AB56">
        <f>AB55+IF(AND($E56&lt;&gt;"",$E56&lt;=AB$2,$F56&gt;=AB$2),1,0)</f>
        <v/>
      </c>
      <c r="AC56">
        <f>AC55+IF(AND($E56&lt;&gt;"",$E56&lt;=AC$2,$F56&gt;=AC$2),1,0)</f>
        <v/>
      </c>
      <c r="AD56">
        <f>AD55+IF(AND($E56&lt;&gt;"",$E56&lt;=AD$2,$F56&gt;=AD$2),1,0)</f>
        <v/>
      </c>
      <c r="AE56">
        <f>AE55+IF(AND($E56&lt;&gt;"",$E56&lt;=AE$2,$F56&gt;=AE$2),1,0)</f>
        <v/>
      </c>
      <c r="AF56">
        <f>AF55+IF(AND($E56&lt;&gt;"",$E56&lt;=AF$2,$F56&gt;=AF$2),1,0)</f>
        <v/>
      </c>
      <c r="AG56">
        <f>AG55+IF(AND($E56&lt;&gt;"",$E56&lt;=AG$2,$F56&gt;=AG$2),1,0)</f>
        <v/>
      </c>
      <c r="AH56">
        <f>AH55+IF(AND($E56&lt;&gt;"",$E56&lt;=AH$2,$F56&gt;=AH$2),1,0)</f>
        <v/>
      </c>
      <c r="AI56">
        <f>AI55+IF(AND($E56&lt;&gt;"",$E56&lt;=AI$2,$F56&gt;=AI$2),1,0)</f>
        <v/>
      </c>
      <c r="AJ56">
        <f>AJ55+IF(AND($E56&lt;&gt;"",$E56&lt;=AJ$2,$F56&gt;=AJ$2),1,0)</f>
        <v/>
      </c>
      <c r="AK56">
        <f>AK55+IF(AND($E56&lt;&gt;"",$E56&lt;=AK$2,$F56&gt;=AK$2),1,0)</f>
        <v/>
      </c>
      <c r="AL56">
        <f>AL55+IF(AND($E56&lt;&gt;"",$E56&lt;=AL$2,$F56&gt;=AL$2),1,0)</f>
        <v/>
      </c>
      <c r="AM56">
        <f>AM55+IF(AND($E56&lt;&gt;"",$E56&lt;=AM$2,$F56&gt;=AM$2),1,0)</f>
        <v/>
      </c>
      <c r="AN56">
        <f>AN55+IF(AND($E56&lt;&gt;"",$E56&lt;=AN$2,$F56&gt;=AN$2),1,0)</f>
        <v/>
      </c>
      <c r="AO56">
        <f>AO55+IF(AND($E56&lt;&gt;"",$E56&lt;=AO$2,$F56&gt;=AO$2),1,0)</f>
        <v/>
      </c>
      <c r="AP56">
        <f>AP55+IF(AND($E56&lt;&gt;"",$E56&lt;=AP$2,$F56&gt;=AP$2),1,0)</f>
        <v/>
      </c>
      <c r="AQ56">
        <f>AQ55+IF(AND($E56&lt;&gt;"",$E56&lt;=AQ$2,$F56&gt;=AQ$2),1,0)</f>
        <v/>
      </c>
      <c r="AR56">
        <f>AR55+IF(AND($E56&lt;&gt;"",$E56&lt;=AR$2,$F56&gt;=AR$2),1,0)</f>
        <v/>
      </c>
      <c r="AS56">
        <f>AS55+IF(AND($E56&lt;&gt;"",$E56&lt;=AS$2,$F56&gt;=AS$2),1,0)</f>
        <v/>
      </c>
      <c r="AT56">
        <f>AT55+IF(AND($E56&lt;&gt;"",$E56&lt;=AT$2,$F56&gt;=AT$2),1,0)</f>
        <v/>
      </c>
      <c r="AU56">
        <f>AU55+IF(AND($E56&lt;&gt;"",$E56&lt;=AU$2,$F56&gt;=AU$2),1,0)</f>
        <v/>
      </c>
      <c r="AV56">
        <f>AV55+IF(AND($E56&lt;&gt;"",$E56&lt;=AV$2,$F56&gt;=AV$2),1,0)</f>
        <v/>
      </c>
      <c r="AW56">
        <f>AW55+IF(AND($E56&lt;&gt;"",$E56&lt;=AW$2,$F56&gt;=AW$2),1,0)</f>
        <v/>
      </c>
    </row>
    <row r="57">
      <c r="A57">
        <f>IF(AND(ISNUMBER(Events!$A59),ISNUMBER(Events!$B59)),MAX(0,Events!$B59-Events!$A59),0)</f>
        <v/>
      </c>
      <c r="B57">
        <f>IF(ISNUMBER(Events!$A59),DATE(YEAR($B$1)-1,MONTH(Events!$A59),DAY(Events!$A59)),"")</f>
        <v/>
      </c>
      <c r="C57">
        <f>IF(ISNUMBER(Events!$A59),DATE(YEAR($B$1),MONTH(Events!$A59),DAY(Events!$A59)),"")</f>
        <v/>
      </c>
      <c r="D57">
        <f>IF(ISNUMBER(Events!$A59),DATE(YEAR($B$2),MONTH(Events!$A59),DAY(Events!$A59)),"")</f>
        <v/>
      </c>
      <c r="E57">
        <f>IF(OR(NOT(ISNUMBER(Events!$A59)),Events!$G59="No",Calendar!$H$4="None"),"",IF(OR(Calendar!$H$4="All events",Events!$D59=Calendar!$H$4),IF(Events!$E59="Yes",IF(AND(B57&gt;=Events!$A59,B57&lt;=$B$2,B57+$A57&gt;=$B$1),B57,IF(AND(C57&gt;=Events!$A59,C57&lt;=$B$2,C57+$A57&gt;=$B$1),C57,IF(AND(D57&gt;=Events!$A59,D57&lt;=$B$2,D57+$A57&gt;=$B$1),D57,""))),IF(AND(Events!$A59&lt;=$B$2,Events!$A59+$A57&gt;=$B$1),Events!$A59,"")),""))</f>
        <v/>
      </c>
      <c r="F57">
        <f>IF(E57="","",E57+A57)</f>
        <v/>
      </c>
      <c r="G57">
        <f>IF(E57="","",IF(AND(E57&lt;=EOMONTH(Calendar!$K$2,0),F57&gt;=Calendar!$K$2),E57+54/100000,""))</f>
        <v/>
      </c>
      <c r="H57">
        <f>H56+IF(AND($E57&lt;&gt;"",$E57&lt;=H$2,$F57&gt;=H$2),1,0)</f>
        <v/>
      </c>
      <c r="I57">
        <f>I56+IF(AND($E57&lt;&gt;"",$E57&lt;=I$2,$F57&gt;=I$2),1,0)</f>
        <v/>
      </c>
      <c r="J57">
        <f>J56+IF(AND($E57&lt;&gt;"",$E57&lt;=J$2,$F57&gt;=J$2),1,0)</f>
        <v/>
      </c>
      <c r="K57">
        <f>K56+IF(AND($E57&lt;&gt;"",$E57&lt;=K$2,$F57&gt;=K$2),1,0)</f>
        <v/>
      </c>
      <c r="L57">
        <f>L56+IF(AND($E57&lt;&gt;"",$E57&lt;=L$2,$F57&gt;=L$2),1,0)</f>
        <v/>
      </c>
      <c r="M57">
        <f>M56+IF(AND($E57&lt;&gt;"",$E57&lt;=M$2,$F57&gt;=M$2),1,0)</f>
        <v/>
      </c>
      <c r="N57">
        <f>N56+IF(AND($E57&lt;&gt;"",$E57&lt;=N$2,$F57&gt;=N$2),1,0)</f>
        <v/>
      </c>
      <c r="O57">
        <f>O56+IF(AND($E57&lt;&gt;"",$E57&lt;=O$2,$F57&gt;=O$2),1,0)</f>
        <v/>
      </c>
      <c r="P57">
        <f>P56+IF(AND($E57&lt;&gt;"",$E57&lt;=P$2,$F57&gt;=P$2),1,0)</f>
        <v/>
      </c>
      <c r="Q57">
        <f>Q56+IF(AND($E57&lt;&gt;"",$E57&lt;=Q$2,$F57&gt;=Q$2),1,0)</f>
        <v/>
      </c>
      <c r="R57">
        <f>R56+IF(AND($E57&lt;&gt;"",$E57&lt;=R$2,$F57&gt;=R$2),1,0)</f>
        <v/>
      </c>
      <c r="S57">
        <f>S56+IF(AND($E57&lt;&gt;"",$E57&lt;=S$2,$F57&gt;=S$2),1,0)</f>
        <v/>
      </c>
      <c r="T57">
        <f>T56+IF(AND($E57&lt;&gt;"",$E57&lt;=T$2,$F57&gt;=T$2),1,0)</f>
        <v/>
      </c>
      <c r="U57">
        <f>U56+IF(AND($E57&lt;&gt;"",$E57&lt;=U$2,$F57&gt;=U$2),1,0)</f>
        <v/>
      </c>
      <c r="V57">
        <f>V56+IF(AND($E57&lt;&gt;"",$E57&lt;=V$2,$F57&gt;=V$2),1,0)</f>
        <v/>
      </c>
      <c r="W57">
        <f>W56+IF(AND($E57&lt;&gt;"",$E57&lt;=W$2,$F57&gt;=W$2),1,0)</f>
        <v/>
      </c>
      <c r="X57">
        <f>X56+IF(AND($E57&lt;&gt;"",$E57&lt;=X$2,$F57&gt;=X$2),1,0)</f>
        <v/>
      </c>
      <c r="Y57">
        <f>Y56+IF(AND($E57&lt;&gt;"",$E57&lt;=Y$2,$F57&gt;=Y$2),1,0)</f>
        <v/>
      </c>
      <c r="Z57">
        <f>Z56+IF(AND($E57&lt;&gt;"",$E57&lt;=Z$2,$F57&gt;=Z$2),1,0)</f>
        <v/>
      </c>
      <c r="AA57">
        <f>AA56+IF(AND($E57&lt;&gt;"",$E57&lt;=AA$2,$F57&gt;=AA$2),1,0)</f>
        <v/>
      </c>
      <c r="AB57">
        <f>AB56+IF(AND($E57&lt;&gt;"",$E57&lt;=AB$2,$F57&gt;=AB$2),1,0)</f>
        <v/>
      </c>
      <c r="AC57">
        <f>AC56+IF(AND($E57&lt;&gt;"",$E57&lt;=AC$2,$F57&gt;=AC$2),1,0)</f>
        <v/>
      </c>
      <c r="AD57">
        <f>AD56+IF(AND($E57&lt;&gt;"",$E57&lt;=AD$2,$F57&gt;=AD$2),1,0)</f>
        <v/>
      </c>
      <c r="AE57">
        <f>AE56+IF(AND($E57&lt;&gt;"",$E57&lt;=AE$2,$F57&gt;=AE$2),1,0)</f>
        <v/>
      </c>
      <c r="AF57">
        <f>AF56+IF(AND($E57&lt;&gt;"",$E57&lt;=AF$2,$F57&gt;=AF$2),1,0)</f>
        <v/>
      </c>
      <c r="AG57">
        <f>AG56+IF(AND($E57&lt;&gt;"",$E57&lt;=AG$2,$F57&gt;=AG$2),1,0)</f>
        <v/>
      </c>
      <c r="AH57">
        <f>AH56+IF(AND($E57&lt;&gt;"",$E57&lt;=AH$2,$F57&gt;=AH$2),1,0)</f>
        <v/>
      </c>
      <c r="AI57">
        <f>AI56+IF(AND($E57&lt;&gt;"",$E57&lt;=AI$2,$F57&gt;=AI$2),1,0)</f>
        <v/>
      </c>
      <c r="AJ57">
        <f>AJ56+IF(AND($E57&lt;&gt;"",$E57&lt;=AJ$2,$F57&gt;=AJ$2),1,0)</f>
        <v/>
      </c>
      <c r="AK57">
        <f>AK56+IF(AND($E57&lt;&gt;"",$E57&lt;=AK$2,$F57&gt;=AK$2),1,0)</f>
        <v/>
      </c>
      <c r="AL57">
        <f>AL56+IF(AND($E57&lt;&gt;"",$E57&lt;=AL$2,$F57&gt;=AL$2),1,0)</f>
        <v/>
      </c>
      <c r="AM57">
        <f>AM56+IF(AND($E57&lt;&gt;"",$E57&lt;=AM$2,$F57&gt;=AM$2),1,0)</f>
        <v/>
      </c>
      <c r="AN57">
        <f>AN56+IF(AND($E57&lt;&gt;"",$E57&lt;=AN$2,$F57&gt;=AN$2),1,0)</f>
        <v/>
      </c>
      <c r="AO57">
        <f>AO56+IF(AND($E57&lt;&gt;"",$E57&lt;=AO$2,$F57&gt;=AO$2),1,0)</f>
        <v/>
      </c>
      <c r="AP57">
        <f>AP56+IF(AND($E57&lt;&gt;"",$E57&lt;=AP$2,$F57&gt;=AP$2),1,0)</f>
        <v/>
      </c>
      <c r="AQ57">
        <f>AQ56+IF(AND($E57&lt;&gt;"",$E57&lt;=AQ$2,$F57&gt;=AQ$2),1,0)</f>
        <v/>
      </c>
      <c r="AR57">
        <f>AR56+IF(AND($E57&lt;&gt;"",$E57&lt;=AR$2,$F57&gt;=AR$2),1,0)</f>
        <v/>
      </c>
      <c r="AS57">
        <f>AS56+IF(AND($E57&lt;&gt;"",$E57&lt;=AS$2,$F57&gt;=AS$2),1,0)</f>
        <v/>
      </c>
      <c r="AT57">
        <f>AT56+IF(AND($E57&lt;&gt;"",$E57&lt;=AT$2,$F57&gt;=AT$2),1,0)</f>
        <v/>
      </c>
      <c r="AU57">
        <f>AU56+IF(AND($E57&lt;&gt;"",$E57&lt;=AU$2,$F57&gt;=AU$2),1,0)</f>
        <v/>
      </c>
      <c r="AV57">
        <f>AV56+IF(AND($E57&lt;&gt;"",$E57&lt;=AV$2,$F57&gt;=AV$2),1,0)</f>
        <v/>
      </c>
      <c r="AW57">
        <f>AW56+IF(AND($E57&lt;&gt;"",$E57&lt;=AW$2,$F57&gt;=AW$2),1,0)</f>
        <v/>
      </c>
    </row>
    <row r="58">
      <c r="A58">
        <f>IF(AND(ISNUMBER(Events!$A60),ISNUMBER(Events!$B60)),MAX(0,Events!$B60-Events!$A60),0)</f>
        <v/>
      </c>
      <c r="B58">
        <f>IF(ISNUMBER(Events!$A60),DATE(YEAR($B$1)-1,MONTH(Events!$A60),DAY(Events!$A60)),"")</f>
        <v/>
      </c>
      <c r="C58">
        <f>IF(ISNUMBER(Events!$A60),DATE(YEAR($B$1),MONTH(Events!$A60),DAY(Events!$A60)),"")</f>
        <v/>
      </c>
      <c r="D58">
        <f>IF(ISNUMBER(Events!$A60),DATE(YEAR($B$2),MONTH(Events!$A60),DAY(Events!$A60)),"")</f>
        <v/>
      </c>
      <c r="E58">
        <f>IF(OR(NOT(ISNUMBER(Events!$A60)),Events!$G60="No",Calendar!$H$4="None"),"",IF(OR(Calendar!$H$4="All events",Events!$D60=Calendar!$H$4),IF(Events!$E60="Yes",IF(AND(B58&gt;=Events!$A60,B58&lt;=$B$2,B58+$A58&gt;=$B$1),B58,IF(AND(C58&gt;=Events!$A60,C58&lt;=$B$2,C58+$A58&gt;=$B$1),C58,IF(AND(D58&gt;=Events!$A60,D58&lt;=$B$2,D58+$A58&gt;=$B$1),D58,""))),IF(AND(Events!$A60&lt;=$B$2,Events!$A60+$A58&gt;=$B$1),Events!$A60,"")),""))</f>
        <v/>
      </c>
      <c r="F58">
        <f>IF(E58="","",E58+A58)</f>
        <v/>
      </c>
      <c r="G58">
        <f>IF(E58="","",IF(AND(E58&lt;=EOMONTH(Calendar!$K$2,0),F58&gt;=Calendar!$K$2),E58+55/100000,""))</f>
        <v/>
      </c>
      <c r="H58">
        <f>H57+IF(AND($E58&lt;&gt;"",$E58&lt;=H$2,$F58&gt;=H$2),1,0)</f>
        <v/>
      </c>
      <c r="I58">
        <f>I57+IF(AND($E58&lt;&gt;"",$E58&lt;=I$2,$F58&gt;=I$2),1,0)</f>
        <v/>
      </c>
      <c r="J58">
        <f>J57+IF(AND($E58&lt;&gt;"",$E58&lt;=J$2,$F58&gt;=J$2),1,0)</f>
        <v/>
      </c>
      <c r="K58">
        <f>K57+IF(AND($E58&lt;&gt;"",$E58&lt;=K$2,$F58&gt;=K$2),1,0)</f>
        <v/>
      </c>
      <c r="L58">
        <f>L57+IF(AND($E58&lt;&gt;"",$E58&lt;=L$2,$F58&gt;=L$2),1,0)</f>
        <v/>
      </c>
      <c r="M58">
        <f>M57+IF(AND($E58&lt;&gt;"",$E58&lt;=M$2,$F58&gt;=M$2),1,0)</f>
        <v/>
      </c>
      <c r="N58">
        <f>N57+IF(AND($E58&lt;&gt;"",$E58&lt;=N$2,$F58&gt;=N$2),1,0)</f>
        <v/>
      </c>
      <c r="O58">
        <f>O57+IF(AND($E58&lt;&gt;"",$E58&lt;=O$2,$F58&gt;=O$2),1,0)</f>
        <v/>
      </c>
      <c r="P58">
        <f>P57+IF(AND($E58&lt;&gt;"",$E58&lt;=P$2,$F58&gt;=P$2),1,0)</f>
        <v/>
      </c>
      <c r="Q58">
        <f>Q57+IF(AND($E58&lt;&gt;"",$E58&lt;=Q$2,$F58&gt;=Q$2),1,0)</f>
        <v/>
      </c>
      <c r="R58">
        <f>R57+IF(AND($E58&lt;&gt;"",$E58&lt;=R$2,$F58&gt;=R$2),1,0)</f>
        <v/>
      </c>
      <c r="S58">
        <f>S57+IF(AND($E58&lt;&gt;"",$E58&lt;=S$2,$F58&gt;=S$2),1,0)</f>
        <v/>
      </c>
      <c r="T58">
        <f>T57+IF(AND($E58&lt;&gt;"",$E58&lt;=T$2,$F58&gt;=T$2),1,0)</f>
        <v/>
      </c>
      <c r="U58">
        <f>U57+IF(AND($E58&lt;&gt;"",$E58&lt;=U$2,$F58&gt;=U$2),1,0)</f>
        <v/>
      </c>
      <c r="V58">
        <f>V57+IF(AND($E58&lt;&gt;"",$E58&lt;=V$2,$F58&gt;=V$2),1,0)</f>
        <v/>
      </c>
      <c r="W58">
        <f>W57+IF(AND($E58&lt;&gt;"",$E58&lt;=W$2,$F58&gt;=W$2),1,0)</f>
        <v/>
      </c>
      <c r="X58">
        <f>X57+IF(AND($E58&lt;&gt;"",$E58&lt;=X$2,$F58&gt;=X$2),1,0)</f>
        <v/>
      </c>
      <c r="Y58">
        <f>Y57+IF(AND($E58&lt;&gt;"",$E58&lt;=Y$2,$F58&gt;=Y$2),1,0)</f>
        <v/>
      </c>
      <c r="Z58">
        <f>Z57+IF(AND($E58&lt;&gt;"",$E58&lt;=Z$2,$F58&gt;=Z$2),1,0)</f>
        <v/>
      </c>
      <c r="AA58">
        <f>AA57+IF(AND($E58&lt;&gt;"",$E58&lt;=AA$2,$F58&gt;=AA$2),1,0)</f>
        <v/>
      </c>
      <c r="AB58">
        <f>AB57+IF(AND($E58&lt;&gt;"",$E58&lt;=AB$2,$F58&gt;=AB$2),1,0)</f>
        <v/>
      </c>
      <c r="AC58">
        <f>AC57+IF(AND($E58&lt;&gt;"",$E58&lt;=AC$2,$F58&gt;=AC$2),1,0)</f>
        <v/>
      </c>
      <c r="AD58">
        <f>AD57+IF(AND($E58&lt;&gt;"",$E58&lt;=AD$2,$F58&gt;=AD$2),1,0)</f>
        <v/>
      </c>
      <c r="AE58">
        <f>AE57+IF(AND($E58&lt;&gt;"",$E58&lt;=AE$2,$F58&gt;=AE$2),1,0)</f>
        <v/>
      </c>
      <c r="AF58">
        <f>AF57+IF(AND($E58&lt;&gt;"",$E58&lt;=AF$2,$F58&gt;=AF$2),1,0)</f>
        <v/>
      </c>
      <c r="AG58">
        <f>AG57+IF(AND($E58&lt;&gt;"",$E58&lt;=AG$2,$F58&gt;=AG$2),1,0)</f>
        <v/>
      </c>
      <c r="AH58">
        <f>AH57+IF(AND($E58&lt;&gt;"",$E58&lt;=AH$2,$F58&gt;=AH$2),1,0)</f>
        <v/>
      </c>
      <c r="AI58">
        <f>AI57+IF(AND($E58&lt;&gt;"",$E58&lt;=AI$2,$F58&gt;=AI$2),1,0)</f>
        <v/>
      </c>
      <c r="AJ58">
        <f>AJ57+IF(AND($E58&lt;&gt;"",$E58&lt;=AJ$2,$F58&gt;=AJ$2),1,0)</f>
        <v/>
      </c>
      <c r="AK58">
        <f>AK57+IF(AND($E58&lt;&gt;"",$E58&lt;=AK$2,$F58&gt;=AK$2),1,0)</f>
        <v/>
      </c>
      <c r="AL58">
        <f>AL57+IF(AND($E58&lt;&gt;"",$E58&lt;=AL$2,$F58&gt;=AL$2),1,0)</f>
        <v/>
      </c>
      <c r="AM58">
        <f>AM57+IF(AND($E58&lt;&gt;"",$E58&lt;=AM$2,$F58&gt;=AM$2),1,0)</f>
        <v/>
      </c>
      <c r="AN58">
        <f>AN57+IF(AND($E58&lt;&gt;"",$E58&lt;=AN$2,$F58&gt;=AN$2),1,0)</f>
        <v/>
      </c>
      <c r="AO58">
        <f>AO57+IF(AND($E58&lt;&gt;"",$E58&lt;=AO$2,$F58&gt;=AO$2),1,0)</f>
        <v/>
      </c>
      <c r="AP58">
        <f>AP57+IF(AND($E58&lt;&gt;"",$E58&lt;=AP$2,$F58&gt;=AP$2),1,0)</f>
        <v/>
      </c>
      <c r="AQ58">
        <f>AQ57+IF(AND($E58&lt;&gt;"",$E58&lt;=AQ$2,$F58&gt;=AQ$2),1,0)</f>
        <v/>
      </c>
      <c r="AR58">
        <f>AR57+IF(AND($E58&lt;&gt;"",$E58&lt;=AR$2,$F58&gt;=AR$2),1,0)</f>
        <v/>
      </c>
      <c r="AS58">
        <f>AS57+IF(AND($E58&lt;&gt;"",$E58&lt;=AS$2,$F58&gt;=AS$2),1,0)</f>
        <v/>
      </c>
      <c r="AT58">
        <f>AT57+IF(AND($E58&lt;&gt;"",$E58&lt;=AT$2,$F58&gt;=AT$2),1,0)</f>
        <v/>
      </c>
      <c r="AU58">
        <f>AU57+IF(AND($E58&lt;&gt;"",$E58&lt;=AU$2,$F58&gt;=AU$2),1,0)</f>
        <v/>
      </c>
      <c r="AV58">
        <f>AV57+IF(AND($E58&lt;&gt;"",$E58&lt;=AV$2,$F58&gt;=AV$2),1,0)</f>
        <v/>
      </c>
      <c r="AW58">
        <f>AW57+IF(AND($E58&lt;&gt;"",$E58&lt;=AW$2,$F58&gt;=AW$2),1,0)</f>
        <v/>
      </c>
    </row>
    <row r="59">
      <c r="A59">
        <f>IF(AND(ISNUMBER(Events!$A61),ISNUMBER(Events!$B61)),MAX(0,Events!$B61-Events!$A61),0)</f>
        <v/>
      </c>
      <c r="B59">
        <f>IF(ISNUMBER(Events!$A61),DATE(YEAR($B$1)-1,MONTH(Events!$A61),DAY(Events!$A61)),"")</f>
        <v/>
      </c>
      <c r="C59">
        <f>IF(ISNUMBER(Events!$A61),DATE(YEAR($B$1),MONTH(Events!$A61),DAY(Events!$A61)),"")</f>
        <v/>
      </c>
      <c r="D59">
        <f>IF(ISNUMBER(Events!$A61),DATE(YEAR($B$2),MONTH(Events!$A61),DAY(Events!$A61)),"")</f>
        <v/>
      </c>
      <c r="E59">
        <f>IF(OR(NOT(ISNUMBER(Events!$A61)),Events!$G61="No",Calendar!$H$4="None"),"",IF(OR(Calendar!$H$4="All events",Events!$D61=Calendar!$H$4),IF(Events!$E61="Yes",IF(AND(B59&gt;=Events!$A61,B59&lt;=$B$2,B59+$A59&gt;=$B$1),B59,IF(AND(C59&gt;=Events!$A61,C59&lt;=$B$2,C59+$A59&gt;=$B$1),C59,IF(AND(D59&gt;=Events!$A61,D59&lt;=$B$2,D59+$A59&gt;=$B$1),D59,""))),IF(AND(Events!$A61&lt;=$B$2,Events!$A61+$A59&gt;=$B$1),Events!$A61,"")),""))</f>
        <v/>
      </c>
      <c r="F59">
        <f>IF(E59="","",E59+A59)</f>
        <v/>
      </c>
      <c r="G59">
        <f>IF(E59="","",IF(AND(E59&lt;=EOMONTH(Calendar!$K$2,0),F59&gt;=Calendar!$K$2),E59+56/100000,""))</f>
        <v/>
      </c>
      <c r="H59">
        <f>H58+IF(AND($E59&lt;&gt;"",$E59&lt;=H$2,$F59&gt;=H$2),1,0)</f>
        <v/>
      </c>
      <c r="I59">
        <f>I58+IF(AND($E59&lt;&gt;"",$E59&lt;=I$2,$F59&gt;=I$2),1,0)</f>
        <v/>
      </c>
      <c r="J59">
        <f>J58+IF(AND($E59&lt;&gt;"",$E59&lt;=J$2,$F59&gt;=J$2),1,0)</f>
        <v/>
      </c>
      <c r="K59">
        <f>K58+IF(AND($E59&lt;&gt;"",$E59&lt;=K$2,$F59&gt;=K$2),1,0)</f>
        <v/>
      </c>
      <c r="L59">
        <f>L58+IF(AND($E59&lt;&gt;"",$E59&lt;=L$2,$F59&gt;=L$2),1,0)</f>
        <v/>
      </c>
      <c r="M59">
        <f>M58+IF(AND($E59&lt;&gt;"",$E59&lt;=M$2,$F59&gt;=M$2),1,0)</f>
        <v/>
      </c>
      <c r="N59">
        <f>N58+IF(AND($E59&lt;&gt;"",$E59&lt;=N$2,$F59&gt;=N$2),1,0)</f>
        <v/>
      </c>
      <c r="O59">
        <f>O58+IF(AND($E59&lt;&gt;"",$E59&lt;=O$2,$F59&gt;=O$2),1,0)</f>
        <v/>
      </c>
      <c r="P59">
        <f>P58+IF(AND($E59&lt;&gt;"",$E59&lt;=P$2,$F59&gt;=P$2),1,0)</f>
        <v/>
      </c>
      <c r="Q59">
        <f>Q58+IF(AND($E59&lt;&gt;"",$E59&lt;=Q$2,$F59&gt;=Q$2),1,0)</f>
        <v/>
      </c>
      <c r="R59">
        <f>R58+IF(AND($E59&lt;&gt;"",$E59&lt;=R$2,$F59&gt;=R$2),1,0)</f>
        <v/>
      </c>
      <c r="S59">
        <f>S58+IF(AND($E59&lt;&gt;"",$E59&lt;=S$2,$F59&gt;=S$2),1,0)</f>
        <v/>
      </c>
      <c r="T59">
        <f>T58+IF(AND($E59&lt;&gt;"",$E59&lt;=T$2,$F59&gt;=T$2),1,0)</f>
        <v/>
      </c>
      <c r="U59">
        <f>U58+IF(AND($E59&lt;&gt;"",$E59&lt;=U$2,$F59&gt;=U$2),1,0)</f>
        <v/>
      </c>
      <c r="V59">
        <f>V58+IF(AND($E59&lt;&gt;"",$E59&lt;=V$2,$F59&gt;=V$2),1,0)</f>
        <v/>
      </c>
      <c r="W59">
        <f>W58+IF(AND($E59&lt;&gt;"",$E59&lt;=W$2,$F59&gt;=W$2),1,0)</f>
        <v/>
      </c>
      <c r="X59">
        <f>X58+IF(AND($E59&lt;&gt;"",$E59&lt;=X$2,$F59&gt;=X$2),1,0)</f>
        <v/>
      </c>
      <c r="Y59">
        <f>Y58+IF(AND($E59&lt;&gt;"",$E59&lt;=Y$2,$F59&gt;=Y$2),1,0)</f>
        <v/>
      </c>
      <c r="Z59">
        <f>Z58+IF(AND($E59&lt;&gt;"",$E59&lt;=Z$2,$F59&gt;=Z$2),1,0)</f>
        <v/>
      </c>
      <c r="AA59">
        <f>AA58+IF(AND($E59&lt;&gt;"",$E59&lt;=AA$2,$F59&gt;=AA$2),1,0)</f>
        <v/>
      </c>
      <c r="AB59">
        <f>AB58+IF(AND($E59&lt;&gt;"",$E59&lt;=AB$2,$F59&gt;=AB$2),1,0)</f>
        <v/>
      </c>
      <c r="AC59">
        <f>AC58+IF(AND($E59&lt;&gt;"",$E59&lt;=AC$2,$F59&gt;=AC$2),1,0)</f>
        <v/>
      </c>
      <c r="AD59">
        <f>AD58+IF(AND($E59&lt;&gt;"",$E59&lt;=AD$2,$F59&gt;=AD$2),1,0)</f>
        <v/>
      </c>
      <c r="AE59">
        <f>AE58+IF(AND($E59&lt;&gt;"",$E59&lt;=AE$2,$F59&gt;=AE$2),1,0)</f>
        <v/>
      </c>
      <c r="AF59">
        <f>AF58+IF(AND($E59&lt;&gt;"",$E59&lt;=AF$2,$F59&gt;=AF$2),1,0)</f>
        <v/>
      </c>
      <c r="AG59">
        <f>AG58+IF(AND($E59&lt;&gt;"",$E59&lt;=AG$2,$F59&gt;=AG$2),1,0)</f>
        <v/>
      </c>
      <c r="AH59">
        <f>AH58+IF(AND($E59&lt;&gt;"",$E59&lt;=AH$2,$F59&gt;=AH$2),1,0)</f>
        <v/>
      </c>
      <c r="AI59">
        <f>AI58+IF(AND($E59&lt;&gt;"",$E59&lt;=AI$2,$F59&gt;=AI$2),1,0)</f>
        <v/>
      </c>
      <c r="AJ59">
        <f>AJ58+IF(AND($E59&lt;&gt;"",$E59&lt;=AJ$2,$F59&gt;=AJ$2),1,0)</f>
        <v/>
      </c>
      <c r="AK59">
        <f>AK58+IF(AND($E59&lt;&gt;"",$E59&lt;=AK$2,$F59&gt;=AK$2),1,0)</f>
        <v/>
      </c>
      <c r="AL59">
        <f>AL58+IF(AND($E59&lt;&gt;"",$E59&lt;=AL$2,$F59&gt;=AL$2),1,0)</f>
        <v/>
      </c>
      <c r="AM59">
        <f>AM58+IF(AND($E59&lt;&gt;"",$E59&lt;=AM$2,$F59&gt;=AM$2),1,0)</f>
        <v/>
      </c>
      <c r="AN59">
        <f>AN58+IF(AND($E59&lt;&gt;"",$E59&lt;=AN$2,$F59&gt;=AN$2),1,0)</f>
        <v/>
      </c>
      <c r="AO59">
        <f>AO58+IF(AND($E59&lt;&gt;"",$E59&lt;=AO$2,$F59&gt;=AO$2),1,0)</f>
        <v/>
      </c>
      <c r="AP59">
        <f>AP58+IF(AND($E59&lt;&gt;"",$E59&lt;=AP$2,$F59&gt;=AP$2),1,0)</f>
        <v/>
      </c>
      <c r="AQ59">
        <f>AQ58+IF(AND($E59&lt;&gt;"",$E59&lt;=AQ$2,$F59&gt;=AQ$2),1,0)</f>
        <v/>
      </c>
      <c r="AR59">
        <f>AR58+IF(AND($E59&lt;&gt;"",$E59&lt;=AR$2,$F59&gt;=AR$2),1,0)</f>
        <v/>
      </c>
      <c r="AS59">
        <f>AS58+IF(AND($E59&lt;&gt;"",$E59&lt;=AS$2,$F59&gt;=AS$2),1,0)</f>
        <v/>
      </c>
      <c r="AT59">
        <f>AT58+IF(AND($E59&lt;&gt;"",$E59&lt;=AT$2,$F59&gt;=AT$2),1,0)</f>
        <v/>
      </c>
      <c r="AU59">
        <f>AU58+IF(AND($E59&lt;&gt;"",$E59&lt;=AU$2,$F59&gt;=AU$2),1,0)</f>
        <v/>
      </c>
      <c r="AV59">
        <f>AV58+IF(AND($E59&lt;&gt;"",$E59&lt;=AV$2,$F59&gt;=AV$2),1,0)</f>
        <v/>
      </c>
      <c r="AW59">
        <f>AW58+IF(AND($E59&lt;&gt;"",$E59&lt;=AW$2,$F59&gt;=AW$2),1,0)</f>
        <v/>
      </c>
    </row>
    <row r="60">
      <c r="A60">
        <f>IF(AND(ISNUMBER(Events!$A62),ISNUMBER(Events!$B62)),MAX(0,Events!$B62-Events!$A62),0)</f>
        <v/>
      </c>
      <c r="B60">
        <f>IF(ISNUMBER(Events!$A62),DATE(YEAR($B$1)-1,MONTH(Events!$A62),DAY(Events!$A62)),"")</f>
        <v/>
      </c>
      <c r="C60">
        <f>IF(ISNUMBER(Events!$A62),DATE(YEAR($B$1),MONTH(Events!$A62),DAY(Events!$A62)),"")</f>
        <v/>
      </c>
      <c r="D60">
        <f>IF(ISNUMBER(Events!$A62),DATE(YEAR($B$2),MONTH(Events!$A62),DAY(Events!$A62)),"")</f>
        <v/>
      </c>
      <c r="E60">
        <f>IF(OR(NOT(ISNUMBER(Events!$A62)),Events!$G62="No",Calendar!$H$4="None"),"",IF(OR(Calendar!$H$4="All events",Events!$D62=Calendar!$H$4),IF(Events!$E62="Yes",IF(AND(B60&gt;=Events!$A62,B60&lt;=$B$2,B60+$A60&gt;=$B$1),B60,IF(AND(C60&gt;=Events!$A62,C60&lt;=$B$2,C60+$A60&gt;=$B$1),C60,IF(AND(D60&gt;=Events!$A62,D60&lt;=$B$2,D60+$A60&gt;=$B$1),D60,""))),IF(AND(Events!$A62&lt;=$B$2,Events!$A62+$A60&gt;=$B$1),Events!$A62,"")),""))</f>
        <v/>
      </c>
      <c r="F60">
        <f>IF(E60="","",E60+A60)</f>
        <v/>
      </c>
      <c r="G60">
        <f>IF(E60="","",IF(AND(E60&lt;=EOMONTH(Calendar!$K$2,0),F60&gt;=Calendar!$K$2),E60+57/100000,""))</f>
        <v/>
      </c>
      <c r="H60">
        <f>H59+IF(AND($E60&lt;&gt;"",$E60&lt;=H$2,$F60&gt;=H$2),1,0)</f>
        <v/>
      </c>
      <c r="I60">
        <f>I59+IF(AND($E60&lt;&gt;"",$E60&lt;=I$2,$F60&gt;=I$2),1,0)</f>
        <v/>
      </c>
      <c r="J60">
        <f>J59+IF(AND($E60&lt;&gt;"",$E60&lt;=J$2,$F60&gt;=J$2),1,0)</f>
        <v/>
      </c>
      <c r="K60">
        <f>K59+IF(AND($E60&lt;&gt;"",$E60&lt;=K$2,$F60&gt;=K$2),1,0)</f>
        <v/>
      </c>
      <c r="L60">
        <f>L59+IF(AND($E60&lt;&gt;"",$E60&lt;=L$2,$F60&gt;=L$2),1,0)</f>
        <v/>
      </c>
      <c r="M60">
        <f>M59+IF(AND($E60&lt;&gt;"",$E60&lt;=M$2,$F60&gt;=M$2),1,0)</f>
        <v/>
      </c>
      <c r="N60">
        <f>N59+IF(AND($E60&lt;&gt;"",$E60&lt;=N$2,$F60&gt;=N$2),1,0)</f>
        <v/>
      </c>
      <c r="O60">
        <f>O59+IF(AND($E60&lt;&gt;"",$E60&lt;=O$2,$F60&gt;=O$2),1,0)</f>
        <v/>
      </c>
      <c r="P60">
        <f>P59+IF(AND($E60&lt;&gt;"",$E60&lt;=P$2,$F60&gt;=P$2),1,0)</f>
        <v/>
      </c>
      <c r="Q60">
        <f>Q59+IF(AND($E60&lt;&gt;"",$E60&lt;=Q$2,$F60&gt;=Q$2),1,0)</f>
        <v/>
      </c>
      <c r="R60">
        <f>R59+IF(AND($E60&lt;&gt;"",$E60&lt;=R$2,$F60&gt;=R$2),1,0)</f>
        <v/>
      </c>
      <c r="S60">
        <f>S59+IF(AND($E60&lt;&gt;"",$E60&lt;=S$2,$F60&gt;=S$2),1,0)</f>
        <v/>
      </c>
      <c r="T60">
        <f>T59+IF(AND($E60&lt;&gt;"",$E60&lt;=T$2,$F60&gt;=T$2),1,0)</f>
        <v/>
      </c>
      <c r="U60">
        <f>U59+IF(AND($E60&lt;&gt;"",$E60&lt;=U$2,$F60&gt;=U$2),1,0)</f>
        <v/>
      </c>
      <c r="V60">
        <f>V59+IF(AND($E60&lt;&gt;"",$E60&lt;=V$2,$F60&gt;=V$2),1,0)</f>
        <v/>
      </c>
      <c r="W60">
        <f>W59+IF(AND($E60&lt;&gt;"",$E60&lt;=W$2,$F60&gt;=W$2),1,0)</f>
        <v/>
      </c>
      <c r="X60">
        <f>X59+IF(AND($E60&lt;&gt;"",$E60&lt;=X$2,$F60&gt;=X$2),1,0)</f>
        <v/>
      </c>
      <c r="Y60">
        <f>Y59+IF(AND($E60&lt;&gt;"",$E60&lt;=Y$2,$F60&gt;=Y$2),1,0)</f>
        <v/>
      </c>
      <c r="Z60">
        <f>Z59+IF(AND($E60&lt;&gt;"",$E60&lt;=Z$2,$F60&gt;=Z$2),1,0)</f>
        <v/>
      </c>
      <c r="AA60">
        <f>AA59+IF(AND($E60&lt;&gt;"",$E60&lt;=AA$2,$F60&gt;=AA$2),1,0)</f>
        <v/>
      </c>
      <c r="AB60">
        <f>AB59+IF(AND($E60&lt;&gt;"",$E60&lt;=AB$2,$F60&gt;=AB$2),1,0)</f>
        <v/>
      </c>
      <c r="AC60">
        <f>AC59+IF(AND($E60&lt;&gt;"",$E60&lt;=AC$2,$F60&gt;=AC$2),1,0)</f>
        <v/>
      </c>
      <c r="AD60">
        <f>AD59+IF(AND($E60&lt;&gt;"",$E60&lt;=AD$2,$F60&gt;=AD$2),1,0)</f>
        <v/>
      </c>
      <c r="AE60">
        <f>AE59+IF(AND($E60&lt;&gt;"",$E60&lt;=AE$2,$F60&gt;=AE$2),1,0)</f>
        <v/>
      </c>
      <c r="AF60">
        <f>AF59+IF(AND($E60&lt;&gt;"",$E60&lt;=AF$2,$F60&gt;=AF$2),1,0)</f>
        <v/>
      </c>
      <c r="AG60">
        <f>AG59+IF(AND($E60&lt;&gt;"",$E60&lt;=AG$2,$F60&gt;=AG$2),1,0)</f>
        <v/>
      </c>
      <c r="AH60">
        <f>AH59+IF(AND($E60&lt;&gt;"",$E60&lt;=AH$2,$F60&gt;=AH$2),1,0)</f>
        <v/>
      </c>
      <c r="AI60">
        <f>AI59+IF(AND($E60&lt;&gt;"",$E60&lt;=AI$2,$F60&gt;=AI$2),1,0)</f>
        <v/>
      </c>
      <c r="AJ60">
        <f>AJ59+IF(AND($E60&lt;&gt;"",$E60&lt;=AJ$2,$F60&gt;=AJ$2),1,0)</f>
        <v/>
      </c>
      <c r="AK60">
        <f>AK59+IF(AND($E60&lt;&gt;"",$E60&lt;=AK$2,$F60&gt;=AK$2),1,0)</f>
        <v/>
      </c>
      <c r="AL60">
        <f>AL59+IF(AND($E60&lt;&gt;"",$E60&lt;=AL$2,$F60&gt;=AL$2),1,0)</f>
        <v/>
      </c>
      <c r="AM60">
        <f>AM59+IF(AND($E60&lt;&gt;"",$E60&lt;=AM$2,$F60&gt;=AM$2),1,0)</f>
        <v/>
      </c>
      <c r="AN60">
        <f>AN59+IF(AND($E60&lt;&gt;"",$E60&lt;=AN$2,$F60&gt;=AN$2),1,0)</f>
        <v/>
      </c>
      <c r="AO60">
        <f>AO59+IF(AND($E60&lt;&gt;"",$E60&lt;=AO$2,$F60&gt;=AO$2),1,0)</f>
        <v/>
      </c>
      <c r="AP60">
        <f>AP59+IF(AND($E60&lt;&gt;"",$E60&lt;=AP$2,$F60&gt;=AP$2),1,0)</f>
        <v/>
      </c>
      <c r="AQ60">
        <f>AQ59+IF(AND($E60&lt;&gt;"",$E60&lt;=AQ$2,$F60&gt;=AQ$2),1,0)</f>
        <v/>
      </c>
      <c r="AR60">
        <f>AR59+IF(AND($E60&lt;&gt;"",$E60&lt;=AR$2,$F60&gt;=AR$2),1,0)</f>
        <v/>
      </c>
      <c r="AS60">
        <f>AS59+IF(AND($E60&lt;&gt;"",$E60&lt;=AS$2,$F60&gt;=AS$2),1,0)</f>
        <v/>
      </c>
      <c r="AT60">
        <f>AT59+IF(AND($E60&lt;&gt;"",$E60&lt;=AT$2,$F60&gt;=AT$2),1,0)</f>
        <v/>
      </c>
      <c r="AU60">
        <f>AU59+IF(AND($E60&lt;&gt;"",$E60&lt;=AU$2,$F60&gt;=AU$2),1,0)</f>
        <v/>
      </c>
      <c r="AV60">
        <f>AV59+IF(AND($E60&lt;&gt;"",$E60&lt;=AV$2,$F60&gt;=AV$2),1,0)</f>
        <v/>
      </c>
      <c r="AW60">
        <f>AW59+IF(AND($E60&lt;&gt;"",$E60&lt;=AW$2,$F60&gt;=AW$2),1,0)</f>
        <v/>
      </c>
    </row>
    <row r="61">
      <c r="A61">
        <f>IF(AND(ISNUMBER(Events!$A63),ISNUMBER(Events!$B63)),MAX(0,Events!$B63-Events!$A63),0)</f>
        <v/>
      </c>
      <c r="B61">
        <f>IF(ISNUMBER(Events!$A63),DATE(YEAR($B$1)-1,MONTH(Events!$A63),DAY(Events!$A63)),"")</f>
        <v/>
      </c>
      <c r="C61">
        <f>IF(ISNUMBER(Events!$A63),DATE(YEAR($B$1),MONTH(Events!$A63),DAY(Events!$A63)),"")</f>
        <v/>
      </c>
      <c r="D61">
        <f>IF(ISNUMBER(Events!$A63),DATE(YEAR($B$2),MONTH(Events!$A63),DAY(Events!$A63)),"")</f>
        <v/>
      </c>
      <c r="E61">
        <f>IF(OR(NOT(ISNUMBER(Events!$A63)),Events!$G63="No",Calendar!$H$4="None"),"",IF(OR(Calendar!$H$4="All events",Events!$D63=Calendar!$H$4),IF(Events!$E63="Yes",IF(AND(B61&gt;=Events!$A63,B61&lt;=$B$2,B61+$A61&gt;=$B$1),B61,IF(AND(C61&gt;=Events!$A63,C61&lt;=$B$2,C61+$A61&gt;=$B$1),C61,IF(AND(D61&gt;=Events!$A63,D61&lt;=$B$2,D61+$A61&gt;=$B$1),D61,""))),IF(AND(Events!$A63&lt;=$B$2,Events!$A63+$A61&gt;=$B$1),Events!$A63,"")),""))</f>
        <v/>
      </c>
      <c r="F61">
        <f>IF(E61="","",E61+A61)</f>
        <v/>
      </c>
      <c r="G61">
        <f>IF(E61="","",IF(AND(E61&lt;=EOMONTH(Calendar!$K$2,0),F61&gt;=Calendar!$K$2),E61+58/100000,""))</f>
        <v/>
      </c>
      <c r="H61">
        <f>H60+IF(AND($E61&lt;&gt;"",$E61&lt;=H$2,$F61&gt;=H$2),1,0)</f>
        <v/>
      </c>
      <c r="I61">
        <f>I60+IF(AND($E61&lt;&gt;"",$E61&lt;=I$2,$F61&gt;=I$2),1,0)</f>
        <v/>
      </c>
      <c r="J61">
        <f>J60+IF(AND($E61&lt;&gt;"",$E61&lt;=J$2,$F61&gt;=J$2),1,0)</f>
        <v/>
      </c>
      <c r="K61">
        <f>K60+IF(AND($E61&lt;&gt;"",$E61&lt;=K$2,$F61&gt;=K$2),1,0)</f>
        <v/>
      </c>
      <c r="L61">
        <f>L60+IF(AND($E61&lt;&gt;"",$E61&lt;=L$2,$F61&gt;=L$2),1,0)</f>
        <v/>
      </c>
      <c r="M61">
        <f>M60+IF(AND($E61&lt;&gt;"",$E61&lt;=M$2,$F61&gt;=M$2),1,0)</f>
        <v/>
      </c>
      <c r="N61">
        <f>N60+IF(AND($E61&lt;&gt;"",$E61&lt;=N$2,$F61&gt;=N$2),1,0)</f>
        <v/>
      </c>
      <c r="O61">
        <f>O60+IF(AND($E61&lt;&gt;"",$E61&lt;=O$2,$F61&gt;=O$2),1,0)</f>
        <v/>
      </c>
      <c r="P61">
        <f>P60+IF(AND($E61&lt;&gt;"",$E61&lt;=P$2,$F61&gt;=P$2),1,0)</f>
        <v/>
      </c>
      <c r="Q61">
        <f>Q60+IF(AND($E61&lt;&gt;"",$E61&lt;=Q$2,$F61&gt;=Q$2),1,0)</f>
        <v/>
      </c>
      <c r="R61">
        <f>R60+IF(AND($E61&lt;&gt;"",$E61&lt;=R$2,$F61&gt;=R$2),1,0)</f>
        <v/>
      </c>
      <c r="S61">
        <f>S60+IF(AND($E61&lt;&gt;"",$E61&lt;=S$2,$F61&gt;=S$2),1,0)</f>
        <v/>
      </c>
      <c r="T61">
        <f>T60+IF(AND($E61&lt;&gt;"",$E61&lt;=T$2,$F61&gt;=T$2),1,0)</f>
        <v/>
      </c>
      <c r="U61">
        <f>U60+IF(AND($E61&lt;&gt;"",$E61&lt;=U$2,$F61&gt;=U$2),1,0)</f>
        <v/>
      </c>
      <c r="V61">
        <f>V60+IF(AND($E61&lt;&gt;"",$E61&lt;=V$2,$F61&gt;=V$2),1,0)</f>
        <v/>
      </c>
      <c r="W61">
        <f>W60+IF(AND($E61&lt;&gt;"",$E61&lt;=W$2,$F61&gt;=W$2),1,0)</f>
        <v/>
      </c>
      <c r="X61">
        <f>X60+IF(AND($E61&lt;&gt;"",$E61&lt;=X$2,$F61&gt;=X$2),1,0)</f>
        <v/>
      </c>
      <c r="Y61">
        <f>Y60+IF(AND($E61&lt;&gt;"",$E61&lt;=Y$2,$F61&gt;=Y$2),1,0)</f>
        <v/>
      </c>
      <c r="Z61">
        <f>Z60+IF(AND($E61&lt;&gt;"",$E61&lt;=Z$2,$F61&gt;=Z$2),1,0)</f>
        <v/>
      </c>
      <c r="AA61">
        <f>AA60+IF(AND($E61&lt;&gt;"",$E61&lt;=AA$2,$F61&gt;=AA$2),1,0)</f>
        <v/>
      </c>
      <c r="AB61">
        <f>AB60+IF(AND($E61&lt;&gt;"",$E61&lt;=AB$2,$F61&gt;=AB$2),1,0)</f>
        <v/>
      </c>
      <c r="AC61">
        <f>AC60+IF(AND($E61&lt;&gt;"",$E61&lt;=AC$2,$F61&gt;=AC$2),1,0)</f>
        <v/>
      </c>
      <c r="AD61">
        <f>AD60+IF(AND($E61&lt;&gt;"",$E61&lt;=AD$2,$F61&gt;=AD$2),1,0)</f>
        <v/>
      </c>
      <c r="AE61">
        <f>AE60+IF(AND($E61&lt;&gt;"",$E61&lt;=AE$2,$F61&gt;=AE$2),1,0)</f>
        <v/>
      </c>
      <c r="AF61">
        <f>AF60+IF(AND($E61&lt;&gt;"",$E61&lt;=AF$2,$F61&gt;=AF$2),1,0)</f>
        <v/>
      </c>
      <c r="AG61">
        <f>AG60+IF(AND($E61&lt;&gt;"",$E61&lt;=AG$2,$F61&gt;=AG$2),1,0)</f>
        <v/>
      </c>
      <c r="AH61">
        <f>AH60+IF(AND($E61&lt;&gt;"",$E61&lt;=AH$2,$F61&gt;=AH$2),1,0)</f>
        <v/>
      </c>
      <c r="AI61">
        <f>AI60+IF(AND($E61&lt;&gt;"",$E61&lt;=AI$2,$F61&gt;=AI$2),1,0)</f>
        <v/>
      </c>
      <c r="AJ61">
        <f>AJ60+IF(AND($E61&lt;&gt;"",$E61&lt;=AJ$2,$F61&gt;=AJ$2),1,0)</f>
        <v/>
      </c>
      <c r="AK61">
        <f>AK60+IF(AND($E61&lt;&gt;"",$E61&lt;=AK$2,$F61&gt;=AK$2),1,0)</f>
        <v/>
      </c>
      <c r="AL61">
        <f>AL60+IF(AND($E61&lt;&gt;"",$E61&lt;=AL$2,$F61&gt;=AL$2),1,0)</f>
        <v/>
      </c>
      <c r="AM61">
        <f>AM60+IF(AND($E61&lt;&gt;"",$E61&lt;=AM$2,$F61&gt;=AM$2),1,0)</f>
        <v/>
      </c>
      <c r="AN61">
        <f>AN60+IF(AND($E61&lt;&gt;"",$E61&lt;=AN$2,$F61&gt;=AN$2),1,0)</f>
        <v/>
      </c>
      <c r="AO61">
        <f>AO60+IF(AND($E61&lt;&gt;"",$E61&lt;=AO$2,$F61&gt;=AO$2),1,0)</f>
        <v/>
      </c>
      <c r="AP61">
        <f>AP60+IF(AND($E61&lt;&gt;"",$E61&lt;=AP$2,$F61&gt;=AP$2),1,0)</f>
        <v/>
      </c>
      <c r="AQ61">
        <f>AQ60+IF(AND($E61&lt;&gt;"",$E61&lt;=AQ$2,$F61&gt;=AQ$2),1,0)</f>
        <v/>
      </c>
      <c r="AR61">
        <f>AR60+IF(AND($E61&lt;&gt;"",$E61&lt;=AR$2,$F61&gt;=AR$2),1,0)</f>
        <v/>
      </c>
      <c r="AS61">
        <f>AS60+IF(AND($E61&lt;&gt;"",$E61&lt;=AS$2,$F61&gt;=AS$2),1,0)</f>
        <v/>
      </c>
      <c r="AT61">
        <f>AT60+IF(AND($E61&lt;&gt;"",$E61&lt;=AT$2,$F61&gt;=AT$2),1,0)</f>
        <v/>
      </c>
      <c r="AU61">
        <f>AU60+IF(AND($E61&lt;&gt;"",$E61&lt;=AU$2,$F61&gt;=AU$2),1,0)</f>
        <v/>
      </c>
      <c r="AV61">
        <f>AV60+IF(AND($E61&lt;&gt;"",$E61&lt;=AV$2,$F61&gt;=AV$2),1,0)</f>
        <v/>
      </c>
      <c r="AW61">
        <f>AW60+IF(AND($E61&lt;&gt;"",$E61&lt;=AW$2,$F61&gt;=AW$2),1,0)</f>
        <v/>
      </c>
    </row>
    <row r="62">
      <c r="A62">
        <f>IF(AND(ISNUMBER(Events!$A64),ISNUMBER(Events!$B64)),MAX(0,Events!$B64-Events!$A64),0)</f>
        <v/>
      </c>
      <c r="B62">
        <f>IF(ISNUMBER(Events!$A64),DATE(YEAR($B$1)-1,MONTH(Events!$A64),DAY(Events!$A64)),"")</f>
        <v/>
      </c>
      <c r="C62">
        <f>IF(ISNUMBER(Events!$A64),DATE(YEAR($B$1),MONTH(Events!$A64),DAY(Events!$A64)),"")</f>
        <v/>
      </c>
      <c r="D62">
        <f>IF(ISNUMBER(Events!$A64),DATE(YEAR($B$2),MONTH(Events!$A64),DAY(Events!$A64)),"")</f>
        <v/>
      </c>
      <c r="E62">
        <f>IF(OR(NOT(ISNUMBER(Events!$A64)),Events!$G64="No",Calendar!$H$4="None"),"",IF(OR(Calendar!$H$4="All events",Events!$D64=Calendar!$H$4),IF(Events!$E64="Yes",IF(AND(B62&gt;=Events!$A64,B62&lt;=$B$2,B62+$A62&gt;=$B$1),B62,IF(AND(C62&gt;=Events!$A64,C62&lt;=$B$2,C62+$A62&gt;=$B$1),C62,IF(AND(D62&gt;=Events!$A64,D62&lt;=$B$2,D62+$A62&gt;=$B$1),D62,""))),IF(AND(Events!$A64&lt;=$B$2,Events!$A64+$A62&gt;=$B$1),Events!$A64,"")),""))</f>
        <v/>
      </c>
      <c r="F62">
        <f>IF(E62="","",E62+A62)</f>
        <v/>
      </c>
      <c r="G62">
        <f>IF(E62="","",IF(AND(E62&lt;=EOMONTH(Calendar!$K$2,0),F62&gt;=Calendar!$K$2),E62+59/100000,""))</f>
        <v/>
      </c>
      <c r="H62">
        <f>H61+IF(AND($E62&lt;&gt;"",$E62&lt;=H$2,$F62&gt;=H$2),1,0)</f>
        <v/>
      </c>
      <c r="I62">
        <f>I61+IF(AND($E62&lt;&gt;"",$E62&lt;=I$2,$F62&gt;=I$2),1,0)</f>
        <v/>
      </c>
      <c r="J62">
        <f>J61+IF(AND($E62&lt;&gt;"",$E62&lt;=J$2,$F62&gt;=J$2),1,0)</f>
        <v/>
      </c>
      <c r="K62">
        <f>K61+IF(AND($E62&lt;&gt;"",$E62&lt;=K$2,$F62&gt;=K$2),1,0)</f>
        <v/>
      </c>
      <c r="L62">
        <f>L61+IF(AND($E62&lt;&gt;"",$E62&lt;=L$2,$F62&gt;=L$2),1,0)</f>
        <v/>
      </c>
      <c r="M62">
        <f>M61+IF(AND($E62&lt;&gt;"",$E62&lt;=M$2,$F62&gt;=M$2),1,0)</f>
        <v/>
      </c>
      <c r="N62">
        <f>N61+IF(AND($E62&lt;&gt;"",$E62&lt;=N$2,$F62&gt;=N$2),1,0)</f>
        <v/>
      </c>
      <c r="O62">
        <f>O61+IF(AND($E62&lt;&gt;"",$E62&lt;=O$2,$F62&gt;=O$2),1,0)</f>
        <v/>
      </c>
      <c r="P62">
        <f>P61+IF(AND($E62&lt;&gt;"",$E62&lt;=P$2,$F62&gt;=P$2),1,0)</f>
        <v/>
      </c>
      <c r="Q62">
        <f>Q61+IF(AND($E62&lt;&gt;"",$E62&lt;=Q$2,$F62&gt;=Q$2),1,0)</f>
        <v/>
      </c>
      <c r="R62">
        <f>R61+IF(AND($E62&lt;&gt;"",$E62&lt;=R$2,$F62&gt;=R$2),1,0)</f>
        <v/>
      </c>
      <c r="S62">
        <f>S61+IF(AND($E62&lt;&gt;"",$E62&lt;=S$2,$F62&gt;=S$2),1,0)</f>
        <v/>
      </c>
      <c r="T62">
        <f>T61+IF(AND($E62&lt;&gt;"",$E62&lt;=T$2,$F62&gt;=T$2),1,0)</f>
        <v/>
      </c>
      <c r="U62">
        <f>U61+IF(AND($E62&lt;&gt;"",$E62&lt;=U$2,$F62&gt;=U$2),1,0)</f>
        <v/>
      </c>
      <c r="V62">
        <f>V61+IF(AND($E62&lt;&gt;"",$E62&lt;=V$2,$F62&gt;=V$2),1,0)</f>
        <v/>
      </c>
      <c r="W62">
        <f>W61+IF(AND($E62&lt;&gt;"",$E62&lt;=W$2,$F62&gt;=W$2),1,0)</f>
        <v/>
      </c>
      <c r="X62">
        <f>X61+IF(AND($E62&lt;&gt;"",$E62&lt;=X$2,$F62&gt;=X$2),1,0)</f>
        <v/>
      </c>
      <c r="Y62">
        <f>Y61+IF(AND($E62&lt;&gt;"",$E62&lt;=Y$2,$F62&gt;=Y$2),1,0)</f>
        <v/>
      </c>
      <c r="Z62">
        <f>Z61+IF(AND($E62&lt;&gt;"",$E62&lt;=Z$2,$F62&gt;=Z$2),1,0)</f>
        <v/>
      </c>
      <c r="AA62">
        <f>AA61+IF(AND($E62&lt;&gt;"",$E62&lt;=AA$2,$F62&gt;=AA$2),1,0)</f>
        <v/>
      </c>
      <c r="AB62">
        <f>AB61+IF(AND($E62&lt;&gt;"",$E62&lt;=AB$2,$F62&gt;=AB$2),1,0)</f>
        <v/>
      </c>
      <c r="AC62">
        <f>AC61+IF(AND($E62&lt;&gt;"",$E62&lt;=AC$2,$F62&gt;=AC$2),1,0)</f>
        <v/>
      </c>
      <c r="AD62">
        <f>AD61+IF(AND($E62&lt;&gt;"",$E62&lt;=AD$2,$F62&gt;=AD$2),1,0)</f>
        <v/>
      </c>
      <c r="AE62">
        <f>AE61+IF(AND($E62&lt;&gt;"",$E62&lt;=AE$2,$F62&gt;=AE$2),1,0)</f>
        <v/>
      </c>
      <c r="AF62">
        <f>AF61+IF(AND($E62&lt;&gt;"",$E62&lt;=AF$2,$F62&gt;=AF$2),1,0)</f>
        <v/>
      </c>
      <c r="AG62">
        <f>AG61+IF(AND($E62&lt;&gt;"",$E62&lt;=AG$2,$F62&gt;=AG$2),1,0)</f>
        <v/>
      </c>
      <c r="AH62">
        <f>AH61+IF(AND($E62&lt;&gt;"",$E62&lt;=AH$2,$F62&gt;=AH$2),1,0)</f>
        <v/>
      </c>
      <c r="AI62">
        <f>AI61+IF(AND($E62&lt;&gt;"",$E62&lt;=AI$2,$F62&gt;=AI$2),1,0)</f>
        <v/>
      </c>
      <c r="AJ62">
        <f>AJ61+IF(AND($E62&lt;&gt;"",$E62&lt;=AJ$2,$F62&gt;=AJ$2),1,0)</f>
        <v/>
      </c>
      <c r="AK62">
        <f>AK61+IF(AND($E62&lt;&gt;"",$E62&lt;=AK$2,$F62&gt;=AK$2),1,0)</f>
        <v/>
      </c>
      <c r="AL62">
        <f>AL61+IF(AND($E62&lt;&gt;"",$E62&lt;=AL$2,$F62&gt;=AL$2),1,0)</f>
        <v/>
      </c>
      <c r="AM62">
        <f>AM61+IF(AND($E62&lt;&gt;"",$E62&lt;=AM$2,$F62&gt;=AM$2),1,0)</f>
        <v/>
      </c>
      <c r="AN62">
        <f>AN61+IF(AND($E62&lt;&gt;"",$E62&lt;=AN$2,$F62&gt;=AN$2),1,0)</f>
        <v/>
      </c>
      <c r="AO62">
        <f>AO61+IF(AND($E62&lt;&gt;"",$E62&lt;=AO$2,$F62&gt;=AO$2),1,0)</f>
        <v/>
      </c>
      <c r="AP62">
        <f>AP61+IF(AND($E62&lt;&gt;"",$E62&lt;=AP$2,$F62&gt;=AP$2),1,0)</f>
        <v/>
      </c>
      <c r="AQ62">
        <f>AQ61+IF(AND($E62&lt;&gt;"",$E62&lt;=AQ$2,$F62&gt;=AQ$2),1,0)</f>
        <v/>
      </c>
      <c r="AR62">
        <f>AR61+IF(AND($E62&lt;&gt;"",$E62&lt;=AR$2,$F62&gt;=AR$2),1,0)</f>
        <v/>
      </c>
      <c r="AS62">
        <f>AS61+IF(AND($E62&lt;&gt;"",$E62&lt;=AS$2,$F62&gt;=AS$2),1,0)</f>
        <v/>
      </c>
      <c r="AT62">
        <f>AT61+IF(AND($E62&lt;&gt;"",$E62&lt;=AT$2,$F62&gt;=AT$2),1,0)</f>
        <v/>
      </c>
      <c r="AU62">
        <f>AU61+IF(AND($E62&lt;&gt;"",$E62&lt;=AU$2,$F62&gt;=AU$2),1,0)</f>
        <v/>
      </c>
      <c r="AV62">
        <f>AV61+IF(AND($E62&lt;&gt;"",$E62&lt;=AV$2,$F62&gt;=AV$2),1,0)</f>
        <v/>
      </c>
      <c r="AW62">
        <f>AW61+IF(AND($E62&lt;&gt;"",$E62&lt;=AW$2,$F62&gt;=AW$2),1,0)</f>
        <v/>
      </c>
    </row>
    <row r="63">
      <c r="A63">
        <f>IF(AND(ISNUMBER(Events!$A65),ISNUMBER(Events!$B65)),MAX(0,Events!$B65-Events!$A65),0)</f>
        <v/>
      </c>
      <c r="B63">
        <f>IF(ISNUMBER(Events!$A65),DATE(YEAR($B$1)-1,MONTH(Events!$A65),DAY(Events!$A65)),"")</f>
        <v/>
      </c>
      <c r="C63">
        <f>IF(ISNUMBER(Events!$A65),DATE(YEAR($B$1),MONTH(Events!$A65),DAY(Events!$A65)),"")</f>
        <v/>
      </c>
      <c r="D63">
        <f>IF(ISNUMBER(Events!$A65),DATE(YEAR($B$2),MONTH(Events!$A65),DAY(Events!$A65)),"")</f>
        <v/>
      </c>
      <c r="E63">
        <f>IF(OR(NOT(ISNUMBER(Events!$A65)),Events!$G65="No",Calendar!$H$4="None"),"",IF(OR(Calendar!$H$4="All events",Events!$D65=Calendar!$H$4),IF(Events!$E65="Yes",IF(AND(B63&gt;=Events!$A65,B63&lt;=$B$2,B63+$A63&gt;=$B$1),B63,IF(AND(C63&gt;=Events!$A65,C63&lt;=$B$2,C63+$A63&gt;=$B$1),C63,IF(AND(D63&gt;=Events!$A65,D63&lt;=$B$2,D63+$A63&gt;=$B$1),D63,""))),IF(AND(Events!$A65&lt;=$B$2,Events!$A65+$A63&gt;=$B$1),Events!$A65,"")),""))</f>
        <v/>
      </c>
      <c r="F63">
        <f>IF(E63="","",E63+A63)</f>
        <v/>
      </c>
      <c r="G63">
        <f>IF(E63="","",IF(AND(E63&lt;=EOMONTH(Calendar!$K$2,0),F63&gt;=Calendar!$K$2),E63+60/100000,""))</f>
        <v/>
      </c>
      <c r="H63">
        <f>H62+IF(AND($E63&lt;&gt;"",$E63&lt;=H$2,$F63&gt;=H$2),1,0)</f>
        <v/>
      </c>
      <c r="I63">
        <f>I62+IF(AND($E63&lt;&gt;"",$E63&lt;=I$2,$F63&gt;=I$2),1,0)</f>
        <v/>
      </c>
      <c r="J63">
        <f>J62+IF(AND($E63&lt;&gt;"",$E63&lt;=J$2,$F63&gt;=J$2),1,0)</f>
        <v/>
      </c>
      <c r="K63">
        <f>K62+IF(AND($E63&lt;&gt;"",$E63&lt;=K$2,$F63&gt;=K$2),1,0)</f>
        <v/>
      </c>
      <c r="L63">
        <f>L62+IF(AND($E63&lt;&gt;"",$E63&lt;=L$2,$F63&gt;=L$2),1,0)</f>
        <v/>
      </c>
      <c r="M63">
        <f>M62+IF(AND($E63&lt;&gt;"",$E63&lt;=M$2,$F63&gt;=M$2),1,0)</f>
        <v/>
      </c>
      <c r="N63">
        <f>N62+IF(AND($E63&lt;&gt;"",$E63&lt;=N$2,$F63&gt;=N$2),1,0)</f>
        <v/>
      </c>
      <c r="O63">
        <f>O62+IF(AND($E63&lt;&gt;"",$E63&lt;=O$2,$F63&gt;=O$2),1,0)</f>
        <v/>
      </c>
      <c r="P63">
        <f>P62+IF(AND($E63&lt;&gt;"",$E63&lt;=P$2,$F63&gt;=P$2),1,0)</f>
        <v/>
      </c>
      <c r="Q63">
        <f>Q62+IF(AND($E63&lt;&gt;"",$E63&lt;=Q$2,$F63&gt;=Q$2),1,0)</f>
        <v/>
      </c>
      <c r="R63">
        <f>R62+IF(AND($E63&lt;&gt;"",$E63&lt;=R$2,$F63&gt;=R$2),1,0)</f>
        <v/>
      </c>
      <c r="S63">
        <f>S62+IF(AND($E63&lt;&gt;"",$E63&lt;=S$2,$F63&gt;=S$2),1,0)</f>
        <v/>
      </c>
      <c r="T63">
        <f>T62+IF(AND($E63&lt;&gt;"",$E63&lt;=T$2,$F63&gt;=T$2),1,0)</f>
        <v/>
      </c>
      <c r="U63">
        <f>U62+IF(AND($E63&lt;&gt;"",$E63&lt;=U$2,$F63&gt;=U$2),1,0)</f>
        <v/>
      </c>
      <c r="V63">
        <f>V62+IF(AND($E63&lt;&gt;"",$E63&lt;=V$2,$F63&gt;=V$2),1,0)</f>
        <v/>
      </c>
      <c r="W63">
        <f>W62+IF(AND($E63&lt;&gt;"",$E63&lt;=W$2,$F63&gt;=W$2),1,0)</f>
        <v/>
      </c>
      <c r="X63">
        <f>X62+IF(AND($E63&lt;&gt;"",$E63&lt;=X$2,$F63&gt;=X$2),1,0)</f>
        <v/>
      </c>
      <c r="Y63">
        <f>Y62+IF(AND($E63&lt;&gt;"",$E63&lt;=Y$2,$F63&gt;=Y$2),1,0)</f>
        <v/>
      </c>
      <c r="Z63">
        <f>Z62+IF(AND($E63&lt;&gt;"",$E63&lt;=Z$2,$F63&gt;=Z$2),1,0)</f>
        <v/>
      </c>
      <c r="AA63">
        <f>AA62+IF(AND($E63&lt;&gt;"",$E63&lt;=AA$2,$F63&gt;=AA$2),1,0)</f>
        <v/>
      </c>
      <c r="AB63">
        <f>AB62+IF(AND($E63&lt;&gt;"",$E63&lt;=AB$2,$F63&gt;=AB$2),1,0)</f>
        <v/>
      </c>
      <c r="AC63">
        <f>AC62+IF(AND($E63&lt;&gt;"",$E63&lt;=AC$2,$F63&gt;=AC$2),1,0)</f>
        <v/>
      </c>
      <c r="AD63">
        <f>AD62+IF(AND($E63&lt;&gt;"",$E63&lt;=AD$2,$F63&gt;=AD$2),1,0)</f>
        <v/>
      </c>
      <c r="AE63">
        <f>AE62+IF(AND($E63&lt;&gt;"",$E63&lt;=AE$2,$F63&gt;=AE$2),1,0)</f>
        <v/>
      </c>
      <c r="AF63">
        <f>AF62+IF(AND($E63&lt;&gt;"",$E63&lt;=AF$2,$F63&gt;=AF$2),1,0)</f>
        <v/>
      </c>
      <c r="AG63">
        <f>AG62+IF(AND($E63&lt;&gt;"",$E63&lt;=AG$2,$F63&gt;=AG$2),1,0)</f>
        <v/>
      </c>
      <c r="AH63">
        <f>AH62+IF(AND($E63&lt;&gt;"",$E63&lt;=AH$2,$F63&gt;=AH$2),1,0)</f>
        <v/>
      </c>
      <c r="AI63">
        <f>AI62+IF(AND($E63&lt;&gt;"",$E63&lt;=AI$2,$F63&gt;=AI$2),1,0)</f>
        <v/>
      </c>
      <c r="AJ63">
        <f>AJ62+IF(AND($E63&lt;&gt;"",$E63&lt;=AJ$2,$F63&gt;=AJ$2),1,0)</f>
        <v/>
      </c>
      <c r="AK63">
        <f>AK62+IF(AND($E63&lt;&gt;"",$E63&lt;=AK$2,$F63&gt;=AK$2),1,0)</f>
        <v/>
      </c>
      <c r="AL63">
        <f>AL62+IF(AND($E63&lt;&gt;"",$E63&lt;=AL$2,$F63&gt;=AL$2),1,0)</f>
        <v/>
      </c>
      <c r="AM63">
        <f>AM62+IF(AND($E63&lt;&gt;"",$E63&lt;=AM$2,$F63&gt;=AM$2),1,0)</f>
        <v/>
      </c>
      <c r="AN63">
        <f>AN62+IF(AND($E63&lt;&gt;"",$E63&lt;=AN$2,$F63&gt;=AN$2),1,0)</f>
        <v/>
      </c>
      <c r="AO63">
        <f>AO62+IF(AND($E63&lt;&gt;"",$E63&lt;=AO$2,$F63&gt;=AO$2),1,0)</f>
        <v/>
      </c>
      <c r="AP63">
        <f>AP62+IF(AND($E63&lt;&gt;"",$E63&lt;=AP$2,$F63&gt;=AP$2),1,0)</f>
        <v/>
      </c>
      <c r="AQ63">
        <f>AQ62+IF(AND($E63&lt;&gt;"",$E63&lt;=AQ$2,$F63&gt;=AQ$2),1,0)</f>
        <v/>
      </c>
      <c r="AR63">
        <f>AR62+IF(AND($E63&lt;&gt;"",$E63&lt;=AR$2,$F63&gt;=AR$2),1,0)</f>
        <v/>
      </c>
      <c r="AS63">
        <f>AS62+IF(AND($E63&lt;&gt;"",$E63&lt;=AS$2,$F63&gt;=AS$2),1,0)</f>
        <v/>
      </c>
      <c r="AT63">
        <f>AT62+IF(AND($E63&lt;&gt;"",$E63&lt;=AT$2,$F63&gt;=AT$2),1,0)</f>
        <v/>
      </c>
      <c r="AU63">
        <f>AU62+IF(AND($E63&lt;&gt;"",$E63&lt;=AU$2,$F63&gt;=AU$2),1,0)</f>
        <v/>
      </c>
      <c r="AV63">
        <f>AV62+IF(AND($E63&lt;&gt;"",$E63&lt;=AV$2,$F63&gt;=AV$2),1,0)</f>
        <v/>
      </c>
      <c r="AW63">
        <f>AW62+IF(AND($E63&lt;&gt;"",$E63&lt;=AW$2,$F63&gt;=AW$2),1,0)</f>
        <v/>
      </c>
    </row>
    <row r="64">
      <c r="A64">
        <f>IF(AND(ISNUMBER(Events!$A66),ISNUMBER(Events!$B66)),MAX(0,Events!$B66-Events!$A66),0)</f>
        <v/>
      </c>
      <c r="B64">
        <f>IF(ISNUMBER(Events!$A66),DATE(YEAR($B$1)-1,MONTH(Events!$A66),DAY(Events!$A66)),"")</f>
        <v/>
      </c>
      <c r="C64">
        <f>IF(ISNUMBER(Events!$A66),DATE(YEAR($B$1),MONTH(Events!$A66),DAY(Events!$A66)),"")</f>
        <v/>
      </c>
      <c r="D64">
        <f>IF(ISNUMBER(Events!$A66),DATE(YEAR($B$2),MONTH(Events!$A66),DAY(Events!$A66)),"")</f>
        <v/>
      </c>
      <c r="E64">
        <f>IF(OR(NOT(ISNUMBER(Events!$A66)),Events!$G66="No",Calendar!$H$4="None"),"",IF(OR(Calendar!$H$4="All events",Events!$D66=Calendar!$H$4),IF(Events!$E66="Yes",IF(AND(B64&gt;=Events!$A66,B64&lt;=$B$2,B64+$A64&gt;=$B$1),B64,IF(AND(C64&gt;=Events!$A66,C64&lt;=$B$2,C64+$A64&gt;=$B$1),C64,IF(AND(D64&gt;=Events!$A66,D64&lt;=$B$2,D64+$A64&gt;=$B$1),D64,""))),IF(AND(Events!$A66&lt;=$B$2,Events!$A66+$A64&gt;=$B$1),Events!$A66,"")),""))</f>
        <v/>
      </c>
      <c r="F64">
        <f>IF(E64="","",E64+A64)</f>
        <v/>
      </c>
      <c r="G64">
        <f>IF(E64="","",IF(AND(E64&lt;=EOMONTH(Calendar!$K$2,0),F64&gt;=Calendar!$K$2),E64+61/100000,""))</f>
        <v/>
      </c>
      <c r="H64">
        <f>H63+IF(AND($E64&lt;&gt;"",$E64&lt;=H$2,$F64&gt;=H$2),1,0)</f>
        <v/>
      </c>
      <c r="I64">
        <f>I63+IF(AND($E64&lt;&gt;"",$E64&lt;=I$2,$F64&gt;=I$2),1,0)</f>
        <v/>
      </c>
      <c r="J64">
        <f>J63+IF(AND($E64&lt;&gt;"",$E64&lt;=J$2,$F64&gt;=J$2),1,0)</f>
        <v/>
      </c>
      <c r="K64">
        <f>K63+IF(AND($E64&lt;&gt;"",$E64&lt;=K$2,$F64&gt;=K$2),1,0)</f>
        <v/>
      </c>
      <c r="L64">
        <f>L63+IF(AND($E64&lt;&gt;"",$E64&lt;=L$2,$F64&gt;=L$2),1,0)</f>
        <v/>
      </c>
      <c r="M64">
        <f>M63+IF(AND($E64&lt;&gt;"",$E64&lt;=M$2,$F64&gt;=M$2),1,0)</f>
        <v/>
      </c>
      <c r="N64">
        <f>N63+IF(AND($E64&lt;&gt;"",$E64&lt;=N$2,$F64&gt;=N$2),1,0)</f>
        <v/>
      </c>
      <c r="O64">
        <f>O63+IF(AND($E64&lt;&gt;"",$E64&lt;=O$2,$F64&gt;=O$2),1,0)</f>
        <v/>
      </c>
      <c r="P64">
        <f>P63+IF(AND($E64&lt;&gt;"",$E64&lt;=P$2,$F64&gt;=P$2),1,0)</f>
        <v/>
      </c>
      <c r="Q64">
        <f>Q63+IF(AND($E64&lt;&gt;"",$E64&lt;=Q$2,$F64&gt;=Q$2),1,0)</f>
        <v/>
      </c>
      <c r="R64">
        <f>R63+IF(AND($E64&lt;&gt;"",$E64&lt;=R$2,$F64&gt;=R$2),1,0)</f>
        <v/>
      </c>
      <c r="S64">
        <f>S63+IF(AND($E64&lt;&gt;"",$E64&lt;=S$2,$F64&gt;=S$2),1,0)</f>
        <v/>
      </c>
      <c r="T64">
        <f>T63+IF(AND($E64&lt;&gt;"",$E64&lt;=T$2,$F64&gt;=T$2),1,0)</f>
        <v/>
      </c>
      <c r="U64">
        <f>U63+IF(AND($E64&lt;&gt;"",$E64&lt;=U$2,$F64&gt;=U$2),1,0)</f>
        <v/>
      </c>
      <c r="V64">
        <f>V63+IF(AND($E64&lt;&gt;"",$E64&lt;=V$2,$F64&gt;=V$2),1,0)</f>
        <v/>
      </c>
      <c r="W64">
        <f>W63+IF(AND($E64&lt;&gt;"",$E64&lt;=W$2,$F64&gt;=W$2),1,0)</f>
        <v/>
      </c>
      <c r="X64">
        <f>X63+IF(AND($E64&lt;&gt;"",$E64&lt;=X$2,$F64&gt;=X$2),1,0)</f>
        <v/>
      </c>
      <c r="Y64">
        <f>Y63+IF(AND($E64&lt;&gt;"",$E64&lt;=Y$2,$F64&gt;=Y$2),1,0)</f>
        <v/>
      </c>
      <c r="Z64">
        <f>Z63+IF(AND($E64&lt;&gt;"",$E64&lt;=Z$2,$F64&gt;=Z$2),1,0)</f>
        <v/>
      </c>
      <c r="AA64">
        <f>AA63+IF(AND($E64&lt;&gt;"",$E64&lt;=AA$2,$F64&gt;=AA$2),1,0)</f>
        <v/>
      </c>
      <c r="AB64">
        <f>AB63+IF(AND($E64&lt;&gt;"",$E64&lt;=AB$2,$F64&gt;=AB$2),1,0)</f>
        <v/>
      </c>
      <c r="AC64">
        <f>AC63+IF(AND($E64&lt;&gt;"",$E64&lt;=AC$2,$F64&gt;=AC$2),1,0)</f>
        <v/>
      </c>
      <c r="AD64">
        <f>AD63+IF(AND($E64&lt;&gt;"",$E64&lt;=AD$2,$F64&gt;=AD$2),1,0)</f>
        <v/>
      </c>
      <c r="AE64">
        <f>AE63+IF(AND($E64&lt;&gt;"",$E64&lt;=AE$2,$F64&gt;=AE$2),1,0)</f>
        <v/>
      </c>
      <c r="AF64">
        <f>AF63+IF(AND($E64&lt;&gt;"",$E64&lt;=AF$2,$F64&gt;=AF$2),1,0)</f>
        <v/>
      </c>
      <c r="AG64">
        <f>AG63+IF(AND($E64&lt;&gt;"",$E64&lt;=AG$2,$F64&gt;=AG$2),1,0)</f>
        <v/>
      </c>
      <c r="AH64">
        <f>AH63+IF(AND($E64&lt;&gt;"",$E64&lt;=AH$2,$F64&gt;=AH$2),1,0)</f>
        <v/>
      </c>
      <c r="AI64">
        <f>AI63+IF(AND($E64&lt;&gt;"",$E64&lt;=AI$2,$F64&gt;=AI$2),1,0)</f>
        <v/>
      </c>
      <c r="AJ64">
        <f>AJ63+IF(AND($E64&lt;&gt;"",$E64&lt;=AJ$2,$F64&gt;=AJ$2),1,0)</f>
        <v/>
      </c>
      <c r="AK64">
        <f>AK63+IF(AND($E64&lt;&gt;"",$E64&lt;=AK$2,$F64&gt;=AK$2),1,0)</f>
        <v/>
      </c>
      <c r="AL64">
        <f>AL63+IF(AND($E64&lt;&gt;"",$E64&lt;=AL$2,$F64&gt;=AL$2),1,0)</f>
        <v/>
      </c>
      <c r="AM64">
        <f>AM63+IF(AND($E64&lt;&gt;"",$E64&lt;=AM$2,$F64&gt;=AM$2),1,0)</f>
        <v/>
      </c>
      <c r="AN64">
        <f>AN63+IF(AND($E64&lt;&gt;"",$E64&lt;=AN$2,$F64&gt;=AN$2),1,0)</f>
        <v/>
      </c>
      <c r="AO64">
        <f>AO63+IF(AND($E64&lt;&gt;"",$E64&lt;=AO$2,$F64&gt;=AO$2),1,0)</f>
        <v/>
      </c>
      <c r="AP64">
        <f>AP63+IF(AND($E64&lt;&gt;"",$E64&lt;=AP$2,$F64&gt;=AP$2),1,0)</f>
        <v/>
      </c>
      <c r="AQ64">
        <f>AQ63+IF(AND($E64&lt;&gt;"",$E64&lt;=AQ$2,$F64&gt;=AQ$2),1,0)</f>
        <v/>
      </c>
      <c r="AR64">
        <f>AR63+IF(AND($E64&lt;&gt;"",$E64&lt;=AR$2,$F64&gt;=AR$2),1,0)</f>
        <v/>
      </c>
      <c r="AS64">
        <f>AS63+IF(AND($E64&lt;&gt;"",$E64&lt;=AS$2,$F64&gt;=AS$2),1,0)</f>
        <v/>
      </c>
      <c r="AT64">
        <f>AT63+IF(AND($E64&lt;&gt;"",$E64&lt;=AT$2,$F64&gt;=AT$2),1,0)</f>
        <v/>
      </c>
      <c r="AU64">
        <f>AU63+IF(AND($E64&lt;&gt;"",$E64&lt;=AU$2,$F64&gt;=AU$2),1,0)</f>
        <v/>
      </c>
      <c r="AV64">
        <f>AV63+IF(AND($E64&lt;&gt;"",$E64&lt;=AV$2,$F64&gt;=AV$2),1,0)</f>
        <v/>
      </c>
      <c r="AW64">
        <f>AW63+IF(AND($E64&lt;&gt;"",$E64&lt;=AW$2,$F64&gt;=AW$2),1,0)</f>
        <v/>
      </c>
    </row>
    <row r="65">
      <c r="A65">
        <f>IF(AND(ISNUMBER(Events!$A67),ISNUMBER(Events!$B67)),MAX(0,Events!$B67-Events!$A67),0)</f>
        <v/>
      </c>
      <c r="B65">
        <f>IF(ISNUMBER(Events!$A67),DATE(YEAR($B$1)-1,MONTH(Events!$A67),DAY(Events!$A67)),"")</f>
        <v/>
      </c>
      <c r="C65">
        <f>IF(ISNUMBER(Events!$A67),DATE(YEAR($B$1),MONTH(Events!$A67),DAY(Events!$A67)),"")</f>
        <v/>
      </c>
      <c r="D65">
        <f>IF(ISNUMBER(Events!$A67),DATE(YEAR($B$2),MONTH(Events!$A67),DAY(Events!$A67)),"")</f>
        <v/>
      </c>
      <c r="E65">
        <f>IF(OR(NOT(ISNUMBER(Events!$A67)),Events!$G67="No",Calendar!$H$4="None"),"",IF(OR(Calendar!$H$4="All events",Events!$D67=Calendar!$H$4),IF(Events!$E67="Yes",IF(AND(B65&gt;=Events!$A67,B65&lt;=$B$2,B65+$A65&gt;=$B$1),B65,IF(AND(C65&gt;=Events!$A67,C65&lt;=$B$2,C65+$A65&gt;=$B$1),C65,IF(AND(D65&gt;=Events!$A67,D65&lt;=$B$2,D65+$A65&gt;=$B$1),D65,""))),IF(AND(Events!$A67&lt;=$B$2,Events!$A67+$A65&gt;=$B$1),Events!$A67,"")),""))</f>
        <v/>
      </c>
      <c r="F65">
        <f>IF(E65="","",E65+A65)</f>
        <v/>
      </c>
      <c r="G65">
        <f>IF(E65="","",IF(AND(E65&lt;=EOMONTH(Calendar!$K$2,0),F65&gt;=Calendar!$K$2),E65+62/100000,""))</f>
        <v/>
      </c>
      <c r="H65">
        <f>H64+IF(AND($E65&lt;&gt;"",$E65&lt;=H$2,$F65&gt;=H$2),1,0)</f>
        <v/>
      </c>
      <c r="I65">
        <f>I64+IF(AND($E65&lt;&gt;"",$E65&lt;=I$2,$F65&gt;=I$2),1,0)</f>
        <v/>
      </c>
      <c r="J65">
        <f>J64+IF(AND($E65&lt;&gt;"",$E65&lt;=J$2,$F65&gt;=J$2),1,0)</f>
        <v/>
      </c>
      <c r="K65">
        <f>K64+IF(AND($E65&lt;&gt;"",$E65&lt;=K$2,$F65&gt;=K$2),1,0)</f>
        <v/>
      </c>
      <c r="L65">
        <f>L64+IF(AND($E65&lt;&gt;"",$E65&lt;=L$2,$F65&gt;=L$2),1,0)</f>
        <v/>
      </c>
      <c r="M65">
        <f>M64+IF(AND($E65&lt;&gt;"",$E65&lt;=M$2,$F65&gt;=M$2),1,0)</f>
        <v/>
      </c>
      <c r="N65">
        <f>N64+IF(AND($E65&lt;&gt;"",$E65&lt;=N$2,$F65&gt;=N$2),1,0)</f>
        <v/>
      </c>
      <c r="O65">
        <f>O64+IF(AND($E65&lt;&gt;"",$E65&lt;=O$2,$F65&gt;=O$2),1,0)</f>
        <v/>
      </c>
      <c r="P65">
        <f>P64+IF(AND($E65&lt;&gt;"",$E65&lt;=P$2,$F65&gt;=P$2),1,0)</f>
        <v/>
      </c>
      <c r="Q65">
        <f>Q64+IF(AND($E65&lt;&gt;"",$E65&lt;=Q$2,$F65&gt;=Q$2),1,0)</f>
        <v/>
      </c>
      <c r="R65">
        <f>R64+IF(AND($E65&lt;&gt;"",$E65&lt;=R$2,$F65&gt;=R$2),1,0)</f>
        <v/>
      </c>
      <c r="S65">
        <f>S64+IF(AND($E65&lt;&gt;"",$E65&lt;=S$2,$F65&gt;=S$2),1,0)</f>
        <v/>
      </c>
      <c r="T65">
        <f>T64+IF(AND($E65&lt;&gt;"",$E65&lt;=T$2,$F65&gt;=T$2),1,0)</f>
        <v/>
      </c>
      <c r="U65">
        <f>U64+IF(AND($E65&lt;&gt;"",$E65&lt;=U$2,$F65&gt;=U$2),1,0)</f>
        <v/>
      </c>
      <c r="V65">
        <f>V64+IF(AND($E65&lt;&gt;"",$E65&lt;=V$2,$F65&gt;=V$2),1,0)</f>
        <v/>
      </c>
      <c r="W65">
        <f>W64+IF(AND($E65&lt;&gt;"",$E65&lt;=W$2,$F65&gt;=W$2),1,0)</f>
        <v/>
      </c>
      <c r="X65">
        <f>X64+IF(AND($E65&lt;&gt;"",$E65&lt;=X$2,$F65&gt;=X$2),1,0)</f>
        <v/>
      </c>
      <c r="Y65">
        <f>Y64+IF(AND($E65&lt;&gt;"",$E65&lt;=Y$2,$F65&gt;=Y$2),1,0)</f>
        <v/>
      </c>
      <c r="Z65">
        <f>Z64+IF(AND($E65&lt;&gt;"",$E65&lt;=Z$2,$F65&gt;=Z$2),1,0)</f>
        <v/>
      </c>
      <c r="AA65">
        <f>AA64+IF(AND($E65&lt;&gt;"",$E65&lt;=AA$2,$F65&gt;=AA$2),1,0)</f>
        <v/>
      </c>
      <c r="AB65">
        <f>AB64+IF(AND($E65&lt;&gt;"",$E65&lt;=AB$2,$F65&gt;=AB$2),1,0)</f>
        <v/>
      </c>
      <c r="AC65">
        <f>AC64+IF(AND($E65&lt;&gt;"",$E65&lt;=AC$2,$F65&gt;=AC$2),1,0)</f>
        <v/>
      </c>
      <c r="AD65">
        <f>AD64+IF(AND($E65&lt;&gt;"",$E65&lt;=AD$2,$F65&gt;=AD$2),1,0)</f>
        <v/>
      </c>
      <c r="AE65">
        <f>AE64+IF(AND($E65&lt;&gt;"",$E65&lt;=AE$2,$F65&gt;=AE$2),1,0)</f>
        <v/>
      </c>
      <c r="AF65">
        <f>AF64+IF(AND($E65&lt;&gt;"",$E65&lt;=AF$2,$F65&gt;=AF$2),1,0)</f>
        <v/>
      </c>
      <c r="AG65">
        <f>AG64+IF(AND($E65&lt;&gt;"",$E65&lt;=AG$2,$F65&gt;=AG$2),1,0)</f>
        <v/>
      </c>
      <c r="AH65">
        <f>AH64+IF(AND($E65&lt;&gt;"",$E65&lt;=AH$2,$F65&gt;=AH$2),1,0)</f>
        <v/>
      </c>
      <c r="AI65">
        <f>AI64+IF(AND($E65&lt;&gt;"",$E65&lt;=AI$2,$F65&gt;=AI$2),1,0)</f>
        <v/>
      </c>
      <c r="AJ65">
        <f>AJ64+IF(AND($E65&lt;&gt;"",$E65&lt;=AJ$2,$F65&gt;=AJ$2),1,0)</f>
        <v/>
      </c>
      <c r="AK65">
        <f>AK64+IF(AND($E65&lt;&gt;"",$E65&lt;=AK$2,$F65&gt;=AK$2),1,0)</f>
        <v/>
      </c>
      <c r="AL65">
        <f>AL64+IF(AND($E65&lt;&gt;"",$E65&lt;=AL$2,$F65&gt;=AL$2),1,0)</f>
        <v/>
      </c>
      <c r="AM65">
        <f>AM64+IF(AND($E65&lt;&gt;"",$E65&lt;=AM$2,$F65&gt;=AM$2),1,0)</f>
        <v/>
      </c>
      <c r="AN65">
        <f>AN64+IF(AND($E65&lt;&gt;"",$E65&lt;=AN$2,$F65&gt;=AN$2),1,0)</f>
        <v/>
      </c>
      <c r="AO65">
        <f>AO64+IF(AND($E65&lt;&gt;"",$E65&lt;=AO$2,$F65&gt;=AO$2),1,0)</f>
        <v/>
      </c>
      <c r="AP65">
        <f>AP64+IF(AND($E65&lt;&gt;"",$E65&lt;=AP$2,$F65&gt;=AP$2),1,0)</f>
        <v/>
      </c>
      <c r="AQ65">
        <f>AQ64+IF(AND($E65&lt;&gt;"",$E65&lt;=AQ$2,$F65&gt;=AQ$2),1,0)</f>
        <v/>
      </c>
      <c r="AR65">
        <f>AR64+IF(AND($E65&lt;&gt;"",$E65&lt;=AR$2,$F65&gt;=AR$2),1,0)</f>
        <v/>
      </c>
      <c r="AS65">
        <f>AS64+IF(AND($E65&lt;&gt;"",$E65&lt;=AS$2,$F65&gt;=AS$2),1,0)</f>
        <v/>
      </c>
      <c r="AT65">
        <f>AT64+IF(AND($E65&lt;&gt;"",$E65&lt;=AT$2,$F65&gt;=AT$2),1,0)</f>
        <v/>
      </c>
      <c r="AU65">
        <f>AU64+IF(AND($E65&lt;&gt;"",$E65&lt;=AU$2,$F65&gt;=AU$2),1,0)</f>
        <v/>
      </c>
      <c r="AV65">
        <f>AV64+IF(AND($E65&lt;&gt;"",$E65&lt;=AV$2,$F65&gt;=AV$2),1,0)</f>
        <v/>
      </c>
      <c r="AW65">
        <f>AW64+IF(AND($E65&lt;&gt;"",$E65&lt;=AW$2,$F65&gt;=AW$2),1,0)</f>
        <v/>
      </c>
    </row>
    <row r="66">
      <c r="A66">
        <f>IF(AND(ISNUMBER(Events!$A68),ISNUMBER(Events!$B68)),MAX(0,Events!$B68-Events!$A68),0)</f>
        <v/>
      </c>
      <c r="B66">
        <f>IF(ISNUMBER(Events!$A68),DATE(YEAR($B$1)-1,MONTH(Events!$A68),DAY(Events!$A68)),"")</f>
        <v/>
      </c>
      <c r="C66">
        <f>IF(ISNUMBER(Events!$A68),DATE(YEAR($B$1),MONTH(Events!$A68),DAY(Events!$A68)),"")</f>
        <v/>
      </c>
      <c r="D66">
        <f>IF(ISNUMBER(Events!$A68),DATE(YEAR($B$2),MONTH(Events!$A68),DAY(Events!$A68)),"")</f>
        <v/>
      </c>
      <c r="E66">
        <f>IF(OR(NOT(ISNUMBER(Events!$A68)),Events!$G68="No",Calendar!$H$4="None"),"",IF(OR(Calendar!$H$4="All events",Events!$D68=Calendar!$H$4),IF(Events!$E68="Yes",IF(AND(B66&gt;=Events!$A68,B66&lt;=$B$2,B66+$A66&gt;=$B$1),B66,IF(AND(C66&gt;=Events!$A68,C66&lt;=$B$2,C66+$A66&gt;=$B$1),C66,IF(AND(D66&gt;=Events!$A68,D66&lt;=$B$2,D66+$A66&gt;=$B$1),D66,""))),IF(AND(Events!$A68&lt;=$B$2,Events!$A68+$A66&gt;=$B$1),Events!$A68,"")),""))</f>
        <v/>
      </c>
      <c r="F66">
        <f>IF(E66="","",E66+A66)</f>
        <v/>
      </c>
      <c r="G66">
        <f>IF(E66="","",IF(AND(E66&lt;=EOMONTH(Calendar!$K$2,0),F66&gt;=Calendar!$K$2),E66+63/100000,""))</f>
        <v/>
      </c>
      <c r="H66">
        <f>H65+IF(AND($E66&lt;&gt;"",$E66&lt;=H$2,$F66&gt;=H$2),1,0)</f>
        <v/>
      </c>
      <c r="I66">
        <f>I65+IF(AND($E66&lt;&gt;"",$E66&lt;=I$2,$F66&gt;=I$2),1,0)</f>
        <v/>
      </c>
      <c r="J66">
        <f>J65+IF(AND($E66&lt;&gt;"",$E66&lt;=J$2,$F66&gt;=J$2),1,0)</f>
        <v/>
      </c>
      <c r="K66">
        <f>K65+IF(AND($E66&lt;&gt;"",$E66&lt;=K$2,$F66&gt;=K$2),1,0)</f>
        <v/>
      </c>
      <c r="L66">
        <f>L65+IF(AND($E66&lt;&gt;"",$E66&lt;=L$2,$F66&gt;=L$2),1,0)</f>
        <v/>
      </c>
      <c r="M66">
        <f>M65+IF(AND($E66&lt;&gt;"",$E66&lt;=M$2,$F66&gt;=M$2),1,0)</f>
        <v/>
      </c>
      <c r="N66">
        <f>N65+IF(AND($E66&lt;&gt;"",$E66&lt;=N$2,$F66&gt;=N$2),1,0)</f>
        <v/>
      </c>
      <c r="O66">
        <f>O65+IF(AND($E66&lt;&gt;"",$E66&lt;=O$2,$F66&gt;=O$2),1,0)</f>
        <v/>
      </c>
      <c r="P66">
        <f>P65+IF(AND($E66&lt;&gt;"",$E66&lt;=P$2,$F66&gt;=P$2),1,0)</f>
        <v/>
      </c>
      <c r="Q66">
        <f>Q65+IF(AND($E66&lt;&gt;"",$E66&lt;=Q$2,$F66&gt;=Q$2),1,0)</f>
        <v/>
      </c>
      <c r="R66">
        <f>R65+IF(AND($E66&lt;&gt;"",$E66&lt;=R$2,$F66&gt;=R$2),1,0)</f>
        <v/>
      </c>
      <c r="S66">
        <f>S65+IF(AND($E66&lt;&gt;"",$E66&lt;=S$2,$F66&gt;=S$2),1,0)</f>
        <v/>
      </c>
      <c r="T66">
        <f>T65+IF(AND($E66&lt;&gt;"",$E66&lt;=T$2,$F66&gt;=T$2),1,0)</f>
        <v/>
      </c>
      <c r="U66">
        <f>U65+IF(AND($E66&lt;&gt;"",$E66&lt;=U$2,$F66&gt;=U$2),1,0)</f>
        <v/>
      </c>
      <c r="V66">
        <f>V65+IF(AND($E66&lt;&gt;"",$E66&lt;=V$2,$F66&gt;=V$2),1,0)</f>
        <v/>
      </c>
      <c r="W66">
        <f>W65+IF(AND($E66&lt;&gt;"",$E66&lt;=W$2,$F66&gt;=W$2),1,0)</f>
        <v/>
      </c>
      <c r="X66">
        <f>X65+IF(AND($E66&lt;&gt;"",$E66&lt;=X$2,$F66&gt;=X$2),1,0)</f>
        <v/>
      </c>
      <c r="Y66">
        <f>Y65+IF(AND($E66&lt;&gt;"",$E66&lt;=Y$2,$F66&gt;=Y$2),1,0)</f>
        <v/>
      </c>
      <c r="Z66">
        <f>Z65+IF(AND($E66&lt;&gt;"",$E66&lt;=Z$2,$F66&gt;=Z$2),1,0)</f>
        <v/>
      </c>
      <c r="AA66">
        <f>AA65+IF(AND($E66&lt;&gt;"",$E66&lt;=AA$2,$F66&gt;=AA$2),1,0)</f>
        <v/>
      </c>
      <c r="AB66">
        <f>AB65+IF(AND($E66&lt;&gt;"",$E66&lt;=AB$2,$F66&gt;=AB$2),1,0)</f>
        <v/>
      </c>
      <c r="AC66">
        <f>AC65+IF(AND($E66&lt;&gt;"",$E66&lt;=AC$2,$F66&gt;=AC$2),1,0)</f>
        <v/>
      </c>
      <c r="AD66">
        <f>AD65+IF(AND($E66&lt;&gt;"",$E66&lt;=AD$2,$F66&gt;=AD$2),1,0)</f>
        <v/>
      </c>
      <c r="AE66">
        <f>AE65+IF(AND($E66&lt;&gt;"",$E66&lt;=AE$2,$F66&gt;=AE$2),1,0)</f>
        <v/>
      </c>
      <c r="AF66">
        <f>AF65+IF(AND($E66&lt;&gt;"",$E66&lt;=AF$2,$F66&gt;=AF$2),1,0)</f>
        <v/>
      </c>
      <c r="AG66">
        <f>AG65+IF(AND($E66&lt;&gt;"",$E66&lt;=AG$2,$F66&gt;=AG$2),1,0)</f>
        <v/>
      </c>
      <c r="AH66">
        <f>AH65+IF(AND($E66&lt;&gt;"",$E66&lt;=AH$2,$F66&gt;=AH$2),1,0)</f>
        <v/>
      </c>
      <c r="AI66">
        <f>AI65+IF(AND($E66&lt;&gt;"",$E66&lt;=AI$2,$F66&gt;=AI$2),1,0)</f>
        <v/>
      </c>
      <c r="AJ66">
        <f>AJ65+IF(AND($E66&lt;&gt;"",$E66&lt;=AJ$2,$F66&gt;=AJ$2),1,0)</f>
        <v/>
      </c>
      <c r="AK66">
        <f>AK65+IF(AND($E66&lt;&gt;"",$E66&lt;=AK$2,$F66&gt;=AK$2),1,0)</f>
        <v/>
      </c>
      <c r="AL66">
        <f>AL65+IF(AND($E66&lt;&gt;"",$E66&lt;=AL$2,$F66&gt;=AL$2),1,0)</f>
        <v/>
      </c>
      <c r="AM66">
        <f>AM65+IF(AND($E66&lt;&gt;"",$E66&lt;=AM$2,$F66&gt;=AM$2),1,0)</f>
        <v/>
      </c>
      <c r="AN66">
        <f>AN65+IF(AND($E66&lt;&gt;"",$E66&lt;=AN$2,$F66&gt;=AN$2),1,0)</f>
        <v/>
      </c>
      <c r="AO66">
        <f>AO65+IF(AND($E66&lt;&gt;"",$E66&lt;=AO$2,$F66&gt;=AO$2),1,0)</f>
        <v/>
      </c>
      <c r="AP66">
        <f>AP65+IF(AND($E66&lt;&gt;"",$E66&lt;=AP$2,$F66&gt;=AP$2),1,0)</f>
        <v/>
      </c>
      <c r="AQ66">
        <f>AQ65+IF(AND($E66&lt;&gt;"",$E66&lt;=AQ$2,$F66&gt;=AQ$2),1,0)</f>
        <v/>
      </c>
      <c r="AR66">
        <f>AR65+IF(AND($E66&lt;&gt;"",$E66&lt;=AR$2,$F66&gt;=AR$2),1,0)</f>
        <v/>
      </c>
      <c r="AS66">
        <f>AS65+IF(AND($E66&lt;&gt;"",$E66&lt;=AS$2,$F66&gt;=AS$2),1,0)</f>
        <v/>
      </c>
      <c r="AT66">
        <f>AT65+IF(AND($E66&lt;&gt;"",$E66&lt;=AT$2,$F66&gt;=AT$2),1,0)</f>
        <v/>
      </c>
      <c r="AU66">
        <f>AU65+IF(AND($E66&lt;&gt;"",$E66&lt;=AU$2,$F66&gt;=AU$2),1,0)</f>
        <v/>
      </c>
      <c r="AV66">
        <f>AV65+IF(AND($E66&lt;&gt;"",$E66&lt;=AV$2,$F66&gt;=AV$2),1,0)</f>
        <v/>
      </c>
      <c r="AW66">
        <f>AW65+IF(AND($E66&lt;&gt;"",$E66&lt;=AW$2,$F66&gt;=AW$2),1,0)</f>
        <v/>
      </c>
    </row>
    <row r="67">
      <c r="A67">
        <f>IF(AND(ISNUMBER(Events!$A69),ISNUMBER(Events!$B69)),MAX(0,Events!$B69-Events!$A69),0)</f>
        <v/>
      </c>
      <c r="B67">
        <f>IF(ISNUMBER(Events!$A69),DATE(YEAR($B$1)-1,MONTH(Events!$A69),DAY(Events!$A69)),"")</f>
        <v/>
      </c>
      <c r="C67">
        <f>IF(ISNUMBER(Events!$A69),DATE(YEAR($B$1),MONTH(Events!$A69),DAY(Events!$A69)),"")</f>
        <v/>
      </c>
      <c r="D67">
        <f>IF(ISNUMBER(Events!$A69),DATE(YEAR($B$2),MONTH(Events!$A69),DAY(Events!$A69)),"")</f>
        <v/>
      </c>
      <c r="E67">
        <f>IF(OR(NOT(ISNUMBER(Events!$A69)),Events!$G69="No",Calendar!$H$4="None"),"",IF(OR(Calendar!$H$4="All events",Events!$D69=Calendar!$H$4),IF(Events!$E69="Yes",IF(AND(B67&gt;=Events!$A69,B67&lt;=$B$2,B67+$A67&gt;=$B$1),B67,IF(AND(C67&gt;=Events!$A69,C67&lt;=$B$2,C67+$A67&gt;=$B$1),C67,IF(AND(D67&gt;=Events!$A69,D67&lt;=$B$2,D67+$A67&gt;=$B$1),D67,""))),IF(AND(Events!$A69&lt;=$B$2,Events!$A69+$A67&gt;=$B$1),Events!$A69,"")),""))</f>
        <v/>
      </c>
      <c r="F67">
        <f>IF(E67="","",E67+A67)</f>
        <v/>
      </c>
      <c r="G67">
        <f>IF(E67="","",IF(AND(E67&lt;=EOMONTH(Calendar!$K$2,0),F67&gt;=Calendar!$K$2),E67+64/100000,""))</f>
        <v/>
      </c>
      <c r="H67">
        <f>H66+IF(AND($E67&lt;&gt;"",$E67&lt;=H$2,$F67&gt;=H$2),1,0)</f>
        <v/>
      </c>
      <c r="I67">
        <f>I66+IF(AND($E67&lt;&gt;"",$E67&lt;=I$2,$F67&gt;=I$2),1,0)</f>
        <v/>
      </c>
      <c r="J67">
        <f>J66+IF(AND($E67&lt;&gt;"",$E67&lt;=J$2,$F67&gt;=J$2),1,0)</f>
        <v/>
      </c>
      <c r="K67">
        <f>K66+IF(AND($E67&lt;&gt;"",$E67&lt;=K$2,$F67&gt;=K$2),1,0)</f>
        <v/>
      </c>
      <c r="L67">
        <f>L66+IF(AND($E67&lt;&gt;"",$E67&lt;=L$2,$F67&gt;=L$2),1,0)</f>
        <v/>
      </c>
      <c r="M67">
        <f>M66+IF(AND($E67&lt;&gt;"",$E67&lt;=M$2,$F67&gt;=M$2),1,0)</f>
        <v/>
      </c>
      <c r="N67">
        <f>N66+IF(AND($E67&lt;&gt;"",$E67&lt;=N$2,$F67&gt;=N$2),1,0)</f>
        <v/>
      </c>
      <c r="O67">
        <f>O66+IF(AND($E67&lt;&gt;"",$E67&lt;=O$2,$F67&gt;=O$2),1,0)</f>
        <v/>
      </c>
      <c r="P67">
        <f>P66+IF(AND($E67&lt;&gt;"",$E67&lt;=P$2,$F67&gt;=P$2),1,0)</f>
        <v/>
      </c>
      <c r="Q67">
        <f>Q66+IF(AND($E67&lt;&gt;"",$E67&lt;=Q$2,$F67&gt;=Q$2),1,0)</f>
        <v/>
      </c>
      <c r="R67">
        <f>R66+IF(AND($E67&lt;&gt;"",$E67&lt;=R$2,$F67&gt;=R$2),1,0)</f>
        <v/>
      </c>
      <c r="S67">
        <f>S66+IF(AND($E67&lt;&gt;"",$E67&lt;=S$2,$F67&gt;=S$2),1,0)</f>
        <v/>
      </c>
      <c r="T67">
        <f>T66+IF(AND($E67&lt;&gt;"",$E67&lt;=T$2,$F67&gt;=T$2),1,0)</f>
        <v/>
      </c>
      <c r="U67">
        <f>U66+IF(AND($E67&lt;&gt;"",$E67&lt;=U$2,$F67&gt;=U$2),1,0)</f>
        <v/>
      </c>
      <c r="V67">
        <f>V66+IF(AND($E67&lt;&gt;"",$E67&lt;=V$2,$F67&gt;=V$2),1,0)</f>
        <v/>
      </c>
      <c r="W67">
        <f>W66+IF(AND($E67&lt;&gt;"",$E67&lt;=W$2,$F67&gt;=W$2),1,0)</f>
        <v/>
      </c>
      <c r="X67">
        <f>X66+IF(AND($E67&lt;&gt;"",$E67&lt;=X$2,$F67&gt;=X$2),1,0)</f>
        <v/>
      </c>
      <c r="Y67">
        <f>Y66+IF(AND($E67&lt;&gt;"",$E67&lt;=Y$2,$F67&gt;=Y$2),1,0)</f>
        <v/>
      </c>
      <c r="Z67">
        <f>Z66+IF(AND($E67&lt;&gt;"",$E67&lt;=Z$2,$F67&gt;=Z$2),1,0)</f>
        <v/>
      </c>
      <c r="AA67">
        <f>AA66+IF(AND($E67&lt;&gt;"",$E67&lt;=AA$2,$F67&gt;=AA$2),1,0)</f>
        <v/>
      </c>
      <c r="AB67">
        <f>AB66+IF(AND($E67&lt;&gt;"",$E67&lt;=AB$2,$F67&gt;=AB$2),1,0)</f>
        <v/>
      </c>
      <c r="AC67">
        <f>AC66+IF(AND($E67&lt;&gt;"",$E67&lt;=AC$2,$F67&gt;=AC$2),1,0)</f>
        <v/>
      </c>
      <c r="AD67">
        <f>AD66+IF(AND($E67&lt;&gt;"",$E67&lt;=AD$2,$F67&gt;=AD$2),1,0)</f>
        <v/>
      </c>
      <c r="AE67">
        <f>AE66+IF(AND($E67&lt;&gt;"",$E67&lt;=AE$2,$F67&gt;=AE$2),1,0)</f>
        <v/>
      </c>
      <c r="AF67">
        <f>AF66+IF(AND($E67&lt;&gt;"",$E67&lt;=AF$2,$F67&gt;=AF$2),1,0)</f>
        <v/>
      </c>
      <c r="AG67">
        <f>AG66+IF(AND($E67&lt;&gt;"",$E67&lt;=AG$2,$F67&gt;=AG$2),1,0)</f>
        <v/>
      </c>
      <c r="AH67">
        <f>AH66+IF(AND($E67&lt;&gt;"",$E67&lt;=AH$2,$F67&gt;=AH$2),1,0)</f>
        <v/>
      </c>
      <c r="AI67">
        <f>AI66+IF(AND($E67&lt;&gt;"",$E67&lt;=AI$2,$F67&gt;=AI$2),1,0)</f>
        <v/>
      </c>
      <c r="AJ67">
        <f>AJ66+IF(AND($E67&lt;&gt;"",$E67&lt;=AJ$2,$F67&gt;=AJ$2),1,0)</f>
        <v/>
      </c>
      <c r="AK67">
        <f>AK66+IF(AND($E67&lt;&gt;"",$E67&lt;=AK$2,$F67&gt;=AK$2),1,0)</f>
        <v/>
      </c>
      <c r="AL67">
        <f>AL66+IF(AND($E67&lt;&gt;"",$E67&lt;=AL$2,$F67&gt;=AL$2),1,0)</f>
        <v/>
      </c>
      <c r="AM67">
        <f>AM66+IF(AND($E67&lt;&gt;"",$E67&lt;=AM$2,$F67&gt;=AM$2),1,0)</f>
        <v/>
      </c>
      <c r="AN67">
        <f>AN66+IF(AND($E67&lt;&gt;"",$E67&lt;=AN$2,$F67&gt;=AN$2),1,0)</f>
        <v/>
      </c>
      <c r="AO67">
        <f>AO66+IF(AND($E67&lt;&gt;"",$E67&lt;=AO$2,$F67&gt;=AO$2),1,0)</f>
        <v/>
      </c>
      <c r="AP67">
        <f>AP66+IF(AND($E67&lt;&gt;"",$E67&lt;=AP$2,$F67&gt;=AP$2),1,0)</f>
        <v/>
      </c>
      <c r="AQ67">
        <f>AQ66+IF(AND($E67&lt;&gt;"",$E67&lt;=AQ$2,$F67&gt;=AQ$2),1,0)</f>
        <v/>
      </c>
      <c r="AR67">
        <f>AR66+IF(AND($E67&lt;&gt;"",$E67&lt;=AR$2,$F67&gt;=AR$2),1,0)</f>
        <v/>
      </c>
      <c r="AS67">
        <f>AS66+IF(AND($E67&lt;&gt;"",$E67&lt;=AS$2,$F67&gt;=AS$2),1,0)</f>
        <v/>
      </c>
      <c r="AT67">
        <f>AT66+IF(AND($E67&lt;&gt;"",$E67&lt;=AT$2,$F67&gt;=AT$2),1,0)</f>
        <v/>
      </c>
      <c r="AU67">
        <f>AU66+IF(AND($E67&lt;&gt;"",$E67&lt;=AU$2,$F67&gt;=AU$2),1,0)</f>
        <v/>
      </c>
      <c r="AV67">
        <f>AV66+IF(AND($E67&lt;&gt;"",$E67&lt;=AV$2,$F67&gt;=AV$2),1,0)</f>
        <v/>
      </c>
      <c r="AW67">
        <f>AW66+IF(AND($E67&lt;&gt;"",$E67&lt;=AW$2,$F67&gt;=AW$2),1,0)</f>
        <v/>
      </c>
    </row>
    <row r="68">
      <c r="A68">
        <f>IF(AND(ISNUMBER(Events!$A70),ISNUMBER(Events!$B70)),MAX(0,Events!$B70-Events!$A70),0)</f>
        <v/>
      </c>
      <c r="B68">
        <f>IF(ISNUMBER(Events!$A70),DATE(YEAR($B$1)-1,MONTH(Events!$A70),DAY(Events!$A70)),"")</f>
        <v/>
      </c>
      <c r="C68">
        <f>IF(ISNUMBER(Events!$A70),DATE(YEAR($B$1),MONTH(Events!$A70),DAY(Events!$A70)),"")</f>
        <v/>
      </c>
      <c r="D68">
        <f>IF(ISNUMBER(Events!$A70),DATE(YEAR($B$2),MONTH(Events!$A70),DAY(Events!$A70)),"")</f>
        <v/>
      </c>
      <c r="E68">
        <f>IF(OR(NOT(ISNUMBER(Events!$A70)),Events!$G70="No",Calendar!$H$4="None"),"",IF(OR(Calendar!$H$4="All events",Events!$D70=Calendar!$H$4),IF(Events!$E70="Yes",IF(AND(B68&gt;=Events!$A70,B68&lt;=$B$2,B68+$A68&gt;=$B$1),B68,IF(AND(C68&gt;=Events!$A70,C68&lt;=$B$2,C68+$A68&gt;=$B$1),C68,IF(AND(D68&gt;=Events!$A70,D68&lt;=$B$2,D68+$A68&gt;=$B$1),D68,""))),IF(AND(Events!$A70&lt;=$B$2,Events!$A70+$A68&gt;=$B$1),Events!$A70,"")),""))</f>
        <v/>
      </c>
      <c r="F68">
        <f>IF(E68="","",E68+A68)</f>
        <v/>
      </c>
      <c r="G68">
        <f>IF(E68="","",IF(AND(E68&lt;=EOMONTH(Calendar!$K$2,0),F68&gt;=Calendar!$K$2),E68+65/100000,""))</f>
        <v/>
      </c>
      <c r="H68">
        <f>H67+IF(AND($E68&lt;&gt;"",$E68&lt;=H$2,$F68&gt;=H$2),1,0)</f>
        <v/>
      </c>
      <c r="I68">
        <f>I67+IF(AND($E68&lt;&gt;"",$E68&lt;=I$2,$F68&gt;=I$2),1,0)</f>
        <v/>
      </c>
      <c r="J68">
        <f>J67+IF(AND($E68&lt;&gt;"",$E68&lt;=J$2,$F68&gt;=J$2),1,0)</f>
        <v/>
      </c>
      <c r="K68">
        <f>K67+IF(AND($E68&lt;&gt;"",$E68&lt;=K$2,$F68&gt;=K$2),1,0)</f>
        <v/>
      </c>
      <c r="L68">
        <f>L67+IF(AND($E68&lt;&gt;"",$E68&lt;=L$2,$F68&gt;=L$2),1,0)</f>
        <v/>
      </c>
      <c r="M68">
        <f>M67+IF(AND($E68&lt;&gt;"",$E68&lt;=M$2,$F68&gt;=M$2),1,0)</f>
        <v/>
      </c>
      <c r="N68">
        <f>N67+IF(AND($E68&lt;&gt;"",$E68&lt;=N$2,$F68&gt;=N$2),1,0)</f>
        <v/>
      </c>
      <c r="O68">
        <f>O67+IF(AND($E68&lt;&gt;"",$E68&lt;=O$2,$F68&gt;=O$2),1,0)</f>
        <v/>
      </c>
      <c r="P68">
        <f>P67+IF(AND($E68&lt;&gt;"",$E68&lt;=P$2,$F68&gt;=P$2),1,0)</f>
        <v/>
      </c>
      <c r="Q68">
        <f>Q67+IF(AND($E68&lt;&gt;"",$E68&lt;=Q$2,$F68&gt;=Q$2),1,0)</f>
        <v/>
      </c>
      <c r="R68">
        <f>R67+IF(AND($E68&lt;&gt;"",$E68&lt;=R$2,$F68&gt;=R$2),1,0)</f>
        <v/>
      </c>
      <c r="S68">
        <f>S67+IF(AND($E68&lt;&gt;"",$E68&lt;=S$2,$F68&gt;=S$2),1,0)</f>
        <v/>
      </c>
      <c r="T68">
        <f>T67+IF(AND($E68&lt;&gt;"",$E68&lt;=T$2,$F68&gt;=T$2),1,0)</f>
        <v/>
      </c>
      <c r="U68">
        <f>U67+IF(AND($E68&lt;&gt;"",$E68&lt;=U$2,$F68&gt;=U$2),1,0)</f>
        <v/>
      </c>
      <c r="V68">
        <f>V67+IF(AND($E68&lt;&gt;"",$E68&lt;=V$2,$F68&gt;=V$2),1,0)</f>
        <v/>
      </c>
      <c r="W68">
        <f>W67+IF(AND($E68&lt;&gt;"",$E68&lt;=W$2,$F68&gt;=W$2),1,0)</f>
        <v/>
      </c>
      <c r="X68">
        <f>X67+IF(AND($E68&lt;&gt;"",$E68&lt;=X$2,$F68&gt;=X$2),1,0)</f>
        <v/>
      </c>
      <c r="Y68">
        <f>Y67+IF(AND($E68&lt;&gt;"",$E68&lt;=Y$2,$F68&gt;=Y$2),1,0)</f>
        <v/>
      </c>
      <c r="Z68">
        <f>Z67+IF(AND($E68&lt;&gt;"",$E68&lt;=Z$2,$F68&gt;=Z$2),1,0)</f>
        <v/>
      </c>
      <c r="AA68">
        <f>AA67+IF(AND($E68&lt;&gt;"",$E68&lt;=AA$2,$F68&gt;=AA$2),1,0)</f>
        <v/>
      </c>
      <c r="AB68">
        <f>AB67+IF(AND($E68&lt;&gt;"",$E68&lt;=AB$2,$F68&gt;=AB$2),1,0)</f>
        <v/>
      </c>
      <c r="AC68">
        <f>AC67+IF(AND($E68&lt;&gt;"",$E68&lt;=AC$2,$F68&gt;=AC$2),1,0)</f>
        <v/>
      </c>
      <c r="AD68">
        <f>AD67+IF(AND($E68&lt;&gt;"",$E68&lt;=AD$2,$F68&gt;=AD$2),1,0)</f>
        <v/>
      </c>
      <c r="AE68">
        <f>AE67+IF(AND($E68&lt;&gt;"",$E68&lt;=AE$2,$F68&gt;=AE$2),1,0)</f>
        <v/>
      </c>
      <c r="AF68">
        <f>AF67+IF(AND($E68&lt;&gt;"",$E68&lt;=AF$2,$F68&gt;=AF$2),1,0)</f>
        <v/>
      </c>
      <c r="AG68">
        <f>AG67+IF(AND($E68&lt;&gt;"",$E68&lt;=AG$2,$F68&gt;=AG$2),1,0)</f>
        <v/>
      </c>
      <c r="AH68">
        <f>AH67+IF(AND($E68&lt;&gt;"",$E68&lt;=AH$2,$F68&gt;=AH$2),1,0)</f>
        <v/>
      </c>
      <c r="AI68">
        <f>AI67+IF(AND($E68&lt;&gt;"",$E68&lt;=AI$2,$F68&gt;=AI$2),1,0)</f>
        <v/>
      </c>
      <c r="AJ68">
        <f>AJ67+IF(AND($E68&lt;&gt;"",$E68&lt;=AJ$2,$F68&gt;=AJ$2),1,0)</f>
        <v/>
      </c>
      <c r="AK68">
        <f>AK67+IF(AND($E68&lt;&gt;"",$E68&lt;=AK$2,$F68&gt;=AK$2),1,0)</f>
        <v/>
      </c>
      <c r="AL68">
        <f>AL67+IF(AND($E68&lt;&gt;"",$E68&lt;=AL$2,$F68&gt;=AL$2),1,0)</f>
        <v/>
      </c>
      <c r="AM68">
        <f>AM67+IF(AND($E68&lt;&gt;"",$E68&lt;=AM$2,$F68&gt;=AM$2),1,0)</f>
        <v/>
      </c>
      <c r="AN68">
        <f>AN67+IF(AND($E68&lt;&gt;"",$E68&lt;=AN$2,$F68&gt;=AN$2),1,0)</f>
        <v/>
      </c>
      <c r="AO68">
        <f>AO67+IF(AND($E68&lt;&gt;"",$E68&lt;=AO$2,$F68&gt;=AO$2),1,0)</f>
        <v/>
      </c>
      <c r="AP68">
        <f>AP67+IF(AND($E68&lt;&gt;"",$E68&lt;=AP$2,$F68&gt;=AP$2),1,0)</f>
        <v/>
      </c>
      <c r="AQ68">
        <f>AQ67+IF(AND($E68&lt;&gt;"",$E68&lt;=AQ$2,$F68&gt;=AQ$2),1,0)</f>
        <v/>
      </c>
      <c r="AR68">
        <f>AR67+IF(AND($E68&lt;&gt;"",$E68&lt;=AR$2,$F68&gt;=AR$2),1,0)</f>
        <v/>
      </c>
      <c r="AS68">
        <f>AS67+IF(AND($E68&lt;&gt;"",$E68&lt;=AS$2,$F68&gt;=AS$2),1,0)</f>
        <v/>
      </c>
      <c r="AT68">
        <f>AT67+IF(AND($E68&lt;&gt;"",$E68&lt;=AT$2,$F68&gt;=AT$2),1,0)</f>
        <v/>
      </c>
      <c r="AU68">
        <f>AU67+IF(AND($E68&lt;&gt;"",$E68&lt;=AU$2,$F68&gt;=AU$2),1,0)</f>
        <v/>
      </c>
      <c r="AV68">
        <f>AV67+IF(AND($E68&lt;&gt;"",$E68&lt;=AV$2,$F68&gt;=AV$2),1,0)</f>
        <v/>
      </c>
      <c r="AW68">
        <f>AW67+IF(AND($E68&lt;&gt;"",$E68&lt;=AW$2,$F68&gt;=AW$2),1,0)</f>
        <v/>
      </c>
    </row>
    <row r="69">
      <c r="A69">
        <f>IF(AND(ISNUMBER(Events!$A71),ISNUMBER(Events!$B71)),MAX(0,Events!$B71-Events!$A71),0)</f>
        <v/>
      </c>
      <c r="B69">
        <f>IF(ISNUMBER(Events!$A71),DATE(YEAR($B$1)-1,MONTH(Events!$A71),DAY(Events!$A71)),"")</f>
        <v/>
      </c>
      <c r="C69">
        <f>IF(ISNUMBER(Events!$A71),DATE(YEAR($B$1),MONTH(Events!$A71),DAY(Events!$A71)),"")</f>
        <v/>
      </c>
      <c r="D69">
        <f>IF(ISNUMBER(Events!$A71),DATE(YEAR($B$2),MONTH(Events!$A71),DAY(Events!$A71)),"")</f>
        <v/>
      </c>
      <c r="E69">
        <f>IF(OR(NOT(ISNUMBER(Events!$A71)),Events!$G71="No",Calendar!$H$4="None"),"",IF(OR(Calendar!$H$4="All events",Events!$D71=Calendar!$H$4),IF(Events!$E71="Yes",IF(AND(B69&gt;=Events!$A71,B69&lt;=$B$2,B69+$A69&gt;=$B$1),B69,IF(AND(C69&gt;=Events!$A71,C69&lt;=$B$2,C69+$A69&gt;=$B$1),C69,IF(AND(D69&gt;=Events!$A71,D69&lt;=$B$2,D69+$A69&gt;=$B$1),D69,""))),IF(AND(Events!$A71&lt;=$B$2,Events!$A71+$A69&gt;=$B$1),Events!$A71,"")),""))</f>
        <v/>
      </c>
      <c r="F69">
        <f>IF(E69="","",E69+A69)</f>
        <v/>
      </c>
      <c r="G69">
        <f>IF(E69="","",IF(AND(E69&lt;=EOMONTH(Calendar!$K$2,0),F69&gt;=Calendar!$K$2),E69+66/100000,""))</f>
        <v/>
      </c>
      <c r="H69">
        <f>H68+IF(AND($E69&lt;&gt;"",$E69&lt;=H$2,$F69&gt;=H$2),1,0)</f>
        <v/>
      </c>
      <c r="I69">
        <f>I68+IF(AND($E69&lt;&gt;"",$E69&lt;=I$2,$F69&gt;=I$2),1,0)</f>
        <v/>
      </c>
      <c r="J69">
        <f>J68+IF(AND($E69&lt;&gt;"",$E69&lt;=J$2,$F69&gt;=J$2),1,0)</f>
        <v/>
      </c>
      <c r="K69">
        <f>K68+IF(AND($E69&lt;&gt;"",$E69&lt;=K$2,$F69&gt;=K$2),1,0)</f>
        <v/>
      </c>
      <c r="L69">
        <f>L68+IF(AND($E69&lt;&gt;"",$E69&lt;=L$2,$F69&gt;=L$2),1,0)</f>
        <v/>
      </c>
      <c r="M69">
        <f>M68+IF(AND($E69&lt;&gt;"",$E69&lt;=M$2,$F69&gt;=M$2),1,0)</f>
        <v/>
      </c>
      <c r="N69">
        <f>N68+IF(AND($E69&lt;&gt;"",$E69&lt;=N$2,$F69&gt;=N$2),1,0)</f>
        <v/>
      </c>
      <c r="O69">
        <f>O68+IF(AND($E69&lt;&gt;"",$E69&lt;=O$2,$F69&gt;=O$2),1,0)</f>
        <v/>
      </c>
      <c r="P69">
        <f>P68+IF(AND($E69&lt;&gt;"",$E69&lt;=P$2,$F69&gt;=P$2),1,0)</f>
        <v/>
      </c>
      <c r="Q69">
        <f>Q68+IF(AND($E69&lt;&gt;"",$E69&lt;=Q$2,$F69&gt;=Q$2),1,0)</f>
        <v/>
      </c>
      <c r="R69">
        <f>R68+IF(AND($E69&lt;&gt;"",$E69&lt;=R$2,$F69&gt;=R$2),1,0)</f>
        <v/>
      </c>
      <c r="S69">
        <f>S68+IF(AND($E69&lt;&gt;"",$E69&lt;=S$2,$F69&gt;=S$2),1,0)</f>
        <v/>
      </c>
      <c r="T69">
        <f>T68+IF(AND($E69&lt;&gt;"",$E69&lt;=T$2,$F69&gt;=T$2),1,0)</f>
        <v/>
      </c>
      <c r="U69">
        <f>U68+IF(AND($E69&lt;&gt;"",$E69&lt;=U$2,$F69&gt;=U$2),1,0)</f>
        <v/>
      </c>
      <c r="V69">
        <f>V68+IF(AND($E69&lt;&gt;"",$E69&lt;=V$2,$F69&gt;=V$2),1,0)</f>
        <v/>
      </c>
      <c r="W69">
        <f>W68+IF(AND($E69&lt;&gt;"",$E69&lt;=W$2,$F69&gt;=W$2),1,0)</f>
        <v/>
      </c>
      <c r="X69">
        <f>X68+IF(AND($E69&lt;&gt;"",$E69&lt;=X$2,$F69&gt;=X$2),1,0)</f>
        <v/>
      </c>
      <c r="Y69">
        <f>Y68+IF(AND($E69&lt;&gt;"",$E69&lt;=Y$2,$F69&gt;=Y$2),1,0)</f>
        <v/>
      </c>
      <c r="Z69">
        <f>Z68+IF(AND($E69&lt;&gt;"",$E69&lt;=Z$2,$F69&gt;=Z$2),1,0)</f>
        <v/>
      </c>
      <c r="AA69">
        <f>AA68+IF(AND($E69&lt;&gt;"",$E69&lt;=AA$2,$F69&gt;=AA$2),1,0)</f>
        <v/>
      </c>
      <c r="AB69">
        <f>AB68+IF(AND($E69&lt;&gt;"",$E69&lt;=AB$2,$F69&gt;=AB$2),1,0)</f>
        <v/>
      </c>
      <c r="AC69">
        <f>AC68+IF(AND($E69&lt;&gt;"",$E69&lt;=AC$2,$F69&gt;=AC$2),1,0)</f>
        <v/>
      </c>
      <c r="AD69">
        <f>AD68+IF(AND($E69&lt;&gt;"",$E69&lt;=AD$2,$F69&gt;=AD$2),1,0)</f>
        <v/>
      </c>
      <c r="AE69">
        <f>AE68+IF(AND($E69&lt;&gt;"",$E69&lt;=AE$2,$F69&gt;=AE$2),1,0)</f>
        <v/>
      </c>
      <c r="AF69">
        <f>AF68+IF(AND($E69&lt;&gt;"",$E69&lt;=AF$2,$F69&gt;=AF$2),1,0)</f>
        <v/>
      </c>
      <c r="AG69">
        <f>AG68+IF(AND($E69&lt;&gt;"",$E69&lt;=AG$2,$F69&gt;=AG$2),1,0)</f>
        <v/>
      </c>
      <c r="AH69">
        <f>AH68+IF(AND($E69&lt;&gt;"",$E69&lt;=AH$2,$F69&gt;=AH$2),1,0)</f>
        <v/>
      </c>
      <c r="AI69">
        <f>AI68+IF(AND($E69&lt;&gt;"",$E69&lt;=AI$2,$F69&gt;=AI$2),1,0)</f>
        <v/>
      </c>
      <c r="AJ69">
        <f>AJ68+IF(AND($E69&lt;&gt;"",$E69&lt;=AJ$2,$F69&gt;=AJ$2),1,0)</f>
        <v/>
      </c>
      <c r="AK69">
        <f>AK68+IF(AND($E69&lt;&gt;"",$E69&lt;=AK$2,$F69&gt;=AK$2),1,0)</f>
        <v/>
      </c>
      <c r="AL69">
        <f>AL68+IF(AND($E69&lt;&gt;"",$E69&lt;=AL$2,$F69&gt;=AL$2),1,0)</f>
        <v/>
      </c>
      <c r="AM69">
        <f>AM68+IF(AND($E69&lt;&gt;"",$E69&lt;=AM$2,$F69&gt;=AM$2),1,0)</f>
        <v/>
      </c>
      <c r="AN69">
        <f>AN68+IF(AND($E69&lt;&gt;"",$E69&lt;=AN$2,$F69&gt;=AN$2),1,0)</f>
        <v/>
      </c>
      <c r="AO69">
        <f>AO68+IF(AND($E69&lt;&gt;"",$E69&lt;=AO$2,$F69&gt;=AO$2),1,0)</f>
        <v/>
      </c>
      <c r="AP69">
        <f>AP68+IF(AND($E69&lt;&gt;"",$E69&lt;=AP$2,$F69&gt;=AP$2),1,0)</f>
        <v/>
      </c>
      <c r="AQ69">
        <f>AQ68+IF(AND($E69&lt;&gt;"",$E69&lt;=AQ$2,$F69&gt;=AQ$2),1,0)</f>
        <v/>
      </c>
      <c r="AR69">
        <f>AR68+IF(AND($E69&lt;&gt;"",$E69&lt;=AR$2,$F69&gt;=AR$2),1,0)</f>
        <v/>
      </c>
      <c r="AS69">
        <f>AS68+IF(AND($E69&lt;&gt;"",$E69&lt;=AS$2,$F69&gt;=AS$2),1,0)</f>
        <v/>
      </c>
      <c r="AT69">
        <f>AT68+IF(AND($E69&lt;&gt;"",$E69&lt;=AT$2,$F69&gt;=AT$2),1,0)</f>
        <v/>
      </c>
      <c r="AU69">
        <f>AU68+IF(AND($E69&lt;&gt;"",$E69&lt;=AU$2,$F69&gt;=AU$2),1,0)</f>
        <v/>
      </c>
      <c r="AV69">
        <f>AV68+IF(AND($E69&lt;&gt;"",$E69&lt;=AV$2,$F69&gt;=AV$2),1,0)</f>
        <v/>
      </c>
      <c r="AW69">
        <f>AW68+IF(AND($E69&lt;&gt;"",$E69&lt;=AW$2,$F69&gt;=AW$2),1,0)</f>
        <v/>
      </c>
    </row>
    <row r="70">
      <c r="A70">
        <f>IF(AND(ISNUMBER(Events!$A72),ISNUMBER(Events!$B72)),MAX(0,Events!$B72-Events!$A72),0)</f>
        <v/>
      </c>
      <c r="B70">
        <f>IF(ISNUMBER(Events!$A72),DATE(YEAR($B$1)-1,MONTH(Events!$A72),DAY(Events!$A72)),"")</f>
        <v/>
      </c>
      <c r="C70">
        <f>IF(ISNUMBER(Events!$A72),DATE(YEAR($B$1),MONTH(Events!$A72),DAY(Events!$A72)),"")</f>
        <v/>
      </c>
      <c r="D70">
        <f>IF(ISNUMBER(Events!$A72),DATE(YEAR($B$2),MONTH(Events!$A72),DAY(Events!$A72)),"")</f>
        <v/>
      </c>
      <c r="E70">
        <f>IF(OR(NOT(ISNUMBER(Events!$A72)),Events!$G72="No",Calendar!$H$4="None"),"",IF(OR(Calendar!$H$4="All events",Events!$D72=Calendar!$H$4),IF(Events!$E72="Yes",IF(AND(B70&gt;=Events!$A72,B70&lt;=$B$2,B70+$A70&gt;=$B$1),B70,IF(AND(C70&gt;=Events!$A72,C70&lt;=$B$2,C70+$A70&gt;=$B$1),C70,IF(AND(D70&gt;=Events!$A72,D70&lt;=$B$2,D70+$A70&gt;=$B$1),D70,""))),IF(AND(Events!$A72&lt;=$B$2,Events!$A72+$A70&gt;=$B$1),Events!$A72,"")),""))</f>
        <v/>
      </c>
      <c r="F70">
        <f>IF(E70="","",E70+A70)</f>
        <v/>
      </c>
      <c r="G70">
        <f>IF(E70="","",IF(AND(E70&lt;=EOMONTH(Calendar!$K$2,0),F70&gt;=Calendar!$K$2),E70+67/100000,""))</f>
        <v/>
      </c>
      <c r="H70">
        <f>H69+IF(AND($E70&lt;&gt;"",$E70&lt;=H$2,$F70&gt;=H$2),1,0)</f>
        <v/>
      </c>
      <c r="I70">
        <f>I69+IF(AND($E70&lt;&gt;"",$E70&lt;=I$2,$F70&gt;=I$2),1,0)</f>
        <v/>
      </c>
      <c r="J70">
        <f>J69+IF(AND($E70&lt;&gt;"",$E70&lt;=J$2,$F70&gt;=J$2),1,0)</f>
        <v/>
      </c>
      <c r="K70">
        <f>K69+IF(AND($E70&lt;&gt;"",$E70&lt;=K$2,$F70&gt;=K$2),1,0)</f>
        <v/>
      </c>
      <c r="L70">
        <f>L69+IF(AND($E70&lt;&gt;"",$E70&lt;=L$2,$F70&gt;=L$2),1,0)</f>
        <v/>
      </c>
      <c r="M70">
        <f>M69+IF(AND($E70&lt;&gt;"",$E70&lt;=M$2,$F70&gt;=M$2),1,0)</f>
        <v/>
      </c>
      <c r="N70">
        <f>N69+IF(AND($E70&lt;&gt;"",$E70&lt;=N$2,$F70&gt;=N$2),1,0)</f>
        <v/>
      </c>
      <c r="O70">
        <f>O69+IF(AND($E70&lt;&gt;"",$E70&lt;=O$2,$F70&gt;=O$2),1,0)</f>
        <v/>
      </c>
      <c r="P70">
        <f>P69+IF(AND($E70&lt;&gt;"",$E70&lt;=P$2,$F70&gt;=P$2),1,0)</f>
        <v/>
      </c>
      <c r="Q70">
        <f>Q69+IF(AND($E70&lt;&gt;"",$E70&lt;=Q$2,$F70&gt;=Q$2),1,0)</f>
        <v/>
      </c>
      <c r="R70">
        <f>R69+IF(AND($E70&lt;&gt;"",$E70&lt;=R$2,$F70&gt;=R$2),1,0)</f>
        <v/>
      </c>
      <c r="S70">
        <f>S69+IF(AND($E70&lt;&gt;"",$E70&lt;=S$2,$F70&gt;=S$2),1,0)</f>
        <v/>
      </c>
      <c r="T70">
        <f>T69+IF(AND($E70&lt;&gt;"",$E70&lt;=T$2,$F70&gt;=T$2),1,0)</f>
        <v/>
      </c>
      <c r="U70">
        <f>U69+IF(AND($E70&lt;&gt;"",$E70&lt;=U$2,$F70&gt;=U$2),1,0)</f>
        <v/>
      </c>
      <c r="V70">
        <f>V69+IF(AND($E70&lt;&gt;"",$E70&lt;=V$2,$F70&gt;=V$2),1,0)</f>
        <v/>
      </c>
      <c r="W70">
        <f>W69+IF(AND($E70&lt;&gt;"",$E70&lt;=W$2,$F70&gt;=W$2),1,0)</f>
        <v/>
      </c>
      <c r="X70">
        <f>X69+IF(AND($E70&lt;&gt;"",$E70&lt;=X$2,$F70&gt;=X$2),1,0)</f>
        <v/>
      </c>
      <c r="Y70">
        <f>Y69+IF(AND($E70&lt;&gt;"",$E70&lt;=Y$2,$F70&gt;=Y$2),1,0)</f>
        <v/>
      </c>
      <c r="Z70">
        <f>Z69+IF(AND($E70&lt;&gt;"",$E70&lt;=Z$2,$F70&gt;=Z$2),1,0)</f>
        <v/>
      </c>
      <c r="AA70">
        <f>AA69+IF(AND($E70&lt;&gt;"",$E70&lt;=AA$2,$F70&gt;=AA$2),1,0)</f>
        <v/>
      </c>
      <c r="AB70">
        <f>AB69+IF(AND($E70&lt;&gt;"",$E70&lt;=AB$2,$F70&gt;=AB$2),1,0)</f>
        <v/>
      </c>
      <c r="AC70">
        <f>AC69+IF(AND($E70&lt;&gt;"",$E70&lt;=AC$2,$F70&gt;=AC$2),1,0)</f>
        <v/>
      </c>
      <c r="AD70">
        <f>AD69+IF(AND($E70&lt;&gt;"",$E70&lt;=AD$2,$F70&gt;=AD$2),1,0)</f>
        <v/>
      </c>
      <c r="AE70">
        <f>AE69+IF(AND($E70&lt;&gt;"",$E70&lt;=AE$2,$F70&gt;=AE$2),1,0)</f>
        <v/>
      </c>
      <c r="AF70">
        <f>AF69+IF(AND($E70&lt;&gt;"",$E70&lt;=AF$2,$F70&gt;=AF$2),1,0)</f>
        <v/>
      </c>
      <c r="AG70">
        <f>AG69+IF(AND($E70&lt;&gt;"",$E70&lt;=AG$2,$F70&gt;=AG$2),1,0)</f>
        <v/>
      </c>
      <c r="AH70">
        <f>AH69+IF(AND($E70&lt;&gt;"",$E70&lt;=AH$2,$F70&gt;=AH$2),1,0)</f>
        <v/>
      </c>
      <c r="AI70">
        <f>AI69+IF(AND($E70&lt;&gt;"",$E70&lt;=AI$2,$F70&gt;=AI$2),1,0)</f>
        <v/>
      </c>
      <c r="AJ70">
        <f>AJ69+IF(AND($E70&lt;&gt;"",$E70&lt;=AJ$2,$F70&gt;=AJ$2),1,0)</f>
        <v/>
      </c>
      <c r="AK70">
        <f>AK69+IF(AND($E70&lt;&gt;"",$E70&lt;=AK$2,$F70&gt;=AK$2),1,0)</f>
        <v/>
      </c>
      <c r="AL70">
        <f>AL69+IF(AND($E70&lt;&gt;"",$E70&lt;=AL$2,$F70&gt;=AL$2),1,0)</f>
        <v/>
      </c>
      <c r="AM70">
        <f>AM69+IF(AND($E70&lt;&gt;"",$E70&lt;=AM$2,$F70&gt;=AM$2),1,0)</f>
        <v/>
      </c>
      <c r="AN70">
        <f>AN69+IF(AND($E70&lt;&gt;"",$E70&lt;=AN$2,$F70&gt;=AN$2),1,0)</f>
        <v/>
      </c>
      <c r="AO70">
        <f>AO69+IF(AND($E70&lt;&gt;"",$E70&lt;=AO$2,$F70&gt;=AO$2),1,0)</f>
        <v/>
      </c>
      <c r="AP70">
        <f>AP69+IF(AND($E70&lt;&gt;"",$E70&lt;=AP$2,$F70&gt;=AP$2),1,0)</f>
        <v/>
      </c>
      <c r="AQ70">
        <f>AQ69+IF(AND($E70&lt;&gt;"",$E70&lt;=AQ$2,$F70&gt;=AQ$2),1,0)</f>
        <v/>
      </c>
      <c r="AR70">
        <f>AR69+IF(AND($E70&lt;&gt;"",$E70&lt;=AR$2,$F70&gt;=AR$2),1,0)</f>
        <v/>
      </c>
      <c r="AS70">
        <f>AS69+IF(AND($E70&lt;&gt;"",$E70&lt;=AS$2,$F70&gt;=AS$2),1,0)</f>
        <v/>
      </c>
      <c r="AT70">
        <f>AT69+IF(AND($E70&lt;&gt;"",$E70&lt;=AT$2,$F70&gt;=AT$2),1,0)</f>
        <v/>
      </c>
      <c r="AU70">
        <f>AU69+IF(AND($E70&lt;&gt;"",$E70&lt;=AU$2,$F70&gt;=AU$2),1,0)</f>
        <v/>
      </c>
      <c r="AV70">
        <f>AV69+IF(AND($E70&lt;&gt;"",$E70&lt;=AV$2,$F70&gt;=AV$2),1,0)</f>
        <v/>
      </c>
      <c r="AW70">
        <f>AW69+IF(AND($E70&lt;&gt;"",$E70&lt;=AW$2,$F70&gt;=AW$2),1,0)</f>
        <v/>
      </c>
    </row>
    <row r="71">
      <c r="A71">
        <f>IF(AND(ISNUMBER(Events!$A73),ISNUMBER(Events!$B73)),MAX(0,Events!$B73-Events!$A73),0)</f>
        <v/>
      </c>
      <c r="B71">
        <f>IF(ISNUMBER(Events!$A73),DATE(YEAR($B$1)-1,MONTH(Events!$A73),DAY(Events!$A73)),"")</f>
        <v/>
      </c>
      <c r="C71">
        <f>IF(ISNUMBER(Events!$A73),DATE(YEAR($B$1),MONTH(Events!$A73),DAY(Events!$A73)),"")</f>
        <v/>
      </c>
      <c r="D71">
        <f>IF(ISNUMBER(Events!$A73),DATE(YEAR($B$2),MONTH(Events!$A73),DAY(Events!$A73)),"")</f>
        <v/>
      </c>
      <c r="E71">
        <f>IF(OR(NOT(ISNUMBER(Events!$A73)),Events!$G73="No",Calendar!$H$4="None"),"",IF(OR(Calendar!$H$4="All events",Events!$D73=Calendar!$H$4),IF(Events!$E73="Yes",IF(AND(B71&gt;=Events!$A73,B71&lt;=$B$2,B71+$A71&gt;=$B$1),B71,IF(AND(C71&gt;=Events!$A73,C71&lt;=$B$2,C71+$A71&gt;=$B$1),C71,IF(AND(D71&gt;=Events!$A73,D71&lt;=$B$2,D71+$A71&gt;=$B$1),D71,""))),IF(AND(Events!$A73&lt;=$B$2,Events!$A73+$A71&gt;=$B$1),Events!$A73,"")),""))</f>
        <v/>
      </c>
      <c r="F71">
        <f>IF(E71="","",E71+A71)</f>
        <v/>
      </c>
      <c r="G71">
        <f>IF(E71="","",IF(AND(E71&lt;=EOMONTH(Calendar!$K$2,0),F71&gt;=Calendar!$K$2),E71+68/100000,""))</f>
        <v/>
      </c>
      <c r="H71">
        <f>H70+IF(AND($E71&lt;&gt;"",$E71&lt;=H$2,$F71&gt;=H$2),1,0)</f>
        <v/>
      </c>
      <c r="I71">
        <f>I70+IF(AND($E71&lt;&gt;"",$E71&lt;=I$2,$F71&gt;=I$2),1,0)</f>
        <v/>
      </c>
      <c r="J71">
        <f>J70+IF(AND($E71&lt;&gt;"",$E71&lt;=J$2,$F71&gt;=J$2),1,0)</f>
        <v/>
      </c>
      <c r="K71">
        <f>K70+IF(AND($E71&lt;&gt;"",$E71&lt;=K$2,$F71&gt;=K$2),1,0)</f>
        <v/>
      </c>
      <c r="L71">
        <f>L70+IF(AND($E71&lt;&gt;"",$E71&lt;=L$2,$F71&gt;=L$2),1,0)</f>
        <v/>
      </c>
      <c r="M71">
        <f>M70+IF(AND($E71&lt;&gt;"",$E71&lt;=M$2,$F71&gt;=M$2),1,0)</f>
        <v/>
      </c>
      <c r="N71">
        <f>N70+IF(AND($E71&lt;&gt;"",$E71&lt;=N$2,$F71&gt;=N$2),1,0)</f>
        <v/>
      </c>
      <c r="O71">
        <f>O70+IF(AND($E71&lt;&gt;"",$E71&lt;=O$2,$F71&gt;=O$2),1,0)</f>
        <v/>
      </c>
      <c r="P71">
        <f>P70+IF(AND($E71&lt;&gt;"",$E71&lt;=P$2,$F71&gt;=P$2),1,0)</f>
        <v/>
      </c>
      <c r="Q71">
        <f>Q70+IF(AND($E71&lt;&gt;"",$E71&lt;=Q$2,$F71&gt;=Q$2),1,0)</f>
        <v/>
      </c>
      <c r="R71">
        <f>R70+IF(AND($E71&lt;&gt;"",$E71&lt;=R$2,$F71&gt;=R$2),1,0)</f>
        <v/>
      </c>
      <c r="S71">
        <f>S70+IF(AND($E71&lt;&gt;"",$E71&lt;=S$2,$F71&gt;=S$2),1,0)</f>
        <v/>
      </c>
      <c r="T71">
        <f>T70+IF(AND($E71&lt;&gt;"",$E71&lt;=T$2,$F71&gt;=T$2),1,0)</f>
        <v/>
      </c>
      <c r="U71">
        <f>U70+IF(AND($E71&lt;&gt;"",$E71&lt;=U$2,$F71&gt;=U$2),1,0)</f>
        <v/>
      </c>
      <c r="V71">
        <f>V70+IF(AND($E71&lt;&gt;"",$E71&lt;=V$2,$F71&gt;=V$2),1,0)</f>
        <v/>
      </c>
      <c r="W71">
        <f>W70+IF(AND($E71&lt;&gt;"",$E71&lt;=W$2,$F71&gt;=W$2),1,0)</f>
        <v/>
      </c>
      <c r="X71">
        <f>X70+IF(AND($E71&lt;&gt;"",$E71&lt;=X$2,$F71&gt;=X$2),1,0)</f>
        <v/>
      </c>
      <c r="Y71">
        <f>Y70+IF(AND($E71&lt;&gt;"",$E71&lt;=Y$2,$F71&gt;=Y$2),1,0)</f>
        <v/>
      </c>
      <c r="Z71">
        <f>Z70+IF(AND($E71&lt;&gt;"",$E71&lt;=Z$2,$F71&gt;=Z$2),1,0)</f>
        <v/>
      </c>
      <c r="AA71">
        <f>AA70+IF(AND($E71&lt;&gt;"",$E71&lt;=AA$2,$F71&gt;=AA$2),1,0)</f>
        <v/>
      </c>
      <c r="AB71">
        <f>AB70+IF(AND($E71&lt;&gt;"",$E71&lt;=AB$2,$F71&gt;=AB$2),1,0)</f>
        <v/>
      </c>
      <c r="AC71">
        <f>AC70+IF(AND($E71&lt;&gt;"",$E71&lt;=AC$2,$F71&gt;=AC$2),1,0)</f>
        <v/>
      </c>
      <c r="AD71">
        <f>AD70+IF(AND($E71&lt;&gt;"",$E71&lt;=AD$2,$F71&gt;=AD$2),1,0)</f>
        <v/>
      </c>
      <c r="AE71">
        <f>AE70+IF(AND($E71&lt;&gt;"",$E71&lt;=AE$2,$F71&gt;=AE$2),1,0)</f>
        <v/>
      </c>
      <c r="AF71">
        <f>AF70+IF(AND($E71&lt;&gt;"",$E71&lt;=AF$2,$F71&gt;=AF$2),1,0)</f>
        <v/>
      </c>
      <c r="AG71">
        <f>AG70+IF(AND($E71&lt;&gt;"",$E71&lt;=AG$2,$F71&gt;=AG$2),1,0)</f>
        <v/>
      </c>
      <c r="AH71">
        <f>AH70+IF(AND($E71&lt;&gt;"",$E71&lt;=AH$2,$F71&gt;=AH$2),1,0)</f>
        <v/>
      </c>
      <c r="AI71">
        <f>AI70+IF(AND($E71&lt;&gt;"",$E71&lt;=AI$2,$F71&gt;=AI$2),1,0)</f>
        <v/>
      </c>
      <c r="AJ71">
        <f>AJ70+IF(AND($E71&lt;&gt;"",$E71&lt;=AJ$2,$F71&gt;=AJ$2),1,0)</f>
        <v/>
      </c>
      <c r="AK71">
        <f>AK70+IF(AND($E71&lt;&gt;"",$E71&lt;=AK$2,$F71&gt;=AK$2),1,0)</f>
        <v/>
      </c>
      <c r="AL71">
        <f>AL70+IF(AND($E71&lt;&gt;"",$E71&lt;=AL$2,$F71&gt;=AL$2),1,0)</f>
        <v/>
      </c>
      <c r="AM71">
        <f>AM70+IF(AND($E71&lt;&gt;"",$E71&lt;=AM$2,$F71&gt;=AM$2),1,0)</f>
        <v/>
      </c>
      <c r="AN71">
        <f>AN70+IF(AND($E71&lt;&gt;"",$E71&lt;=AN$2,$F71&gt;=AN$2),1,0)</f>
        <v/>
      </c>
      <c r="AO71">
        <f>AO70+IF(AND($E71&lt;&gt;"",$E71&lt;=AO$2,$F71&gt;=AO$2),1,0)</f>
        <v/>
      </c>
      <c r="AP71">
        <f>AP70+IF(AND($E71&lt;&gt;"",$E71&lt;=AP$2,$F71&gt;=AP$2),1,0)</f>
        <v/>
      </c>
      <c r="AQ71">
        <f>AQ70+IF(AND($E71&lt;&gt;"",$E71&lt;=AQ$2,$F71&gt;=AQ$2),1,0)</f>
        <v/>
      </c>
      <c r="AR71">
        <f>AR70+IF(AND($E71&lt;&gt;"",$E71&lt;=AR$2,$F71&gt;=AR$2),1,0)</f>
        <v/>
      </c>
      <c r="AS71">
        <f>AS70+IF(AND($E71&lt;&gt;"",$E71&lt;=AS$2,$F71&gt;=AS$2),1,0)</f>
        <v/>
      </c>
      <c r="AT71">
        <f>AT70+IF(AND($E71&lt;&gt;"",$E71&lt;=AT$2,$F71&gt;=AT$2),1,0)</f>
        <v/>
      </c>
      <c r="AU71">
        <f>AU70+IF(AND($E71&lt;&gt;"",$E71&lt;=AU$2,$F71&gt;=AU$2),1,0)</f>
        <v/>
      </c>
      <c r="AV71">
        <f>AV70+IF(AND($E71&lt;&gt;"",$E71&lt;=AV$2,$F71&gt;=AV$2),1,0)</f>
        <v/>
      </c>
      <c r="AW71">
        <f>AW70+IF(AND($E71&lt;&gt;"",$E71&lt;=AW$2,$F71&gt;=AW$2),1,0)</f>
        <v/>
      </c>
    </row>
    <row r="72">
      <c r="A72">
        <f>IF(AND(ISNUMBER(Events!$A74),ISNUMBER(Events!$B74)),MAX(0,Events!$B74-Events!$A74),0)</f>
        <v/>
      </c>
      <c r="B72">
        <f>IF(ISNUMBER(Events!$A74),DATE(YEAR($B$1)-1,MONTH(Events!$A74),DAY(Events!$A74)),"")</f>
        <v/>
      </c>
      <c r="C72">
        <f>IF(ISNUMBER(Events!$A74),DATE(YEAR($B$1),MONTH(Events!$A74),DAY(Events!$A74)),"")</f>
        <v/>
      </c>
      <c r="D72">
        <f>IF(ISNUMBER(Events!$A74),DATE(YEAR($B$2),MONTH(Events!$A74),DAY(Events!$A74)),"")</f>
        <v/>
      </c>
      <c r="E72">
        <f>IF(OR(NOT(ISNUMBER(Events!$A74)),Events!$G74="No",Calendar!$H$4="None"),"",IF(OR(Calendar!$H$4="All events",Events!$D74=Calendar!$H$4),IF(Events!$E74="Yes",IF(AND(B72&gt;=Events!$A74,B72&lt;=$B$2,B72+$A72&gt;=$B$1),B72,IF(AND(C72&gt;=Events!$A74,C72&lt;=$B$2,C72+$A72&gt;=$B$1),C72,IF(AND(D72&gt;=Events!$A74,D72&lt;=$B$2,D72+$A72&gt;=$B$1),D72,""))),IF(AND(Events!$A74&lt;=$B$2,Events!$A74+$A72&gt;=$B$1),Events!$A74,"")),""))</f>
        <v/>
      </c>
      <c r="F72">
        <f>IF(E72="","",E72+A72)</f>
        <v/>
      </c>
      <c r="G72">
        <f>IF(E72="","",IF(AND(E72&lt;=EOMONTH(Calendar!$K$2,0),F72&gt;=Calendar!$K$2),E72+69/100000,""))</f>
        <v/>
      </c>
      <c r="H72">
        <f>H71+IF(AND($E72&lt;&gt;"",$E72&lt;=H$2,$F72&gt;=H$2),1,0)</f>
        <v/>
      </c>
      <c r="I72">
        <f>I71+IF(AND($E72&lt;&gt;"",$E72&lt;=I$2,$F72&gt;=I$2),1,0)</f>
        <v/>
      </c>
      <c r="J72">
        <f>J71+IF(AND($E72&lt;&gt;"",$E72&lt;=J$2,$F72&gt;=J$2),1,0)</f>
        <v/>
      </c>
      <c r="K72">
        <f>K71+IF(AND($E72&lt;&gt;"",$E72&lt;=K$2,$F72&gt;=K$2),1,0)</f>
        <v/>
      </c>
      <c r="L72">
        <f>L71+IF(AND($E72&lt;&gt;"",$E72&lt;=L$2,$F72&gt;=L$2),1,0)</f>
        <v/>
      </c>
      <c r="M72">
        <f>M71+IF(AND($E72&lt;&gt;"",$E72&lt;=M$2,$F72&gt;=M$2),1,0)</f>
        <v/>
      </c>
      <c r="N72">
        <f>N71+IF(AND($E72&lt;&gt;"",$E72&lt;=N$2,$F72&gt;=N$2),1,0)</f>
        <v/>
      </c>
      <c r="O72">
        <f>O71+IF(AND($E72&lt;&gt;"",$E72&lt;=O$2,$F72&gt;=O$2),1,0)</f>
        <v/>
      </c>
      <c r="P72">
        <f>P71+IF(AND($E72&lt;&gt;"",$E72&lt;=P$2,$F72&gt;=P$2),1,0)</f>
        <v/>
      </c>
      <c r="Q72">
        <f>Q71+IF(AND($E72&lt;&gt;"",$E72&lt;=Q$2,$F72&gt;=Q$2),1,0)</f>
        <v/>
      </c>
      <c r="R72">
        <f>R71+IF(AND($E72&lt;&gt;"",$E72&lt;=R$2,$F72&gt;=R$2),1,0)</f>
        <v/>
      </c>
      <c r="S72">
        <f>S71+IF(AND($E72&lt;&gt;"",$E72&lt;=S$2,$F72&gt;=S$2),1,0)</f>
        <v/>
      </c>
      <c r="T72">
        <f>T71+IF(AND($E72&lt;&gt;"",$E72&lt;=T$2,$F72&gt;=T$2),1,0)</f>
        <v/>
      </c>
      <c r="U72">
        <f>U71+IF(AND($E72&lt;&gt;"",$E72&lt;=U$2,$F72&gt;=U$2),1,0)</f>
        <v/>
      </c>
      <c r="V72">
        <f>V71+IF(AND($E72&lt;&gt;"",$E72&lt;=V$2,$F72&gt;=V$2),1,0)</f>
        <v/>
      </c>
      <c r="W72">
        <f>W71+IF(AND($E72&lt;&gt;"",$E72&lt;=W$2,$F72&gt;=W$2),1,0)</f>
        <v/>
      </c>
      <c r="X72">
        <f>X71+IF(AND($E72&lt;&gt;"",$E72&lt;=X$2,$F72&gt;=X$2),1,0)</f>
        <v/>
      </c>
      <c r="Y72">
        <f>Y71+IF(AND($E72&lt;&gt;"",$E72&lt;=Y$2,$F72&gt;=Y$2),1,0)</f>
        <v/>
      </c>
      <c r="Z72">
        <f>Z71+IF(AND($E72&lt;&gt;"",$E72&lt;=Z$2,$F72&gt;=Z$2),1,0)</f>
        <v/>
      </c>
      <c r="AA72">
        <f>AA71+IF(AND($E72&lt;&gt;"",$E72&lt;=AA$2,$F72&gt;=AA$2),1,0)</f>
        <v/>
      </c>
      <c r="AB72">
        <f>AB71+IF(AND($E72&lt;&gt;"",$E72&lt;=AB$2,$F72&gt;=AB$2),1,0)</f>
        <v/>
      </c>
      <c r="AC72">
        <f>AC71+IF(AND($E72&lt;&gt;"",$E72&lt;=AC$2,$F72&gt;=AC$2),1,0)</f>
        <v/>
      </c>
      <c r="AD72">
        <f>AD71+IF(AND($E72&lt;&gt;"",$E72&lt;=AD$2,$F72&gt;=AD$2),1,0)</f>
        <v/>
      </c>
      <c r="AE72">
        <f>AE71+IF(AND($E72&lt;&gt;"",$E72&lt;=AE$2,$F72&gt;=AE$2),1,0)</f>
        <v/>
      </c>
      <c r="AF72">
        <f>AF71+IF(AND($E72&lt;&gt;"",$E72&lt;=AF$2,$F72&gt;=AF$2),1,0)</f>
        <v/>
      </c>
      <c r="AG72">
        <f>AG71+IF(AND($E72&lt;&gt;"",$E72&lt;=AG$2,$F72&gt;=AG$2),1,0)</f>
        <v/>
      </c>
      <c r="AH72">
        <f>AH71+IF(AND($E72&lt;&gt;"",$E72&lt;=AH$2,$F72&gt;=AH$2),1,0)</f>
        <v/>
      </c>
      <c r="AI72">
        <f>AI71+IF(AND($E72&lt;&gt;"",$E72&lt;=AI$2,$F72&gt;=AI$2),1,0)</f>
        <v/>
      </c>
      <c r="AJ72">
        <f>AJ71+IF(AND($E72&lt;&gt;"",$E72&lt;=AJ$2,$F72&gt;=AJ$2),1,0)</f>
        <v/>
      </c>
      <c r="AK72">
        <f>AK71+IF(AND($E72&lt;&gt;"",$E72&lt;=AK$2,$F72&gt;=AK$2),1,0)</f>
        <v/>
      </c>
      <c r="AL72">
        <f>AL71+IF(AND($E72&lt;&gt;"",$E72&lt;=AL$2,$F72&gt;=AL$2),1,0)</f>
        <v/>
      </c>
      <c r="AM72">
        <f>AM71+IF(AND($E72&lt;&gt;"",$E72&lt;=AM$2,$F72&gt;=AM$2),1,0)</f>
        <v/>
      </c>
      <c r="AN72">
        <f>AN71+IF(AND($E72&lt;&gt;"",$E72&lt;=AN$2,$F72&gt;=AN$2),1,0)</f>
        <v/>
      </c>
      <c r="AO72">
        <f>AO71+IF(AND($E72&lt;&gt;"",$E72&lt;=AO$2,$F72&gt;=AO$2),1,0)</f>
        <v/>
      </c>
      <c r="AP72">
        <f>AP71+IF(AND($E72&lt;&gt;"",$E72&lt;=AP$2,$F72&gt;=AP$2),1,0)</f>
        <v/>
      </c>
      <c r="AQ72">
        <f>AQ71+IF(AND($E72&lt;&gt;"",$E72&lt;=AQ$2,$F72&gt;=AQ$2),1,0)</f>
        <v/>
      </c>
      <c r="AR72">
        <f>AR71+IF(AND($E72&lt;&gt;"",$E72&lt;=AR$2,$F72&gt;=AR$2),1,0)</f>
        <v/>
      </c>
      <c r="AS72">
        <f>AS71+IF(AND($E72&lt;&gt;"",$E72&lt;=AS$2,$F72&gt;=AS$2),1,0)</f>
        <v/>
      </c>
      <c r="AT72">
        <f>AT71+IF(AND($E72&lt;&gt;"",$E72&lt;=AT$2,$F72&gt;=AT$2),1,0)</f>
        <v/>
      </c>
      <c r="AU72">
        <f>AU71+IF(AND($E72&lt;&gt;"",$E72&lt;=AU$2,$F72&gt;=AU$2),1,0)</f>
        <v/>
      </c>
      <c r="AV72">
        <f>AV71+IF(AND($E72&lt;&gt;"",$E72&lt;=AV$2,$F72&gt;=AV$2),1,0)</f>
        <v/>
      </c>
      <c r="AW72">
        <f>AW71+IF(AND($E72&lt;&gt;"",$E72&lt;=AW$2,$F72&gt;=AW$2),1,0)</f>
        <v/>
      </c>
    </row>
    <row r="73">
      <c r="A73">
        <f>IF(AND(ISNUMBER(Events!$A75),ISNUMBER(Events!$B75)),MAX(0,Events!$B75-Events!$A75),0)</f>
        <v/>
      </c>
      <c r="B73">
        <f>IF(ISNUMBER(Events!$A75),DATE(YEAR($B$1)-1,MONTH(Events!$A75),DAY(Events!$A75)),"")</f>
        <v/>
      </c>
      <c r="C73">
        <f>IF(ISNUMBER(Events!$A75),DATE(YEAR($B$1),MONTH(Events!$A75),DAY(Events!$A75)),"")</f>
        <v/>
      </c>
      <c r="D73">
        <f>IF(ISNUMBER(Events!$A75),DATE(YEAR($B$2),MONTH(Events!$A75),DAY(Events!$A75)),"")</f>
        <v/>
      </c>
      <c r="E73">
        <f>IF(OR(NOT(ISNUMBER(Events!$A75)),Events!$G75="No",Calendar!$H$4="None"),"",IF(OR(Calendar!$H$4="All events",Events!$D75=Calendar!$H$4),IF(Events!$E75="Yes",IF(AND(B73&gt;=Events!$A75,B73&lt;=$B$2,B73+$A73&gt;=$B$1),B73,IF(AND(C73&gt;=Events!$A75,C73&lt;=$B$2,C73+$A73&gt;=$B$1),C73,IF(AND(D73&gt;=Events!$A75,D73&lt;=$B$2,D73+$A73&gt;=$B$1),D73,""))),IF(AND(Events!$A75&lt;=$B$2,Events!$A75+$A73&gt;=$B$1),Events!$A75,"")),""))</f>
        <v/>
      </c>
      <c r="F73">
        <f>IF(E73="","",E73+A73)</f>
        <v/>
      </c>
      <c r="G73">
        <f>IF(E73="","",IF(AND(E73&lt;=EOMONTH(Calendar!$K$2,0),F73&gt;=Calendar!$K$2),E73+70/100000,""))</f>
        <v/>
      </c>
      <c r="H73">
        <f>H72+IF(AND($E73&lt;&gt;"",$E73&lt;=H$2,$F73&gt;=H$2),1,0)</f>
        <v/>
      </c>
      <c r="I73">
        <f>I72+IF(AND($E73&lt;&gt;"",$E73&lt;=I$2,$F73&gt;=I$2),1,0)</f>
        <v/>
      </c>
      <c r="J73">
        <f>J72+IF(AND($E73&lt;&gt;"",$E73&lt;=J$2,$F73&gt;=J$2),1,0)</f>
        <v/>
      </c>
      <c r="K73">
        <f>K72+IF(AND($E73&lt;&gt;"",$E73&lt;=K$2,$F73&gt;=K$2),1,0)</f>
        <v/>
      </c>
      <c r="L73">
        <f>L72+IF(AND($E73&lt;&gt;"",$E73&lt;=L$2,$F73&gt;=L$2),1,0)</f>
        <v/>
      </c>
      <c r="M73">
        <f>M72+IF(AND($E73&lt;&gt;"",$E73&lt;=M$2,$F73&gt;=M$2),1,0)</f>
        <v/>
      </c>
      <c r="N73">
        <f>N72+IF(AND($E73&lt;&gt;"",$E73&lt;=N$2,$F73&gt;=N$2),1,0)</f>
        <v/>
      </c>
      <c r="O73">
        <f>O72+IF(AND($E73&lt;&gt;"",$E73&lt;=O$2,$F73&gt;=O$2),1,0)</f>
        <v/>
      </c>
      <c r="P73">
        <f>P72+IF(AND($E73&lt;&gt;"",$E73&lt;=P$2,$F73&gt;=P$2),1,0)</f>
        <v/>
      </c>
      <c r="Q73">
        <f>Q72+IF(AND($E73&lt;&gt;"",$E73&lt;=Q$2,$F73&gt;=Q$2),1,0)</f>
        <v/>
      </c>
      <c r="R73">
        <f>R72+IF(AND($E73&lt;&gt;"",$E73&lt;=R$2,$F73&gt;=R$2),1,0)</f>
        <v/>
      </c>
      <c r="S73">
        <f>S72+IF(AND($E73&lt;&gt;"",$E73&lt;=S$2,$F73&gt;=S$2),1,0)</f>
        <v/>
      </c>
      <c r="T73">
        <f>T72+IF(AND($E73&lt;&gt;"",$E73&lt;=T$2,$F73&gt;=T$2),1,0)</f>
        <v/>
      </c>
      <c r="U73">
        <f>U72+IF(AND($E73&lt;&gt;"",$E73&lt;=U$2,$F73&gt;=U$2),1,0)</f>
        <v/>
      </c>
      <c r="V73">
        <f>V72+IF(AND($E73&lt;&gt;"",$E73&lt;=V$2,$F73&gt;=V$2),1,0)</f>
        <v/>
      </c>
      <c r="W73">
        <f>W72+IF(AND($E73&lt;&gt;"",$E73&lt;=W$2,$F73&gt;=W$2),1,0)</f>
        <v/>
      </c>
      <c r="X73">
        <f>X72+IF(AND($E73&lt;&gt;"",$E73&lt;=X$2,$F73&gt;=X$2),1,0)</f>
        <v/>
      </c>
      <c r="Y73">
        <f>Y72+IF(AND($E73&lt;&gt;"",$E73&lt;=Y$2,$F73&gt;=Y$2),1,0)</f>
        <v/>
      </c>
      <c r="Z73">
        <f>Z72+IF(AND($E73&lt;&gt;"",$E73&lt;=Z$2,$F73&gt;=Z$2),1,0)</f>
        <v/>
      </c>
      <c r="AA73">
        <f>AA72+IF(AND($E73&lt;&gt;"",$E73&lt;=AA$2,$F73&gt;=AA$2),1,0)</f>
        <v/>
      </c>
      <c r="AB73">
        <f>AB72+IF(AND($E73&lt;&gt;"",$E73&lt;=AB$2,$F73&gt;=AB$2),1,0)</f>
        <v/>
      </c>
      <c r="AC73">
        <f>AC72+IF(AND($E73&lt;&gt;"",$E73&lt;=AC$2,$F73&gt;=AC$2),1,0)</f>
        <v/>
      </c>
      <c r="AD73">
        <f>AD72+IF(AND($E73&lt;&gt;"",$E73&lt;=AD$2,$F73&gt;=AD$2),1,0)</f>
        <v/>
      </c>
      <c r="AE73">
        <f>AE72+IF(AND($E73&lt;&gt;"",$E73&lt;=AE$2,$F73&gt;=AE$2),1,0)</f>
        <v/>
      </c>
      <c r="AF73">
        <f>AF72+IF(AND($E73&lt;&gt;"",$E73&lt;=AF$2,$F73&gt;=AF$2),1,0)</f>
        <v/>
      </c>
      <c r="AG73">
        <f>AG72+IF(AND($E73&lt;&gt;"",$E73&lt;=AG$2,$F73&gt;=AG$2),1,0)</f>
        <v/>
      </c>
      <c r="AH73">
        <f>AH72+IF(AND($E73&lt;&gt;"",$E73&lt;=AH$2,$F73&gt;=AH$2),1,0)</f>
        <v/>
      </c>
      <c r="AI73">
        <f>AI72+IF(AND($E73&lt;&gt;"",$E73&lt;=AI$2,$F73&gt;=AI$2),1,0)</f>
        <v/>
      </c>
      <c r="AJ73">
        <f>AJ72+IF(AND($E73&lt;&gt;"",$E73&lt;=AJ$2,$F73&gt;=AJ$2),1,0)</f>
        <v/>
      </c>
      <c r="AK73">
        <f>AK72+IF(AND($E73&lt;&gt;"",$E73&lt;=AK$2,$F73&gt;=AK$2),1,0)</f>
        <v/>
      </c>
      <c r="AL73">
        <f>AL72+IF(AND($E73&lt;&gt;"",$E73&lt;=AL$2,$F73&gt;=AL$2),1,0)</f>
        <v/>
      </c>
      <c r="AM73">
        <f>AM72+IF(AND($E73&lt;&gt;"",$E73&lt;=AM$2,$F73&gt;=AM$2),1,0)</f>
        <v/>
      </c>
      <c r="AN73">
        <f>AN72+IF(AND($E73&lt;&gt;"",$E73&lt;=AN$2,$F73&gt;=AN$2),1,0)</f>
        <v/>
      </c>
      <c r="AO73">
        <f>AO72+IF(AND($E73&lt;&gt;"",$E73&lt;=AO$2,$F73&gt;=AO$2),1,0)</f>
        <v/>
      </c>
      <c r="AP73">
        <f>AP72+IF(AND($E73&lt;&gt;"",$E73&lt;=AP$2,$F73&gt;=AP$2),1,0)</f>
        <v/>
      </c>
      <c r="AQ73">
        <f>AQ72+IF(AND($E73&lt;&gt;"",$E73&lt;=AQ$2,$F73&gt;=AQ$2),1,0)</f>
        <v/>
      </c>
      <c r="AR73">
        <f>AR72+IF(AND($E73&lt;&gt;"",$E73&lt;=AR$2,$F73&gt;=AR$2),1,0)</f>
        <v/>
      </c>
      <c r="AS73">
        <f>AS72+IF(AND($E73&lt;&gt;"",$E73&lt;=AS$2,$F73&gt;=AS$2),1,0)</f>
        <v/>
      </c>
      <c r="AT73">
        <f>AT72+IF(AND($E73&lt;&gt;"",$E73&lt;=AT$2,$F73&gt;=AT$2),1,0)</f>
        <v/>
      </c>
      <c r="AU73">
        <f>AU72+IF(AND($E73&lt;&gt;"",$E73&lt;=AU$2,$F73&gt;=AU$2),1,0)</f>
        <v/>
      </c>
      <c r="AV73">
        <f>AV72+IF(AND($E73&lt;&gt;"",$E73&lt;=AV$2,$F73&gt;=AV$2),1,0)</f>
        <v/>
      </c>
      <c r="AW73">
        <f>AW72+IF(AND($E73&lt;&gt;"",$E73&lt;=AW$2,$F73&gt;=AW$2),1,0)</f>
        <v/>
      </c>
    </row>
    <row r="74">
      <c r="A74">
        <f>IF(AND(ISNUMBER(Events!$A76),ISNUMBER(Events!$B76)),MAX(0,Events!$B76-Events!$A76),0)</f>
        <v/>
      </c>
      <c r="B74">
        <f>IF(ISNUMBER(Events!$A76),DATE(YEAR($B$1)-1,MONTH(Events!$A76),DAY(Events!$A76)),"")</f>
        <v/>
      </c>
      <c r="C74">
        <f>IF(ISNUMBER(Events!$A76),DATE(YEAR($B$1),MONTH(Events!$A76),DAY(Events!$A76)),"")</f>
        <v/>
      </c>
      <c r="D74">
        <f>IF(ISNUMBER(Events!$A76),DATE(YEAR($B$2),MONTH(Events!$A76),DAY(Events!$A76)),"")</f>
        <v/>
      </c>
      <c r="E74">
        <f>IF(OR(NOT(ISNUMBER(Events!$A76)),Events!$G76="No",Calendar!$H$4="None"),"",IF(OR(Calendar!$H$4="All events",Events!$D76=Calendar!$H$4),IF(Events!$E76="Yes",IF(AND(B74&gt;=Events!$A76,B74&lt;=$B$2,B74+$A74&gt;=$B$1),B74,IF(AND(C74&gt;=Events!$A76,C74&lt;=$B$2,C74+$A74&gt;=$B$1),C74,IF(AND(D74&gt;=Events!$A76,D74&lt;=$B$2,D74+$A74&gt;=$B$1),D74,""))),IF(AND(Events!$A76&lt;=$B$2,Events!$A76+$A74&gt;=$B$1),Events!$A76,"")),""))</f>
        <v/>
      </c>
      <c r="F74">
        <f>IF(E74="","",E74+A74)</f>
        <v/>
      </c>
      <c r="G74">
        <f>IF(E74="","",IF(AND(E74&lt;=EOMONTH(Calendar!$K$2,0),F74&gt;=Calendar!$K$2),E74+71/100000,""))</f>
        <v/>
      </c>
      <c r="H74">
        <f>H73+IF(AND($E74&lt;&gt;"",$E74&lt;=H$2,$F74&gt;=H$2),1,0)</f>
        <v/>
      </c>
      <c r="I74">
        <f>I73+IF(AND($E74&lt;&gt;"",$E74&lt;=I$2,$F74&gt;=I$2),1,0)</f>
        <v/>
      </c>
      <c r="J74">
        <f>J73+IF(AND($E74&lt;&gt;"",$E74&lt;=J$2,$F74&gt;=J$2),1,0)</f>
        <v/>
      </c>
      <c r="K74">
        <f>K73+IF(AND($E74&lt;&gt;"",$E74&lt;=K$2,$F74&gt;=K$2),1,0)</f>
        <v/>
      </c>
      <c r="L74">
        <f>L73+IF(AND($E74&lt;&gt;"",$E74&lt;=L$2,$F74&gt;=L$2),1,0)</f>
        <v/>
      </c>
      <c r="M74">
        <f>M73+IF(AND($E74&lt;&gt;"",$E74&lt;=M$2,$F74&gt;=M$2),1,0)</f>
        <v/>
      </c>
      <c r="N74">
        <f>N73+IF(AND($E74&lt;&gt;"",$E74&lt;=N$2,$F74&gt;=N$2),1,0)</f>
        <v/>
      </c>
      <c r="O74">
        <f>O73+IF(AND($E74&lt;&gt;"",$E74&lt;=O$2,$F74&gt;=O$2),1,0)</f>
        <v/>
      </c>
      <c r="P74">
        <f>P73+IF(AND($E74&lt;&gt;"",$E74&lt;=P$2,$F74&gt;=P$2),1,0)</f>
        <v/>
      </c>
      <c r="Q74">
        <f>Q73+IF(AND($E74&lt;&gt;"",$E74&lt;=Q$2,$F74&gt;=Q$2),1,0)</f>
        <v/>
      </c>
      <c r="R74">
        <f>R73+IF(AND($E74&lt;&gt;"",$E74&lt;=R$2,$F74&gt;=R$2),1,0)</f>
        <v/>
      </c>
      <c r="S74">
        <f>S73+IF(AND($E74&lt;&gt;"",$E74&lt;=S$2,$F74&gt;=S$2),1,0)</f>
        <v/>
      </c>
      <c r="T74">
        <f>T73+IF(AND($E74&lt;&gt;"",$E74&lt;=T$2,$F74&gt;=T$2),1,0)</f>
        <v/>
      </c>
      <c r="U74">
        <f>U73+IF(AND($E74&lt;&gt;"",$E74&lt;=U$2,$F74&gt;=U$2),1,0)</f>
        <v/>
      </c>
      <c r="V74">
        <f>V73+IF(AND($E74&lt;&gt;"",$E74&lt;=V$2,$F74&gt;=V$2),1,0)</f>
        <v/>
      </c>
      <c r="W74">
        <f>W73+IF(AND($E74&lt;&gt;"",$E74&lt;=W$2,$F74&gt;=W$2),1,0)</f>
        <v/>
      </c>
      <c r="X74">
        <f>X73+IF(AND($E74&lt;&gt;"",$E74&lt;=X$2,$F74&gt;=X$2),1,0)</f>
        <v/>
      </c>
      <c r="Y74">
        <f>Y73+IF(AND($E74&lt;&gt;"",$E74&lt;=Y$2,$F74&gt;=Y$2),1,0)</f>
        <v/>
      </c>
      <c r="Z74">
        <f>Z73+IF(AND($E74&lt;&gt;"",$E74&lt;=Z$2,$F74&gt;=Z$2),1,0)</f>
        <v/>
      </c>
      <c r="AA74">
        <f>AA73+IF(AND($E74&lt;&gt;"",$E74&lt;=AA$2,$F74&gt;=AA$2),1,0)</f>
        <v/>
      </c>
      <c r="AB74">
        <f>AB73+IF(AND($E74&lt;&gt;"",$E74&lt;=AB$2,$F74&gt;=AB$2),1,0)</f>
        <v/>
      </c>
      <c r="AC74">
        <f>AC73+IF(AND($E74&lt;&gt;"",$E74&lt;=AC$2,$F74&gt;=AC$2),1,0)</f>
        <v/>
      </c>
      <c r="AD74">
        <f>AD73+IF(AND($E74&lt;&gt;"",$E74&lt;=AD$2,$F74&gt;=AD$2),1,0)</f>
        <v/>
      </c>
      <c r="AE74">
        <f>AE73+IF(AND($E74&lt;&gt;"",$E74&lt;=AE$2,$F74&gt;=AE$2),1,0)</f>
        <v/>
      </c>
      <c r="AF74">
        <f>AF73+IF(AND($E74&lt;&gt;"",$E74&lt;=AF$2,$F74&gt;=AF$2),1,0)</f>
        <v/>
      </c>
      <c r="AG74">
        <f>AG73+IF(AND($E74&lt;&gt;"",$E74&lt;=AG$2,$F74&gt;=AG$2),1,0)</f>
        <v/>
      </c>
      <c r="AH74">
        <f>AH73+IF(AND($E74&lt;&gt;"",$E74&lt;=AH$2,$F74&gt;=AH$2),1,0)</f>
        <v/>
      </c>
      <c r="AI74">
        <f>AI73+IF(AND($E74&lt;&gt;"",$E74&lt;=AI$2,$F74&gt;=AI$2),1,0)</f>
        <v/>
      </c>
      <c r="AJ74">
        <f>AJ73+IF(AND($E74&lt;&gt;"",$E74&lt;=AJ$2,$F74&gt;=AJ$2),1,0)</f>
        <v/>
      </c>
      <c r="AK74">
        <f>AK73+IF(AND($E74&lt;&gt;"",$E74&lt;=AK$2,$F74&gt;=AK$2),1,0)</f>
        <v/>
      </c>
      <c r="AL74">
        <f>AL73+IF(AND($E74&lt;&gt;"",$E74&lt;=AL$2,$F74&gt;=AL$2),1,0)</f>
        <v/>
      </c>
      <c r="AM74">
        <f>AM73+IF(AND($E74&lt;&gt;"",$E74&lt;=AM$2,$F74&gt;=AM$2),1,0)</f>
        <v/>
      </c>
      <c r="AN74">
        <f>AN73+IF(AND($E74&lt;&gt;"",$E74&lt;=AN$2,$F74&gt;=AN$2),1,0)</f>
        <v/>
      </c>
      <c r="AO74">
        <f>AO73+IF(AND($E74&lt;&gt;"",$E74&lt;=AO$2,$F74&gt;=AO$2),1,0)</f>
        <v/>
      </c>
      <c r="AP74">
        <f>AP73+IF(AND($E74&lt;&gt;"",$E74&lt;=AP$2,$F74&gt;=AP$2),1,0)</f>
        <v/>
      </c>
      <c r="AQ74">
        <f>AQ73+IF(AND($E74&lt;&gt;"",$E74&lt;=AQ$2,$F74&gt;=AQ$2),1,0)</f>
        <v/>
      </c>
      <c r="AR74">
        <f>AR73+IF(AND($E74&lt;&gt;"",$E74&lt;=AR$2,$F74&gt;=AR$2),1,0)</f>
        <v/>
      </c>
      <c r="AS74">
        <f>AS73+IF(AND($E74&lt;&gt;"",$E74&lt;=AS$2,$F74&gt;=AS$2),1,0)</f>
        <v/>
      </c>
      <c r="AT74">
        <f>AT73+IF(AND($E74&lt;&gt;"",$E74&lt;=AT$2,$F74&gt;=AT$2),1,0)</f>
        <v/>
      </c>
      <c r="AU74">
        <f>AU73+IF(AND($E74&lt;&gt;"",$E74&lt;=AU$2,$F74&gt;=AU$2),1,0)</f>
        <v/>
      </c>
      <c r="AV74">
        <f>AV73+IF(AND($E74&lt;&gt;"",$E74&lt;=AV$2,$F74&gt;=AV$2),1,0)</f>
        <v/>
      </c>
      <c r="AW74">
        <f>AW73+IF(AND($E74&lt;&gt;"",$E74&lt;=AW$2,$F74&gt;=AW$2),1,0)</f>
        <v/>
      </c>
    </row>
    <row r="75">
      <c r="A75">
        <f>IF(AND(ISNUMBER(Events!$A77),ISNUMBER(Events!$B77)),MAX(0,Events!$B77-Events!$A77),0)</f>
        <v/>
      </c>
      <c r="B75">
        <f>IF(ISNUMBER(Events!$A77),DATE(YEAR($B$1)-1,MONTH(Events!$A77),DAY(Events!$A77)),"")</f>
        <v/>
      </c>
      <c r="C75">
        <f>IF(ISNUMBER(Events!$A77),DATE(YEAR($B$1),MONTH(Events!$A77),DAY(Events!$A77)),"")</f>
        <v/>
      </c>
      <c r="D75">
        <f>IF(ISNUMBER(Events!$A77),DATE(YEAR($B$2),MONTH(Events!$A77),DAY(Events!$A77)),"")</f>
        <v/>
      </c>
      <c r="E75">
        <f>IF(OR(NOT(ISNUMBER(Events!$A77)),Events!$G77="No",Calendar!$H$4="None"),"",IF(OR(Calendar!$H$4="All events",Events!$D77=Calendar!$H$4),IF(Events!$E77="Yes",IF(AND(B75&gt;=Events!$A77,B75&lt;=$B$2,B75+$A75&gt;=$B$1),B75,IF(AND(C75&gt;=Events!$A77,C75&lt;=$B$2,C75+$A75&gt;=$B$1),C75,IF(AND(D75&gt;=Events!$A77,D75&lt;=$B$2,D75+$A75&gt;=$B$1),D75,""))),IF(AND(Events!$A77&lt;=$B$2,Events!$A77+$A75&gt;=$B$1),Events!$A77,"")),""))</f>
        <v/>
      </c>
      <c r="F75">
        <f>IF(E75="","",E75+A75)</f>
        <v/>
      </c>
      <c r="G75">
        <f>IF(E75="","",IF(AND(E75&lt;=EOMONTH(Calendar!$K$2,0),F75&gt;=Calendar!$K$2),E75+72/100000,""))</f>
        <v/>
      </c>
      <c r="H75">
        <f>H74+IF(AND($E75&lt;&gt;"",$E75&lt;=H$2,$F75&gt;=H$2),1,0)</f>
        <v/>
      </c>
      <c r="I75">
        <f>I74+IF(AND($E75&lt;&gt;"",$E75&lt;=I$2,$F75&gt;=I$2),1,0)</f>
        <v/>
      </c>
      <c r="J75">
        <f>J74+IF(AND($E75&lt;&gt;"",$E75&lt;=J$2,$F75&gt;=J$2),1,0)</f>
        <v/>
      </c>
      <c r="K75">
        <f>K74+IF(AND($E75&lt;&gt;"",$E75&lt;=K$2,$F75&gt;=K$2),1,0)</f>
        <v/>
      </c>
      <c r="L75">
        <f>L74+IF(AND($E75&lt;&gt;"",$E75&lt;=L$2,$F75&gt;=L$2),1,0)</f>
        <v/>
      </c>
      <c r="M75">
        <f>M74+IF(AND($E75&lt;&gt;"",$E75&lt;=M$2,$F75&gt;=M$2),1,0)</f>
        <v/>
      </c>
      <c r="N75">
        <f>N74+IF(AND($E75&lt;&gt;"",$E75&lt;=N$2,$F75&gt;=N$2),1,0)</f>
        <v/>
      </c>
      <c r="O75">
        <f>O74+IF(AND($E75&lt;&gt;"",$E75&lt;=O$2,$F75&gt;=O$2),1,0)</f>
        <v/>
      </c>
      <c r="P75">
        <f>P74+IF(AND($E75&lt;&gt;"",$E75&lt;=P$2,$F75&gt;=P$2),1,0)</f>
        <v/>
      </c>
      <c r="Q75">
        <f>Q74+IF(AND($E75&lt;&gt;"",$E75&lt;=Q$2,$F75&gt;=Q$2),1,0)</f>
        <v/>
      </c>
      <c r="R75">
        <f>R74+IF(AND($E75&lt;&gt;"",$E75&lt;=R$2,$F75&gt;=R$2),1,0)</f>
        <v/>
      </c>
      <c r="S75">
        <f>S74+IF(AND($E75&lt;&gt;"",$E75&lt;=S$2,$F75&gt;=S$2),1,0)</f>
        <v/>
      </c>
      <c r="T75">
        <f>T74+IF(AND($E75&lt;&gt;"",$E75&lt;=T$2,$F75&gt;=T$2),1,0)</f>
        <v/>
      </c>
      <c r="U75">
        <f>U74+IF(AND($E75&lt;&gt;"",$E75&lt;=U$2,$F75&gt;=U$2),1,0)</f>
        <v/>
      </c>
      <c r="V75">
        <f>V74+IF(AND($E75&lt;&gt;"",$E75&lt;=V$2,$F75&gt;=V$2),1,0)</f>
        <v/>
      </c>
      <c r="W75">
        <f>W74+IF(AND($E75&lt;&gt;"",$E75&lt;=W$2,$F75&gt;=W$2),1,0)</f>
        <v/>
      </c>
      <c r="X75">
        <f>X74+IF(AND($E75&lt;&gt;"",$E75&lt;=X$2,$F75&gt;=X$2),1,0)</f>
        <v/>
      </c>
      <c r="Y75">
        <f>Y74+IF(AND($E75&lt;&gt;"",$E75&lt;=Y$2,$F75&gt;=Y$2),1,0)</f>
        <v/>
      </c>
      <c r="Z75">
        <f>Z74+IF(AND($E75&lt;&gt;"",$E75&lt;=Z$2,$F75&gt;=Z$2),1,0)</f>
        <v/>
      </c>
      <c r="AA75">
        <f>AA74+IF(AND($E75&lt;&gt;"",$E75&lt;=AA$2,$F75&gt;=AA$2),1,0)</f>
        <v/>
      </c>
      <c r="AB75">
        <f>AB74+IF(AND($E75&lt;&gt;"",$E75&lt;=AB$2,$F75&gt;=AB$2),1,0)</f>
        <v/>
      </c>
      <c r="AC75">
        <f>AC74+IF(AND($E75&lt;&gt;"",$E75&lt;=AC$2,$F75&gt;=AC$2),1,0)</f>
        <v/>
      </c>
      <c r="AD75">
        <f>AD74+IF(AND($E75&lt;&gt;"",$E75&lt;=AD$2,$F75&gt;=AD$2),1,0)</f>
        <v/>
      </c>
      <c r="AE75">
        <f>AE74+IF(AND($E75&lt;&gt;"",$E75&lt;=AE$2,$F75&gt;=AE$2),1,0)</f>
        <v/>
      </c>
      <c r="AF75">
        <f>AF74+IF(AND($E75&lt;&gt;"",$E75&lt;=AF$2,$F75&gt;=AF$2),1,0)</f>
        <v/>
      </c>
      <c r="AG75">
        <f>AG74+IF(AND($E75&lt;&gt;"",$E75&lt;=AG$2,$F75&gt;=AG$2),1,0)</f>
        <v/>
      </c>
      <c r="AH75">
        <f>AH74+IF(AND($E75&lt;&gt;"",$E75&lt;=AH$2,$F75&gt;=AH$2),1,0)</f>
        <v/>
      </c>
      <c r="AI75">
        <f>AI74+IF(AND($E75&lt;&gt;"",$E75&lt;=AI$2,$F75&gt;=AI$2),1,0)</f>
        <v/>
      </c>
      <c r="AJ75">
        <f>AJ74+IF(AND($E75&lt;&gt;"",$E75&lt;=AJ$2,$F75&gt;=AJ$2),1,0)</f>
        <v/>
      </c>
      <c r="AK75">
        <f>AK74+IF(AND($E75&lt;&gt;"",$E75&lt;=AK$2,$F75&gt;=AK$2),1,0)</f>
        <v/>
      </c>
      <c r="AL75">
        <f>AL74+IF(AND($E75&lt;&gt;"",$E75&lt;=AL$2,$F75&gt;=AL$2),1,0)</f>
        <v/>
      </c>
      <c r="AM75">
        <f>AM74+IF(AND($E75&lt;&gt;"",$E75&lt;=AM$2,$F75&gt;=AM$2),1,0)</f>
        <v/>
      </c>
      <c r="AN75">
        <f>AN74+IF(AND($E75&lt;&gt;"",$E75&lt;=AN$2,$F75&gt;=AN$2),1,0)</f>
        <v/>
      </c>
      <c r="AO75">
        <f>AO74+IF(AND($E75&lt;&gt;"",$E75&lt;=AO$2,$F75&gt;=AO$2),1,0)</f>
        <v/>
      </c>
      <c r="AP75">
        <f>AP74+IF(AND($E75&lt;&gt;"",$E75&lt;=AP$2,$F75&gt;=AP$2),1,0)</f>
        <v/>
      </c>
      <c r="AQ75">
        <f>AQ74+IF(AND($E75&lt;&gt;"",$E75&lt;=AQ$2,$F75&gt;=AQ$2),1,0)</f>
        <v/>
      </c>
      <c r="AR75">
        <f>AR74+IF(AND($E75&lt;&gt;"",$E75&lt;=AR$2,$F75&gt;=AR$2),1,0)</f>
        <v/>
      </c>
      <c r="AS75">
        <f>AS74+IF(AND($E75&lt;&gt;"",$E75&lt;=AS$2,$F75&gt;=AS$2),1,0)</f>
        <v/>
      </c>
      <c r="AT75">
        <f>AT74+IF(AND($E75&lt;&gt;"",$E75&lt;=AT$2,$F75&gt;=AT$2),1,0)</f>
        <v/>
      </c>
      <c r="AU75">
        <f>AU74+IF(AND($E75&lt;&gt;"",$E75&lt;=AU$2,$F75&gt;=AU$2),1,0)</f>
        <v/>
      </c>
      <c r="AV75">
        <f>AV74+IF(AND($E75&lt;&gt;"",$E75&lt;=AV$2,$F75&gt;=AV$2),1,0)</f>
        <v/>
      </c>
      <c r="AW75">
        <f>AW74+IF(AND($E75&lt;&gt;"",$E75&lt;=AW$2,$F75&gt;=AW$2),1,0)</f>
        <v/>
      </c>
    </row>
    <row r="76">
      <c r="A76">
        <f>IF(AND(ISNUMBER(Events!$A78),ISNUMBER(Events!$B78)),MAX(0,Events!$B78-Events!$A78),0)</f>
        <v/>
      </c>
      <c r="B76">
        <f>IF(ISNUMBER(Events!$A78),DATE(YEAR($B$1)-1,MONTH(Events!$A78),DAY(Events!$A78)),"")</f>
        <v/>
      </c>
      <c r="C76">
        <f>IF(ISNUMBER(Events!$A78),DATE(YEAR($B$1),MONTH(Events!$A78),DAY(Events!$A78)),"")</f>
        <v/>
      </c>
      <c r="D76">
        <f>IF(ISNUMBER(Events!$A78),DATE(YEAR($B$2),MONTH(Events!$A78),DAY(Events!$A78)),"")</f>
        <v/>
      </c>
      <c r="E76">
        <f>IF(OR(NOT(ISNUMBER(Events!$A78)),Events!$G78="No",Calendar!$H$4="None"),"",IF(OR(Calendar!$H$4="All events",Events!$D78=Calendar!$H$4),IF(Events!$E78="Yes",IF(AND(B76&gt;=Events!$A78,B76&lt;=$B$2,B76+$A76&gt;=$B$1),B76,IF(AND(C76&gt;=Events!$A78,C76&lt;=$B$2,C76+$A76&gt;=$B$1),C76,IF(AND(D76&gt;=Events!$A78,D76&lt;=$B$2,D76+$A76&gt;=$B$1),D76,""))),IF(AND(Events!$A78&lt;=$B$2,Events!$A78+$A76&gt;=$B$1),Events!$A78,"")),""))</f>
        <v/>
      </c>
      <c r="F76">
        <f>IF(E76="","",E76+A76)</f>
        <v/>
      </c>
      <c r="G76">
        <f>IF(E76="","",IF(AND(E76&lt;=EOMONTH(Calendar!$K$2,0),F76&gt;=Calendar!$K$2),E76+73/100000,""))</f>
        <v/>
      </c>
      <c r="H76">
        <f>H75+IF(AND($E76&lt;&gt;"",$E76&lt;=H$2,$F76&gt;=H$2),1,0)</f>
        <v/>
      </c>
      <c r="I76">
        <f>I75+IF(AND($E76&lt;&gt;"",$E76&lt;=I$2,$F76&gt;=I$2),1,0)</f>
        <v/>
      </c>
      <c r="J76">
        <f>J75+IF(AND($E76&lt;&gt;"",$E76&lt;=J$2,$F76&gt;=J$2),1,0)</f>
        <v/>
      </c>
      <c r="K76">
        <f>K75+IF(AND($E76&lt;&gt;"",$E76&lt;=K$2,$F76&gt;=K$2),1,0)</f>
        <v/>
      </c>
      <c r="L76">
        <f>L75+IF(AND($E76&lt;&gt;"",$E76&lt;=L$2,$F76&gt;=L$2),1,0)</f>
        <v/>
      </c>
      <c r="M76">
        <f>M75+IF(AND($E76&lt;&gt;"",$E76&lt;=M$2,$F76&gt;=M$2),1,0)</f>
        <v/>
      </c>
      <c r="N76">
        <f>N75+IF(AND($E76&lt;&gt;"",$E76&lt;=N$2,$F76&gt;=N$2),1,0)</f>
        <v/>
      </c>
      <c r="O76">
        <f>O75+IF(AND($E76&lt;&gt;"",$E76&lt;=O$2,$F76&gt;=O$2),1,0)</f>
        <v/>
      </c>
      <c r="P76">
        <f>P75+IF(AND($E76&lt;&gt;"",$E76&lt;=P$2,$F76&gt;=P$2),1,0)</f>
        <v/>
      </c>
      <c r="Q76">
        <f>Q75+IF(AND($E76&lt;&gt;"",$E76&lt;=Q$2,$F76&gt;=Q$2),1,0)</f>
        <v/>
      </c>
      <c r="R76">
        <f>R75+IF(AND($E76&lt;&gt;"",$E76&lt;=R$2,$F76&gt;=R$2),1,0)</f>
        <v/>
      </c>
      <c r="S76">
        <f>S75+IF(AND($E76&lt;&gt;"",$E76&lt;=S$2,$F76&gt;=S$2),1,0)</f>
        <v/>
      </c>
      <c r="T76">
        <f>T75+IF(AND($E76&lt;&gt;"",$E76&lt;=T$2,$F76&gt;=T$2),1,0)</f>
        <v/>
      </c>
      <c r="U76">
        <f>U75+IF(AND($E76&lt;&gt;"",$E76&lt;=U$2,$F76&gt;=U$2),1,0)</f>
        <v/>
      </c>
      <c r="V76">
        <f>V75+IF(AND($E76&lt;&gt;"",$E76&lt;=V$2,$F76&gt;=V$2),1,0)</f>
        <v/>
      </c>
      <c r="W76">
        <f>W75+IF(AND($E76&lt;&gt;"",$E76&lt;=W$2,$F76&gt;=W$2),1,0)</f>
        <v/>
      </c>
      <c r="X76">
        <f>X75+IF(AND($E76&lt;&gt;"",$E76&lt;=X$2,$F76&gt;=X$2),1,0)</f>
        <v/>
      </c>
      <c r="Y76">
        <f>Y75+IF(AND($E76&lt;&gt;"",$E76&lt;=Y$2,$F76&gt;=Y$2),1,0)</f>
        <v/>
      </c>
      <c r="Z76">
        <f>Z75+IF(AND($E76&lt;&gt;"",$E76&lt;=Z$2,$F76&gt;=Z$2),1,0)</f>
        <v/>
      </c>
      <c r="AA76">
        <f>AA75+IF(AND($E76&lt;&gt;"",$E76&lt;=AA$2,$F76&gt;=AA$2),1,0)</f>
        <v/>
      </c>
      <c r="AB76">
        <f>AB75+IF(AND($E76&lt;&gt;"",$E76&lt;=AB$2,$F76&gt;=AB$2),1,0)</f>
        <v/>
      </c>
      <c r="AC76">
        <f>AC75+IF(AND($E76&lt;&gt;"",$E76&lt;=AC$2,$F76&gt;=AC$2),1,0)</f>
        <v/>
      </c>
      <c r="AD76">
        <f>AD75+IF(AND($E76&lt;&gt;"",$E76&lt;=AD$2,$F76&gt;=AD$2),1,0)</f>
        <v/>
      </c>
      <c r="AE76">
        <f>AE75+IF(AND($E76&lt;&gt;"",$E76&lt;=AE$2,$F76&gt;=AE$2),1,0)</f>
        <v/>
      </c>
      <c r="AF76">
        <f>AF75+IF(AND($E76&lt;&gt;"",$E76&lt;=AF$2,$F76&gt;=AF$2),1,0)</f>
        <v/>
      </c>
      <c r="AG76">
        <f>AG75+IF(AND($E76&lt;&gt;"",$E76&lt;=AG$2,$F76&gt;=AG$2),1,0)</f>
        <v/>
      </c>
      <c r="AH76">
        <f>AH75+IF(AND($E76&lt;&gt;"",$E76&lt;=AH$2,$F76&gt;=AH$2),1,0)</f>
        <v/>
      </c>
      <c r="AI76">
        <f>AI75+IF(AND($E76&lt;&gt;"",$E76&lt;=AI$2,$F76&gt;=AI$2),1,0)</f>
        <v/>
      </c>
      <c r="AJ76">
        <f>AJ75+IF(AND($E76&lt;&gt;"",$E76&lt;=AJ$2,$F76&gt;=AJ$2),1,0)</f>
        <v/>
      </c>
      <c r="AK76">
        <f>AK75+IF(AND($E76&lt;&gt;"",$E76&lt;=AK$2,$F76&gt;=AK$2),1,0)</f>
        <v/>
      </c>
      <c r="AL76">
        <f>AL75+IF(AND($E76&lt;&gt;"",$E76&lt;=AL$2,$F76&gt;=AL$2),1,0)</f>
        <v/>
      </c>
      <c r="AM76">
        <f>AM75+IF(AND($E76&lt;&gt;"",$E76&lt;=AM$2,$F76&gt;=AM$2),1,0)</f>
        <v/>
      </c>
      <c r="AN76">
        <f>AN75+IF(AND($E76&lt;&gt;"",$E76&lt;=AN$2,$F76&gt;=AN$2),1,0)</f>
        <v/>
      </c>
      <c r="AO76">
        <f>AO75+IF(AND($E76&lt;&gt;"",$E76&lt;=AO$2,$F76&gt;=AO$2),1,0)</f>
        <v/>
      </c>
      <c r="AP76">
        <f>AP75+IF(AND($E76&lt;&gt;"",$E76&lt;=AP$2,$F76&gt;=AP$2),1,0)</f>
        <v/>
      </c>
      <c r="AQ76">
        <f>AQ75+IF(AND($E76&lt;&gt;"",$E76&lt;=AQ$2,$F76&gt;=AQ$2),1,0)</f>
        <v/>
      </c>
      <c r="AR76">
        <f>AR75+IF(AND($E76&lt;&gt;"",$E76&lt;=AR$2,$F76&gt;=AR$2),1,0)</f>
        <v/>
      </c>
      <c r="AS76">
        <f>AS75+IF(AND($E76&lt;&gt;"",$E76&lt;=AS$2,$F76&gt;=AS$2),1,0)</f>
        <v/>
      </c>
      <c r="AT76">
        <f>AT75+IF(AND($E76&lt;&gt;"",$E76&lt;=AT$2,$F76&gt;=AT$2),1,0)</f>
        <v/>
      </c>
      <c r="AU76">
        <f>AU75+IF(AND($E76&lt;&gt;"",$E76&lt;=AU$2,$F76&gt;=AU$2),1,0)</f>
        <v/>
      </c>
      <c r="AV76">
        <f>AV75+IF(AND($E76&lt;&gt;"",$E76&lt;=AV$2,$F76&gt;=AV$2),1,0)</f>
        <v/>
      </c>
      <c r="AW76">
        <f>AW75+IF(AND($E76&lt;&gt;"",$E76&lt;=AW$2,$F76&gt;=AW$2),1,0)</f>
        <v/>
      </c>
    </row>
    <row r="77">
      <c r="A77">
        <f>IF(AND(ISNUMBER(Events!$A79),ISNUMBER(Events!$B79)),MAX(0,Events!$B79-Events!$A79),0)</f>
        <v/>
      </c>
      <c r="B77">
        <f>IF(ISNUMBER(Events!$A79),DATE(YEAR($B$1)-1,MONTH(Events!$A79),DAY(Events!$A79)),"")</f>
        <v/>
      </c>
      <c r="C77">
        <f>IF(ISNUMBER(Events!$A79),DATE(YEAR($B$1),MONTH(Events!$A79),DAY(Events!$A79)),"")</f>
        <v/>
      </c>
      <c r="D77">
        <f>IF(ISNUMBER(Events!$A79),DATE(YEAR($B$2),MONTH(Events!$A79),DAY(Events!$A79)),"")</f>
        <v/>
      </c>
      <c r="E77">
        <f>IF(OR(NOT(ISNUMBER(Events!$A79)),Events!$G79="No",Calendar!$H$4="None"),"",IF(OR(Calendar!$H$4="All events",Events!$D79=Calendar!$H$4),IF(Events!$E79="Yes",IF(AND(B77&gt;=Events!$A79,B77&lt;=$B$2,B77+$A77&gt;=$B$1),B77,IF(AND(C77&gt;=Events!$A79,C77&lt;=$B$2,C77+$A77&gt;=$B$1),C77,IF(AND(D77&gt;=Events!$A79,D77&lt;=$B$2,D77+$A77&gt;=$B$1),D77,""))),IF(AND(Events!$A79&lt;=$B$2,Events!$A79+$A77&gt;=$B$1),Events!$A79,"")),""))</f>
        <v/>
      </c>
      <c r="F77">
        <f>IF(E77="","",E77+A77)</f>
        <v/>
      </c>
      <c r="G77">
        <f>IF(E77="","",IF(AND(E77&lt;=EOMONTH(Calendar!$K$2,0),F77&gt;=Calendar!$K$2),E77+74/100000,""))</f>
        <v/>
      </c>
      <c r="H77">
        <f>H76+IF(AND($E77&lt;&gt;"",$E77&lt;=H$2,$F77&gt;=H$2),1,0)</f>
        <v/>
      </c>
      <c r="I77">
        <f>I76+IF(AND($E77&lt;&gt;"",$E77&lt;=I$2,$F77&gt;=I$2),1,0)</f>
        <v/>
      </c>
      <c r="J77">
        <f>J76+IF(AND($E77&lt;&gt;"",$E77&lt;=J$2,$F77&gt;=J$2),1,0)</f>
        <v/>
      </c>
      <c r="K77">
        <f>K76+IF(AND($E77&lt;&gt;"",$E77&lt;=K$2,$F77&gt;=K$2),1,0)</f>
        <v/>
      </c>
      <c r="L77">
        <f>L76+IF(AND($E77&lt;&gt;"",$E77&lt;=L$2,$F77&gt;=L$2),1,0)</f>
        <v/>
      </c>
      <c r="M77">
        <f>M76+IF(AND($E77&lt;&gt;"",$E77&lt;=M$2,$F77&gt;=M$2),1,0)</f>
        <v/>
      </c>
      <c r="N77">
        <f>N76+IF(AND($E77&lt;&gt;"",$E77&lt;=N$2,$F77&gt;=N$2),1,0)</f>
        <v/>
      </c>
      <c r="O77">
        <f>O76+IF(AND($E77&lt;&gt;"",$E77&lt;=O$2,$F77&gt;=O$2),1,0)</f>
        <v/>
      </c>
      <c r="P77">
        <f>P76+IF(AND($E77&lt;&gt;"",$E77&lt;=P$2,$F77&gt;=P$2),1,0)</f>
        <v/>
      </c>
      <c r="Q77">
        <f>Q76+IF(AND($E77&lt;&gt;"",$E77&lt;=Q$2,$F77&gt;=Q$2),1,0)</f>
        <v/>
      </c>
      <c r="R77">
        <f>R76+IF(AND($E77&lt;&gt;"",$E77&lt;=R$2,$F77&gt;=R$2),1,0)</f>
        <v/>
      </c>
      <c r="S77">
        <f>S76+IF(AND($E77&lt;&gt;"",$E77&lt;=S$2,$F77&gt;=S$2),1,0)</f>
        <v/>
      </c>
      <c r="T77">
        <f>T76+IF(AND($E77&lt;&gt;"",$E77&lt;=T$2,$F77&gt;=T$2),1,0)</f>
        <v/>
      </c>
      <c r="U77">
        <f>U76+IF(AND($E77&lt;&gt;"",$E77&lt;=U$2,$F77&gt;=U$2),1,0)</f>
        <v/>
      </c>
      <c r="V77">
        <f>V76+IF(AND($E77&lt;&gt;"",$E77&lt;=V$2,$F77&gt;=V$2),1,0)</f>
        <v/>
      </c>
      <c r="W77">
        <f>W76+IF(AND($E77&lt;&gt;"",$E77&lt;=W$2,$F77&gt;=W$2),1,0)</f>
        <v/>
      </c>
      <c r="X77">
        <f>X76+IF(AND($E77&lt;&gt;"",$E77&lt;=X$2,$F77&gt;=X$2),1,0)</f>
        <v/>
      </c>
      <c r="Y77">
        <f>Y76+IF(AND($E77&lt;&gt;"",$E77&lt;=Y$2,$F77&gt;=Y$2),1,0)</f>
        <v/>
      </c>
      <c r="Z77">
        <f>Z76+IF(AND($E77&lt;&gt;"",$E77&lt;=Z$2,$F77&gt;=Z$2),1,0)</f>
        <v/>
      </c>
      <c r="AA77">
        <f>AA76+IF(AND($E77&lt;&gt;"",$E77&lt;=AA$2,$F77&gt;=AA$2),1,0)</f>
        <v/>
      </c>
      <c r="AB77">
        <f>AB76+IF(AND($E77&lt;&gt;"",$E77&lt;=AB$2,$F77&gt;=AB$2),1,0)</f>
        <v/>
      </c>
      <c r="AC77">
        <f>AC76+IF(AND($E77&lt;&gt;"",$E77&lt;=AC$2,$F77&gt;=AC$2),1,0)</f>
        <v/>
      </c>
      <c r="AD77">
        <f>AD76+IF(AND($E77&lt;&gt;"",$E77&lt;=AD$2,$F77&gt;=AD$2),1,0)</f>
        <v/>
      </c>
      <c r="AE77">
        <f>AE76+IF(AND($E77&lt;&gt;"",$E77&lt;=AE$2,$F77&gt;=AE$2),1,0)</f>
        <v/>
      </c>
      <c r="AF77">
        <f>AF76+IF(AND($E77&lt;&gt;"",$E77&lt;=AF$2,$F77&gt;=AF$2),1,0)</f>
        <v/>
      </c>
      <c r="AG77">
        <f>AG76+IF(AND($E77&lt;&gt;"",$E77&lt;=AG$2,$F77&gt;=AG$2),1,0)</f>
        <v/>
      </c>
      <c r="AH77">
        <f>AH76+IF(AND($E77&lt;&gt;"",$E77&lt;=AH$2,$F77&gt;=AH$2),1,0)</f>
        <v/>
      </c>
      <c r="AI77">
        <f>AI76+IF(AND($E77&lt;&gt;"",$E77&lt;=AI$2,$F77&gt;=AI$2),1,0)</f>
        <v/>
      </c>
      <c r="AJ77">
        <f>AJ76+IF(AND($E77&lt;&gt;"",$E77&lt;=AJ$2,$F77&gt;=AJ$2),1,0)</f>
        <v/>
      </c>
      <c r="AK77">
        <f>AK76+IF(AND($E77&lt;&gt;"",$E77&lt;=AK$2,$F77&gt;=AK$2),1,0)</f>
        <v/>
      </c>
      <c r="AL77">
        <f>AL76+IF(AND($E77&lt;&gt;"",$E77&lt;=AL$2,$F77&gt;=AL$2),1,0)</f>
        <v/>
      </c>
      <c r="AM77">
        <f>AM76+IF(AND($E77&lt;&gt;"",$E77&lt;=AM$2,$F77&gt;=AM$2),1,0)</f>
        <v/>
      </c>
      <c r="AN77">
        <f>AN76+IF(AND($E77&lt;&gt;"",$E77&lt;=AN$2,$F77&gt;=AN$2),1,0)</f>
        <v/>
      </c>
      <c r="AO77">
        <f>AO76+IF(AND($E77&lt;&gt;"",$E77&lt;=AO$2,$F77&gt;=AO$2),1,0)</f>
        <v/>
      </c>
      <c r="AP77">
        <f>AP76+IF(AND($E77&lt;&gt;"",$E77&lt;=AP$2,$F77&gt;=AP$2),1,0)</f>
        <v/>
      </c>
      <c r="AQ77">
        <f>AQ76+IF(AND($E77&lt;&gt;"",$E77&lt;=AQ$2,$F77&gt;=AQ$2),1,0)</f>
        <v/>
      </c>
      <c r="AR77">
        <f>AR76+IF(AND($E77&lt;&gt;"",$E77&lt;=AR$2,$F77&gt;=AR$2),1,0)</f>
        <v/>
      </c>
      <c r="AS77">
        <f>AS76+IF(AND($E77&lt;&gt;"",$E77&lt;=AS$2,$F77&gt;=AS$2),1,0)</f>
        <v/>
      </c>
      <c r="AT77">
        <f>AT76+IF(AND($E77&lt;&gt;"",$E77&lt;=AT$2,$F77&gt;=AT$2),1,0)</f>
        <v/>
      </c>
      <c r="AU77">
        <f>AU76+IF(AND($E77&lt;&gt;"",$E77&lt;=AU$2,$F77&gt;=AU$2),1,0)</f>
        <v/>
      </c>
      <c r="AV77">
        <f>AV76+IF(AND($E77&lt;&gt;"",$E77&lt;=AV$2,$F77&gt;=AV$2),1,0)</f>
        <v/>
      </c>
      <c r="AW77">
        <f>AW76+IF(AND($E77&lt;&gt;"",$E77&lt;=AW$2,$F77&gt;=AW$2),1,0)</f>
        <v/>
      </c>
    </row>
    <row r="78">
      <c r="A78">
        <f>IF(AND(ISNUMBER(Events!$A80),ISNUMBER(Events!$B80)),MAX(0,Events!$B80-Events!$A80),0)</f>
        <v/>
      </c>
      <c r="B78">
        <f>IF(ISNUMBER(Events!$A80),DATE(YEAR($B$1)-1,MONTH(Events!$A80),DAY(Events!$A80)),"")</f>
        <v/>
      </c>
      <c r="C78">
        <f>IF(ISNUMBER(Events!$A80),DATE(YEAR($B$1),MONTH(Events!$A80),DAY(Events!$A80)),"")</f>
        <v/>
      </c>
      <c r="D78">
        <f>IF(ISNUMBER(Events!$A80),DATE(YEAR($B$2),MONTH(Events!$A80),DAY(Events!$A80)),"")</f>
        <v/>
      </c>
      <c r="E78">
        <f>IF(OR(NOT(ISNUMBER(Events!$A80)),Events!$G80="No",Calendar!$H$4="None"),"",IF(OR(Calendar!$H$4="All events",Events!$D80=Calendar!$H$4),IF(Events!$E80="Yes",IF(AND(B78&gt;=Events!$A80,B78&lt;=$B$2,B78+$A78&gt;=$B$1),B78,IF(AND(C78&gt;=Events!$A80,C78&lt;=$B$2,C78+$A78&gt;=$B$1),C78,IF(AND(D78&gt;=Events!$A80,D78&lt;=$B$2,D78+$A78&gt;=$B$1),D78,""))),IF(AND(Events!$A80&lt;=$B$2,Events!$A80+$A78&gt;=$B$1),Events!$A80,"")),""))</f>
        <v/>
      </c>
      <c r="F78">
        <f>IF(E78="","",E78+A78)</f>
        <v/>
      </c>
      <c r="G78">
        <f>IF(E78="","",IF(AND(E78&lt;=EOMONTH(Calendar!$K$2,0),F78&gt;=Calendar!$K$2),E78+75/100000,""))</f>
        <v/>
      </c>
      <c r="H78">
        <f>H77+IF(AND($E78&lt;&gt;"",$E78&lt;=H$2,$F78&gt;=H$2),1,0)</f>
        <v/>
      </c>
      <c r="I78">
        <f>I77+IF(AND($E78&lt;&gt;"",$E78&lt;=I$2,$F78&gt;=I$2),1,0)</f>
        <v/>
      </c>
      <c r="J78">
        <f>J77+IF(AND($E78&lt;&gt;"",$E78&lt;=J$2,$F78&gt;=J$2),1,0)</f>
        <v/>
      </c>
      <c r="K78">
        <f>K77+IF(AND($E78&lt;&gt;"",$E78&lt;=K$2,$F78&gt;=K$2),1,0)</f>
        <v/>
      </c>
      <c r="L78">
        <f>L77+IF(AND($E78&lt;&gt;"",$E78&lt;=L$2,$F78&gt;=L$2),1,0)</f>
        <v/>
      </c>
      <c r="M78">
        <f>M77+IF(AND($E78&lt;&gt;"",$E78&lt;=M$2,$F78&gt;=M$2),1,0)</f>
        <v/>
      </c>
      <c r="N78">
        <f>N77+IF(AND($E78&lt;&gt;"",$E78&lt;=N$2,$F78&gt;=N$2),1,0)</f>
        <v/>
      </c>
      <c r="O78">
        <f>O77+IF(AND($E78&lt;&gt;"",$E78&lt;=O$2,$F78&gt;=O$2),1,0)</f>
        <v/>
      </c>
      <c r="P78">
        <f>P77+IF(AND($E78&lt;&gt;"",$E78&lt;=P$2,$F78&gt;=P$2),1,0)</f>
        <v/>
      </c>
      <c r="Q78">
        <f>Q77+IF(AND($E78&lt;&gt;"",$E78&lt;=Q$2,$F78&gt;=Q$2),1,0)</f>
        <v/>
      </c>
      <c r="R78">
        <f>R77+IF(AND($E78&lt;&gt;"",$E78&lt;=R$2,$F78&gt;=R$2),1,0)</f>
        <v/>
      </c>
      <c r="S78">
        <f>S77+IF(AND($E78&lt;&gt;"",$E78&lt;=S$2,$F78&gt;=S$2),1,0)</f>
        <v/>
      </c>
      <c r="T78">
        <f>T77+IF(AND($E78&lt;&gt;"",$E78&lt;=T$2,$F78&gt;=T$2),1,0)</f>
        <v/>
      </c>
      <c r="U78">
        <f>U77+IF(AND($E78&lt;&gt;"",$E78&lt;=U$2,$F78&gt;=U$2),1,0)</f>
        <v/>
      </c>
      <c r="V78">
        <f>V77+IF(AND($E78&lt;&gt;"",$E78&lt;=V$2,$F78&gt;=V$2),1,0)</f>
        <v/>
      </c>
      <c r="W78">
        <f>W77+IF(AND($E78&lt;&gt;"",$E78&lt;=W$2,$F78&gt;=W$2),1,0)</f>
        <v/>
      </c>
      <c r="X78">
        <f>X77+IF(AND($E78&lt;&gt;"",$E78&lt;=X$2,$F78&gt;=X$2),1,0)</f>
        <v/>
      </c>
      <c r="Y78">
        <f>Y77+IF(AND($E78&lt;&gt;"",$E78&lt;=Y$2,$F78&gt;=Y$2),1,0)</f>
        <v/>
      </c>
      <c r="Z78">
        <f>Z77+IF(AND($E78&lt;&gt;"",$E78&lt;=Z$2,$F78&gt;=Z$2),1,0)</f>
        <v/>
      </c>
      <c r="AA78">
        <f>AA77+IF(AND($E78&lt;&gt;"",$E78&lt;=AA$2,$F78&gt;=AA$2),1,0)</f>
        <v/>
      </c>
      <c r="AB78">
        <f>AB77+IF(AND($E78&lt;&gt;"",$E78&lt;=AB$2,$F78&gt;=AB$2),1,0)</f>
        <v/>
      </c>
      <c r="AC78">
        <f>AC77+IF(AND($E78&lt;&gt;"",$E78&lt;=AC$2,$F78&gt;=AC$2),1,0)</f>
        <v/>
      </c>
      <c r="AD78">
        <f>AD77+IF(AND($E78&lt;&gt;"",$E78&lt;=AD$2,$F78&gt;=AD$2),1,0)</f>
        <v/>
      </c>
      <c r="AE78">
        <f>AE77+IF(AND($E78&lt;&gt;"",$E78&lt;=AE$2,$F78&gt;=AE$2),1,0)</f>
        <v/>
      </c>
      <c r="AF78">
        <f>AF77+IF(AND($E78&lt;&gt;"",$E78&lt;=AF$2,$F78&gt;=AF$2),1,0)</f>
        <v/>
      </c>
      <c r="AG78">
        <f>AG77+IF(AND($E78&lt;&gt;"",$E78&lt;=AG$2,$F78&gt;=AG$2),1,0)</f>
        <v/>
      </c>
      <c r="AH78">
        <f>AH77+IF(AND($E78&lt;&gt;"",$E78&lt;=AH$2,$F78&gt;=AH$2),1,0)</f>
        <v/>
      </c>
      <c r="AI78">
        <f>AI77+IF(AND($E78&lt;&gt;"",$E78&lt;=AI$2,$F78&gt;=AI$2),1,0)</f>
        <v/>
      </c>
      <c r="AJ78">
        <f>AJ77+IF(AND($E78&lt;&gt;"",$E78&lt;=AJ$2,$F78&gt;=AJ$2),1,0)</f>
        <v/>
      </c>
      <c r="AK78">
        <f>AK77+IF(AND($E78&lt;&gt;"",$E78&lt;=AK$2,$F78&gt;=AK$2),1,0)</f>
        <v/>
      </c>
      <c r="AL78">
        <f>AL77+IF(AND($E78&lt;&gt;"",$E78&lt;=AL$2,$F78&gt;=AL$2),1,0)</f>
        <v/>
      </c>
      <c r="AM78">
        <f>AM77+IF(AND($E78&lt;&gt;"",$E78&lt;=AM$2,$F78&gt;=AM$2),1,0)</f>
        <v/>
      </c>
      <c r="AN78">
        <f>AN77+IF(AND($E78&lt;&gt;"",$E78&lt;=AN$2,$F78&gt;=AN$2),1,0)</f>
        <v/>
      </c>
      <c r="AO78">
        <f>AO77+IF(AND($E78&lt;&gt;"",$E78&lt;=AO$2,$F78&gt;=AO$2),1,0)</f>
        <v/>
      </c>
      <c r="AP78">
        <f>AP77+IF(AND($E78&lt;&gt;"",$E78&lt;=AP$2,$F78&gt;=AP$2),1,0)</f>
        <v/>
      </c>
      <c r="AQ78">
        <f>AQ77+IF(AND($E78&lt;&gt;"",$E78&lt;=AQ$2,$F78&gt;=AQ$2),1,0)</f>
        <v/>
      </c>
      <c r="AR78">
        <f>AR77+IF(AND($E78&lt;&gt;"",$E78&lt;=AR$2,$F78&gt;=AR$2),1,0)</f>
        <v/>
      </c>
      <c r="AS78">
        <f>AS77+IF(AND($E78&lt;&gt;"",$E78&lt;=AS$2,$F78&gt;=AS$2),1,0)</f>
        <v/>
      </c>
      <c r="AT78">
        <f>AT77+IF(AND($E78&lt;&gt;"",$E78&lt;=AT$2,$F78&gt;=AT$2),1,0)</f>
        <v/>
      </c>
      <c r="AU78">
        <f>AU77+IF(AND($E78&lt;&gt;"",$E78&lt;=AU$2,$F78&gt;=AU$2),1,0)</f>
        <v/>
      </c>
      <c r="AV78">
        <f>AV77+IF(AND($E78&lt;&gt;"",$E78&lt;=AV$2,$F78&gt;=AV$2),1,0)</f>
        <v/>
      </c>
      <c r="AW78">
        <f>AW77+IF(AND($E78&lt;&gt;"",$E78&lt;=AW$2,$F78&gt;=AW$2),1,0)</f>
        <v/>
      </c>
    </row>
    <row r="79">
      <c r="A79">
        <f>IF(AND(ISNUMBER(Events!$A81),ISNUMBER(Events!$B81)),MAX(0,Events!$B81-Events!$A81),0)</f>
        <v/>
      </c>
      <c r="B79">
        <f>IF(ISNUMBER(Events!$A81),DATE(YEAR($B$1)-1,MONTH(Events!$A81),DAY(Events!$A81)),"")</f>
        <v/>
      </c>
      <c r="C79">
        <f>IF(ISNUMBER(Events!$A81),DATE(YEAR($B$1),MONTH(Events!$A81),DAY(Events!$A81)),"")</f>
        <v/>
      </c>
      <c r="D79">
        <f>IF(ISNUMBER(Events!$A81),DATE(YEAR($B$2),MONTH(Events!$A81),DAY(Events!$A81)),"")</f>
        <v/>
      </c>
      <c r="E79">
        <f>IF(OR(NOT(ISNUMBER(Events!$A81)),Events!$G81="No",Calendar!$H$4="None"),"",IF(OR(Calendar!$H$4="All events",Events!$D81=Calendar!$H$4),IF(Events!$E81="Yes",IF(AND(B79&gt;=Events!$A81,B79&lt;=$B$2,B79+$A79&gt;=$B$1),B79,IF(AND(C79&gt;=Events!$A81,C79&lt;=$B$2,C79+$A79&gt;=$B$1),C79,IF(AND(D79&gt;=Events!$A81,D79&lt;=$B$2,D79+$A79&gt;=$B$1),D79,""))),IF(AND(Events!$A81&lt;=$B$2,Events!$A81+$A79&gt;=$B$1),Events!$A81,"")),""))</f>
        <v/>
      </c>
      <c r="F79">
        <f>IF(E79="","",E79+A79)</f>
        <v/>
      </c>
      <c r="G79">
        <f>IF(E79="","",IF(AND(E79&lt;=EOMONTH(Calendar!$K$2,0),F79&gt;=Calendar!$K$2),E79+76/100000,""))</f>
        <v/>
      </c>
      <c r="H79">
        <f>H78+IF(AND($E79&lt;&gt;"",$E79&lt;=H$2,$F79&gt;=H$2),1,0)</f>
        <v/>
      </c>
      <c r="I79">
        <f>I78+IF(AND($E79&lt;&gt;"",$E79&lt;=I$2,$F79&gt;=I$2),1,0)</f>
        <v/>
      </c>
      <c r="J79">
        <f>J78+IF(AND($E79&lt;&gt;"",$E79&lt;=J$2,$F79&gt;=J$2),1,0)</f>
        <v/>
      </c>
      <c r="K79">
        <f>K78+IF(AND($E79&lt;&gt;"",$E79&lt;=K$2,$F79&gt;=K$2),1,0)</f>
        <v/>
      </c>
      <c r="L79">
        <f>L78+IF(AND($E79&lt;&gt;"",$E79&lt;=L$2,$F79&gt;=L$2),1,0)</f>
        <v/>
      </c>
      <c r="M79">
        <f>M78+IF(AND($E79&lt;&gt;"",$E79&lt;=M$2,$F79&gt;=M$2),1,0)</f>
        <v/>
      </c>
      <c r="N79">
        <f>N78+IF(AND($E79&lt;&gt;"",$E79&lt;=N$2,$F79&gt;=N$2),1,0)</f>
        <v/>
      </c>
      <c r="O79">
        <f>O78+IF(AND($E79&lt;&gt;"",$E79&lt;=O$2,$F79&gt;=O$2),1,0)</f>
        <v/>
      </c>
      <c r="P79">
        <f>P78+IF(AND($E79&lt;&gt;"",$E79&lt;=P$2,$F79&gt;=P$2),1,0)</f>
        <v/>
      </c>
      <c r="Q79">
        <f>Q78+IF(AND($E79&lt;&gt;"",$E79&lt;=Q$2,$F79&gt;=Q$2),1,0)</f>
        <v/>
      </c>
      <c r="R79">
        <f>R78+IF(AND($E79&lt;&gt;"",$E79&lt;=R$2,$F79&gt;=R$2),1,0)</f>
        <v/>
      </c>
      <c r="S79">
        <f>S78+IF(AND($E79&lt;&gt;"",$E79&lt;=S$2,$F79&gt;=S$2),1,0)</f>
        <v/>
      </c>
      <c r="T79">
        <f>T78+IF(AND($E79&lt;&gt;"",$E79&lt;=T$2,$F79&gt;=T$2),1,0)</f>
        <v/>
      </c>
      <c r="U79">
        <f>U78+IF(AND($E79&lt;&gt;"",$E79&lt;=U$2,$F79&gt;=U$2),1,0)</f>
        <v/>
      </c>
      <c r="V79">
        <f>V78+IF(AND($E79&lt;&gt;"",$E79&lt;=V$2,$F79&gt;=V$2),1,0)</f>
        <v/>
      </c>
      <c r="W79">
        <f>W78+IF(AND($E79&lt;&gt;"",$E79&lt;=W$2,$F79&gt;=W$2),1,0)</f>
        <v/>
      </c>
      <c r="X79">
        <f>X78+IF(AND($E79&lt;&gt;"",$E79&lt;=X$2,$F79&gt;=X$2),1,0)</f>
        <v/>
      </c>
      <c r="Y79">
        <f>Y78+IF(AND($E79&lt;&gt;"",$E79&lt;=Y$2,$F79&gt;=Y$2),1,0)</f>
        <v/>
      </c>
      <c r="Z79">
        <f>Z78+IF(AND($E79&lt;&gt;"",$E79&lt;=Z$2,$F79&gt;=Z$2),1,0)</f>
        <v/>
      </c>
      <c r="AA79">
        <f>AA78+IF(AND($E79&lt;&gt;"",$E79&lt;=AA$2,$F79&gt;=AA$2),1,0)</f>
        <v/>
      </c>
      <c r="AB79">
        <f>AB78+IF(AND($E79&lt;&gt;"",$E79&lt;=AB$2,$F79&gt;=AB$2),1,0)</f>
        <v/>
      </c>
      <c r="AC79">
        <f>AC78+IF(AND($E79&lt;&gt;"",$E79&lt;=AC$2,$F79&gt;=AC$2),1,0)</f>
        <v/>
      </c>
      <c r="AD79">
        <f>AD78+IF(AND($E79&lt;&gt;"",$E79&lt;=AD$2,$F79&gt;=AD$2),1,0)</f>
        <v/>
      </c>
      <c r="AE79">
        <f>AE78+IF(AND($E79&lt;&gt;"",$E79&lt;=AE$2,$F79&gt;=AE$2),1,0)</f>
        <v/>
      </c>
      <c r="AF79">
        <f>AF78+IF(AND($E79&lt;&gt;"",$E79&lt;=AF$2,$F79&gt;=AF$2),1,0)</f>
        <v/>
      </c>
      <c r="AG79">
        <f>AG78+IF(AND($E79&lt;&gt;"",$E79&lt;=AG$2,$F79&gt;=AG$2),1,0)</f>
        <v/>
      </c>
      <c r="AH79">
        <f>AH78+IF(AND($E79&lt;&gt;"",$E79&lt;=AH$2,$F79&gt;=AH$2),1,0)</f>
        <v/>
      </c>
      <c r="AI79">
        <f>AI78+IF(AND($E79&lt;&gt;"",$E79&lt;=AI$2,$F79&gt;=AI$2),1,0)</f>
        <v/>
      </c>
      <c r="AJ79">
        <f>AJ78+IF(AND($E79&lt;&gt;"",$E79&lt;=AJ$2,$F79&gt;=AJ$2),1,0)</f>
        <v/>
      </c>
      <c r="AK79">
        <f>AK78+IF(AND($E79&lt;&gt;"",$E79&lt;=AK$2,$F79&gt;=AK$2),1,0)</f>
        <v/>
      </c>
      <c r="AL79">
        <f>AL78+IF(AND($E79&lt;&gt;"",$E79&lt;=AL$2,$F79&gt;=AL$2),1,0)</f>
        <v/>
      </c>
      <c r="AM79">
        <f>AM78+IF(AND($E79&lt;&gt;"",$E79&lt;=AM$2,$F79&gt;=AM$2),1,0)</f>
        <v/>
      </c>
      <c r="AN79">
        <f>AN78+IF(AND($E79&lt;&gt;"",$E79&lt;=AN$2,$F79&gt;=AN$2),1,0)</f>
        <v/>
      </c>
      <c r="AO79">
        <f>AO78+IF(AND($E79&lt;&gt;"",$E79&lt;=AO$2,$F79&gt;=AO$2),1,0)</f>
        <v/>
      </c>
      <c r="AP79">
        <f>AP78+IF(AND($E79&lt;&gt;"",$E79&lt;=AP$2,$F79&gt;=AP$2),1,0)</f>
        <v/>
      </c>
      <c r="AQ79">
        <f>AQ78+IF(AND($E79&lt;&gt;"",$E79&lt;=AQ$2,$F79&gt;=AQ$2),1,0)</f>
        <v/>
      </c>
      <c r="AR79">
        <f>AR78+IF(AND($E79&lt;&gt;"",$E79&lt;=AR$2,$F79&gt;=AR$2),1,0)</f>
        <v/>
      </c>
      <c r="AS79">
        <f>AS78+IF(AND($E79&lt;&gt;"",$E79&lt;=AS$2,$F79&gt;=AS$2),1,0)</f>
        <v/>
      </c>
      <c r="AT79">
        <f>AT78+IF(AND($E79&lt;&gt;"",$E79&lt;=AT$2,$F79&gt;=AT$2),1,0)</f>
        <v/>
      </c>
      <c r="AU79">
        <f>AU78+IF(AND($E79&lt;&gt;"",$E79&lt;=AU$2,$F79&gt;=AU$2),1,0)</f>
        <v/>
      </c>
      <c r="AV79">
        <f>AV78+IF(AND($E79&lt;&gt;"",$E79&lt;=AV$2,$F79&gt;=AV$2),1,0)</f>
        <v/>
      </c>
      <c r="AW79">
        <f>AW78+IF(AND($E79&lt;&gt;"",$E79&lt;=AW$2,$F79&gt;=AW$2),1,0)</f>
        <v/>
      </c>
    </row>
    <row r="80">
      <c r="A80">
        <f>IF(AND(ISNUMBER(Events!$A82),ISNUMBER(Events!$B82)),MAX(0,Events!$B82-Events!$A82),0)</f>
        <v/>
      </c>
      <c r="B80">
        <f>IF(ISNUMBER(Events!$A82),DATE(YEAR($B$1)-1,MONTH(Events!$A82),DAY(Events!$A82)),"")</f>
        <v/>
      </c>
      <c r="C80">
        <f>IF(ISNUMBER(Events!$A82),DATE(YEAR($B$1),MONTH(Events!$A82),DAY(Events!$A82)),"")</f>
        <v/>
      </c>
      <c r="D80">
        <f>IF(ISNUMBER(Events!$A82),DATE(YEAR($B$2),MONTH(Events!$A82),DAY(Events!$A82)),"")</f>
        <v/>
      </c>
      <c r="E80">
        <f>IF(OR(NOT(ISNUMBER(Events!$A82)),Events!$G82="No",Calendar!$H$4="None"),"",IF(OR(Calendar!$H$4="All events",Events!$D82=Calendar!$H$4),IF(Events!$E82="Yes",IF(AND(B80&gt;=Events!$A82,B80&lt;=$B$2,B80+$A80&gt;=$B$1),B80,IF(AND(C80&gt;=Events!$A82,C80&lt;=$B$2,C80+$A80&gt;=$B$1),C80,IF(AND(D80&gt;=Events!$A82,D80&lt;=$B$2,D80+$A80&gt;=$B$1),D80,""))),IF(AND(Events!$A82&lt;=$B$2,Events!$A82+$A80&gt;=$B$1),Events!$A82,"")),""))</f>
        <v/>
      </c>
      <c r="F80">
        <f>IF(E80="","",E80+A80)</f>
        <v/>
      </c>
      <c r="G80">
        <f>IF(E80="","",IF(AND(E80&lt;=EOMONTH(Calendar!$K$2,0),F80&gt;=Calendar!$K$2),E80+77/100000,""))</f>
        <v/>
      </c>
      <c r="H80">
        <f>H79+IF(AND($E80&lt;&gt;"",$E80&lt;=H$2,$F80&gt;=H$2),1,0)</f>
        <v/>
      </c>
      <c r="I80">
        <f>I79+IF(AND($E80&lt;&gt;"",$E80&lt;=I$2,$F80&gt;=I$2),1,0)</f>
        <v/>
      </c>
      <c r="J80">
        <f>J79+IF(AND($E80&lt;&gt;"",$E80&lt;=J$2,$F80&gt;=J$2),1,0)</f>
        <v/>
      </c>
      <c r="K80">
        <f>K79+IF(AND($E80&lt;&gt;"",$E80&lt;=K$2,$F80&gt;=K$2),1,0)</f>
        <v/>
      </c>
      <c r="L80">
        <f>L79+IF(AND($E80&lt;&gt;"",$E80&lt;=L$2,$F80&gt;=L$2),1,0)</f>
        <v/>
      </c>
      <c r="M80">
        <f>M79+IF(AND($E80&lt;&gt;"",$E80&lt;=M$2,$F80&gt;=M$2),1,0)</f>
        <v/>
      </c>
      <c r="N80">
        <f>N79+IF(AND($E80&lt;&gt;"",$E80&lt;=N$2,$F80&gt;=N$2),1,0)</f>
        <v/>
      </c>
      <c r="O80">
        <f>O79+IF(AND($E80&lt;&gt;"",$E80&lt;=O$2,$F80&gt;=O$2),1,0)</f>
        <v/>
      </c>
      <c r="P80">
        <f>P79+IF(AND($E80&lt;&gt;"",$E80&lt;=P$2,$F80&gt;=P$2),1,0)</f>
        <v/>
      </c>
      <c r="Q80">
        <f>Q79+IF(AND($E80&lt;&gt;"",$E80&lt;=Q$2,$F80&gt;=Q$2),1,0)</f>
        <v/>
      </c>
      <c r="R80">
        <f>R79+IF(AND($E80&lt;&gt;"",$E80&lt;=R$2,$F80&gt;=R$2),1,0)</f>
        <v/>
      </c>
      <c r="S80">
        <f>S79+IF(AND($E80&lt;&gt;"",$E80&lt;=S$2,$F80&gt;=S$2),1,0)</f>
        <v/>
      </c>
      <c r="T80">
        <f>T79+IF(AND($E80&lt;&gt;"",$E80&lt;=T$2,$F80&gt;=T$2),1,0)</f>
        <v/>
      </c>
      <c r="U80">
        <f>U79+IF(AND($E80&lt;&gt;"",$E80&lt;=U$2,$F80&gt;=U$2),1,0)</f>
        <v/>
      </c>
      <c r="V80">
        <f>V79+IF(AND($E80&lt;&gt;"",$E80&lt;=V$2,$F80&gt;=V$2),1,0)</f>
        <v/>
      </c>
      <c r="W80">
        <f>W79+IF(AND($E80&lt;&gt;"",$E80&lt;=W$2,$F80&gt;=W$2),1,0)</f>
        <v/>
      </c>
      <c r="X80">
        <f>X79+IF(AND($E80&lt;&gt;"",$E80&lt;=X$2,$F80&gt;=X$2),1,0)</f>
        <v/>
      </c>
      <c r="Y80">
        <f>Y79+IF(AND($E80&lt;&gt;"",$E80&lt;=Y$2,$F80&gt;=Y$2),1,0)</f>
        <v/>
      </c>
      <c r="Z80">
        <f>Z79+IF(AND($E80&lt;&gt;"",$E80&lt;=Z$2,$F80&gt;=Z$2),1,0)</f>
        <v/>
      </c>
      <c r="AA80">
        <f>AA79+IF(AND($E80&lt;&gt;"",$E80&lt;=AA$2,$F80&gt;=AA$2),1,0)</f>
        <v/>
      </c>
      <c r="AB80">
        <f>AB79+IF(AND($E80&lt;&gt;"",$E80&lt;=AB$2,$F80&gt;=AB$2),1,0)</f>
        <v/>
      </c>
      <c r="AC80">
        <f>AC79+IF(AND($E80&lt;&gt;"",$E80&lt;=AC$2,$F80&gt;=AC$2),1,0)</f>
        <v/>
      </c>
      <c r="AD80">
        <f>AD79+IF(AND($E80&lt;&gt;"",$E80&lt;=AD$2,$F80&gt;=AD$2),1,0)</f>
        <v/>
      </c>
      <c r="AE80">
        <f>AE79+IF(AND($E80&lt;&gt;"",$E80&lt;=AE$2,$F80&gt;=AE$2),1,0)</f>
        <v/>
      </c>
      <c r="AF80">
        <f>AF79+IF(AND($E80&lt;&gt;"",$E80&lt;=AF$2,$F80&gt;=AF$2),1,0)</f>
        <v/>
      </c>
      <c r="AG80">
        <f>AG79+IF(AND($E80&lt;&gt;"",$E80&lt;=AG$2,$F80&gt;=AG$2),1,0)</f>
        <v/>
      </c>
      <c r="AH80">
        <f>AH79+IF(AND($E80&lt;&gt;"",$E80&lt;=AH$2,$F80&gt;=AH$2),1,0)</f>
        <v/>
      </c>
      <c r="AI80">
        <f>AI79+IF(AND($E80&lt;&gt;"",$E80&lt;=AI$2,$F80&gt;=AI$2),1,0)</f>
        <v/>
      </c>
      <c r="AJ80">
        <f>AJ79+IF(AND($E80&lt;&gt;"",$E80&lt;=AJ$2,$F80&gt;=AJ$2),1,0)</f>
        <v/>
      </c>
      <c r="AK80">
        <f>AK79+IF(AND($E80&lt;&gt;"",$E80&lt;=AK$2,$F80&gt;=AK$2),1,0)</f>
        <v/>
      </c>
      <c r="AL80">
        <f>AL79+IF(AND($E80&lt;&gt;"",$E80&lt;=AL$2,$F80&gt;=AL$2),1,0)</f>
        <v/>
      </c>
      <c r="AM80">
        <f>AM79+IF(AND($E80&lt;&gt;"",$E80&lt;=AM$2,$F80&gt;=AM$2),1,0)</f>
        <v/>
      </c>
      <c r="AN80">
        <f>AN79+IF(AND($E80&lt;&gt;"",$E80&lt;=AN$2,$F80&gt;=AN$2),1,0)</f>
        <v/>
      </c>
      <c r="AO80">
        <f>AO79+IF(AND($E80&lt;&gt;"",$E80&lt;=AO$2,$F80&gt;=AO$2),1,0)</f>
        <v/>
      </c>
      <c r="AP80">
        <f>AP79+IF(AND($E80&lt;&gt;"",$E80&lt;=AP$2,$F80&gt;=AP$2),1,0)</f>
        <v/>
      </c>
      <c r="AQ80">
        <f>AQ79+IF(AND($E80&lt;&gt;"",$E80&lt;=AQ$2,$F80&gt;=AQ$2),1,0)</f>
        <v/>
      </c>
      <c r="AR80">
        <f>AR79+IF(AND($E80&lt;&gt;"",$E80&lt;=AR$2,$F80&gt;=AR$2),1,0)</f>
        <v/>
      </c>
      <c r="AS80">
        <f>AS79+IF(AND($E80&lt;&gt;"",$E80&lt;=AS$2,$F80&gt;=AS$2),1,0)</f>
        <v/>
      </c>
      <c r="AT80">
        <f>AT79+IF(AND($E80&lt;&gt;"",$E80&lt;=AT$2,$F80&gt;=AT$2),1,0)</f>
        <v/>
      </c>
      <c r="AU80">
        <f>AU79+IF(AND($E80&lt;&gt;"",$E80&lt;=AU$2,$F80&gt;=AU$2),1,0)</f>
        <v/>
      </c>
      <c r="AV80">
        <f>AV79+IF(AND($E80&lt;&gt;"",$E80&lt;=AV$2,$F80&gt;=AV$2),1,0)</f>
        <v/>
      </c>
      <c r="AW80">
        <f>AW79+IF(AND($E80&lt;&gt;"",$E80&lt;=AW$2,$F80&gt;=AW$2),1,0)</f>
        <v/>
      </c>
    </row>
    <row r="81">
      <c r="A81">
        <f>IF(AND(ISNUMBER(Events!$A83),ISNUMBER(Events!$B83)),MAX(0,Events!$B83-Events!$A83),0)</f>
        <v/>
      </c>
      <c r="B81">
        <f>IF(ISNUMBER(Events!$A83),DATE(YEAR($B$1)-1,MONTH(Events!$A83),DAY(Events!$A83)),"")</f>
        <v/>
      </c>
      <c r="C81">
        <f>IF(ISNUMBER(Events!$A83),DATE(YEAR($B$1),MONTH(Events!$A83),DAY(Events!$A83)),"")</f>
        <v/>
      </c>
      <c r="D81">
        <f>IF(ISNUMBER(Events!$A83),DATE(YEAR($B$2),MONTH(Events!$A83),DAY(Events!$A83)),"")</f>
        <v/>
      </c>
      <c r="E81">
        <f>IF(OR(NOT(ISNUMBER(Events!$A83)),Events!$G83="No",Calendar!$H$4="None"),"",IF(OR(Calendar!$H$4="All events",Events!$D83=Calendar!$H$4),IF(Events!$E83="Yes",IF(AND(B81&gt;=Events!$A83,B81&lt;=$B$2,B81+$A81&gt;=$B$1),B81,IF(AND(C81&gt;=Events!$A83,C81&lt;=$B$2,C81+$A81&gt;=$B$1),C81,IF(AND(D81&gt;=Events!$A83,D81&lt;=$B$2,D81+$A81&gt;=$B$1),D81,""))),IF(AND(Events!$A83&lt;=$B$2,Events!$A83+$A81&gt;=$B$1),Events!$A83,"")),""))</f>
        <v/>
      </c>
      <c r="F81">
        <f>IF(E81="","",E81+A81)</f>
        <v/>
      </c>
      <c r="G81">
        <f>IF(E81="","",IF(AND(E81&lt;=EOMONTH(Calendar!$K$2,0),F81&gt;=Calendar!$K$2),E81+78/100000,""))</f>
        <v/>
      </c>
      <c r="H81">
        <f>H80+IF(AND($E81&lt;&gt;"",$E81&lt;=H$2,$F81&gt;=H$2),1,0)</f>
        <v/>
      </c>
      <c r="I81">
        <f>I80+IF(AND($E81&lt;&gt;"",$E81&lt;=I$2,$F81&gt;=I$2),1,0)</f>
        <v/>
      </c>
      <c r="J81">
        <f>J80+IF(AND($E81&lt;&gt;"",$E81&lt;=J$2,$F81&gt;=J$2),1,0)</f>
        <v/>
      </c>
      <c r="K81">
        <f>K80+IF(AND($E81&lt;&gt;"",$E81&lt;=K$2,$F81&gt;=K$2),1,0)</f>
        <v/>
      </c>
      <c r="L81">
        <f>L80+IF(AND($E81&lt;&gt;"",$E81&lt;=L$2,$F81&gt;=L$2),1,0)</f>
        <v/>
      </c>
      <c r="M81">
        <f>M80+IF(AND($E81&lt;&gt;"",$E81&lt;=M$2,$F81&gt;=M$2),1,0)</f>
        <v/>
      </c>
      <c r="N81">
        <f>N80+IF(AND($E81&lt;&gt;"",$E81&lt;=N$2,$F81&gt;=N$2),1,0)</f>
        <v/>
      </c>
      <c r="O81">
        <f>O80+IF(AND($E81&lt;&gt;"",$E81&lt;=O$2,$F81&gt;=O$2),1,0)</f>
        <v/>
      </c>
      <c r="P81">
        <f>P80+IF(AND($E81&lt;&gt;"",$E81&lt;=P$2,$F81&gt;=P$2),1,0)</f>
        <v/>
      </c>
      <c r="Q81">
        <f>Q80+IF(AND($E81&lt;&gt;"",$E81&lt;=Q$2,$F81&gt;=Q$2),1,0)</f>
        <v/>
      </c>
      <c r="R81">
        <f>R80+IF(AND($E81&lt;&gt;"",$E81&lt;=R$2,$F81&gt;=R$2),1,0)</f>
        <v/>
      </c>
      <c r="S81">
        <f>S80+IF(AND($E81&lt;&gt;"",$E81&lt;=S$2,$F81&gt;=S$2),1,0)</f>
        <v/>
      </c>
      <c r="T81">
        <f>T80+IF(AND($E81&lt;&gt;"",$E81&lt;=T$2,$F81&gt;=T$2),1,0)</f>
        <v/>
      </c>
      <c r="U81">
        <f>U80+IF(AND($E81&lt;&gt;"",$E81&lt;=U$2,$F81&gt;=U$2),1,0)</f>
        <v/>
      </c>
      <c r="V81">
        <f>V80+IF(AND($E81&lt;&gt;"",$E81&lt;=V$2,$F81&gt;=V$2),1,0)</f>
        <v/>
      </c>
      <c r="W81">
        <f>W80+IF(AND($E81&lt;&gt;"",$E81&lt;=W$2,$F81&gt;=W$2),1,0)</f>
        <v/>
      </c>
      <c r="X81">
        <f>X80+IF(AND($E81&lt;&gt;"",$E81&lt;=X$2,$F81&gt;=X$2),1,0)</f>
        <v/>
      </c>
      <c r="Y81">
        <f>Y80+IF(AND($E81&lt;&gt;"",$E81&lt;=Y$2,$F81&gt;=Y$2),1,0)</f>
        <v/>
      </c>
      <c r="Z81">
        <f>Z80+IF(AND($E81&lt;&gt;"",$E81&lt;=Z$2,$F81&gt;=Z$2),1,0)</f>
        <v/>
      </c>
      <c r="AA81">
        <f>AA80+IF(AND($E81&lt;&gt;"",$E81&lt;=AA$2,$F81&gt;=AA$2),1,0)</f>
        <v/>
      </c>
      <c r="AB81">
        <f>AB80+IF(AND($E81&lt;&gt;"",$E81&lt;=AB$2,$F81&gt;=AB$2),1,0)</f>
        <v/>
      </c>
      <c r="AC81">
        <f>AC80+IF(AND($E81&lt;&gt;"",$E81&lt;=AC$2,$F81&gt;=AC$2),1,0)</f>
        <v/>
      </c>
      <c r="AD81">
        <f>AD80+IF(AND($E81&lt;&gt;"",$E81&lt;=AD$2,$F81&gt;=AD$2),1,0)</f>
        <v/>
      </c>
      <c r="AE81">
        <f>AE80+IF(AND($E81&lt;&gt;"",$E81&lt;=AE$2,$F81&gt;=AE$2),1,0)</f>
        <v/>
      </c>
      <c r="AF81">
        <f>AF80+IF(AND($E81&lt;&gt;"",$E81&lt;=AF$2,$F81&gt;=AF$2),1,0)</f>
        <v/>
      </c>
      <c r="AG81">
        <f>AG80+IF(AND($E81&lt;&gt;"",$E81&lt;=AG$2,$F81&gt;=AG$2),1,0)</f>
        <v/>
      </c>
      <c r="AH81">
        <f>AH80+IF(AND($E81&lt;&gt;"",$E81&lt;=AH$2,$F81&gt;=AH$2),1,0)</f>
        <v/>
      </c>
      <c r="AI81">
        <f>AI80+IF(AND($E81&lt;&gt;"",$E81&lt;=AI$2,$F81&gt;=AI$2),1,0)</f>
        <v/>
      </c>
      <c r="AJ81">
        <f>AJ80+IF(AND($E81&lt;&gt;"",$E81&lt;=AJ$2,$F81&gt;=AJ$2),1,0)</f>
        <v/>
      </c>
      <c r="AK81">
        <f>AK80+IF(AND($E81&lt;&gt;"",$E81&lt;=AK$2,$F81&gt;=AK$2),1,0)</f>
        <v/>
      </c>
      <c r="AL81">
        <f>AL80+IF(AND($E81&lt;&gt;"",$E81&lt;=AL$2,$F81&gt;=AL$2),1,0)</f>
        <v/>
      </c>
      <c r="AM81">
        <f>AM80+IF(AND($E81&lt;&gt;"",$E81&lt;=AM$2,$F81&gt;=AM$2),1,0)</f>
        <v/>
      </c>
      <c r="AN81">
        <f>AN80+IF(AND($E81&lt;&gt;"",$E81&lt;=AN$2,$F81&gt;=AN$2),1,0)</f>
        <v/>
      </c>
      <c r="AO81">
        <f>AO80+IF(AND($E81&lt;&gt;"",$E81&lt;=AO$2,$F81&gt;=AO$2),1,0)</f>
        <v/>
      </c>
      <c r="AP81">
        <f>AP80+IF(AND($E81&lt;&gt;"",$E81&lt;=AP$2,$F81&gt;=AP$2),1,0)</f>
        <v/>
      </c>
      <c r="AQ81">
        <f>AQ80+IF(AND($E81&lt;&gt;"",$E81&lt;=AQ$2,$F81&gt;=AQ$2),1,0)</f>
        <v/>
      </c>
      <c r="AR81">
        <f>AR80+IF(AND($E81&lt;&gt;"",$E81&lt;=AR$2,$F81&gt;=AR$2),1,0)</f>
        <v/>
      </c>
      <c r="AS81">
        <f>AS80+IF(AND($E81&lt;&gt;"",$E81&lt;=AS$2,$F81&gt;=AS$2),1,0)</f>
        <v/>
      </c>
      <c r="AT81">
        <f>AT80+IF(AND($E81&lt;&gt;"",$E81&lt;=AT$2,$F81&gt;=AT$2),1,0)</f>
        <v/>
      </c>
      <c r="AU81">
        <f>AU80+IF(AND($E81&lt;&gt;"",$E81&lt;=AU$2,$F81&gt;=AU$2),1,0)</f>
        <v/>
      </c>
      <c r="AV81">
        <f>AV80+IF(AND($E81&lt;&gt;"",$E81&lt;=AV$2,$F81&gt;=AV$2),1,0)</f>
        <v/>
      </c>
      <c r="AW81">
        <f>AW80+IF(AND($E81&lt;&gt;"",$E81&lt;=AW$2,$F81&gt;=AW$2),1,0)</f>
        <v/>
      </c>
    </row>
    <row r="82">
      <c r="A82">
        <f>IF(AND(ISNUMBER(Events!$A84),ISNUMBER(Events!$B84)),MAX(0,Events!$B84-Events!$A84),0)</f>
        <v/>
      </c>
      <c r="B82">
        <f>IF(ISNUMBER(Events!$A84),DATE(YEAR($B$1)-1,MONTH(Events!$A84),DAY(Events!$A84)),"")</f>
        <v/>
      </c>
      <c r="C82">
        <f>IF(ISNUMBER(Events!$A84),DATE(YEAR($B$1),MONTH(Events!$A84),DAY(Events!$A84)),"")</f>
        <v/>
      </c>
      <c r="D82">
        <f>IF(ISNUMBER(Events!$A84),DATE(YEAR($B$2),MONTH(Events!$A84),DAY(Events!$A84)),"")</f>
        <v/>
      </c>
      <c r="E82">
        <f>IF(OR(NOT(ISNUMBER(Events!$A84)),Events!$G84="No",Calendar!$H$4="None"),"",IF(OR(Calendar!$H$4="All events",Events!$D84=Calendar!$H$4),IF(Events!$E84="Yes",IF(AND(B82&gt;=Events!$A84,B82&lt;=$B$2,B82+$A82&gt;=$B$1),B82,IF(AND(C82&gt;=Events!$A84,C82&lt;=$B$2,C82+$A82&gt;=$B$1),C82,IF(AND(D82&gt;=Events!$A84,D82&lt;=$B$2,D82+$A82&gt;=$B$1),D82,""))),IF(AND(Events!$A84&lt;=$B$2,Events!$A84+$A82&gt;=$B$1),Events!$A84,"")),""))</f>
        <v/>
      </c>
      <c r="F82">
        <f>IF(E82="","",E82+A82)</f>
        <v/>
      </c>
      <c r="G82">
        <f>IF(E82="","",IF(AND(E82&lt;=EOMONTH(Calendar!$K$2,0),F82&gt;=Calendar!$K$2),E82+79/100000,""))</f>
        <v/>
      </c>
      <c r="H82">
        <f>H81+IF(AND($E82&lt;&gt;"",$E82&lt;=H$2,$F82&gt;=H$2),1,0)</f>
        <v/>
      </c>
      <c r="I82">
        <f>I81+IF(AND($E82&lt;&gt;"",$E82&lt;=I$2,$F82&gt;=I$2),1,0)</f>
        <v/>
      </c>
      <c r="J82">
        <f>J81+IF(AND($E82&lt;&gt;"",$E82&lt;=J$2,$F82&gt;=J$2),1,0)</f>
        <v/>
      </c>
      <c r="K82">
        <f>K81+IF(AND($E82&lt;&gt;"",$E82&lt;=K$2,$F82&gt;=K$2),1,0)</f>
        <v/>
      </c>
      <c r="L82">
        <f>L81+IF(AND($E82&lt;&gt;"",$E82&lt;=L$2,$F82&gt;=L$2),1,0)</f>
        <v/>
      </c>
      <c r="M82">
        <f>M81+IF(AND($E82&lt;&gt;"",$E82&lt;=M$2,$F82&gt;=M$2),1,0)</f>
        <v/>
      </c>
      <c r="N82">
        <f>N81+IF(AND($E82&lt;&gt;"",$E82&lt;=N$2,$F82&gt;=N$2),1,0)</f>
        <v/>
      </c>
      <c r="O82">
        <f>O81+IF(AND($E82&lt;&gt;"",$E82&lt;=O$2,$F82&gt;=O$2),1,0)</f>
        <v/>
      </c>
      <c r="P82">
        <f>P81+IF(AND($E82&lt;&gt;"",$E82&lt;=P$2,$F82&gt;=P$2),1,0)</f>
        <v/>
      </c>
      <c r="Q82">
        <f>Q81+IF(AND($E82&lt;&gt;"",$E82&lt;=Q$2,$F82&gt;=Q$2),1,0)</f>
        <v/>
      </c>
      <c r="R82">
        <f>R81+IF(AND($E82&lt;&gt;"",$E82&lt;=R$2,$F82&gt;=R$2),1,0)</f>
        <v/>
      </c>
      <c r="S82">
        <f>S81+IF(AND($E82&lt;&gt;"",$E82&lt;=S$2,$F82&gt;=S$2),1,0)</f>
        <v/>
      </c>
      <c r="T82">
        <f>T81+IF(AND($E82&lt;&gt;"",$E82&lt;=T$2,$F82&gt;=T$2),1,0)</f>
        <v/>
      </c>
      <c r="U82">
        <f>U81+IF(AND($E82&lt;&gt;"",$E82&lt;=U$2,$F82&gt;=U$2),1,0)</f>
        <v/>
      </c>
      <c r="V82">
        <f>V81+IF(AND($E82&lt;&gt;"",$E82&lt;=V$2,$F82&gt;=V$2),1,0)</f>
        <v/>
      </c>
      <c r="W82">
        <f>W81+IF(AND($E82&lt;&gt;"",$E82&lt;=W$2,$F82&gt;=W$2),1,0)</f>
        <v/>
      </c>
      <c r="X82">
        <f>X81+IF(AND($E82&lt;&gt;"",$E82&lt;=X$2,$F82&gt;=X$2),1,0)</f>
        <v/>
      </c>
      <c r="Y82">
        <f>Y81+IF(AND($E82&lt;&gt;"",$E82&lt;=Y$2,$F82&gt;=Y$2),1,0)</f>
        <v/>
      </c>
      <c r="Z82">
        <f>Z81+IF(AND($E82&lt;&gt;"",$E82&lt;=Z$2,$F82&gt;=Z$2),1,0)</f>
        <v/>
      </c>
      <c r="AA82">
        <f>AA81+IF(AND($E82&lt;&gt;"",$E82&lt;=AA$2,$F82&gt;=AA$2),1,0)</f>
        <v/>
      </c>
      <c r="AB82">
        <f>AB81+IF(AND($E82&lt;&gt;"",$E82&lt;=AB$2,$F82&gt;=AB$2),1,0)</f>
        <v/>
      </c>
      <c r="AC82">
        <f>AC81+IF(AND($E82&lt;&gt;"",$E82&lt;=AC$2,$F82&gt;=AC$2),1,0)</f>
        <v/>
      </c>
      <c r="AD82">
        <f>AD81+IF(AND($E82&lt;&gt;"",$E82&lt;=AD$2,$F82&gt;=AD$2),1,0)</f>
        <v/>
      </c>
      <c r="AE82">
        <f>AE81+IF(AND($E82&lt;&gt;"",$E82&lt;=AE$2,$F82&gt;=AE$2),1,0)</f>
        <v/>
      </c>
      <c r="AF82">
        <f>AF81+IF(AND($E82&lt;&gt;"",$E82&lt;=AF$2,$F82&gt;=AF$2),1,0)</f>
        <v/>
      </c>
      <c r="AG82">
        <f>AG81+IF(AND($E82&lt;&gt;"",$E82&lt;=AG$2,$F82&gt;=AG$2),1,0)</f>
        <v/>
      </c>
      <c r="AH82">
        <f>AH81+IF(AND($E82&lt;&gt;"",$E82&lt;=AH$2,$F82&gt;=AH$2),1,0)</f>
        <v/>
      </c>
      <c r="AI82">
        <f>AI81+IF(AND($E82&lt;&gt;"",$E82&lt;=AI$2,$F82&gt;=AI$2),1,0)</f>
        <v/>
      </c>
      <c r="AJ82">
        <f>AJ81+IF(AND($E82&lt;&gt;"",$E82&lt;=AJ$2,$F82&gt;=AJ$2),1,0)</f>
        <v/>
      </c>
      <c r="AK82">
        <f>AK81+IF(AND($E82&lt;&gt;"",$E82&lt;=AK$2,$F82&gt;=AK$2),1,0)</f>
        <v/>
      </c>
      <c r="AL82">
        <f>AL81+IF(AND($E82&lt;&gt;"",$E82&lt;=AL$2,$F82&gt;=AL$2),1,0)</f>
        <v/>
      </c>
      <c r="AM82">
        <f>AM81+IF(AND($E82&lt;&gt;"",$E82&lt;=AM$2,$F82&gt;=AM$2),1,0)</f>
        <v/>
      </c>
      <c r="AN82">
        <f>AN81+IF(AND($E82&lt;&gt;"",$E82&lt;=AN$2,$F82&gt;=AN$2),1,0)</f>
        <v/>
      </c>
      <c r="AO82">
        <f>AO81+IF(AND($E82&lt;&gt;"",$E82&lt;=AO$2,$F82&gt;=AO$2),1,0)</f>
        <v/>
      </c>
      <c r="AP82">
        <f>AP81+IF(AND($E82&lt;&gt;"",$E82&lt;=AP$2,$F82&gt;=AP$2),1,0)</f>
        <v/>
      </c>
      <c r="AQ82">
        <f>AQ81+IF(AND($E82&lt;&gt;"",$E82&lt;=AQ$2,$F82&gt;=AQ$2),1,0)</f>
        <v/>
      </c>
      <c r="AR82">
        <f>AR81+IF(AND($E82&lt;&gt;"",$E82&lt;=AR$2,$F82&gt;=AR$2),1,0)</f>
        <v/>
      </c>
      <c r="AS82">
        <f>AS81+IF(AND($E82&lt;&gt;"",$E82&lt;=AS$2,$F82&gt;=AS$2),1,0)</f>
        <v/>
      </c>
      <c r="AT82">
        <f>AT81+IF(AND($E82&lt;&gt;"",$E82&lt;=AT$2,$F82&gt;=AT$2),1,0)</f>
        <v/>
      </c>
      <c r="AU82">
        <f>AU81+IF(AND($E82&lt;&gt;"",$E82&lt;=AU$2,$F82&gt;=AU$2),1,0)</f>
        <v/>
      </c>
      <c r="AV82">
        <f>AV81+IF(AND($E82&lt;&gt;"",$E82&lt;=AV$2,$F82&gt;=AV$2),1,0)</f>
        <v/>
      </c>
      <c r="AW82">
        <f>AW81+IF(AND($E82&lt;&gt;"",$E82&lt;=AW$2,$F82&gt;=AW$2),1,0)</f>
        <v/>
      </c>
    </row>
    <row r="83">
      <c r="A83">
        <f>IF(AND(ISNUMBER(Events!$A85),ISNUMBER(Events!$B85)),MAX(0,Events!$B85-Events!$A85),0)</f>
        <v/>
      </c>
      <c r="B83">
        <f>IF(ISNUMBER(Events!$A85),DATE(YEAR($B$1)-1,MONTH(Events!$A85),DAY(Events!$A85)),"")</f>
        <v/>
      </c>
      <c r="C83">
        <f>IF(ISNUMBER(Events!$A85),DATE(YEAR($B$1),MONTH(Events!$A85),DAY(Events!$A85)),"")</f>
        <v/>
      </c>
      <c r="D83">
        <f>IF(ISNUMBER(Events!$A85),DATE(YEAR($B$2),MONTH(Events!$A85),DAY(Events!$A85)),"")</f>
        <v/>
      </c>
      <c r="E83">
        <f>IF(OR(NOT(ISNUMBER(Events!$A85)),Events!$G85="No",Calendar!$H$4="None"),"",IF(OR(Calendar!$H$4="All events",Events!$D85=Calendar!$H$4),IF(Events!$E85="Yes",IF(AND(B83&gt;=Events!$A85,B83&lt;=$B$2,B83+$A83&gt;=$B$1),B83,IF(AND(C83&gt;=Events!$A85,C83&lt;=$B$2,C83+$A83&gt;=$B$1),C83,IF(AND(D83&gt;=Events!$A85,D83&lt;=$B$2,D83+$A83&gt;=$B$1),D83,""))),IF(AND(Events!$A85&lt;=$B$2,Events!$A85+$A83&gt;=$B$1),Events!$A85,"")),""))</f>
        <v/>
      </c>
      <c r="F83">
        <f>IF(E83="","",E83+A83)</f>
        <v/>
      </c>
      <c r="G83">
        <f>IF(E83="","",IF(AND(E83&lt;=EOMONTH(Calendar!$K$2,0),F83&gt;=Calendar!$K$2),E83+80/100000,""))</f>
        <v/>
      </c>
      <c r="H83">
        <f>H82+IF(AND($E83&lt;&gt;"",$E83&lt;=H$2,$F83&gt;=H$2),1,0)</f>
        <v/>
      </c>
      <c r="I83">
        <f>I82+IF(AND($E83&lt;&gt;"",$E83&lt;=I$2,$F83&gt;=I$2),1,0)</f>
        <v/>
      </c>
      <c r="J83">
        <f>J82+IF(AND($E83&lt;&gt;"",$E83&lt;=J$2,$F83&gt;=J$2),1,0)</f>
        <v/>
      </c>
      <c r="K83">
        <f>K82+IF(AND($E83&lt;&gt;"",$E83&lt;=K$2,$F83&gt;=K$2),1,0)</f>
        <v/>
      </c>
      <c r="L83">
        <f>L82+IF(AND($E83&lt;&gt;"",$E83&lt;=L$2,$F83&gt;=L$2),1,0)</f>
        <v/>
      </c>
      <c r="M83">
        <f>M82+IF(AND($E83&lt;&gt;"",$E83&lt;=M$2,$F83&gt;=M$2),1,0)</f>
        <v/>
      </c>
      <c r="N83">
        <f>N82+IF(AND($E83&lt;&gt;"",$E83&lt;=N$2,$F83&gt;=N$2),1,0)</f>
        <v/>
      </c>
      <c r="O83">
        <f>O82+IF(AND($E83&lt;&gt;"",$E83&lt;=O$2,$F83&gt;=O$2),1,0)</f>
        <v/>
      </c>
      <c r="P83">
        <f>P82+IF(AND($E83&lt;&gt;"",$E83&lt;=P$2,$F83&gt;=P$2),1,0)</f>
        <v/>
      </c>
      <c r="Q83">
        <f>Q82+IF(AND($E83&lt;&gt;"",$E83&lt;=Q$2,$F83&gt;=Q$2),1,0)</f>
        <v/>
      </c>
      <c r="R83">
        <f>R82+IF(AND($E83&lt;&gt;"",$E83&lt;=R$2,$F83&gt;=R$2),1,0)</f>
        <v/>
      </c>
      <c r="S83">
        <f>S82+IF(AND($E83&lt;&gt;"",$E83&lt;=S$2,$F83&gt;=S$2),1,0)</f>
        <v/>
      </c>
      <c r="T83">
        <f>T82+IF(AND($E83&lt;&gt;"",$E83&lt;=T$2,$F83&gt;=T$2),1,0)</f>
        <v/>
      </c>
      <c r="U83">
        <f>U82+IF(AND($E83&lt;&gt;"",$E83&lt;=U$2,$F83&gt;=U$2),1,0)</f>
        <v/>
      </c>
      <c r="V83">
        <f>V82+IF(AND($E83&lt;&gt;"",$E83&lt;=V$2,$F83&gt;=V$2),1,0)</f>
        <v/>
      </c>
      <c r="W83">
        <f>W82+IF(AND($E83&lt;&gt;"",$E83&lt;=W$2,$F83&gt;=W$2),1,0)</f>
        <v/>
      </c>
      <c r="X83">
        <f>X82+IF(AND($E83&lt;&gt;"",$E83&lt;=X$2,$F83&gt;=X$2),1,0)</f>
        <v/>
      </c>
      <c r="Y83">
        <f>Y82+IF(AND($E83&lt;&gt;"",$E83&lt;=Y$2,$F83&gt;=Y$2),1,0)</f>
        <v/>
      </c>
      <c r="Z83">
        <f>Z82+IF(AND($E83&lt;&gt;"",$E83&lt;=Z$2,$F83&gt;=Z$2),1,0)</f>
        <v/>
      </c>
      <c r="AA83">
        <f>AA82+IF(AND($E83&lt;&gt;"",$E83&lt;=AA$2,$F83&gt;=AA$2),1,0)</f>
        <v/>
      </c>
      <c r="AB83">
        <f>AB82+IF(AND($E83&lt;&gt;"",$E83&lt;=AB$2,$F83&gt;=AB$2),1,0)</f>
        <v/>
      </c>
      <c r="AC83">
        <f>AC82+IF(AND($E83&lt;&gt;"",$E83&lt;=AC$2,$F83&gt;=AC$2),1,0)</f>
        <v/>
      </c>
      <c r="AD83">
        <f>AD82+IF(AND($E83&lt;&gt;"",$E83&lt;=AD$2,$F83&gt;=AD$2),1,0)</f>
        <v/>
      </c>
      <c r="AE83">
        <f>AE82+IF(AND($E83&lt;&gt;"",$E83&lt;=AE$2,$F83&gt;=AE$2),1,0)</f>
        <v/>
      </c>
      <c r="AF83">
        <f>AF82+IF(AND($E83&lt;&gt;"",$E83&lt;=AF$2,$F83&gt;=AF$2),1,0)</f>
        <v/>
      </c>
      <c r="AG83">
        <f>AG82+IF(AND($E83&lt;&gt;"",$E83&lt;=AG$2,$F83&gt;=AG$2),1,0)</f>
        <v/>
      </c>
      <c r="AH83">
        <f>AH82+IF(AND($E83&lt;&gt;"",$E83&lt;=AH$2,$F83&gt;=AH$2),1,0)</f>
        <v/>
      </c>
      <c r="AI83">
        <f>AI82+IF(AND($E83&lt;&gt;"",$E83&lt;=AI$2,$F83&gt;=AI$2),1,0)</f>
        <v/>
      </c>
      <c r="AJ83">
        <f>AJ82+IF(AND($E83&lt;&gt;"",$E83&lt;=AJ$2,$F83&gt;=AJ$2),1,0)</f>
        <v/>
      </c>
      <c r="AK83">
        <f>AK82+IF(AND($E83&lt;&gt;"",$E83&lt;=AK$2,$F83&gt;=AK$2),1,0)</f>
        <v/>
      </c>
      <c r="AL83">
        <f>AL82+IF(AND($E83&lt;&gt;"",$E83&lt;=AL$2,$F83&gt;=AL$2),1,0)</f>
        <v/>
      </c>
      <c r="AM83">
        <f>AM82+IF(AND($E83&lt;&gt;"",$E83&lt;=AM$2,$F83&gt;=AM$2),1,0)</f>
        <v/>
      </c>
      <c r="AN83">
        <f>AN82+IF(AND($E83&lt;&gt;"",$E83&lt;=AN$2,$F83&gt;=AN$2),1,0)</f>
        <v/>
      </c>
      <c r="AO83">
        <f>AO82+IF(AND($E83&lt;&gt;"",$E83&lt;=AO$2,$F83&gt;=AO$2),1,0)</f>
        <v/>
      </c>
      <c r="AP83">
        <f>AP82+IF(AND($E83&lt;&gt;"",$E83&lt;=AP$2,$F83&gt;=AP$2),1,0)</f>
        <v/>
      </c>
      <c r="AQ83">
        <f>AQ82+IF(AND($E83&lt;&gt;"",$E83&lt;=AQ$2,$F83&gt;=AQ$2),1,0)</f>
        <v/>
      </c>
      <c r="AR83">
        <f>AR82+IF(AND($E83&lt;&gt;"",$E83&lt;=AR$2,$F83&gt;=AR$2),1,0)</f>
        <v/>
      </c>
      <c r="AS83">
        <f>AS82+IF(AND($E83&lt;&gt;"",$E83&lt;=AS$2,$F83&gt;=AS$2),1,0)</f>
        <v/>
      </c>
      <c r="AT83">
        <f>AT82+IF(AND($E83&lt;&gt;"",$E83&lt;=AT$2,$F83&gt;=AT$2),1,0)</f>
        <v/>
      </c>
      <c r="AU83">
        <f>AU82+IF(AND($E83&lt;&gt;"",$E83&lt;=AU$2,$F83&gt;=AU$2),1,0)</f>
        <v/>
      </c>
      <c r="AV83">
        <f>AV82+IF(AND($E83&lt;&gt;"",$E83&lt;=AV$2,$F83&gt;=AV$2),1,0)</f>
        <v/>
      </c>
      <c r="AW83">
        <f>AW82+IF(AND($E83&lt;&gt;"",$E83&lt;=AW$2,$F83&gt;=AW$2),1,0)</f>
        <v/>
      </c>
    </row>
    <row r="84">
      <c r="A84">
        <f>IF(AND(ISNUMBER(Events!$A86),ISNUMBER(Events!$B86)),MAX(0,Events!$B86-Events!$A86),0)</f>
        <v/>
      </c>
      <c r="B84">
        <f>IF(ISNUMBER(Events!$A86),DATE(YEAR($B$1)-1,MONTH(Events!$A86),DAY(Events!$A86)),"")</f>
        <v/>
      </c>
      <c r="C84">
        <f>IF(ISNUMBER(Events!$A86),DATE(YEAR($B$1),MONTH(Events!$A86),DAY(Events!$A86)),"")</f>
        <v/>
      </c>
      <c r="D84">
        <f>IF(ISNUMBER(Events!$A86),DATE(YEAR($B$2),MONTH(Events!$A86),DAY(Events!$A86)),"")</f>
        <v/>
      </c>
      <c r="E84">
        <f>IF(OR(NOT(ISNUMBER(Events!$A86)),Events!$G86="No",Calendar!$H$4="None"),"",IF(OR(Calendar!$H$4="All events",Events!$D86=Calendar!$H$4),IF(Events!$E86="Yes",IF(AND(B84&gt;=Events!$A86,B84&lt;=$B$2,B84+$A84&gt;=$B$1),B84,IF(AND(C84&gt;=Events!$A86,C84&lt;=$B$2,C84+$A84&gt;=$B$1),C84,IF(AND(D84&gt;=Events!$A86,D84&lt;=$B$2,D84+$A84&gt;=$B$1),D84,""))),IF(AND(Events!$A86&lt;=$B$2,Events!$A86+$A84&gt;=$B$1),Events!$A86,"")),""))</f>
        <v/>
      </c>
      <c r="F84">
        <f>IF(E84="","",E84+A84)</f>
        <v/>
      </c>
      <c r="G84">
        <f>IF(E84="","",IF(AND(E84&lt;=EOMONTH(Calendar!$K$2,0),F84&gt;=Calendar!$K$2),E84+81/100000,""))</f>
        <v/>
      </c>
      <c r="H84">
        <f>H83+IF(AND($E84&lt;&gt;"",$E84&lt;=H$2,$F84&gt;=H$2),1,0)</f>
        <v/>
      </c>
      <c r="I84">
        <f>I83+IF(AND($E84&lt;&gt;"",$E84&lt;=I$2,$F84&gt;=I$2),1,0)</f>
        <v/>
      </c>
      <c r="J84">
        <f>J83+IF(AND($E84&lt;&gt;"",$E84&lt;=J$2,$F84&gt;=J$2),1,0)</f>
        <v/>
      </c>
      <c r="K84">
        <f>K83+IF(AND($E84&lt;&gt;"",$E84&lt;=K$2,$F84&gt;=K$2),1,0)</f>
        <v/>
      </c>
      <c r="L84">
        <f>L83+IF(AND($E84&lt;&gt;"",$E84&lt;=L$2,$F84&gt;=L$2),1,0)</f>
        <v/>
      </c>
      <c r="M84">
        <f>M83+IF(AND($E84&lt;&gt;"",$E84&lt;=M$2,$F84&gt;=M$2),1,0)</f>
        <v/>
      </c>
      <c r="N84">
        <f>N83+IF(AND($E84&lt;&gt;"",$E84&lt;=N$2,$F84&gt;=N$2),1,0)</f>
        <v/>
      </c>
      <c r="O84">
        <f>O83+IF(AND($E84&lt;&gt;"",$E84&lt;=O$2,$F84&gt;=O$2),1,0)</f>
        <v/>
      </c>
      <c r="P84">
        <f>P83+IF(AND($E84&lt;&gt;"",$E84&lt;=P$2,$F84&gt;=P$2),1,0)</f>
        <v/>
      </c>
      <c r="Q84">
        <f>Q83+IF(AND($E84&lt;&gt;"",$E84&lt;=Q$2,$F84&gt;=Q$2),1,0)</f>
        <v/>
      </c>
      <c r="R84">
        <f>R83+IF(AND($E84&lt;&gt;"",$E84&lt;=R$2,$F84&gt;=R$2),1,0)</f>
        <v/>
      </c>
      <c r="S84">
        <f>S83+IF(AND($E84&lt;&gt;"",$E84&lt;=S$2,$F84&gt;=S$2),1,0)</f>
        <v/>
      </c>
      <c r="T84">
        <f>T83+IF(AND($E84&lt;&gt;"",$E84&lt;=T$2,$F84&gt;=T$2),1,0)</f>
        <v/>
      </c>
      <c r="U84">
        <f>U83+IF(AND($E84&lt;&gt;"",$E84&lt;=U$2,$F84&gt;=U$2),1,0)</f>
        <v/>
      </c>
      <c r="V84">
        <f>V83+IF(AND($E84&lt;&gt;"",$E84&lt;=V$2,$F84&gt;=V$2),1,0)</f>
        <v/>
      </c>
      <c r="W84">
        <f>W83+IF(AND($E84&lt;&gt;"",$E84&lt;=W$2,$F84&gt;=W$2),1,0)</f>
        <v/>
      </c>
      <c r="X84">
        <f>X83+IF(AND($E84&lt;&gt;"",$E84&lt;=X$2,$F84&gt;=X$2),1,0)</f>
        <v/>
      </c>
      <c r="Y84">
        <f>Y83+IF(AND($E84&lt;&gt;"",$E84&lt;=Y$2,$F84&gt;=Y$2),1,0)</f>
        <v/>
      </c>
      <c r="Z84">
        <f>Z83+IF(AND($E84&lt;&gt;"",$E84&lt;=Z$2,$F84&gt;=Z$2),1,0)</f>
        <v/>
      </c>
      <c r="AA84">
        <f>AA83+IF(AND($E84&lt;&gt;"",$E84&lt;=AA$2,$F84&gt;=AA$2),1,0)</f>
        <v/>
      </c>
      <c r="AB84">
        <f>AB83+IF(AND($E84&lt;&gt;"",$E84&lt;=AB$2,$F84&gt;=AB$2),1,0)</f>
        <v/>
      </c>
      <c r="AC84">
        <f>AC83+IF(AND($E84&lt;&gt;"",$E84&lt;=AC$2,$F84&gt;=AC$2),1,0)</f>
        <v/>
      </c>
      <c r="AD84">
        <f>AD83+IF(AND($E84&lt;&gt;"",$E84&lt;=AD$2,$F84&gt;=AD$2),1,0)</f>
        <v/>
      </c>
      <c r="AE84">
        <f>AE83+IF(AND($E84&lt;&gt;"",$E84&lt;=AE$2,$F84&gt;=AE$2),1,0)</f>
        <v/>
      </c>
      <c r="AF84">
        <f>AF83+IF(AND($E84&lt;&gt;"",$E84&lt;=AF$2,$F84&gt;=AF$2),1,0)</f>
        <v/>
      </c>
      <c r="AG84">
        <f>AG83+IF(AND($E84&lt;&gt;"",$E84&lt;=AG$2,$F84&gt;=AG$2),1,0)</f>
        <v/>
      </c>
      <c r="AH84">
        <f>AH83+IF(AND($E84&lt;&gt;"",$E84&lt;=AH$2,$F84&gt;=AH$2),1,0)</f>
        <v/>
      </c>
      <c r="AI84">
        <f>AI83+IF(AND($E84&lt;&gt;"",$E84&lt;=AI$2,$F84&gt;=AI$2),1,0)</f>
        <v/>
      </c>
      <c r="AJ84">
        <f>AJ83+IF(AND($E84&lt;&gt;"",$E84&lt;=AJ$2,$F84&gt;=AJ$2),1,0)</f>
        <v/>
      </c>
      <c r="AK84">
        <f>AK83+IF(AND($E84&lt;&gt;"",$E84&lt;=AK$2,$F84&gt;=AK$2),1,0)</f>
        <v/>
      </c>
      <c r="AL84">
        <f>AL83+IF(AND($E84&lt;&gt;"",$E84&lt;=AL$2,$F84&gt;=AL$2),1,0)</f>
        <v/>
      </c>
      <c r="AM84">
        <f>AM83+IF(AND($E84&lt;&gt;"",$E84&lt;=AM$2,$F84&gt;=AM$2),1,0)</f>
        <v/>
      </c>
      <c r="AN84">
        <f>AN83+IF(AND($E84&lt;&gt;"",$E84&lt;=AN$2,$F84&gt;=AN$2),1,0)</f>
        <v/>
      </c>
      <c r="AO84">
        <f>AO83+IF(AND($E84&lt;&gt;"",$E84&lt;=AO$2,$F84&gt;=AO$2),1,0)</f>
        <v/>
      </c>
      <c r="AP84">
        <f>AP83+IF(AND($E84&lt;&gt;"",$E84&lt;=AP$2,$F84&gt;=AP$2),1,0)</f>
        <v/>
      </c>
      <c r="AQ84">
        <f>AQ83+IF(AND($E84&lt;&gt;"",$E84&lt;=AQ$2,$F84&gt;=AQ$2),1,0)</f>
        <v/>
      </c>
      <c r="AR84">
        <f>AR83+IF(AND($E84&lt;&gt;"",$E84&lt;=AR$2,$F84&gt;=AR$2),1,0)</f>
        <v/>
      </c>
      <c r="AS84">
        <f>AS83+IF(AND($E84&lt;&gt;"",$E84&lt;=AS$2,$F84&gt;=AS$2),1,0)</f>
        <v/>
      </c>
      <c r="AT84">
        <f>AT83+IF(AND($E84&lt;&gt;"",$E84&lt;=AT$2,$F84&gt;=AT$2),1,0)</f>
        <v/>
      </c>
      <c r="AU84">
        <f>AU83+IF(AND($E84&lt;&gt;"",$E84&lt;=AU$2,$F84&gt;=AU$2),1,0)</f>
        <v/>
      </c>
      <c r="AV84">
        <f>AV83+IF(AND($E84&lt;&gt;"",$E84&lt;=AV$2,$F84&gt;=AV$2),1,0)</f>
        <v/>
      </c>
      <c r="AW84">
        <f>AW83+IF(AND($E84&lt;&gt;"",$E84&lt;=AW$2,$F84&gt;=AW$2),1,0)</f>
        <v/>
      </c>
    </row>
    <row r="85">
      <c r="A85">
        <f>IF(AND(ISNUMBER(Events!$A87),ISNUMBER(Events!$B87)),MAX(0,Events!$B87-Events!$A87),0)</f>
        <v/>
      </c>
      <c r="B85">
        <f>IF(ISNUMBER(Events!$A87),DATE(YEAR($B$1)-1,MONTH(Events!$A87),DAY(Events!$A87)),"")</f>
        <v/>
      </c>
      <c r="C85">
        <f>IF(ISNUMBER(Events!$A87),DATE(YEAR($B$1),MONTH(Events!$A87),DAY(Events!$A87)),"")</f>
        <v/>
      </c>
      <c r="D85">
        <f>IF(ISNUMBER(Events!$A87),DATE(YEAR($B$2),MONTH(Events!$A87),DAY(Events!$A87)),"")</f>
        <v/>
      </c>
      <c r="E85">
        <f>IF(OR(NOT(ISNUMBER(Events!$A87)),Events!$G87="No",Calendar!$H$4="None"),"",IF(OR(Calendar!$H$4="All events",Events!$D87=Calendar!$H$4),IF(Events!$E87="Yes",IF(AND(B85&gt;=Events!$A87,B85&lt;=$B$2,B85+$A85&gt;=$B$1),B85,IF(AND(C85&gt;=Events!$A87,C85&lt;=$B$2,C85+$A85&gt;=$B$1),C85,IF(AND(D85&gt;=Events!$A87,D85&lt;=$B$2,D85+$A85&gt;=$B$1),D85,""))),IF(AND(Events!$A87&lt;=$B$2,Events!$A87+$A85&gt;=$B$1),Events!$A87,"")),""))</f>
        <v/>
      </c>
      <c r="F85">
        <f>IF(E85="","",E85+A85)</f>
        <v/>
      </c>
      <c r="G85">
        <f>IF(E85="","",IF(AND(E85&lt;=EOMONTH(Calendar!$K$2,0),F85&gt;=Calendar!$K$2),E85+82/100000,""))</f>
        <v/>
      </c>
      <c r="H85">
        <f>H84+IF(AND($E85&lt;&gt;"",$E85&lt;=H$2,$F85&gt;=H$2),1,0)</f>
        <v/>
      </c>
      <c r="I85">
        <f>I84+IF(AND($E85&lt;&gt;"",$E85&lt;=I$2,$F85&gt;=I$2),1,0)</f>
        <v/>
      </c>
      <c r="J85">
        <f>J84+IF(AND($E85&lt;&gt;"",$E85&lt;=J$2,$F85&gt;=J$2),1,0)</f>
        <v/>
      </c>
      <c r="K85">
        <f>K84+IF(AND($E85&lt;&gt;"",$E85&lt;=K$2,$F85&gt;=K$2),1,0)</f>
        <v/>
      </c>
      <c r="L85">
        <f>L84+IF(AND($E85&lt;&gt;"",$E85&lt;=L$2,$F85&gt;=L$2),1,0)</f>
        <v/>
      </c>
      <c r="M85">
        <f>M84+IF(AND($E85&lt;&gt;"",$E85&lt;=M$2,$F85&gt;=M$2),1,0)</f>
        <v/>
      </c>
      <c r="N85">
        <f>N84+IF(AND($E85&lt;&gt;"",$E85&lt;=N$2,$F85&gt;=N$2),1,0)</f>
        <v/>
      </c>
      <c r="O85">
        <f>O84+IF(AND($E85&lt;&gt;"",$E85&lt;=O$2,$F85&gt;=O$2),1,0)</f>
        <v/>
      </c>
      <c r="P85">
        <f>P84+IF(AND($E85&lt;&gt;"",$E85&lt;=P$2,$F85&gt;=P$2),1,0)</f>
        <v/>
      </c>
      <c r="Q85">
        <f>Q84+IF(AND($E85&lt;&gt;"",$E85&lt;=Q$2,$F85&gt;=Q$2),1,0)</f>
        <v/>
      </c>
      <c r="R85">
        <f>R84+IF(AND($E85&lt;&gt;"",$E85&lt;=R$2,$F85&gt;=R$2),1,0)</f>
        <v/>
      </c>
      <c r="S85">
        <f>S84+IF(AND($E85&lt;&gt;"",$E85&lt;=S$2,$F85&gt;=S$2),1,0)</f>
        <v/>
      </c>
      <c r="T85">
        <f>T84+IF(AND($E85&lt;&gt;"",$E85&lt;=T$2,$F85&gt;=T$2),1,0)</f>
        <v/>
      </c>
      <c r="U85">
        <f>U84+IF(AND($E85&lt;&gt;"",$E85&lt;=U$2,$F85&gt;=U$2),1,0)</f>
        <v/>
      </c>
      <c r="V85">
        <f>V84+IF(AND($E85&lt;&gt;"",$E85&lt;=V$2,$F85&gt;=V$2),1,0)</f>
        <v/>
      </c>
      <c r="W85">
        <f>W84+IF(AND($E85&lt;&gt;"",$E85&lt;=W$2,$F85&gt;=W$2),1,0)</f>
        <v/>
      </c>
      <c r="X85">
        <f>X84+IF(AND($E85&lt;&gt;"",$E85&lt;=X$2,$F85&gt;=X$2),1,0)</f>
        <v/>
      </c>
      <c r="Y85">
        <f>Y84+IF(AND($E85&lt;&gt;"",$E85&lt;=Y$2,$F85&gt;=Y$2),1,0)</f>
        <v/>
      </c>
      <c r="Z85">
        <f>Z84+IF(AND($E85&lt;&gt;"",$E85&lt;=Z$2,$F85&gt;=Z$2),1,0)</f>
        <v/>
      </c>
      <c r="AA85">
        <f>AA84+IF(AND($E85&lt;&gt;"",$E85&lt;=AA$2,$F85&gt;=AA$2),1,0)</f>
        <v/>
      </c>
      <c r="AB85">
        <f>AB84+IF(AND($E85&lt;&gt;"",$E85&lt;=AB$2,$F85&gt;=AB$2),1,0)</f>
        <v/>
      </c>
      <c r="AC85">
        <f>AC84+IF(AND($E85&lt;&gt;"",$E85&lt;=AC$2,$F85&gt;=AC$2),1,0)</f>
        <v/>
      </c>
      <c r="AD85">
        <f>AD84+IF(AND($E85&lt;&gt;"",$E85&lt;=AD$2,$F85&gt;=AD$2),1,0)</f>
        <v/>
      </c>
      <c r="AE85">
        <f>AE84+IF(AND($E85&lt;&gt;"",$E85&lt;=AE$2,$F85&gt;=AE$2),1,0)</f>
        <v/>
      </c>
      <c r="AF85">
        <f>AF84+IF(AND($E85&lt;&gt;"",$E85&lt;=AF$2,$F85&gt;=AF$2),1,0)</f>
        <v/>
      </c>
      <c r="AG85">
        <f>AG84+IF(AND($E85&lt;&gt;"",$E85&lt;=AG$2,$F85&gt;=AG$2),1,0)</f>
        <v/>
      </c>
      <c r="AH85">
        <f>AH84+IF(AND($E85&lt;&gt;"",$E85&lt;=AH$2,$F85&gt;=AH$2),1,0)</f>
        <v/>
      </c>
      <c r="AI85">
        <f>AI84+IF(AND($E85&lt;&gt;"",$E85&lt;=AI$2,$F85&gt;=AI$2),1,0)</f>
        <v/>
      </c>
      <c r="AJ85">
        <f>AJ84+IF(AND($E85&lt;&gt;"",$E85&lt;=AJ$2,$F85&gt;=AJ$2),1,0)</f>
        <v/>
      </c>
      <c r="AK85">
        <f>AK84+IF(AND($E85&lt;&gt;"",$E85&lt;=AK$2,$F85&gt;=AK$2),1,0)</f>
        <v/>
      </c>
      <c r="AL85">
        <f>AL84+IF(AND($E85&lt;&gt;"",$E85&lt;=AL$2,$F85&gt;=AL$2),1,0)</f>
        <v/>
      </c>
      <c r="AM85">
        <f>AM84+IF(AND($E85&lt;&gt;"",$E85&lt;=AM$2,$F85&gt;=AM$2),1,0)</f>
        <v/>
      </c>
      <c r="AN85">
        <f>AN84+IF(AND($E85&lt;&gt;"",$E85&lt;=AN$2,$F85&gt;=AN$2),1,0)</f>
        <v/>
      </c>
      <c r="AO85">
        <f>AO84+IF(AND($E85&lt;&gt;"",$E85&lt;=AO$2,$F85&gt;=AO$2),1,0)</f>
        <v/>
      </c>
      <c r="AP85">
        <f>AP84+IF(AND($E85&lt;&gt;"",$E85&lt;=AP$2,$F85&gt;=AP$2),1,0)</f>
        <v/>
      </c>
      <c r="AQ85">
        <f>AQ84+IF(AND($E85&lt;&gt;"",$E85&lt;=AQ$2,$F85&gt;=AQ$2),1,0)</f>
        <v/>
      </c>
      <c r="AR85">
        <f>AR84+IF(AND($E85&lt;&gt;"",$E85&lt;=AR$2,$F85&gt;=AR$2),1,0)</f>
        <v/>
      </c>
      <c r="AS85">
        <f>AS84+IF(AND($E85&lt;&gt;"",$E85&lt;=AS$2,$F85&gt;=AS$2),1,0)</f>
        <v/>
      </c>
      <c r="AT85">
        <f>AT84+IF(AND($E85&lt;&gt;"",$E85&lt;=AT$2,$F85&gt;=AT$2),1,0)</f>
        <v/>
      </c>
      <c r="AU85">
        <f>AU84+IF(AND($E85&lt;&gt;"",$E85&lt;=AU$2,$F85&gt;=AU$2),1,0)</f>
        <v/>
      </c>
      <c r="AV85">
        <f>AV84+IF(AND($E85&lt;&gt;"",$E85&lt;=AV$2,$F85&gt;=AV$2),1,0)</f>
        <v/>
      </c>
      <c r="AW85">
        <f>AW84+IF(AND($E85&lt;&gt;"",$E85&lt;=AW$2,$F85&gt;=AW$2),1,0)</f>
        <v/>
      </c>
    </row>
    <row r="86">
      <c r="A86">
        <f>IF(AND(ISNUMBER(Events!$A88),ISNUMBER(Events!$B88)),MAX(0,Events!$B88-Events!$A88),0)</f>
        <v/>
      </c>
      <c r="B86">
        <f>IF(ISNUMBER(Events!$A88),DATE(YEAR($B$1)-1,MONTH(Events!$A88),DAY(Events!$A88)),"")</f>
        <v/>
      </c>
      <c r="C86">
        <f>IF(ISNUMBER(Events!$A88),DATE(YEAR($B$1),MONTH(Events!$A88),DAY(Events!$A88)),"")</f>
        <v/>
      </c>
      <c r="D86">
        <f>IF(ISNUMBER(Events!$A88),DATE(YEAR($B$2),MONTH(Events!$A88),DAY(Events!$A88)),"")</f>
        <v/>
      </c>
      <c r="E86">
        <f>IF(OR(NOT(ISNUMBER(Events!$A88)),Events!$G88="No",Calendar!$H$4="None"),"",IF(OR(Calendar!$H$4="All events",Events!$D88=Calendar!$H$4),IF(Events!$E88="Yes",IF(AND(B86&gt;=Events!$A88,B86&lt;=$B$2,B86+$A86&gt;=$B$1),B86,IF(AND(C86&gt;=Events!$A88,C86&lt;=$B$2,C86+$A86&gt;=$B$1),C86,IF(AND(D86&gt;=Events!$A88,D86&lt;=$B$2,D86+$A86&gt;=$B$1),D86,""))),IF(AND(Events!$A88&lt;=$B$2,Events!$A88+$A86&gt;=$B$1),Events!$A88,"")),""))</f>
        <v/>
      </c>
      <c r="F86">
        <f>IF(E86="","",E86+A86)</f>
        <v/>
      </c>
      <c r="G86">
        <f>IF(E86="","",IF(AND(E86&lt;=EOMONTH(Calendar!$K$2,0),F86&gt;=Calendar!$K$2),E86+83/100000,""))</f>
        <v/>
      </c>
      <c r="H86">
        <f>H85+IF(AND($E86&lt;&gt;"",$E86&lt;=H$2,$F86&gt;=H$2),1,0)</f>
        <v/>
      </c>
      <c r="I86">
        <f>I85+IF(AND($E86&lt;&gt;"",$E86&lt;=I$2,$F86&gt;=I$2),1,0)</f>
        <v/>
      </c>
      <c r="J86">
        <f>J85+IF(AND($E86&lt;&gt;"",$E86&lt;=J$2,$F86&gt;=J$2),1,0)</f>
        <v/>
      </c>
      <c r="K86">
        <f>K85+IF(AND($E86&lt;&gt;"",$E86&lt;=K$2,$F86&gt;=K$2),1,0)</f>
        <v/>
      </c>
      <c r="L86">
        <f>L85+IF(AND($E86&lt;&gt;"",$E86&lt;=L$2,$F86&gt;=L$2),1,0)</f>
        <v/>
      </c>
      <c r="M86">
        <f>M85+IF(AND($E86&lt;&gt;"",$E86&lt;=M$2,$F86&gt;=M$2),1,0)</f>
        <v/>
      </c>
      <c r="N86">
        <f>N85+IF(AND($E86&lt;&gt;"",$E86&lt;=N$2,$F86&gt;=N$2),1,0)</f>
        <v/>
      </c>
      <c r="O86">
        <f>O85+IF(AND($E86&lt;&gt;"",$E86&lt;=O$2,$F86&gt;=O$2),1,0)</f>
        <v/>
      </c>
      <c r="P86">
        <f>P85+IF(AND($E86&lt;&gt;"",$E86&lt;=P$2,$F86&gt;=P$2),1,0)</f>
        <v/>
      </c>
      <c r="Q86">
        <f>Q85+IF(AND($E86&lt;&gt;"",$E86&lt;=Q$2,$F86&gt;=Q$2),1,0)</f>
        <v/>
      </c>
      <c r="R86">
        <f>R85+IF(AND($E86&lt;&gt;"",$E86&lt;=R$2,$F86&gt;=R$2),1,0)</f>
        <v/>
      </c>
      <c r="S86">
        <f>S85+IF(AND($E86&lt;&gt;"",$E86&lt;=S$2,$F86&gt;=S$2),1,0)</f>
        <v/>
      </c>
      <c r="T86">
        <f>T85+IF(AND($E86&lt;&gt;"",$E86&lt;=T$2,$F86&gt;=T$2),1,0)</f>
        <v/>
      </c>
      <c r="U86">
        <f>U85+IF(AND($E86&lt;&gt;"",$E86&lt;=U$2,$F86&gt;=U$2),1,0)</f>
        <v/>
      </c>
      <c r="V86">
        <f>V85+IF(AND($E86&lt;&gt;"",$E86&lt;=V$2,$F86&gt;=V$2),1,0)</f>
        <v/>
      </c>
      <c r="W86">
        <f>W85+IF(AND($E86&lt;&gt;"",$E86&lt;=W$2,$F86&gt;=W$2),1,0)</f>
        <v/>
      </c>
      <c r="X86">
        <f>X85+IF(AND($E86&lt;&gt;"",$E86&lt;=X$2,$F86&gt;=X$2),1,0)</f>
        <v/>
      </c>
      <c r="Y86">
        <f>Y85+IF(AND($E86&lt;&gt;"",$E86&lt;=Y$2,$F86&gt;=Y$2),1,0)</f>
        <v/>
      </c>
      <c r="Z86">
        <f>Z85+IF(AND($E86&lt;&gt;"",$E86&lt;=Z$2,$F86&gt;=Z$2),1,0)</f>
        <v/>
      </c>
      <c r="AA86">
        <f>AA85+IF(AND($E86&lt;&gt;"",$E86&lt;=AA$2,$F86&gt;=AA$2),1,0)</f>
        <v/>
      </c>
      <c r="AB86">
        <f>AB85+IF(AND($E86&lt;&gt;"",$E86&lt;=AB$2,$F86&gt;=AB$2),1,0)</f>
        <v/>
      </c>
      <c r="AC86">
        <f>AC85+IF(AND($E86&lt;&gt;"",$E86&lt;=AC$2,$F86&gt;=AC$2),1,0)</f>
        <v/>
      </c>
      <c r="AD86">
        <f>AD85+IF(AND($E86&lt;&gt;"",$E86&lt;=AD$2,$F86&gt;=AD$2),1,0)</f>
        <v/>
      </c>
      <c r="AE86">
        <f>AE85+IF(AND($E86&lt;&gt;"",$E86&lt;=AE$2,$F86&gt;=AE$2),1,0)</f>
        <v/>
      </c>
      <c r="AF86">
        <f>AF85+IF(AND($E86&lt;&gt;"",$E86&lt;=AF$2,$F86&gt;=AF$2),1,0)</f>
        <v/>
      </c>
      <c r="AG86">
        <f>AG85+IF(AND($E86&lt;&gt;"",$E86&lt;=AG$2,$F86&gt;=AG$2),1,0)</f>
        <v/>
      </c>
      <c r="AH86">
        <f>AH85+IF(AND($E86&lt;&gt;"",$E86&lt;=AH$2,$F86&gt;=AH$2),1,0)</f>
        <v/>
      </c>
      <c r="AI86">
        <f>AI85+IF(AND($E86&lt;&gt;"",$E86&lt;=AI$2,$F86&gt;=AI$2),1,0)</f>
        <v/>
      </c>
      <c r="AJ86">
        <f>AJ85+IF(AND($E86&lt;&gt;"",$E86&lt;=AJ$2,$F86&gt;=AJ$2),1,0)</f>
        <v/>
      </c>
      <c r="AK86">
        <f>AK85+IF(AND($E86&lt;&gt;"",$E86&lt;=AK$2,$F86&gt;=AK$2),1,0)</f>
        <v/>
      </c>
      <c r="AL86">
        <f>AL85+IF(AND($E86&lt;&gt;"",$E86&lt;=AL$2,$F86&gt;=AL$2),1,0)</f>
        <v/>
      </c>
      <c r="AM86">
        <f>AM85+IF(AND($E86&lt;&gt;"",$E86&lt;=AM$2,$F86&gt;=AM$2),1,0)</f>
        <v/>
      </c>
      <c r="AN86">
        <f>AN85+IF(AND($E86&lt;&gt;"",$E86&lt;=AN$2,$F86&gt;=AN$2),1,0)</f>
        <v/>
      </c>
      <c r="AO86">
        <f>AO85+IF(AND($E86&lt;&gt;"",$E86&lt;=AO$2,$F86&gt;=AO$2),1,0)</f>
        <v/>
      </c>
      <c r="AP86">
        <f>AP85+IF(AND($E86&lt;&gt;"",$E86&lt;=AP$2,$F86&gt;=AP$2),1,0)</f>
        <v/>
      </c>
      <c r="AQ86">
        <f>AQ85+IF(AND($E86&lt;&gt;"",$E86&lt;=AQ$2,$F86&gt;=AQ$2),1,0)</f>
        <v/>
      </c>
      <c r="AR86">
        <f>AR85+IF(AND($E86&lt;&gt;"",$E86&lt;=AR$2,$F86&gt;=AR$2),1,0)</f>
        <v/>
      </c>
      <c r="AS86">
        <f>AS85+IF(AND($E86&lt;&gt;"",$E86&lt;=AS$2,$F86&gt;=AS$2),1,0)</f>
        <v/>
      </c>
      <c r="AT86">
        <f>AT85+IF(AND($E86&lt;&gt;"",$E86&lt;=AT$2,$F86&gt;=AT$2),1,0)</f>
        <v/>
      </c>
      <c r="AU86">
        <f>AU85+IF(AND($E86&lt;&gt;"",$E86&lt;=AU$2,$F86&gt;=AU$2),1,0)</f>
        <v/>
      </c>
      <c r="AV86">
        <f>AV85+IF(AND($E86&lt;&gt;"",$E86&lt;=AV$2,$F86&gt;=AV$2),1,0)</f>
        <v/>
      </c>
      <c r="AW86">
        <f>AW85+IF(AND($E86&lt;&gt;"",$E86&lt;=AW$2,$F86&gt;=AW$2),1,0)</f>
        <v/>
      </c>
    </row>
    <row r="87">
      <c r="A87">
        <f>IF(AND(ISNUMBER(Events!$A89),ISNUMBER(Events!$B89)),MAX(0,Events!$B89-Events!$A89),0)</f>
        <v/>
      </c>
      <c r="B87">
        <f>IF(ISNUMBER(Events!$A89),DATE(YEAR($B$1)-1,MONTH(Events!$A89),DAY(Events!$A89)),"")</f>
        <v/>
      </c>
      <c r="C87">
        <f>IF(ISNUMBER(Events!$A89),DATE(YEAR($B$1),MONTH(Events!$A89),DAY(Events!$A89)),"")</f>
        <v/>
      </c>
      <c r="D87">
        <f>IF(ISNUMBER(Events!$A89),DATE(YEAR($B$2),MONTH(Events!$A89),DAY(Events!$A89)),"")</f>
        <v/>
      </c>
      <c r="E87">
        <f>IF(OR(NOT(ISNUMBER(Events!$A89)),Events!$G89="No",Calendar!$H$4="None"),"",IF(OR(Calendar!$H$4="All events",Events!$D89=Calendar!$H$4),IF(Events!$E89="Yes",IF(AND(B87&gt;=Events!$A89,B87&lt;=$B$2,B87+$A87&gt;=$B$1),B87,IF(AND(C87&gt;=Events!$A89,C87&lt;=$B$2,C87+$A87&gt;=$B$1),C87,IF(AND(D87&gt;=Events!$A89,D87&lt;=$B$2,D87+$A87&gt;=$B$1),D87,""))),IF(AND(Events!$A89&lt;=$B$2,Events!$A89+$A87&gt;=$B$1),Events!$A89,"")),""))</f>
        <v/>
      </c>
      <c r="F87">
        <f>IF(E87="","",E87+A87)</f>
        <v/>
      </c>
      <c r="G87">
        <f>IF(E87="","",IF(AND(E87&lt;=EOMONTH(Calendar!$K$2,0),F87&gt;=Calendar!$K$2),E87+84/100000,""))</f>
        <v/>
      </c>
      <c r="H87">
        <f>H86+IF(AND($E87&lt;&gt;"",$E87&lt;=H$2,$F87&gt;=H$2),1,0)</f>
        <v/>
      </c>
      <c r="I87">
        <f>I86+IF(AND($E87&lt;&gt;"",$E87&lt;=I$2,$F87&gt;=I$2),1,0)</f>
        <v/>
      </c>
      <c r="J87">
        <f>J86+IF(AND($E87&lt;&gt;"",$E87&lt;=J$2,$F87&gt;=J$2),1,0)</f>
        <v/>
      </c>
      <c r="K87">
        <f>K86+IF(AND($E87&lt;&gt;"",$E87&lt;=K$2,$F87&gt;=K$2),1,0)</f>
        <v/>
      </c>
      <c r="L87">
        <f>L86+IF(AND($E87&lt;&gt;"",$E87&lt;=L$2,$F87&gt;=L$2),1,0)</f>
        <v/>
      </c>
      <c r="M87">
        <f>M86+IF(AND($E87&lt;&gt;"",$E87&lt;=M$2,$F87&gt;=M$2),1,0)</f>
        <v/>
      </c>
      <c r="N87">
        <f>N86+IF(AND($E87&lt;&gt;"",$E87&lt;=N$2,$F87&gt;=N$2),1,0)</f>
        <v/>
      </c>
      <c r="O87">
        <f>O86+IF(AND($E87&lt;&gt;"",$E87&lt;=O$2,$F87&gt;=O$2),1,0)</f>
        <v/>
      </c>
      <c r="P87">
        <f>P86+IF(AND($E87&lt;&gt;"",$E87&lt;=P$2,$F87&gt;=P$2),1,0)</f>
        <v/>
      </c>
      <c r="Q87">
        <f>Q86+IF(AND($E87&lt;&gt;"",$E87&lt;=Q$2,$F87&gt;=Q$2),1,0)</f>
        <v/>
      </c>
      <c r="R87">
        <f>R86+IF(AND($E87&lt;&gt;"",$E87&lt;=R$2,$F87&gt;=R$2),1,0)</f>
        <v/>
      </c>
      <c r="S87">
        <f>S86+IF(AND($E87&lt;&gt;"",$E87&lt;=S$2,$F87&gt;=S$2),1,0)</f>
        <v/>
      </c>
      <c r="T87">
        <f>T86+IF(AND($E87&lt;&gt;"",$E87&lt;=T$2,$F87&gt;=T$2),1,0)</f>
        <v/>
      </c>
      <c r="U87">
        <f>U86+IF(AND($E87&lt;&gt;"",$E87&lt;=U$2,$F87&gt;=U$2),1,0)</f>
        <v/>
      </c>
      <c r="V87">
        <f>V86+IF(AND($E87&lt;&gt;"",$E87&lt;=V$2,$F87&gt;=V$2),1,0)</f>
        <v/>
      </c>
      <c r="W87">
        <f>W86+IF(AND($E87&lt;&gt;"",$E87&lt;=W$2,$F87&gt;=W$2),1,0)</f>
        <v/>
      </c>
      <c r="X87">
        <f>X86+IF(AND($E87&lt;&gt;"",$E87&lt;=X$2,$F87&gt;=X$2),1,0)</f>
        <v/>
      </c>
      <c r="Y87">
        <f>Y86+IF(AND($E87&lt;&gt;"",$E87&lt;=Y$2,$F87&gt;=Y$2),1,0)</f>
        <v/>
      </c>
      <c r="Z87">
        <f>Z86+IF(AND($E87&lt;&gt;"",$E87&lt;=Z$2,$F87&gt;=Z$2),1,0)</f>
        <v/>
      </c>
      <c r="AA87">
        <f>AA86+IF(AND($E87&lt;&gt;"",$E87&lt;=AA$2,$F87&gt;=AA$2),1,0)</f>
        <v/>
      </c>
      <c r="AB87">
        <f>AB86+IF(AND($E87&lt;&gt;"",$E87&lt;=AB$2,$F87&gt;=AB$2),1,0)</f>
        <v/>
      </c>
      <c r="AC87">
        <f>AC86+IF(AND($E87&lt;&gt;"",$E87&lt;=AC$2,$F87&gt;=AC$2),1,0)</f>
        <v/>
      </c>
      <c r="AD87">
        <f>AD86+IF(AND($E87&lt;&gt;"",$E87&lt;=AD$2,$F87&gt;=AD$2),1,0)</f>
        <v/>
      </c>
      <c r="AE87">
        <f>AE86+IF(AND($E87&lt;&gt;"",$E87&lt;=AE$2,$F87&gt;=AE$2),1,0)</f>
        <v/>
      </c>
      <c r="AF87">
        <f>AF86+IF(AND($E87&lt;&gt;"",$E87&lt;=AF$2,$F87&gt;=AF$2),1,0)</f>
        <v/>
      </c>
      <c r="AG87">
        <f>AG86+IF(AND($E87&lt;&gt;"",$E87&lt;=AG$2,$F87&gt;=AG$2),1,0)</f>
        <v/>
      </c>
      <c r="AH87">
        <f>AH86+IF(AND($E87&lt;&gt;"",$E87&lt;=AH$2,$F87&gt;=AH$2),1,0)</f>
        <v/>
      </c>
      <c r="AI87">
        <f>AI86+IF(AND($E87&lt;&gt;"",$E87&lt;=AI$2,$F87&gt;=AI$2),1,0)</f>
        <v/>
      </c>
      <c r="AJ87">
        <f>AJ86+IF(AND($E87&lt;&gt;"",$E87&lt;=AJ$2,$F87&gt;=AJ$2),1,0)</f>
        <v/>
      </c>
      <c r="AK87">
        <f>AK86+IF(AND($E87&lt;&gt;"",$E87&lt;=AK$2,$F87&gt;=AK$2),1,0)</f>
        <v/>
      </c>
      <c r="AL87">
        <f>AL86+IF(AND($E87&lt;&gt;"",$E87&lt;=AL$2,$F87&gt;=AL$2),1,0)</f>
        <v/>
      </c>
      <c r="AM87">
        <f>AM86+IF(AND($E87&lt;&gt;"",$E87&lt;=AM$2,$F87&gt;=AM$2),1,0)</f>
        <v/>
      </c>
      <c r="AN87">
        <f>AN86+IF(AND($E87&lt;&gt;"",$E87&lt;=AN$2,$F87&gt;=AN$2),1,0)</f>
        <v/>
      </c>
      <c r="AO87">
        <f>AO86+IF(AND($E87&lt;&gt;"",$E87&lt;=AO$2,$F87&gt;=AO$2),1,0)</f>
        <v/>
      </c>
      <c r="AP87">
        <f>AP86+IF(AND($E87&lt;&gt;"",$E87&lt;=AP$2,$F87&gt;=AP$2),1,0)</f>
        <v/>
      </c>
      <c r="AQ87">
        <f>AQ86+IF(AND($E87&lt;&gt;"",$E87&lt;=AQ$2,$F87&gt;=AQ$2),1,0)</f>
        <v/>
      </c>
      <c r="AR87">
        <f>AR86+IF(AND($E87&lt;&gt;"",$E87&lt;=AR$2,$F87&gt;=AR$2),1,0)</f>
        <v/>
      </c>
      <c r="AS87">
        <f>AS86+IF(AND($E87&lt;&gt;"",$E87&lt;=AS$2,$F87&gt;=AS$2),1,0)</f>
        <v/>
      </c>
      <c r="AT87">
        <f>AT86+IF(AND($E87&lt;&gt;"",$E87&lt;=AT$2,$F87&gt;=AT$2),1,0)</f>
        <v/>
      </c>
      <c r="AU87">
        <f>AU86+IF(AND($E87&lt;&gt;"",$E87&lt;=AU$2,$F87&gt;=AU$2),1,0)</f>
        <v/>
      </c>
      <c r="AV87">
        <f>AV86+IF(AND($E87&lt;&gt;"",$E87&lt;=AV$2,$F87&gt;=AV$2),1,0)</f>
        <v/>
      </c>
      <c r="AW87">
        <f>AW86+IF(AND($E87&lt;&gt;"",$E87&lt;=AW$2,$F87&gt;=AW$2),1,0)</f>
        <v/>
      </c>
    </row>
    <row r="88">
      <c r="A88">
        <f>IF(AND(ISNUMBER(Events!$A90),ISNUMBER(Events!$B90)),MAX(0,Events!$B90-Events!$A90),0)</f>
        <v/>
      </c>
      <c r="B88">
        <f>IF(ISNUMBER(Events!$A90),DATE(YEAR($B$1)-1,MONTH(Events!$A90),DAY(Events!$A90)),"")</f>
        <v/>
      </c>
      <c r="C88">
        <f>IF(ISNUMBER(Events!$A90),DATE(YEAR($B$1),MONTH(Events!$A90),DAY(Events!$A90)),"")</f>
        <v/>
      </c>
      <c r="D88">
        <f>IF(ISNUMBER(Events!$A90),DATE(YEAR($B$2),MONTH(Events!$A90),DAY(Events!$A90)),"")</f>
        <v/>
      </c>
      <c r="E88">
        <f>IF(OR(NOT(ISNUMBER(Events!$A90)),Events!$G90="No",Calendar!$H$4="None"),"",IF(OR(Calendar!$H$4="All events",Events!$D90=Calendar!$H$4),IF(Events!$E90="Yes",IF(AND(B88&gt;=Events!$A90,B88&lt;=$B$2,B88+$A88&gt;=$B$1),B88,IF(AND(C88&gt;=Events!$A90,C88&lt;=$B$2,C88+$A88&gt;=$B$1),C88,IF(AND(D88&gt;=Events!$A90,D88&lt;=$B$2,D88+$A88&gt;=$B$1),D88,""))),IF(AND(Events!$A90&lt;=$B$2,Events!$A90+$A88&gt;=$B$1),Events!$A90,"")),""))</f>
        <v/>
      </c>
      <c r="F88">
        <f>IF(E88="","",E88+A88)</f>
        <v/>
      </c>
      <c r="G88">
        <f>IF(E88="","",IF(AND(E88&lt;=EOMONTH(Calendar!$K$2,0),F88&gt;=Calendar!$K$2),E88+85/100000,""))</f>
        <v/>
      </c>
      <c r="H88">
        <f>H87+IF(AND($E88&lt;&gt;"",$E88&lt;=H$2,$F88&gt;=H$2),1,0)</f>
        <v/>
      </c>
      <c r="I88">
        <f>I87+IF(AND($E88&lt;&gt;"",$E88&lt;=I$2,$F88&gt;=I$2),1,0)</f>
        <v/>
      </c>
      <c r="J88">
        <f>J87+IF(AND($E88&lt;&gt;"",$E88&lt;=J$2,$F88&gt;=J$2),1,0)</f>
        <v/>
      </c>
      <c r="K88">
        <f>K87+IF(AND($E88&lt;&gt;"",$E88&lt;=K$2,$F88&gt;=K$2),1,0)</f>
        <v/>
      </c>
      <c r="L88">
        <f>L87+IF(AND($E88&lt;&gt;"",$E88&lt;=L$2,$F88&gt;=L$2),1,0)</f>
        <v/>
      </c>
      <c r="M88">
        <f>M87+IF(AND($E88&lt;&gt;"",$E88&lt;=M$2,$F88&gt;=M$2),1,0)</f>
        <v/>
      </c>
      <c r="N88">
        <f>N87+IF(AND($E88&lt;&gt;"",$E88&lt;=N$2,$F88&gt;=N$2),1,0)</f>
        <v/>
      </c>
      <c r="O88">
        <f>O87+IF(AND($E88&lt;&gt;"",$E88&lt;=O$2,$F88&gt;=O$2),1,0)</f>
        <v/>
      </c>
      <c r="P88">
        <f>P87+IF(AND($E88&lt;&gt;"",$E88&lt;=P$2,$F88&gt;=P$2),1,0)</f>
        <v/>
      </c>
      <c r="Q88">
        <f>Q87+IF(AND($E88&lt;&gt;"",$E88&lt;=Q$2,$F88&gt;=Q$2),1,0)</f>
        <v/>
      </c>
      <c r="R88">
        <f>R87+IF(AND($E88&lt;&gt;"",$E88&lt;=R$2,$F88&gt;=R$2),1,0)</f>
        <v/>
      </c>
      <c r="S88">
        <f>S87+IF(AND($E88&lt;&gt;"",$E88&lt;=S$2,$F88&gt;=S$2),1,0)</f>
        <v/>
      </c>
      <c r="T88">
        <f>T87+IF(AND($E88&lt;&gt;"",$E88&lt;=T$2,$F88&gt;=T$2),1,0)</f>
        <v/>
      </c>
      <c r="U88">
        <f>U87+IF(AND($E88&lt;&gt;"",$E88&lt;=U$2,$F88&gt;=U$2),1,0)</f>
        <v/>
      </c>
      <c r="V88">
        <f>V87+IF(AND($E88&lt;&gt;"",$E88&lt;=V$2,$F88&gt;=V$2),1,0)</f>
        <v/>
      </c>
      <c r="W88">
        <f>W87+IF(AND($E88&lt;&gt;"",$E88&lt;=W$2,$F88&gt;=W$2),1,0)</f>
        <v/>
      </c>
      <c r="X88">
        <f>X87+IF(AND($E88&lt;&gt;"",$E88&lt;=X$2,$F88&gt;=X$2),1,0)</f>
        <v/>
      </c>
      <c r="Y88">
        <f>Y87+IF(AND($E88&lt;&gt;"",$E88&lt;=Y$2,$F88&gt;=Y$2),1,0)</f>
        <v/>
      </c>
      <c r="Z88">
        <f>Z87+IF(AND($E88&lt;&gt;"",$E88&lt;=Z$2,$F88&gt;=Z$2),1,0)</f>
        <v/>
      </c>
      <c r="AA88">
        <f>AA87+IF(AND($E88&lt;&gt;"",$E88&lt;=AA$2,$F88&gt;=AA$2),1,0)</f>
        <v/>
      </c>
      <c r="AB88">
        <f>AB87+IF(AND($E88&lt;&gt;"",$E88&lt;=AB$2,$F88&gt;=AB$2),1,0)</f>
        <v/>
      </c>
      <c r="AC88">
        <f>AC87+IF(AND($E88&lt;&gt;"",$E88&lt;=AC$2,$F88&gt;=AC$2),1,0)</f>
        <v/>
      </c>
      <c r="AD88">
        <f>AD87+IF(AND($E88&lt;&gt;"",$E88&lt;=AD$2,$F88&gt;=AD$2),1,0)</f>
        <v/>
      </c>
      <c r="AE88">
        <f>AE87+IF(AND($E88&lt;&gt;"",$E88&lt;=AE$2,$F88&gt;=AE$2),1,0)</f>
        <v/>
      </c>
      <c r="AF88">
        <f>AF87+IF(AND($E88&lt;&gt;"",$E88&lt;=AF$2,$F88&gt;=AF$2),1,0)</f>
        <v/>
      </c>
      <c r="AG88">
        <f>AG87+IF(AND($E88&lt;&gt;"",$E88&lt;=AG$2,$F88&gt;=AG$2),1,0)</f>
        <v/>
      </c>
      <c r="AH88">
        <f>AH87+IF(AND($E88&lt;&gt;"",$E88&lt;=AH$2,$F88&gt;=AH$2),1,0)</f>
        <v/>
      </c>
      <c r="AI88">
        <f>AI87+IF(AND($E88&lt;&gt;"",$E88&lt;=AI$2,$F88&gt;=AI$2),1,0)</f>
        <v/>
      </c>
      <c r="AJ88">
        <f>AJ87+IF(AND($E88&lt;&gt;"",$E88&lt;=AJ$2,$F88&gt;=AJ$2),1,0)</f>
        <v/>
      </c>
      <c r="AK88">
        <f>AK87+IF(AND($E88&lt;&gt;"",$E88&lt;=AK$2,$F88&gt;=AK$2),1,0)</f>
        <v/>
      </c>
      <c r="AL88">
        <f>AL87+IF(AND($E88&lt;&gt;"",$E88&lt;=AL$2,$F88&gt;=AL$2),1,0)</f>
        <v/>
      </c>
      <c r="AM88">
        <f>AM87+IF(AND($E88&lt;&gt;"",$E88&lt;=AM$2,$F88&gt;=AM$2),1,0)</f>
        <v/>
      </c>
      <c r="AN88">
        <f>AN87+IF(AND($E88&lt;&gt;"",$E88&lt;=AN$2,$F88&gt;=AN$2),1,0)</f>
        <v/>
      </c>
      <c r="AO88">
        <f>AO87+IF(AND($E88&lt;&gt;"",$E88&lt;=AO$2,$F88&gt;=AO$2),1,0)</f>
        <v/>
      </c>
      <c r="AP88">
        <f>AP87+IF(AND($E88&lt;&gt;"",$E88&lt;=AP$2,$F88&gt;=AP$2),1,0)</f>
        <v/>
      </c>
      <c r="AQ88">
        <f>AQ87+IF(AND($E88&lt;&gt;"",$E88&lt;=AQ$2,$F88&gt;=AQ$2),1,0)</f>
        <v/>
      </c>
      <c r="AR88">
        <f>AR87+IF(AND($E88&lt;&gt;"",$E88&lt;=AR$2,$F88&gt;=AR$2),1,0)</f>
        <v/>
      </c>
      <c r="AS88">
        <f>AS87+IF(AND($E88&lt;&gt;"",$E88&lt;=AS$2,$F88&gt;=AS$2),1,0)</f>
        <v/>
      </c>
      <c r="AT88">
        <f>AT87+IF(AND($E88&lt;&gt;"",$E88&lt;=AT$2,$F88&gt;=AT$2),1,0)</f>
        <v/>
      </c>
      <c r="AU88">
        <f>AU87+IF(AND($E88&lt;&gt;"",$E88&lt;=AU$2,$F88&gt;=AU$2),1,0)</f>
        <v/>
      </c>
      <c r="AV88">
        <f>AV87+IF(AND($E88&lt;&gt;"",$E88&lt;=AV$2,$F88&gt;=AV$2),1,0)</f>
        <v/>
      </c>
      <c r="AW88">
        <f>AW87+IF(AND($E88&lt;&gt;"",$E88&lt;=AW$2,$F88&gt;=AW$2),1,0)</f>
        <v/>
      </c>
    </row>
    <row r="89">
      <c r="A89">
        <f>IF(AND(ISNUMBER(Events!$A91),ISNUMBER(Events!$B91)),MAX(0,Events!$B91-Events!$A91),0)</f>
        <v/>
      </c>
      <c r="B89">
        <f>IF(ISNUMBER(Events!$A91),DATE(YEAR($B$1)-1,MONTH(Events!$A91),DAY(Events!$A91)),"")</f>
        <v/>
      </c>
      <c r="C89">
        <f>IF(ISNUMBER(Events!$A91),DATE(YEAR($B$1),MONTH(Events!$A91),DAY(Events!$A91)),"")</f>
        <v/>
      </c>
      <c r="D89">
        <f>IF(ISNUMBER(Events!$A91),DATE(YEAR($B$2),MONTH(Events!$A91),DAY(Events!$A91)),"")</f>
        <v/>
      </c>
      <c r="E89">
        <f>IF(OR(NOT(ISNUMBER(Events!$A91)),Events!$G91="No",Calendar!$H$4="None"),"",IF(OR(Calendar!$H$4="All events",Events!$D91=Calendar!$H$4),IF(Events!$E91="Yes",IF(AND(B89&gt;=Events!$A91,B89&lt;=$B$2,B89+$A89&gt;=$B$1),B89,IF(AND(C89&gt;=Events!$A91,C89&lt;=$B$2,C89+$A89&gt;=$B$1),C89,IF(AND(D89&gt;=Events!$A91,D89&lt;=$B$2,D89+$A89&gt;=$B$1),D89,""))),IF(AND(Events!$A91&lt;=$B$2,Events!$A91+$A89&gt;=$B$1),Events!$A91,"")),""))</f>
        <v/>
      </c>
      <c r="F89">
        <f>IF(E89="","",E89+A89)</f>
        <v/>
      </c>
      <c r="G89">
        <f>IF(E89="","",IF(AND(E89&lt;=EOMONTH(Calendar!$K$2,0),F89&gt;=Calendar!$K$2),E89+86/100000,""))</f>
        <v/>
      </c>
      <c r="H89">
        <f>H88+IF(AND($E89&lt;&gt;"",$E89&lt;=H$2,$F89&gt;=H$2),1,0)</f>
        <v/>
      </c>
      <c r="I89">
        <f>I88+IF(AND($E89&lt;&gt;"",$E89&lt;=I$2,$F89&gt;=I$2),1,0)</f>
        <v/>
      </c>
      <c r="J89">
        <f>J88+IF(AND($E89&lt;&gt;"",$E89&lt;=J$2,$F89&gt;=J$2),1,0)</f>
        <v/>
      </c>
      <c r="K89">
        <f>K88+IF(AND($E89&lt;&gt;"",$E89&lt;=K$2,$F89&gt;=K$2),1,0)</f>
        <v/>
      </c>
      <c r="L89">
        <f>L88+IF(AND($E89&lt;&gt;"",$E89&lt;=L$2,$F89&gt;=L$2),1,0)</f>
        <v/>
      </c>
      <c r="M89">
        <f>M88+IF(AND($E89&lt;&gt;"",$E89&lt;=M$2,$F89&gt;=M$2),1,0)</f>
        <v/>
      </c>
      <c r="N89">
        <f>N88+IF(AND($E89&lt;&gt;"",$E89&lt;=N$2,$F89&gt;=N$2),1,0)</f>
        <v/>
      </c>
      <c r="O89">
        <f>O88+IF(AND($E89&lt;&gt;"",$E89&lt;=O$2,$F89&gt;=O$2),1,0)</f>
        <v/>
      </c>
      <c r="P89">
        <f>P88+IF(AND($E89&lt;&gt;"",$E89&lt;=P$2,$F89&gt;=P$2),1,0)</f>
        <v/>
      </c>
      <c r="Q89">
        <f>Q88+IF(AND($E89&lt;&gt;"",$E89&lt;=Q$2,$F89&gt;=Q$2),1,0)</f>
        <v/>
      </c>
      <c r="R89">
        <f>R88+IF(AND($E89&lt;&gt;"",$E89&lt;=R$2,$F89&gt;=R$2),1,0)</f>
        <v/>
      </c>
      <c r="S89">
        <f>S88+IF(AND($E89&lt;&gt;"",$E89&lt;=S$2,$F89&gt;=S$2),1,0)</f>
        <v/>
      </c>
      <c r="T89">
        <f>T88+IF(AND($E89&lt;&gt;"",$E89&lt;=T$2,$F89&gt;=T$2),1,0)</f>
        <v/>
      </c>
      <c r="U89">
        <f>U88+IF(AND($E89&lt;&gt;"",$E89&lt;=U$2,$F89&gt;=U$2),1,0)</f>
        <v/>
      </c>
      <c r="V89">
        <f>V88+IF(AND($E89&lt;&gt;"",$E89&lt;=V$2,$F89&gt;=V$2),1,0)</f>
        <v/>
      </c>
      <c r="W89">
        <f>W88+IF(AND($E89&lt;&gt;"",$E89&lt;=W$2,$F89&gt;=W$2),1,0)</f>
        <v/>
      </c>
      <c r="X89">
        <f>X88+IF(AND($E89&lt;&gt;"",$E89&lt;=X$2,$F89&gt;=X$2),1,0)</f>
        <v/>
      </c>
      <c r="Y89">
        <f>Y88+IF(AND($E89&lt;&gt;"",$E89&lt;=Y$2,$F89&gt;=Y$2),1,0)</f>
        <v/>
      </c>
      <c r="Z89">
        <f>Z88+IF(AND($E89&lt;&gt;"",$E89&lt;=Z$2,$F89&gt;=Z$2),1,0)</f>
        <v/>
      </c>
      <c r="AA89">
        <f>AA88+IF(AND($E89&lt;&gt;"",$E89&lt;=AA$2,$F89&gt;=AA$2),1,0)</f>
        <v/>
      </c>
      <c r="AB89">
        <f>AB88+IF(AND($E89&lt;&gt;"",$E89&lt;=AB$2,$F89&gt;=AB$2),1,0)</f>
        <v/>
      </c>
      <c r="AC89">
        <f>AC88+IF(AND($E89&lt;&gt;"",$E89&lt;=AC$2,$F89&gt;=AC$2),1,0)</f>
        <v/>
      </c>
      <c r="AD89">
        <f>AD88+IF(AND($E89&lt;&gt;"",$E89&lt;=AD$2,$F89&gt;=AD$2),1,0)</f>
        <v/>
      </c>
      <c r="AE89">
        <f>AE88+IF(AND($E89&lt;&gt;"",$E89&lt;=AE$2,$F89&gt;=AE$2),1,0)</f>
        <v/>
      </c>
      <c r="AF89">
        <f>AF88+IF(AND($E89&lt;&gt;"",$E89&lt;=AF$2,$F89&gt;=AF$2),1,0)</f>
        <v/>
      </c>
      <c r="AG89">
        <f>AG88+IF(AND($E89&lt;&gt;"",$E89&lt;=AG$2,$F89&gt;=AG$2),1,0)</f>
        <v/>
      </c>
      <c r="AH89">
        <f>AH88+IF(AND($E89&lt;&gt;"",$E89&lt;=AH$2,$F89&gt;=AH$2),1,0)</f>
        <v/>
      </c>
      <c r="AI89">
        <f>AI88+IF(AND($E89&lt;&gt;"",$E89&lt;=AI$2,$F89&gt;=AI$2),1,0)</f>
        <v/>
      </c>
      <c r="AJ89">
        <f>AJ88+IF(AND($E89&lt;&gt;"",$E89&lt;=AJ$2,$F89&gt;=AJ$2),1,0)</f>
        <v/>
      </c>
      <c r="AK89">
        <f>AK88+IF(AND($E89&lt;&gt;"",$E89&lt;=AK$2,$F89&gt;=AK$2),1,0)</f>
        <v/>
      </c>
      <c r="AL89">
        <f>AL88+IF(AND($E89&lt;&gt;"",$E89&lt;=AL$2,$F89&gt;=AL$2),1,0)</f>
        <v/>
      </c>
      <c r="AM89">
        <f>AM88+IF(AND($E89&lt;&gt;"",$E89&lt;=AM$2,$F89&gt;=AM$2),1,0)</f>
        <v/>
      </c>
      <c r="AN89">
        <f>AN88+IF(AND($E89&lt;&gt;"",$E89&lt;=AN$2,$F89&gt;=AN$2),1,0)</f>
        <v/>
      </c>
      <c r="AO89">
        <f>AO88+IF(AND($E89&lt;&gt;"",$E89&lt;=AO$2,$F89&gt;=AO$2),1,0)</f>
        <v/>
      </c>
      <c r="AP89">
        <f>AP88+IF(AND($E89&lt;&gt;"",$E89&lt;=AP$2,$F89&gt;=AP$2),1,0)</f>
        <v/>
      </c>
      <c r="AQ89">
        <f>AQ88+IF(AND($E89&lt;&gt;"",$E89&lt;=AQ$2,$F89&gt;=AQ$2),1,0)</f>
        <v/>
      </c>
      <c r="AR89">
        <f>AR88+IF(AND($E89&lt;&gt;"",$E89&lt;=AR$2,$F89&gt;=AR$2),1,0)</f>
        <v/>
      </c>
      <c r="AS89">
        <f>AS88+IF(AND($E89&lt;&gt;"",$E89&lt;=AS$2,$F89&gt;=AS$2),1,0)</f>
        <v/>
      </c>
      <c r="AT89">
        <f>AT88+IF(AND($E89&lt;&gt;"",$E89&lt;=AT$2,$F89&gt;=AT$2),1,0)</f>
        <v/>
      </c>
      <c r="AU89">
        <f>AU88+IF(AND($E89&lt;&gt;"",$E89&lt;=AU$2,$F89&gt;=AU$2),1,0)</f>
        <v/>
      </c>
      <c r="AV89">
        <f>AV88+IF(AND($E89&lt;&gt;"",$E89&lt;=AV$2,$F89&gt;=AV$2),1,0)</f>
        <v/>
      </c>
      <c r="AW89">
        <f>AW88+IF(AND($E89&lt;&gt;"",$E89&lt;=AW$2,$F89&gt;=AW$2),1,0)</f>
        <v/>
      </c>
    </row>
    <row r="90">
      <c r="A90">
        <f>IF(AND(ISNUMBER(Events!$A92),ISNUMBER(Events!$B92)),MAX(0,Events!$B92-Events!$A92),0)</f>
        <v/>
      </c>
      <c r="B90">
        <f>IF(ISNUMBER(Events!$A92),DATE(YEAR($B$1)-1,MONTH(Events!$A92),DAY(Events!$A92)),"")</f>
        <v/>
      </c>
      <c r="C90">
        <f>IF(ISNUMBER(Events!$A92),DATE(YEAR($B$1),MONTH(Events!$A92),DAY(Events!$A92)),"")</f>
        <v/>
      </c>
      <c r="D90">
        <f>IF(ISNUMBER(Events!$A92),DATE(YEAR($B$2),MONTH(Events!$A92),DAY(Events!$A92)),"")</f>
        <v/>
      </c>
      <c r="E90">
        <f>IF(OR(NOT(ISNUMBER(Events!$A92)),Events!$G92="No",Calendar!$H$4="None"),"",IF(OR(Calendar!$H$4="All events",Events!$D92=Calendar!$H$4),IF(Events!$E92="Yes",IF(AND(B90&gt;=Events!$A92,B90&lt;=$B$2,B90+$A90&gt;=$B$1),B90,IF(AND(C90&gt;=Events!$A92,C90&lt;=$B$2,C90+$A90&gt;=$B$1),C90,IF(AND(D90&gt;=Events!$A92,D90&lt;=$B$2,D90+$A90&gt;=$B$1),D90,""))),IF(AND(Events!$A92&lt;=$B$2,Events!$A92+$A90&gt;=$B$1),Events!$A92,"")),""))</f>
        <v/>
      </c>
      <c r="F90">
        <f>IF(E90="","",E90+A90)</f>
        <v/>
      </c>
      <c r="G90">
        <f>IF(E90="","",IF(AND(E90&lt;=EOMONTH(Calendar!$K$2,0),F90&gt;=Calendar!$K$2),E90+87/100000,""))</f>
        <v/>
      </c>
      <c r="H90">
        <f>H89+IF(AND($E90&lt;&gt;"",$E90&lt;=H$2,$F90&gt;=H$2),1,0)</f>
        <v/>
      </c>
      <c r="I90">
        <f>I89+IF(AND($E90&lt;&gt;"",$E90&lt;=I$2,$F90&gt;=I$2),1,0)</f>
        <v/>
      </c>
      <c r="J90">
        <f>J89+IF(AND($E90&lt;&gt;"",$E90&lt;=J$2,$F90&gt;=J$2),1,0)</f>
        <v/>
      </c>
      <c r="K90">
        <f>K89+IF(AND($E90&lt;&gt;"",$E90&lt;=K$2,$F90&gt;=K$2),1,0)</f>
        <v/>
      </c>
      <c r="L90">
        <f>L89+IF(AND($E90&lt;&gt;"",$E90&lt;=L$2,$F90&gt;=L$2),1,0)</f>
        <v/>
      </c>
      <c r="M90">
        <f>M89+IF(AND($E90&lt;&gt;"",$E90&lt;=M$2,$F90&gt;=M$2),1,0)</f>
        <v/>
      </c>
      <c r="N90">
        <f>N89+IF(AND($E90&lt;&gt;"",$E90&lt;=N$2,$F90&gt;=N$2),1,0)</f>
        <v/>
      </c>
      <c r="O90">
        <f>O89+IF(AND($E90&lt;&gt;"",$E90&lt;=O$2,$F90&gt;=O$2),1,0)</f>
        <v/>
      </c>
      <c r="P90">
        <f>P89+IF(AND($E90&lt;&gt;"",$E90&lt;=P$2,$F90&gt;=P$2),1,0)</f>
        <v/>
      </c>
      <c r="Q90">
        <f>Q89+IF(AND($E90&lt;&gt;"",$E90&lt;=Q$2,$F90&gt;=Q$2),1,0)</f>
        <v/>
      </c>
      <c r="R90">
        <f>R89+IF(AND($E90&lt;&gt;"",$E90&lt;=R$2,$F90&gt;=R$2),1,0)</f>
        <v/>
      </c>
      <c r="S90">
        <f>S89+IF(AND($E90&lt;&gt;"",$E90&lt;=S$2,$F90&gt;=S$2),1,0)</f>
        <v/>
      </c>
      <c r="T90">
        <f>T89+IF(AND($E90&lt;&gt;"",$E90&lt;=T$2,$F90&gt;=T$2),1,0)</f>
        <v/>
      </c>
      <c r="U90">
        <f>U89+IF(AND($E90&lt;&gt;"",$E90&lt;=U$2,$F90&gt;=U$2),1,0)</f>
        <v/>
      </c>
      <c r="V90">
        <f>V89+IF(AND($E90&lt;&gt;"",$E90&lt;=V$2,$F90&gt;=V$2),1,0)</f>
        <v/>
      </c>
      <c r="W90">
        <f>W89+IF(AND($E90&lt;&gt;"",$E90&lt;=W$2,$F90&gt;=W$2),1,0)</f>
        <v/>
      </c>
      <c r="X90">
        <f>X89+IF(AND($E90&lt;&gt;"",$E90&lt;=X$2,$F90&gt;=X$2),1,0)</f>
        <v/>
      </c>
      <c r="Y90">
        <f>Y89+IF(AND($E90&lt;&gt;"",$E90&lt;=Y$2,$F90&gt;=Y$2),1,0)</f>
        <v/>
      </c>
      <c r="Z90">
        <f>Z89+IF(AND($E90&lt;&gt;"",$E90&lt;=Z$2,$F90&gt;=Z$2),1,0)</f>
        <v/>
      </c>
      <c r="AA90">
        <f>AA89+IF(AND($E90&lt;&gt;"",$E90&lt;=AA$2,$F90&gt;=AA$2),1,0)</f>
        <v/>
      </c>
      <c r="AB90">
        <f>AB89+IF(AND($E90&lt;&gt;"",$E90&lt;=AB$2,$F90&gt;=AB$2),1,0)</f>
        <v/>
      </c>
      <c r="AC90">
        <f>AC89+IF(AND($E90&lt;&gt;"",$E90&lt;=AC$2,$F90&gt;=AC$2),1,0)</f>
        <v/>
      </c>
      <c r="AD90">
        <f>AD89+IF(AND($E90&lt;&gt;"",$E90&lt;=AD$2,$F90&gt;=AD$2),1,0)</f>
        <v/>
      </c>
      <c r="AE90">
        <f>AE89+IF(AND($E90&lt;&gt;"",$E90&lt;=AE$2,$F90&gt;=AE$2),1,0)</f>
        <v/>
      </c>
      <c r="AF90">
        <f>AF89+IF(AND($E90&lt;&gt;"",$E90&lt;=AF$2,$F90&gt;=AF$2),1,0)</f>
        <v/>
      </c>
      <c r="AG90">
        <f>AG89+IF(AND($E90&lt;&gt;"",$E90&lt;=AG$2,$F90&gt;=AG$2),1,0)</f>
        <v/>
      </c>
      <c r="AH90">
        <f>AH89+IF(AND($E90&lt;&gt;"",$E90&lt;=AH$2,$F90&gt;=AH$2),1,0)</f>
        <v/>
      </c>
      <c r="AI90">
        <f>AI89+IF(AND($E90&lt;&gt;"",$E90&lt;=AI$2,$F90&gt;=AI$2),1,0)</f>
        <v/>
      </c>
      <c r="AJ90">
        <f>AJ89+IF(AND($E90&lt;&gt;"",$E90&lt;=AJ$2,$F90&gt;=AJ$2),1,0)</f>
        <v/>
      </c>
      <c r="AK90">
        <f>AK89+IF(AND($E90&lt;&gt;"",$E90&lt;=AK$2,$F90&gt;=AK$2),1,0)</f>
        <v/>
      </c>
      <c r="AL90">
        <f>AL89+IF(AND($E90&lt;&gt;"",$E90&lt;=AL$2,$F90&gt;=AL$2),1,0)</f>
        <v/>
      </c>
      <c r="AM90">
        <f>AM89+IF(AND($E90&lt;&gt;"",$E90&lt;=AM$2,$F90&gt;=AM$2),1,0)</f>
        <v/>
      </c>
      <c r="AN90">
        <f>AN89+IF(AND($E90&lt;&gt;"",$E90&lt;=AN$2,$F90&gt;=AN$2),1,0)</f>
        <v/>
      </c>
      <c r="AO90">
        <f>AO89+IF(AND($E90&lt;&gt;"",$E90&lt;=AO$2,$F90&gt;=AO$2),1,0)</f>
        <v/>
      </c>
      <c r="AP90">
        <f>AP89+IF(AND($E90&lt;&gt;"",$E90&lt;=AP$2,$F90&gt;=AP$2),1,0)</f>
        <v/>
      </c>
      <c r="AQ90">
        <f>AQ89+IF(AND($E90&lt;&gt;"",$E90&lt;=AQ$2,$F90&gt;=AQ$2),1,0)</f>
        <v/>
      </c>
      <c r="AR90">
        <f>AR89+IF(AND($E90&lt;&gt;"",$E90&lt;=AR$2,$F90&gt;=AR$2),1,0)</f>
        <v/>
      </c>
      <c r="AS90">
        <f>AS89+IF(AND($E90&lt;&gt;"",$E90&lt;=AS$2,$F90&gt;=AS$2),1,0)</f>
        <v/>
      </c>
      <c r="AT90">
        <f>AT89+IF(AND($E90&lt;&gt;"",$E90&lt;=AT$2,$F90&gt;=AT$2),1,0)</f>
        <v/>
      </c>
      <c r="AU90">
        <f>AU89+IF(AND($E90&lt;&gt;"",$E90&lt;=AU$2,$F90&gt;=AU$2),1,0)</f>
        <v/>
      </c>
      <c r="AV90">
        <f>AV89+IF(AND($E90&lt;&gt;"",$E90&lt;=AV$2,$F90&gt;=AV$2),1,0)</f>
        <v/>
      </c>
      <c r="AW90">
        <f>AW89+IF(AND($E90&lt;&gt;"",$E90&lt;=AW$2,$F90&gt;=AW$2),1,0)</f>
        <v/>
      </c>
    </row>
    <row r="91">
      <c r="A91">
        <f>IF(AND(ISNUMBER(Events!$A93),ISNUMBER(Events!$B93)),MAX(0,Events!$B93-Events!$A93),0)</f>
        <v/>
      </c>
      <c r="B91">
        <f>IF(ISNUMBER(Events!$A93),DATE(YEAR($B$1)-1,MONTH(Events!$A93),DAY(Events!$A93)),"")</f>
        <v/>
      </c>
      <c r="C91">
        <f>IF(ISNUMBER(Events!$A93),DATE(YEAR($B$1),MONTH(Events!$A93),DAY(Events!$A93)),"")</f>
        <v/>
      </c>
      <c r="D91">
        <f>IF(ISNUMBER(Events!$A93),DATE(YEAR($B$2),MONTH(Events!$A93),DAY(Events!$A93)),"")</f>
        <v/>
      </c>
      <c r="E91">
        <f>IF(OR(NOT(ISNUMBER(Events!$A93)),Events!$G93="No",Calendar!$H$4="None"),"",IF(OR(Calendar!$H$4="All events",Events!$D93=Calendar!$H$4),IF(Events!$E93="Yes",IF(AND(B91&gt;=Events!$A93,B91&lt;=$B$2,B91+$A91&gt;=$B$1),B91,IF(AND(C91&gt;=Events!$A93,C91&lt;=$B$2,C91+$A91&gt;=$B$1),C91,IF(AND(D91&gt;=Events!$A93,D91&lt;=$B$2,D91+$A91&gt;=$B$1),D91,""))),IF(AND(Events!$A93&lt;=$B$2,Events!$A93+$A91&gt;=$B$1),Events!$A93,"")),""))</f>
        <v/>
      </c>
      <c r="F91">
        <f>IF(E91="","",E91+A91)</f>
        <v/>
      </c>
      <c r="G91">
        <f>IF(E91="","",IF(AND(E91&lt;=EOMONTH(Calendar!$K$2,0),F91&gt;=Calendar!$K$2),E91+88/100000,""))</f>
        <v/>
      </c>
      <c r="H91">
        <f>H90+IF(AND($E91&lt;&gt;"",$E91&lt;=H$2,$F91&gt;=H$2),1,0)</f>
        <v/>
      </c>
      <c r="I91">
        <f>I90+IF(AND($E91&lt;&gt;"",$E91&lt;=I$2,$F91&gt;=I$2),1,0)</f>
        <v/>
      </c>
      <c r="J91">
        <f>J90+IF(AND($E91&lt;&gt;"",$E91&lt;=J$2,$F91&gt;=J$2),1,0)</f>
        <v/>
      </c>
      <c r="K91">
        <f>K90+IF(AND($E91&lt;&gt;"",$E91&lt;=K$2,$F91&gt;=K$2),1,0)</f>
        <v/>
      </c>
      <c r="L91">
        <f>L90+IF(AND($E91&lt;&gt;"",$E91&lt;=L$2,$F91&gt;=L$2),1,0)</f>
        <v/>
      </c>
      <c r="M91">
        <f>M90+IF(AND($E91&lt;&gt;"",$E91&lt;=M$2,$F91&gt;=M$2),1,0)</f>
        <v/>
      </c>
      <c r="N91">
        <f>N90+IF(AND($E91&lt;&gt;"",$E91&lt;=N$2,$F91&gt;=N$2),1,0)</f>
        <v/>
      </c>
      <c r="O91">
        <f>O90+IF(AND($E91&lt;&gt;"",$E91&lt;=O$2,$F91&gt;=O$2),1,0)</f>
        <v/>
      </c>
      <c r="P91">
        <f>P90+IF(AND($E91&lt;&gt;"",$E91&lt;=P$2,$F91&gt;=P$2),1,0)</f>
        <v/>
      </c>
      <c r="Q91">
        <f>Q90+IF(AND($E91&lt;&gt;"",$E91&lt;=Q$2,$F91&gt;=Q$2),1,0)</f>
        <v/>
      </c>
      <c r="R91">
        <f>R90+IF(AND($E91&lt;&gt;"",$E91&lt;=R$2,$F91&gt;=R$2),1,0)</f>
        <v/>
      </c>
      <c r="S91">
        <f>S90+IF(AND($E91&lt;&gt;"",$E91&lt;=S$2,$F91&gt;=S$2),1,0)</f>
        <v/>
      </c>
      <c r="T91">
        <f>T90+IF(AND($E91&lt;&gt;"",$E91&lt;=T$2,$F91&gt;=T$2),1,0)</f>
        <v/>
      </c>
      <c r="U91">
        <f>U90+IF(AND($E91&lt;&gt;"",$E91&lt;=U$2,$F91&gt;=U$2),1,0)</f>
        <v/>
      </c>
      <c r="V91">
        <f>V90+IF(AND($E91&lt;&gt;"",$E91&lt;=V$2,$F91&gt;=V$2),1,0)</f>
        <v/>
      </c>
      <c r="W91">
        <f>W90+IF(AND($E91&lt;&gt;"",$E91&lt;=W$2,$F91&gt;=W$2),1,0)</f>
        <v/>
      </c>
      <c r="X91">
        <f>X90+IF(AND($E91&lt;&gt;"",$E91&lt;=X$2,$F91&gt;=X$2),1,0)</f>
        <v/>
      </c>
      <c r="Y91">
        <f>Y90+IF(AND($E91&lt;&gt;"",$E91&lt;=Y$2,$F91&gt;=Y$2),1,0)</f>
        <v/>
      </c>
      <c r="Z91">
        <f>Z90+IF(AND($E91&lt;&gt;"",$E91&lt;=Z$2,$F91&gt;=Z$2),1,0)</f>
        <v/>
      </c>
      <c r="AA91">
        <f>AA90+IF(AND($E91&lt;&gt;"",$E91&lt;=AA$2,$F91&gt;=AA$2),1,0)</f>
        <v/>
      </c>
      <c r="AB91">
        <f>AB90+IF(AND($E91&lt;&gt;"",$E91&lt;=AB$2,$F91&gt;=AB$2),1,0)</f>
        <v/>
      </c>
      <c r="AC91">
        <f>AC90+IF(AND($E91&lt;&gt;"",$E91&lt;=AC$2,$F91&gt;=AC$2),1,0)</f>
        <v/>
      </c>
      <c r="AD91">
        <f>AD90+IF(AND($E91&lt;&gt;"",$E91&lt;=AD$2,$F91&gt;=AD$2),1,0)</f>
        <v/>
      </c>
      <c r="AE91">
        <f>AE90+IF(AND($E91&lt;&gt;"",$E91&lt;=AE$2,$F91&gt;=AE$2),1,0)</f>
        <v/>
      </c>
      <c r="AF91">
        <f>AF90+IF(AND($E91&lt;&gt;"",$E91&lt;=AF$2,$F91&gt;=AF$2),1,0)</f>
        <v/>
      </c>
      <c r="AG91">
        <f>AG90+IF(AND($E91&lt;&gt;"",$E91&lt;=AG$2,$F91&gt;=AG$2),1,0)</f>
        <v/>
      </c>
      <c r="AH91">
        <f>AH90+IF(AND($E91&lt;&gt;"",$E91&lt;=AH$2,$F91&gt;=AH$2),1,0)</f>
        <v/>
      </c>
      <c r="AI91">
        <f>AI90+IF(AND($E91&lt;&gt;"",$E91&lt;=AI$2,$F91&gt;=AI$2),1,0)</f>
        <v/>
      </c>
      <c r="AJ91">
        <f>AJ90+IF(AND($E91&lt;&gt;"",$E91&lt;=AJ$2,$F91&gt;=AJ$2),1,0)</f>
        <v/>
      </c>
      <c r="AK91">
        <f>AK90+IF(AND($E91&lt;&gt;"",$E91&lt;=AK$2,$F91&gt;=AK$2),1,0)</f>
        <v/>
      </c>
      <c r="AL91">
        <f>AL90+IF(AND($E91&lt;&gt;"",$E91&lt;=AL$2,$F91&gt;=AL$2),1,0)</f>
        <v/>
      </c>
      <c r="AM91">
        <f>AM90+IF(AND($E91&lt;&gt;"",$E91&lt;=AM$2,$F91&gt;=AM$2),1,0)</f>
        <v/>
      </c>
      <c r="AN91">
        <f>AN90+IF(AND($E91&lt;&gt;"",$E91&lt;=AN$2,$F91&gt;=AN$2),1,0)</f>
        <v/>
      </c>
      <c r="AO91">
        <f>AO90+IF(AND($E91&lt;&gt;"",$E91&lt;=AO$2,$F91&gt;=AO$2),1,0)</f>
        <v/>
      </c>
      <c r="AP91">
        <f>AP90+IF(AND($E91&lt;&gt;"",$E91&lt;=AP$2,$F91&gt;=AP$2),1,0)</f>
        <v/>
      </c>
      <c r="AQ91">
        <f>AQ90+IF(AND($E91&lt;&gt;"",$E91&lt;=AQ$2,$F91&gt;=AQ$2),1,0)</f>
        <v/>
      </c>
      <c r="AR91">
        <f>AR90+IF(AND($E91&lt;&gt;"",$E91&lt;=AR$2,$F91&gt;=AR$2),1,0)</f>
        <v/>
      </c>
      <c r="AS91">
        <f>AS90+IF(AND($E91&lt;&gt;"",$E91&lt;=AS$2,$F91&gt;=AS$2),1,0)</f>
        <v/>
      </c>
      <c r="AT91">
        <f>AT90+IF(AND($E91&lt;&gt;"",$E91&lt;=AT$2,$F91&gt;=AT$2),1,0)</f>
        <v/>
      </c>
      <c r="AU91">
        <f>AU90+IF(AND($E91&lt;&gt;"",$E91&lt;=AU$2,$F91&gt;=AU$2),1,0)</f>
        <v/>
      </c>
      <c r="AV91">
        <f>AV90+IF(AND($E91&lt;&gt;"",$E91&lt;=AV$2,$F91&gt;=AV$2),1,0)</f>
        <v/>
      </c>
      <c r="AW91">
        <f>AW90+IF(AND($E91&lt;&gt;"",$E91&lt;=AW$2,$F91&gt;=AW$2),1,0)</f>
        <v/>
      </c>
    </row>
    <row r="92">
      <c r="A92">
        <f>IF(AND(ISNUMBER(Events!$A94),ISNUMBER(Events!$B94)),MAX(0,Events!$B94-Events!$A94),0)</f>
        <v/>
      </c>
      <c r="B92">
        <f>IF(ISNUMBER(Events!$A94),DATE(YEAR($B$1)-1,MONTH(Events!$A94),DAY(Events!$A94)),"")</f>
        <v/>
      </c>
      <c r="C92">
        <f>IF(ISNUMBER(Events!$A94),DATE(YEAR($B$1),MONTH(Events!$A94),DAY(Events!$A94)),"")</f>
        <v/>
      </c>
      <c r="D92">
        <f>IF(ISNUMBER(Events!$A94),DATE(YEAR($B$2),MONTH(Events!$A94),DAY(Events!$A94)),"")</f>
        <v/>
      </c>
      <c r="E92">
        <f>IF(OR(NOT(ISNUMBER(Events!$A94)),Events!$G94="No",Calendar!$H$4="None"),"",IF(OR(Calendar!$H$4="All events",Events!$D94=Calendar!$H$4),IF(Events!$E94="Yes",IF(AND(B92&gt;=Events!$A94,B92&lt;=$B$2,B92+$A92&gt;=$B$1),B92,IF(AND(C92&gt;=Events!$A94,C92&lt;=$B$2,C92+$A92&gt;=$B$1),C92,IF(AND(D92&gt;=Events!$A94,D92&lt;=$B$2,D92+$A92&gt;=$B$1),D92,""))),IF(AND(Events!$A94&lt;=$B$2,Events!$A94+$A92&gt;=$B$1),Events!$A94,"")),""))</f>
        <v/>
      </c>
      <c r="F92">
        <f>IF(E92="","",E92+A92)</f>
        <v/>
      </c>
      <c r="G92">
        <f>IF(E92="","",IF(AND(E92&lt;=EOMONTH(Calendar!$K$2,0),F92&gt;=Calendar!$K$2),E92+89/100000,""))</f>
        <v/>
      </c>
      <c r="H92">
        <f>H91+IF(AND($E92&lt;&gt;"",$E92&lt;=H$2,$F92&gt;=H$2),1,0)</f>
        <v/>
      </c>
      <c r="I92">
        <f>I91+IF(AND($E92&lt;&gt;"",$E92&lt;=I$2,$F92&gt;=I$2),1,0)</f>
        <v/>
      </c>
      <c r="J92">
        <f>J91+IF(AND($E92&lt;&gt;"",$E92&lt;=J$2,$F92&gt;=J$2),1,0)</f>
        <v/>
      </c>
      <c r="K92">
        <f>K91+IF(AND($E92&lt;&gt;"",$E92&lt;=K$2,$F92&gt;=K$2),1,0)</f>
        <v/>
      </c>
      <c r="L92">
        <f>L91+IF(AND($E92&lt;&gt;"",$E92&lt;=L$2,$F92&gt;=L$2),1,0)</f>
        <v/>
      </c>
      <c r="M92">
        <f>M91+IF(AND($E92&lt;&gt;"",$E92&lt;=M$2,$F92&gt;=M$2),1,0)</f>
        <v/>
      </c>
      <c r="N92">
        <f>N91+IF(AND($E92&lt;&gt;"",$E92&lt;=N$2,$F92&gt;=N$2),1,0)</f>
        <v/>
      </c>
      <c r="O92">
        <f>O91+IF(AND($E92&lt;&gt;"",$E92&lt;=O$2,$F92&gt;=O$2),1,0)</f>
        <v/>
      </c>
      <c r="P92">
        <f>P91+IF(AND($E92&lt;&gt;"",$E92&lt;=P$2,$F92&gt;=P$2),1,0)</f>
        <v/>
      </c>
      <c r="Q92">
        <f>Q91+IF(AND($E92&lt;&gt;"",$E92&lt;=Q$2,$F92&gt;=Q$2),1,0)</f>
        <v/>
      </c>
      <c r="R92">
        <f>R91+IF(AND($E92&lt;&gt;"",$E92&lt;=R$2,$F92&gt;=R$2),1,0)</f>
        <v/>
      </c>
      <c r="S92">
        <f>S91+IF(AND($E92&lt;&gt;"",$E92&lt;=S$2,$F92&gt;=S$2),1,0)</f>
        <v/>
      </c>
      <c r="T92">
        <f>T91+IF(AND($E92&lt;&gt;"",$E92&lt;=T$2,$F92&gt;=T$2),1,0)</f>
        <v/>
      </c>
      <c r="U92">
        <f>U91+IF(AND($E92&lt;&gt;"",$E92&lt;=U$2,$F92&gt;=U$2),1,0)</f>
        <v/>
      </c>
      <c r="V92">
        <f>V91+IF(AND($E92&lt;&gt;"",$E92&lt;=V$2,$F92&gt;=V$2),1,0)</f>
        <v/>
      </c>
      <c r="W92">
        <f>W91+IF(AND($E92&lt;&gt;"",$E92&lt;=W$2,$F92&gt;=W$2),1,0)</f>
        <v/>
      </c>
      <c r="X92">
        <f>X91+IF(AND($E92&lt;&gt;"",$E92&lt;=X$2,$F92&gt;=X$2),1,0)</f>
        <v/>
      </c>
      <c r="Y92">
        <f>Y91+IF(AND($E92&lt;&gt;"",$E92&lt;=Y$2,$F92&gt;=Y$2),1,0)</f>
        <v/>
      </c>
      <c r="Z92">
        <f>Z91+IF(AND($E92&lt;&gt;"",$E92&lt;=Z$2,$F92&gt;=Z$2),1,0)</f>
        <v/>
      </c>
      <c r="AA92">
        <f>AA91+IF(AND($E92&lt;&gt;"",$E92&lt;=AA$2,$F92&gt;=AA$2),1,0)</f>
        <v/>
      </c>
      <c r="AB92">
        <f>AB91+IF(AND($E92&lt;&gt;"",$E92&lt;=AB$2,$F92&gt;=AB$2),1,0)</f>
        <v/>
      </c>
      <c r="AC92">
        <f>AC91+IF(AND($E92&lt;&gt;"",$E92&lt;=AC$2,$F92&gt;=AC$2),1,0)</f>
        <v/>
      </c>
      <c r="AD92">
        <f>AD91+IF(AND($E92&lt;&gt;"",$E92&lt;=AD$2,$F92&gt;=AD$2),1,0)</f>
        <v/>
      </c>
      <c r="AE92">
        <f>AE91+IF(AND($E92&lt;&gt;"",$E92&lt;=AE$2,$F92&gt;=AE$2),1,0)</f>
        <v/>
      </c>
      <c r="AF92">
        <f>AF91+IF(AND($E92&lt;&gt;"",$E92&lt;=AF$2,$F92&gt;=AF$2),1,0)</f>
        <v/>
      </c>
      <c r="AG92">
        <f>AG91+IF(AND($E92&lt;&gt;"",$E92&lt;=AG$2,$F92&gt;=AG$2),1,0)</f>
        <v/>
      </c>
      <c r="AH92">
        <f>AH91+IF(AND($E92&lt;&gt;"",$E92&lt;=AH$2,$F92&gt;=AH$2),1,0)</f>
        <v/>
      </c>
      <c r="AI92">
        <f>AI91+IF(AND($E92&lt;&gt;"",$E92&lt;=AI$2,$F92&gt;=AI$2),1,0)</f>
        <v/>
      </c>
      <c r="AJ92">
        <f>AJ91+IF(AND($E92&lt;&gt;"",$E92&lt;=AJ$2,$F92&gt;=AJ$2),1,0)</f>
        <v/>
      </c>
      <c r="AK92">
        <f>AK91+IF(AND($E92&lt;&gt;"",$E92&lt;=AK$2,$F92&gt;=AK$2),1,0)</f>
        <v/>
      </c>
      <c r="AL92">
        <f>AL91+IF(AND($E92&lt;&gt;"",$E92&lt;=AL$2,$F92&gt;=AL$2),1,0)</f>
        <v/>
      </c>
      <c r="AM92">
        <f>AM91+IF(AND($E92&lt;&gt;"",$E92&lt;=AM$2,$F92&gt;=AM$2),1,0)</f>
        <v/>
      </c>
      <c r="AN92">
        <f>AN91+IF(AND($E92&lt;&gt;"",$E92&lt;=AN$2,$F92&gt;=AN$2),1,0)</f>
        <v/>
      </c>
      <c r="AO92">
        <f>AO91+IF(AND($E92&lt;&gt;"",$E92&lt;=AO$2,$F92&gt;=AO$2),1,0)</f>
        <v/>
      </c>
      <c r="AP92">
        <f>AP91+IF(AND($E92&lt;&gt;"",$E92&lt;=AP$2,$F92&gt;=AP$2),1,0)</f>
        <v/>
      </c>
      <c r="AQ92">
        <f>AQ91+IF(AND($E92&lt;&gt;"",$E92&lt;=AQ$2,$F92&gt;=AQ$2),1,0)</f>
        <v/>
      </c>
      <c r="AR92">
        <f>AR91+IF(AND($E92&lt;&gt;"",$E92&lt;=AR$2,$F92&gt;=AR$2),1,0)</f>
        <v/>
      </c>
      <c r="AS92">
        <f>AS91+IF(AND($E92&lt;&gt;"",$E92&lt;=AS$2,$F92&gt;=AS$2),1,0)</f>
        <v/>
      </c>
      <c r="AT92">
        <f>AT91+IF(AND($E92&lt;&gt;"",$E92&lt;=AT$2,$F92&gt;=AT$2),1,0)</f>
        <v/>
      </c>
      <c r="AU92">
        <f>AU91+IF(AND($E92&lt;&gt;"",$E92&lt;=AU$2,$F92&gt;=AU$2),1,0)</f>
        <v/>
      </c>
      <c r="AV92">
        <f>AV91+IF(AND($E92&lt;&gt;"",$E92&lt;=AV$2,$F92&gt;=AV$2),1,0)</f>
        <v/>
      </c>
      <c r="AW92">
        <f>AW91+IF(AND($E92&lt;&gt;"",$E92&lt;=AW$2,$F92&gt;=AW$2),1,0)</f>
        <v/>
      </c>
    </row>
    <row r="93">
      <c r="A93">
        <f>IF(AND(ISNUMBER(Events!$A95),ISNUMBER(Events!$B95)),MAX(0,Events!$B95-Events!$A95),0)</f>
        <v/>
      </c>
      <c r="B93">
        <f>IF(ISNUMBER(Events!$A95),DATE(YEAR($B$1)-1,MONTH(Events!$A95),DAY(Events!$A95)),"")</f>
        <v/>
      </c>
      <c r="C93">
        <f>IF(ISNUMBER(Events!$A95),DATE(YEAR($B$1),MONTH(Events!$A95),DAY(Events!$A95)),"")</f>
        <v/>
      </c>
      <c r="D93">
        <f>IF(ISNUMBER(Events!$A95),DATE(YEAR($B$2),MONTH(Events!$A95),DAY(Events!$A95)),"")</f>
        <v/>
      </c>
      <c r="E93">
        <f>IF(OR(NOT(ISNUMBER(Events!$A95)),Events!$G95="No",Calendar!$H$4="None"),"",IF(OR(Calendar!$H$4="All events",Events!$D95=Calendar!$H$4),IF(Events!$E95="Yes",IF(AND(B93&gt;=Events!$A95,B93&lt;=$B$2,B93+$A93&gt;=$B$1),B93,IF(AND(C93&gt;=Events!$A95,C93&lt;=$B$2,C93+$A93&gt;=$B$1),C93,IF(AND(D93&gt;=Events!$A95,D93&lt;=$B$2,D93+$A93&gt;=$B$1),D93,""))),IF(AND(Events!$A95&lt;=$B$2,Events!$A95+$A93&gt;=$B$1),Events!$A95,"")),""))</f>
        <v/>
      </c>
      <c r="F93">
        <f>IF(E93="","",E93+A93)</f>
        <v/>
      </c>
      <c r="G93">
        <f>IF(E93="","",IF(AND(E93&lt;=EOMONTH(Calendar!$K$2,0),F93&gt;=Calendar!$K$2),E93+90/100000,""))</f>
        <v/>
      </c>
      <c r="H93">
        <f>H92+IF(AND($E93&lt;&gt;"",$E93&lt;=H$2,$F93&gt;=H$2),1,0)</f>
        <v/>
      </c>
      <c r="I93">
        <f>I92+IF(AND($E93&lt;&gt;"",$E93&lt;=I$2,$F93&gt;=I$2),1,0)</f>
        <v/>
      </c>
      <c r="J93">
        <f>J92+IF(AND($E93&lt;&gt;"",$E93&lt;=J$2,$F93&gt;=J$2),1,0)</f>
        <v/>
      </c>
      <c r="K93">
        <f>K92+IF(AND($E93&lt;&gt;"",$E93&lt;=K$2,$F93&gt;=K$2),1,0)</f>
        <v/>
      </c>
      <c r="L93">
        <f>L92+IF(AND($E93&lt;&gt;"",$E93&lt;=L$2,$F93&gt;=L$2),1,0)</f>
        <v/>
      </c>
      <c r="M93">
        <f>M92+IF(AND($E93&lt;&gt;"",$E93&lt;=M$2,$F93&gt;=M$2),1,0)</f>
        <v/>
      </c>
      <c r="N93">
        <f>N92+IF(AND($E93&lt;&gt;"",$E93&lt;=N$2,$F93&gt;=N$2),1,0)</f>
        <v/>
      </c>
      <c r="O93">
        <f>O92+IF(AND($E93&lt;&gt;"",$E93&lt;=O$2,$F93&gt;=O$2),1,0)</f>
        <v/>
      </c>
      <c r="P93">
        <f>P92+IF(AND($E93&lt;&gt;"",$E93&lt;=P$2,$F93&gt;=P$2),1,0)</f>
        <v/>
      </c>
      <c r="Q93">
        <f>Q92+IF(AND($E93&lt;&gt;"",$E93&lt;=Q$2,$F93&gt;=Q$2),1,0)</f>
        <v/>
      </c>
      <c r="R93">
        <f>R92+IF(AND($E93&lt;&gt;"",$E93&lt;=R$2,$F93&gt;=R$2),1,0)</f>
        <v/>
      </c>
      <c r="S93">
        <f>S92+IF(AND($E93&lt;&gt;"",$E93&lt;=S$2,$F93&gt;=S$2),1,0)</f>
        <v/>
      </c>
      <c r="T93">
        <f>T92+IF(AND($E93&lt;&gt;"",$E93&lt;=T$2,$F93&gt;=T$2),1,0)</f>
        <v/>
      </c>
      <c r="U93">
        <f>U92+IF(AND($E93&lt;&gt;"",$E93&lt;=U$2,$F93&gt;=U$2),1,0)</f>
        <v/>
      </c>
      <c r="V93">
        <f>V92+IF(AND($E93&lt;&gt;"",$E93&lt;=V$2,$F93&gt;=V$2),1,0)</f>
        <v/>
      </c>
      <c r="W93">
        <f>W92+IF(AND($E93&lt;&gt;"",$E93&lt;=W$2,$F93&gt;=W$2),1,0)</f>
        <v/>
      </c>
      <c r="X93">
        <f>X92+IF(AND($E93&lt;&gt;"",$E93&lt;=X$2,$F93&gt;=X$2),1,0)</f>
        <v/>
      </c>
      <c r="Y93">
        <f>Y92+IF(AND($E93&lt;&gt;"",$E93&lt;=Y$2,$F93&gt;=Y$2),1,0)</f>
        <v/>
      </c>
      <c r="Z93">
        <f>Z92+IF(AND($E93&lt;&gt;"",$E93&lt;=Z$2,$F93&gt;=Z$2),1,0)</f>
        <v/>
      </c>
      <c r="AA93">
        <f>AA92+IF(AND($E93&lt;&gt;"",$E93&lt;=AA$2,$F93&gt;=AA$2),1,0)</f>
        <v/>
      </c>
      <c r="AB93">
        <f>AB92+IF(AND($E93&lt;&gt;"",$E93&lt;=AB$2,$F93&gt;=AB$2),1,0)</f>
        <v/>
      </c>
      <c r="AC93">
        <f>AC92+IF(AND($E93&lt;&gt;"",$E93&lt;=AC$2,$F93&gt;=AC$2),1,0)</f>
        <v/>
      </c>
      <c r="AD93">
        <f>AD92+IF(AND($E93&lt;&gt;"",$E93&lt;=AD$2,$F93&gt;=AD$2),1,0)</f>
        <v/>
      </c>
      <c r="AE93">
        <f>AE92+IF(AND($E93&lt;&gt;"",$E93&lt;=AE$2,$F93&gt;=AE$2),1,0)</f>
        <v/>
      </c>
      <c r="AF93">
        <f>AF92+IF(AND($E93&lt;&gt;"",$E93&lt;=AF$2,$F93&gt;=AF$2),1,0)</f>
        <v/>
      </c>
      <c r="AG93">
        <f>AG92+IF(AND($E93&lt;&gt;"",$E93&lt;=AG$2,$F93&gt;=AG$2),1,0)</f>
        <v/>
      </c>
      <c r="AH93">
        <f>AH92+IF(AND($E93&lt;&gt;"",$E93&lt;=AH$2,$F93&gt;=AH$2),1,0)</f>
        <v/>
      </c>
      <c r="AI93">
        <f>AI92+IF(AND($E93&lt;&gt;"",$E93&lt;=AI$2,$F93&gt;=AI$2),1,0)</f>
        <v/>
      </c>
      <c r="AJ93">
        <f>AJ92+IF(AND($E93&lt;&gt;"",$E93&lt;=AJ$2,$F93&gt;=AJ$2),1,0)</f>
        <v/>
      </c>
      <c r="AK93">
        <f>AK92+IF(AND($E93&lt;&gt;"",$E93&lt;=AK$2,$F93&gt;=AK$2),1,0)</f>
        <v/>
      </c>
      <c r="AL93">
        <f>AL92+IF(AND($E93&lt;&gt;"",$E93&lt;=AL$2,$F93&gt;=AL$2),1,0)</f>
        <v/>
      </c>
      <c r="AM93">
        <f>AM92+IF(AND($E93&lt;&gt;"",$E93&lt;=AM$2,$F93&gt;=AM$2),1,0)</f>
        <v/>
      </c>
      <c r="AN93">
        <f>AN92+IF(AND($E93&lt;&gt;"",$E93&lt;=AN$2,$F93&gt;=AN$2),1,0)</f>
        <v/>
      </c>
      <c r="AO93">
        <f>AO92+IF(AND($E93&lt;&gt;"",$E93&lt;=AO$2,$F93&gt;=AO$2),1,0)</f>
        <v/>
      </c>
      <c r="AP93">
        <f>AP92+IF(AND($E93&lt;&gt;"",$E93&lt;=AP$2,$F93&gt;=AP$2),1,0)</f>
        <v/>
      </c>
      <c r="AQ93">
        <f>AQ92+IF(AND($E93&lt;&gt;"",$E93&lt;=AQ$2,$F93&gt;=AQ$2),1,0)</f>
        <v/>
      </c>
      <c r="AR93">
        <f>AR92+IF(AND($E93&lt;&gt;"",$E93&lt;=AR$2,$F93&gt;=AR$2),1,0)</f>
        <v/>
      </c>
      <c r="AS93">
        <f>AS92+IF(AND($E93&lt;&gt;"",$E93&lt;=AS$2,$F93&gt;=AS$2),1,0)</f>
        <v/>
      </c>
      <c r="AT93">
        <f>AT92+IF(AND($E93&lt;&gt;"",$E93&lt;=AT$2,$F93&gt;=AT$2),1,0)</f>
        <v/>
      </c>
      <c r="AU93">
        <f>AU92+IF(AND($E93&lt;&gt;"",$E93&lt;=AU$2,$F93&gt;=AU$2),1,0)</f>
        <v/>
      </c>
      <c r="AV93">
        <f>AV92+IF(AND($E93&lt;&gt;"",$E93&lt;=AV$2,$F93&gt;=AV$2),1,0)</f>
        <v/>
      </c>
      <c r="AW93">
        <f>AW92+IF(AND($E93&lt;&gt;"",$E93&lt;=AW$2,$F93&gt;=AW$2),1,0)</f>
        <v/>
      </c>
    </row>
    <row r="94">
      <c r="A94">
        <f>IF(AND(ISNUMBER(Events!$A96),ISNUMBER(Events!$B96)),MAX(0,Events!$B96-Events!$A96),0)</f>
        <v/>
      </c>
      <c r="B94">
        <f>IF(ISNUMBER(Events!$A96),DATE(YEAR($B$1)-1,MONTH(Events!$A96),DAY(Events!$A96)),"")</f>
        <v/>
      </c>
      <c r="C94">
        <f>IF(ISNUMBER(Events!$A96),DATE(YEAR($B$1),MONTH(Events!$A96),DAY(Events!$A96)),"")</f>
        <v/>
      </c>
      <c r="D94">
        <f>IF(ISNUMBER(Events!$A96),DATE(YEAR($B$2),MONTH(Events!$A96),DAY(Events!$A96)),"")</f>
        <v/>
      </c>
      <c r="E94">
        <f>IF(OR(NOT(ISNUMBER(Events!$A96)),Events!$G96="No",Calendar!$H$4="None"),"",IF(OR(Calendar!$H$4="All events",Events!$D96=Calendar!$H$4),IF(Events!$E96="Yes",IF(AND(B94&gt;=Events!$A96,B94&lt;=$B$2,B94+$A94&gt;=$B$1),B94,IF(AND(C94&gt;=Events!$A96,C94&lt;=$B$2,C94+$A94&gt;=$B$1),C94,IF(AND(D94&gt;=Events!$A96,D94&lt;=$B$2,D94+$A94&gt;=$B$1),D94,""))),IF(AND(Events!$A96&lt;=$B$2,Events!$A96+$A94&gt;=$B$1),Events!$A96,"")),""))</f>
        <v/>
      </c>
      <c r="F94">
        <f>IF(E94="","",E94+A94)</f>
        <v/>
      </c>
      <c r="G94">
        <f>IF(E94="","",IF(AND(E94&lt;=EOMONTH(Calendar!$K$2,0),F94&gt;=Calendar!$K$2),E94+91/100000,""))</f>
        <v/>
      </c>
      <c r="H94">
        <f>H93+IF(AND($E94&lt;&gt;"",$E94&lt;=H$2,$F94&gt;=H$2),1,0)</f>
        <v/>
      </c>
      <c r="I94">
        <f>I93+IF(AND($E94&lt;&gt;"",$E94&lt;=I$2,$F94&gt;=I$2),1,0)</f>
        <v/>
      </c>
      <c r="J94">
        <f>J93+IF(AND($E94&lt;&gt;"",$E94&lt;=J$2,$F94&gt;=J$2),1,0)</f>
        <v/>
      </c>
      <c r="K94">
        <f>K93+IF(AND($E94&lt;&gt;"",$E94&lt;=K$2,$F94&gt;=K$2),1,0)</f>
        <v/>
      </c>
      <c r="L94">
        <f>L93+IF(AND($E94&lt;&gt;"",$E94&lt;=L$2,$F94&gt;=L$2),1,0)</f>
        <v/>
      </c>
      <c r="M94">
        <f>M93+IF(AND($E94&lt;&gt;"",$E94&lt;=M$2,$F94&gt;=M$2),1,0)</f>
        <v/>
      </c>
      <c r="N94">
        <f>N93+IF(AND($E94&lt;&gt;"",$E94&lt;=N$2,$F94&gt;=N$2),1,0)</f>
        <v/>
      </c>
      <c r="O94">
        <f>O93+IF(AND($E94&lt;&gt;"",$E94&lt;=O$2,$F94&gt;=O$2),1,0)</f>
        <v/>
      </c>
      <c r="P94">
        <f>P93+IF(AND($E94&lt;&gt;"",$E94&lt;=P$2,$F94&gt;=P$2),1,0)</f>
        <v/>
      </c>
      <c r="Q94">
        <f>Q93+IF(AND($E94&lt;&gt;"",$E94&lt;=Q$2,$F94&gt;=Q$2),1,0)</f>
        <v/>
      </c>
      <c r="R94">
        <f>R93+IF(AND($E94&lt;&gt;"",$E94&lt;=R$2,$F94&gt;=R$2),1,0)</f>
        <v/>
      </c>
      <c r="S94">
        <f>S93+IF(AND($E94&lt;&gt;"",$E94&lt;=S$2,$F94&gt;=S$2),1,0)</f>
        <v/>
      </c>
      <c r="T94">
        <f>T93+IF(AND($E94&lt;&gt;"",$E94&lt;=T$2,$F94&gt;=T$2),1,0)</f>
        <v/>
      </c>
      <c r="U94">
        <f>U93+IF(AND($E94&lt;&gt;"",$E94&lt;=U$2,$F94&gt;=U$2),1,0)</f>
        <v/>
      </c>
      <c r="V94">
        <f>V93+IF(AND($E94&lt;&gt;"",$E94&lt;=V$2,$F94&gt;=V$2),1,0)</f>
        <v/>
      </c>
      <c r="W94">
        <f>W93+IF(AND($E94&lt;&gt;"",$E94&lt;=W$2,$F94&gt;=W$2),1,0)</f>
        <v/>
      </c>
      <c r="X94">
        <f>X93+IF(AND($E94&lt;&gt;"",$E94&lt;=X$2,$F94&gt;=X$2),1,0)</f>
        <v/>
      </c>
      <c r="Y94">
        <f>Y93+IF(AND($E94&lt;&gt;"",$E94&lt;=Y$2,$F94&gt;=Y$2),1,0)</f>
        <v/>
      </c>
      <c r="Z94">
        <f>Z93+IF(AND($E94&lt;&gt;"",$E94&lt;=Z$2,$F94&gt;=Z$2),1,0)</f>
        <v/>
      </c>
      <c r="AA94">
        <f>AA93+IF(AND($E94&lt;&gt;"",$E94&lt;=AA$2,$F94&gt;=AA$2),1,0)</f>
        <v/>
      </c>
      <c r="AB94">
        <f>AB93+IF(AND($E94&lt;&gt;"",$E94&lt;=AB$2,$F94&gt;=AB$2),1,0)</f>
        <v/>
      </c>
      <c r="AC94">
        <f>AC93+IF(AND($E94&lt;&gt;"",$E94&lt;=AC$2,$F94&gt;=AC$2),1,0)</f>
        <v/>
      </c>
      <c r="AD94">
        <f>AD93+IF(AND($E94&lt;&gt;"",$E94&lt;=AD$2,$F94&gt;=AD$2),1,0)</f>
        <v/>
      </c>
      <c r="AE94">
        <f>AE93+IF(AND($E94&lt;&gt;"",$E94&lt;=AE$2,$F94&gt;=AE$2),1,0)</f>
        <v/>
      </c>
      <c r="AF94">
        <f>AF93+IF(AND($E94&lt;&gt;"",$E94&lt;=AF$2,$F94&gt;=AF$2),1,0)</f>
        <v/>
      </c>
      <c r="AG94">
        <f>AG93+IF(AND($E94&lt;&gt;"",$E94&lt;=AG$2,$F94&gt;=AG$2),1,0)</f>
        <v/>
      </c>
      <c r="AH94">
        <f>AH93+IF(AND($E94&lt;&gt;"",$E94&lt;=AH$2,$F94&gt;=AH$2),1,0)</f>
        <v/>
      </c>
      <c r="AI94">
        <f>AI93+IF(AND($E94&lt;&gt;"",$E94&lt;=AI$2,$F94&gt;=AI$2),1,0)</f>
        <v/>
      </c>
      <c r="AJ94">
        <f>AJ93+IF(AND($E94&lt;&gt;"",$E94&lt;=AJ$2,$F94&gt;=AJ$2),1,0)</f>
        <v/>
      </c>
      <c r="AK94">
        <f>AK93+IF(AND($E94&lt;&gt;"",$E94&lt;=AK$2,$F94&gt;=AK$2),1,0)</f>
        <v/>
      </c>
      <c r="AL94">
        <f>AL93+IF(AND($E94&lt;&gt;"",$E94&lt;=AL$2,$F94&gt;=AL$2),1,0)</f>
        <v/>
      </c>
      <c r="AM94">
        <f>AM93+IF(AND($E94&lt;&gt;"",$E94&lt;=AM$2,$F94&gt;=AM$2),1,0)</f>
        <v/>
      </c>
      <c r="AN94">
        <f>AN93+IF(AND($E94&lt;&gt;"",$E94&lt;=AN$2,$F94&gt;=AN$2),1,0)</f>
        <v/>
      </c>
      <c r="AO94">
        <f>AO93+IF(AND($E94&lt;&gt;"",$E94&lt;=AO$2,$F94&gt;=AO$2),1,0)</f>
        <v/>
      </c>
      <c r="AP94">
        <f>AP93+IF(AND($E94&lt;&gt;"",$E94&lt;=AP$2,$F94&gt;=AP$2),1,0)</f>
        <v/>
      </c>
      <c r="AQ94">
        <f>AQ93+IF(AND($E94&lt;&gt;"",$E94&lt;=AQ$2,$F94&gt;=AQ$2),1,0)</f>
        <v/>
      </c>
      <c r="AR94">
        <f>AR93+IF(AND($E94&lt;&gt;"",$E94&lt;=AR$2,$F94&gt;=AR$2),1,0)</f>
        <v/>
      </c>
      <c r="AS94">
        <f>AS93+IF(AND($E94&lt;&gt;"",$E94&lt;=AS$2,$F94&gt;=AS$2),1,0)</f>
        <v/>
      </c>
      <c r="AT94">
        <f>AT93+IF(AND($E94&lt;&gt;"",$E94&lt;=AT$2,$F94&gt;=AT$2),1,0)</f>
        <v/>
      </c>
      <c r="AU94">
        <f>AU93+IF(AND($E94&lt;&gt;"",$E94&lt;=AU$2,$F94&gt;=AU$2),1,0)</f>
        <v/>
      </c>
      <c r="AV94">
        <f>AV93+IF(AND($E94&lt;&gt;"",$E94&lt;=AV$2,$F94&gt;=AV$2),1,0)</f>
        <v/>
      </c>
      <c r="AW94">
        <f>AW93+IF(AND($E94&lt;&gt;"",$E94&lt;=AW$2,$F94&gt;=AW$2),1,0)</f>
        <v/>
      </c>
    </row>
    <row r="95">
      <c r="A95">
        <f>IF(AND(ISNUMBER(Events!$A97),ISNUMBER(Events!$B97)),MAX(0,Events!$B97-Events!$A97),0)</f>
        <v/>
      </c>
      <c r="B95">
        <f>IF(ISNUMBER(Events!$A97),DATE(YEAR($B$1)-1,MONTH(Events!$A97),DAY(Events!$A97)),"")</f>
        <v/>
      </c>
      <c r="C95">
        <f>IF(ISNUMBER(Events!$A97),DATE(YEAR($B$1),MONTH(Events!$A97),DAY(Events!$A97)),"")</f>
        <v/>
      </c>
      <c r="D95">
        <f>IF(ISNUMBER(Events!$A97),DATE(YEAR($B$2),MONTH(Events!$A97),DAY(Events!$A97)),"")</f>
        <v/>
      </c>
      <c r="E95">
        <f>IF(OR(NOT(ISNUMBER(Events!$A97)),Events!$G97="No",Calendar!$H$4="None"),"",IF(OR(Calendar!$H$4="All events",Events!$D97=Calendar!$H$4),IF(Events!$E97="Yes",IF(AND(B95&gt;=Events!$A97,B95&lt;=$B$2,B95+$A95&gt;=$B$1),B95,IF(AND(C95&gt;=Events!$A97,C95&lt;=$B$2,C95+$A95&gt;=$B$1),C95,IF(AND(D95&gt;=Events!$A97,D95&lt;=$B$2,D95+$A95&gt;=$B$1),D95,""))),IF(AND(Events!$A97&lt;=$B$2,Events!$A97+$A95&gt;=$B$1),Events!$A97,"")),""))</f>
        <v/>
      </c>
      <c r="F95">
        <f>IF(E95="","",E95+A95)</f>
        <v/>
      </c>
      <c r="G95">
        <f>IF(E95="","",IF(AND(E95&lt;=EOMONTH(Calendar!$K$2,0),F95&gt;=Calendar!$K$2),E95+92/100000,""))</f>
        <v/>
      </c>
      <c r="H95">
        <f>H94+IF(AND($E95&lt;&gt;"",$E95&lt;=H$2,$F95&gt;=H$2),1,0)</f>
        <v/>
      </c>
      <c r="I95">
        <f>I94+IF(AND($E95&lt;&gt;"",$E95&lt;=I$2,$F95&gt;=I$2),1,0)</f>
        <v/>
      </c>
      <c r="J95">
        <f>J94+IF(AND($E95&lt;&gt;"",$E95&lt;=J$2,$F95&gt;=J$2),1,0)</f>
        <v/>
      </c>
      <c r="K95">
        <f>K94+IF(AND($E95&lt;&gt;"",$E95&lt;=K$2,$F95&gt;=K$2),1,0)</f>
        <v/>
      </c>
      <c r="L95">
        <f>L94+IF(AND($E95&lt;&gt;"",$E95&lt;=L$2,$F95&gt;=L$2),1,0)</f>
        <v/>
      </c>
      <c r="M95">
        <f>M94+IF(AND($E95&lt;&gt;"",$E95&lt;=M$2,$F95&gt;=M$2),1,0)</f>
        <v/>
      </c>
      <c r="N95">
        <f>N94+IF(AND($E95&lt;&gt;"",$E95&lt;=N$2,$F95&gt;=N$2),1,0)</f>
        <v/>
      </c>
      <c r="O95">
        <f>O94+IF(AND($E95&lt;&gt;"",$E95&lt;=O$2,$F95&gt;=O$2),1,0)</f>
        <v/>
      </c>
      <c r="P95">
        <f>P94+IF(AND($E95&lt;&gt;"",$E95&lt;=P$2,$F95&gt;=P$2),1,0)</f>
        <v/>
      </c>
      <c r="Q95">
        <f>Q94+IF(AND($E95&lt;&gt;"",$E95&lt;=Q$2,$F95&gt;=Q$2),1,0)</f>
        <v/>
      </c>
      <c r="R95">
        <f>R94+IF(AND($E95&lt;&gt;"",$E95&lt;=R$2,$F95&gt;=R$2),1,0)</f>
        <v/>
      </c>
      <c r="S95">
        <f>S94+IF(AND($E95&lt;&gt;"",$E95&lt;=S$2,$F95&gt;=S$2),1,0)</f>
        <v/>
      </c>
      <c r="T95">
        <f>T94+IF(AND($E95&lt;&gt;"",$E95&lt;=T$2,$F95&gt;=T$2),1,0)</f>
        <v/>
      </c>
      <c r="U95">
        <f>U94+IF(AND($E95&lt;&gt;"",$E95&lt;=U$2,$F95&gt;=U$2),1,0)</f>
        <v/>
      </c>
      <c r="V95">
        <f>V94+IF(AND($E95&lt;&gt;"",$E95&lt;=V$2,$F95&gt;=V$2),1,0)</f>
        <v/>
      </c>
      <c r="W95">
        <f>W94+IF(AND($E95&lt;&gt;"",$E95&lt;=W$2,$F95&gt;=W$2),1,0)</f>
        <v/>
      </c>
      <c r="X95">
        <f>X94+IF(AND($E95&lt;&gt;"",$E95&lt;=X$2,$F95&gt;=X$2),1,0)</f>
        <v/>
      </c>
      <c r="Y95">
        <f>Y94+IF(AND($E95&lt;&gt;"",$E95&lt;=Y$2,$F95&gt;=Y$2),1,0)</f>
        <v/>
      </c>
      <c r="Z95">
        <f>Z94+IF(AND($E95&lt;&gt;"",$E95&lt;=Z$2,$F95&gt;=Z$2),1,0)</f>
        <v/>
      </c>
      <c r="AA95">
        <f>AA94+IF(AND($E95&lt;&gt;"",$E95&lt;=AA$2,$F95&gt;=AA$2),1,0)</f>
        <v/>
      </c>
      <c r="AB95">
        <f>AB94+IF(AND($E95&lt;&gt;"",$E95&lt;=AB$2,$F95&gt;=AB$2),1,0)</f>
        <v/>
      </c>
      <c r="AC95">
        <f>AC94+IF(AND($E95&lt;&gt;"",$E95&lt;=AC$2,$F95&gt;=AC$2),1,0)</f>
        <v/>
      </c>
      <c r="AD95">
        <f>AD94+IF(AND($E95&lt;&gt;"",$E95&lt;=AD$2,$F95&gt;=AD$2),1,0)</f>
        <v/>
      </c>
      <c r="AE95">
        <f>AE94+IF(AND($E95&lt;&gt;"",$E95&lt;=AE$2,$F95&gt;=AE$2),1,0)</f>
        <v/>
      </c>
      <c r="AF95">
        <f>AF94+IF(AND($E95&lt;&gt;"",$E95&lt;=AF$2,$F95&gt;=AF$2),1,0)</f>
        <v/>
      </c>
      <c r="AG95">
        <f>AG94+IF(AND($E95&lt;&gt;"",$E95&lt;=AG$2,$F95&gt;=AG$2),1,0)</f>
        <v/>
      </c>
      <c r="AH95">
        <f>AH94+IF(AND($E95&lt;&gt;"",$E95&lt;=AH$2,$F95&gt;=AH$2),1,0)</f>
        <v/>
      </c>
      <c r="AI95">
        <f>AI94+IF(AND($E95&lt;&gt;"",$E95&lt;=AI$2,$F95&gt;=AI$2),1,0)</f>
        <v/>
      </c>
      <c r="AJ95">
        <f>AJ94+IF(AND($E95&lt;&gt;"",$E95&lt;=AJ$2,$F95&gt;=AJ$2),1,0)</f>
        <v/>
      </c>
      <c r="AK95">
        <f>AK94+IF(AND($E95&lt;&gt;"",$E95&lt;=AK$2,$F95&gt;=AK$2),1,0)</f>
        <v/>
      </c>
      <c r="AL95">
        <f>AL94+IF(AND($E95&lt;&gt;"",$E95&lt;=AL$2,$F95&gt;=AL$2),1,0)</f>
        <v/>
      </c>
      <c r="AM95">
        <f>AM94+IF(AND($E95&lt;&gt;"",$E95&lt;=AM$2,$F95&gt;=AM$2),1,0)</f>
        <v/>
      </c>
      <c r="AN95">
        <f>AN94+IF(AND($E95&lt;&gt;"",$E95&lt;=AN$2,$F95&gt;=AN$2),1,0)</f>
        <v/>
      </c>
      <c r="AO95">
        <f>AO94+IF(AND($E95&lt;&gt;"",$E95&lt;=AO$2,$F95&gt;=AO$2),1,0)</f>
        <v/>
      </c>
      <c r="AP95">
        <f>AP94+IF(AND($E95&lt;&gt;"",$E95&lt;=AP$2,$F95&gt;=AP$2),1,0)</f>
        <v/>
      </c>
      <c r="AQ95">
        <f>AQ94+IF(AND($E95&lt;&gt;"",$E95&lt;=AQ$2,$F95&gt;=AQ$2),1,0)</f>
        <v/>
      </c>
      <c r="AR95">
        <f>AR94+IF(AND($E95&lt;&gt;"",$E95&lt;=AR$2,$F95&gt;=AR$2),1,0)</f>
        <v/>
      </c>
      <c r="AS95">
        <f>AS94+IF(AND($E95&lt;&gt;"",$E95&lt;=AS$2,$F95&gt;=AS$2),1,0)</f>
        <v/>
      </c>
      <c r="AT95">
        <f>AT94+IF(AND($E95&lt;&gt;"",$E95&lt;=AT$2,$F95&gt;=AT$2),1,0)</f>
        <v/>
      </c>
      <c r="AU95">
        <f>AU94+IF(AND($E95&lt;&gt;"",$E95&lt;=AU$2,$F95&gt;=AU$2),1,0)</f>
        <v/>
      </c>
      <c r="AV95">
        <f>AV94+IF(AND($E95&lt;&gt;"",$E95&lt;=AV$2,$F95&gt;=AV$2),1,0)</f>
        <v/>
      </c>
      <c r="AW95">
        <f>AW94+IF(AND($E95&lt;&gt;"",$E95&lt;=AW$2,$F95&gt;=AW$2),1,0)</f>
        <v/>
      </c>
    </row>
    <row r="96">
      <c r="A96">
        <f>IF(AND(ISNUMBER(Events!$A98),ISNUMBER(Events!$B98)),MAX(0,Events!$B98-Events!$A98),0)</f>
        <v/>
      </c>
      <c r="B96">
        <f>IF(ISNUMBER(Events!$A98),DATE(YEAR($B$1)-1,MONTH(Events!$A98),DAY(Events!$A98)),"")</f>
        <v/>
      </c>
      <c r="C96">
        <f>IF(ISNUMBER(Events!$A98),DATE(YEAR($B$1),MONTH(Events!$A98),DAY(Events!$A98)),"")</f>
        <v/>
      </c>
      <c r="D96">
        <f>IF(ISNUMBER(Events!$A98),DATE(YEAR($B$2),MONTH(Events!$A98),DAY(Events!$A98)),"")</f>
        <v/>
      </c>
      <c r="E96">
        <f>IF(OR(NOT(ISNUMBER(Events!$A98)),Events!$G98="No",Calendar!$H$4="None"),"",IF(OR(Calendar!$H$4="All events",Events!$D98=Calendar!$H$4),IF(Events!$E98="Yes",IF(AND(B96&gt;=Events!$A98,B96&lt;=$B$2,B96+$A96&gt;=$B$1),B96,IF(AND(C96&gt;=Events!$A98,C96&lt;=$B$2,C96+$A96&gt;=$B$1),C96,IF(AND(D96&gt;=Events!$A98,D96&lt;=$B$2,D96+$A96&gt;=$B$1),D96,""))),IF(AND(Events!$A98&lt;=$B$2,Events!$A98+$A96&gt;=$B$1),Events!$A98,"")),""))</f>
        <v/>
      </c>
      <c r="F96">
        <f>IF(E96="","",E96+A96)</f>
        <v/>
      </c>
      <c r="G96">
        <f>IF(E96="","",IF(AND(E96&lt;=EOMONTH(Calendar!$K$2,0),F96&gt;=Calendar!$K$2),E96+93/100000,""))</f>
        <v/>
      </c>
      <c r="H96">
        <f>H95+IF(AND($E96&lt;&gt;"",$E96&lt;=H$2,$F96&gt;=H$2),1,0)</f>
        <v/>
      </c>
      <c r="I96">
        <f>I95+IF(AND($E96&lt;&gt;"",$E96&lt;=I$2,$F96&gt;=I$2),1,0)</f>
        <v/>
      </c>
      <c r="J96">
        <f>J95+IF(AND($E96&lt;&gt;"",$E96&lt;=J$2,$F96&gt;=J$2),1,0)</f>
        <v/>
      </c>
      <c r="K96">
        <f>K95+IF(AND($E96&lt;&gt;"",$E96&lt;=K$2,$F96&gt;=K$2),1,0)</f>
        <v/>
      </c>
      <c r="L96">
        <f>L95+IF(AND($E96&lt;&gt;"",$E96&lt;=L$2,$F96&gt;=L$2),1,0)</f>
        <v/>
      </c>
      <c r="M96">
        <f>M95+IF(AND($E96&lt;&gt;"",$E96&lt;=M$2,$F96&gt;=M$2),1,0)</f>
        <v/>
      </c>
      <c r="N96">
        <f>N95+IF(AND($E96&lt;&gt;"",$E96&lt;=N$2,$F96&gt;=N$2),1,0)</f>
        <v/>
      </c>
      <c r="O96">
        <f>O95+IF(AND($E96&lt;&gt;"",$E96&lt;=O$2,$F96&gt;=O$2),1,0)</f>
        <v/>
      </c>
      <c r="P96">
        <f>P95+IF(AND($E96&lt;&gt;"",$E96&lt;=P$2,$F96&gt;=P$2),1,0)</f>
        <v/>
      </c>
      <c r="Q96">
        <f>Q95+IF(AND($E96&lt;&gt;"",$E96&lt;=Q$2,$F96&gt;=Q$2),1,0)</f>
        <v/>
      </c>
      <c r="R96">
        <f>R95+IF(AND($E96&lt;&gt;"",$E96&lt;=R$2,$F96&gt;=R$2),1,0)</f>
        <v/>
      </c>
      <c r="S96">
        <f>S95+IF(AND($E96&lt;&gt;"",$E96&lt;=S$2,$F96&gt;=S$2),1,0)</f>
        <v/>
      </c>
      <c r="T96">
        <f>T95+IF(AND($E96&lt;&gt;"",$E96&lt;=T$2,$F96&gt;=T$2),1,0)</f>
        <v/>
      </c>
      <c r="U96">
        <f>U95+IF(AND($E96&lt;&gt;"",$E96&lt;=U$2,$F96&gt;=U$2),1,0)</f>
        <v/>
      </c>
      <c r="V96">
        <f>V95+IF(AND($E96&lt;&gt;"",$E96&lt;=V$2,$F96&gt;=V$2),1,0)</f>
        <v/>
      </c>
      <c r="W96">
        <f>W95+IF(AND($E96&lt;&gt;"",$E96&lt;=W$2,$F96&gt;=W$2),1,0)</f>
        <v/>
      </c>
      <c r="X96">
        <f>X95+IF(AND($E96&lt;&gt;"",$E96&lt;=X$2,$F96&gt;=X$2),1,0)</f>
        <v/>
      </c>
      <c r="Y96">
        <f>Y95+IF(AND($E96&lt;&gt;"",$E96&lt;=Y$2,$F96&gt;=Y$2),1,0)</f>
        <v/>
      </c>
      <c r="Z96">
        <f>Z95+IF(AND($E96&lt;&gt;"",$E96&lt;=Z$2,$F96&gt;=Z$2),1,0)</f>
        <v/>
      </c>
      <c r="AA96">
        <f>AA95+IF(AND($E96&lt;&gt;"",$E96&lt;=AA$2,$F96&gt;=AA$2),1,0)</f>
        <v/>
      </c>
      <c r="AB96">
        <f>AB95+IF(AND($E96&lt;&gt;"",$E96&lt;=AB$2,$F96&gt;=AB$2),1,0)</f>
        <v/>
      </c>
      <c r="AC96">
        <f>AC95+IF(AND($E96&lt;&gt;"",$E96&lt;=AC$2,$F96&gt;=AC$2),1,0)</f>
        <v/>
      </c>
      <c r="AD96">
        <f>AD95+IF(AND($E96&lt;&gt;"",$E96&lt;=AD$2,$F96&gt;=AD$2),1,0)</f>
        <v/>
      </c>
      <c r="AE96">
        <f>AE95+IF(AND($E96&lt;&gt;"",$E96&lt;=AE$2,$F96&gt;=AE$2),1,0)</f>
        <v/>
      </c>
      <c r="AF96">
        <f>AF95+IF(AND($E96&lt;&gt;"",$E96&lt;=AF$2,$F96&gt;=AF$2),1,0)</f>
        <v/>
      </c>
      <c r="AG96">
        <f>AG95+IF(AND($E96&lt;&gt;"",$E96&lt;=AG$2,$F96&gt;=AG$2),1,0)</f>
        <v/>
      </c>
      <c r="AH96">
        <f>AH95+IF(AND($E96&lt;&gt;"",$E96&lt;=AH$2,$F96&gt;=AH$2),1,0)</f>
        <v/>
      </c>
      <c r="AI96">
        <f>AI95+IF(AND($E96&lt;&gt;"",$E96&lt;=AI$2,$F96&gt;=AI$2),1,0)</f>
        <v/>
      </c>
      <c r="AJ96">
        <f>AJ95+IF(AND($E96&lt;&gt;"",$E96&lt;=AJ$2,$F96&gt;=AJ$2),1,0)</f>
        <v/>
      </c>
      <c r="AK96">
        <f>AK95+IF(AND($E96&lt;&gt;"",$E96&lt;=AK$2,$F96&gt;=AK$2),1,0)</f>
        <v/>
      </c>
      <c r="AL96">
        <f>AL95+IF(AND($E96&lt;&gt;"",$E96&lt;=AL$2,$F96&gt;=AL$2),1,0)</f>
        <v/>
      </c>
      <c r="AM96">
        <f>AM95+IF(AND($E96&lt;&gt;"",$E96&lt;=AM$2,$F96&gt;=AM$2),1,0)</f>
        <v/>
      </c>
      <c r="AN96">
        <f>AN95+IF(AND($E96&lt;&gt;"",$E96&lt;=AN$2,$F96&gt;=AN$2),1,0)</f>
        <v/>
      </c>
      <c r="AO96">
        <f>AO95+IF(AND($E96&lt;&gt;"",$E96&lt;=AO$2,$F96&gt;=AO$2),1,0)</f>
        <v/>
      </c>
      <c r="AP96">
        <f>AP95+IF(AND($E96&lt;&gt;"",$E96&lt;=AP$2,$F96&gt;=AP$2),1,0)</f>
        <v/>
      </c>
      <c r="AQ96">
        <f>AQ95+IF(AND($E96&lt;&gt;"",$E96&lt;=AQ$2,$F96&gt;=AQ$2),1,0)</f>
        <v/>
      </c>
      <c r="AR96">
        <f>AR95+IF(AND($E96&lt;&gt;"",$E96&lt;=AR$2,$F96&gt;=AR$2),1,0)</f>
        <v/>
      </c>
      <c r="AS96">
        <f>AS95+IF(AND($E96&lt;&gt;"",$E96&lt;=AS$2,$F96&gt;=AS$2),1,0)</f>
        <v/>
      </c>
      <c r="AT96">
        <f>AT95+IF(AND($E96&lt;&gt;"",$E96&lt;=AT$2,$F96&gt;=AT$2),1,0)</f>
        <v/>
      </c>
      <c r="AU96">
        <f>AU95+IF(AND($E96&lt;&gt;"",$E96&lt;=AU$2,$F96&gt;=AU$2),1,0)</f>
        <v/>
      </c>
      <c r="AV96">
        <f>AV95+IF(AND($E96&lt;&gt;"",$E96&lt;=AV$2,$F96&gt;=AV$2),1,0)</f>
        <v/>
      </c>
      <c r="AW96">
        <f>AW95+IF(AND($E96&lt;&gt;"",$E96&lt;=AW$2,$F96&gt;=AW$2),1,0)</f>
        <v/>
      </c>
    </row>
    <row r="97">
      <c r="A97">
        <f>IF(AND(ISNUMBER(Events!$A99),ISNUMBER(Events!$B99)),MAX(0,Events!$B99-Events!$A99),0)</f>
        <v/>
      </c>
      <c r="B97">
        <f>IF(ISNUMBER(Events!$A99),DATE(YEAR($B$1)-1,MONTH(Events!$A99),DAY(Events!$A99)),"")</f>
        <v/>
      </c>
      <c r="C97">
        <f>IF(ISNUMBER(Events!$A99),DATE(YEAR($B$1),MONTH(Events!$A99),DAY(Events!$A99)),"")</f>
        <v/>
      </c>
      <c r="D97">
        <f>IF(ISNUMBER(Events!$A99),DATE(YEAR($B$2),MONTH(Events!$A99),DAY(Events!$A99)),"")</f>
        <v/>
      </c>
      <c r="E97">
        <f>IF(OR(NOT(ISNUMBER(Events!$A99)),Events!$G99="No",Calendar!$H$4="None"),"",IF(OR(Calendar!$H$4="All events",Events!$D99=Calendar!$H$4),IF(Events!$E99="Yes",IF(AND(B97&gt;=Events!$A99,B97&lt;=$B$2,B97+$A97&gt;=$B$1),B97,IF(AND(C97&gt;=Events!$A99,C97&lt;=$B$2,C97+$A97&gt;=$B$1),C97,IF(AND(D97&gt;=Events!$A99,D97&lt;=$B$2,D97+$A97&gt;=$B$1),D97,""))),IF(AND(Events!$A99&lt;=$B$2,Events!$A99+$A97&gt;=$B$1),Events!$A99,"")),""))</f>
        <v/>
      </c>
      <c r="F97">
        <f>IF(E97="","",E97+A97)</f>
        <v/>
      </c>
      <c r="G97">
        <f>IF(E97="","",IF(AND(E97&lt;=EOMONTH(Calendar!$K$2,0),F97&gt;=Calendar!$K$2),E97+94/100000,""))</f>
        <v/>
      </c>
      <c r="H97">
        <f>H96+IF(AND($E97&lt;&gt;"",$E97&lt;=H$2,$F97&gt;=H$2),1,0)</f>
        <v/>
      </c>
      <c r="I97">
        <f>I96+IF(AND($E97&lt;&gt;"",$E97&lt;=I$2,$F97&gt;=I$2),1,0)</f>
        <v/>
      </c>
      <c r="J97">
        <f>J96+IF(AND($E97&lt;&gt;"",$E97&lt;=J$2,$F97&gt;=J$2),1,0)</f>
        <v/>
      </c>
      <c r="K97">
        <f>K96+IF(AND($E97&lt;&gt;"",$E97&lt;=K$2,$F97&gt;=K$2),1,0)</f>
        <v/>
      </c>
      <c r="L97">
        <f>L96+IF(AND($E97&lt;&gt;"",$E97&lt;=L$2,$F97&gt;=L$2),1,0)</f>
        <v/>
      </c>
      <c r="M97">
        <f>M96+IF(AND($E97&lt;&gt;"",$E97&lt;=M$2,$F97&gt;=M$2),1,0)</f>
        <v/>
      </c>
      <c r="N97">
        <f>N96+IF(AND($E97&lt;&gt;"",$E97&lt;=N$2,$F97&gt;=N$2),1,0)</f>
        <v/>
      </c>
      <c r="O97">
        <f>O96+IF(AND($E97&lt;&gt;"",$E97&lt;=O$2,$F97&gt;=O$2),1,0)</f>
        <v/>
      </c>
      <c r="P97">
        <f>P96+IF(AND($E97&lt;&gt;"",$E97&lt;=P$2,$F97&gt;=P$2),1,0)</f>
        <v/>
      </c>
      <c r="Q97">
        <f>Q96+IF(AND($E97&lt;&gt;"",$E97&lt;=Q$2,$F97&gt;=Q$2),1,0)</f>
        <v/>
      </c>
      <c r="R97">
        <f>R96+IF(AND($E97&lt;&gt;"",$E97&lt;=R$2,$F97&gt;=R$2),1,0)</f>
        <v/>
      </c>
      <c r="S97">
        <f>S96+IF(AND($E97&lt;&gt;"",$E97&lt;=S$2,$F97&gt;=S$2),1,0)</f>
        <v/>
      </c>
      <c r="T97">
        <f>T96+IF(AND($E97&lt;&gt;"",$E97&lt;=T$2,$F97&gt;=T$2),1,0)</f>
        <v/>
      </c>
      <c r="U97">
        <f>U96+IF(AND($E97&lt;&gt;"",$E97&lt;=U$2,$F97&gt;=U$2),1,0)</f>
        <v/>
      </c>
      <c r="V97">
        <f>V96+IF(AND($E97&lt;&gt;"",$E97&lt;=V$2,$F97&gt;=V$2),1,0)</f>
        <v/>
      </c>
      <c r="W97">
        <f>W96+IF(AND($E97&lt;&gt;"",$E97&lt;=W$2,$F97&gt;=W$2),1,0)</f>
        <v/>
      </c>
      <c r="X97">
        <f>X96+IF(AND($E97&lt;&gt;"",$E97&lt;=X$2,$F97&gt;=X$2),1,0)</f>
        <v/>
      </c>
      <c r="Y97">
        <f>Y96+IF(AND($E97&lt;&gt;"",$E97&lt;=Y$2,$F97&gt;=Y$2),1,0)</f>
        <v/>
      </c>
      <c r="Z97">
        <f>Z96+IF(AND($E97&lt;&gt;"",$E97&lt;=Z$2,$F97&gt;=Z$2),1,0)</f>
        <v/>
      </c>
      <c r="AA97">
        <f>AA96+IF(AND($E97&lt;&gt;"",$E97&lt;=AA$2,$F97&gt;=AA$2),1,0)</f>
        <v/>
      </c>
      <c r="AB97">
        <f>AB96+IF(AND($E97&lt;&gt;"",$E97&lt;=AB$2,$F97&gt;=AB$2),1,0)</f>
        <v/>
      </c>
      <c r="AC97">
        <f>AC96+IF(AND($E97&lt;&gt;"",$E97&lt;=AC$2,$F97&gt;=AC$2),1,0)</f>
        <v/>
      </c>
      <c r="AD97">
        <f>AD96+IF(AND($E97&lt;&gt;"",$E97&lt;=AD$2,$F97&gt;=AD$2),1,0)</f>
        <v/>
      </c>
      <c r="AE97">
        <f>AE96+IF(AND($E97&lt;&gt;"",$E97&lt;=AE$2,$F97&gt;=AE$2),1,0)</f>
        <v/>
      </c>
      <c r="AF97">
        <f>AF96+IF(AND($E97&lt;&gt;"",$E97&lt;=AF$2,$F97&gt;=AF$2),1,0)</f>
        <v/>
      </c>
      <c r="AG97">
        <f>AG96+IF(AND($E97&lt;&gt;"",$E97&lt;=AG$2,$F97&gt;=AG$2),1,0)</f>
        <v/>
      </c>
      <c r="AH97">
        <f>AH96+IF(AND($E97&lt;&gt;"",$E97&lt;=AH$2,$F97&gt;=AH$2),1,0)</f>
        <v/>
      </c>
      <c r="AI97">
        <f>AI96+IF(AND($E97&lt;&gt;"",$E97&lt;=AI$2,$F97&gt;=AI$2),1,0)</f>
        <v/>
      </c>
      <c r="AJ97">
        <f>AJ96+IF(AND($E97&lt;&gt;"",$E97&lt;=AJ$2,$F97&gt;=AJ$2),1,0)</f>
        <v/>
      </c>
      <c r="AK97">
        <f>AK96+IF(AND($E97&lt;&gt;"",$E97&lt;=AK$2,$F97&gt;=AK$2),1,0)</f>
        <v/>
      </c>
      <c r="AL97">
        <f>AL96+IF(AND($E97&lt;&gt;"",$E97&lt;=AL$2,$F97&gt;=AL$2),1,0)</f>
        <v/>
      </c>
      <c r="AM97">
        <f>AM96+IF(AND($E97&lt;&gt;"",$E97&lt;=AM$2,$F97&gt;=AM$2),1,0)</f>
        <v/>
      </c>
      <c r="AN97">
        <f>AN96+IF(AND($E97&lt;&gt;"",$E97&lt;=AN$2,$F97&gt;=AN$2),1,0)</f>
        <v/>
      </c>
      <c r="AO97">
        <f>AO96+IF(AND($E97&lt;&gt;"",$E97&lt;=AO$2,$F97&gt;=AO$2),1,0)</f>
        <v/>
      </c>
      <c r="AP97">
        <f>AP96+IF(AND($E97&lt;&gt;"",$E97&lt;=AP$2,$F97&gt;=AP$2),1,0)</f>
        <v/>
      </c>
      <c r="AQ97">
        <f>AQ96+IF(AND($E97&lt;&gt;"",$E97&lt;=AQ$2,$F97&gt;=AQ$2),1,0)</f>
        <v/>
      </c>
      <c r="AR97">
        <f>AR96+IF(AND($E97&lt;&gt;"",$E97&lt;=AR$2,$F97&gt;=AR$2),1,0)</f>
        <v/>
      </c>
      <c r="AS97">
        <f>AS96+IF(AND($E97&lt;&gt;"",$E97&lt;=AS$2,$F97&gt;=AS$2),1,0)</f>
        <v/>
      </c>
      <c r="AT97">
        <f>AT96+IF(AND($E97&lt;&gt;"",$E97&lt;=AT$2,$F97&gt;=AT$2),1,0)</f>
        <v/>
      </c>
      <c r="AU97">
        <f>AU96+IF(AND($E97&lt;&gt;"",$E97&lt;=AU$2,$F97&gt;=AU$2),1,0)</f>
        <v/>
      </c>
      <c r="AV97">
        <f>AV96+IF(AND($E97&lt;&gt;"",$E97&lt;=AV$2,$F97&gt;=AV$2),1,0)</f>
        <v/>
      </c>
      <c r="AW97">
        <f>AW96+IF(AND($E97&lt;&gt;"",$E97&lt;=AW$2,$F97&gt;=AW$2),1,0)</f>
        <v/>
      </c>
    </row>
    <row r="98">
      <c r="A98">
        <f>IF(AND(ISNUMBER(Events!$A100),ISNUMBER(Events!$B100)),MAX(0,Events!$B100-Events!$A100),0)</f>
        <v/>
      </c>
      <c r="B98">
        <f>IF(ISNUMBER(Events!$A100),DATE(YEAR($B$1)-1,MONTH(Events!$A100),DAY(Events!$A100)),"")</f>
        <v/>
      </c>
      <c r="C98">
        <f>IF(ISNUMBER(Events!$A100),DATE(YEAR($B$1),MONTH(Events!$A100),DAY(Events!$A100)),"")</f>
        <v/>
      </c>
      <c r="D98">
        <f>IF(ISNUMBER(Events!$A100),DATE(YEAR($B$2),MONTH(Events!$A100),DAY(Events!$A100)),"")</f>
        <v/>
      </c>
      <c r="E98">
        <f>IF(OR(NOT(ISNUMBER(Events!$A100)),Events!$G100="No",Calendar!$H$4="None"),"",IF(OR(Calendar!$H$4="All events",Events!$D100=Calendar!$H$4),IF(Events!$E100="Yes",IF(AND(B98&gt;=Events!$A100,B98&lt;=$B$2,B98+$A98&gt;=$B$1),B98,IF(AND(C98&gt;=Events!$A100,C98&lt;=$B$2,C98+$A98&gt;=$B$1),C98,IF(AND(D98&gt;=Events!$A100,D98&lt;=$B$2,D98+$A98&gt;=$B$1),D98,""))),IF(AND(Events!$A100&lt;=$B$2,Events!$A100+$A98&gt;=$B$1),Events!$A100,"")),""))</f>
        <v/>
      </c>
      <c r="F98">
        <f>IF(E98="","",E98+A98)</f>
        <v/>
      </c>
      <c r="G98">
        <f>IF(E98="","",IF(AND(E98&lt;=EOMONTH(Calendar!$K$2,0),F98&gt;=Calendar!$K$2),E98+95/100000,""))</f>
        <v/>
      </c>
      <c r="H98">
        <f>H97+IF(AND($E98&lt;&gt;"",$E98&lt;=H$2,$F98&gt;=H$2),1,0)</f>
        <v/>
      </c>
      <c r="I98">
        <f>I97+IF(AND($E98&lt;&gt;"",$E98&lt;=I$2,$F98&gt;=I$2),1,0)</f>
        <v/>
      </c>
      <c r="J98">
        <f>J97+IF(AND($E98&lt;&gt;"",$E98&lt;=J$2,$F98&gt;=J$2),1,0)</f>
        <v/>
      </c>
      <c r="K98">
        <f>K97+IF(AND($E98&lt;&gt;"",$E98&lt;=K$2,$F98&gt;=K$2),1,0)</f>
        <v/>
      </c>
      <c r="L98">
        <f>L97+IF(AND($E98&lt;&gt;"",$E98&lt;=L$2,$F98&gt;=L$2),1,0)</f>
        <v/>
      </c>
      <c r="M98">
        <f>M97+IF(AND($E98&lt;&gt;"",$E98&lt;=M$2,$F98&gt;=M$2),1,0)</f>
        <v/>
      </c>
      <c r="N98">
        <f>N97+IF(AND($E98&lt;&gt;"",$E98&lt;=N$2,$F98&gt;=N$2),1,0)</f>
        <v/>
      </c>
      <c r="O98">
        <f>O97+IF(AND($E98&lt;&gt;"",$E98&lt;=O$2,$F98&gt;=O$2),1,0)</f>
        <v/>
      </c>
      <c r="P98">
        <f>P97+IF(AND($E98&lt;&gt;"",$E98&lt;=P$2,$F98&gt;=P$2),1,0)</f>
        <v/>
      </c>
      <c r="Q98">
        <f>Q97+IF(AND($E98&lt;&gt;"",$E98&lt;=Q$2,$F98&gt;=Q$2),1,0)</f>
        <v/>
      </c>
      <c r="R98">
        <f>R97+IF(AND($E98&lt;&gt;"",$E98&lt;=R$2,$F98&gt;=R$2),1,0)</f>
        <v/>
      </c>
      <c r="S98">
        <f>S97+IF(AND($E98&lt;&gt;"",$E98&lt;=S$2,$F98&gt;=S$2),1,0)</f>
        <v/>
      </c>
      <c r="T98">
        <f>T97+IF(AND($E98&lt;&gt;"",$E98&lt;=T$2,$F98&gt;=T$2),1,0)</f>
        <v/>
      </c>
      <c r="U98">
        <f>U97+IF(AND($E98&lt;&gt;"",$E98&lt;=U$2,$F98&gt;=U$2),1,0)</f>
        <v/>
      </c>
      <c r="V98">
        <f>V97+IF(AND($E98&lt;&gt;"",$E98&lt;=V$2,$F98&gt;=V$2),1,0)</f>
        <v/>
      </c>
      <c r="W98">
        <f>W97+IF(AND($E98&lt;&gt;"",$E98&lt;=W$2,$F98&gt;=W$2),1,0)</f>
        <v/>
      </c>
      <c r="X98">
        <f>X97+IF(AND($E98&lt;&gt;"",$E98&lt;=X$2,$F98&gt;=X$2),1,0)</f>
        <v/>
      </c>
      <c r="Y98">
        <f>Y97+IF(AND($E98&lt;&gt;"",$E98&lt;=Y$2,$F98&gt;=Y$2),1,0)</f>
        <v/>
      </c>
      <c r="Z98">
        <f>Z97+IF(AND($E98&lt;&gt;"",$E98&lt;=Z$2,$F98&gt;=Z$2),1,0)</f>
        <v/>
      </c>
      <c r="AA98">
        <f>AA97+IF(AND($E98&lt;&gt;"",$E98&lt;=AA$2,$F98&gt;=AA$2),1,0)</f>
        <v/>
      </c>
      <c r="AB98">
        <f>AB97+IF(AND($E98&lt;&gt;"",$E98&lt;=AB$2,$F98&gt;=AB$2),1,0)</f>
        <v/>
      </c>
      <c r="AC98">
        <f>AC97+IF(AND($E98&lt;&gt;"",$E98&lt;=AC$2,$F98&gt;=AC$2),1,0)</f>
        <v/>
      </c>
      <c r="AD98">
        <f>AD97+IF(AND($E98&lt;&gt;"",$E98&lt;=AD$2,$F98&gt;=AD$2),1,0)</f>
        <v/>
      </c>
      <c r="AE98">
        <f>AE97+IF(AND($E98&lt;&gt;"",$E98&lt;=AE$2,$F98&gt;=AE$2),1,0)</f>
        <v/>
      </c>
      <c r="AF98">
        <f>AF97+IF(AND($E98&lt;&gt;"",$E98&lt;=AF$2,$F98&gt;=AF$2),1,0)</f>
        <v/>
      </c>
      <c r="AG98">
        <f>AG97+IF(AND($E98&lt;&gt;"",$E98&lt;=AG$2,$F98&gt;=AG$2),1,0)</f>
        <v/>
      </c>
      <c r="AH98">
        <f>AH97+IF(AND($E98&lt;&gt;"",$E98&lt;=AH$2,$F98&gt;=AH$2),1,0)</f>
        <v/>
      </c>
      <c r="AI98">
        <f>AI97+IF(AND($E98&lt;&gt;"",$E98&lt;=AI$2,$F98&gt;=AI$2),1,0)</f>
        <v/>
      </c>
      <c r="AJ98">
        <f>AJ97+IF(AND($E98&lt;&gt;"",$E98&lt;=AJ$2,$F98&gt;=AJ$2),1,0)</f>
        <v/>
      </c>
      <c r="AK98">
        <f>AK97+IF(AND($E98&lt;&gt;"",$E98&lt;=AK$2,$F98&gt;=AK$2),1,0)</f>
        <v/>
      </c>
      <c r="AL98">
        <f>AL97+IF(AND($E98&lt;&gt;"",$E98&lt;=AL$2,$F98&gt;=AL$2),1,0)</f>
        <v/>
      </c>
      <c r="AM98">
        <f>AM97+IF(AND($E98&lt;&gt;"",$E98&lt;=AM$2,$F98&gt;=AM$2),1,0)</f>
        <v/>
      </c>
      <c r="AN98">
        <f>AN97+IF(AND($E98&lt;&gt;"",$E98&lt;=AN$2,$F98&gt;=AN$2),1,0)</f>
        <v/>
      </c>
      <c r="AO98">
        <f>AO97+IF(AND($E98&lt;&gt;"",$E98&lt;=AO$2,$F98&gt;=AO$2),1,0)</f>
        <v/>
      </c>
      <c r="AP98">
        <f>AP97+IF(AND($E98&lt;&gt;"",$E98&lt;=AP$2,$F98&gt;=AP$2),1,0)</f>
        <v/>
      </c>
      <c r="AQ98">
        <f>AQ97+IF(AND($E98&lt;&gt;"",$E98&lt;=AQ$2,$F98&gt;=AQ$2),1,0)</f>
        <v/>
      </c>
      <c r="AR98">
        <f>AR97+IF(AND($E98&lt;&gt;"",$E98&lt;=AR$2,$F98&gt;=AR$2),1,0)</f>
        <v/>
      </c>
      <c r="AS98">
        <f>AS97+IF(AND($E98&lt;&gt;"",$E98&lt;=AS$2,$F98&gt;=AS$2),1,0)</f>
        <v/>
      </c>
      <c r="AT98">
        <f>AT97+IF(AND($E98&lt;&gt;"",$E98&lt;=AT$2,$F98&gt;=AT$2),1,0)</f>
        <v/>
      </c>
      <c r="AU98">
        <f>AU97+IF(AND($E98&lt;&gt;"",$E98&lt;=AU$2,$F98&gt;=AU$2),1,0)</f>
        <v/>
      </c>
      <c r="AV98">
        <f>AV97+IF(AND($E98&lt;&gt;"",$E98&lt;=AV$2,$F98&gt;=AV$2),1,0)</f>
        <v/>
      </c>
      <c r="AW98">
        <f>AW97+IF(AND($E98&lt;&gt;"",$E98&lt;=AW$2,$F98&gt;=AW$2),1,0)</f>
        <v/>
      </c>
    </row>
    <row r="99">
      <c r="A99">
        <f>IF(AND(ISNUMBER(Events!$A101),ISNUMBER(Events!$B101)),MAX(0,Events!$B101-Events!$A101),0)</f>
        <v/>
      </c>
      <c r="B99">
        <f>IF(ISNUMBER(Events!$A101),DATE(YEAR($B$1)-1,MONTH(Events!$A101),DAY(Events!$A101)),"")</f>
        <v/>
      </c>
      <c r="C99">
        <f>IF(ISNUMBER(Events!$A101),DATE(YEAR($B$1),MONTH(Events!$A101),DAY(Events!$A101)),"")</f>
        <v/>
      </c>
      <c r="D99">
        <f>IF(ISNUMBER(Events!$A101),DATE(YEAR($B$2),MONTH(Events!$A101),DAY(Events!$A101)),"")</f>
        <v/>
      </c>
      <c r="E99">
        <f>IF(OR(NOT(ISNUMBER(Events!$A101)),Events!$G101="No",Calendar!$H$4="None"),"",IF(OR(Calendar!$H$4="All events",Events!$D101=Calendar!$H$4),IF(Events!$E101="Yes",IF(AND(B99&gt;=Events!$A101,B99&lt;=$B$2,B99+$A99&gt;=$B$1),B99,IF(AND(C99&gt;=Events!$A101,C99&lt;=$B$2,C99+$A99&gt;=$B$1),C99,IF(AND(D99&gt;=Events!$A101,D99&lt;=$B$2,D99+$A99&gt;=$B$1),D99,""))),IF(AND(Events!$A101&lt;=$B$2,Events!$A101+$A99&gt;=$B$1),Events!$A101,"")),""))</f>
        <v/>
      </c>
      <c r="F99">
        <f>IF(E99="","",E99+A99)</f>
        <v/>
      </c>
      <c r="G99">
        <f>IF(E99="","",IF(AND(E99&lt;=EOMONTH(Calendar!$K$2,0),F99&gt;=Calendar!$K$2),E99+96/100000,""))</f>
        <v/>
      </c>
      <c r="H99">
        <f>H98+IF(AND($E99&lt;&gt;"",$E99&lt;=H$2,$F99&gt;=H$2),1,0)</f>
        <v/>
      </c>
      <c r="I99">
        <f>I98+IF(AND($E99&lt;&gt;"",$E99&lt;=I$2,$F99&gt;=I$2),1,0)</f>
        <v/>
      </c>
      <c r="J99">
        <f>J98+IF(AND($E99&lt;&gt;"",$E99&lt;=J$2,$F99&gt;=J$2),1,0)</f>
        <v/>
      </c>
      <c r="K99">
        <f>K98+IF(AND($E99&lt;&gt;"",$E99&lt;=K$2,$F99&gt;=K$2),1,0)</f>
        <v/>
      </c>
      <c r="L99">
        <f>L98+IF(AND($E99&lt;&gt;"",$E99&lt;=L$2,$F99&gt;=L$2),1,0)</f>
        <v/>
      </c>
      <c r="M99">
        <f>M98+IF(AND($E99&lt;&gt;"",$E99&lt;=M$2,$F99&gt;=M$2),1,0)</f>
        <v/>
      </c>
      <c r="N99">
        <f>N98+IF(AND($E99&lt;&gt;"",$E99&lt;=N$2,$F99&gt;=N$2),1,0)</f>
        <v/>
      </c>
      <c r="O99">
        <f>O98+IF(AND($E99&lt;&gt;"",$E99&lt;=O$2,$F99&gt;=O$2),1,0)</f>
        <v/>
      </c>
      <c r="P99">
        <f>P98+IF(AND($E99&lt;&gt;"",$E99&lt;=P$2,$F99&gt;=P$2),1,0)</f>
        <v/>
      </c>
      <c r="Q99">
        <f>Q98+IF(AND($E99&lt;&gt;"",$E99&lt;=Q$2,$F99&gt;=Q$2),1,0)</f>
        <v/>
      </c>
      <c r="R99">
        <f>R98+IF(AND($E99&lt;&gt;"",$E99&lt;=R$2,$F99&gt;=R$2),1,0)</f>
        <v/>
      </c>
      <c r="S99">
        <f>S98+IF(AND($E99&lt;&gt;"",$E99&lt;=S$2,$F99&gt;=S$2),1,0)</f>
        <v/>
      </c>
      <c r="T99">
        <f>T98+IF(AND($E99&lt;&gt;"",$E99&lt;=T$2,$F99&gt;=T$2),1,0)</f>
        <v/>
      </c>
      <c r="U99">
        <f>U98+IF(AND($E99&lt;&gt;"",$E99&lt;=U$2,$F99&gt;=U$2),1,0)</f>
        <v/>
      </c>
      <c r="V99">
        <f>V98+IF(AND($E99&lt;&gt;"",$E99&lt;=V$2,$F99&gt;=V$2),1,0)</f>
        <v/>
      </c>
      <c r="W99">
        <f>W98+IF(AND($E99&lt;&gt;"",$E99&lt;=W$2,$F99&gt;=W$2),1,0)</f>
        <v/>
      </c>
      <c r="X99">
        <f>X98+IF(AND($E99&lt;&gt;"",$E99&lt;=X$2,$F99&gt;=X$2),1,0)</f>
        <v/>
      </c>
      <c r="Y99">
        <f>Y98+IF(AND($E99&lt;&gt;"",$E99&lt;=Y$2,$F99&gt;=Y$2),1,0)</f>
        <v/>
      </c>
      <c r="Z99">
        <f>Z98+IF(AND($E99&lt;&gt;"",$E99&lt;=Z$2,$F99&gt;=Z$2),1,0)</f>
        <v/>
      </c>
      <c r="AA99">
        <f>AA98+IF(AND($E99&lt;&gt;"",$E99&lt;=AA$2,$F99&gt;=AA$2),1,0)</f>
        <v/>
      </c>
      <c r="AB99">
        <f>AB98+IF(AND($E99&lt;&gt;"",$E99&lt;=AB$2,$F99&gt;=AB$2),1,0)</f>
        <v/>
      </c>
      <c r="AC99">
        <f>AC98+IF(AND($E99&lt;&gt;"",$E99&lt;=AC$2,$F99&gt;=AC$2),1,0)</f>
        <v/>
      </c>
      <c r="AD99">
        <f>AD98+IF(AND($E99&lt;&gt;"",$E99&lt;=AD$2,$F99&gt;=AD$2),1,0)</f>
        <v/>
      </c>
      <c r="AE99">
        <f>AE98+IF(AND($E99&lt;&gt;"",$E99&lt;=AE$2,$F99&gt;=AE$2),1,0)</f>
        <v/>
      </c>
      <c r="AF99">
        <f>AF98+IF(AND($E99&lt;&gt;"",$E99&lt;=AF$2,$F99&gt;=AF$2),1,0)</f>
        <v/>
      </c>
      <c r="AG99">
        <f>AG98+IF(AND($E99&lt;&gt;"",$E99&lt;=AG$2,$F99&gt;=AG$2),1,0)</f>
        <v/>
      </c>
      <c r="AH99">
        <f>AH98+IF(AND($E99&lt;&gt;"",$E99&lt;=AH$2,$F99&gt;=AH$2),1,0)</f>
        <v/>
      </c>
      <c r="AI99">
        <f>AI98+IF(AND($E99&lt;&gt;"",$E99&lt;=AI$2,$F99&gt;=AI$2),1,0)</f>
        <v/>
      </c>
      <c r="AJ99">
        <f>AJ98+IF(AND($E99&lt;&gt;"",$E99&lt;=AJ$2,$F99&gt;=AJ$2),1,0)</f>
        <v/>
      </c>
      <c r="AK99">
        <f>AK98+IF(AND($E99&lt;&gt;"",$E99&lt;=AK$2,$F99&gt;=AK$2),1,0)</f>
        <v/>
      </c>
      <c r="AL99">
        <f>AL98+IF(AND($E99&lt;&gt;"",$E99&lt;=AL$2,$F99&gt;=AL$2),1,0)</f>
        <v/>
      </c>
      <c r="AM99">
        <f>AM98+IF(AND($E99&lt;&gt;"",$E99&lt;=AM$2,$F99&gt;=AM$2),1,0)</f>
        <v/>
      </c>
      <c r="AN99">
        <f>AN98+IF(AND($E99&lt;&gt;"",$E99&lt;=AN$2,$F99&gt;=AN$2),1,0)</f>
        <v/>
      </c>
      <c r="AO99">
        <f>AO98+IF(AND($E99&lt;&gt;"",$E99&lt;=AO$2,$F99&gt;=AO$2),1,0)</f>
        <v/>
      </c>
      <c r="AP99">
        <f>AP98+IF(AND($E99&lt;&gt;"",$E99&lt;=AP$2,$F99&gt;=AP$2),1,0)</f>
        <v/>
      </c>
      <c r="AQ99">
        <f>AQ98+IF(AND($E99&lt;&gt;"",$E99&lt;=AQ$2,$F99&gt;=AQ$2),1,0)</f>
        <v/>
      </c>
      <c r="AR99">
        <f>AR98+IF(AND($E99&lt;&gt;"",$E99&lt;=AR$2,$F99&gt;=AR$2),1,0)</f>
        <v/>
      </c>
      <c r="AS99">
        <f>AS98+IF(AND($E99&lt;&gt;"",$E99&lt;=AS$2,$F99&gt;=AS$2),1,0)</f>
        <v/>
      </c>
      <c r="AT99">
        <f>AT98+IF(AND($E99&lt;&gt;"",$E99&lt;=AT$2,$F99&gt;=AT$2),1,0)</f>
        <v/>
      </c>
      <c r="AU99">
        <f>AU98+IF(AND($E99&lt;&gt;"",$E99&lt;=AU$2,$F99&gt;=AU$2),1,0)</f>
        <v/>
      </c>
      <c r="AV99">
        <f>AV98+IF(AND($E99&lt;&gt;"",$E99&lt;=AV$2,$F99&gt;=AV$2),1,0)</f>
        <v/>
      </c>
      <c r="AW99">
        <f>AW98+IF(AND($E99&lt;&gt;"",$E99&lt;=AW$2,$F99&gt;=AW$2),1,0)</f>
        <v/>
      </c>
    </row>
    <row r="100">
      <c r="A100">
        <f>IF(AND(ISNUMBER(Events!$A102),ISNUMBER(Events!$B102)),MAX(0,Events!$B102-Events!$A102),0)</f>
        <v/>
      </c>
      <c r="B100">
        <f>IF(ISNUMBER(Events!$A102),DATE(YEAR($B$1)-1,MONTH(Events!$A102),DAY(Events!$A102)),"")</f>
        <v/>
      </c>
      <c r="C100">
        <f>IF(ISNUMBER(Events!$A102),DATE(YEAR($B$1),MONTH(Events!$A102),DAY(Events!$A102)),"")</f>
        <v/>
      </c>
      <c r="D100">
        <f>IF(ISNUMBER(Events!$A102),DATE(YEAR($B$2),MONTH(Events!$A102),DAY(Events!$A102)),"")</f>
        <v/>
      </c>
      <c r="E100">
        <f>IF(OR(NOT(ISNUMBER(Events!$A102)),Events!$G102="No",Calendar!$H$4="None"),"",IF(OR(Calendar!$H$4="All events",Events!$D102=Calendar!$H$4),IF(Events!$E102="Yes",IF(AND(B100&gt;=Events!$A102,B100&lt;=$B$2,B100+$A100&gt;=$B$1),B100,IF(AND(C100&gt;=Events!$A102,C100&lt;=$B$2,C100+$A100&gt;=$B$1),C100,IF(AND(D100&gt;=Events!$A102,D100&lt;=$B$2,D100+$A100&gt;=$B$1),D100,""))),IF(AND(Events!$A102&lt;=$B$2,Events!$A102+$A100&gt;=$B$1),Events!$A102,"")),""))</f>
        <v/>
      </c>
      <c r="F100">
        <f>IF(E100="","",E100+A100)</f>
        <v/>
      </c>
      <c r="G100">
        <f>IF(E100="","",IF(AND(E100&lt;=EOMONTH(Calendar!$K$2,0),F100&gt;=Calendar!$K$2),E100+97/100000,""))</f>
        <v/>
      </c>
      <c r="H100">
        <f>H99+IF(AND($E100&lt;&gt;"",$E100&lt;=H$2,$F100&gt;=H$2),1,0)</f>
        <v/>
      </c>
      <c r="I100">
        <f>I99+IF(AND($E100&lt;&gt;"",$E100&lt;=I$2,$F100&gt;=I$2),1,0)</f>
        <v/>
      </c>
      <c r="J100">
        <f>J99+IF(AND($E100&lt;&gt;"",$E100&lt;=J$2,$F100&gt;=J$2),1,0)</f>
        <v/>
      </c>
      <c r="K100">
        <f>K99+IF(AND($E100&lt;&gt;"",$E100&lt;=K$2,$F100&gt;=K$2),1,0)</f>
        <v/>
      </c>
      <c r="L100">
        <f>L99+IF(AND($E100&lt;&gt;"",$E100&lt;=L$2,$F100&gt;=L$2),1,0)</f>
        <v/>
      </c>
      <c r="M100">
        <f>M99+IF(AND($E100&lt;&gt;"",$E100&lt;=M$2,$F100&gt;=M$2),1,0)</f>
        <v/>
      </c>
      <c r="N100">
        <f>N99+IF(AND($E100&lt;&gt;"",$E100&lt;=N$2,$F100&gt;=N$2),1,0)</f>
        <v/>
      </c>
      <c r="O100">
        <f>O99+IF(AND($E100&lt;&gt;"",$E100&lt;=O$2,$F100&gt;=O$2),1,0)</f>
        <v/>
      </c>
      <c r="P100">
        <f>P99+IF(AND($E100&lt;&gt;"",$E100&lt;=P$2,$F100&gt;=P$2),1,0)</f>
        <v/>
      </c>
      <c r="Q100">
        <f>Q99+IF(AND($E100&lt;&gt;"",$E100&lt;=Q$2,$F100&gt;=Q$2),1,0)</f>
        <v/>
      </c>
      <c r="R100">
        <f>R99+IF(AND($E100&lt;&gt;"",$E100&lt;=R$2,$F100&gt;=R$2),1,0)</f>
        <v/>
      </c>
      <c r="S100">
        <f>S99+IF(AND($E100&lt;&gt;"",$E100&lt;=S$2,$F100&gt;=S$2),1,0)</f>
        <v/>
      </c>
      <c r="T100">
        <f>T99+IF(AND($E100&lt;&gt;"",$E100&lt;=T$2,$F100&gt;=T$2),1,0)</f>
        <v/>
      </c>
      <c r="U100">
        <f>U99+IF(AND($E100&lt;&gt;"",$E100&lt;=U$2,$F100&gt;=U$2),1,0)</f>
        <v/>
      </c>
      <c r="V100">
        <f>V99+IF(AND($E100&lt;&gt;"",$E100&lt;=V$2,$F100&gt;=V$2),1,0)</f>
        <v/>
      </c>
      <c r="W100">
        <f>W99+IF(AND($E100&lt;&gt;"",$E100&lt;=W$2,$F100&gt;=W$2),1,0)</f>
        <v/>
      </c>
      <c r="X100">
        <f>X99+IF(AND($E100&lt;&gt;"",$E100&lt;=X$2,$F100&gt;=X$2),1,0)</f>
        <v/>
      </c>
      <c r="Y100">
        <f>Y99+IF(AND($E100&lt;&gt;"",$E100&lt;=Y$2,$F100&gt;=Y$2),1,0)</f>
        <v/>
      </c>
      <c r="Z100">
        <f>Z99+IF(AND($E100&lt;&gt;"",$E100&lt;=Z$2,$F100&gt;=Z$2),1,0)</f>
        <v/>
      </c>
      <c r="AA100">
        <f>AA99+IF(AND($E100&lt;&gt;"",$E100&lt;=AA$2,$F100&gt;=AA$2),1,0)</f>
        <v/>
      </c>
      <c r="AB100">
        <f>AB99+IF(AND($E100&lt;&gt;"",$E100&lt;=AB$2,$F100&gt;=AB$2),1,0)</f>
        <v/>
      </c>
      <c r="AC100">
        <f>AC99+IF(AND($E100&lt;&gt;"",$E100&lt;=AC$2,$F100&gt;=AC$2),1,0)</f>
        <v/>
      </c>
      <c r="AD100">
        <f>AD99+IF(AND($E100&lt;&gt;"",$E100&lt;=AD$2,$F100&gt;=AD$2),1,0)</f>
        <v/>
      </c>
      <c r="AE100">
        <f>AE99+IF(AND($E100&lt;&gt;"",$E100&lt;=AE$2,$F100&gt;=AE$2),1,0)</f>
        <v/>
      </c>
      <c r="AF100">
        <f>AF99+IF(AND($E100&lt;&gt;"",$E100&lt;=AF$2,$F100&gt;=AF$2),1,0)</f>
        <v/>
      </c>
      <c r="AG100">
        <f>AG99+IF(AND($E100&lt;&gt;"",$E100&lt;=AG$2,$F100&gt;=AG$2),1,0)</f>
        <v/>
      </c>
      <c r="AH100">
        <f>AH99+IF(AND($E100&lt;&gt;"",$E100&lt;=AH$2,$F100&gt;=AH$2),1,0)</f>
        <v/>
      </c>
      <c r="AI100">
        <f>AI99+IF(AND($E100&lt;&gt;"",$E100&lt;=AI$2,$F100&gt;=AI$2),1,0)</f>
        <v/>
      </c>
      <c r="AJ100">
        <f>AJ99+IF(AND($E100&lt;&gt;"",$E100&lt;=AJ$2,$F100&gt;=AJ$2),1,0)</f>
        <v/>
      </c>
      <c r="AK100">
        <f>AK99+IF(AND($E100&lt;&gt;"",$E100&lt;=AK$2,$F100&gt;=AK$2),1,0)</f>
        <v/>
      </c>
      <c r="AL100">
        <f>AL99+IF(AND($E100&lt;&gt;"",$E100&lt;=AL$2,$F100&gt;=AL$2),1,0)</f>
        <v/>
      </c>
      <c r="AM100">
        <f>AM99+IF(AND($E100&lt;&gt;"",$E100&lt;=AM$2,$F100&gt;=AM$2),1,0)</f>
        <v/>
      </c>
      <c r="AN100">
        <f>AN99+IF(AND($E100&lt;&gt;"",$E100&lt;=AN$2,$F100&gt;=AN$2),1,0)</f>
        <v/>
      </c>
      <c r="AO100">
        <f>AO99+IF(AND($E100&lt;&gt;"",$E100&lt;=AO$2,$F100&gt;=AO$2),1,0)</f>
        <v/>
      </c>
      <c r="AP100">
        <f>AP99+IF(AND($E100&lt;&gt;"",$E100&lt;=AP$2,$F100&gt;=AP$2),1,0)</f>
        <v/>
      </c>
      <c r="AQ100">
        <f>AQ99+IF(AND($E100&lt;&gt;"",$E100&lt;=AQ$2,$F100&gt;=AQ$2),1,0)</f>
        <v/>
      </c>
      <c r="AR100">
        <f>AR99+IF(AND($E100&lt;&gt;"",$E100&lt;=AR$2,$F100&gt;=AR$2),1,0)</f>
        <v/>
      </c>
      <c r="AS100">
        <f>AS99+IF(AND($E100&lt;&gt;"",$E100&lt;=AS$2,$F100&gt;=AS$2),1,0)</f>
        <v/>
      </c>
      <c r="AT100">
        <f>AT99+IF(AND($E100&lt;&gt;"",$E100&lt;=AT$2,$F100&gt;=AT$2),1,0)</f>
        <v/>
      </c>
      <c r="AU100">
        <f>AU99+IF(AND($E100&lt;&gt;"",$E100&lt;=AU$2,$F100&gt;=AU$2),1,0)</f>
        <v/>
      </c>
      <c r="AV100">
        <f>AV99+IF(AND($E100&lt;&gt;"",$E100&lt;=AV$2,$F100&gt;=AV$2),1,0)</f>
        <v/>
      </c>
      <c r="AW100">
        <f>AW99+IF(AND($E100&lt;&gt;"",$E100&lt;=AW$2,$F100&gt;=AW$2),1,0)</f>
        <v/>
      </c>
    </row>
    <row r="101">
      <c r="A101">
        <f>IF(AND(ISNUMBER(Events!$A103),ISNUMBER(Events!$B103)),MAX(0,Events!$B103-Events!$A103),0)</f>
        <v/>
      </c>
      <c r="B101">
        <f>IF(ISNUMBER(Events!$A103),DATE(YEAR($B$1)-1,MONTH(Events!$A103),DAY(Events!$A103)),"")</f>
        <v/>
      </c>
      <c r="C101">
        <f>IF(ISNUMBER(Events!$A103),DATE(YEAR($B$1),MONTH(Events!$A103),DAY(Events!$A103)),"")</f>
        <v/>
      </c>
      <c r="D101">
        <f>IF(ISNUMBER(Events!$A103),DATE(YEAR($B$2),MONTH(Events!$A103),DAY(Events!$A103)),"")</f>
        <v/>
      </c>
      <c r="E101">
        <f>IF(OR(NOT(ISNUMBER(Events!$A103)),Events!$G103="No",Calendar!$H$4="None"),"",IF(OR(Calendar!$H$4="All events",Events!$D103=Calendar!$H$4),IF(Events!$E103="Yes",IF(AND(B101&gt;=Events!$A103,B101&lt;=$B$2,B101+$A101&gt;=$B$1),B101,IF(AND(C101&gt;=Events!$A103,C101&lt;=$B$2,C101+$A101&gt;=$B$1),C101,IF(AND(D101&gt;=Events!$A103,D101&lt;=$B$2,D101+$A101&gt;=$B$1),D101,""))),IF(AND(Events!$A103&lt;=$B$2,Events!$A103+$A101&gt;=$B$1),Events!$A103,"")),""))</f>
        <v/>
      </c>
      <c r="F101">
        <f>IF(E101="","",E101+A101)</f>
        <v/>
      </c>
      <c r="G101">
        <f>IF(E101="","",IF(AND(E101&lt;=EOMONTH(Calendar!$K$2,0),F101&gt;=Calendar!$K$2),E101+98/100000,""))</f>
        <v/>
      </c>
      <c r="H101">
        <f>H100+IF(AND($E101&lt;&gt;"",$E101&lt;=H$2,$F101&gt;=H$2),1,0)</f>
        <v/>
      </c>
      <c r="I101">
        <f>I100+IF(AND($E101&lt;&gt;"",$E101&lt;=I$2,$F101&gt;=I$2),1,0)</f>
        <v/>
      </c>
      <c r="J101">
        <f>J100+IF(AND($E101&lt;&gt;"",$E101&lt;=J$2,$F101&gt;=J$2),1,0)</f>
        <v/>
      </c>
      <c r="K101">
        <f>K100+IF(AND($E101&lt;&gt;"",$E101&lt;=K$2,$F101&gt;=K$2),1,0)</f>
        <v/>
      </c>
      <c r="L101">
        <f>L100+IF(AND($E101&lt;&gt;"",$E101&lt;=L$2,$F101&gt;=L$2),1,0)</f>
        <v/>
      </c>
      <c r="M101">
        <f>M100+IF(AND($E101&lt;&gt;"",$E101&lt;=M$2,$F101&gt;=M$2),1,0)</f>
        <v/>
      </c>
      <c r="N101">
        <f>N100+IF(AND($E101&lt;&gt;"",$E101&lt;=N$2,$F101&gt;=N$2),1,0)</f>
        <v/>
      </c>
      <c r="O101">
        <f>O100+IF(AND($E101&lt;&gt;"",$E101&lt;=O$2,$F101&gt;=O$2),1,0)</f>
        <v/>
      </c>
      <c r="P101">
        <f>P100+IF(AND($E101&lt;&gt;"",$E101&lt;=P$2,$F101&gt;=P$2),1,0)</f>
        <v/>
      </c>
      <c r="Q101">
        <f>Q100+IF(AND($E101&lt;&gt;"",$E101&lt;=Q$2,$F101&gt;=Q$2),1,0)</f>
        <v/>
      </c>
      <c r="R101">
        <f>R100+IF(AND($E101&lt;&gt;"",$E101&lt;=R$2,$F101&gt;=R$2),1,0)</f>
        <v/>
      </c>
      <c r="S101">
        <f>S100+IF(AND($E101&lt;&gt;"",$E101&lt;=S$2,$F101&gt;=S$2),1,0)</f>
        <v/>
      </c>
      <c r="T101">
        <f>T100+IF(AND($E101&lt;&gt;"",$E101&lt;=T$2,$F101&gt;=T$2),1,0)</f>
        <v/>
      </c>
      <c r="U101">
        <f>U100+IF(AND($E101&lt;&gt;"",$E101&lt;=U$2,$F101&gt;=U$2),1,0)</f>
        <v/>
      </c>
      <c r="V101">
        <f>V100+IF(AND($E101&lt;&gt;"",$E101&lt;=V$2,$F101&gt;=V$2),1,0)</f>
        <v/>
      </c>
      <c r="W101">
        <f>W100+IF(AND($E101&lt;&gt;"",$E101&lt;=W$2,$F101&gt;=W$2),1,0)</f>
        <v/>
      </c>
      <c r="X101">
        <f>X100+IF(AND($E101&lt;&gt;"",$E101&lt;=X$2,$F101&gt;=X$2),1,0)</f>
        <v/>
      </c>
      <c r="Y101">
        <f>Y100+IF(AND($E101&lt;&gt;"",$E101&lt;=Y$2,$F101&gt;=Y$2),1,0)</f>
        <v/>
      </c>
      <c r="Z101">
        <f>Z100+IF(AND($E101&lt;&gt;"",$E101&lt;=Z$2,$F101&gt;=Z$2),1,0)</f>
        <v/>
      </c>
      <c r="AA101">
        <f>AA100+IF(AND($E101&lt;&gt;"",$E101&lt;=AA$2,$F101&gt;=AA$2),1,0)</f>
        <v/>
      </c>
      <c r="AB101">
        <f>AB100+IF(AND($E101&lt;&gt;"",$E101&lt;=AB$2,$F101&gt;=AB$2),1,0)</f>
        <v/>
      </c>
      <c r="AC101">
        <f>AC100+IF(AND($E101&lt;&gt;"",$E101&lt;=AC$2,$F101&gt;=AC$2),1,0)</f>
        <v/>
      </c>
      <c r="AD101">
        <f>AD100+IF(AND($E101&lt;&gt;"",$E101&lt;=AD$2,$F101&gt;=AD$2),1,0)</f>
        <v/>
      </c>
      <c r="AE101">
        <f>AE100+IF(AND($E101&lt;&gt;"",$E101&lt;=AE$2,$F101&gt;=AE$2),1,0)</f>
        <v/>
      </c>
      <c r="AF101">
        <f>AF100+IF(AND($E101&lt;&gt;"",$E101&lt;=AF$2,$F101&gt;=AF$2),1,0)</f>
        <v/>
      </c>
      <c r="AG101">
        <f>AG100+IF(AND($E101&lt;&gt;"",$E101&lt;=AG$2,$F101&gt;=AG$2),1,0)</f>
        <v/>
      </c>
      <c r="AH101">
        <f>AH100+IF(AND($E101&lt;&gt;"",$E101&lt;=AH$2,$F101&gt;=AH$2),1,0)</f>
        <v/>
      </c>
      <c r="AI101">
        <f>AI100+IF(AND($E101&lt;&gt;"",$E101&lt;=AI$2,$F101&gt;=AI$2),1,0)</f>
        <v/>
      </c>
      <c r="AJ101">
        <f>AJ100+IF(AND($E101&lt;&gt;"",$E101&lt;=AJ$2,$F101&gt;=AJ$2),1,0)</f>
        <v/>
      </c>
      <c r="AK101">
        <f>AK100+IF(AND($E101&lt;&gt;"",$E101&lt;=AK$2,$F101&gt;=AK$2),1,0)</f>
        <v/>
      </c>
      <c r="AL101">
        <f>AL100+IF(AND($E101&lt;&gt;"",$E101&lt;=AL$2,$F101&gt;=AL$2),1,0)</f>
        <v/>
      </c>
      <c r="AM101">
        <f>AM100+IF(AND($E101&lt;&gt;"",$E101&lt;=AM$2,$F101&gt;=AM$2),1,0)</f>
        <v/>
      </c>
      <c r="AN101">
        <f>AN100+IF(AND($E101&lt;&gt;"",$E101&lt;=AN$2,$F101&gt;=AN$2),1,0)</f>
        <v/>
      </c>
      <c r="AO101">
        <f>AO100+IF(AND($E101&lt;&gt;"",$E101&lt;=AO$2,$F101&gt;=AO$2),1,0)</f>
        <v/>
      </c>
      <c r="AP101">
        <f>AP100+IF(AND($E101&lt;&gt;"",$E101&lt;=AP$2,$F101&gt;=AP$2),1,0)</f>
        <v/>
      </c>
      <c r="AQ101">
        <f>AQ100+IF(AND($E101&lt;&gt;"",$E101&lt;=AQ$2,$F101&gt;=AQ$2),1,0)</f>
        <v/>
      </c>
      <c r="AR101">
        <f>AR100+IF(AND($E101&lt;&gt;"",$E101&lt;=AR$2,$F101&gt;=AR$2),1,0)</f>
        <v/>
      </c>
      <c r="AS101">
        <f>AS100+IF(AND($E101&lt;&gt;"",$E101&lt;=AS$2,$F101&gt;=AS$2),1,0)</f>
        <v/>
      </c>
      <c r="AT101">
        <f>AT100+IF(AND($E101&lt;&gt;"",$E101&lt;=AT$2,$F101&gt;=AT$2),1,0)</f>
        <v/>
      </c>
      <c r="AU101">
        <f>AU100+IF(AND($E101&lt;&gt;"",$E101&lt;=AU$2,$F101&gt;=AU$2),1,0)</f>
        <v/>
      </c>
      <c r="AV101">
        <f>AV100+IF(AND($E101&lt;&gt;"",$E101&lt;=AV$2,$F101&gt;=AV$2),1,0)</f>
        <v/>
      </c>
      <c r="AW101">
        <f>AW100+IF(AND($E101&lt;&gt;"",$E101&lt;=AW$2,$F101&gt;=AW$2),1,0)</f>
        <v/>
      </c>
    </row>
    <row r="102">
      <c r="A102">
        <f>IF(AND(ISNUMBER(Events!$A104),ISNUMBER(Events!$B104)),MAX(0,Events!$B104-Events!$A104),0)</f>
        <v/>
      </c>
      <c r="B102">
        <f>IF(ISNUMBER(Events!$A104),DATE(YEAR($B$1)-1,MONTH(Events!$A104),DAY(Events!$A104)),"")</f>
        <v/>
      </c>
      <c r="C102">
        <f>IF(ISNUMBER(Events!$A104),DATE(YEAR($B$1),MONTH(Events!$A104),DAY(Events!$A104)),"")</f>
        <v/>
      </c>
      <c r="D102">
        <f>IF(ISNUMBER(Events!$A104),DATE(YEAR($B$2),MONTH(Events!$A104),DAY(Events!$A104)),"")</f>
        <v/>
      </c>
      <c r="E102">
        <f>IF(OR(NOT(ISNUMBER(Events!$A104)),Events!$G104="No",Calendar!$H$4="None"),"",IF(OR(Calendar!$H$4="All events",Events!$D104=Calendar!$H$4),IF(Events!$E104="Yes",IF(AND(B102&gt;=Events!$A104,B102&lt;=$B$2,B102+$A102&gt;=$B$1),B102,IF(AND(C102&gt;=Events!$A104,C102&lt;=$B$2,C102+$A102&gt;=$B$1),C102,IF(AND(D102&gt;=Events!$A104,D102&lt;=$B$2,D102+$A102&gt;=$B$1),D102,""))),IF(AND(Events!$A104&lt;=$B$2,Events!$A104+$A102&gt;=$B$1),Events!$A104,"")),""))</f>
        <v/>
      </c>
      <c r="F102">
        <f>IF(E102="","",E102+A102)</f>
        <v/>
      </c>
      <c r="G102">
        <f>IF(E102="","",IF(AND(E102&lt;=EOMONTH(Calendar!$K$2,0),F102&gt;=Calendar!$K$2),E102+99/100000,""))</f>
        <v/>
      </c>
      <c r="H102">
        <f>H101+IF(AND($E102&lt;&gt;"",$E102&lt;=H$2,$F102&gt;=H$2),1,0)</f>
        <v/>
      </c>
      <c r="I102">
        <f>I101+IF(AND($E102&lt;&gt;"",$E102&lt;=I$2,$F102&gt;=I$2),1,0)</f>
        <v/>
      </c>
      <c r="J102">
        <f>J101+IF(AND($E102&lt;&gt;"",$E102&lt;=J$2,$F102&gt;=J$2),1,0)</f>
        <v/>
      </c>
      <c r="K102">
        <f>K101+IF(AND($E102&lt;&gt;"",$E102&lt;=K$2,$F102&gt;=K$2),1,0)</f>
        <v/>
      </c>
      <c r="L102">
        <f>L101+IF(AND($E102&lt;&gt;"",$E102&lt;=L$2,$F102&gt;=L$2),1,0)</f>
        <v/>
      </c>
      <c r="M102">
        <f>M101+IF(AND($E102&lt;&gt;"",$E102&lt;=M$2,$F102&gt;=M$2),1,0)</f>
        <v/>
      </c>
      <c r="N102">
        <f>N101+IF(AND($E102&lt;&gt;"",$E102&lt;=N$2,$F102&gt;=N$2),1,0)</f>
        <v/>
      </c>
      <c r="O102">
        <f>O101+IF(AND($E102&lt;&gt;"",$E102&lt;=O$2,$F102&gt;=O$2),1,0)</f>
        <v/>
      </c>
      <c r="P102">
        <f>P101+IF(AND($E102&lt;&gt;"",$E102&lt;=P$2,$F102&gt;=P$2),1,0)</f>
        <v/>
      </c>
      <c r="Q102">
        <f>Q101+IF(AND($E102&lt;&gt;"",$E102&lt;=Q$2,$F102&gt;=Q$2),1,0)</f>
        <v/>
      </c>
      <c r="R102">
        <f>R101+IF(AND($E102&lt;&gt;"",$E102&lt;=R$2,$F102&gt;=R$2),1,0)</f>
        <v/>
      </c>
      <c r="S102">
        <f>S101+IF(AND($E102&lt;&gt;"",$E102&lt;=S$2,$F102&gt;=S$2),1,0)</f>
        <v/>
      </c>
      <c r="T102">
        <f>T101+IF(AND($E102&lt;&gt;"",$E102&lt;=T$2,$F102&gt;=T$2),1,0)</f>
        <v/>
      </c>
      <c r="U102">
        <f>U101+IF(AND($E102&lt;&gt;"",$E102&lt;=U$2,$F102&gt;=U$2),1,0)</f>
        <v/>
      </c>
      <c r="V102">
        <f>V101+IF(AND($E102&lt;&gt;"",$E102&lt;=V$2,$F102&gt;=V$2),1,0)</f>
        <v/>
      </c>
      <c r="W102">
        <f>W101+IF(AND($E102&lt;&gt;"",$E102&lt;=W$2,$F102&gt;=W$2),1,0)</f>
        <v/>
      </c>
      <c r="X102">
        <f>X101+IF(AND($E102&lt;&gt;"",$E102&lt;=X$2,$F102&gt;=X$2),1,0)</f>
        <v/>
      </c>
      <c r="Y102">
        <f>Y101+IF(AND($E102&lt;&gt;"",$E102&lt;=Y$2,$F102&gt;=Y$2),1,0)</f>
        <v/>
      </c>
      <c r="Z102">
        <f>Z101+IF(AND($E102&lt;&gt;"",$E102&lt;=Z$2,$F102&gt;=Z$2),1,0)</f>
        <v/>
      </c>
      <c r="AA102">
        <f>AA101+IF(AND($E102&lt;&gt;"",$E102&lt;=AA$2,$F102&gt;=AA$2),1,0)</f>
        <v/>
      </c>
      <c r="AB102">
        <f>AB101+IF(AND($E102&lt;&gt;"",$E102&lt;=AB$2,$F102&gt;=AB$2),1,0)</f>
        <v/>
      </c>
      <c r="AC102">
        <f>AC101+IF(AND($E102&lt;&gt;"",$E102&lt;=AC$2,$F102&gt;=AC$2),1,0)</f>
        <v/>
      </c>
      <c r="AD102">
        <f>AD101+IF(AND($E102&lt;&gt;"",$E102&lt;=AD$2,$F102&gt;=AD$2),1,0)</f>
        <v/>
      </c>
      <c r="AE102">
        <f>AE101+IF(AND($E102&lt;&gt;"",$E102&lt;=AE$2,$F102&gt;=AE$2),1,0)</f>
        <v/>
      </c>
      <c r="AF102">
        <f>AF101+IF(AND($E102&lt;&gt;"",$E102&lt;=AF$2,$F102&gt;=AF$2),1,0)</f>
        <v/>
      </c>
      <c r="AG102">
        <f>AG101+IF(AND($E102&lt;&gt;"",$E102&lt;=AG$2,$F102&gt;=AG$2),1,0)</f>
        <v/>
      </c>
      <c r="AH102">
        <f>AH101+IF(AND($E102&lt;&gt;"",$E102&lt;=AH$2,$F102&gt;=AH$2),1,0)</f>
        <v/>
      </c>
      <c r="AI102">
        <f>AI101+IF(AND($E102&lt;&gt;"",$E102&lt;=AI$2,$F102&gt;=AI$2),1,0)</f>
        <v/>
      </c>
      <c r="AJ102">
        <f>AJ101+IF(AND($E102&lt;&gt;"",$E102&lt;=AJ$2,$F102&gt;=AJ$2),1,0)</f>
        <v/>
      </c>
      <c r="AK102">
        <f>AK101+IF(AND($E102&lt;&gt;"",$E102&lt;=AK$2,$F102&gt;=AK$2),1,0)</f>
        <v/>
      </c>
      <c r="AL102">
        <f>AL101+IF(AND($E102&lt;&gt;"",$E102&lt;=AL$2,$F102&gt;=AL$2),1,0)</f>
        <v/>
      </c>
      <c r="AM102">
        <f>AM101+IF(AND($E102&lt;&gt;"",$E102&lt;=AM$2,$F102&gt;=AM$2),1,0)</f>
        <v/>
      </c>
      <c r="AN102">
        <f>AN101+IF(AND($E102&lt;&gt;"",$E102&lt;=AN$2,$F102&gt;=AN$2),1,0)</f>
        <v/>
      </c>
      <c r="AO102">
        <f>AO101+IF(AND($E102&lt;&gt;"",$E102&lt;=AO$2,$F102&gt;=AO$2),1,0)</f>
        <v/>
      </c>
      <c r="AP102">
        <f>AP101+IF(AND($E102&lt;&gt;"",$E102&lt;=AP$2,$F102&gt;=AP$2),1,0)</f>
        <v/>
      </c>
      <c r="AQ102">
        <f>AQ101+IF(AND($E102&lt;&gt;"",$E102&lt;=AQ$2,$F102&gt;=AQ$2),1,0)</f>
        <v/>
      </c>
      <c r="AR102">
        <f>AR101+IF(AND($E102&lt;&gt;"",$E102&lt;=AR$2,$F102&gt;=AR$2),1,0)</f>
        <v/>
      </c>
      <c r="AS102">
        <f>AS101+IF(AND($E102&lt;&gt;"",$E102&lt;=AS$2,$F102&gt;=AS$2),1,0)</f>
        <v/>
      </c>
      <c r="AT102">
        <f>AT101+IF(AND($E102&lt;&gt;"",$E102&lt;=AT$2,$F102&gt;=AT$2),1,0)</f>
        <v/>
      </c>
      <c r="AU102">
        <f>AU101+IF(AND($E102&lt;&gt;"",$E102&lt;=AU$2,$F102&gt;=AU$2),1,0)</f>
        <v/>
      </c>
      <c r="AV102">
        <f>AV101+IF(AND($E102&lt;&gt;"",$E102&lt;=AV$2,$F102&gt;=AV$2),1,0)</f>
        <v/>
      </c>
      <c r="AW102">
        <f>AW101+IF(AND($E102&lt;&gt;"",$E102&lt;=AW$2,$F102&gt;=AW$2),1,0)</f>
        <v/>
      </c>
    </row>
    <row r="103">
      <c r="A103">
        <f>IF(AND(ISNUMBER(Events!$A105),ISNUMBER(Events!$B105)),MAX(0,Events!$B105-Events!$A105),0)</f>
        <v/>
      </c>
      <c r="B103">
        <f>IF(ISNUMBER(Events!$A105),DATE(YEAR($B$1)-1,MONTH(Events!$A105),DAY(Events!$A105)),"")</f>
        <v/>
      </c>
      <c r="C103">
        <f>IF(ISNUMBER(Events!$A105),DATE(YEAR($B$1),MONTH(Events!$A105),DAY(Events!$A105)),"")</f>
        <v/>
      </c>
      <c r="D103">
        <f>IF(ISNUMBER(Events!$A105),DATE(YEAR($B$2),MONTH(Events!$A105),DAY(Events!$A105)),"")</f>
        <v/>
      </c>
      <c r="E103">
        <f>IF(OR(NOT(ISNUMBER(Events!$A105)),Events!$G105="No",Calendar!$H$4="None"),"",IF(OR(Calendar!$H$4="All events",Events!$D105=Calendar!$H$4),IF(Events!$E105="Yes",IF(AND(B103&gt;=Events!$A105,B103&lt;=$B$2,B103+$A103&gt;=$B$1),B103,IF(AND(C103&gt;=Events!$A105,C103&lt;=$B$2,C103+$A103&gt;=$B$1),C103,IF(AND(D103&gt;=Events!$A105,D103&lt;=$B$2,D103+$A103&gt;=$B$1),D103,""))),IF(AND(Events!$A105&lt;=$B$2,Events!$A105+$A103&gt;=$B$1),Events!$A105,"")),""))</f>
        <v/>
      </c>
      <c r="F103">
        <f>IF(E103="","",E103+A103)</f>
        <v/>
      </c>
      <c r="G103">
        <f>IF(E103="","",IF(AND(E103&lt;=EOMONTH(Calendar!$K$2,0),F103&gt;=Calendar!$K$2),E103+100/100000,""))</f>
        <v/>
      </c>
      <c r="H103">
        <f>H102+IF(AND($E103&lt;&gt;"",$E103&lt;=H$2,$F103&gt;=H$2),1,0)</f>
        <v/>
      </c>
      <c r="I103">
        <f>I102+IF(AND($E103&lt;&gt;"",$E103&lt;=I$2,$F103&gt;=I$2),1,0)</f>
        <v/>
      </c>
      <c r="J103">
        <f>J102+IF(AND($E103&lt;&gt;"",$E103&lt;=J$2,$F103&gt;=J$2),1,0)</f>
        <v/>
      </c>
      <c r="K103">
        <f>K102+IF(AND($E103&lt;&gt;"",$E103&lt;=K$2,$F103&gt;=K$2),1,0)</f>
        <v/>
      </c>
      <c r="L103">
        <f>L102+IF(AND($E103&lt;&gt;"",$E103&lt;=L$2,$F103&gt;=L$2),1,0)</f>
        <v/>
      </c>
      <c r="M103">
        <f>M102+IF(AND($E103&lt;&gt;"",$E103&lt;=M$2,$F103&gt;=M$2),1,0)</f>
        <v/>
      </c>
      <c r="N103">
        <f>N102+IF(AND($E103&lt;&gt;"",$E103&lt;=N$2,$F103&gt;=N$2),1,0)</f>
        <v/>
      </c>
      <c r="O103">
        <f>O102+IF(AND($E103&lt;&gt;"",$E103&lt;=O$2,$F103&gt;=O$2),1,0)</f>
        <v/>
      </c>
      <c r="P103">
        <f>P102+IF(AND($E103&lt;&gt;"",$E103&lt;=P$2,$F103&gt;=P$2),1,0)</f>
        <v/>
      </c>
      <c r="Q103">
        <f>Q102+IF(AND($E103&lt;&gt;"",$E103&lt;=Q$2,$F103&gt;=Q$2),1,0)</f>
        <v/>
      </c>
      <c r="R103">
        <f>R102+IF(AND($E103&lt;&gt;"",$E103&lt;=R$2,$F103&gt;=R$2),1,0)</f>
        <v/>
      </c>
      <c r="S103">
        <f>S102+IF(AND($E103&lt;&gt;"",$E103&lt;=S$2,$F103&gt;=S$2),1,0)</f>
        <v/>
      </c>
      <c r="T103">
        <f>T102+IF(AND($E103&lt;&gt;"",$E103&lt;=T$2,$F103&gt;=T$2),1,0)</f>
        <v/>
      </c>
      <c r="U103">
        <f>U102+IF(AND($E103&lt;&gt;"",$E103&lt;=U$2,$F103&gt;=U$2),1,0)</f>
        <v/>
      </c>
      <c r="V103">
        <f>V102+IF(AND($E103&lt;&gt;"",$E103&lt;=V$2,$F103&gt;=V$2),1,0)</f>
        <v/>
      </c>
      <c r="W103">
        <f>W102+IF(AND($E103&lt;&gt;"",$E103&lt;=W$2,$F103&gt;=W$2),1,0)</f>
        <v/>
      </c>
      <c r="X103">
        <f>X102+IF(AND($E103&lt;&gt;"",$E103&lt;=X$2,$F103&gt;=X$2),1,0)</f>
        <v/>
      </c>
      <c r="Y103">
        <f>Y102+IF(AND($E103&lt;&gt;"",$E103&lt;=Y$2,$F103&gt;=Y$2),1,0)</f>
        <v/>
      </c>
      <c r="Z103">
        <f>Z102+IF(AND($E103&lt;&gt;"",$E103&lt;=Z$2,$F103&gt;=Z$2),1,0)</f>
        <v/>
      </c>
      <c r="AA103">
        <f>AA102+IF(AND($E103&lt;&gt;"",$E103&lt;=AA$2,$F103&gt;=AA$2),1,0)</f>
        <v/>
      </c>
      <c r="AB103">
        <f>AB102+IF(AND($E103&lt;&gt;"",$E103&lt;=AB$2,$F103&gt;=AB$2),1,0)</f>
        <v/>
      </c>
      <c r="AC103">
        <f>AC102+IF(AND($E103&lt;&gt;"",$E103&lt;=AC$2,$F103&gt;=AC$2),1,0)</f>
        <v/>
      </c>
      <c r="AD103">
        <f>AD102+IF(AND($E103&lt;&gt;"",$E103&lt;=AD$2,$F103&gt;=AD$2),1,0)</f>
        <v/>
      </c>
      <c r="AE103">
        <f>AE102+IF(AND($E103&lt;&gt;"",$E103&lt;=AE$2,$F103&gt;=AE$2),1,0)</f>
        <v/>
      </c>
      <c r="AF103">
        <f>AF102+IF(AND($E103&lt;&gt;"",$E103&lt;=AF$2,$F103&gt;=AF$2),1,0)</f>
        <v/>
      </c>
      <c r="AG103">
        <f>AG102+IF(AND($E103&lt;&gt;"",$E103&lt;=AG$2,$F103&gt;=AG$2),1,0)</f>
        <v/>
      </c>
      <c r="AH103">
        <f>AH102+IF(AND($E103&lt;&gt;"",$E103&lt;=AH$2,$F103&gt;=AH$2),1,0)</f>
        <v/>
      </c>
      <c r="AI103">
        <f>AI102+IF(AND($E103&lt;&gt;"",$E103&lt;=AI$2,$F103&gt;=AI$2),1,0)</f>
        <v/>
      </c>
      <c r="AJ103">
        <f>AJ102+IF(AND($E103&lt;&gt;"",$E103&lt;=AJ$2,$F103&gt;=AJ$2),1,0)</f>
        <v/>
      </c>
      <c r="AK103">
        <f>AK102+IF(AND($E103&lt;&gt;"",$E103&lt;=AK$2,$F103&gt;=AK$2),1,0)</f>
        <v/>
      </c>
      <c r="AL103">
        <f>AL102+IF(AND($E103&lt;&gt;"",$E103&lt;=AL$2,$F103&gt;=AL$2),1,0)</f>
        <v/>
      </c>
      <c r="AM103">
        <f>AM102+IF(AND($E103&lt;&gt;"",$E103&lt;=AM$2,$F103&gt;=AM$2),1,0)</f>
        <v/>
      </c>
      <c r="AN103">
        <f>AN102+IF(AND($E103&lt;&gt;"",$E103&lt;=AN$2,$F103&gt;=AN$2),1,0)</f>
        <v/>
      </c>
      <c r="AO103">
        <f>AO102+IF(AND($E103&lt;&gt;"",$E103&lt;=AO$2,$F103&gt;=AO$2),1,0)</f>
        <v/>
      </c>
      <c r="AP103">
        <f>AP102+IF(AND($E103&lt;&gt;"",$E103&lt;=AP$2,$F103&gt;=AP$2),1,0)</f>
        <v/>
      </c>
      <c r="AQ103">
        <f>AQ102+IF(AND($E103&lt;&gt;"",$E103&lt;=AQ$2,$F103&gt;=AQ$2),1,0)</f>
        <v/>
      </c>
      <c r="AR103">
        <f>AR102+IF(AND($E103&lt;&gt;"",$E103&lt;=AR$2,$F103&gt;=AR$2),1,0)</f>
        <v/>
      </c>
      <c r="AS103">
        <f>AS102+IF(AND($E103&lt;&gt;"",$E103&lt;=AS$2,$F103&gt;=AS$2),1,0)</f>
        <v/>
      </c>
      <c r="AT103">
        <f>AT102+IF(AND($E103&lt;&gt;"",$E103&lt;=AT$2,$F103&gt;=AT$2),1,0)</f>
        <v/>
      </c>
      <c r="AU103">
        <f>AU102+IF(AND($E103&lt;&gt;"",$E103&lt;=AU$2,$F103&gt;=AU$2),1,0)</f>
        <v/>
      </c>
      <c r="AV103">
        <f>AV102+IF(AND($E103&lt;&gt;"",$E103&lt;=AV$2,$F103&gt;=AV$2),1,0)</f>
        <v/>
      </c>
      <c r="AW103">
        <f>AW102+IF(AND($E103&lt;&gt;"",$E103&lt;=AW$2,$F103&gt;=AW$2),1,0)</f>
        <v/>
      </c>
    </row>
    <row r="104">
      <c r="A104">
        <f>IF(AND(ISNUMBER(Events!$A106),ISNUMBER(Events!$B106)),MAX(0,Events!$B106-Events!$A106),0)</f>
        <v/>
      </c>
      <c r="B104">
        <f>IF(ISNUMBER(Events!$A106),DATE(YEAR($B$1)-1,MONTH(Events!$A106),DAY(Events!$A106)),"")</f>
        <v/>
      </c>
      <c r="C104">
        <f>IF(ISNUMBER(Events!$A106),DATE(YEAR($B$1),MONTH(Events!$A106),DAY(Events!$A106)),"")</f>
        <v/>
      </c>
      <c r="D104">
        <f>IF(ISNUMBER(Events!$A106),DATE(YEAR($B$2),MONTH(Events!$A106),DAY(Events!$A106)),"")</f>
        <v/>
      </c>
      <c r="E104">
        <f>IF(OR(NOT(ISNUMBER(Events!$A106)),Events!$G106="No",Calendar!$H$4="None"),"",IF(OR(Calendar!$H$4="All events",Events!$D106=Calendar!$H$4),IF(Events!$E106="Yes",IF(AND(B104&gt;=Events!$A106,B104&lt;=$B$2,B104+$A104&gt;=$B$1),B104,IF(AND(C104&gt;=Events!$A106,C104&lt;=$B$2,C104+$A104&gt;=$B$1),C104,IF(AND(D104&gt;=Events!$A106,D104&lt;=$B$2,D104+$A104&gt;=$B$1),D104,""))),IF(AND(Events!$A106&lt;=$B$2,Events!$A106+$A104&gt;=$B$1),Events!$A106,"")),""))</f>
        <v/>
      </c>
      <c r="F104">
        <f>IF(E104="","",E104+A104)</f>
        <v/>
      </c>
      <c r="G104">
        <f>IF(E104="","",IF(AND(E104&lt;=EOMONTH(Calendar!$K$2,0),F104&gt;=Calendar!$K$2),E104+101/100000,""))</f>
        <v/>
      </c>
      <c r="H104">
        <f>H103+IF(AND($E104&lt;&gt;"",$E104&lt;=H$2,$F104&gt;=H$2),1,0)</f>
        <v/>
      </c>
      <c r="I104">
        <f>I103+IF(AND($E104&lt;&gt;"",$E104&lt;=I$2,$F104&gt;=I$2),1,0)</f>
        <v/>
      </c>
      <c r="J104">
        <f>J103+IF(AND($E104&lt;&gt;"",$E104&lt;=J$2,$F104&gt;=J$2),1,0)</f>
        <v/>
      </c>
      <c r="K104">
        <f>K103+IF(AND($E104&lt;&gt;"",$E104&lt;=K$2,$F104&gt;=K$2),1,0)</f>
        <v/>
      </c>
      <c r="L104">
        <f>L103+IF(AND($E104&lt;&gt;"",$E104&lt;=L$2,$F104&gt;=L$2),1,0)</f>
        <v/>
      </c>
      <c r="M104">
        <f>M103+IF(AND($E104&lt;&gt;"",$E104&lt;=M$2,$F104&gt;=M$2),1,0)</f>
        <v/>
      </c>
      <c r="N104">
        <f>N103+IF(AND($E104&lt;&gt;"",$E104&lt;=N$2,$F104&gt;=N$2),1,0)</f>
        <v/>
      </c>
      <c r="O104">
        <f>O103+IF(AND($E104&lt;&gt;"",$E104&lt;=O$2,$F104&gt;=O$2),1,0)</f>
        <v/>
      </c>
      <c r="P104">
        <f>P103+IF(AND($E104&lt;&gt;"",$E104&lt;=P$2,$F104&gt;=P$2),1,0)</f>
        <v/>
      </c>
      <c r="Q104">
        <f>Q103+IF(AND($E104&lt;&gt;"",$E104&lt;=Q$2,$F104&gt;=Q$2),1,0)</f>
        <v/>
      </c>
      <c r="R104">
        <f>R103+IF(AND($E104&lt;&gt;"",$E104&lt;=R$2,$F104&gt;=R$2),1,0)</f>
        <v/>
      </c>
      <c r="S104">
        <f>S103+IF(AND($E104&lt;&gt;"",$E104&lt;=S$2,$F104&gt;=S$2),1,0)</f>
        <v/>
      </c>
      <c r="T104">
        <f>T103+IF(AND($E104&lt;&gt;"",$E104&lt;=T$2,$F104&gt;=T$2),1,0)</f>
        <v/>
      </c>
      <c r="U104">
        <f>U103+IF(AND($E104&lt;&gt;"",$E104&lt;=U$2,$F104&gt;=U$2),1,0)</f>
        <v/>
      </c>
      <c r="V104">
        <f>V103+IF(AND($E104&lt;&gt;"",$E104&lt;=V$2,$F104&gt;=V$2),1,0)</f>
        <v/>
      </c>
      <c r="W104">
        <f>W103+IF(AND($E104&lt;&gt;"",$E104&lt;=W$2,$F104&gt;=W$2),1,0)</f>
        <v/>
      </c>
      <c r="X104">
        <f>X103+IF(AND($E104&lt;&gt;"",$E104&lt;=X$2,$F104&gt;=X$2),1,0)</f>
        <v/>
      </c>
      <c r="Y104">
        <f>Y103+IF(AND($E104&lt;&gt;"",$E104&lt;=Y$2,$F104&gt;=Y$2),1,0)</f>
        <v/>
      </c>
      <c r="Z104">
        <f>Z103+IF(AND($E104&lt;&gt;"",$E104&lt;=Z$2,$F104&gt;=Z$2),1,0)</f>
        <v/>
      </c>
      <c r="AA104">
        <f>AA103+IF(AND($E104&lt;&gt;"",$E104&lt;=AA$2,$F104&gt;=AA$2),1,0)</f>
        <v/>
      </c>
      <c r="AB104">
        <f>AB103+IF(AND($E104&lt;&gt;"",$E104&lt;=AB$2,$F104&gt;=AB$2),1,0)</f>
        <v/>
      </c>
      <c r="AC104">
        <f>AC103+IF(AND($E104&lt;&gt;"",$E104&lt;=AC$2,$F104&gt;=AC$2),1,0)</f>
        <v/>
      </c>
      <c r="AD104">
        <f>AD103+IF(AND($E104&lt;&gt;"",$E104&lt;=AD$2,$F104&gt;=AD$2),1,0)</f>
        <v/>
      </c>
      <c r="AE104">
        <f>AE103+IF(AND($E104&lt;&gt;"",$E104&lt;=AE$2,$F104&gt;=AE$2),1,0)</f>
        <v/>
      </c>
      <c r="AF104">
        <f>AF103+IF(AND($E104&lt;&gt;"",$E104&lt;=AF$2,$F104&gt;=AF$2),1,0)</f>
        <v/>
      </c>
      <c r="AG104">
        <f>AG103+IF(AND($E104&lt;&gt;"",$E104&lt;=AG$2,$F104&gt;=AG$2),1,0)</f>
        <v/>
      </c>
      <c r="AH104">
        <f>AH103+IF(AND($E104&lt;&gt;"",$E104&lt;=AH$2,$F104&gt;=AH$2),1,0)</f>
        <v/>
      </c>
      <c r="AI104">
        <f>AI103+IF(AND($E104&lt;&gt;"",$E104&lt;=AI$2,$F104&gt;=AI$2),1,0)</f>
        <v/>
      </c>
      <c r="AJ104">
        <f>AJ103+IF(AND($E104&lt;&gt;"",$E104&lt;=AJ$2,$F104&gt;=AJ$2),1,0)</f>
        <v/>
      </c>
      <c r="AK104">
        <f>AK103+IF(AND($E104&lt;&gt;"",$E104&lt;=AK$2,$F104&gt;=AK$2),1,0)</f>
        <v/>
      </c>
      <c r="AL104">
        <f>AL103+IF(AND($E104&lt;&gt;"",$E104&lt;=AL$2,$F104&gt;=AL$2),1,0)</f>
        <v/>
      </c>
      <c r="AM104">
        <f>AM103+IF(AND($E104&lt;&gt;"",$E104&lt;=AM$2,$F104&gt;=AM$2),1,0)</f>
        <v/>
      </c>
      <c r="AN104">
        <f>AN103+IF(AND($E104&lt;&gt;"",$E104&lt;=AN$2,$F104&gt;=AN$2),1,0)</f>
        <v/>
      </c>
      <c r="AO104">
        <f>AO103+IF(AND($E104&lt;&gt;"",$E104&lt;=AO$2,$F104&gt;=AO$2),1,0)</f>
        <v/>
      </c>
      <c r="AP104">
        <f>AP103+IF(AND($E104&lt;&gt;"",$E104&lt;=AP$2,$F104&gt;=AP$2),1,0)</f>
        <v/>
      </c>
      <c r="AQ104">
        <f>AQ103+IF(AND($E104&lt;&gt;"",$E104&lt;=AQ$2,$F104&gt;=AQ$2),1,0)</f>
        <v/>
      </c>
      <c r="AR104">
        <f>AR103+IF(AND($E104&lt;&gt;"",$E104&lt;=AR$2,$F104&gt;=AR$2),1,0)</f>
        <v/>
      </c>
      <c r="AS104">
        <f>AS103+IF(AND($E104&lt;&gt;"",$E104&lt;=AS$2,$F104&gt;=AS$2),1,0)</f>
        <v/>
      </c>
      <c r="AT104">
        <f>AT103+IF(AND($E104&lt;&gt;"",$E104&lt;=AT$2,$F104&gt;=AT$2),1,0)</f>
        <v/>
      </c>
      <c r="AU104">
        <f>AU103+IF(AND($E104&lt;&gt;"",$E104&lt;=AU$2,$F104&gt;=AU$2),1,0)</f>
        <v/>
      </c>
      <c r="AV104">
        <f>AV103+IF(AND($E104&lt;&gt;"",$E104&lt;=AV$2,$F104&gt;=AV$2),1,0)</f>
        <v/>
      </c>
      <c r="AW104">
        <f>AW103+IF(AND($E104&lt;&gt;"",$E104&lt;=AW$2,$F104&gt;=AW$2),1,0)</f>
        <v/>
      </c>
    </row>
    <row r="105">
      <c r="A105">
        <f>IF(AND(ISNUMBER(Events!$A107),ISNUMBER(Events!$B107)),MAX(0,Events!$B107-Events!$A107),0)</f>
        <v/>
      </c>
      <c r="B105">
        <f>IF(ISNUMBER(Events!$A107),DATE(YEAR($B$1)-1,MONTH(Events!$A107),DAY(Events!$A107)),"")</f>
        <v/>
      </c>
      <c r="C105">
        <f>IF(ISNUMBER(Events!$A107),DATE(YEAR($B$1),MONTH(Events!$A107),DAY(Events!$A107)),"")</f>
        <v/>
      </c>
      <c r="D105">
        <f>IF(ISNUMBER(Events!$A107),DATE(YEAR($B$2),MONTH(Events!$A107),DAY(Events!$A107)),"")</f>
        <v/>
      </c>
      <c r="E105">
        <f>IF(OR(NOT(ISNUMBER(Events!$A107)),Events!$G107="No",Calendar!$H$4="None"),"",IF(OR(Calendar!$H$4="All events",Events!$D107=Calendar!$H$4),IF(Events!$E107="Yes",IF(AND(B105&gt;=Events!$A107,B105&lt;=$B$2,B105+$A105&gt;=$B$1),B105,IF(AND(C105&gt;=Events!$A107,C105&lt;=$B$2,C105+$A105&gt;=$B$1),C105,IF(AND(D105&gt;=Events!$A107,D105&lt;=$B$2,D105+$A105&gt;=$B$1),D105,""))),IF(AND(Events!$A107&lt;=$B$2,Events!$A107+$A105&gt;=$B$1),Events!$A107,"")),""))</f>
        <v/>
      </c>
      <c r="F105">
        <f>IF(E105="","",E105+A105)</f>
        <v/>
      </c>
      <c r="G105">
        <f>IF(E105="","",IF(AND(E105&lt;=EOMONTH(Calendar!$K$2,0),F105&gt;=Calendar!$K$2),E105+102/100000,""))</f>
        <v/>
      </c>
      <c r="H105">
        <f>H104+IF(AND($E105&lt;&gt;"",$E105&lt;=H$2,$F105&gt;=H$2),1,0)</f>
        <v/>
      </c>
      <c r="I105">
        <f>I104+IF(AND($E105&lt;&gt;"",$E105&lt;=I$2,$F105&gt;=I$2),1,0)</f>
        <v/>
      </c>
      <c r="J105">
        <f>J104+IF(AND($E105&lt;&gt;"",$E105&lt;=J$2,$F105&gt;=J$2),1,0)</f>
        <v/>
      </c>
      <c r="K105">
        <f>K104+IF(AND($E105&lt;&gt;"",$E105&lt;=K$2,$F105&gt;=K$2),1,0)</f>
        <v/>
      </c>
      <c r="L105">
        <f>L104+IF(AND($E105&lt;&gt;"",$E105&lt;=L$2,$F105&gt;=L$2),1,0)</f>
        <v/>
      </c>
      <c r="M105">
        <f>M104+IF(AND($E105&lt;&gt;"",$E105&lt;=M$2,$F105&gt;=M$2),1,0)</f>
        <v/>
      </c>
      <c r="N105">
        <f>N104+IF(AND($E105&lt;&gt;"",$E105&lt;=N$2,$F105&gt;=N$2),1,0)</f>
        <v/>
      </c>
      <c r="O105">
        <f>O104+IF(AND($E105&lt;&gt;"",$E105&lt;=O$2,$F105&gt;=O$2),1,0)</f>
        <v/>
      </c>
      <c r="P105">
        <f>P104+IF(AND($E105&lt;&gt;"",$E105&lt;=P$2,$F105&gt;=P$2),1,0)</f>
        <v/>
      </c>
      <c r="Q105">
        <f>Q104+IF(AND($E105&lt;&gt;"",$E105&lt;=Q$2,$F105&gt;=Q$2),1,0)</f>
        <v/>
      </c>
      <c r="R105">
        <f>R104+IF(AND($E105&lt;&gt;"",$E105&lt;=R$2,$F105&gt;=R$2),1,0)</f>
        <v/>
      </c>
      <c r="S105">
        <f>S104+IF(AND($E105&lt;&gt;"",$E105&lt;=S$2,$F105&gt;=S$2),1,0)</f>
        <v/>
      </c>
      <c r="T105">
        <f>T104+IF(AND($E105&lt;&gt;"",$E105&lt;=T$2,$F105&gt;=T$2),1,0)</f>
        <v/>
      </c>
      <c r="U105">
        <f>U104+IF(AND($E105&lt;&gt;"",$E105&lt;=U$2,$F105&gt;=U$2),1,0)</f>
        <v/>
      </c>
      <c r="V105">
        <f>V104+IF(AND($E105&lt;&gt;"",$E105&lt;=V$2,$F105&gt;=V$2),1,0)</f>
        <v/>
      </c>
      <c r="W105">
        <f>W104+IF(AND($E105&lt;&gt;"",$E105&lt;=W$2,$F105&gt;=W$2),1,0)</f>
        <v/>
      </c>
      <c r="X105">
        <f>X104+IF(AND($E105&lt;&gt;"",$E105&lt;=X$2,$F105&gt;=X$2),1,0)</f>
        <v/>
      </c>
      <c r="Y105">
        <f>Y104+IF(AND($E105&lt;&gt;"",$E105&lt;=Y$2,$F105&gt;=Y$2),1,0)</f>
        <v/>
      </c>
      <c r="Z105">
        <f>Z104+IF(AND($E105&lt;&gt;"",$E105&lt;=Z$2,$F105&gt;=Z$2),1,0)</f>
        <v/>
      </c>
      <c r="AA105">
        <f>AA104+IF(AND($E105&lt;&gt;"",$E105&lt;=AA$2,$F105&gt;=AA$2),1,0)</f>
        <v/>
      </c>
      <c r="AB105">
        <f>AB104+IF(AND($E105&lt;&gt;"",$E105&lt;=AB$2,$F105&gt;=AB$2),1,0)</f>
        <v/>
      </c>
      <c r="AC105">
        <f>AC104+IF(AND($E105&lt;&gt;"",$E105&lt;=AC$2,$F105&gt;=AC$2),1,0)</f>
        <v/>
      </c>
      <c r="AD105">
        <f>AD104+IF(AND($E105&lt;&gt;"",$E105&lt;=AD$2,$F105&gt;=AD$2),1,0)</f>
        <v/>
      </c>
      <c r="AE105">
        <f>AE104+IF(AND($E105&lt;&gt;"",$E105&lt;=AE$2,$F105&gt;=AE$2),1,0)</f>
        <v/>
      </c>
      <c r="AF105">
        <f>AF104+IF(AND($E105&lt;&gt;"",$E105&lt;=AF$2,$F105&gt;=AF$2),1,0)</f>
        <v/>
      </c>
      <c r="AG105">
        <f>AG104+IF(AND($E105&lt;&gt;"",$E105&lt;=AG$2,$F105&gt;=AG$2),1,0)</f>
        <v/>
      </c>
      <c r="AH105">
        <f>AH104+IF(AND($E105&lt;&gt;"",$E105&lt;=AH$2,$F105&gt;=AH$2),1,0)</f>
        <v/>
      </c>
      <c r="AI105">
        <f>AI104+IF(AND($E105&lt;&gt;"",$E105&lt;=AI$2,$F105&gt;=AI$2),1,0)</f>
        <v/>
      </c>
      <c r="AJ105">
        <f>AJ104+IF(AND($E105&lt;&gt;"",$E105&lt;=AJ$2,$F105&gt;=AJ$2),1,0)</f>
        <v/>
      </c>
      <c r="AK105">
        <f>AK104+IF(AND($E105&lt;&gt;"",$E105&lt;=AK$2,$F105&gt;=AK$2),1,0)</f>
        <v/>
      </c>
      <c r="AL105">
        <f>AL104+IF(AND($E105&lt;&gt;"",$E105&lt;=AL$2,$F105&gt;=AL$2),1,0)</f>
        <v/>
      </c>
      <c r="AM105">
        <f>AM104+IF(AND($E105&lt;&gt;"",$E105&lt;=AM$2,$F105&gt;=AM$2),1,0)</f>
        <v/>
      </c>
      <c r="AN105">
        <f>AN104+IF(AND($E105&lt;&gt;"",$E105&lt;=AN$2,$F105&gt;=AN$2),1,0)</f>
        <v/>
      </c>
      <c r="AO105">
        <f>AO104+IF(AND($E105&lt;&gt;"",$E105&lt;=AO$2,$F105&gt;=AO$2),1,0)</f>
        <v/>
      </c>
      <c r="AP105">
        <f>AP104+IF(AND($E105&lt;&gt;"",$E105&lt;=AP$2,$F105&gt;=AP$2),1,0)</f>
        <v/>
      </c>
      <c r="AQ105">
        <f>AQ104+IF(AND($E105&lt;&gt;"",$E105&lt;=AQ$2,$F105&gt;=AQ$2),1,0)</f>
        <v/>
      </c>
      <c r="AR105">
        <f>AR104+IF(AND($E105&lt;&gt;"",$E105&lt;=AR$2,$F105&gt;=AR$2),1,0)</f>
        <v/>
      </c>
      <c r="AS105">
        <f>AS104+IF(AND($E105&lt;&gt;"",$E105&lt;=AS$2,$F105&gt;=AS$2),1,0)</f>
        <v/>
      </c>
      <c r="AT105">
        <f>AT104+IF(AND($E105&lt;&gt;"",$E105&lt;=AT$2,$F105&gt;=AT$2),1,0)</f>
        <v/>
      </c>
      <c r="AU105">
        <f>AU104+IF(AND($E105&lt;&gt;"",$E105&lt;=AU$2,$F105&gt;=AU$2),1,0)</f>
        <v/>
      </c>
      <c r="AV105">
        <f>AV104+IF(AND($E105&lt;&gt;"",$E105&lt;=AV$2,$F105&gt;=AV$2),1,0)</f>
        <v/>
      </c>
      <c r="AW105">
        <f>AW104+IF(AND($E105&lt;&gt;"",$E105&lt;=AW$2,$F105&gt;=AW$2),1,0)</f>
        <v/>
      </c>
    </row>
    <row r="106">
      <c r="A106">
        <f>IF(AND(ISNUMBER(Events!$A108),ISNUMBER(Events!$B108)),MAX(0,Events!$B108-Events!$A108),0)</f>
        <v/>
      </c>
      <c r="B106">
        <f>IF(ISNUMBER(Events!$A108),DATE(YEAR($B$1)-1,MONTH(Events!$A108),DAY(Events!$A108)),"")</f>
        <v/>
      </c>
      <c r="C106">
        <f>IF(ISNUMBER(Events!$A108),DATE(YEAR($B$1),MONTH(Events!$A108),DAY(Events!$A108)),"")</f>
        <v/>
      </c>
      <c r="D106">
        <f>IF(ISNUMBER(Events!$A108),DATE(YEAR($B$2),MONTH(Events!$A108),DAY(Events!$A108)),"")</f>
        <v/>
      </c>
      <c r="E106">
        <f>IF(OR(NOT(ISNUMBER(Events!$A108)),Events!$G108="No",Calendar!$H$4="None"),"",IF(OR(Calendar!$H$4="All events",Events!$D108=Calendar!$H$4),IF(Events!$E108="Yes",IF(AND(B106&gt;=Events!$A108,B106&lt;=$B$2,B106+$A106&gt;=$B$1),B106,IF(AND(C106&gt;=Events!$A108,C106&lt;=$B$2,C106+$A106&gt;=$B$1),C106,IF(AND(D106&gt;=Events!$A108,D106&lt;=$B$2,D106+$A106&gt;=$B$1),D106,""))),IF(AND(Events!$A108&lt;=$B$2,Events!$A108+$A106&gt;=$B$1),Events!$A108,"")),""))</f>
        <v/>
      </c>
      <c r="F106">
        <f>IF(E106="","",E106+A106)</f>
        <v/>
      </c>
      <c r="G106">
        <f>IF(E106="","",IF(AND(E106&lt;=EOMONTH(Calendar!$K$2,0),F106&gt;=Calendar!$K$2),E106+103/100000,""))</f>
        <v/>
      </c>
      <c r="H106">
        <f>H105+IF(AND($E106&lt;&gt;"",$E106&lt;=H$2,$F106&gt;=H$2),1,0)</f>
        <v/>
      </c>
      <c r="I106">
        <f>I105+IF(AND($E106&lt;&gt;"",$E106&lt;=I$2,$F106&gt;=I$2),1,0)</f>
        <v/>
      </c>
      <c r="J106">
        <f>J105+IF(AND($E106&lt;&gt;"",$E106&lt;=J$2,$F106&gt;=J$2),1,0)</f>
        <v/>
      </c>
      <c r="K106">
        <f>K105+IF(AND($E106&lt;&gt;"",$E106&lt;=K$2,$F106&gt;=K$2),1,0)</f>
        <v/>
      </c>
      <c r="L106">
        <f>L105+IF(AND($E106&lt;&gt;"",$E106&lt;=L$2,$F106&gt;=L$2),1,0)</f>
        <v/>
      </c>
      <c r="M106">
        <f>M105+IF(AND($E106&lt;&gt;"",$E106&lt;=M$2,$F106&gt;=M$2),1,0)</f>
        <v/>
      </c>
      <c r="N106">
        <f>N105+IF(AND($E106&lt;&gt;"",$E106&lt;=N$2,$F106&gt;=N$2),1,0)</f>
        <v/>
      </c>
      <c r="O106">
        <f>O105+IF(AND($E106&lt;&gt;"",$E106&lt;=O$2,$F106&gt;=O$2),1,0)</f>
        <v/>
      </c>
      <c r="P106">
        <f>P105+IF(AND($E106&lt;&gt;"",$E106&lt;=P$2,$F106&gt;=P$2),1,0)</f>
        <v/>
      </c>
      <c r="Q106">
        <f>Q105+IF(AND($E106&lt;&gt;"",$E106&lt;=Q$2,$F106&gt;=Q$2),1,0)</f>
        <v/>
      </c>
      <c r="R106">
        <f>R105+IF(AND($E106&lt;&gt;"",$E106&lt;=R$2,$F106&gt;=R$2),1,0)</f>
        <v/>
      </c>
      <c r="S106">
        <f>S105+IF(AND($E106&lt;&gt;"",$E106&lt;=S$2,$F106&gt;=S$2),1,0)</f>
        <v/>
      </c>
      <c r="T106">
        <f>T105+IF(AND($E106&lt;&gt;"",$E106&lt;=T$2,$F106&gt;=T$2),1,0)</f>
        <v/>
      </c>
      <c r="U106">
        <f>U105+IF(AND($E106&lt;&gt;"",$E106&lt;=U$2,$F106&gt;=U$2),1,0)</f>
        <v/>
      </c>
      <c r="V106">
        <f>V105+IF(AND($E106&lt;&gt;"",$E106&lt;=V$2,$F106&gt;=V$2),1,0)</f>
        <v/>
      </c>
      <c r="W106">
        <f>W105+IF(AND($E106&lt;&gt;"",$E106&lt;=W$2,$F106&gt;=W$2),1,0)</f>
        <v/>
      </c>
      <c r="X106">
        <f>X105+IF(AND($E106&lt;&gt;"",$E106&lt;=X$2,$F106&gt;=X$2),1,0)</f>
        <v/>
      </c>
      <c r="Y106">
        <f>Y105+IF(AND($E106&lt;&gt;"",$E106&lt;=Y$2,$F106&gt;=Y$2),1,0)</f>
        <v/>
      </c>
      <c r="Z106">
        <f>Z105+IF(AND($E106&lt;&gt;"",$E106&lt;=Z$2,$F106&gt;=Z$2),1,0)</f>
        <v/>
      </c>
      <c r="AA106">
        <f>AA105+IF(AND($E106&lt;&gt;"",$E106&lt;=AA$2,$F106&gt;=AA$2),1,0)</f>
        <v/>
      </c>
      <c r="AB106">
        <f>AB105+IF(AND($E106&lt;&gt;"",$E106&lt;=AB$2,$F106&gt;=AB$2),1,0)</f>
        <v/>
      </c>
      <c r="AC106">
        <f>AC105+IF(AND($E106&lt;&gt;"",$E106&lt;=AC$2,$F106&gt;=AC$2),1,0)</f>
        <v/>
      </c>
      <c r="AD106">
        <f>AD105+IF(AND($E106&lt;&gt;"",$E106&lt;=AD$2,$F106&gt;=AD$2),1,0)</f>
        <v/>
      </c>
      <c r="AE106">
        <f>AE105+IF(AND($E106&lt;&gt;"",$E106&lt;=AE$2,$F106&gt;=AE$2),1,0)</f>
        <v/>
      </c>
      <c r="AF106">
        <f>AF105+IF(AND($E106&lt;&gt;"",$E106&lt;=AF$2,$F106&gt;=AF$2),1,0)</f>
        <v/>
      </c>
      <c r="AG106">
        <f>AG105+IF(AND($E106&lt;&gt;"",$E106&lt;=AG$2,$F106&gt;=AG$2),1,0)</f>
        <v/>
      </c>
      <c r="AH106">
        <f>AH105+IF(AND($E106&lt;&gt;"",$E106&lt;=AH$2,$F106&gt;=AH$2),1,0)</f>
        <v/>
      </c>
      <c r="AI106">
        <f>AI105+IF(AND($E106&lt;&gt;"",$E106&lt;=AI$2,$F106&gt;=AI$2),1,0)</f>
        <v/>
      </c>
      <c r="AJ106">
        <f>AJ105+IF(AND($E106&lt;&gt;"",$E106&lt;=AJ$2,$F106&gt;=AJ$2),1,0)</f>
        <v/>
      </c>
      <c r="AK106">
        <f>AK105+IF(AND($E106&lt;&gt;"",$E106&lt;=AK$2,$F106&gt;=AK$2),1,0)</f>
        <v/>
      </c>
      <c r="AL106">
        <f>AL105+IF(AND($E106&lt;&gt;"",$E106&lt;=AL$2,$F106&gt;=AL$2),1,0)</f>
        <v/>
      </c>
      <c r="AM106">
        <f>AM105+IF(AND($E106&lt;&gt;"",$E106&lt;=AM$2,$F106&gt;=AM$2),1,0)</f>
        <v/>
      </c>
      <c r="AN106">
        <f>AN105+IF(AND($E106&lt;&gt;"",$E106&lt;=AN$2,$F106&gt;=AN$2),1,0)</f>
        <v/>
      </c>
      <c r="AO106">
        <f>AO105+IF(AND($E106&lt;&gt;"",$E106&lt;=AO$2,$F106&gt;=AO$2),1,0)</f>
        <v/>
      </c>
      <c r="AP106">
        <f>AP105+IF(AND($E106&lt;&gt;"",$E106&lt;=AP$2,$F106&gt;=AP$2),1,0)</f>
        <v/>
      </c>
      <c r="AQ106">
        <f>AQ105+IF(AND($E106&lt;&gt;"",$E106&lt;=AQ$2,$F106&gt;=AQ$2),1,0)</f>
        <v/>
      </c>
      <c r="AR106">
        <f>AR105+IF(AND($E106&lt;&gt;"",$E106&lt;=AR$2,$F106&gt;=AR$2),1,0)</f>
        <v/>
      </c>
      <c r="AS106">
        <f>AS105+IF(AND($E106&lt;&gt;"",$E106&lt;=AS$2,$F106&gt;=AS$2),1,0)</f>
        <v/>
      </c>
      <c r="AT106">
        <f>AT105+IF(AND($E106&lt;&gt;"",$E106&lt;=AT$2,$F106&gt;=AT$2),1,0)</f>
        <v/>
      </c>
      <c r="AU106">
        <f>AU105+IF(AND($E106&lt;&gt;"",$E106&lt;=AU$2,$F106&gt;=AU$2),1,0)</f>
        <v/>
      </c>
      <c r="AV106">
        <f>AV105+IF(AND($E106&lt;&gt;"",$E106&lt;=AV$2,$F106&gt;=AV$2),1,0)</f>
        <v/>
      </c>
      <c r="AW106">
        <f>AW105+IF(AND($E106&lt;&gt;"",$E106&lt;=AW$2,$F106&gt;=AW$2),1,0)</f>
        <v/>
      </c>
    </row>
    <row r="107">
      <c r="A107">
        <f>IF(AND(ISNUMBER(Events!$A109),ISNUMBER(Events!$B109)),MAX(0,Events!$B109-Events!$A109),0)</f>
        <v/>
      </c>
      <c r="B107">
        <f>IF(ISNUMBER(Events!$A109),DATE(YEAR($B$1)-1,MONTH(Events!$A109),DAY(Events!$A109)),"")</f>
        <v/>
      </c>
      <c r="C107">
        <f>IF(ISNUMBER(Events!$A109),DATE(YEAR($B$1),MONTH(Events!$A109),DAY(Events!$A109)),"")</f>
        <v/>
      </c>
      <c r="D107">
        <f>IF(ISNUMBER(Events!$A109),DATE(YEAR($B$2),MONTH(Events!$A109),DAY(Events!$A109)),"")</f>
        <v/>
      </c>
      <c r="E107">
        <f>IF(OR(NOT(ISNUMBER(Events!$A109)),Events!$G109="No",Calendar!$H$4="None"),"",IF(OR(Calendar!$H$4="All events",Events!$D109=Calendar!$H$4),IF(Events!$E109="Yes",IF(AND(B107&gt;=Events!$A109,B107&lt;=$B$2,B107+$A107&gt;=$B$1),B107,IF(AND(C107&gt;=Events!$A109,C107&lt;=$B$2,C107+$A107&gt;=$B$1),C107,IF(AND(D107&gt;=Events!$A109,D107&lt;=$B$2,D107+$A107&gt;=$B$1),D107,""))),IF(AND(Events!$A109&lt;=$B$2,Events!$A109+$A107&gt;=$B$1),Events!$A109,"")),""))</f>
        <v/>
      </c>
      <c r="F107">
        <f>IF(E107="","",E107+A107)</f>
        <v/>
      </c>
      <c r="G107">
        <f>IF(E107="","",IF(AND(E107&lt;=EOMONTH(Calendar!$K$2,0),F107&gt;=Calendar!$K$2),E107+104/100000,""))</f>
        <v/>
      </c>
      <c r="H107">
        <f>H106+IF(AND($E107&lt;&gt;"",$E107&lt;=H$2,$F107&gt;=H$2),1,0)</f>
        <v/>
      </c>
      <c r="I107">
        <f>I106+IF(AND($E107&lt;&gt;"",$E107&lt;=I$2,$F107&gt;=I$2),1,0)</f>
        <v/>
      </c>
      <c r="J107">
        <f>J106+IF(AND($E107&lt;&gt;"",$E107&lt;=J$2,$F107&gt;=J$2),1,0)</f>
        <v/>
      </c>
      <c r="K107">
        <f>K106+IF(AND($E107&lt;&gt;"",$E107&lt;=K$2,$F107&gt;=K$2),1,0)</f>
        <v/>
      </c>
      <c r="L107">
        <f>L106+IF(AND($E107&lt;&gt;"",$E107&lt;=L$2,$F107&gt;=L$2),1,0)</f>
        <v/>
      </c>
      <c r="M107">
        <f>M106+IF(AND($E107&lt;&gt;"",$E107&lt;=M$2,$F107&gt;=M$2),1,0)</f>
        <v/>
      </c>
      <c r="N107">
        <f>N106+IF(AND($E107&lt;&gt;"",$E107&lt;=N$2,$F107&gt;=N$2),1,0)</f>
        <v/>
      </c>
      <c r="O107">
        <f>O106+IF(AND($E107&lt;&gt;"",$E107&lt;=O$2,$F107&gt;=O$2),1,0)</f>
        <v/>
      </c>
      <c r="P107">
        <f>P106+IF(AND($E107&lt;&gt;"",$E107&lt;=P$2,$F107&gt;=P$2),1,0)</f>
        <v/>
      </c>
      <c r="Q107">
        <f>Q106+IF(AND($E107&lt;&gt;"",$E107&lt;=Q$2,$F107&gt;=Q$2),1,0)</f>
        <v/>
      </c>
      <c r="R107">
        <f>R106+IF(AND($E107&lt;&gt;"",$E107&lt;=R$2,$F107&gt;=R$2),1,0)</f>
        <v/>
      </c>
      <c r="S107">
        <f>S106+IF(AND($E107&lt;&gt;"",$E107&lt;=S$2,$F107&gt;=S$2),1,0)</f>
        <v/>
      </c>
      <c r="T107">
        <f>T106+IF(AND($E107&lt;&gt;"",$E107&lt;=T$2,$F107&gt;=T$2),1,0)</f>
        <v/>
      </c>
      <c r="U107">
        <f>U106+IF(AND($E107&lt;&gt;"",$E107&lt;=U$2,$F107&gt;=U$2),1,0)</f>
        <v/>
      </c>
      <c r="V107">
        <f>V106+IF(AND($E107&lt;&gt;"",$E107&lt;=V$2,$F107&gt;=V$2),1,0)</f>
        <v/>
      </c>
      <c r="W107">
        <f>W106+IF(AND($E107&lt;&gt;"",$E107&lt;=W$2,$F107&gt;=W$2),1,0)</f>
        <v/>
      </c>
      <c r="X107">
        <f>X106+IF(AND($E107&lt;&gt;"",$E107&lt;=X$2,$F107&gt;=X$2),1,0)</f>
        <v/>
      </c>
      <c r="Y107">
        <f>Y106+IF(AND($E107&lt;&gt;"",$E107&lt;=Y$2,$F107&gt;=Y$2),1,0)</f>
        <v/>
      </c>
      <c r="Z107">
        <f>Z106+IF(AND($E107&lt;&gt;"",$E107&lt;=Z$2,$F107&gt;=Z$2),1,0)</f>
        <v/>
      </c>
      <c r="AA107">
        <f>AA106+IF(AND($E107&lt;&gt;"",$E107&lt;=AA$2,$F107&gt;=AA$2),1,0)</f>
        <v/>
      </c>
      <c r="AB107">
        <f>AB106+IF(AND($E107&lt;&gt;"",$E107&lt;=AB$2,$F107&gt;=AB$2),1,0)</f>
        <v/>
      </c>
      <c r="AC107">
        <f>AC106+IF(AND($E107&lt;&gt;"",$E107&lt;=AC$2,$F107&gt;=AC$2),1,0)</f>
        <v/>
      </c>
      <c r="AD107">
        <f>AD106+IF(AND($E107&lt;&gt;"",$E107&lt;=AD$2,$F107&gt;=AD$2),1,0)</f>
        <v/>
      </c>
      <c r="AE107">
        <f>AE106+IF(AND($E107&lt;&gt;"",$E107&lt;=AE$2,$F107&gt;=AE$2),1,0)</f>
        <v/>
      </c>
      <c r="AF107">
        <f>AF106+IF(AND($E107&lt;&gt;"",$E107&lt;=AF$2,$F107&gt;=AF$2),1,0)</f>
        <v/>
      </c>
      <c r="AG107">
        <f>AG106+IF(AND($E107&lt;&gt;"",$E107&lt;=AG$2,$F107&gt;=AG$2),1,0)</f>
        <v/>
      </c>
      <c r="AH107">
        <f>AH106+IF(AND($E107&lt;&gt;"",$E107&lt;=AH$2,$F107&gt;=AH$2),1,0)</f>
        <v/>
      </c>
      <c r="AI107">
        <f>AI106+IF(AND($E107&lt;&gt;"",$E107&lt;=AI$2,$F107&gt;=AI$2),1,0)</f>
        <v/>
      </c>
      <c r="AJ107">
        <f>AJ106+IF(AND($E107&lt;&gt;"",$E107&lt;=AJ$2,$F107&gt;=AJ$2),1,0)</f>
        <v/>
      </c>
      <c r="AK107">
        <f>AK106+IF(AND($E107&lt;&gt;"",$E107&lt;=AK$2,$F107&gt;=AK$2),1,0)</f>
        <v/>
      </c>
      <c r="AL107">
        <f>AL106+IF(AND($E107&lt;&gt;"",$E107&lt;=AL$2,$F107&gt;=AL$2),1,0)</f>
        <v/>
      </c>
      <c r="AM107">
        <f>AM106+IF(AND($E107&lt;&gt;"",$E107&lt;=AM$2,$F107&gt;=AM$2),1,0)</f>
        <v/>
      </c>
      <c r="AN107">
        <f>AN106+IF(AND($E107&lt;&gt;"",$E107&lt;=AN$2,$F107&gt;=AN$2),1,0)</f>
        <v/>
      </c>
      <c r="AO107">
        <f>AO106+IF(AND($E107&lt;&gt;"",$E107&lt;=AO$2,$F107&gt;=AO$2),1,0)</f>
        <v/>
      </c>
      <c r="AP107">
        <f>AP106+IF(AND($E107&lt;&gt;"",$E107&lt;=AP$2,$F107&gt;=AP$2),1,0)</f>
        <v/>
      </c>
      <c r="AQ107">
        <f>AQ106+IF(AND($E107&lt;&gt;"",$E107&lt;=AQ$2,$F107&gt;=AQ$2),1,0)</f>
        <v/>
      </c>
      <c r="AR107">
        <f>AR106+IF(AND($E107&lt;&gt;"",$E107&lt;=AR$2,$F107&gt;=AR$2),1,0)</f>
        <v/>
      </c>
      <c r="AS107">
        <f>AS106+IF(AND($E107&lt;&gt;"",$E107&lt;=AS$2,$F107&gt;=AS$2),1,0)</f>
        <v/>
      </c>
      <c r="AT107">
        <f>AT106+IF(AND($E107&lt;&gt;"",$E107&lt;=AT$2,$F107&gt;=AT$2),1,0)</f>
        <v/>
      </c>
      <c r="AU107">
        <f>AU106+IF(AND($E107&lt;&gt;"",$E107&lt;=AU$2,$F107&gt;=AU$2),1,0)</f>
        <v/>
      </c>
      <c r="AV107">
        <f>AV106+IF(AND($E107&lt;&gt;"",$E107&lt;=AV$2,$F107&gt;=AV$2),1,0)</f>
        <v/>
      </c>
      <c r="AW107">
        <f>AW106+IF(AND($E107&lt;&gt;"",$E107&lt;=AW$2,$F107&gt;=AW$2),1,0)</f>
        <v/>
      </c>
    </row>
    <row r="108">
      <c r="A108">
        <f>IF(AND(ISNUMBER(Events!$A110),ISNUMBER(Events!$B110)),MAX(0,Events!$B110-Events!$A110),0)</f>
        <v/>
      </c>
      <c r="B108">
        <f>IF(ISNUMBER(Events!$A110),DATE(YEAR($B$1)-1,MONTH(Events!$A110),DAY(Events!$A110)),"")</f>
        <v/>
      </c>
      <c r="C108">
        <f>IF(ISNUMBER(Events!$A110),DATE(YEAR($B$1),MONTH(Events!$A110),DAY(Events!$A110)),"")</f>
        <v/>
      </c>
      <c r="D108">
        <f>IF(ISNUMBER(Events!$A110),DATE(YEAR($B$2),MONTH(Events!$A110),DAY(Events!$A110)),"")</f>
        <v/>
      </c>
      <c r="E108">
        <f>IF(OR(NOT(ISNUMBER(Events!$A110)),Events!$G110="No",Calendar!$H$4="None"),"",IF(OR(Calendar!$H$4="All events",Events!$D110=Calendar!$H$4),IF(Events!$E110="Yes",IF(AND(B108&gt;=Events!$A110,B108&lt;=$B$2,B108+$A108&gt;=$B$1),B108,IF(AND(C108&gt;=Events!$A110,C108&lt;=$B$2,C108+$A108&gt;=$B$1),C108,IF(AND(D108&gt;=Events!$A110,D108&lt;=$B$2,D108+$A108&gt;=$B$1),D108,""))),IF(AND(Events!$A110&lt;=$B$2,Events!$A110+$A108&gt;=$B$1),Events!$A110,"")),""))</f>
        <v/>
      </c>
      <c r="F108">
        <f>IF(E108="","",E108+A108)</f>
        <v/>
      </c>
      <c r="G108">
        <f>IF(E108="","",IF(AND(E108&lt;=EOMONTH(Calendar!$K$2,0),F108&gt;=Calendar!$K$2),E108+105/100000,""))</f>
        <v/>
      </c>
      <c r="H108">
        <f>H107+IF(AND($E108&lt;&gt;"",$E108&lt;=H$2,$F108&gt;=H$2),1,0)</f>
        <v/>
      </c>
      <c r="I108">
        <f>I107+IF(AND($E108&lt;&gt;"",$E108&lt;=I$2,$F108&gt;=I$2),1,0)</f>
        <v/>
      </c>
      <c r="J108">
        <f>J107+IF(AND($E108&lt;&gt;"",$E108&lt;=J$2,$F108&gt;=J$2),1,0)</f>
        <v/>
      </c>
      <c r="K108">
        <f>K107+IF(AND($E108&lt;&gt;"",$E108&lt;=K$2,$F108&gt;=K$2),1,0)</f>
        <v/>
      </c>
      <c r="L108">
        <f>L107+IF(AND($E108&lt;&gt;"",$E108&lt;=L$2,$F108&gt;=L$2),1,0)</f>
        <v/>
      </c>
      <c r="M108">
        <f>M107+IF(AND($E108&lt;&gt;"",$E108&lt;=M$2,$F108&gt;=M$2),1,0)</f>
        <v/>
      </c>
      <c r="N108">
        <f>N107+IF(AND($E108&lt;&gt;"",$E108&lt;=N$2,$F108&gt;=N$2),1,0)</f>
        <v/>
      </c>
      <c r="O108">
        <f>O107+IF(AND($E108&lt;&gt;"",$E108&lt;=O$2,$F108&gt;=O$2),1,0)</f>
        <v/>
      </c>
      <c r="P108">
        <f>P107+IF(AND($E108&lt;&gt;"",$E108&lt;=P$2,$F108&gt;=P$2),1,0)</f>
        <v/>
      </c>
      <c r="Q108">
        <f>Q107+IF(AND($E108&lt;&gt;"",$E108&lt;=Q$2,$F108&gt;=Q$2),1,0)</f>
        <v/>
      </c>
      <c r="R108">
        <f>R107+IF(AND($E108&lt;&gt;"",$E108&lt;=R$2,$F108&gt;=R$2),1,0)</f>
        <v/>
      </c>
      <c r="S108">
        <f>S107+IF(AND($E108&lt;&gt;"",$E108&lt;=S$2,$F108&gt;=S$2),1,0)</f>
        <v/>
      </c>
      <c r="T108">
        <f>T107+IF(AND($E108&lt;&gt;"",$E108&lt;=T$2,$F108&gt;=T$2),1,0)</f>
        <v/>
      </c>
      <c r="U108">
        <f>U107+IF(AND($E108&lt;&gt;"",$E108&lt;=U$2,$F108&gt;=U$2),1,0)</f>
        <v/>
      </c>
      <c r="V108">
        <f>V107+IF(AND($E108&lt;&gt;"",$E108&lt;=V$2,$F108&gt;=V$2),1,0)</f>
        <v/>
      </c>
      <c r="W108">
        <f>W107+IF(AND($E108&lt;&gt;"",$E108&lt;=W$2,$F108&gt;=W$2),1,0)</f>
        <v/>
      </c>
      <c r="X108">
        <f>X107+IF(AND($E108&lt;&gt;"",$E108&lt;=X$2,$F108&gt;=X$2),1,0)</f>
        <v/>
      </c>
      <c r="Y108">
        <f>Y107+IF(AND($E108&lt;&gt;"",$E108&lt;=Y$2,$F108&gt;=Y$2),1,0)</f>
        <v/>
      </c>
      <c r="Z108">
        <f>Z107+IF(AND($E108&lt;&gt;"",$E108&lt;=Z$2,$F108&gt;=Z$2),1,0)</f>
        <v/>
      </c>
      <c r="AA108">
        <f>AA107+IF(AND($E108&lt;&gt;"",$E108&lt;=AA$2,$F108&gt;=AA$2),1,0)</f>
        <v/>
      </c>
      <c r="AB108">
        <f>AB107+IF(AND($E108&lt;&gt;"",$E108&lt;=AB$2,$F108&gt;=AB$2),1,0)</f>
        <v/>
      </c>
      <c r="AC108">
        <f>AC107+IF(AND($E108&lt;&gt;"",$E108&lt;=AC$2,$F108&gt;=AC$2),1,0)</f>
        <v/>
      </c>
      <c r="AD108">
        <f>AD107+IF(AND($E108&lt;&gt;"",$E108&lt;=AD$2,$F108&gt;=AD$2),1,0)</f>
        <v/>
      </c>
      <c r="AE108">
        <f>AE107+IF(AND($E108&lt;&gt;"",$E108&lt;=AE$2,$F108&gt;=AE$2),1,0)</f>
        <v/>
      </c>
      <c r="AF108">
        <f>AF107+IF(AND($E108&lt;&gt;"",$E108&lt;=AF$2,$F108&gt;=AF$2),1,0)</f>
        <v/>
      </c>
      <c r="AG108">
        <f>AG107+IF(AND($E108&lt;&gt;"",$E108&lt;=AG$2,$F108&gt;=AG$2),1,0)</f>
        <v/>
      </c>
      <c r="AH108">
        <f>AH107+IF(AND($E108&lt;&gt;"",$E108&lt;=AH$2,$F108&gt;=AH$2),1,0)</f>
        <v/>
      </c>
      <c r="AI108">
        <f>AI107+IF(AND($E108&lt;&gt;"",$E108&lt;=AI$2,$F108&gt;=AI$2),1,0)</f>
        <v/>
      </c>
      <c r="AJ108">
        <f>AJ107+IF(AND($E108&lt;&gt;"",$E108&lt;=AJ$2,$F108&gt;=AJ$2),1,0)</f>
        <v/>
      </c>
      <c r="AK108">
        <f>AK107+IF(AND($E108&lt;&gt;"",$E108&lt;=AK$2,$F108&gt;=AK$2),1,0)</f>
        <v/>
      </c>
      <c r="AL108">
        <f>AL107+IF(AND($E108&lt;&gt;"",$E108&lt;=AL$2,$F108&gt;=AL$2),1,0)</f>
        <v/>
      </c>
      <c r="AM108">
        <f>AM107+IF(AND($E108&lt;&gt;"",$E108&lt;=AM$2,$F108&gt;=AM$2),1,0)</f>
        <v/>
      </c>
      <c r="AN108">
        <f>AN107+IF(AND($E108&lt;&gt;"",$E108&lt;=AN$2,$F108&gt;=AN$2),1,0)</f>
        <v/>
      </c>
      <c r="AO108">
        <f>AO107+IF(AND($E108&lt;&gt;"",$E108&lt;=AO$2,$F108&gt;=AO$2),1,0)</f>
        <v/>
      </c>
      <c r="AP108">
        <f>AP107+IF(AND($E108&lt;&gt;"",$E108&lt;=AP$2,$F108&gt;=AP$2),1,0)</f>
        <v/>
      </c>
      <c r="AQ108">
        <f>AQ107+IF(AND($E108&lt;&gt;"",$E108&lt;=AQ$2,$F108&gt;=AQ$2),1,0)</f>
        <v/>
      </c>
      <c r="AR108">
        <f>AR107+IF(AND($E108&lt;&gt;"",$E108&lt;=AR$2,$F108&gt;=AR$2),1,0)</f>
        <v/>
      </c>
      <c r="AS108">
        <f>AS107+IF(AND($E108&lt;&gt;"",$E108&lt;=AS$2,$F108&gt;=AS$2),1,0)</f>
        <v/>
      </c>
      <c r="AT108">
        <f>AT107+IF(AND($E108&lt;&gt;"",$E108&lt;=AT$2,$F108&gt;=AT$2),1,0)</f>
        <v/>
      </c>
      <c r="AU108">
        <f>AU107+IF(AND($E108&lt;&gt;"",$E108&lt;=AU$2,$F108&gt;=AU$2),1,0)</f>
        <v/>
      </c>
      <c r="AV108">
        <f>AV107+IF(AND($E108&lt;&gt;"",$E108&lt;=AV$2,$F108&gt;=AV$2),1,0)</f>
        <v/>
      </c>
      <c r="AW108">
        <f>AW107+IF(AND($E108&lt;&gt;"",$E108&lt;=AW$2,$F108&gt;=AW$2),1,0)</f>
        <v/>
      </c>
    </row>
    <row r="109">
      <c r="A109">
        <f>IF(AND(ISNUMBER(Events!$A111),ISNUMBER(Events!$B111)),MAX(0,Events!$B111-Events!$A111),0)</f>
        <v/>
      </c>
      <c r="B109">
        <f>IF(ISNUMBER(Events!$A111),DATE(YEAR($B$1)-1,MONTH(Events!$A111),DAY(Events!$A111)),"")</f>
        <v/>
      </c>
      <c r="C109">
        <f>IF(ISNUMBER(Events!$A111),DATE(YEAR($B$1),MONTH(Events!$A111),DAY(Events!$A111)),"")</f>
        <v/>
      </c>
      <c r="D109">
        <f>IF(ISNUMBER(Events!$A111),DATE(YEAR($B$2),MONTH(Events!$A111),DAY(Events!$A111)),"")</f>
        <v/>
      </c>
      <c r="E109">
        <f>IF(OR(NOT(ISNUMBER(Events!$A111)),Events!$G111="No",Calendar!$H$4="None"),"",IF(OR(Calendar!$H$4="All events",Events!$D111=Calendar!$H$4),IF(Events!$E111="Yes",IF(AND(B109&gt;=Events!$A111,B109&lt;=$B$2,B109+$A109&gt;=$B$1),B109,IF(AND(C109&gt;=Events!$A111,C109&lt;=$B$2,C109+$A109&gt;=$B$1),C109,IF(AND(D109&gt;=Events!$A111,D109&lt;=$B$2,D109+$A109&gt;=$B$1),D109,""))),IF(AND(Events!$A111&lt;=$B$2,Events!$A111+$A109&gt;=$B$1),Events!$A111,"")),""))</f>
        <v/>
      </c>
      <c r="F109">
        <f>IF(E109="","",E109+A109)</f>
        <v/>
      </c>
      <c r="G109">
        <f>IF(E109="","",IF(AND(E109&lt;=EOMONTH(Calendar!$K$2,0),F109&gt;=Calendar!$K$2),E109+106/100000,""))</f>
        <v/>
      </c>
      <c r="H109">
        <f>H108+IF(AND($E109&lt;&gt;"",$E109&lt;=H$2,$F109&gt;=H$2),1,0)</f>
        <v/>
      </c>
      <c r="I109">
        <f>I108+IF(AND($E109&lt;&gt;"",$E109&lt;=I$2,$F109&gt;=I$2),1,0)</f>
        <v/>
      </c>
      <c r="J109">
        <f>J108+IF(AND($E109&lt;&gt;"",$E109&lt;=J$2,$F109&gt;=J$2),1,0)</f>
        <v/>
      </c>
      <c r="K109">
        <f>K108+IF(AND($E109&lt;&gt;"",$E109&lt;=K$2,$F109&gt;=K$2),1,0)</f>
        <v/>
      </c>
      <c r="L109">
        <f>L108+IF(AND($E109&lt;&gt;"",$E109&lt;=L$2,$F109&gt;=L$2),1,0)</f>
        <v/>
      </c>
      <c r="M109">
        <f>M108+IF(AND($E109&lt;&gt;"",$E109&lt;=M$2,$F109&gt;=M$2),1,0)</f>
        <v/>
      </c>
      <c r="N109">
        <f>N108+IF(AND($E109&lt;&gt;"",$E109&lt;=N$2,$F109&gt;=N$2),1,0)</f>
        <v/>
      </c>
      <c r="O109">
        <f>O108+IF(AND($E109&lt;&gt;"",$E109&lt;=O$2,$F109&gt;=O$2),1,0)</f>
        <v/>
      </c>
      <c r="P109">
        <f>P108+IF(AND($E109&lt;&gt;"",$E109&lt;=P$2,$F109&gt;=P$2),1,0)</f>
        <v/>
      </c>
      <c r="Q109">
        <f>Q108+IF(AND($E109&lt;&gt;"",$E109&lt;=Q$2,$F109&gt;=Q$2),1,0)</f>
        <v/>
      </c>
      <c r="R109">
        <f>R108+IF(AND($E109&lt;&gt;"",$E109&lt;=R$2,$F109&gt;=R$2),1,0)</f>
        <v/>
      </c>
      <c r="S109">
        <f>S108+IF(AND($E109&lt;&gt;"",$E109&lt;=S$2,$F109&gt;=S$2),1,0)</f>
        <v/>
      </c>
      <c r="T109">
        <f>T108+IF(AND($E109&lt;&gt;"",$E109&lt;=T$2,$F109&gt;=T$2),1,0)</f>
        <v/>
      </c>
      <c r="U109">
        <f>U108+IF(AND($E109&lt;&gt;"",$E109&lt;=U$2,$F109&gt;=U$2),1,0)</f>
        <v/>
      </c>
      <c r="V109">
        <f>V108+IF(AND($E109&lt;&gt;"",$E109&lt;=V$2,$F109&gt;=V$2),1,0)</f>
        <v/>
      </c>
      <c r="W109">
        <f>W108+IF(AND($E109&lt;&gt;"",$E109&lt;=W$2,$F109&gt;=W$2),1,0)</f>
        <v/>
      </c>
      <c r="X109">
        <f>X108+IF(AND($E109&lt;&gt;"",$E109&lt;=X$2,$F109&gt;=X$2),1,0)</f>
        <v/>
      </c>
      <c r="Y109">
        <f>Y108+IF(AND($E109&lt;&gt;"",$E109&lt;=Y$2,$F109&gt;=Y$2),1,0)</f>
        <v/>
      </c>
      <c r="Z109">
        <f>Z108+IF(AND($E109&lt;&gt;"",$E109&lt;=Z$2,$F109&gt;=Z$2),1,0)</f>
        <v/>
      </c>
      <c r="AA109">
        <f>AA108+IF(AND($E109&lt;&gt;"",$E109&lt;=AA$2,$F109&gt;=AA$2),1,0)</f>
        <v/>
      </c>
      <c r="AB109">
        <f>AB108+IF(AND($E109&lt;&gt;"",$E109&lt;=AB$2,$F109&gt;=AB$2),1,0)</f>
        <v/>
      </c>
      <c r="AC109">
        <f>AC108+IF(AND($E109&lt;&gt;"",$E109&lt;=AC$2,$F109&gt;=AC$2),1,0)</f>
        <v/>
      </c>
      <c r="AD109">
        <f>AD108+IF(AND($E109&lt;&gt;"",$E109&lt;=AD$2,$F109&gt;=AD$2),1,0)</f>
        <v/>
      </c>
      <c r="AE109">
        <f>AE108+IF(AND($E109&lt;&gt;"",$E109&lt;=AE$2,$F109&gt;=AE$2),1,0)</f>
        <v/>
      </c>
      <c r="AF109">
        <f>AF108+IF(AND($E109&lt;&gt;"",$E109&lt;=AF$2,$F109&gt;=AF$2),1,0)</f>
        <v/>
      </c>
      <c r="AG109">
        <f>AG108+IF(AND($E109&lt;&gt;"",$E109&lt;=AG$2,$F109&gt;=AG$2),1,0)</f>
        <v/>
      </c>
      <c r="AH109">
        <f>AH108+IF(AND($E109&lt;&gt;"",$E109&lt;=AH$2,$F109&gt;=AH$2),1,0)</f>
        <v/>
      </c>
      <c r="AI109">
        <f>AI108+IF(AND($E109&lt;&gt;"",$E109&lt;=AI$2,$F109&gt;=AI$2),1,0)</f>
        <v/>
      </c>
      <c r="AJ109">
        <f>AJ108+IF(AND($E109&lt;&gt;"",$E109&lt;=AJ$2,$F109&gt;=AJ$2),1,0)</f>
        <v/>
      </c>
      <c r="AK109">
        <f>AK108+IF(AND($E109&lt;&gt;"",$E109&lt;=AK$2,$F109&gt;=AK$2),1,0)</f>
        <v/>
      </c>
      <c r="AL109">
        <f>AL108+IF(AND($E109&lt;&gt;"",$E109&lt;=AL$2,$F109&gt;=AL$2),1,0)</f>
        <v/>
      </c>
      <c r="AM109">
        <f>AM108+IF(AND($E109&lt;&gt;"",$E109&lt;=AM$2,$F109&gt;=AM$2),1,0)</f>
        <v/>
      </c>
      <c r="AN109">
        <f>AN108+IF(AND($E109&lt;&gt;"",$E109&lt;=AN$2,$F109&gt;=AN$2),1,0)</f>
        <v/>
      </c>
      <c r="AO109">
        <f>AO108+IF(AND($E109&lt;&gt;"",$E109&lt;=AO$2,$F109&gt;=AO$2),1,0)</f>
        <v/>
      </c>
      <c r="AP109">
        <f>AP108+IF(AND($E109&lt;&gt;"",$E109&lt;=AP$2,$F109&gt;=AP$2),1,0)</f>
        <v/>
      </c>
      <c r="AQ109">
        <f>AQ108+IF(AND($E109&lt;&gt;"",$E109&lt;=AQ$2,$F109&gt;=AQ$2),1,0)</f>
        <v/>
      </c>
      <c r="AR109">
        <f>AR108+IF(AND($E109&lt;&gt;"",$E109&lt;=AR$2,$F109&gt;=AR$2),1,0)</f>
        <v/>
      </c>
      <c r="AS109">
        <f>AS108+IF(AND($E109&lt;&gt;"",$E109&lt;=AS$2,$F109&gt;=AS$2),1,0)</f>
        <v/>
      </c>
      <c r="AT109">
        <f>AT108+IF(AND($E109&lt;&gt;"",$E109&lt;=AT$2,$F109&gt;=AT$2),1,0)</f>
        <v/>
      </c>
      <c r="AU109">
        <f>AU108+IF(AND($E109&lt;&gt;"",$E109&lt;=AU$2,$F109&gt;=AU$2),1,0)</f>
        <v/>
      </c>
      <c r="AV109">
        <f>AV108+IF(AND($E109&lt;&gt;"",$E109&lt;=AV$2,$F109&gt;=AV$2),1,0)</f>
        <v/>
      </c>
      <c r="AW109">
        <f>AW108+IF(AND($E109&lt;&gt;"",$E109&lt;=AW$2,$F109&gt;=AW$2),1,0)</f>
        <v/>
      </c>
    </row>
    <row r="110">
      <c r="A110">
        <f>IF(AND(ISNUMBER(Events!$A112),ISNUMBER(Events!$B112)),MAX(0,Events!$B112-Events!$A112),0)</f>
        <v/>
      </c>
      <c r="B110">
        <f>IF(ISNUMBER(Events!$A112),DATE(YEAR($B$1)-1,MONTH(Events!$A112),DAY(Events!$A112)),"")</f>
        <v/>
      </c>
      <c r="C110">
        <f>IF(ISNUMBER(Events!$A112),DATE(YEAR($B$1),MONTH(Events!$A112),DAY(Events!$A112)),"")</f>
        <v/>
      </c>
      <c r="D110">
        <f>IF(ISNUMBER(Events!$A112),DATE(YEAR($B$2),MONTH(Events!$A112),DAY(Events!$A112)),"")</f>
        <v/>
      </c>
      <c r="E110">
        <f>IF(OR(NOT(ISNUMBER(Events!$A112)),Events!$G112="No",Calendar!$H$4="None"),"",IF(OR(Calendar!$H$4="All events",Events!$D112=Calendar!$H$4),IF(Events!$E112="Yes",IF(AND(B110&gt;=Events!$A112,B110&lt;=$B$2,B110+$A110&gt;=$B$1),B110,IF(AND(C110&gt;=Events!$A112,C110&lt;=$B$2,C110+$A110&gt;=$B$1),C110,IF(AND(D110&gt;=Events!$A112,D110&lt;=$B$2,D110+$A110&gt;=$B$1),D110,""))),IF(AND(Events!$A112&lt;=$B$2,Events!$A112+$A110&gt;=$B$1),Events!$A112,"")),""))</f>
        <v/>
      </c>
      <c r="F110">
        <f>IF(E110="","",E110+A110)</f>
        <v/>
      </c>
      <c r="G110">
        <f>IF(E110="","",IF(AND(E110&lt;=EOMONTH(Calendar!$K$2,0),F110&gt;=Calendar!$K$2),E110+107/100000,""))</f>
        <v/>
      </c>
      <c r="H110">
        <f>H109+IF(AND($E110&lt;&gt;"",$E110&lt;=H$2,$F110&gt;=H$2),1,0)</f>
        <v/>
      </c>
      <c r="I110">
        <f>I109+IF(AND($E110&lt;&gt;"",$E110&lt;=I$2,$F110&gt;=I$2),1,0)</f>
        <v/>
      </c>
      <c r="J110">
        <f>J109+IF(AND($E110&lt;&gt;"",$E110&lt;=J$2,$F110&gt;=J$2),1,0)</f>
        <v/>
      </c>
      <c r="K110">
        <f>K109+IF(AND($E110&lt;&gt;"",$E110&lt;=K$2,$F110&gt;=K$2),1,0)</f>
        <v/>
      </c>
      <c r="L110">
        <f>L109+IF(AND($E110&lt;&gt;"",$E110&lt;=L$2,$F110&gt;=L$2),1,0)</f>
        <v/>
      </c>
      <c r="M110">
        <f>M109+IF(AND($E110&lt;&gt;"",$E110&lt;=M$2,$F110&gt;=M$2),1,0)</f>
        <v/>
      </c>
      <c r="N110">
        <f>N109+IF(AND($E110&lt;&gt;"",$E110&lt;=N$2,$F110&gt;=N$2),1,0)</f>
        <v/>
      </c>
      <c r="O110">
        <f>O109+IF(AND($E110&lt;&gt;"",$E110&lt;=O$2,$F110&gt;=O$2),1,0)</f>
        <v/>
      </c>
      <c r="P110">
        <f>P109+IF(AND($E110&lt;&gt;"",$E110&lt;=P$2,$F110&gt;=P$2),1,0)</f>
        <v/>
      </c>
      <c r="Q110">
        <f>Q109+IF(AND($E110&lt;&gt;"",$E110&lt;=Q$2,$F110&gt;=Q$2),1,0)</f>
        <v/>
      </c>
      <c r="R110">
        <f>R109+IF(AND($E110&lt;&gt;"",$E110&lt;=R$2,$F110&gt;=R$2),1,0)</f>
        <v/>
      </c>
      <c r="S110">
        <f>S109+IF(AND($E110&lt;&gt;"",$E110&lt;=S$2,$F110&gt;=S$2),1,0)</f>
        <v/>
      </c>
      <c r="T110">
        <f>T109+IF(AND($E110&lt;&gt;"",$E110&lt;=T$2,$F110&gt;=T$2),1,0)</f>
        <v/>
      </c>
      <c r="U110">
        <f>U109+IF(AND($E110&lt;&gt;"",$E110&lt;=U$2,$F110&gt;=U$2),1,0)</f>
        <v/>
      </c>
      <c r="V110">
        <f>V109+IF(AND($E110&lt;&gt;"",$E110&lt;=V$2,$F110&gt;=V$2),1,0)</f>
        <v/>
      </c>
      <c r="W110">
        <f>W109+IF(AND($E110&lt;&gt;"",$E110&lt;=W$2,$F110&gt;=W$2),1,0)</f>
        <v/>
      </c>
      <c r="X110">
        <f>X109+IF(AND($E110&lt;&gt;"",$E110&lt;=X$2,$F110&gt;=X$2),1,0)</f>
        <v/>
      </c>
      <c r="Y110">
        <f>Y109+IF(AND($E110&lt;&gt;"",$E110&lt;=Y$2,$F110&gt;=Y$2),1,0)</f>
        <v/>
      </c>
      <c r="Z110">
        <f>Z109+IF(AND($E110&lt;&gt;"",$E110&lt;=Z$2,$F110&gt;=Z$2),1,0)</f>
        <v/>
      </c>
      <c r="AA110">
        <f>AA109+IF(AND($E110&lt;&gt;"",$E110&lt;=AA$2,$F110&gt;=AA$2),1,0)</f>
        <v/>
      </c>
      <c r="AB110">
        <f>AB109+IF(AND($E110&lt;&gt;"",$E110&lt;=AB$2,$F110&gt;=AB$2),1,0)</f>
        <v/>
      </c>
      <c r="AC110">
        <f>AC109+IF(AND($E110&lt;&gt;"",$E110&lt;=AC$2,$F110&gt;=AC$2),1,0)</f>
        <v/>
      </c>
      <c r="AD110">
        <f>AD109+IF(AND($E110&lt;&gt;"",$E110&lt;=AD$2,$F110&gt;=AD$2),1,0)</f>
        <v/>
      </c>
      <c r="AE110">
        <f>AE109+IF(AND($E110&lt;&gt;"",$E110&lt;=AE$2,$F110&gt;=AE$2),1,0)</f>
        <v/>
      </c>
      <c r="AF110">
        <f>AF109+IF(AND($E110&lt;&gt;"",$E110&lt;=AF$2,$F110&gt;=AF$2),1,0)</f>
        <v/>
      </c>
      <c r="AG110">
        <f>AG109+IF(AND($E110&lt;&gt;"",$E110&lt;=AG$2,$F110&gt;=AG$2),1,0)</f>
        <v/>
      </c>
      <c r="AH110">
        <f>AH109+IF(AND($E110&lt;&gt;"",$E110&lt;=AH$2,$F110&gt;=AH$2),1,0)</f>
        <v/>
      </c>
      <c r="AI110">
        <f>AI109+IF(AND($E110&lt;&gt;"",$E110&lt;=AI$2,$F110&gt;=AI$2),1,0)</f>
        <v/>
      </c>
      <c r="AJ110">
        <f>AJ109+IF(AND($E110&lt;&gt;"",$E110&lt;=AJ$2,$F110&gt;=AJ$2),1,0)</f>
        <v/>
      </c>
      <c r="AK110">
        <f>AK109+IF(AND($E110&lt;&gt;"",$E110&lt;=AK$2,$F110&gt;=AK$2),1,0)</f>
        <v/>
      </c>
      <c r="AL110">
        <f>AL109+IF(AND($E110&lt;&gt;"",$E110&lt;=AL$2,$F110&gt;=AL$2),1,0)</f>
        <v/>
      </c>
      <c r="AM110">
        <f>AM109+IF(AND($E110&lt;&gt;"",$E110&lt;=AM$2,$F110&gt;=AM$2),1,0)</f>
        <v/>
      </c>
      <c r="AN110">
        <f>AN109+IF(AND($E110&lt;&gt;"",$E110&lt;=AN$2,$F110&gt;=AN$2),1,0)</f>
        <v/>
      </c>
      <c r="AO110">
        <f>AO109+IF(AND($E110&lt;&gt;"",$E110&lt;=AO$2,$F110&gt;=AO$2),1,0)</f>
        <v/>
      </c>
      <c r="AP110">
        <f>AP109+IF(AND($E110&lt;&gt;"",$E110&lt;=AP$2,$F110&gt;=AP$2),1,0)</f>
        <v/>
      </c>
      <c r="AQ110">
        <f>AQ109+IF(AND($E110&lt;&gt;"",$E110&lt;=AQ$2,$F110&gt;=AQ$2),1,0)</f>
        <v/>
      </c>
      <c r="AR110">
        <f>AR109+IF(AND($E110&lt;&gt;"",$E110&lt;=AR$2,$F110&gt;=AR$2),1,0)</f>
        <v/>
      </c>
      <c r="AS110">
        <f>AS109+IF(AND($E110&lt;&gt;"",$E110&lt;=AS$2,$F110&gt;=AS$2),1,0)</f>
        <v/>
      </c>
      <c r="AT110">
        <f>AT109+IF(AND($E110&lt;&gt;"",$E110&lt;=AT$2,$F110&gt;=AT$2),1,0)</f>
        <v/>
      </c>
      <c r="AU110">
        <f>AU109+IF(AND($E110&lt;&gt;"",$E110&lt;=AU$2,$F110&gt;=AU$2),1,0)</f>
        <v/>
      </c>
      <c r="AV110">
        <f>AV109+IF(AND($E110&lt;&gt;"",$E110&lt;=AV$2,$F110&gt;=AV$2),1,0)</f>
        <v/>
      </c>
      <c r="AW110">
        <f>AW109+IF(AND($E110&lt;&gt;"",$E110&lt;=AW$2,$F110&gt;=AW$2),1,0)</f>
        <v/>
      </c>
    </row>
    <row r="111">
      <c r="A111">
        <f>IF(AND(ISNUMBER(Events!$A113),ISNUMBER(Events!$B113)),MAX(0,Events!$B113-Events!$A113),0)</f>
        <v/>
      </c>
      <c r="B111">
        <f>IF(ISNUMBER(Events!$A113),DATE(YEAR($B$1)-1,MONTH(Events!$A113),DAY(Events!$A113)),"")</f>
        <v/>
      </c>
      <c r="C111">
        <f>IF(ISNUMBER(Events!$A113),DATE(YEAR($B$1),MONTH(Events!$A113),DAY(Events!$A113)),"")</f>
        <v/>
      </c>
      <c r="D111">
        <f>IF(ISNUMBER(Events!$A113),DATE(YEAR($B$2),MONTH(Events!$A113),DAY(Events!$A113)),"")</f>
        <v/>
      </c>
      <c r="E111">
        <f>IF(OR(NOT(ISNUMBER(Events!$A113)),Events!$G113="No",Calendar!$H$4="None"),"",IF(OR(Calendar!$H$4="All events",Events!$D113=Calendar!$H$4),IF(Events!$E113="Yes",IF(AND(B111&gt;=Events!$A113,B111&lt;=$B$2,B111+$A111&gt;=$B$1),B111,IF(AND(C111&gt;=Events!$A113,C111&lt;=$B$2,C111+$A111&gt;=$B$1),C111,IF(AND(D111&gt;=Events!$A113,D111&lt;=$B$2,D111+$A111&gt;=$B$1),D111,""))),IF(AND(Events!$A113&lt;=$B$2,Events!$A113+$A111&gt;=$B$1),Events!$A113,"")),""))</f>
        <v/>
      </c>
      <c r="F111">
        <f>IF(E111="","",E111+A111)</f>
        <v/>
      </c>
      <c r="G111">
        <f>IF(E111="","",IF(AND(E111&lt;=EOMONTH(Calendar!$K$2,0),F111&gt;=Calendar!$K$2),E111+108/100000,""))</f>
        <v/>
      </c>
      <c r="H111">
        <f>H110+IF(AND($E111&lt;&gt;"",$E111&lt;=H$2,$F111&gt;=H$2),1,0)</f>
        <v/>
      </c>
      <c r="I111">
        <f>I110+IF(AND($E111&lt;&gt;"",$E111&lt;=I$2,$F111&gt;=I$2),1,0)</f>
        <v/>
      </c>
      <c r="J111">
        <f>J110+IF(AND($E111&lt;&gt;"",$E111&lt;=J$2,$F111&gt;=J$2),1,0)</f>
        <v/>
      </c>
      <c r="K111">
        <f>K110+IF(AND($E111&lt;&gt;"",$E111&lt;=K$2,$F111&gt;=K$2),1,0)</f>
        <v/>
      </c>
      <c r="L111">
        <f>L110+IF(AND($E111&lt;&gt;"",$E111&lt;=L$2,$F111&gt;=L$2),1,0)</f>
        <v/>
      </c>
      <c r="M111">
        <f>M110+IF(AND($E111&lt;&gt;"",$E111&lt;=M$2,$F111&gt;=M$2),1,0)</f>
        <v/>
      </c>
      <c r="N111">
        <f>N110+IF(AND($E111&lt;&gt;"",$E111&lt;=N$2,$F111&gt;=N$2),1,0)</f>
        <v/>
      </c>
      <c r="O111">
        <f>O110+IF(AND($E111&lt;&gt;"",$E111&lt;=O$2,$F111&gt;=O$2),1,0)</f>
        <v/>
      </c>
      <c r="P111">
        <f>P110+IF(AND($E111&lt;&gt;"",$E111&lt;=P$2,$F111&gt;=P$2),1,0)</f>
        <v/>
      </c>
      <c r="Q111">
        <f>Q110+IF(AND($E111&lt;&gt;"",$E111&lt;=Q$2,$F111&gt;=Q$2),1,0)</f>
        <v/>
      </c>
      <c r="R111">
        <f>R110+IF(AND($E111&lt;&gt;"",$E111&lt;=R$2,$F111&gt;=R$2),1,0)</f>
        <v/>
      </c>
      <c r="S111">
        <f>S110+IF(AND($E111&lt;&gt;"",$E111&lt;=S$2,$F111&gt;=S$2),1,0)</f>
        <v/>
      </c>
      <c r="T111">
        <f>T110+IF(AND($E111&lt;&gt;"",$E111&lt;=T$2,$F111&gt;=T$2),1,0)</f>
        <v/>
      </c>
      <c r="U111">
        <f>U110+IF(AND($E111&lt;&gt;"",$E111&lt;=U$2,$F111&gt;=U$2),1,0)</f>
        <v/>
      </c>
      <c r="V111">
        <f>V110+IF(AND($E111&lt;&gt;"",$E111&lt;=V$2,$F111&gt;=V$2),1,0)</f>
        <v/>
      </c>
      <c r="W111">
        <f>W110+IF(AND($E111&lt;&gt;"",$E111&lt;=W$2,$F111&gt;=W$2),1,0)</f>
        <v/>
      </c>
      <c r="X111">
        <f>X110+IF(AND($E111&lt;&gt;"",$E111&lt;=X$2,$F111&gt;=X$2),1,0)</f>
        <v/>
      </c>
      <c r="Y111">
        <f>Y110+IF(AND($E111&lt;&gt;"",$E111&lt;=Y$2,$F111&gt;=Y$2),1,0)</f>
        <v/>
      </c>
      <c r="Z111">
        <f>Z110+IF(AND($E111&lt;&gt;"",$E111&lt;=Z$2,$F111&gt;=Z$2),1,0)</f>
        <v/>
      </c>
      <c r="AA111">
        <f>AA110+IF(AND($E111&lt;&gt;"",$E111&lt;=AA$2,$F111&gt;=AA$2),1,0)</f>
        <v/>
      </c>
      <c r="AB111">
        <f>AB110+IF(AND($E111&lt;&gt;"",$E111&lt;=AB$2,$F111&gt;=AB$2),1,0)</f>
        <v/>
      </c>
      <c r="AC111">
        <f>AC110+IF(AND($E111&lt;&gt;"",$E111&lt;=AC$2,$F111&gt;=AC$2),1,0)</f>
        <v/>
      </c>
      <c r="AD111">
        <f>AD110+IF(AND($E111&lt;&gt;"",$E111&lt;=AD$2,$F111&gt;=AD$2),1,0)</f>
        <v/>
      </c>
      <c r="AE111">
        <f>AE110+IF(AND($E111&lt;&gt;"",$E111&lt;=AE$2,$F111&gt;=AE$2),1,0)</f>
        <v/>
      </c>
      <c r="AF111">
        <f>AF110+IF(AND($E111&lt;&gt;"",$E111&lt;=AF$2,$F111&gt;=AF$2),1,0)</f>
        <v/>
      </c>
      <c r="AG111">
        <f>AG110+IF(AND($E111&lt;&gt;"",$E111&lt;=AG$2,$F111&gt;=AG$2),1,0)</f>
        <v/>
      </c>
      <c r="AH111">
        <f>AH110+IF(AND($E111&lt;&gt;"",$E111&lt;=AH$2,$F111&gt;=AH$2),1,0)</f>
        <v/>
      </c>
      <c r="AI111">
        <f>AI110+IF(AND($E111&lt;&gt;"",$E111&lt;=AI$2,$F111&gt;=AI$2),1,0)</f>
        <v/>
      </c>
      <c r="AJ111">
        <f>AJ110+IF(AND($E111&lt;&gt;"",$E111&lt;=AJ$2,$F111&gt;=AJ$2),1,0)</f>
        <v/>
      </c>
      <c r="AK111">
        <f>AK110+IF(AND($E111&lt;&gt;"",$E111&lt;=AK$2,$F111&gt;=AK$2),1,0)</f>
        <v/>
      </c>
      <c r="AL111">
        <f>AL110+IF(AND($E111&lt;&gt;"",$E111&lt;=AL$2,$F111&gt;=AL$2),1,0)</f>
        <v/>
      </c>
      <c r="AM111">
        <f>AM110+IF(AND($E111&lt;&gt;"",$E111&lt;=AM$2,$F111&gt;=AM$2),1,0)</f>
        <v/>
      </c>
      <c r="AN111">
        <f>AN110+IF(AND($E111&lt;&gt;"",$E111&lt;=AN$2,$F111&gt;=AN$2),1,0)</f>
        <v/>
      </c>
      <c r="AO111">
        <f>AO110+IF(AND($E111&lt;&gt;"",$E111&lt;=AO$2,$F111&gt;=AO$2),1,0)</f>
        <v/>
      </c>
      <c r="AP111">
        <f>AP110+IF(AND($E111&lt;&gt;"",$E111&lt;=AP$2,$F111&gt;=AP$2),1,0)</f>
        <v/>
      </c>
      <c r="AQ111">
        <f>AQ110+IF(AND($E111&lt;&gt;"",$E111&lt;=AQ$2,$F111&gt;=AQ$2),1,0)</f>
        <v/>
      </c>
      <c r="AR111">
        <f>AR110+IF(AND($E111&lt;&gt;"",$E111&lt;=AR$2,$F111&gt;=AR$2),1,0)</f>
        <v/>
      </c>
      <c r="AS111">
        <f>AS110+IF(AND($E111&lt;&gt;"",$E111&lt;=AS$2,$F111&gt;=AS$2),1,0)</f>
        <v/>
      </c>
      <c r="AT111">
        <f>AT110+IF(AND($E111&lt;&gt;"",$E111&lt;=AT$2,$F111&gt;=AT$2),1,0)</f>
        <v/>
      </c>
      <c r="AU111">
        <f>AU110+IF(AND($E111&lt;&gt;"",$E111&lt;=AU$2,$F111&gt;=AU$2),1,0)</f>
        <v/>
      </c>
      <c r="AV111">
        <f>AV110+IF(AND($E111&lt;&gt;"",$E111&lt;=AV$2,$F111&gt;=AV$2),1,0)</f>
        <v/>
      </c>
      <c r="AW111">
        <f>AW110+IF(AND($E111&lt;&gt;"",$E111&lt;=AW$2,$F111&gt;=AW$2),1,0)</f>
        <v/>
      </c>
    </row>
    <row r="112">
      <c r="A112">
        <f>IF(AND(ISNUMBER(Events!$A114),ISNUMBER(Events!$B114)),MAX(0,Events!$B114-Events!$A114),0)</f>
        <v/>
      </c>
      <c r="B112">
        <f>IF(ISNUMBER(Events!$A114),DATE(YEAR($B$1)-1,MONTH(Events!$A114),DAY(Events!$A114)),"")</f>
        <v/>
      </c>
      <c r="C112">
        <f>IF(ISNUMBER(Events!$A114),DATE(YEAR($B$1),MONTH(Events!$A114),DAY(Events!$A114)),"")</f>
        <v/>
      </c>
      <c r="D112">
        <f>IF(ISNUMBER(Events!$A114),DATE(YEAR($B$2),MONTH(Events!$A114),DAY(Events!$A114)),"")</f>
        <v/>
      </c>
      <c r="E112">
        <f>IF(OR(NOT(ISNUMBER(Events!$A114)),Events!$G114="No",Calendar!$H$4="None"),"",IF(OR(Calendar!$H$4="All events",Events!$D114=Calendar!$H$4),IF(Events!$E114="Yes",IF(AND(B112&gt;=Events!$A114,B112&lt;=$B$2,B112+$A112&gt;=$B$1),B112,IF(AND(C112&gt;=Events!$A114,C112&lt;=$B$2,C112+$A112&gt;=$B$1),C112,IF(AND(D112&gt;=Events!$A114,D112&lt;=$B$2,D112+$A112&gt;=$B$1),D112,""))),IF(AND(Events!$A114&lt;=$B$2,Events!$A114+$A112&gt;=$B$1),Events!$A114,"")),""))</f>
        <v/>
      </c>
      <c r="F112">
        <f>IF(E112="","",E112+A112)</f>
        <v/>
      </c>
      <c r="G112">
        <f>IF(E112="","",IF(AND(E112&lt;=EOMONTH(Calendar!$K$2,0),F112&gt;=Calendar!$K$2),E112+109/100000,""))</f>
        <v/>
      </c>
      <c r="H112">
        <f>H111+IF(AND($E112&lt;&gt;"",$E112&lt;=H$2,$F112&gt;=H$2),1,0)</f>
        <v/>
      </c>
      <c r="I112">
        <f>I111+IF(AND($E112&lt;&gt;"",$E112&lt;=I$2,$F112&gt;=I$2),1,0)</f>
        <v/>
      </c>
      <c r="J112">
        <f>J111+IF(AND($E112&lt;&gt;"",$E112&lt;=J$2,$F112&gt;=J$2),1,0)</f>
        <v/>
      </c>
      <c r="K112">
        <f>K111+IF(AND($E112&lt;&gt;"",$E112&lt;=K$2,$F112&gt;=K$2),1,0)</f>
        <v/>
      </c>
      <c r="L112">
        <f>L111+IF(AND($E112&lt;&gt;"",$E112&lt;=L$2,$F112&gt;=L$2),1,0)</f>
        <v/>
      </c>
      <c r="M112">
        <f>M111+IF(AND($E112&lt;&gt;"",$E112&lt;=M$2,$F112&gt;=M$2),1,0)</f>
        <v/>
      </c>
      <c r="N112">
        <f>N111+IF(AND($E112&lt;&gt;"",$E112&lt;=N$2,$F112&gt;=N$2),1,0)</f>
        <v/>
      </c>
      <c r="O112">
        <f>O111+IF(AND($E112&lt;&gt;"",$E112&lt;=O$2,$F112&gt;=O$2),1,0)</f>
        <v/>
      </c>
      <c r="P112">
        <f>P111+IF(AND($E112&lt;&gt;"",$E112&lt;=P$2,$F112&gt;=P$2),1,0)</f>
        <v/>
      </c>
      <c r="Q112">
        <f>Q111+IF(AND($E112&lt;&gt;"",$E112&lt;=Q$2,$F112&gt;=Q$2),1,0)</f>
        <v/>
      </c>
      <c r="R112">
        <f>R111+IF(AND($E112&lt;&gt;"",$E112&lt;=R$2,$F112&gt;=R$2),1,0)</f>
        <v/>
      </c>
      <c r="S112">
        <f>S111+IF(AND($E112&lt;&gt;"",$E112&lt;=S$2,$F112&gt;=S$2),1,0)</f>
        <v/>
      </c>
      <c r="T112">
        <f>T111+IF(AND($E112&lt;&gt;"",$E112&lt;=T$2,$F112&gt;=T$2),1,0)</f>
        <v/>
      </c>
      <c r="U112">
        <f>U111+IF(AND($E112&lt;&gt;"",$E112&lt;=U$2,$F112&gt;=U$2),1,0)</f>
        <v/>
      </c>
      <c r="V112">
        <f>V111+IF(AND($E112&lt;&gt;"",$E112&lt;=V$2,$F112&gt;=V$2),1,0)</f>
        <v/>
      </c>
      <c r="W112">
        <f>W111+IF(AND($E112&lt;&gt;"",$E112&lt;=W$2,$F112&gt;=W$2),1,0)</f>
        <v/>
      </c>
      <c r="X112">
        <f>X111+IF(AND($E112&lt;&gt;"",$E112&lt;=X$2,$F112&gt;=X$2),1,0)</f>
        <v/>
      </c>
      <c r="Y112">
        <f>Y111+IF(AND($E112&lt;&gt;"",$E112&lt;=Y$2,$F112&gt;=Y$2),1,0)</f>
        <v/>
      </c>
      <c r="Z112">
        <f>Z111+IF(AND($E112&lt;&gt;"",$E112&lt;=Z$2,$F112&gt;=Z$2),1,0)</f>
        <v/>
      </c>
      <c r="AA112">
        <f>AA111+IF(AND($E112&lt;&gt;"",$E112&lt;=AA$2,$F112&gt;=AA$2),1,0)</f>
        <v/>
      </c>
      <c r="AB112">
        <f>AB111+IF(AND($E112&lt;&gt;"",$E112&lt;=AB$2,$F112&gt;=AB$2),1,0)</f>
        <v/>
      </c>
      <c r="AC112">
        <f>AC111+IF(AND($E112&lt;&gt;"",$E112&lt;=AC$2,$F112&gt;=AC$2),1,0)</f>
        <v/>
      </c>
      <c r="AD112">
        <f>AD111+IF(AND($E112&lt;&gt;"",$E112&lt;=AD$2,$F112&gt;=AD$2),1,0)</f>
        <v/>
      </c>
      <c r="AE112">
        <f>AE111+IF(AND($E112&lt;&gt;"",$E112&lt;=AE$2,$F112&gt;=AE$2),1,0)</f>
        <v/>
      </c>
      <c r="AF112">
        <f>AF111+IF(AND($E112&lt;&gt;"",$E112&lt;=AF$2,$F112&gt;=AF$2),1,0)</f>
        <v/>
      </c>
      <c r="AG112">
        <f>AG111+IF(AND($E112&lt;&gt;"",$E112&lt;=AG$2,$F112&gt;=AG$2),1,0)</f>
        <v/>
      </c>
      <c r="AH112">
        <f>AH111+IF(AND($E112&lt;&gt;"",$E112&lt;=AH$2,$F112&gt;=AH$2),1,0)</f>
        <v/>
      </c>
      <c r="AI112">
        <f>AI111+IF(AND($E112&lt;&gt;"",$E112&lt;=AI$2,$F112&gt;=AI$2),1,0)</f>
        <v/>
      </c>
      <c r="AJ112">
        <f>AJ111+IF(AND($E112&lt;&gt;"",$E112&lt;=AJ$2,$F112&gt;=AJ$2),1,0)</f>
        <v/>
      </c>
      <c r="AK112">
        <f>AK111+IF(AND($E112&lt;&gt;"",$E112&lt;=AK$2,$F112&gt;=AK$2),1,0)</f>
        <v/>
      </c>
      <c r="AL112">
        <f>AL111+IF(AND($E112&lt;&gt;"",$E112&lt;=AL$2,$F112&gt;=AL$2),1,0)</f>
        <v/>
      </c>
      <c r="AM112">
        <f>AM111+IF(AND($E112&lt;&gt;"",$E112&lt;=AM$2,$F112&gt;=AM$2),1,0)</f>
        <v/>
      </c>
      <c r="AN112">
        <f>AN111+IF(AND($E112&lt;&gt;"",$E112&lt;=AN$2,$F112&gt;=AN$2),1,0)</f>
        <v/>
      </c>
      <c r="AO112">
        <f>AO111+IF(AND($E112&lt;&gt;"",$E112&lt;=AO$2,$F112&gt;=AO$2),1,0)</f>
        <v/>
      </c>
      <c r="AP112">
        <f>AP111+IF(AND($E112&lt;&gt;"",$E112&lt;=AP$2,$F112&gt;=AP$2),1,0)</f>
        <v/>
      </c>
      <c r="AQ112">
        <f>AQ111+IF(AND($E112&lt;&gt;"",$E112&lt;=AQ$2,$F112&gt;=AQ$2),1,0)</f>
        <v/>
      </c>
      <c r="AR112">
        <f>AR111+IF(AND($E112&lt;&gt;"",$E112&lt;=AR$2,$F112&gt;=AR$2),1,0)</f>
        <v/>
      </c>
      <c r="AS112">
        <f>AS111+IF(AND($E112&lt;&gt;"",$E112&lt;=AS$2,$F112&gt;=AS$2),1,0)</f>
        <v/>
      </c>
      <c r="AT112">
        <f>AT111+IF(AND($E112&lt;&gt;"",$E112&lt;=AT$2,$F112&gt;=AT$2),1,0)</f>
        <v/>
      </c>
      <c r="AU112">
        <f>AU111+IF(AND($E112&lt;&gt;"",$E112&lt;=AU$2,$F112&gt;=AU$2),1,0)</f>
        <v/>
      </c>
      <c r="AV112">
        <f>AV111+IF(AND($E112&lt;&gt;"",$E112&lt;=AV$2,$F112&gt;=AV$2),1,0)</f>
        <v/>
      </c>
      <c r="AW112">
        <f>AW111+IF(AND($E112&lt;&gt;"",$E112&lt;=AW$2,$F112&gt;=AW$2),1,0)</f>
        <v/>
      </c>
    </row>
    <row r="113">
      <c r="A113">
        <f>IF(AND(ISNUMBER(Events!$A115),ISNUMBER(Events!$B115)),MAX(0,Events!$B115-Events!$A115),0)</f>
        <v/>
      </c>
      <c r="B113">
        <f>IF(ISNUMBER(Events!$A115),DATE(YEAR($B$1)-1,MONTH(Events!$A115),DAY(Events!$A115)),"")</f>
        <v/>
      </c>
      <c r="C113">
        <f>IF(ISNUMBER(Events!$A115),DATE(YEAR($B$1),MONTH(Events!$A115),DAY(Events!$A115)),"")</f>
        <v/>
      </c>
      <c r="D113">
        <f>IF(ISNUMBER(Events!$A115),DATE(YEAR($B$2),MONTH(Events!$A115),DAY(Events!$A115)),"")</f>
        <v/>
      </c>
      <c r="E113">
        <f>IF(OR(NOT(ISNUMBER(Events!$A115)),Events!$G115="No",Calendar!$H$4="None"),"",IF(OR(Calendar!$H$4="All events",Events!$D115=Calendar!$H$4),IF(Events!$E115="Yes",IF(AND(B113&gt;=Events!$A115,B113&lt;=$B$2,B113+$A113&gt;=$B$1),B113,IF(AND(C113&gt;=Events!$A115,C113&lt;=$B$2,C113+$A113&gt;=$B$1),C113,IF(AND(D113&gt;=Events!$A115,D113&lt;=$B$2,D113+$A113&gt;=$B$1),D113,""))),IF(AND(Events!$A115&lt;=$B$2,Events!$A115+$A113&gt;=$B$1),Events!$A115,"")),""))</f>
        <v/>
      </c>
      <c r="F113">
        <f>IF(E113="","",E113+A113)</f>
        <v/>
      </c>
      <c r="G113">
        <f>IF(E113="","",IF(AND(E113&lt;=EOMONTH(Calendar!$K$2,0),F113&gt;=Calendar!$K$2),E113+110/100000,""))</f>
        <v/>
      </c>
      <c r="H113">
        <f>H112+IF(AND($E113&lt;&gt;"",$E113&lt;=H$2,$F113&gt;=H$2),1,0)</f>
        <v/>
      </c>
      <c r="I113">
        <f>I112+IF(AND($E113&lt;&gt;"",$E113&lt;=I$2,$F113&gt;=I$2),1,0)</f>
        <v/>
      </c>
      <c r="J113">
        <f>J112+IF(AND($E113&lt;&gt;"",$E113&lt;=J$2,$F113&gt;=J$2),1,0)</f>
        <v/>
      </c>
      <c r="K113">
        <f>K112+IF(AND($E113&lt;&gt;"",$E113&lt;=K$2,$F113&gt;=K$2),1,0)</f>
        <v/>
      </c>
      <c r="L113">
        <f>L112+IF(AND($E113&lt;&gt;"",$E113&lt;=L$2,$F113&gt;=L$2),1,0)</f>
        <v/>
      </c>
      <c r="M113">
        <f>M112+IF(AND($E113&lt;&gt;"",$E113&lt;=M$2,$F113&gt;=M$2),1,0)</f>
        <v/>
      </c>
      <c r="N113">
        <f>N112+IF(AND($E113&lt;&gt;"",$E113&lt;=N$2,$F113&gt;=N$2),1,0)</f>
        <v/>
      </c>
      <c r="O113">
        <f>O112+IF(AND($E113&lt;&gt;"",$E113&lt;=O$2,$F113&gt;=O$2),1,0)</f>
        <v/>
      </c>
      <c r="P113">
        <f>P112+IF(AND($E113&lt;&gt;"",$E113&lt;=P$2,$F113&gt;=P$2),1,0)</f>
        <v/>
      </c>
      <c r="Q113">
        <f>Q112+IF(AND($E113&lt;&gt;"",$E113&lt;=Q$2,$F113&gt;=Q$2),1,0)</f>
        <v/>
      </c>
      <c r="R113">
        <f>R112+IF(AND($E113&lt;&gt;"",$E113&lt;=R$2,$F113&gt;=R$2),1,0)</f>
        <v/>
      </c>
      <c r="S113">
        <f>S112+IF(AND($E113&lt;&gt;"",$E113&lt;=S$2,$F113&gt;=S$2),1,0)</f>
        <v/>
      </c>
      <c r="T113">
        <f>T112+IF(AND($E113&lt;&gt;"",$E113&lt;=T$2,$F113&gt;=T$2),1,0)</f>
        <v/>
      </c>
      <c r="U113">
        <f>U112+IF(AND($E113&lt;&gt;"",$E113&lt;=U$2,$F113&gt;=U$2),1,0)</f>
        <v/>
      </c>
      <c r="V113">
        <f>V112+IF(AND($E113&lt;&gt;"",$E113&lt;=V$2,$F113&gt;=V$2),1,0)</f>
        <v/>
      </c>
      <c r="W113">
        <f>W112+IF(AND($E113&lt;&gt;"",$E113&lt;=W$2,$F113&gt;=W$2),1,0)</f>
        <v/>
      </c>
      <c r="X113">
        <f>X112+IF(AND($E113&lt;&gt;"",$E113&lt;=X$2,$F113&gt;=X$2),1,0)</f>
        <v/>
      </c>
      <c r="Y113">
        <f>Y112+IF(AND($E113&lt;&gt;"",$E113&lt;=Y$2,$F113&gt;=Y$2),1,0)</f>
        <v/>
      </c>
      <c r="Z113">
        <f>Z112+IF(AND($E113&lt;&gt;"",$E113&lt;=Z$2,$F113&gt;=Z$2),1,0)</f>
        <v/>
      </c>
      <c r="AA113">
        <f>AA112+IF(AND($E113&lt;&gt;"",$E113&lt;=AA$2,$F113&gt;=AA$2),1,0)</f>
        <v/>
      </c>
      <c r="AB113">
        <f>AB112+IF(AND($E113&lt;&gt;"",$E113&lt;=AB$2,$F113&gt;=AB$2),1,0)</f>
        <v/>
      </c>
      <c r="AC113">
        <f>AC112+IF(AND($E113&lt;&gt;"",$E113&lt;=AC$2,$F113&gt;=AC$2),1,0)</f>
        <v/>
      </c>
      <c r="AD113">
        <f>AD112+IF(AND($E113&lt;&gt;"",$E113&lt;=AD$2,$F113&gt;=AD$2),1,0)</f>
        <v/>
      </c>
      <c r="AE113">
        <f>AE112+IF(AND($E113&lt;&gt;"",$E113&lt;=AE$2,$F113&gt;=AE$2),1,0)</f>
        <v/>
      </c>
      <c r="AF113">
        <f>AF112+IF(AND($E113&lt;&gt;"",$E113&lt;=AF$2,$F113&gt;=AF$2),1,0)</f>
        <v/>
      </c>
      <c r="AG113">
        <f>AG112+IF(AND($E113&lt;&gt;"",$E113&lt;=AG$2,$F113&gt;=AG$2),1,0)</f>
        <v/>
      </c>
      <c r="AH113">
        <f>AH112+IF(AND($E113&lt;&gt;"",$E113&lt;=AH$2,$F113&gt;=AH$2),1,0)</f>
        <v/>
      </c>
      <c r="AI113">
        <f>AI112+IF(AND($E113&lt;&gt;"",$E113&lt;=AI$2,$F113&gt;=AI$2),1,0)</f>
        <v/>
      </c>
      <c r="AJ113">
        <f>AJ112+IF(AND($E113&lt;&gt;"",$E113&lt;=AJ$2,$F113&gt;=AJ$2),1,0)</f>
        <v/>
      </c>
      <c r="AK113">
        <f>AK112+IF(AND($E113&lt;&gt;"",$E113&lt;=AK$2,$F113&gt;=AK$2),1,0)</f>
        <v/>
      </c>
      <c r="AL113">
        <f>AL112+IF(AND($E113&lt;&gt;"",$E113&lt;=AL$2,$F113&gt;=AL$2),1,0)</f>
        <v/>
      </c>
      <c r="AM113">
        <f>AM112+IF(AND($E113&lt;&gt;"",$E113&lt;=AM$2,$F113&gt;=AM$2),1,0)</f>
        <v/>
      </c>
      <c r="AN113">
        <f>AN112+IF(AND($E113&lt;&gt;"",$E113&lt;=AN$2,$F113&gt;=AN$2),1,0)</f>
        <v/>
      </c>
      <c r="AO113">
        <f>AO112+IF(AND($E113&lt;&gt;"",$E113&lt;=AO$2,$F113&gt;=AO$2),1,0)</f>
        <v/>
      </c>
      <c r="AP113">
        <f>AP112+IF(AND($E113&lt;&gt;"",$E113&lt;=AP$2,$F113&gt;=AP$2),1,0)</f>
        <v/>
      </c>
      <c r="AQ113">
        <f>AQ112+IF(AND($E113&lt;&gt;"",$E113&lt;=AQ$2,$F113&gt;=AQ$2),1,0)</f>
        <v/>
      </c>
      <c r="AR113">
        <f>AR112+IF(AND($E113&lt;&gt;"",$E113&lt;=AR$2,$F113&gt;=AR$2),1,0)</f>
        <v/>
      </c>
      <c r="AS113">
        <f>AS112+IF(AND($E113&lt;&gt;"",$E113&lt;=AS$2,$F113&gt;=AS$2),1,0)</f>
        <v/>
      </c>
      <c r="AT113">
        <f>AT112+IF(AND($E113&lt;&gt;"",$E113&lt;=AT$2,$F113&gt;=AT$2),1,0)</f>
        <v/>
      </c>
      <c r="AU113">
        <f>AU112+IF(AND($E113&lt;&gt;"",$E113&lt;=AU$2,$F113&gt;=AU$2),1,0)</f>
        <v/>
      </c>
      <c r="AV113">
        <f>AV112+IF(AND($E113&lt;&gt;"",$E113&lt;=AV$2,$F113&gt;=AV$2),1,0)</f>
        <v/>
      </c>
      <c r="AW113">
        <f>AW112+IF(AND($E113&lt;&gt;"",$E113&lt;=AW$2,$F113&gt;=AW$2),1,0)</f>
        <v/>
      </c>
    </row>
    <row r="114">
      <c r="A114">
        <f>IF(AND(ISNUMBER(Events!$A116),ISNUMBER(Events!$B116)),MAX(0,Events!$B116-Events!$A116),0)</f>
        <v/>
      </c>
      <c r="B114">
        <f>IF(ISNUMBER(Events!$A116),DATE(YEAR($B$1)-1,MONTH(Events!$A116),DAY(Events!$A116)),"")</f>
        <v/>
      </c>
      <c r="C114">
        <f>IF(ISNUMBER(Events!$A116),DATE(YEAR($B$1),MONTH(Events!$A116),DAY(Events!$A116)),"")</f>
        <v/>
      </c>
      <c r="D114">
        <f>IF(ISNUMBER(Events!$A116),DATE(YEAR($B$2),MONTH(Events!$A116),DAY(Events!$A116)),"")</f>
        <v/>
      </c>
      <c r="E114">
        <f>IF(OR(NOT(ISNUMBER(Events!$A116)),Events!$G116="No",Calendar!$H$4="None"),"",IF(OR(Calendar!$H$4="All events",Events!$D116=Calendar!$H$4),IF(Events!$E116="Yes",IF(AND(B114&gt;=Events!$A116,B114&lt;=$B$2,B114+$A114&gt;=$B$1),B114,IF(AND(C114&gt;=Events!$A116,C114&lt;=$B$2,C114+$A114&gt;=$B$1),C114,IF(AND(D114&gt;=Events!$A116,D114&lt;=$B$2,D114+$A114&gt;=$B$1),D114,""))),IF(AND(Events!$A116&lt;=$B$2,Events!$A116+$A114&gt;=$B$1),Events!$A116,"")),""))</f>
        <v/>
      </c>
      <c r="F114">
        <f>IF(E114="","",E114+A114)</f>
        <v/>
      </c>
      <c r="G114">
        <f>IF(E114="","",IF(AND(E114&lt;=EOMONTH(Calendar!$K$2,0),F114&gt;=Calendar!$K$2),E114+111/100000,""))</f>
        <v/>
      </c>
      <c r="H114">
        <f>H113+IF(AND($E114&lt;&gt;"",$E114&lt;=H$2,$F114&gt;=H$2),1,0)</f>
        <v/>
      </c>
      <c r="I114">
        <f>I113+IF(AND($E114&lt;&gt;"",$E114&lt;=I$2,$F114&gt;=I$2),1,0)</f>
        <v/>
      </c>
      <c r="J114">
        <f>J113+IF(AND($E114&lt;&gt;"",$E114&lt;=J$2,$F114&gt;=J$2),1,0)</f>
        <v/>
      </c>
      <c r="K114">
        <f>K113+IF(AND($E114&lt;&gt;"",$E114&lt;=K$2,$F114&gt;=K$2),1,0)</f>
        <v/>
      </c>
      <c r="L114">
        <f>L113+IF(AND($E114&lt;&gt;"",$E114&lt;=L$2,$F114&gt;=L$2),1,0)</f>
        <v/>
      </c>
      <c r="M114">
        <f>M113+IF(AND($E114&lt;&gt;"",$E114&lt;=M$2,$F114&gt;=M$2),1,0)</f>
        <v/>
      </c>
      <c r="N114">
        <f>N113+IF(AND($E114&lt;&gt;"",$E114&lt;=N$2,$F114&gt;=N$2),1,0)</f>
        <v/>
      </c>
      <c r="O114">
        <f>O113+IF(AND($E114&lt;&gt;"",$E114&lt;=O$2,$F114&gt;=O$2),1,0)</f>
        <v/>
      </c>
      <c r="P114">
        <f>P113+IF(AND($E114&lt;&gt;"",$E114&lt;=P$2,$F114&gt;=P$2),1,0)</f>
        <v/>
      </c>
      <c r="Q114">
        <f>Q113+IF(AND($E114&lt;&gt;"",$E114&lt;=Q$2,$F114&gt;=Q$2),1,0)</f>
        <v/>
      </c>
      <c r="R114">
        <f>R113+IF(AND($E114&lt;&gt;"",$E114&lt;=R$2,$F114&gt;=R$2),1,0)</f>
        <v/>
      </c>
      <c r="S114">
        <f>S113+IF(AND($E114&lt;&gt;"",$E114&lt;=S$2,$F114&gt;=S$2),1,0)</f>
        <v/>
      </c>
      <c r="T114">
        <f>T113+IF(AND($E114&lt;&gt;"",$E114&lt;=T$2,$F114&gt;=T$2),1,0)</f>
        <v/>
      </c>
      <c r="U114">
        <f>U113+IF(AND($E114&lt;&gt;"",$E114&lt;=U$2,$F114&gt;=U$2),1,0)</f>
        <v/>
      </c>
      <c r="V114">
        <f>V113+IF(AND($E114&lt;&gt;"",$E114&lt;=V$2,$F114&gt;=V$2),1,0)</f>
        <v/>
      </c>
      <c r="W114">
        <f>W113+IF(AND($E114&lt;&gt;"",$E114&lt;=W$2,$F114&gt;=W$2),1,0)</f>
        <v/>
      </c>
      <c r="X114">
        <f>X113+IF(AND($E114&lt;&gt;"",$E114&lt;=X$2,$F114&gt;=X$2),1,0)</f>
        <v/>
      </c>
      <c r="Y114">
        <f>Y113+IF(AND($E114&lt;&gt;"",$E114&lt;=Y$2,$F114&gt;=Y$2),1,0)</f>
        <v/>
      </c>
      <c r="Z114">
        <f>Z113+IF(AND($E114&lt;&gt;"",$E114&lt;=Z$2,$F114&gt;=Z$2),1,0)</f>
        <v/>
      </c>
      <c r="AA114">
        <f>AA113+IF(AND($E114&lt;&gt;"",$E114&lt;=AA$2,$F114&gt;=AA$2),1,0)</f>
        <v/>
      </c>
      <c r="AB114">
        <f>AB113+IF(AND($E114&lt;&gt;"",$E114&lt;=AB$2,$F114&gt;=AB$2),1,0)</f>
        <v/>
      </c>
      <c r="AC114">
        <f>AC113+IF(AND($E114&lt;&gt;"",$E114&lt;=AC$2,$F114&gt;=AC$2),1,0)</f>
        <v/>
      </c>
      <c r="AD114">
        <f>AD113+IF(AND($E114&lt;&gt;"",$E114&lt;=AD$2,$F114&gt;=AD$2),1,0)</f>
        <v/>
      </c>
      <c r="AE114">
        <f>AE113+IF(AND($E114&lt;&gt;"",$E114&lt;=AE$2,$F114&gt;=AE$2),1,0)</f>
        <v/>
      </c>
      <c r="AF114">
        <f>AF113+IF(AND($E114&lt;&gt;"",$E114&lt;=AF$2,$F114&gt;=AF$2),1,0)</f>
        <v/>
      </c>
      <c r="AG114">
        <f>AG113+IF(AND($E114&lt;&gt;"",$E114&lt;=AG$2,$F114&gt;=AG$2),1,0)</f>
        <v/>
      </c>
      <c r="AH114">
        <f>AH113+IF(AND($E114&lt;&gt;"",$E114&lt;=AH$2,$F114&gt;=AH$2),1,0)</f>
        <v/>
      </c>
      <c r="AI114">
        <f>AI113+IF(AND($E114&lt;&gt;"",$E114&lt;=AI$2,$F114&gt;=AI$2),1,0)</f>
        <v/>
      </c>
      <c r="AJ114">
        <f>AJ113+IF(AND($E114&lt;&gt;"",$E114&lt;=AJ$2,$F114&gt;=AJ$2),1,0)</f>
        <v/>
      </c>
      <c r="AK114">
        <f>AK113+IF(AND($E114&lt;&gt;"",$E114&lt;=AK$2,$F114&gt;=AK$2),1,0)</f>
        <v/>
      </c>
      <c r="AL114">
        <f>AL113+IF(AND($E114&lt;&gt;"",$E114&lt;=AL$2,$F114&gt;=AL$2),1,0)</f>
        <v/>
      </c>
      <c r="AM114">
        <f>AM113+IF(AND($E114&lt;&gt;"",$E114&lt;=AM$2,$F114&gt;=AM$2),1,0)</f>
        <v/>
      </c>
      <c r="AN114">
        <f>AN113+IF(AND($E114&lt;&gt;"",$E114&lt;=AN$2,$F114&gt;=AN$2),1,0)</f>
        <v/>
      </c>
      <c r="AO114">
        <f>AO113+IF(AND($E114&lt;&gt;"",$E114&lt;=AO$2,$F114&gt;=AO$2),1,0)</f>
        <v/>
      </c>
      <c r="AP114">
        <f>AP113+IF(AND($E114&lt;&gt;"",$E114&lt;=AP$2,$F114&gt;=AP$2),1,0)</f>
        <v/>
      </c>
      <c r="AQ114">
        <f>AQ113+IF(AND($E114&lt;&gt;"",$E114&lt;=AQ$2,$F114&gt;=AQ$2),1,0)</f>
        <v/>
      </c>
      <c r="AR114">
        <f>AR113+IF(AND($E114&lt;&gt;"",$E114&lt;=AR$2,$F114&gt;=AR$2),1,0)</f>
        <v/>
      </c>
      <c r="AS114">
        <f>AS113+IF(AND($E114&lt;&gt;"",$E114&lt;=AS$2,$F114&gt;=AS$2),1,0)</f>
        <v/>
      </c>
      <c r="AT114">
        <f>AT113+IF(AND($E114&lt;&gt;"",$E114&lt;=AT$2,$F114&gt;=AT$2),1,0)</f>
        <v/>
      </c>
      <c r="AU114">
        <f>AU113+IF(AND($E114&lt;&gt;"",$E114&lt;=AU$2,$F114&gt;=AU$2),1,0)</f>
        <v/>
      </c>
      <c r="AV114">
        <f>AV113+IF(AND($E114&lt;&gt;"",$E114&lt;=AV$2,$F114&gt;=AV$2),1,0)</f>
        <v/>
      </c>
      <c r="AW114">
        <f>AW113+IF(AND($E114&lt;&gt;"",$E114&lt;=AW$2,$F114&gt;=AW$2),1,0)</f>
        <v/>
      </c>
    </row>
    <row r="115">
      <c r="A115">
        <f>IF(AND(ISNUMBER(Events!$A117),ISNUMBER(Events!$B117)),MAX(0,Events!$B117-Events!$A117),0)</f>
        <v/>
      </c>
      <c r="B115">
        <f>IF(ISNUMBER(Events!$A117),DATE(YEAR($B$1)-1,MONTH(Events!$A117),DAY(Events!$A117)),"")</f>
        <v/>
      </c>
      <c r="C115">
        <f>IF(ISNUMBER(Events!$A117),DATE(YEAR($B$1),MONTH(Events!$A117),DAY(Events!$A117)),"")</f>
        <v/>
      </c>
      <c r="D115">
        <f>IF(ISNUMBER(Events!$A117),DATE(YEAR($B$2),MONTH(Events!$A117),DAY(Events!$A117)),"")</f>
        <v/>
      </c>
      <c r="E115">
        <f>IF(OR(NOT(ISNUMBER(Events!$A117)),Events!$G117="No",Calendar!$H$4="None"),"",IF(OR(Calendar!$H$4="All events",Events!$D117=Calendar!$H$4),IF(Events!$E117="Yes",IF(AND(B115&gt;=Events!$A117,B115&lt;=$B$2,B115+$A115&gt;=$B$1),B115,IF(AND(C115&gt;=Events!$A117,C115&lt;=$B$2,C115+$A115&gt;=$B$1),C115,IF(AND(D115&gt;=Events!$A117,D115&lt;=$B$2,D115+$A115&gt;=$B$1),D115,""))),IF(AND(Events!$A117&lt;=$B$2,Events!$A117+$A115&gt;=$B$1),Events!$A117,"")),""))</f>
        <v/>
      </c>
      <c r="F115">
        <f>IF(E115="","",E115+A115)</f>
        <v/>
      </c>
      <c r="G115">
        <f>IF(E115="","",IF(AND(E115&lt;=EOMONTH(Calendar!$K$2,0),F115&gt;=Calendar!$K$2),E115+112/100000,""))</f>
        <v/>
      </c>
      <c r="H115">
        <f>H114+IF(AND($E115&lt;&gt;"",$E115&lt;=H$2,$F115&gt;=H$2),1,0)</f>
        <v/>
      </c>
      <c r="I115">
        <f>I114+IF(AND($E115&lt;&gt;"",$E115&lt;=I$2,$F115&gt;=I$2),1,0)</f>
        <v/>
      </c>
      <c r="J115">
        <f>J114+IF(AND($E115&lt;&gt;"",$E115&lt;=J$2,$F115&gt;=J$2),1,0)</f>
        <v/>
      </c>
      <c r="K115">
        <f>K114+IF(AND($E115&lt;&gt;"",$E115&lt;=K$2,$F115&gt;=K$2),1,0)</f>
        <v/>
      </c>
      <c r="L115">
        <f>L114+IF(AND($E115&lt;&gt;"",$E115&lt;=L$2,$F115&gt;=L$2),1,0)</f>
        <v/>
      </c>
      <c r="M115">
        <f>M114+IF(AND($E115&lt;&gt;"",$E115&lt;=M$2,$F115&gt;=M$2),1,0)</f>
        <v/>
      </c>
      <c r="N115">
        <f>N114+IF(AND($E115&lt;&gt;"",$E115&lt;=N$2,$F115&gt;=N$2),1,0)</f>
        <v/>
      </c>
      <c r="O115">
        <f>O114+IF(AND($E115&lt;&gt;"",$E115&lt;=O$2,$F115&gt;=O$2),1,0)</f>
        <v/>
      </c>
      <c r="P115">
        <f>P114+IF(AND($E115&lt;&gt;"",$E115&lt;=P$2,$F115&gt;=P$2),1,0)</f>
        <v/>
      </c>
      <c r="Q115">
        <f>Q114+IF(AND($E115&lt;&gt;"",$E115&lt;=Q$2,$F115&gt;=Q$2),1,0)</f>
        <v/>
      </c>
      <c r="R115">
        <f>R114+IF(AND($E115&lt;&gt;"",$E115&lt;=R$2,$F115&gt;=R$2),1,0)</f>
        <v/>
      </c>
      <c r="S115">
        <f>S114+IF(AND($E115&lt;&gt;"",$E115&lt;=S$2,$F115&gt;=S$2),1,0)</f>
        <v/>
      </c>
      <c r="T115">
        <f>T114+IF(AND($E115&lt;&gt;"",$E115&lt;=T$2,$F115&gt;=T$2),1,0)</f>
        <v/>
      </c>
      <c r="U115">
        <f>U114+IF(AND($E115&lt;&gt;"",$E115&lt;=U$2,$F115&gt;=U$2),1,0)</f>
        <v/>
      </c>
      <c r="V115">
        <f>V114+IF(AND($E115&lt;&gt;"",$E115&lt;=V$2,$F115&gt;=V$2),1,0)</f>
        <v/>
      </c>
      <c r="W115">
        <f>W114+IF(AND($E115&lt;&gt;"",$E115&lt;=W$2,$F115&gt;=W$2),1,0)</f>
        <v/>
      </c>
      <c r="X115">
        <f>X114+IF(AND($E115&lt;&gt;"",$E115&lt;=X$2,$F115&gt;=X$2),1,0)</f>
        <v/>
      </c>
      <c r="Y115">
        <f>Y114+IF(AND($E115&lt;&gt;"",$E115&lt;=Y$2,$F115&gt;=Y$2),1,0)</f>
        <v/>
      </c>
      <c r="Z115">
        <f>Z114+IF(AND($E115&lt;&gt;"",$E115&lt;=Z$2,$F115&gt;=Z$2),1,0)</f>
        <v/>
      </c>
      <c r="AA115">
        <f>AA114+IF(AND($E115&lt;&gt;"",$E115&lt;=AA$2,$F115&gt;=AA$2),1,0)</f>
        <v/>
      </c>
      <c r="AB115">
        <f>AB114+IF(AND($E115&lt;&gt;"",$E115&lt;=AB$2,$F115&gt;=AB$2),1,0)</f>
        <v/>
      </c>
      <c r="AC115">
        <f>AC114+IF(AND($E115&lt;&gt;"",$E115&lt;=AC$2,$F115&gt;=AC$2),1,0)</f>
        <v/>
      </c>
      <c r="AD115">
        <f>AD114+IF(AND($E115&lt;&gt;"",$E115&lt;=AD$2,$F115&gt;=AD$2),1,0)</f>
        <v/>
      </c>
      <c r="AE115">
        <f>AE114+IF(AND($E115&lt;&gt;"",$E115&lt;=AE$2,$F115&gt;=AE$2),1,0)</f>
        <v/>
      </c>
      <c r="AF115">
        <f>AF114+IF(AND($E115&lt;&gt;"",$E115&lt;=AF$2,$F115&gt;=AF$2),1,0)</f>
        <v/>
      </c>
      <c r="AG115">
        <f>AG114+IF(AND($E115&lt;&gt;"",$E115&lt;=AG$2,$F115&gt;=AG$2),1,0)</f>
        <v/>
      </c>
      <c r="AH115">
        <f>AH114+IF(AND($E115&lt;&gt;"",$E115&lt;=AH$2,$F115&gt;=AH$2),1,0)</f>
        <v/>
      </c>
      <c r="AI115">
        <f>AI114+IF(AND($E115&lt;&gt;"",$E115&lt;=AI$2,$F115&gt;=AI$2),1,0)</f>
        <v/>
      </c>
      <c r="AJ115">
        <f>AJ114+IF(AND($E115&lt;&gt;"",$E115&lt;=AJ$2,$F115&gt;=AJ$2),1,0)</f>
        <v/>
      </c>
      <c r="AK115">
        <f>AK114+IF(AND($E115&lt;&gt;"",$E115&lt;=AK$2,$F115&gt;=AK$2),1,0)</f>
        <v/>
      </c>
      <c r="AL115">
        <f>AL114+IF(AND($E115&lt;&gt;"",$E115&lt;=AL$2,$F115&gt;=AL$2),1,0)</f>
        <v/>
      </c>
      <c r="AM115">
        <f>AM114+IF(AND($E115&lt;&gt;"",$E115&lt;=AM$2,$F115&gt;=AM$2),1,0)</f>
        <v/>
      </c>
      <c r="AN115">
        <f>AN114+IF(AND($E115&lt;&gt;"",$E115&lt;=AN$2,$F115&gt;=AN$2),1,0)</f>
        <v/>
      </c>
      <c r="AO115">
        <f>AO114+IF(AND($E115&lt;&gt;"",$E115&lt;=AO$2,$F115&gt;=AO$2),1,0)</f>
        <v/>
      </c>
      <c r="AP115">
        <f>AP114+IF(AND($E115&lt;&gt;"",$E115&lt;=AP$2,$F115&gt;=AP$2),1,0)</f>
        <v/>
      </c>
      <c r="AQ115">
        <f>AQ114+IF(AND($E115&lt;&gt;"",$E115&lt;=AQ$2,$F115&gt;=AQ$2),1,0)</f>
        <v/>
      </c>
      <c r="AR115">
        <f>AR114+IF(AND($E115&lt;&gt;"",$E115&lt;=AR$2,$F115&gt;=AR$2),1,0)</f>
        <v/>
      </c>
      <c r="AS115">
        <f>AS114+IF(AND($E115&lt;&gt;"",$E115&lt;=AS$2,$F115&gt;=AS$2),1,0)</f>
        <v/>
      </c>
      <c r="AT115">
        <f>AT114+IF(AND($E115&lt;&gt;"",$E115&lt;=AT$2,$F115&gt;=AT$2),1,0)</f>
        <v/>
      </c>
      <c r="AU115">
        <f>AU114+IF(AND($E115&lt;&gt;"",$E115&lt;=AU$2,$F115&gt;=AU$2),1,0)</f>
        <v/>
      </c>
      <c r="AV115">
        <f>AV114+IF(AND($E115&lt;&gt;"",$E115&lt;=AV$2,$F115&gt;=AV$2),1,0)</f>
        <v/>
      </c>
      <c r="AW115">
        <f>AW114+IF(AND($E115&lt;&gt;"",$E115&lt;=AW$2,$F115&gt;=AW$2),1,0)</f>
        <v/>
      </c>
    </row>
    <row r="116">
      <c r="A116">
        <f>IF(AND(ISNUMBER(Events!$A118),ISNUMBER(Events!$B118)),MAX(0,Events!$B118-Events!$A118),0)</f>
        <v/>
      </c>
      <c r="B116">
        <f>IF(ISNUMBER(Events!$A118),DATE(YEAR($B$1)-1,MONTH(Events!$A118),DAY(Events!$A118)),"")</f>
        <v/>
      </c>
      <c r="C116">
        <f>IF(ISNUMBER(Events!$A118),DATE(YEAR($B$1),MONTH(Events!$A118),DAY(Events!$A118)),"")</f>
        <v/>
      </c>
      <c r="D116">
        <f>IF(ISNUMBER(Events!$A118),DATE(YEAR($B$2),MONTH(Events!$A118),DAY(Events!$A118)),"")</f>
        <v/>
      </c>
      <c r="E116">
        <f>IF(OR(NOT(ISNUMBER(Events!$A118)),Events!$G118="No",Calendar!$H$4="None"),"",IF(OR(Calendar!$H$4="All events",Events!$D118=Calendar!$H$4),IF(Events!$E118="Yes",IF(AND(B116&gt;=Events!$A118,B116&lt;=$B$2,B116+$A116&gt;=$B$1),B116,IF(AND(C116&gt;=Events!$A118,C116&lt;=$B$2,C116+$A116&gt;=$B$1),C116,IF(AND(D116&gt;=Events!$A118,D116&lt;=$B$2,D116+$A116&gt;=$B$1),D116,""))),IF(AND(Events!$A118&lt;=$B$2,Events!$A118+$A116&gt;=$B$1),Events!$A118,"")),""))</f>
        <v/>
      </c>
      <c r="F116">
        <f>IF(E116="","",E116+A116)</f>
        <v/>
      </c>
      <c r="G116">
        <f>IF(E116="","",IF(AND(E116&lt;=EOMONTH(Calendar!$K$2,0),F116&gt;=Calendar!$K$2),E116+113/100000,""))</f>
        <v/>
      </c>
      <c r="H116">
        <f>H115+IF(AND($E116&lt;&gt;"",$E116&lt;=H$2,$F116&gt;=H$2),1,0)</f>
        <v/>
      </c>
      <c r="I116">
        <f>I115+IF(AND($E116&lt;&gt;"",$E116&lt;=I$2,$F116&gt;=I$2),1,0)</f>
        <v/>
      </c>
      <c r="J116">
        <f>J115+IF(AND($E116&lt;&gt;"",$E116&lt;=J$2,$F116&gt;=J$2),1,0)</f>
        <v/>
      </c>
      <c r="K116">
        <f>K115+IF(AND($E116&lt;&gt;"",$E116&lt;=K$2,$F116&gt;=K$2),1,0)</f>
        <v/>
      </c>
      <c r="L116">
        <f>L115+IF(AND($E116&lt;&gt;"",$E116&lt;=L$2,$F116&gt;=L$2),1,0)</f>
        <v/>
      </c>
      <c r="M116">
        <f>M115+IF(AND($E116&lt;&gt;"",$E116&lt;=M$2,$F116&gt;=M$2),1,0)</f>
        <v/>
      </c>
      <c r="N116">
        <f>N115+IF(AND($E116&lt;&gt;"",$E116&lt;=N$2,$F116&gt;=N$2),1,0)</f>
        <v/>
      </c>
      <c r="O116">
        <f>O115+IF(AND($E116&lt;&gt;"",$E116&lt;=O$2,$F116&gt;=O$2),1,0)</f>
        <v/>
      </c>
      <c r="P116">
        <f>P115+IF(AND($E116&lt;&gt;"",$E116&lt;=P$2,$F116&gt;=P$2),1,0)</f>
        <v/>
      </c>
      <c r="Q116">
        <f>Q115+IF(AND($E116&lt;&gt;"",$E116&lt;=Q$2,$F116&gt;=Q$2),1,0)</f>
        <v/>
      </c>
      <c r="R116">
        <f>R115+IF(AND($E116&lt;&gt;"",$E116&lt;=R$2,$F116&gt;=R$2),1,0)</f>
        <v/>
      </c>
      <c r="S116">
        <f>S115+IF(AND($E116&lt;&gt;"",$E116&lt;=S$2,$F116&gt;=S$2),1,0)</f>
        <v/>
      </c>
      <c r="T116">
        <f>T115+IF(AND($E116&lt;&gt;"",$E116&lt;=T$2,$F116&gt;=T$2),1,0)</f>
        <v/>
      </c>
      <c r="U116">
        <f>U115+IF(AND($E116&lt;&gt;"",$E116&lt;=U$2,$F116&gt;=U$2),1,0)</f>
        <v/>
      </c>
      <c r="V116">
        <f>V115+IF(AND($E116&lt;&gt;"",$E116&lt;=V$2,$F116&gt;=V$2),1,0)</f>
        <v/>
      </c>
      <c r="W116">
        <f>W115+IF(AND($E116&lt;&gt;"",$E116&lt;=W$2,$F116&gt;=W$2),1,0)</f>
        <v/>
      </c>
      <c r="X116">
        <f>X115+IF(AND($E116&lt;&gt;"",$E116&lt;=X$2,$F116&gt;=X$2),1,0)</f>
        <v/>
      </c>
      <c r="Y116">
        <f>Y115+IF(AND($E116&lt;&gt;"",$E116&lt;=Y$2,$F116&gt;=Y$2),1,0)</f>
        <v/>
      </c>
      <c r="Z116">
        <f>Z115+IF(AND($E116&lt;&gt;"",$E116&lt;=Z$2,$F116&gt;=Z$2),1,0)</f>
        <v/>
      </c>
      <c r="AA116">
        <f>AA115+IF(AND($E116&lt;&gt;"",$E116&lt;=AA$2,$F116&gt;=AA$2),1,0)</f>
        <v/>
      </c>
      <c r="AB116">
        <f>AB115+IF(AND($E116&lt;&gt;"",$E116&lt;=AB$2,$F116&gt;=AB$2),1,0)</f>
        <v/>
      </c>
      <c r="AC116">
        <f>AC115+IF(AND($E116&lt;&gt;"",$E116&lt;=AC$2,$F116&gt;=AC$2),1,0)</f>
        <v/>
      </c>
      <c r="AD116">
        <f>AD115+IF(AND($E116&lt;&gt;"",$E116&lt;=AD$2,$F116&gt;=AD$2),1,0)</f>
        <v/>
      </c>
      <c r="AE116">
        <f>AE115+IF(AND($E116&lt;&gt;"",$E116&lt;=AE$2,$F116&gt;=AE$2),1,0)</f>
        <v/>
      </c>
      <c r="AF116">
        <f>AF115+IF(AND($E116&lt;&gt;"",$E116&lt;=AF$2,$F116&gt;=AF$2),1,0)</f>
        <v/>
      </c>
      <c r="AG116">
        <f>AG115+IF(AND($E116&lt;&gt;"",$E116&lt;=AG$2,$F116&gt;=AG$2),1,0)</f>
        <v/>
      </c>
      <c r="AH116">
        <f>AH115+IF(AND($E116&lt;&gt;"",$E116&lt;=AH$2,$F116&gt;=AH$2),1,0)</f>
        <v/>
      </c>
      <c r="AI116">
        <f>AI115+IF(AND($E116&lt;&gt;"",$E116&lt;=AI$2,$F116&gt;=AI$2),1,0)</f>
        <v/>
      </c>
      <c r="AJ116">
        <f>AJ115+IF(AND($E116&lt;&gt;"",$E116&lt;=AJ$2,$F116&gt;=AJ$2),1,0)</f>
        <v/>
      </c>
      <c r="AK116">
        <f>AK115+IF(AND($E116&lt;&gt;"",$E116&lt;=AK$2,$F116&gt;=AK$2),1,0)</f>
        <v/>
      </c>
      <c r="AL116">
        <f>AL115+IF(AND($E116&lt;&gt;"",$E116&lt;=AL$2,$F116&gt;=AL$2),1,0)</f>
        <v/>
      </c>
      <c r="AM116">
        <f>AM115+IF(AND($E116&lt;&gt;"",$E116&lt;=AM$2,$F116&gt;=AM$2),1,0)</f>
        <v/>
      </c>
      <c r="AN116">
        <f>AN115+IF(AND($E116&lt;&gt;"",$E116&lt;=AN$2,$F116&gt;=AN$2),1,0)</f>
        <v/>
      </c>
      <c r="AO116">
        <f>AO115+IF(AND($E116&lt;&gt;"",$E116&lt;=AO$2,$F116&gt;=AO$2),1,0)</f>
        <v/>
      </c>
      <c r="AP116">
        <f>AP115+IF(AND($E116&lt;&gt;"",$E116&lt;=AP$2,$F116&gt;=AP$2),1,0)</f>
        <v/>
      </c>
      <c r="AQ116">
        <f>AQ115+IF(AND($E116&lt;&gt;"",$E116&lt;=AQ$2,$F116&gt;=AQ$2),1,0)</f>
        <v/>
      </c>
      <c r="AR116">
        <f>AR115+IF(AND($E116&lt;&gt;"",$E116&lt;=AR$2,$F116&gt;=AR$2),1,0)</f>
        <v/>
      </c>
      <c r="AS116">
        <f>AS115+IF(AND($E116&lt;&gt;"",$E116&lt;=AS$2,$F116&gt;=AS$2),1,0)</f>
        <v/>
      </c>
      <c r="AT116">
        <f>AT115+IF(AND($E116&lt;&gt;"",$E116&lt;=AT$2,$F116&gt;=AT$2),1,0)</f>
        <v/>
      </c>
      <c r="AU116">
        <f>AU115+IF(AND($E116&lt;&gt;"",$E116&lt;=AU$2,$F116&gt;=AU$2),1,0)</f>
        <v/>
      </c>
      <c r="AV116">
        <f>AV115+IF(AND($E116&lt;&gt;"",$E116&lt;=AV$2,$F116&gt;=AV$2),1,0)</f>
        <v/>
      </c>
      <c r="AW116">
        <f>AW115+IF(AND($E116&lt;&gt;"",$E116&lt;=AW$2,$F116&gt;=AW$2),1,0)</f>
        <v/>
      </c>
    </row>
    <row r="117">
      <c r="A117">
        <f>IF(AND(ISNUMBER(Events!$A119),ISNUMBER(Events!$B119)),MAX(0,Events!$B119-Events!$A119),0)</f>
        <v/>
      </c>
      <c r="B117">
        <f>IF(ISNUMBER(Events!$A119),DATE(YEAR($B$1)-1,MONTH(Events!$A119),DAY(Events!$A119)),"")</f>
        <v/>
      </c>
      <c r="C117">
        <f>IF(ISNUMBER(Events!$A119),DATE(YEAR($B$1),MONTH(Events!$A119),DAY(Events!$A119)),"")</f>
        <v/>
      </c>
      <c r="D117">
        <f>IF(ISNUMBER(Events!$A119),DATE(YEAR($B$2),MONTH(Events!$A119),DAY(Events!$A119)),"")</f>
        <v/>
      </c>
      <c r="E117">
        <f>IF(OR(NOT(ISNUMBER(Events!$A119)),Events!$G119="No",Calendar!$H$4="None"),"",IF(OR(Calendar!$H$4="All events",Events!$D119=Calendar!$H$4),IF(Events!$E119="Yes",IF(AND(B117&gt;=Events!$A119,B117&lt;=$B$2,B117+$A117&gt;=$B$1),B117,IF(AND(C117&gt;=Events!$A119,C117&lt;=$B$2,C117+$A117&gt;=$B$1),C117,IF(AND(D117&gt;=Events!$A119,D117&lt;=$B$2,D117+$A117&gt;=$B$1),D117,""))),IF(AND(Events!$A119&lt;=$B$2,Events!$A119+$A117&gt;=$B$1),Events!$A119,"")),""))</f>
        <v/>
      </c>
      <c r="F117">
        <f>IF(E117="","",E117+A117)</f>
        <v/>
      </c>
      <c r="G117">
        <f>IF(E117="","",IF(AND(E117&lt;=EOMONTH(Calendar!$K$2,0),F117&gt;=Calendar!$K$2),E117+114/100000,""))</f>
        <v/>
      </c>
      <c r="H117">
        <f>H116+IF(AND($E117&lt;&gt;"",$E117&lt;=H$2,$F117&gt;=H$2),1,0)</f>
        <v/>
      </c>
      <c r="I117">
        <f>I116+IF(AND($E117&lt;&gt;"",$E117&lt;=I$2,$F117&gt;=I$2),1,0)</f>
        <v/>
      </c>
      <c r="J117">
        <f>J116+IF(AND($E117&lt;&gt;"",$E117&lt;=J$2,$F117&gt;=J$2),1,0)</f>
        <v/>
      </c>
      <c r="K117">
        <f>K116+IF(AND($E117&lt;&gt;"",$E117&lt;=K$2,$F117&gt;=K$2),1,0)</f>
        <v/>
      </c>
      <c r="L117">
        <f>L116+IF(AND($E117&lt;&gt;"",$E117&lt;=L$2,$F117&gt;=L$2),1,0)</f>
        <v/>
      </c>
      <c r="M117">
        <f>M116+IF(AND($E117&lt;&gt;"",$E117&lt;=M$2,$F117&gt;=M$2),1,0)</f>
        <v/>
      </c>
      <c r="N117">
        <f>N116+IF(AND($E117&lt;&gt;"",$E117&lt;=N$2,$F117&gt;=N$2),1,0)</f>
        <v/>
      </c>
      <c r="O117">
        <f>O116+IF(AND($E117&lt;&gt;"",$E117&lt;=O$2,$F117&gt;=O$2),1,0)</f>
        <v/>
      </c>
      <c r="P117">
        <f>P116+IF(AND($E117&lt;&gt;"",$E117&lt;=P$2,$F117&gt;=P$2),1,0)</f>
        <v/>
      </c>
      <c r="Q117">
        <f>Q116+IF(AND($E117&lt;&gt;"",$E117&lt;=Q$2,$F117&gt;=Q$2),1,0)</f>
        <v/>
      </c>
      <c r="R117">
        <f>R116+IF(AND($E117&lt;&gt;"",$E117&lt;=R$2,$F117&gt;=R$2),1,0)</f>
        <v/>
      </c>
      <c r="S117">
        <f>S116+IF(AND($E117&lt;&gt;"",$E117&lt;=S$2,$F117&gt;=S$2),1,0)</f>
        <v/>
      </c>
      <c r="T117">
        <f>T116+IF(AND($E117&lt;&gt;"",$E117&lt;=T$2,$F117&gt;=T$2),1,0)</f>
        <v/>
      </c>
      <c r="U117">
        <f>U116+IF(AND($E117&lt;&gt;"",$E117&lt;=U$2,$F117&gt;=U$2),1,0)</f>
        <v/>
      </c>
      <c r="V117">
        <f>V116+IF(AND($E117&lt;&gt;"",$E117&lt;=V$2,$F117&gt;=V$2),1,0)</f>
        <v/>
      </c>
      <c r="W117">
        <f>W116+IF(AND($E117&lt;&gt;"",$E117&lt;=W$2,$F117&gt;=W$2),1,0)</f>
        <v/>
      </c>
      <c r="X117">
        <f>X116+IF(AND($E117&lt;&gt;"",$E117&lt;=X$2,$F117&gt;=X$2),1,0)</f>
        <v/>
      </c>
      <c r="Y117">
        <f>Y116+IF(AND($E117&lt;&gt;"",$E117&lt;=Y$2,$F117&gt;=Y$2),1,0)</f>
        <v/>
      </c>
      <c r="Z117">
        <f>Z116+IF(AND($E117&lt;&gt;"",$E117&lt;=Z$2,$F117&gt;=Z$2),1,0)</f>
        <v/>
      </c>
      <c r="AA117">
        <f>AA116+IF(AND($E117&lt;&gt;"",$E117&lt;=AA$2,$F117&gt;=AA$2),1,0)</f>
        <v/>
      </c>
      <c r="AB117">
        <f>AB116+IF(AND($E117&lt;&gt;"",$E117&lt;=AB$2,$F117&gt;=AB$2),1,0)</f>
        <v/>
      </c>
      <c r="AC117">
        <f>AC116+IF(AND($E117&lt;&gt;"",$E117&lt;=AC$2,$F117&gt;=AC$2),1,0)</f>
        <v/>
      </c>
      <c r="AD117">
        <f>AD116+IF(AND($E117&lt;&gt;"",$E117&lt;=AD$2,$F117&gt;=AD$2),1,0)</f>
        <v/>
      </c>
      <c r="AE117">
        <f>AE116+IF(AND($E117&lt;&gt;"",$E117&lt;=AE$2,$F117&gt;=AE$2),1,0)</f>
        <v/>
      </c>
      <c r="AF117">
        <f>AF116+IF(AND($E117&lt;&gt;"",$E117&lt;=AF$2,$F117&gt;=AF$2),1,0)</f>
        <v/>
      </c>
      <c r="AG117">
        <f>AG116+IF(AND($E117&lt;&gt;"",$E117&lt;=AG$2,$F117&gt;=AG$2),1,0)</f>
        <v/>
      </c>
      <c r="AH117">
        <f>AH116+IF(AND($E117&lt;&gt;"",$E117&lt;=AH$2,$F117&gt;=AH$2),1,0)</f>
        <v/>
      </c>
      <c r="AI117">
        <f>AI116+IF(AND($E117&lt;&gt;"",$E117&lt;=AI$2,$F117&gt;=AI$2),1,0)</f>
        <v/>
      </c>
      <c r="AJ117">
        <f>AJ116+IF(AND($E117&lt;&gt;"",$E117&lt;=AJ$2,$F117&gt;=AJ$2),1,0)</f>
        <v/>
      </c>
      <c r="AK117">
        <f>AK116+IF(AND($E117&lt;&gt;"",$E117&lt;=AK$2,$F117&gt;=AK$2),1,0)</f>
        <v/>
      </c>
      <c r="AL117">
        <f>AL116+IF(AND($E117&lt;&gt;"",$E117&lt;=AL$2,$F117&gt;=AL$2),1,0)</f>
        <v/>
      </c>
      <c r="AM117">
        <f>AM116+IF(AND($E117&lt;&gt;"",$E117&lt;=AM$2,$F117&gt;=AM$2),1,0)</f>
        <v/>
      </c>
      <c r="AN117">
        <f>AN116+IF(AND($E117&lt;&gt;"",$E117&lt;=AN$2,$F117&gt;=AN$2),1,0)</f>
        <v/>
      </c>
      <c r="AO117">
        <f>AO116+IF(AND($E117&lt;&gt;"",$E117&lt;=AO$2,$F117&gt;=AO$2),1,0)</f>
        <v/>
      </c>
      <c r="AP117">
        <f>AP116+IF(AND($E117&lt;&gt;"",$E117&lt;=AP$2,$F117&gt;=AP$2),1,0)</f>
        <v/>
      </c>
      <c r="AQ117">
        <f>AQ116+IF(AND($E117&lt;&gt;"",$E117&lt;=AQ$2,$F117&gt;=AQ$2),1,0)</f>
        <v/>
      </c>
      <c r="AR117">
        <f>AR116+IF(AND($E117&lt;&gt;"",$E117&lt;=AR$2,$F117&gt;=AR$2),1,0)</f>
        <v/>
      </c>
      <c r="AS117">
        <f>AS116+IF(AND($E117&lt;&gt;"",$E117&lt;=AS$2,$F117&gt;=AS$2),1,0)</f>
        <v/>
      </c>
      <c r="AT117">
        <f>AT116+IF(AND($E117&lt;&gt;"",$E117&lt;=AT$2,$F117&gt;=AT$2),1,0)</f>
        <v/>
      </c>
      <c r="AU117">
        <f>AU116+IF(AND($E117&lt;&gt;"",$E117&lt;=AU$2,$F117&gt;=AU$2),1,0)</f>
        <v/>
      </c>
      <c r="AV117">
        <f>AV116+IF(AND($E117&lt;&gt;"",$E117&lt;=AV$2,$F117&gt;=AV$2),1,0)</f>
        <v/>
      </c>
      <c r="AW117">
        <f>AW116+IF(AND($E117&lt;&gt;"",$E117&lt;=AW$2,$F117&gt;=AW$2),1,0)</f>
        <v/>
      </c>
    </row>
    <row r="118">
      <c r="A118">
        <f>IF(AND(ISNUMBER(Events!$A120),ISNUMBER(Events!$B120)),MAX(0,Events!$B120-Events!$A120),0)</f>
        <v/>
      </c>
      <c r="B118">
        <f>IF(ISNUMBER(Events!$A120),DATE(YEAR($B$1)-1,MONTH(Events!$A120),DAY(Events!$A120)),"")</f>
        <v/>
      </c>
      <c r="C118">
        <f>IF(ISNUMBER(Events!$A120),DATE(YEAR($B$1),MONTH(Events!$A120),DAY(Events!$A120)),"")</f>
        <v/>
      </c>
      <c r="D118">
        <f>IF(ISNUMBER(Events!$A120),DATE(YEAR($B$2),MONTH(Events!$A120),DAY(Events!$A120)),"")</f>
        <v/>
      </c>
      <c r="E118">
        <f>IF(OR(NOT(ISNUMBER(Events!$A120)),Events!$G120="No",Calendar!$H$4="None"),"",IF(OR(Calendar!$H$4="All events",Events!$D120=Calendar!$H$4),IF(Events!$E120="Yes",IF(AND(B118&gt;=Events!$A120,B118&lt;=$B$2,B118+$A118&gt;=$B$1),B118,IF(AND(C118&gt;=Events!$A120,C118&lt;=$B$2,C118+$A118&gt;=$B$1),C118,IF(AND(D118&gt;=Events!$A120,D118&lt;=$B$2,D118+$A118&gt;=$B$1),D118,""))),IF(AND(Events!$A120&lt;=$B$2,Events!$A120+$A118&gt;=$B$1),Events!$A120,"")),""))</f>
        <v/>
      </c>
      <c r="F118">
        <f>IF(E118="","",E118+A118)</f>
        <v/>
      </c>
      <c r="G118">
        <f>IF(E118="","",IF(AND(E118&lt;=EOMONTH(Calendar!$K$2,0),F118&gt;=Calendar!$K$2),E118+115/100000,""))</f>
        <v/>
      </c>
      <c r="H118">
        <f>H117+IF(AND($E118&lt;&gt;"",$E118&lt;=H$2,$F118&gt;=H$2),1,0)</f>
        <v/>
      </c>
      <c r="I118">
        <f>I117+IF(AND($E118&lt;&gt;"",$E118&lt;=I$2,$F118&gt;=I$2),1,0)</f>
        <v/>
      </c>
      <c r="J118">
        <f>J117+IF(AND($E118&lt;&gt;"",$E118&lt;=J$2,$F118&gt;=J$2),1,0)</f>
        <v/>
      </c>
      <c r="K118">
        <f>K117+IF(AND($E118&lt;&gt;"",$E118&lt;=K$2,$F118&gt;=K$2),1,0)</f>
        <v/>
      </c>
      <c r="L118">
        <f>L117+IF(AND($E118&lt;&gt;"",$E118&lt;=L$2,$F118&gt;=L$2),1,0)</f>
        <v/>
      </c>
      <c r="M118">
        <f>M117+IF(AND($E118&lt;&gt;"",$E118&lt;=M$2,$F118&gt;=M$2),1,0)</f>
        <v/>
      </c>
      <c r="N118">
        <f>N117+IF(AND($E118&lt;&gt;"",$E118&lt;=N$2,$F118&gt;=N$2),1,0)</f>
        <v/>
      </c>
      <c r="O118">
        <f>O117+IF(AND($E118&lt;&gt;"",$E118&lt;=O$2,$F118&gt;=O$2),1,0)</f>
        <v/>
      </c>
      <c r="P118">
        <f>P117+IF(AND($E118&lt;&gt;"",$E118&lt;=P$2,$F118&gt;=P$2),1,0)</f>
        <v/>
      </c>
      <c r="Q118">
        <f>Q117+IF(AND($E118&lt;&gt;"",$E118&lt;=Q$2,$F118&gt;=Q$2),1,0)</f>
        <v/>
      </c>
      <c r="R118">
        <f>R117+IF(AND($E118&lt;&gt;"",$E118&lt;=R$2,$F118&gt;=R$2),1,0)</f>
        <v/>
      </c>
      <c r="S118">
        <f>S117+IF(AND($E118&lt;&gt;"",$E118&lt;=S$2,$F118&gt;=S$2),1,0)</f>
        <v/>
      </c>
      <c r="T118">
        <f>T117+IF(AND($E118&lt;&gt;"",$E118&lt;=T$2,$F118&gt;=T$2),1,0)</f>
        <v/>
      </c>
      <c r="U118">
        <f>U117+IF(AND($E118&lt;&gt;"",$E118&lt;=U$2,$F118&gt;=U$2),1,0)</f>
        <v/>
      </c>
      <c r="V118">
        <f>V117+IF(AND($E118&lt;&gt;"",$E118&lt;=V$2,$F118&gt;=V$2),1,0)</f>
        <v/>
      </c>
      <c r="W118">
        <f>W117+IF(AND($E118&lt;&gt;"",$E118&lt;=W$2,$F118&gt;=W$2),1,0)</f>
        <v/>
      </c>
      <c r="X118">
        <f>X117+IF(AND($E118&lt;&gt;"",$E118&lt;=X$2,$F118&gt;=X$2),1,0)</f>
        <v/>
      </c>
      <c r="Y118">
        <f>Y117+IF(AND($E118&lt;&gt;"",$E118&lt;=Y$2,$F118&gt;=Y$2),1,0)</f>
        <v/>
      </c>
      <c r="Z118">
        <f>Z117+IF(AND($E118&lt;&gt;"",$E118&lt;=Z$2,$F118&gt;=Z$2),1,0)</f>
        <v/>
      </c>
      <c r="AA118">
        <f>AA117+IF(AND($E118&lt;&gt;"",$E118&lt;=AA$2,$F118&gt;=AA$2),1,0)</f>
        <v/>
      </c>
      <c r="AB118">
        <f>AB117+IF(AND($E118&lt;&gt;"",$E118&lt;=AB$2,$F118&gt;=AB$2),1,0)</f>
        <v/>
      </c>
      <c r="AC118">
        <f>AC117+IF(AND($E118&lt;&gt;"",$E118&lt;=AC$2,$F118&gt;=AC$2),1,0)</f>
        <v/>
      </c>
      <c r="AD118">
        <f>AD117+IF(AND($E118&lt;&gt;"",$E118&lt;=AD$2,$F118&gt;=AD$2),1,0)</f>
        <v/>
      </c>
      <c r="AE118">
        <f>AE117+IF(AND($E118&lt;&gt;"",$E118&lt;=AE$2,$F118&gt;=AE$2),1,0)</f>
        <v/>
      </c>
      <c r="AF118">
        <f>AF117+IF(AND($E118&lt;&gt;"",$E118&lt;=AF$2,$F118&gt;=AF$2),1,0)</f>
        <v/>
      </c>
      <c r="AG118">
        <f>AG117+IF(AND($E118&lt;&gt;"",$E118&lt;=AG$2,$F118&gt;=AG$2),1,0)</f>
        <v/>
      </c>
      <c r="AH118">
        <f>AH117+IF(AND($E118&lt;&gt;"",$E118&lt;=AH$2,$F118&gt;=AH$2),1,0)</f>
        <v/>
      </c>
      <c r="AI118">
        <f>AI117+IF(AND($E118&lt;&gt;"",$E118&lt;=AI$2,$F118&gt;=AI$2),1,0)</f>
        <v/>
      </c>
      <c r="AJ118">
        <f>AJ117+IF(AND($E118&lt;&gt;"",$E118&lt;=AJ$2,$F118&gt;=AJ$2),1,0)</f>
        <v/>
      </c>
      <c r="AK118">
        <f>AK117+IF(AND($E118&lt;&gt;"",$E118&lt;=AK$2,$F118&gt;=AK$2),1,0)</f>
        <v/>
      </c>
      <c r="AL118">
        <f>AL117+IF(AND($E118&lt;&gt;"",$E118&lt;=AL$2,$F118&gt;=AL$2),1,0)</f>
        <v/>
      </c>
      <c r="AM118">
        <f>AM117+IF(AND($E118&lt;&gt;"",$E118&lt;=AM$2,$F118&gt;=AM$2),1,0)</f>
        <v/>
      </c>
      <c r="AN118">
        <f>AN117+IF(AND($E118&lt;&gt;"",$E118&lt;=AN$2,$F118&gt;=AN$2),1,0)</f>
        <v/>
      </c>
      <c r="AO118">
        <f>AO117+IF(AND($E118&lt;&gt;"",$E118&lt;=AO$2,$F118&gt;=AO$2),1,0)</f>
        <v/>
      </c>
      <c r="AP118">
        <f>AP117+IF(AND($E118&lt;&gt;"",$E118&lt;=AP$2,$F118&gt;=AP$2),1,0)</f>
        <v/>
      </c>
      <c r="AQ118">
        <f>AQ117+IF(AND($E118&lt;&gt;"",$E118&lt;=AQ$2,$F118&gt;=AQ$2),1,0)</f>
        <v/>
      </c>
      <c r="AR118">
        <f>AR117+IF(AND($E118&lt;&gt;"",$E118&lt;=AR$2,$F118&gt;=AR$2),1,0)</f>
        <v/>
      </c>
      <c r="AS118">
        <f>AS117+IF(AND($E118&lt;&gt;"",$E118&lt;=AS$2,$F118&gt;=AS$2),1,0)</f>
        <v/>
      </c>
      <c r="AT118">
        <f>AT117+IF(AND($E118&lt;&gt;"",$E118&lt;=AT$2,$F118&gt;=AT$2),1,0)</f>
        <v/>
      </c>
      <c r="AU118">
        <f>AU117+IF(AND($E118&lt;&gt;"",$E118&lt;=AU$2,$F118&gt;=AU$2),1,0)</f>
        <v/>
      </c>
      <c r="AV118">
        <f>AV117+IF(AND($E118&lt;&gt;"",$E118&lt;=AV$2,$F118&gt;=AV$2),1,0)</f>
        <v/>
      </c>
      <c r="AW118">
        <f>AW117+IF(AND($E118&lt;&gt;"",$E118&lt;=AW$2,$F118&gt;=AW$2),1,0)</f>
        <v/>
      </c>
    </row>
    <row r="119">
      <c r="A119">
        <f>IF(AND(ISNUMBER(Events!$A121),ISNUMBER(Events!$B121)),MAX(0,Events!$B121-Events!$A121),0)</f>
        <v/>
      </c>
      <c r="B119">
        <f>IF(ISNUMBER(Events!$A121),DATE(YEAR($B$1)-1,MONTH(Events!$A121),DAY(Events!$A121)),"")</f>
        <v/>
      </c>
      <c r="C119">
        <f>IF(ISNUMBER(Events!$A121),DATE(YEAR($B$1),MONTH(Events!$A121),DAY(Events!$A121)),"")</f>
        <v/>
      </c>
      <c r="D119">
        <f>IF(ISNUMBER(Events!$A121),DATE(YEAR($B$2),MONTH(Events!$A121),DAY(Events!$A121)),"")</f>
        <v/>
      </c>
      <c r="E119">
        <f>IF(OR(NOT(ISNUMBER(Events!$A121)),Events!$G121="No",Calendar!$H$4="None"),"",IF(OR(Calendar!$H$4="All events",Events!$D121=Calendar!$H$4),IF(Events!$E121="Yes",IF(AND(B119&gt;=Events!$A121,B119&lt;=$B$2,B119+$A119&gt;=$B$1),B119,IF(AND(C119&gt;=Events!$A121,C119&lt;=$B$2,C119+$A119&gt;=$B$1),C119,IF(AND(D119&gt;=Events!$A121,D119&lt;=$B$2,D119+$A119&gt;=$B$1),D119,""))),IF(AND(Events!$A121&lt;=$B$2,Events!$A121+$A119&gt;=$B$1),Events!$A121,"")),""))</f>
        <v/>
      </c>
      <c r="F119">
        <f>IF(E119="","",E119+A119)</f>
        <v/>
      </c>
      <c r="G119">
        <f>IF(E119="","",IF(AND(E119&lt;=EOMONTH(Calendar!$K$2,0),F119&gt;=Calendar!$K$2),E119+116/100000,""))</f>
        <v/>
      </c>
      <c r="H119">
        <f>H118+IF(AND($E119&lt;&gt;"",$E119&lt;=H$2,$F119&gt;=H$2),1,0)</f>
        <v/>
      </c>
      <c r="I119">
        <f>I118+IF(AND($E119&lt;&gt;"",$E119&lt;=I$2,$F119&gt;=I$2),1,0)</f>
        <v/>
      </c>
      <c r="J119">
        <f>J118+IF(AND($E119&lt;&gt;"",$E119&lt;=J$2,$F119&gt;=J$2),1,0)</f>
        <v/>
      </c>
      <c r="K119">
        <f>K118+IF(AND($E119&lt;&gt;"",$E119&lt;=K$2,$F119&gt;=K$2),1,0)</f>
        <v/>
      </c>
      <c r="L119">
        <f>L118+IF(AND($E119&lt;&gt;"",$E119&lt;=L$2,$F119&gt;=L$2),1,0)</f>
        <v/>
      </c>
      <c r="M119">
        <f>M118+IF(AND($E119&lt;&gt;"",$E119&lt;=M$2,$F119&gt;=M$2),1,0)</f>
        <v/>
      </c>
      <c r="N119">
        <f>N118+IF(AND($E119&lt;&gt;"",$E119&lt;=N$2,$F119&gt;=N$2),1,0)</f>
        <v/>
      </c>
      <c r="O119">
        <f>O118+IF(AND($E119&lt;&gt;"",$E119&lt;=O$2,$F119&gt;=O$2),1,0)</f>
        <v/>
      </c>
      <c r="P119">
        <f>P118+IF(AND($E119&lt;&gt;"",$E119&lt;=P$2,$F119&gt;=P$2),1,0)</f>
        <v/>
      </c>
      <c r="Q119">
        <f>Q118+IF(AND($E119&lt;&gt;"",$E119&lt;=Q$2,$F119&gt;=Q$2),1,0)</f>
        <v/>
      </c>
      <c r="R119">
        <f>R118+IF(AND($E119&lt;&gt;"",$E119&lt;=R$2,$F119&gt;=R$2),1,0)</f>
        <v/>
      </c>
      <c r="S119">
        <f>S118+IF(AND($E119&lt;&gt;"",$E119&lt;=S$2,$F119&gt;=S$2),1,0)</f>
        <v/>
      </c>
      <c r="T119">
        <f>T118+IF(AND($E119&lt;&gt;"",$E119&lt;=T$2,$F119&gt;=T$2),1,0)</f>
        <v/>
      </c>
      <c r="U119">
        <f>U118+IF(AND($E119&lt;&gt;"",$E119&lt;=U$2,$F119&gt;=U$2),1,0)</f>
        <v/>
      </c>
      <c r="V119">
        <f>V118+IF(AND($E119&lt;&gt;"",$E119&lt;=V$2,$F119&gt;=V$2),1,0)</f>
        <v/>
      </c>
      <c r="W119">
        <f>W118+IF(AND($E119&lt;&gt;"",$E119&lt;=W$2,$F119&gt;=W$2),1,0)</f>
        <v/>
      </c>
      <c r="X119">
        <f>X118+IF(AND($E119&lt;&gt;"",$E119&lt;=X$2,$F119&gt;=X$2),1,0)</f>
        <v/>
      </c>
      <c r="Y119">
        <f>Y118+IF(AND($E119&lt;&gt;"",$E119&lt;=Y$2,$F119&gt;=Y$2),1,0)</f>
        <v/>
      </c>
      <c r="Z119">
        <f>Z118+IF(AND($E119&lt;&gt;"",$E119&lt;=Z$2,$F119&gt;=Z$2),1,0)</f>
        <v/>
      </c>
      <c r="AA119">
        <f>AA118+IF(AND($E119&lt;&gt;"",$E119&lt;=AA$2,$F119&gt;=AA$2),1,0)</f>
        <v/>
      </c>
      <c r="AB119">
        <f>AB118+IF(AND($E119&lt;&gt;"",$E119&lt;=AB$2,$F119&gt;=AB$2),1,0)</f>
        <v/>
      </c>
      <c r="AC119">
        <f>AC118+IF(AND($E119&lt;&gt;"",$E119&lt;=AC$2,$F119&gt;=AC$2),1,0)</f>
        <v/>
      </c>
      <c r="AD119">
        <f>AD118+IF(AND($E119&lt;&gt;"",$E119&lt;=AD$2,$F119&gt;=AD$2),1,0)</f>
        <v/>
      </c>
      <c r="AE119">
        <f>AE118+IF(AND($E119&lt;&gt;"",$E119&lt;=AE$2,$F119&gt;=AE$2),1,0)</f>
        <v/>
      </c>
      <c r="AF119">
        <f>AF118+IF(AND($E119&lt;&gt;"",$E119&lt;=AF$2,$F119&gt;=AF$2),1,0)</f>
        <v/>
      </c>
      <c r="AG119">
        <f>AG118+IF(AND($E119&lt;&gt;"",$E119&lt;=AG$2,$F119&gt;=AG$2),1,0)</f>
        <v/>
      </c>
      <c r="AH119">
        <f>AH118+IF(AND($E119&lt;&gt;"",$E119&lt;=AH$2,$F119&gt;=AH$2),1,0)</f>
        <v/>
      </c>
      <c r="AI119">
        <f>AI118+IF(AND($E119&lt;&gt;"",$E119&lt;=AI$2,$F119&gt;=AI$2),1,0)</f>
        <v/>
      </c>
      <c r="AJ119">
        <f>AJ118+IF(AND($E119&lt;&gt;"",$E119&lt;=AJ$2,$F119&gt;=AJ$2),1,0)</f>
        <v/>
      </c>
      <c r="AK119">
        <f>AK118+IF(AND($E119&lt;&gt;"",$E119&lt;=AK$2,$F119&gt;=AK$2),1,0)</f>
        <v/>
      </c>
      <c r="AL119">
        <f>AL118+IF(AND($E119&lt;&gt;"",$E119&lt;=AL$2,$F119&gt;=AL$2),1,0)</f>
        <v/>
      </c>
      <c r="AM119">
        <f>AM118+IF(AND($E119&lt;&gt;"",$E119&lt;=AM$2,$F119&gt;=AM$2),1,0)</f>
        <v/>
      </c>
      <c r="AN119">
        <f>AN118+IF(AND($E119&lt;&gt;"",$E119&lt;=AN$2,$F119&gt;=AN$2),1,0)</f>
        <v/>
      </c>
      <c r="AO119">
        <f>AO118+IF(AND($E119&lt;&gt;"",$E119&lt;=AO$2,$F119&gt;=AO$2),1,0)</f>
        <v/>
      </c>
      <c r="AP119">
        <f>AP118+IF(AND($E119&lt;&gt;"",$E119&lt;=AP$2,$F119&gt;=AP$2),1,0)</f>
        <v/>
      </c>
      <c r="AQ119">
        <f>AQ118+IF(AND($E119&lt;&gt;"",$E119&lt;=AQ$2,$F119&gt;=AQ$2),1,0)</f>
        <v/>
      </c>
      <c r="AR119">
        <f>AR118+IF(AND($E119&lt;&gt;"",$E119&lt;=AR$2,$F119&gt;=AR$2),1,0)</f>
        <v/>
      </c>
      <c r="AS119">
        <f>AS118+IF(AND($E119&lt;&gt;"",$E119&lt;=AS$2,$F119&gt;=AS$2),1,0)</f>
        <v/>
      </c>
      <c r="AT119">
        <f>AT118+IF(AND($E119&lt;&gt;"",$E119&lt;=AT$2,$F119&gt;=AT$2),1,0)</f>
        <v/>
      </c>
      <c r="AU119">
        <f>AU118+IF(AND($E119&lt;&gt;"",$E119&lt;=AU$2,$F119&gt;=AU$2),1,0)</f>
        <v/>
      </c>
      <c r="AV119">
        <f>AV118+IF(AND($E119&lt;&gt;"",$E119&lt;=AV$2,$F119&gt;=AV$2),1,0)</f>
        <v/>
      </c>
      <c r="AW119">
        <f>AW118+IF(AND($E119&lt;&gt;"",$E119&lt;=AW$2,$F119&gt;=AW$2),1,0)</f>
        <v/>
      </c>
    </row>
    <row r="120">
      <c r="A120">
        <f>IF(AND(ISNUMBER(Events!$A122),ISNUMBER(Events!$B122)),MAX(0,Events!$B122-Events!$A122),0)</f>
        <v/>
      </c>
      <c r="B120">
        <f>IF(ISNUMBER(Events!$A122),DATE(YEAR($B$1)-1,MONTH(Events!$A122),DAY(Events!$A122)),"")</f>
        <v/>
      </c>
      <c r="C120">
        <f>IF(ISNUMBER(Events!$A122),DATE(YEAR($B$1),MONTH(Events!$A122),DAY(Events!$A122)),"")</f>
        <v/>
      </c>
      <c r="D120">
        <f>IF(ISNUMBER(Events!$A122),DATE(YEAR($B$2),MONTH(Events!$A122),DAY(Events!$A122)),"")</f>
        <v/>
      </c>
      <c r="E120">
        <f>IF(OR(NOT(ISNUMBER(Events!$A122)),Events!$G122="No",Calendar!$H$4="None"),"",IF(OR(Calendar!$H$4="All events",Events!$D122=Calendar!$H$4),IF(Events!$E122="Yes",IF(AND(B120&gt;=Events!$A122,B120&lt;=$B$2,B120+$A120&gt;=$B$1),B120,IF(AND(C120&gt;=Events!$A122,C120&lt;=$B$2,C120+$A120&gt;=$B$1),C120,IF(AND(D120&gt;=Events!$A122,D120&lt;=$B$2,D120+$A120&gt;=$B$1),D120,""))),IF(AND(Events!$A122&lt;=$B$2,Events!$A122+$A120&gt;=$B$1),Events!$A122,"")),""))</f>
        <v/>
      </c>
      <c r="F120">
        <f>IF(E120="","",E120+A120)</f>
        <v/>
      </c>
      <c r="G120">
        <f>IF(E120="","",IF(AND(E120&lt;=EOMONTH(Calendar!$K$2,0),F120&gt;=Calendar!$K$2),E120+117/100000,""))</f>
        <v/>
      </c>
      <c r="H120">
        <f>H119+IF(AND($E120&lt;&gt;"",$E120&lt;=H$2,$F120&gt;=H$2),1,0)</f>
        <v/>
      </c>
      <c r="I120">
        <f>I119+IF(AND($E120&lt;&gt;"",$E120&lt;=I$2,$F120&gt;=I$2),1,0)</f>
        <v/>
      </c>
      <c r="J120">
        <f>J119+IF(AND($E120&lt;&gt;"",$E120&lt;=J$2,$F120&gt;=J$2),1,0)</f>
        <v/>
      </c>
      <c r="K120">
        <f>K119+IF(AND($E120&lt;&gt;"",$E120&lt;=K$2,$F120&gt;=K$2),1,0)</f>
        <v/>
      </c>
      <c r="L120">
        <f>L119+IF(AND($E120&lt;&gt;"",$E120&lt;=L$2,$F120&gt;=L$2),1,0)</f>
        <v/>
      </c>
      <c r="M120">
        <f>M119+IF(AND($E120&lt;&gt;"",$E120&lt;=M$2,$F120&gt;=M$2),1,0)</f>
        <v/>
      </c>
      <c r="N120">
        <f>N119+IF(AND($E120&lt;&gt;"",$E120&lt;=N$2,$F120&gt;=N$2),1,0)</f>
        <v/>
      </c>
      <c r="O120">
        <f>O119+IF(AND($E120&lt;&gt;"",$E120&lt;=O$2,$F120&gt;=O$2),1,0)</f>
        <v/>
      </c>
      <c r="P120">
        <f>P119+IF(AND($E120&lt;&gt;"",$E120&lt;=P$2,$F120&gt;=P$2),1,0)</f>
        <v/>
      </c>
      <c r="Q120">
        <f>Q119+IF(AND($E120&lt;&gt;"",$E120&lt;=Q$2,$F120&gt;=Q$2),1,0)</f>
        <v/>
      </c>
      <c r="R120">
        <f>R119+IF(AND($E120&lt;&gt;"",$E120&lt;=R$2,$F120&gt;=R$2),1,0)</f>
        <v/>
      </c>
      <c r="S120">
        <f>S119+IF(AND($E120&lt;&gt;"",$E120&lt;=S$2,$F120&gt;=S$2),1,0)</f>
        <v/>
      </c>
      <c r="T120">
        <f>T119+IF(AND($E120&lt;&gt;"",$E120&lt;=T$2,$F120&gt;=T$2),1,0)</f>
        <v/>
      </c>
      <c r="U120">
        <f>U119+IF(AND($E120&lt;&gt;"",$E120&lt;=U$2,$F120&gt;=U$2),1,0)</f>
        <v/>
      </c>
      <c r="V120">
        <f>V119+IF(AND($E120&lt;&gt;"",$E120&lt;=V$2,$F120&gt;=V$2),1,0)</f>
        <v/>
      </c>
      <c r="W120">
        <f>W119+IF(AND($E120&lt;&gt;"",$E120&lt;=W$2,$F120&gt;=W$2),1,0)</f>
        <v/>
      </c>
      <c r="X120">
        <f>X119+IF(AND($E120&lt;&gt;"",$E120&lt;=X$2,$F120&gt;=X$2),1,0)</f>
        <v/>
      </c>
      <c r="Y120">
        <f>Y119+IF(AND($E120&lt;&gt;"",$E120&lt;=Y$2,$F120&gt;=Y$2),1,0)</f>
        <v/>
      </c>
      <c r="Z120">
        <f>Z119+IF(AND($E120&lt;&gt;"",$E120&lt;=Z$2,$F120&gt;=Z$2),1,0)</f>
        <v/>
      </c>
      <c r="AA120">
        <f>AA119+IF(AND($E120&lt;&gt;"",$E120&lt;=AA$2,$F120&gt;=AA$2),1,0)</f>
        <v/>
      </c>
      <c r="AB120">
        <f>AB119+IF(AND($E120&lt;&gt;"",$E120&lt;=AB$2,$F120&gt;=AB$2),1,0)</f>
        <v/>
      </c>
      <c r="AC120">
        <f>AC119+IF(AND($E120&lt;&gt;"",$E120&lt;=AC$2,$F120&gt;=AC$2),1,0)</f>
        <v/>
      </c>
      <c r="AD120">
        <f>AD119+IF(AND($E120&lt;&gt;"",$E120&lt;=AD$2,$F120&gt;=AD$2),1,0)</f>
        <v/>
      </c>
      <c r="AE120">
        <f>AE119+IF(AND($E120&lt;&gt;"",$E120&lt;=AE$2,$F120&gt;=AE$2),1,0)</f>
        <v/>
      </c>
      <c r="AF120">
        <f>AF119+IF(AND($E120&lt;&gt;"",$E120&lt;=AF$2,$F120&gt;=AF$2),1,0)</f>
        <v/>
      </c>
      <c r="AG120">
        <f>AG119+IF(AND($E120&lt;&gt;"",$E120&lt;=AG$2,$F120&gt;=AG$2),1,0)</f>
        <v/>
      </c>
      <c r="AH120">
        <f>AH119+IF(AND($E120&lt;&gt;"",$E120&lt;=AH$2,$F120&gt;=AH$2),1,0)</f>
        <v/>
      </c>
      <c r="AI120">
        <f>AI119+IF(AND($E120&lt;&gt;"",$E120&lt;=AI$2,$F120&gt;=AI$2),1,0)</f>
        <v/>
      </c>
      <c r="AJ120">
        <f>AJ119+IF(AND($E120&lt;&gt;"",$E120&lt;=AJ$2,$F120&gt;=AJ$2),1,0)</f>
        <v/>
      </c>
      <c r="AK120">
        <f>AK119+IF(AND($E120&lt;&gt;"",$E120&lt;=AK$2,$F120&gt;=AK$2),1,0)</f>
        <v/>
      </c>
      <c r="AL120">
        <f>AL119+IF(AND($E120&lt;&gt;"",$E120&lt;=AL$2,$F120&gt;=AL$2),1,0)</f>
        <v/>
      </c>
      <c r="AM120">
        <f>AM119+IF(AND($E120&lt;&gt;"",$E120&lt;=AM$2,$F120&gt;=AM$2),1,0)</f>
        <v/>
      </c>
      <c r="AN120">
        <f>AN119+IF(AND($E120&lt;&gt;"",$E120&lt;=AN$2,$F120&gt;=AN$2),1,0)</f>
        <v/>
      </c>
      <c r="AO120">
        <f>AO119+IF(AND($E120&lt;&gt;"",$E120&lt;=AO$2,$F120&gt;=AO$2),1,0)</f>
        <v/>
      </c>
      <c r="AP120">
        <f>AP119+IF(AND($E120&lt;&gt;"",$E120&lt;=AP$2,$F120&gt;=AP$2),1,0)</f>
        <v/>
      </c>
      <c r="AQ120">
        <f>AQ119+IF(AND($E120&lt;&gt;"",$E120&lt;=AQ$2,$F120&gt;=AQ$2),1,0)</f>
        <v/>
      </c>
      <c r="AR120">
        <f>AR119+IF(AND($E120&lt;&gt;"",$E120&lt;=AR$2,$F120&gt;=AR$2),1,0)</f>
        <v/>
      </c>
      <c r="AS120">
        <f>AS119+IF(AND($E120&lt;&gt;"",$E120&lt;=AS$2,$F120&gt;=AS$2),1,0)</f>
        <v/>
      </c>
      <c r="AT120">
        <f>AT119+IF(AND($E120&lt;&gt;"",$E120&lt;=AT$2,$F120&gt;=AT$2),1,0)</f>
        <v/>
      </c>
      <c r="AU120">
        <f>AU119+IF(AND($E120&lt;&gt;"",$E120&lt;=AU$2,$F120&gt;=AU$2),1,0)</f>
        <v/>
      </c>
      <c r="AV120">
        <f>AV119+IF(AND($E120&lt;&gt;"",$E120&lt;=AV$2,$F120&gt;=AV$2),1,0)</f>
        <v/>
      </c>
      <c r="AW120">
        <f>AW119+IF(AND($E120&lt;&gt;"",$E120&lt;=AW$2,$F120&gt;=AW$2),1,0)</f>
        <v/>
      </c>
    </row>
    <row r="121">
      <c r="A121">
        <f>IF(AND(ISNUMBER(Events!$A123),ISNUMBER(Events!$B123)),MAX(0,Events!$B123-Events!$A123),0)</f>
        <v/>
      </c>
      <c r="B121">
        <f>IF(ISNUMBER(Events!$A123),DATE(YEAR($B$1)-1,MONTH(Events!$A123),DAY(Events!$A123)),"")</f>
        <v/>
      </c>
      <c r="C121">
        <f>IF(ISNUMBER(Events!$A123),DATE(YEAR($B$1),MONTH(Events!$A123),DAY(Events!$A123)),"")</f>
        <v/>
      </c>
      <c r="D121">
        <f>IF(ISNUMBER(Events!$A123),DATE(YEAR($B$2),MONTH(Events!$A123),DAY(Events!$A123)),"")</f>
        <v/>
      </c>
      <c r="E121">
        <f>IF(OR(NOT(ISNUMBER(Events!$A123)),Events!$G123="No",Calendar!$H$4="None"),"",IF(OR(Calendar!$H$4="All events",Events!$D123=Calendar!$H$4),IF(Events!$E123="Yes",IF(AND(B121&gt;=Events!$A123,B121&lt;=$B$2,B121+$A121&gt;=$B$1),B121,IF(AND(C121&gt;=Events!$A123,C121&lt;=$B$2,C121+$A121&gt;=$B$1),C121,IF(AND(D121&gt;=Events!$A123,D121&lt;=$B$2,D121+$A121&gt;=$B$1),D121,""))),IF(AND(Events!$A123&lt;=$B$2,Events!$A123+$A121&gt;=$B$1),Events!$A123,"")),""))</f>
        <v/>
      </c>
      <c r="F121">
        <f>IF(E121="","",E121+A121)</f>
        <v/>
      </c>
      <c r="G121">
        <f>IF(E121="","",IF(AND(E121&lt;=EOMONTH(Calendar!$K$2,0),F121&gt;=Calendar!$K$2),E121+118/100000,""))</f>
        <v/>
      </c>
      <c r="H121">
        <f>H120+IF(AND($E121&lt;&gt;"",$E121&lt;=H$2,$F121&gt;=H$2),1,0)</f>
        <v/>
      </c>
      <c r="I121">
        <f>I120+IF(AND($E121&lt;&gt;"",$E121&lt;=I$2,$F121&gt;=I$2),1,0)</f>
        <v/>
      </c>
      <c r="J121">
        <f>J120+IF(AND($E121&lt;&gt;"",$E121&lt;=J$2,$F121&gt;=J$2),1,0)</f>
        <v/>
      </c>
      <c r="K121">
        <f>K120+IF(AND($E121&lt;&gt;"",$E121&lt;=K$2,$F121&gt;=K$2),1,0)</f>
        <v/>
      </c>
      <c r="L121">
        <f>L120+IF(AND($E121&lt;&gt;"",$E121&lt;=L$2,$F121&gt;=L$2),1,0)</f>
        <v/>
      </c>
      <c r="M121">
        <f>M120+IF(AND($E121&lt;&gt;"",$E121&lt;=M$2,$F121&gt;=M$2),1,0)</f>
        <v/>
      </c>
      <c r="N121">
        <f>N120+IF(AND($E121&lt;&gt;"",$E121&lt;=N$2,$F121&gt;=N$2),1,0)</f>
        <v/>
      </c>
      <c r="O121">
        <f>O120+IF(AND($E121&lt;&gt;"",$E121&lt;=O$2,$F121&gt;=O$2),1,0)</f>
        <v/>
      </c>
      <c r="P121">
        <f>P120+IF(AND($E121&lt;&gt;"",$E121&lt;=P$2,$F121&gt;=P$2),1,0)</f>
        <v/>
      </c>
      <c r="Q121">
        <f>Q120+IF(AND($E121&lt;&gt;"",$E121&lt;=Q$2,$F121&gt;=Q$2),1,0)</f>
        <v/>
      </c>
      <c r="R121">
        <f>R120+IF(AND($E121&lt;&gt;"",$E121&lt;=R$2,$F121&gt;=R$2),1,0)</f>
        <v/>
      </c>
      <c r="S121">
        <f>S120+IF(AND($E121&lt;&gt;"",$E121&lt;=S$2,$F121&gt;=S$2),1,0)</f>
        <v/>
      </c>
      <c r="T121">
        <f>T120+IF(AND($E121&lt;&gt;"",$E121&lt;=T$2,$F121&gt;=T$2),1,0)</f>
        <v/>
      </c>
      <c r="U121">
        <f>U120+IF(AND($E121&lt;&gt;"",$E121&lt;=U$2,$F121&gt;=U$2),1,0)</f>
        <v/>
      </c>
      <c r="V121">
        <f>V120+IF(AND($E121&lt;&gt;"",$E121&lt;=V$2,$F121&gt;=V$2),1,0)</f>
        <v/>
      </c>
      <c r="W121">
        <f>W120+IF(AND($E121&lt;&gt;"",$E121&lt;=W$2,$F121&gt;=W$2),1,0)</f>
        <v/>
      </c>
      <c r="X121">
        <f>X120+IF(AND($E121&lt;&gt;"",$E121&lt;=X$2,$F121&gt;=X$2),1,0)</f>
        <v/>
      </c>
      <c r="Y121">
        <f>Y120+IF(AND($E121&lt;&gt;"",$E121&lt;=Y$2,$F121&gt;=Y$2),1,0)</f>
        <v/>
      </c>
      <c r="Z121">
        <f>Z120+IF(AND($E121&lt;&gt;"",$E121&lt;=Z$2,$F121&gt;=Z$2),1,0)</f>
        <v/>
      </c>
      <c r="AA121">
        <f>AA120+IF(AND($E121&lt;&gt;"",$E121&lt;=AA$2,$F121&gt;=AA$2),1,0)</f>
        <v/>
      </c>
      <c r="AB121">
        <f>AB120+IF(AND($E121&lt;&gt;"",$E121&lt;=AB$2,$F121&gt;=AB$2),1,0)</f>
        <v/>
      </c>
      <c r="AC121">
        <f>AC120+IF(AND($E121&lt;&gt;"",$E121&lt;=AC$2,$F121&gt;=AC$2),1,0)</f>
        <v/>
      </c>
      <c r="AD121">
        <f>AD120+IF(AND($E121&lt;&gt;"",$E121&lt;=AD$2,$F121&gt;=AD$2),1,0)</f>
        <v/>
      </c>
      <c r="AE121">
        <f>AE120+IF(AND($E121&lt;&gt;"",$E121&lt;=AE$2,$F121&gt;=AE$2),1,0)</f>
        <v/>
      </c>
      <c r="AF121">
        <f>AF120+IF(AND($E121&lt;&gt;"",$E121&lt;=AF$2,$F121&gt;=AF$2),1,0)</f>
        <v/>
      </c>
      <c r="AG121">
        <f>AG120+IF(AND($E121&lt;&gt;"",$E121&lt;=AG$2,$F121&gt;=AG$2),1,0)</f>
        <v/>
      </c>
      <c r="AH121">
        <f>AH120+IF(AND($E121&lt;&gt;"",$E121&lt;=AH$2,$F121&gt;=AH$2),1,0)</f>
        <v/>
      </c>
      <c r="AI121">
        <f>AI120+IF(AND($E121&lt;&gt;"",$E121&lt;=AI$2,$F121&gt;=AI$2),1,0)</f>
        <v/>
      </c>
      <c r="AJ121">
        <f>AJ120+IF(AND($E121&lt;&gt;"",$E121&lt;=AJ$2,$F121&gt;=AJ$2),1,0)</f>
        <v/>
      </c>
      <c r="AK121">
        <f>AK120+IF(AND($E121&lt;&gt;"",$E121&lt;=AK$2,$F121&gt;=AK$2),1,0)</f>
        <v/>
      </c>
      <c r="AL121">
        <f>AL120+IF(AND($E121&lt;&gt;"",$E121&lt;=AL$2,$F121&gt;=AL$2),1,0)</f>
        <v/>
      </c>
      <c r="AM121">
        <f>AM120+IF(AND($E121&lt;&gt;"",$E121&lt;=AM$2,$F121&gt;=AM$2),1,0)</f>
        <v/>
      </c>
      <c r="AN121">
        <f>AN120+IF(AND($E121&lt;&gt;"",$E121&lt;=AN$2,$F121&gt;=AN$2),1,0)</f>
        <v/>
      </c>
      <c r="AO121">
        <f>AO120+IF(AND($E121&lt;&gt;"",$E121&lt;=AO$2,$F121&gt;=AO$2),1,0)</f>
        <v/>
      </c>
      <c r="AP121">
        <f>AP120+IF(AND($E121&lt;&gt;"",$E121&lt;=AP$2,$F121&gt;=AP$2),1,0)</f>
        <v/>
      </c>
      <c r="AQ121">
        <f>AQ120+IF(AND($E121&lt;&gt;"",$E121&lt;=AQ$2,$F121&gt;=AQ$2),1,0)</f>
        <v/>
      </c>
      <c r="AR121">
        <f>AR120+IF(AND($E121&lt;&gt;"",$E121&lt;=AR$2,$F121&gt;=AR$2),1,0)</f>
        <v/>
      </c>
      <c r="AS121">
        <f>AS120+IF(AND($E121&lt;&gt;"",$E121&lt;=AS$2,$F121&gt;=AS$2),1,0)</f>
        <v/>
      </c>
      <c r="AT121">
        <f>AT120+IF(AND($E121&lt;&gt;"",$E121&lt;=AT$2,$F121&gt;=AT$2),1,0)</f>
        <v/>
      </c>
      <c r="AU121">
        <f>AU120+IF(AND($E121&lt;&gt;"",$E121&lt;=AU$2,$F121&gt;=AU$2),1,0)</f>
        <v/>
      </c>
      <c r="AV121">
        <f>AV120+IF(AND($E121&lt;&gt;"",$E121&lt;=AV$2,$F121&gt;=AV$2),1,0)</f>
        <v/>
      </c>
      <c r="AW121">
        <f>AW120+IF(AND($E121&lt;&gt;"",$E121&lt;=AW$2,$F121&gt;=AW$2),1,0)</f>
        <v/>
      </c>
    </row>
    <row r="122">
      <c r="A122">
        <f>IF(AND(ISNUMBER(Events!$A124),ISNUMBER(Events!$B124)),MAX(0,Events!$B124-Events!$A124),0)</f>
        <v/>
      </c>
      <c r="B122">
        <f>IF(ISNUMBER(Events!$A124),DATE(YEAR($B$1)-1,MONTH(Events!$A124),DAY(Events!$A124)),"")</f>
        <v/>
      </c>
      <c r="C122">
        <f>IF(ISNUMBER(Events!$A124),DATE(YEAR($B$1),MONTH(Events!$A124),DAY(Events!$A124)),"")</f>
        <v/>
      </c>
      <c r="D122">
        <f>IF(ISNUMBER(Events!$A124),DATE(YEAR($B$2),MONTH(Events!$A124),DAY(Events!$A124)),"")</f>
        <v/>
      </c>
      <c r="E122">
        <f>IF(OR(NOT(ISNUMBER(Events!$A124)),Events!$G124="No",Calendar!$H$4="None"),"",IF(OR(Calendar!$H$4="All events",Events!$D124=Calendar!$H$4),IF(Events!$E124="Yes",IF(AND(B122&gt;=Events!$A124,B122&lt;=$B$2,B122+$A122&gt;=$B$1),B122,IF(AND(C122&gt;=Events!$A124,C122&lt;=$B$2,C122+$A122&gt;=$B$1),C122,IF(AND(D122&gt;=Events!$A124,D122&lt;=$B$2,D122+$A122&gt;=$B$1),D122,""))),IF(AND(Events!$A124&lt;=$B$2,Events!$A124+$A122&gt;=$B$1),Events!$A124,"")),""))</f>
        <v/>
      </c>
      <c r="F122">
        <f>IF(E122="","",E122+A122)</f>
        <v/>
      </c>
      <c r="G122">
        <f>IF(E122="","",IF(AND(E122&lt;=EOMONTH(Calendar!$K$2,0),F122&gt;=Calendar!$K$2),E122+119/100000,""))</f>
        <v/>
      </c>
      <c r="H122">
        <f>H121+IF(AND($E122&lt;&gt;"",$E122&lt;=H$2,$F122&gt;=H$2),1,0)</f>
        <v/>
      </c>
      <c r="I122">
        <f>I121+IF(AND($E122&lt;&gt;"",$E122&lt;=I$2,$F122&gt;=I$2),1,0)</f>
        <v/>
      </c>
      <c r="J122">
        <f>J121+IF(AND($E122&lt;&gt;"",$E122&lt;=J$2,$F122&gt;=J$2),1,0)</f>
        <v/>
      </c>
      <c r="K122">
        <f>K121+IF(AND($E122&lt;&gt;"",$E122&lt;=K$2,$F122&gt;=K$2),1,0)</f>
        <v/>
      </c>
      <c r="L122">
        <f>L121+IF(AND($E122&lt;&gt;"",$E122&lt;=L$2,$F122&gt;=L$2),1,0)</f>
        <v/>
      </c>
      <c r="M122">
        <f>M121+IF(AND($E122&lt;&gt;"",$E122&lt;=M$2,$F122&gt;=M$2),1,0)</f>
        <v/>
      </c>
      <c r="N122">
        <f>N121+IF(AND($E122&lt;&gt;"",$E122&lt;=N$2,$F122&gt;=N$2),1,0)</f>
        <v/>
      </c>
      <c r="O122">
        <f>O121+IF(AND($E122&lt;&gt;"",$E122&lt;=O$2,$F122&gt;=O$2),1,0)</f>
        <v/>
      </c>
      <c r="P122">
        <f>P121+IF(AND($E122&lt;&gt;"",$E122&lt;=P$2,$F122&gt;=P$2),1,0)</f>
        <v/>
      </c>
      <c r="Q122">
        <f>Q121+IF(AND($E122&lt;&gt;"",$E122&lt;=Q$2,$F122&gt;=Q$2),1,0)</f>
        <v/>
      </c>
      <c r="R122">
        <f>R121+IF(AND($E122&lt;&gt;"",$E122&lt;=R$2,$F122&gt;=R$2),1,0)</f>
        <v/>
      </c>
      <c r="S122">
        <f>S121+IF(AND($E122&lt;&gt;"",$E122&lt;=S$2,$F122&gt;=S$2),1,0)</f>
        <v/>
      </c>
      <c r="T122">
        <f>T121+IF(AND($E122&lt;&gt;"",$E122&lt;=T$2,$F122&gt;=T$2),1,0)</f>
        <v/>
      </c>
      <c r="U122">
        <f>U121+IF(AND($E122&lt;&gt;"",$E122&lt;=U$2,$F122&gt;=U$2),1,0)</f>
        <v/>
      </c>
      <c r="V122">
        <f>V121+IF(AND($E122&lt;&gt;"",$E122&lt;=V$2,$F122&gt;=V$2),1,0)</f>
        <v/>
      </c>
      <c r="W122">
        <f>W121+IF(AND($E122&lt;&gt;"",$E122&lt;=W$2,$F122&gt;=W$2),1,0)</f>
        <v/>
      </c>
      <c r="X122">
        <f>X121+IF(AND($E122&lt;&gt;"",$E122&lt;=X$2,$F122&gt;=X$2),1,0)</f>
        <v/>
      </c>
      <c r="Y122">
        <f>Y121+IF(AND($E122&lt;&gt;"",$E122&lt;=Y$2,$F122&gt;=Y$2),1,0)</f>
        <v/>
      </c>
      <c r="Z122">
        <f>Z121+IF(AND($E122&lt;&gt;"",$E122&lt;=Z$2,$F122&gt;=Z$2),1,0)</f>
        <v/>
      </c>
      <c r="AA122">
        <f>AA121+IF(AND($E122&lt;&gt;"",$E122&lt;=AA$2,$F122&gt;=AA$2),1,0)</f>
        <v/>
      </c>
      <c r="AB122">
        <f>AB121+IF(AND($E122&lt;&gt;"",$E122&lt;=AB$2,$F122&gt;=AB$2),1,0)</f>
        <v/>
      </c>
      <c r="AC122">
        <f>AC121+IF(AND($E122&lt;&gt;"",$E122&lt;=AC$2,$F122&gt;=AC$2),1,0)</f>
        <v/>
      </c>
      <c r="AD122">
        <f>AD121+IF(AND($E122&lt;&gt;"",$E122&lt;=AD$2,$F122&gt;=AD$2),1,0)</f>
        <v/>
      </c>
      <c r="AE122">
        <f>AE121+IF(AND($E122&lt;&gt;"",$E122&lt;=AE$2,$F122&gt;=AE$2),1,0)</f>
        <v/>
      </c>
      <c r="AF122">
        <f>AF121+IF(AND($E122&lt;&gt;"",$E122&lt;=AF$2,$F122&gt;=AF$2),1,0)</f>
        <v/>
      </c>
      <c r="AG122">
        <f>AG121+IF(AND($E122&lt;&gt;"",$E122&lt;=AG$2,$F122&gt;=AG$2),1,0)</f>
        <v/>
      </c>
      <c r="AH122">
        <f>AH121+IF(AND($E122&lt;&gt;"",$E122&lt;=AH$2,$F122&gt;=AH$2),1,0)</f>
        <v/>
      </c>
      <c r="AI122">
        <f>AI121+IF(AND($E122&lt;&gt;"",$E122&lt;=AI$2,$F122&gt;=AI$2),1,0)</f>
        <v/>
      </c>
      <c r="AJ122">
        <f>AJ121+IF(AND($E122&lt;&gt;"",$E122&lt;=AJ$2,$F122&gt;=AJ$2),1,0)</f>
        <v/>
      </c>
      <c r="AK122">
        <f>AK121+IF(AND($E122&lt;&gt;"",$E122&lt;=AK$2,$F122&gt;=AK$2),1,0)</f>
        <v/>
      </c>
      <c r="AL122">
        <f>AL121+IF(AND($E122&lt;&gt;"",$E122&lt;=AL$2,$F122&gt;=AL$2),1,0)</f>
        <v/>
      </c>
      <c r="AM122">
        <f>AM121+IF(AND($E122&lt;&gt;"",$E122&lt;=AM$2,$F122&gt;=AM$2),1,0)</f>
        <v/>
      </c>
      <c r="AN122">
        <f>AN121+IF(AND($E122&lt;&gt;"",$E122&lt;=AN$2,$F122&gt;=AN$2),1,0)</f>
        <v/>
      </c>
      <c r="AO122">
        <f>AO121+IF(AND($E122&lt;&gt;"",$E122&lt;=AO$2,$F122&gt;=AO$2),1,0)</f>
        <v/>
      </c>
      <c r="AP122">
        <f>AP121+IF(AND($E122&lt;&gt;"",$E122&lt;=AP$2,$F122&gt;=AP$2),1,0)</f>
        <v/>
      </c>
      <c r="AQ122">
        <f>AQ121+IF(AND($E122&lt;&gt;"",$E122&lt;=AQ$2,$F122&gt;=AQ$2),1,0)</f>
        <v/>
      </c>
      <c r="AR122">
        <f>AR121+IF(AND($E122&lt;&gt;"",$E122&lt;=AR$2,$F122&gt;=AR$2),1,0)</f>
        <v/>
      </c>
      <c r="AS122">
        <f>AS121+IF(AND($E122&lt;&gt;"",$E122&lt;=AS$2,$F122&gt;=AS$2),1,0)</f>
        <v/>
      </c>
      <c r="AT122">
        <f>AT121+IF(AND($E122&lt;&gt;"",$E122&lt;=AT$2,$F122&gt;=AT$2),1,0)</f>
        <v/>
      </c>
      <c r="AU122">
        <f>AU121+IF(AND($E122&lt;&gt;"",$E122&lt;=AU$2,$F122&gt;=AU$2),1,0)</f>
        <v/>
      </c>
      <c r="AV122">
        <f>AV121+IF(AND($E122&lt;&gt;"",$E122&lt;=AV$2,$F122&gt;=AV$2),1,0)</f>
        <v/>
      </c>
      <c r="AW122">
        <f>AW121+IF(AND($E122&lt;&gt;"",$E122&lt;=AW$2,$F122&gt;=AW$2),1,0)</f>
        <v/>
      </c>
    </row>
    <row r="123">
      <c r="A123">
        <f>IF(AND(ISNUMBER(Events!$A125),ISNUMBER(Events!$B125)),MAX(0,Events!$B125-Events!$A125),0)</f>
        <v/>
      </c>
      <c r="B123">
        <f>IF(ISNUMBER(Events!$A125),DATE(YEAR($B$1)-1,MONTH(Events!$A125),DAY(Events!$A125)),"")</f>
        <v/>
      </c>
      <c r="C123">
        <f>IF(ISNUMBER(Events!$A125),DATE(YEAR($B$1),MONTH(Events!$A125),DAY(Events!$A125)),"")</f>
        <v/>
      </c>
      <c r="D123">
        <f>IF(ISNUMBER(Events!$A125),DATE(YEAR($B$2),MONTH(Events!$A125),DAY(Events!$A125)),"")</f>
        <v/>
      </c>
      <c r="E123">
        <f>IF(OR(NOT(ISNUMBER(Events!$A125)),Events!$G125="No",Calendar!$H$4="None"),"",IF(OR(Calendar!$H$4="All events",Events!$D125=Calendar!$H$4),IF(Events!$E125="Yes",IF(AND(B123&gt;=Events!$A125,B123&lt;=$B$2,B123+$A123&gt;=$B$1),B123,IF(AND(C123&gt;=Events!$A125,C123&lt;=$B$2,C123+$A123&gt;=$B$1),C123,IF(AND(D123&gt;=Events!$A125,D123&lt;=$B$2,D123+$A123&gt;=$B$1),D123,""))),IF(AND(Events!$A125&lt;=$B$2,Events!$A125+$A123&gt;=$B$1),Events!$A125,"")),""))</f>
        <v/>
      </c>
      <c r="F123">
        <f>IF(E123="","",E123+A123)</f>
        <v/>
      </c>
      <c r="G123">
        <f>IF(E123="","",IF(AND(E123&lt;=EOMONTH(Calendar!$K$2,0),F123&gt;=Calendar!$K$2),E123+120/100000,""))</f>
        <v/>
      </c>
      <c r="H123">
        <f>H122+IF(AND($E123&lt;&gt;"",$E123&lt;=H$2,$F123&gt;=H$2),1,0)</f>
        <v/>
      </c>
      <c r="I123">
        <f>I122+IF(AND($E123&lt;&gt;"",$E123&lt;=I$2,$F123&gt;=I$2),1,0)</f>
        <v/>
      </c>
      <c r="J123">
        <f>J122+IF(AND($E123&lt;&gt;"",$E123&lt;=J$2,$F123&gt;=J$2),1,0)</f>
        <v/>
      </c>
      <c r="K123">
        <f>K122+IF(AND($E123&lt;&gt;"",$E123&lt;=K$2,$F123&gt;=K$2),1,0)</f>
        <v/>
      </c>
      <c r="L123">
        <f>L122+IF(AND($E123&lt;&gt;"",$E123&lt;=L$2,$F123&gt;=L$2),1,0)</f>
        <v/>
      </c>
      <c r="M123">
        <f>M122+IF(AND($E123&lt;&gt;"",$E123&lt;=M$2,$F123&gt;=M$2),1,0)</f>
        <v/>
      </c>
      <c r="N123">
        <f>N122+IF(AND($E123&lt;&gt;"",$E123&lt;=N$2,$F123&gt;=N$2),1,0)</f>
        <v/>
      </c>
      <c r="O123">
        <f>O122+IF(AND($E123&lt;&gt;"",$E123&lt;=O$2,$F123&gt;=O$2),1,0)</f>
        <v/>
      </c>
      <c r="P123">
        <f>P122+IF(AND($E123&lt;&gt;"",$E123&lt;=P$2,$F123&gt;=P$2),1,0)</f>
        <v/>
      </c>
      <c r="Q123">
        <f>Q122+IF(AND($E123&lt;&gt;"",$E123&lt;=Q$2,$F123&gt;=Q$2),1,0)</f>
        <v/>
      </c>
      <c r="R123">
        <f>R122+IF(AND($E123&lt;&gt;"",$E123&lt;=R$2,$F123&gt;=R$2),1,0)</f>
        <v/>
      </c>
      <c r="S123">
        <f>S122+IF(AND($E123&lt;&gt;"",$E123&lt;=S$2,$F123&gt;=S$2),1,0)</f>
        <v/>
      </c>
      <c r="T123">
        <f>T122+IF(AND($E123&lt;&gt;"",$E123&lt;=T$2,$F123&gt;=T$2),1,0)</f>
        <v/>
      </c>
      <c r="U123">
        <f>U122+IF(AND($E123&lt;&gt;"",$E123&lt;=U$2,$F123&gt;=U$2),1,0)</f>
        <v/>
      </c>
      <c r="V123">
        <f>V122+IF(AND($E123&lt;&gt;"",$E123&lt;=V$2,$F123&gt;=V$2),1,0)</f>
        <v/>
      </c>
      <c r="W123">
        <f>W122+IF(AND($E123&lt;&gt;"",$E123&lt;=W$2,$F123&gt;=W$2),1,0)</f>
        <v/>
      </c>
      <c r="X123">
        <f>X122+IF(AND($E123&lt;&gt;"",$E123&lt;=X$2,$F123&gt;=X$2),1,0)</f>
        <v/>
      </c>
      <c r="Y123">
        <f>Y122+IF(AND($E123&lt;&gt;"",$E123&lt;=Y$2,$F123&gt;=Y$2),1,0)</f>
        <v/>
      </c>
      <c r="Z123">
        <f>Z122+IF(AND($E123&lt;&gt;"",$E123&lt;=Z$2,$F123&gt;=Z$2),1,0)</f>
        <v/>
      </c>
      <c r="AA123">
        <f>AA122+IF(AND($E123&lt;&gt;"",$E123&lt;=AA$2,$F123&gt;=AA$2),1,0)</f>
        <v/>
      </c>
      <c r="AB123">
        <f>AB122+IF(AND($E123&lt;&gt;"",$E123&lt;=AB$2,$F123&gt;=AB$2),1,0)</f>
        <v/>
      </c>
      <c r="AC123">
        <f>AC122+IF(AND($E123&lt;&gt;"",$E123&lt;=AC$2,$F123&gt;=AC$2),1,0)</f>
        <v/>
      </c>
      <c r="AD123">
        <f>AD122+IF(AND($E123&lt;&gt;"",$E123&lt;=AD$2,$F123&gt;=AD$2),1,0)</f>
        <v/>
      </c>
      <c r="AE123">
        <f>AE122+IF(AND($E123&lt;&gt;"",$E123&lt;=AE$2,$F123&gt;=AE$2),1,0)</f>
        <v/>
      </c>
      <c r="AF123">
        <f>AF122+IF(AND($E123&lt;&gt;"",$E123&lt;=AF$2,$F123&gt;=AF$2),1,0)</f>
        <v/>
      </c>
      <c r="AG123">
        <f>AG122+IF(AND($E123&lt;&gt;"",$E123&lt;=AG$2,$F123&gt;=AG$2),1,0)</f>
        <v/>
      </c>
      <c r="AH123">
        <f>AH122+IF(AND($E123&lt;&gt;"",$E123&lt;=AH$2,$F123&gt;=AH$2),1,0)</f>
        <v/>
      </c>
      <c r="AI123">
        <f>AI122+IF(AND($E123&lt;&gt;"",$E123&lt;=AI$2,$F123&gt;=AI$2),1,0)</f>
        <v/>
      </c>
      <c r="AJ123">
        <f>AJ122+IF(AND($E123&lt;&gt;"",$E123&lt;=AJ$2,$F123&gt;=AJ$2),1,0)</f>
        <v/>
      </c>
      <c r="AK123">
        <f>AK122+IF(AND($E123&lt;&gt;"",$E123&lt;=AK$2,$F123&gt;=AK$2),1,0)</f>
        <v/>
      </c>
      <c r="AL123">
        <f>AL122+IF(AND($E123&lt;&gt;"",$E123&lt;=AL$2,$F123&gt;=AL$2),1,0)</f>
        <v/>
      </c>
      <c r="AM123">
        <f>AM122+IF(AND($E123&lt;&gt;"",$E123&lt;=AM$2,$F123&gt;=AM$2),1,0)</f>
        <v/>
      </c>
      <c r="AN123">
        <f>AN122+IF(AND($E123&lt;&gt;"",$E123&lt;=AN$2,$F123&gt;=AN$2),1,0)</f>
        <v/>
      </c>
      <c r="AO123">
        <f>AO122+IF(AND($E123&lt;&gt;"",$E123&lt;=AO$2,$F123&gt;=AO$2),1,0)</f>
        <v/>
      </c>
      <c r="AP123">
        <f>AP122+IF(AND($E123&lt;&gt;"",$E123&lt;=AP$2,$F123&gt;=AP$2),1,0)</f>
        <v/>
      </c>
      <c r="AQ123">
        <f>AQ122+IF(AND($E123&lt;&gt;"",$E123&lt;=AQ$2,$F123&gt;=AQ$2),1,0)</f>
        <v/>
      </c>
      <c r="AR123">
        <f>AR122+IF(AND($E123&lt;&gt;"",$E123&lt;=AR$2,$F123&gt;=AR$2),1,0)</f>
        <v/>
      </c>
      <c r="AS123">
        <f>AS122+IF(AND($E123&lt;&gt;"",$E123&lt;=AS$2,$F123&gt;=AS$2),1,0)</f>
        <v/>
      </c>
      <c r="AT123">
        <f>AT122+IF(AND($E123&lt;&gt;"",$E123&lt;=AT$2,$F123&gt;=AT$2),1,0)</f>
        <v/>
      </c>
      <c r="AU123">
        <f>AU122+IF(AND($E123&lt;&gt;"",$E123&lt;=AU$2,$F123&gt;=AU$2),1,0)</f>
        <v/>
      </c>
      <c r="AV123">
        <f>AV122+IF(AND($E123&lt;&gt;"",$E123&lt;=AV$2,$F123&gt;=AV$2),1,0)</f>
        <v/>
      </c>
      <c r="AW123">
        <f>AW122+IF(AND($E123&lt;&gt;"",$E123&lt;=AW$2,$F123&gt;=AW$2),1,0)</f>
        <v/>
      </c>
    </row>
    <row r="124">
      <c r="A124">
        <f>IF(AND(ISNUMBER(Events!$A126),ISNUMBER(Events!$B126)),MAX(0,Events!$B126-Events!$A126),0)</f>
        <v/>
      </c>
      <c r="B124">
        <f>IF(ISNUMBER(Events!$A126),DATE(YEAR($B$1)-1,MONTH(Events!$A126),DAY(Events!$A126)),"")</f>
        <v/>
      </c>
      <c r="C124">
        <f>IF(ISNUMBER(Events!$A126),DATE(YEAR($B$1),MONTH(Events!$A126),DAY(Events!$A126)),"")</f>
        <v/>
      </c>
      <c r="D124">
        <f>IF(ISNUMBER(Events!$A126),DATE(YEAR($B$2),MONTH(Events!$A126),DAY(Events!$A126)),"")</f>
        <v/>
      </c>
      <c r="E124">
        <f>IF(OR(NOT(ISNUMBER(Events!$A126)),Events!$G126="No",Calendar!$H$4="None"),"",IF(OR(Calendar!$H$4="All events",Events!$D126=Calendar!$H$4),IF(Events!$E126="Yes",IF(AND(B124&gt;=Events!$A126,B124&lt;=$B$2,B124+$A124&gt;=$B$1),B124,IF(AND(C124&gt;=Events!$A126,C124&lt;=$B$2,C124+$A124&gt;=$B$1),C124,IF(AND(D124&gt;=Events!$A126,D124&lt;=$B$2,D124+$A124&gt;=$B$1),D124,""))),IF(AND(Events!$A126&lt;=$B$2,Events!$A126+$A124&gt;=$B$1),Events!$A126,"")),""))</f>
        <v/>
      </c>
      <c r="F124">
        <f>IF(E124="","",E124+A124)</f>
        <v/>
      </c>
      <c r="G124">
        <f>IF(E124="","",IF(AND(E124&lt;=EOMONTH(Calendar!$K$2,0),F124&gt;=Calendar!$K$2),E124+121/100000,""))</f>
        <v/>
      </c>
      <c r="H124">
        <f>H123+IF(AND($E124&lt;&gt;"",$E124&lt;=H$2,$F124&gt;=H$2),1,0)</f>
        <v/>
      </c>
      <c r="I124">
        <f>I123+IF(AND($E124&lt;&gt;"",$E124&lt;=I$2,$F124&gt;=I$2),1,0)</f>
        <v/>
      </c>
      <c r="J124">
        <f>J123+IF(AND($E124&lt;&gt;"",$E124&lt;=J$2,$F124&gt;=J$2),1,0)</f>
        <v/>
      </c>
      <c r="K124">
        <f>K123+IF(AND($E124&lt;&gt;"",$E124&lt;=K$2,$F124&gt;=K$2),1,0)</f>
        <v/>
      </c>
      <c r="L124">
        <f>L123+IF(AND($E124&lt;&gt;"",$E124&lt;=L$2,$F124&gt;=L$2),1,0)</f>
        <v/>
      </c>
      <c r="M124">
        <f>M123+IF(AND($E124&lt;&gt;"",$E124&lt;=M$2,$F124&gt;=M$2),1,0)</f>
        <v/>
      </c>
      <c r="N124">
        <f>N123+IF(AND($E124&lt;&gt;"",$E124&lt;=N$2,$F124&gt;=N$2),1,0)</f>
        <v/>
      </c>
      <c r="O124">
        <f>O123+IF(AND($E124&lt;&gt;"",$E124&lt;=O$2,$F124&gt;=O$2),1,0)</f>
        <v/>
      </c>
      <c r="P124">
        <f>P123+IF(AND($E124&lt;&gt;"",$E124&lt;=P$2,$F124&gt;=P$2),1,0)</f>
        <v/>
      </c>
      <c r="Q124">
        <f>Q123+IF(AND($E124&lt;&gt;"",$E124&lt;=Q$2,$F124&gt;=Q$2),1,0)</f>
        <v/>
      </c>
      <c r="R124">
        <f>R123+IF(AND($E124&lt;&gt;"",$E124&lt;=R$2,$F124&gt;=R$2),1,0)</f>
        <v/>
      </c>
      <c r="S124">
        <f>S123+IF(AND($E124&lt;&gt;"",$E124&lt;=S$2,$F124&gt;=S$2),1,0)</f>
        <v/>
      </c>
      <c r="T124">
        <f>T123+IF(AND($E124&lt;&gt;"",$E124&lt;=T$2,$F124&gt;=T$2),1,0)</f>
        <v/>
      </c>
      <c r="U124">
        <f>U123+IF(AND($E124&lt;&gt;"",$E124&lt;=U$2,$F124&gt;=U$2),1,0)</f>
        <v/>
      </c>
      <c r="V124">
        <f>V123+IF(AND($E124&lt;&gt;"",$E124&lt;=V$2,$F124&gt;=V$2),1,0)</f>
        <v/>
      </c>
      <c r="W124">
        <f>W123+IF(AND($E124&lt;&gt;"",$E124&lt;=W$2,$F124&gt;=W$2),1,0)</f>
        <v/>
      </c>
      <c r="X124">
        <f>X123+IF(AND($E124&lt;&gt;"",$E124&lt;=X$2,$F124&gt;=X$2),1,0)</f>
        <v/>
      </c>
      <c r="Y124">
        <f>Y123+IF(AND($E124&lt;&gt;"",$E124&lt;=Y$2,$F124&gt;=Y$2),1,0)</f>
        <v/>
      </c>
      <c r="Z124">
        <f>Z123+IF(AND($E124&lt;&gt;"",$E124&lt;=Z$2,$F124&gt;=Z$2),1,0)</f>
        <v/>
      </c>
      <c r="AA124">
        <f>AA123+IF(AND($E124&lt;&gt;"",$E124&lt;=AA$2,$F124&gt;=AA$2),1,0)</f>
        <v/>
      </c>
      <c r="AB124">
        <f>AB123+IF(AND($E124&lt;&gt;"",$E124&lt;=AB$2,$F124&gt;=AB$2),1,0)</f>
        <v/>
      </c>
      <c r="AC124">
        <f>AC123+IF(AND($E124&lt;&gt;"",$E124&lt;=AC$2,$F124&gt;=AC$2),1,0)</f>
        <v/>
      </c>
      <c r="AD124">
        <f>AD123+IF(AND($E124&lt;&gt;"",$E124&lt;=AD$2,$F124&gt;=AD$2),1,0)</f>
        <v/>
      </c>
      <c r="AE124">
        <f>AE123+IF(AND($E124&lt;&gt;"",$E124&lt;=AE$2,$F124&gt;=AE$2),1,0)</f>
        <v/>
      </c>
      <c r="AF124">
        <f>AF123+IF(AND($E124&lt;&gt;"",$E124&lt;=AF$2,$F124&gt;=AF$2),1,0)</f>
        <v/>
      </c>
      <c r="AG124">
        <f>AG123+IF(AND($E124&lt;&gt;"",$E124&lt;=AG$2,$F124&gt;=AG$2),1,0)</f>
        <v/>
      </c>
      <c r="AH124">
        <f>AH123+IF(AND($E124&lt;&gt;"",$E124&lt;=AH$2,$F124&gt;=AH$2),1,0)</f>
        <v/>
      </c>
      <c r="AI124">
        <f>AI123+IF(AND($E124&lt;&gt;"",$E124&lt;=AI$2,$F124&gt;=AI$2),1,0)</f>
        <v/>
      </c>
      <c r="AJ124">
        <f>AJ123+IF(AND($E124&lt;&gt;"",$E124&lt;=AJ$2,$F124&gt;=AJ$2),1,0)</f>
        <v/>
      </c>
      <c r="AK124">
        <f>AK123+IF(AND($E124&lt;&gt;"",$E124&lt;=AK$2,$F124&gt;=AK$2),1,0)</f>
        <v/>
      </c>
      <c r="AL124">
        <f>AL123+IF(AND($E124&lt;&gt;"",$E124&lt;=AL$2,$F124&gt;=AL$2),1,0)</f>
        <v/>
      </c>
      <c r="AM124">
        <f>AM123+IF(AND($E124&lt;&gt;"",$E124&lt;=AM$2,$F124&gt;=AM$2),1,0)</f>
        <v/>
      </c>
      <c r="AN124">
        <f>AN123+IF(AND($E124&lt;&gt;"",$E124&lt;=AN$2,$F124&gt;=AN$2),1,0)</f>
        <v/>
      </c>
      <c r="AO124">
        <f>AO123+IF(AND($E124&lt;&gt;"",$E124&lt;=AO$2,$F124&gt;=AO$2),1,0)</f>
        <v/>
      </c>
      <c r="AP124">
        <f>AP123+IF(AND($E124&lt;&gt;"",$E124&lt;=AP$2,$F124&gt;=AP$2),1,0)</f>
        <v/>
      </c>
      <c r="AQ124">
        <f>AQ123+IF(AND($E124&lt;&gt;"",$E124&lt;=AQ$2,$F124&gt;=AQ$2),1,0)</f>
        <v/>
      </c>
      <c r="AR124">
        <f>AR123+IF(AND($E124&lt;&gt;"",$E124&lt;=AR$2,$F124&gt;=AR$2),1,0)</f>
        <v/>
      </c>
      <c r="AS124">
        <f>AS123+IF(AND($E124&lt;&gt;"",$E124&lt;=AS$2,$F124&gt;=AS$2),1,0)</f>
        <v/>
      </c>
      <c r="AT124">
        <f>AT123+IF(AND($E124&lt;&gt;"",$E124&lt;=AT$2,$F124&gt;=AT$2),1,0)</f>
        <v/>
      </c>
      <c r="AU124">
        <f>AU123+IF(AND($E124&lt;&gt;"",$E124&lt;=AU$2,$F124&gt;=AU$2),1,0)</f>
        <v/>
      </c>
      <c r="AV124">
        <f>AV123+IF(AND($E124&lt;&gt;"",$E124&lt;=AV$2,$F124&gt;=AV$2),1,0)</f>
        <v/>
      </c>
      <c r="AW124">
        <f>AW123+IF(AND($E124&lt;&gt;"",$E124&lt;=AW$2,$F124&gt;=AW$2),1,0)</f>
        <v/>
      </c>
    </row>
    <row r="125">
      <c r="A125">
        <f>IF(AND(ISNUMBER(Events!$A127),ISNUMBER(Events!$B127)),MAX(0,Events!$B127-Events!$A127),0)</f>
        <v/>
      </c>
      <c r="B125">
        <f>IF(ISNUMBER(Events!$A127),DATE(YEAR($B$1)-1,MONTH(Events!$A127),DAY(Events!$A127)),"")</f>
        <v/>
      </c>
      <c r="C125">
        <f>IF(ISNUMBER(Events!$A127),DATE(YEAR($B$1),MONTH(Events!$A127),DAY(Events!$A127)),"")</f>
        <v/>
      </c>
      <c r="D125">
        <f>IF(ISNUMBER(Events!$A127),DATE(YEAR($B$2),MONTH(Events!$A127),DAY(Events!$A127)),"")</f>
        <v/>
      </c>
      <c r="E125">
        <f>IF(OR(NOT(ISNUMBER(Events!$A127)),Events!$G127="No",Calendar!$H$4="None"),"",IF(OR(Calendar!$H$4="All events",Events!$D127=Calendar!$H$4),IF(Events!$E127="Yes",IF(AND(B125&gt;=Events!$A127,B125&lt;=$B$2,B125+$A125&gt;=$B$1),B125,IF(AND(C125&gt;=Events!$A127,C125&lt;=$B$2,C125+$A125&gt;=$B$1),C125,IF(AND(D125&gt;=Events!$A127,D125&lt;=$B$2,D125+$A125&gt;=$B$1),D125,""))),IF(AND(Events!$A127&lt;=$B$2,Events!$A127+$A125&gt;=$B$1),Events!$A127,"")),""))</f>
        <v/>
      </c>
      <c r="F125">
        <f>IF(E125="","",E125+A125)</f>
        <v/>
      </c>
      <c r="G125">
        <f>IF(E125="","",IF(AND(E125&lt;=EOMONTH(Calendar!$K$2,0),F125&gt;=Calendar!$K$2),E125+122/100000,""))</f>
        <v/>
      </c>
      <c r="H125">
        <f>H124+IF(AND($E125&lt;&gt;"",$E125&lt;=H$2,$F125&gt;=H$2),1,0)</f>
        <v/>
      </c>
      <c r="I125">
        <f>I124+IF(AND($E125&lt;&gt;"",$E125&lt;=I$2,$F125&gt;=I$2),1,0)</f>
        <v/>
      </c>
      <c r="J125">
        <f>J124+IF(AND($E125&lt;&gt;"",$E125&lt;=J$2,$F125&gt;=J$2),1,0)</f>
        <v/>
      </c>
      <c r="K125">
        <f>K124+IF(AND($E125&lt;&gt;"",$E125&lt;=K$2,$F125&gt;=K$2),1,0)</f>
        <v/>
      </c>
      <c r="L125">
        <f>L124+IF(AND($E125&lt;&gt;"",$E125&lt;=L$2,$F125&gt;=L$2),1,0)</f>
        <v/>
      </c>
      <c r="M125">
        <f>M124+IF(AND($E125&lt;&gt;"",$E125&lt;=M$2,$F125&gt;=M$2),1,0)</f>
        <v/>
      </c>
      <c r="N125">
        <f>N124+IF(AND($E125&lt;&gt;"",$E125&lt;=N$2,$F125&gt;=N$2),1,0)</f>
        <v/>
      </c>
      <c r="O125">
        <f>O124+IF(AND($E125&lt;&gt;"",$E125&lt;=O$2,$F125&gt;=O$2),1,0)</f>
        <v/>
      </c>
      <c r="P125">
        <f>P124+IF(AND($E125&lt;&gt;"",$E125&lt;=P$2,$F125&gt;=P$2),1,0)</f>
        <v/>
      </c>
      <c r="Q125">
        <f>Q124+IF(AND($E125&lt;&gt;"",$E125&lt;=Q$2,$F125&gt;=Q$2),1,0)</f>
        <v/>
      </c>
      <c r="R125">
        <f>R124+IF(AND($E125&lt;&gt;"",$E125&lt;=R$2,$F125&gt;=R$2),1,0)</f>
        <v/>
      </c>
      <c r="S125">
        <f>S124+IF(AND($E125&lt;&gt;"",$E125&lt;=S$2,$F125&gt;=S$2),1,0)</f>
        <v/>
      </c>
      <c r="T125">
        <f>T124+IF(AND($E125&lt;&gt;"",$E125&lt;=T$2,$F125&gt;=T$2),1,0)</f>
        <v/>
      </c>
      <c r="U125">
        <f>U124+IF(AND($E125&lt;&gt;"",$E125&lt;=U$2,$F125&gt;=U$2),1,0)</f>
        <v/>
      </c>
      <c r="V125">
        <f>V124+IF(AND($E125&lt;&gt;"",$E125&lt;=V$2,$F125&gt;=V$2),1,0)</f>
        <v/>
      </c>
      <c r="W125">
        <f>W124+IF(AND($E125&lt;&gt;"",$E125&lt;=W$2,$F125&gt;=W$2),1,0)</f>
        <v/>
      </c>
      <c r="X125">
        <f>X124+IF(AND($E125&lt;&gt;"",$E125&lt;=X$2,$F125&gt;=X$2),1,0)</f>
        <v/>
      </c>
      <c r="Y125">
        <f>Y124+IF(AND($E125&lt;&gt;"",$E125&lt;=Y$2,$F125&gt;=Y$2),1,0)</f>
        <v/>
      </c>
      <c r="Z125">
        <f>Z124+IF(AND($E125&lt;&gt;"",$E125&lt;=Z$2,$F125&gt;=Z$2),1,0)</f>
        <v/>
      </c>
      <c r="AA125">
        <f>AA124+IF(AND($E125&lt;&gt;"",$E125&lt;=AA$2,$F125&gt;=AA$2),1,0)</f>
        <v/>
      </c>
      <c r="AB125">
        <f>AB124+IF(AND($E125&lt;&gt;"",$E125&lt;=AB$2,$F125&gt;=AB$2),1,0)</f>
        <v/>
      </c>
      <c r="AC125">
        <f>AC124+IF(AND($E125&lt;&gt;"",$E125&lt;=AC$2,$F125&gt;=AC$2),1,0)</f>
        <v/>
      </c>
      <c r="AD125">
        <f>AD124+IF(AND($E125&lt;&gt;"",$E125&lt;=AD$2,$F125&gt;=AD$2),1,0)</f>
        <v/>
      </c>
      <c r="AE125">
        <f>AE124+IF(AND($E125&lt;&gt;"",$E125&lt;=AE$2,$F125&gt;=AE$2),1,0)</f>
        <v/>
      </c>
      <c r="AF125">
        <f>AF124+IF(AND($E125&lt;&gt;"",$E125&lt;=AF$2,$F125&gt;=AF$2),1,0)</f>
        <v/>
      </c>
      <c r="AG125">
        <f>AG124+IF(AND($E125&lt;&gt;"",$E125&lt;=AG$2,$F125&gt;=AG$2),1,0)</f>
        <v/>
      </c>
      <c r="AH125">
        <f>AH124+IF(AND($E125&lt;&gt;"",$E125&lt;=AH$2,$F125&gt;=AH$2),1,0)</f>
        <v/>
      </c>
      <c r="AI125">
        <f>AI124+IF(AND($E125&lt;&gt;"",$E125&lt;=AI$2,$F125&gt;=AI$2),1,0)</f>
        <v/>
      </c>
      <c r="AJ125">
        <f>AJ124+IF(AND($E125&lt;&gt;"",$E125&lt;=AJ$2,$F125&gt;=AJ$2),1,0)</f>
        <v/>
      </c>
      <c r="AK125">
        <f>AK124+IF(AND($E125&lt;&gt;"",$E125&lt;=AK$2,$F125&gt;=AK$2),1,0)</f>
        <v/>
      </c>
      <c r="AL125">
        <f>AL124+IF(AND($E125&lt;&gt;"",$E125&lt;=AL$2,$F125&gt;=AL$2),1,0)</f>
        <v/>
      </c>
      <c r="AM125">
        <f>AM124+IF(AND($E125&lt;&gt;"",$E125&lt;=AM$2,$F125&gt;=AM$2),1,0)</f>
        <v/>
      </c>
      <c r="AN125">
        <f>AN124+IF(AND($E125&lt;&gt;"",$E125&lt;=AN$2,$F125&gt;=AN$2),1,0)</f>
        <v/>
      </c>
      <c r="AO125">
        <f>AO124+IF(AND($E125&lt;&gt;"",$E125&lt;=AO$2,$F125&gt;=AO$2),1,0)</f>
        <v/>
      </c>
      <c r="AP125">
        <f>AP124+IF(AND($E125&lt;&gt;"",$E125&lt;=AP$2,$F125&gt;=AP$2),1,0)</f>
        <v/>
      </c>
      <c r="AQ125">
        <f>AQ124+IF(AND($E125&lt;&gt;"",$E125&lt;=AQ$2,$F125&gt;=AQ$2),1,0)</f>
        <v/>
      </c>
      <c r="AR125">
        <f>AR124+IF(AND($E125&lt;&gt;"",$E125&lt;=AR$2,$F125&gt;=AR$2),1,0)</f>
        <v/>
      </c>
      <c r="AS125">
        <f>AS124+IF(AND($E125&lt;&gt;"",$E125&lt;=AS$2,$F125&gt;=AS$2),1,0)</f>
        <v/>
      </c>
      <c r="AT125">
        <f>AT124+IF(AND($E125&lt;&gt;"",$E125&lt;=AT$2,$F125&gt;=AT$2),1,0)</f>
        <v/>
      </c>
      <c r="AU125">
        <f>AU124+IF(AND($E125&lt;&gt;"",$E125&lt;=AU$2,$F125&gt;=AU$2),1,0)</f>
        <v/>
      </c>
      <c r="AV125">
        <f>AV124+IF(AND($E125&lt;&gt;"",$E125&lt;=AV$2,$F125&gt;=AV$2),1,0)</f>
        <v/>
      </c>
      <c r="AW125">
        <f>AW124+IF(AND($E125&lt;&gt;"",$E125&lt;=AW$2,$F125&gt;=AW$2),1,0)</f>
        <v/>
      </c>
    </row>
    <row r="126">
      <c r="A126">
        <f>IF(AND(ISNUMBER(Events!$A128),ISNUMBER(Events!$B128)),MAX(0,Events!$B128-Events!$A128),0)</f>
        <v/>
      </c>
      <c r="B126">
        <f>IF(ISNUMBER(Events!$A128),DATE(YEAR($B$1)-1,MONTH(Events!$A128),DAY(Events!$A128)),"")</f>
        <v/>
      </c>
      <c r="C126">
        <f>IF(ISNUMBER(Events!$A128),DATE(YEAR($B$1),MONTH(Events!$A128),DAY(Events!$A128)),"")</f>
        <v/>
      </c>
      <c r="D126">
        <f>IF(ISNUMBER(Events!$A128),DATE(YEAR($B$2),MONTH(Events!$A128),DAY(Events!$A128)),"")</f>
        <v/>
      </c>
      <c r="E126">
        <f>IF(OR(NOT(ISNUMBER(Events!$A128)),Events!$G128="No",Calendar!$H$4="None"),"",IF(OR(Calendar!$H$4="All events",Events!$D128=Calendar!$H$4),IF(Events!$E128="Yes",IF(AND(B126&gt;=Events!$A128,B126&lt;=$B$2,B126+$A126&gt;=$B$1),B126,IF(AND(C126&gt;=Events!$A128,C126&lt;=$B$2,C126+$A126&gt;=$B$1),C126,IF(AND(D126&gt;=Events!$A128,D126&lt;=$B$2,D126+$A126&gt;=$B$1),D126,""))),IF(AND(Events!$A128&lt;=$B$2,Events!$A128+$A126&gt;=$B$1),Events!$A128,"")),""))</f>
        <v/>
      </c>
      <c r="F126">
        <f>IF(E126="","",E126+A126)</f>
        <v/>
      </c>
      <c r="G126">
        <f>IF(E126="","",IF(AND(E126&lt;=EOMONTH(Calendar!$K$2,0),F126&gt;=Calendar!$K$2),E126+123/100000,""))</f>
        <v/>
      </c>
      <c r="H126">
        <f>H125+IF(AND($E126&lt;&gt;"",$E126&lt;=H$2,$F126&gt;=H$2),1,0)</f>
        <v/>
      </c>
      <c r="I126">
        <f>I125+IF(AND($E126&lt;&gt;"",$E126&lt;=I$2,$F126&gt;=I$2),1,0)</f>
        <v/>
      </c>
      <c r="J126">
        <f>J125+IF(AND($E126&lt;&gt;"",$E126&lt;=J$2,$F126&gt;=J$2),1,0)</f>
        <v/>
      </c>
      <c r="K126">
        <f>K125+IF(AND($E126&lt;&gt;"",$E126&lt;=K$2,$F126&gt;=K$2),1,0)</f>
        <v/>
      </c>
      <c r="L126">
        <f>L125+IF(AND($E126&lt;&gt;"",$E126&lt;=L$2,$F126&gt;=L$2),1,0)</f>
        <v/>
      </c>
      <c r="M126">
        <f>M125+IF(AND($E126&lt;&gt;"",$E126&lt;=M$2,$F126&gt;=M$2),1,0)</f>
        <v/>
      </c>
      <c r="N126">
        <f>N125+IF(AND($E126&lt;&gt;"",$E126&lt;=N$2,$F126&gt;=N$2),1,0)</f>
        <v/>
      </c>
      <c r="O126">
        <f>O125+IF(AND($E126&lt;&gt;"",$E126&lt;=O$2,$F126&gt;=O$2),1,0)</f>
        <v/>
      </c>
      <c r="P126">
        <f>P125+IF(AND($E126&lt;&gt;"",$E126&lt;=P$2,$F126&gt;=P$2),1,0)</f>
        <v/>
      </c>
      <c r="Q126">
        <f>Q125+IF(AND($E126&lt;&gt;"",$E126&lt;=Q$2,$F126&gt;=Q$2),1,0)</f>
        <v/>
      </c>
      <c r="R126">
        <f>R125+IF(AND($E126&lt;&gt;"",$E126&lt;=R$2,$F126&gt;=R$2),1,0)</f>
        <v/>
      </c>
      <c r="S126">
        <f>S125+IF(AND($E126&lt;&gt;"",$E126&lt;=S$2,$F126&gt;=S$2),1,0)</f>
        <v/>
      </c>
      <c r="T126">
        <f>T125+IF(AND($E126&lt;&gt;"",$E126&lt;=T$2,$F126&gt;=T$2),1,0)</f>
        <v/>
      </c>
      <c r="U126">
        <f>U125+IF(AND($E126&lt;&gt;"",$E126&lt;=U$2,$F126&gt;=U$2),1,0)</f>
        <v/>
      </c>
      <c r="V126">
        <f>V125+IF(AND($E126&lt;&gt;"",$E126&lt;=V$2,$F126&gt;=V$2),1,0)</f>
        <v/>
      </c>
      <c r="W126">
        <f>W125+IF(AND($E126&lt;&gt;"",$E126&lt;=W$2,$F126&gt;=W$2),1,0)</f>
        <v/>
      </c>
      <c r="X126">
        <f>X125+IF(AND($E126&lt;&gt;"",$E126&lt;=X$2,$F126&gt;=X$2),1,0)</f>
        <v/>
      </c>
      <c r="Y126">
        <f>Y125+IF(AND($E126&lt;&gt;"",$E126&lt;=Y$2,$F126&gt;=Y$2),1,0)</f>
        <v/>
      </c>
      <c r="Z126">
        <f>Z125+IF(AND($E126&lt;&gt;"",$E126&lt;=Z$2,$F126&gt;=Z$2),1,0)</f>
        <v/>
      </c>
      <c r="AA126">
        <f>AA125+IF(AND($E126&lt;&gt;"",$E126&lt;=AA$2,$F126&gt;=AA$2),1,0)</f>
        <v/>
      </c>
      <c r="AB126">
        <f>AB125+IF(AND($E126&lt;&gt;"",$E126&lt;=AB$2,$F126&gt;=AB$2),1,0)</f>
        <v/>
      </c>
      <c r="AC126">
        <f>AC125+IF(AND($E126&lt;&gt;"",$E126&lt;=AC$2,$F126&gt;=AC$2),1,0)</f>
        <v/>
      </c>
      <c r="AD126">
        <f>AD125+IF(AND($E126&lt;&gt;"",$E126&lt;=AD$2,$F126&gt;=AD$2),1,0)</f>
        <v/>
      </c>
      <c r="AE126">
        <f>AE125+IF(AND($E126&lt;&gt;"",$E126&lt;=AE$2,$F126&gt;=AE$2),1,0)</f>
        <v/>
      </c>
      <c r="AF126">
        <f>AF125+IF(AND($E126&lt;&gt;"",$E126&lt;=AF$2,$F126&gt;=AF$2),1,0)</f>
        <v/>
      </c>
      <c r="AG126">
        <f>AG125+IF(AND($E126&lt;&gt;"",$E126&lt;=AG$2,$F126&gt;=AG$2),1,0)</f>
        <v/>
      </c>
      <c r="AH126">
        <f>AH125+IF(AND($E126&lt;&gt;"",$E126&lt;=AH$2,$F126&gt;=AH$2),1,0)</f>
        <v/>
      </c>
      <c r="AI126">
        <f>AI125+IF(AND($E126&lt;&gt;"",$E126&lt;=AI$2,$F126&gt;=AI$2),1,0)</f>
        <v/>
      </c>
      <c r="AJ126">
        <f>AJ125+IF(AND($E126&lt;&gt;"",$E126&lt;=AJ$2,$F126&gt;=AJ$2),1,0)</f>
        <v/>
      </c>
      <c r="AK126">
        <f>AK125+IF(AND($E126&lt;&gt;"",$E126&lt;=AK$2,$F126&gt;=AK$2),1,0)</f>
        <v/>
      </c>
      <c r="AL126">
        <f>AL125+IF(AND($E126&lt;&gt;"",$E126&lt;=AL$2,$F126&gt;=AL$2),1,0)</f>
        <v/>
      </c>
      <c r="AM126">
        <f>AM125+IF(AND($E126&lt;&gt;"",$E126&lt;=AM$2,$F126&gt;=AM$2),1,0)</f>
        <v/>
      </c>
      <c r="AN126">
        <f>AN125+IF(AND($E126&lt;&gt;"",$E126&lt;=AN$2,$F126&gt;=AN$2),1,0)</f>
        <v/>
      </c>
      <c r="AO126">
        <f>AO125+IF(AND($E126&lt;&gt;"",$E126&lt;=AO$2,$F126&gt;=AO$2),1,0)</f>
        <v/>
      </c>
      <c r="AP126">
        <f>AP125+IF(AND($E126&lt;&gt;"",$E126&lt;=AP$2,$F126&gt;=AP$2),1,0)</f>
        <v/>
      </c>
      <c r="AQ126">
        <f>AQ125+IF(AND($E126&lt;&gt;"",$E126&lt;=AQ$2,$F126&gt;=AQ$2),1,0)</f>
        <v/>
      </c>
      <c r="AR126">
        <f>AR125+IF(AND($E126&lt;&gt;"",$E126&lt;=AR$2,$F126&gt;=AR$2),1,0)</f>
        <v/>
      </c>
      <c r="AS126">
        <f>AS125+IF(AND($E126&lt;&gt;"",$E126&lt;=AS$2,$F126&gt;=AS$2),1,0)</f>
        <v/>
      </c>
      <c r="AT126">
        <f>AT125+IF(AND($E126&lt;&gt;"",$E126&lt;=AT$2,$F126&gt;=AT$2),1,0)</f>
        <v/>
      </c>
      <c r="AU126">
        <f>AU125+IF(AND($E126&lt;&gt;"",$E126&lt;=AU$2,$F126&gt;=AU$2),1,0)</f>
        <v/>
      </c>
      <c r="AV126">
        <f>AV125+IF(AND($E126&lt;&gt;"",$E126&lt;=AV$2,$F126&gt;=AV$2),1,0)</f>
        <v/>
      </c>
      <c r="AW126">
        <f>AW125+IF(AND($E126&lt;&gt;"",$E126&lt;=AW$2,$F126&gt;=AW$2),1,0)</f>
        <v/>
      </c>
    </row>
    <row r="127">
      <c r="A127">
        <f>IF(AND(ISNUMBER(Events!$A129),ISNUMBER(Events!$B129)),MAX(0,Events!$B129-Events!$A129),0)</f>
        <v/>
      </c>
      <c r="B127">
        <f>IF(ISNUMBER(Events!$A129),DATE(YEAR($B$1)-1,MONTH(Events!$A129),DAY(Events!$A129)),"")</f>
        <v/>
      </c>
      <c r="C127">
        <f>IF(ISNUMBER(Events!$A129),DATE(YEAR($B$1),MONTH(Events!$A129),DAY(Events!$A129)),"")</f>
        <v/>
      </c>
      <c r="D127">
        <f>IF(ISNUMBER(Events!$A129),DATE(YEAR($B$2),MONTH(Events!$A129),DAY(Events!$A129)),"")</f>
        <v/>
      </c>
      <c r="E127">
        <f>IF(OR(NOT(ISNUMBER(Events!$A129)),Events!$G129="No",Calendar!$H$4="None"),"",IF(OR(Calendar!$H$4="All events",Events!$D129=Calendar!$H$4),IF(Events!$E129="Yes",IF(AND(B127&gt;=Events!$A129,B127&lt;=$B$2,B127+$A127&gt;=$B$1),B127,IF(AND(C127&gt;=Events!$A129,C127&lt;=$B$2,C127+$A127&gt;=$B$1),C127,IF(AND(D127&gt;=Events!$A129,D127&lt;=$B$2,D127+$A127&gt;=$B$1),D127,""))),IF(AND(Events!$A129&lt;=$B$2,Events!$A129+$A127&gt;=$B$1),Events!$A129,"")),""))</f>
        <v/>
      </c>
      <c r="F127">
        <f>IF(E127="","",E127+A127)</f>
        <v/>
      </c>
      <c r="G127">
        <f>IF(E127="","",IF(AND(E127&lt;=EOMONTH(Calendar!$K$2,0),F127&gt;=Calendar!$K$2),E127+124/100000,""))</f>
        <v/>
      </c>
      <c r="H127">
        <f>H126+IF(AND($E127&lt;&gt;"",$E127&lt;=H$2,$F127&gt;=H$2),1,0)</f>
        <v/>
      </c>
      <c r="I127">
        <f>I126+IF(AND($E127&lt;&gt;"",$E127&lt;=I$2,$F127&gt;=I$2),1,0)</f>
        <v/>
      </c>
      <c r="J127">
        <f>J126+IF(AND($E127&lt;&gt;"",$E127&lt;=J$2,$F127&gt;=J$2),1,0)</f>
        <v/>
      </c>
      <c r="K127">
        <f>K126+IF(AND($E127&lt;&gt;"",$E127&lt;=K$2,$F127&gt;=K$2),1,0)</f>
        <v/>
      </c>
      <c r="L127">
        <f>L126+IF(AND($E127&lt;&gt;"",$E127&lt;=L$2,$F127&gt;=L$2),1,0)</f>
        <v/>
      </c>
      <c r="M127">
        <f>M126+IF(AND($E127&lt;&gt;"",$E127&lt;=M$2,$F127&gt;=M$2),1,0)</f>
        <v/>
      </c>
      <c r="N127">
        <f>N126+IF(AND($E127&lt;&gt;"",$E127&lt;=N$2,$F127&gt;=N$2),1,0)</f>
        <v/>
      </c>
      <c r="O127">
        <f>O126+IF(AND($E127&lt;&gt;"",$E127&lt;=O$2,$F127&gt;=O$2),1,0)</f>
        <v/>
      </c>
      <c r="P127">
        <f>P126+IF(AND($E127&lt;&gt;"",$E127&lt;=P$2,$F127&gt;=P$2),1,0)</f>
        <v/>
      </c>
      <c r="Q127">
        <f>Q126+IF(AND($E127&lt;&gt;"",$E127&lt;=Q$2,$F127&gt;=Q$2),1,0)</f>
        <v/>
      </c>
      <c r="R127">
        <f>R126+IF(AND($E127&lt;&gt;"",$E127&lt;=R$2,$F127&gt;=R$2),1,0)</f>
        <v/>
      </c>
      <c r="S127">
        <f>S126+IF(AND($E127&lt;&gt;"",$E127&lt;=S$2,$F127&gt;=S$2),1,0)</f>
        <v/>
      </c>
      <c r="T127">
        <f>T126+IF(AND($E127&lt;&gt;"",$E127&lt;=T$2,$F127&gt;=T$2),1,0)</f>
        <v/>
      </c>
      <c r="U127">
        <f>U126+IF(AND($E127&lt;&gt;"",$E127&lt;=U$2,$F127&gt;=U$2),1,0)</f>
        <v/>
      </c>
      <c r="V127">
        <f>V126+IF(AND($E127&lt;&gt;"",$E127&lt;=V$2,$F127&gt;=V$2),1,0)</f>
        <v/>
      </c>
      <c r="W127">
        <f>W126+IF(AND($E127&lt;&gt;"",$E127&lt;=W$2,$F127&gt;=W$2),1,0)</f>
        <v/>
      </c>
      <c r="X127">
        <f>X126+IF(AND($E127&lt;&gt;"",$E127&lt;=X$2,$F127&gt;=X$2),1,0)</f>
        <v/>
      </c>
      <c r="Y127">
        <f>Y126+IF(AND($E127&lt;&gt;"",$E127&lt;=Y$2,$F127&gt;=Y$2),1,0)</f>
        <v/>
      </c>
      <c r="Z127">
        <f>Z126+IF(AND($E127&lt;&gt;"",$E127&lt;=Z$2,$F127&gt;=Z$2),1,0)</f>
        <v/>
      </c>
      <c r="AA127">
        <f>AA126+IF(AND($E127&lt;&gt;"",$E127&lt;=AA$2,$F127&gt;=AA$2),1,0)</f>
        <v/>
      </c>
      <c r="AB127">
        <f>AB126+IF(AND($E127&lt;&gt;"",$E127&lt;=AB$2,$F127&gt;=AB$2),1,0)</f>
        <v/>
      </c>
      <c r="AC127">
        <f>AC126+IF(AND($E127&lt;&gt;"",$E127&lt;=AC$2,$F127&gt;=AC$2),1,0)</f>
        <v/>
      </c>
      <c r="AD127">
        <f>AD126+IF(AND($E127&lt;&gt;"",$E127&lt;=AD$2,$F127&gt;=AD$2),1,0)</f>
        <v/>
      </c>
      <c r="AE127">
        <f>AE126+IF(AND($E127&lt;&gt;"",$E127&lt;=AE$2,$F127&gt;=AE$2),1,0)</f>
        <v/>
      </c>
      <c r="AF127">
        <f>AF126+IF(AND($E127&lt;&gt;"",$E127&lt;=AF$2,$F127&gt;=AF$2),1,0)</f>
        <v/>
      </c>
      <c r="AG127">
        <f>AG126+IF(AND($E127&lt;&gt;"",$E127&lt;=AG$2,$F127&gt;=AG$2),1,0)</f>
        <v/>
      </c>
      <c r="AH127">
        <f>AH126+IF(AND($E127&lt;&gt;"",$E127&lt;=AH$2,$F127&gt;=AH$2),1,0)</f>
        <v/>
      </c>
      <c r="AI127">
        <f>AI126+IF(AND($E127&lt;&gt;"",$E127&lt;=AI$2,$F127&gt;=AI$2),1,0)</f>
        <v/>
      </c>
      <c r="AJ127">
        <f>AJ126+IF(AND($E127&lt;&gt;"",$E127&lt;=AJ$2,$F127&gt;=AJ$2),1,0)</f>
        <v/>
      </c>
      <c r="AK127">
        <f>AK126+IF(AND($E127&lt;&gt;"",$E127&lt;=AK$2,$F127&gt;=AK$2),1,0)</f>
        <v/>
      </c>
      <c r="AL127">
        <f>AL126+IF(AND($E127&lt;&gt;"",$E127&lt;=AL$2,$F127&gt;=AL$2),1,0)</f>
        <v/>
      </c>
      <c r="AM127">
        <f>AM126+IF(AND($E127&lt;&gt;"",$E127&lt;=AM$2,$F127&gt;=AM$2),1,0)</f>
        <v/>
      </c>
      <c r="AN127">
        <f>AN126+IF(AND($E127&lt;&gt;"",$E127&lt;=AN$2,$F127&gt;=AN$2),1,0)</f>
        <v/>
      </c>
      <c r="AO127">
        <f>AO126+IF(AND($E127&lt;&gt;"",$E127&lt;=AO$2,$F127&gt;=AO$2),1,0)</f>
        <v/>
      </c>
      <c r="AP127">
        <f>AP126+IF(AND($E127&lt;&gt;"",$E127&lt;=AP$2,$F127&gt;=AP$2),1,0)</f>
        <v/>
      </c>
      <c r="AQ127">
        <f>AQ126+IF(AND($E127&lt;&gt;"",$E127&lt;=AQ$2,$F127&gt;=AQ$2),1,0)</f>
        <v/>
      </c>
      <c r="AR127">
        <f>AR126+IF(AND($E127&lt;&gt;"",$E127&lt;=AR$2,$F127&gt;=AR$2),1,0)</f>
        <v/>
      </c>
      <c r="AS127">
        <f>AS126+IF(AND($E127&lt;&gt;"",$E127&lt;=AS$2,$F127&gt;=AS$2),1,0)</f>
        <v/>
      </c>
      <c r="AT127">
        <f>AT126+IF(AND($E127&lt;&gt;"",$E127&lt;=AT$2,$F127&gt;=AT$2),1,0)</f>
        <v/>
      </c>
      <c r="AU127">
        <f>AU126+IF(AND($E127&lt;&gt;"",$E127&lt;=AU$2,$F127&gt;=AU$2),1,0)</f>
        <v/>
      </c>
      <c r="AV127">
        <f>AV126+IF(AND($E127&lt;&gt;"",$E127&lt;=AV$2,$F127&gt;=AV$2),1,0)</f>
        <v/>
      </c>
      <c r="AW127">
        <f>AW126+IF(AND($E127&lt;&gt;"",$E127&lt;=AW$2,$F127&gt;=AW$2),1,0)</f>
        <v/>
      </c>
    </row>
    <row r="128">
      <c r="A128">
        <f>IF(AND(ISNUMBER(Events!$A130),ISNUMBER(Events!$B130)),MAX(0,Events!$B130-Events!$A130),0)</f>
        <v/>
      </c>
      <c r="B128">
        <f>IF(ISNUMBER(Events!$A130),DATE(YEAR($B$1)-1,MONTH(Events!$A130),DAY(Events!$A130)),"")</f>
        <v/>
      </c>
      <c r="C128">
        <f>IF(ISNUMBER(Events!$A130),DATE(YEAR($B$1),MONTH(Events!$A130),DAY(Events!$A130)),"")</f>
        <v/>
      </c>
      <c r="D128">
        <f>IF(ISNUMBER(Events!$A130),DATE(YEAR($B$2),MONTH(Events!$A130),DAY(Events!$A130)),"")</f>
        <v/>
      </c>
      <c r="E128">
        <f>IF(OR(NOT(ISNUMBER(Events!$A130)),Events!$G130="No",Calendar!$H$4="None"),"",IF(OR(Calendar!$H$4="All events",Events!$D130=Calendar!$H$4),IF(Events!$E130="Yes",IF(AND(B128&gt;=Events!$A130,B128&lt;=$B$2,B128+$A128&gt;=$B$1),B128,IF(AND(C128&gt;=Events!$A130,C128&lt;=$B$2,C128+$A128&gt;=$B$1),C128,IF(AND(D128&gt;=Events!$A130,D128&lt;=$B$2,D128+$A128&gt;=$B$1),D128,""))),IF(AND(Events!$A130&lt;=$B$2,Events!$A130+$A128&gt;=$B$1),Events!$A130,"")),""))</f>
        <v/>
      </c>
      <c r="F128">
        <f>IF(E128="","",E128+A128)</f>
        <v/>
      </c>
      <c r="G128">
        <f>IF(E128="","",IF(AND(E128&lt;=EOMONTH(Calendar!$K$2,0),F128&gt;=Calendar!$K$2),E128+125/100000,""))</f>
        <v/>
      </c>
      <c r="H128">
        <f>H127+IF(AND($E128&lt;&gt;"",$E128&lt;=H$2,$F128&gt;=H$2),1,0)</f>
        <v/>
      </c>
      <c r="I128">
        <f>I127+IF(AND($E128&lt;&gt;"",$E128&lt;=I$2,$F128&gt;=I$2),1,0)</f>
        <v/>
      </c>
      <c r="J128">
        <f>J127+IF(AND($E128&lt;&gt;"",$E128&lt;=J$2,$F128&gt;=J$2),1,0)</f>
        <v/>
      </c>
      <c r="K128">
        <f>K127+IF(AND($E128&lt;&gt;"",$E128&lt;=K$2,$F128&gt;=K$2),1,0)</f>
        <v/>
      </c>
      <c r="L128">
        <f>L127+IF(AND($E128&lt;&gt;"",$E128&lt;=L$2,$F128&gt;=L$2),1,0)</f>
        <v/>
      </c>
      <c r="M128">
        <f>M127+IF(AND($E128&lt;&gt;"",$E128&lt;=M$2,$F128&gt;=M$2),1,0)</f>
        <v/>
      </c>
      <c r="N128">
        <f>N127+IF(AND($E128&lt;&gt;"",$E128&lt;=N$2,$F128&gt;=N$2),1,0)</f>
        <v/>
      </c>
      <c r="O128">
        <f>O127+IF(AND($E128&lt;&gt;"",$E128&lt;=O$2,$F128&gt;=O$2),1,0)</f>
        <v/>
      </c>
      <c r="P128">
        <f>P127+IF(AND($E128&lt;&gt;"",$E128&lt;=P$2,$F128&gt;=P$2),1,0)</f>
        <v/>
      </c>
      <c r="Q128">
        <f>Q127+IF(AND($E128&lt;&gt;"",$E128&lt;=Q$2,$F128&gt;=Q$2),1,0)</f>
        <v/>
      </c>
      <c r="R128">
        <f>R127+IF(AND($E128&lt;&gt;"",$E128&lt;=R$2,$F128&gt;=R$2),1,0)</f>
        <v/>
      </c>
      <c r="S128">
        <f>S127+IF(AND($E128&lt;&gt;"",$E128&lt;=S$2,$F128&gt;=S$2),1,0)</f>
        <v/>
      </c>
      <c r="T128">
        <f>T127+IF(AND($E128&lt;&gt;"",$E128&lt;=T$2,$F128&gt;=T$2),1,0)</f>
        <v/>
      </c>
      <c r="U128">
        <f>U127+IF(AND($E128&lt;&gt;"",$E128&lt;=U$2,$F128&gt;=U$2),1,0)</f>
        <v/>
      </c>
      <c r="V128">
        <f>V127+IF(AND($E128&lt;&gt;"",$E128&lt;=V$2,$F128&gt;=V$2),1,0)</f>
        <v/>
      </c>
      <c r="W128">
        <f>W127+IF(AND($E128&lt;&gt;"",$E128&lt;=W$2,$F128&gt;=W$2),1,0)</f>
        <v/>
      </c>
      <c r="X128">
        <f>X127+IF(AND($E128&lt;&gt;"",$E128&lt;=X$2,$F128&gt;=X$2),1,0)</f>
        <v/>
      </c>
      <c r="Y128">
        <f>Y127+IF(AND($E128&lt;&gt;"",$E128&lt;=Y$2,$F128&gt;=Y$2),1,0)</f>
        <v/>
      </c>
      <c r="Z128">
        <f>Z127+IF(AND($E128&lt;&gt;"",$E128&lt;=Z$2,$F128&gt;=Z$2),1,0)</f>
        <v/>
      </c>
      <c r="AA128">
        <f>AA127+IF(AND($E128&lt;&gt;"",$E128&lt;=AA$2,$F128&gt;=AA$2),1,0)</f>
        <v/>
      </c>
      <c r="AB128">
        <f>AB127+IF(AND($E128&lt;&gt;"",$E128&lt;=AB$2,$F128&gt;=AB$2),1,0)</f>
        <v/>
      </c>
      <c r="AC128">
        <f>AC127+IF(AND($E128&lt;&gt;"",$E128&lt;=AC$2,$F128&gt;=AC$2),1,0)</f>
        <v/>
      </c>
      <c r="AD128">
        <f>AD127+IF(AND($E128&lt;&gt;"",$E128&lt;=AD$2,$F128&gt;=AD$2),1,0)</f>
        <v/>
      </c>
      <c r="AE128">
        <f>AE127+IF(AND($E128&lt;&gt;"",$E128&lt;=AE$2,$F128&gt;=AE$2),1,0)</f>
        <v/>
      </c>
      <c r="AF128">
        <f>AF127+IF(AND($E128&lt;&gt;"",$E128&lt;=AF$2,$F128&gt;=AF$2),1,0)</f>
        <v/>
      </c>
      <c r="AG128">
        <f>AG127+IF(AND($E128&lt;&gt;"",$E128&lt;=AG$2,$F128&gt;=AG$2),1,0)</f>
        <v/>
      </c>
      <c r="AH128">
        <f>AH127+IF(AND($E128&lt;&gt;"",$E128&lt;=AH$2,$F128&gt;=AH$2),1,0)</f>
        <v/>
      </c>
      <c r="AI128">
        <f>AI127+IF(AND($E128&lt;&gt;"",$E128&lt;=AI$2,$F128&gt;=AI$2),1,0)</f>
        <v/>
      </c>
      <c r="AJ128">
        <f>AJ127+IF(AND($E128&lt;&gt;"",$E128&lt;=AJ$2,$F128&gt;=AJ$2),1,0)</f>
        <v/>
      </c>
      <c r="AK128">
        <f>AK127+IF(AND($E128&lt;&gt;"",$E128&lt;=AK$2,$F128&gt;=AK$2),1,0)</f>
        <v/>
      </c>
      <c r="AL128">
        <f>AL127+IF(AND($E128&lt;&gt;"",$E128&lt;=AL$2,$F128&gt;=AL$2),1,0)</f>
        <v/>
      </c>
      <c r="AM128">
        <f>AM127+IF(AND($E128&lt;&gt;"",$E128&lt;=AM$2,$F128&gt;=AM$2),1,0)</f>
        <v/>
      </c>
      <c r="AN128">
        <f>AN127+IF(AND($E128&lt;&gt;"",$E128&lt;=AN$2,$F128&gt;=AN$2),1,0)</f>
        <v/>
      </c>
      <c r="AO128">
        <f>AO127+IF(AND($E128&lt;&gt;"",$E128&lt;=AO$2,$F128&gt;=AO$2),1,0)</f>
        <v/>
      </c>
      <c r="AP128">
        <f>AP127+IF(AND($E128&lt;&gt;"",$E128&lt;=AP$2,$F128&gt;=AP$2),1,0)</f>
        <v/>
      </c>
      <c r="AQ128">
        <f>AQ127+IF(AND($E128&lt;&gt;"",$E128&lt;=AQ$2,$F128&gt;=AQ$2),1,0)</f>
        <v/>
      </c>
      <c r="AR128">
        <f>AR127+IF(AND($E128&lt;&gt;"",$E128&lt;=AR$2,$F128&gt;=AR$2),1,0)</f>
        <v/>
      </c>
      <c r="AS128">
        <f>AS127+IF(AND($E128&lt;&gt;"",$E128&lt;=AS$2,$F128&gt;=AS$2),1,0)</f>
        <v/>
      </c>
      <c r="AT128">
        <f>AT127+IF(AND($E128&lt;&gt;"",$E128&lt;=AT$2,$F128&gt;=AT$2),1,0)</f>
        <v/>
      </c>
      <c r="AU128">
        <f>AU127+IF(AND($E128&lt;&gt;"",$E128&lt;=AU$2,$F128&gt;=AU$2),1,0)</f>
        <v/>
      </c>
      <c r="AV128">
        <f>AV127+IF(AND($E128&lt;&gt;"",$E128&lt;=AV$2,$F128&gt;=AV$2),1,0)</f>
        <v/>
      </c>
      <c r="AW128">
        <f>AW127+IF(AND($E128&lt;&gt;"",$E128&lt;=AW$2,$F128&gt;=AW$2),1,0)</f>
        <v/>
      </c>
    </row>
    <row r="129">
      <c r="A129">
        <f>IF(AND(ISNUMBER(Events!$A131),ISNUMBER(Events!$B131)),MAX(0,Events!$B131-Events!$A131),0)</f>
        <v/>
      </c>
      <c r="B129">
        <f>IF(ISNUMBER(Events!$A131),DATE(YEAR($B$1)-1,MONTH(Events!$A131),DAY(Events!$A131)),"")</f>
        <v/>
      </c>
      <c r="C129">
        <f>IF(ISNUMBER(Events!$A131),DATE(YEAR($B$1),MONTH(Events!$A131),DAY(Events!$A131)),"")</f>
        <v/>
      </c>
      <c r="D129">
        <f>IF(ISNUMBER(Events!$A131),DATE(YEAR($B$2),MONTH(Events!$A131),DAY(Events!$A131)),"")</f>
        <v/>
      </c>
      <c r="E129">
        <f>IF(OR(NOT(ISNUMBER(Events!$A131)),Events!$G131="No",Calendar!$H$4="None"),"",IF(OR(Calendar!$H$4="All events",Events!$D131=Calendar!$H$4),IF(Events!$E131="Yes",IF(AND(B129&gt;=Events!$A131,B129&lt;=$B$2,B129+$A129&gt;=$B$1),B129,IF(AND(C129&gt;=Events!$A131,C129&lt;=$B$2,C129+$A129&gt;=$B$1),C129,IF(AND(D129&gt;=Events!$A131,D129&lt;=$B$2,D129+$A129&gt;=$B$1),D129,""))),IF(AND(Events!$A131&lt;=$B$2,Events!$A131+$A129&gt;=$B$1),Events!$A131,"")),""))</f>
        <v/>
      </c>
      <c r="F129">
        <f>IF(E129="","",E129+A129)</f>
        <v/>
      </c>
      <c r="G129">
        <f>IF(E129="","",IF(AND(E129&lt;=EOMONTH(Calendar!$K$2,0),F129&gt;=Calendar!$K$2),E129+126/100000,""))</f>
        <v/>
      </c>
      <c r="H129">
        <f>H128+IF(AND($E129&lt;&gt;"",$E129&lt;=H$2,$F129&gt;=H$2),1,0)</f>
        <v/>
      </c>
      <c r="I129">
        <f>I128+IF(AND($E129&lt;&gt;"",$E129&lt;=I$2,$F129&gt;=I$2),1,0)</f>
        <v/>
      </c>
      <c r="J129">
        <f>J128+IF(AND($E129&lt;&gt;"",$E129&lt;=J$2,$F129&gt;=J$2),1,0)</f>
        <v/>
      </c>
      <c r="K129">
        <f>K128+IF(AND($E129&lt;&gt;"",$E129&lt;=K$2,$F129&gt;=K$2),1,0)</f>
        <v/>
      </c>
      <c r="L129">
        <f>L128+IF(AND($E129&lt;&gt;"",$E129&lt;=L$2,$F129&gt;=L$2),1,0)</f>
        <v/>
      </c>
      <c r="M129">
        <f>M128+IF(AND($E129&lt;&gt;"",$E129&lt;=M$2,$F129&gt;=M$2),1,0)</f>
        <v/>
      </c>
      <c r="N129">
        <f>N128+IF(AND($E129&lt;&gt;"",$E129&lt;=N$2,$F129&gt;=N$2),1,0)</f>
        <v/>
      </c>
      <c r="O129">
        <f>O128+IF(AND($E129&lt;&gt;"",$E129&lt;=O$2,$F129&gt;=O$2),1,0)</f>
        <v/>
      </c>
      <c r="P129">
        <f>P128+IF(AND($E129&lt;&gt;"",$E129&lt;=P$2,$F129&gt;=P$2),1,0)</f>
        <v/>
      </c>
      <c r="Q129">
        <f>Q128+IF(AND($E129&lt;&gt;"",$E129&lt;=Q$2,$F129&gt;=Q$2),1,0)</f>
        <v/>
      </c>
      <c r="R129">
        <f>R128+IF(AND($E129&lt;&gt;"",$E129&lt;=R$2,$F129&gt;=R$2),1,0)</f>
        <v/>
      </c>
      <c r="S129">
        <f>S128+IF(AND($E129&lt;&gt;"",$E129&lt;=S$2,$F129&gt;=S$2),1,0)</f>
        <v/>
      </c>
      <c r="T129">
        <f>T128+IF(AND($E129&lt;&gt;"",$E129&lt;=T$2,$F129&gt;=T$2),1,0)</f>
        <v/>
      </c>
      <c r="U129">
        <f>U128+IF(AND($E129&lt;&gt;"",$E129&lt;=U$2,$F129&gt;=U$2),1,0)</f>
        <v/>
      </c>
      <c r="V129">
        <f>V128+IF(AND($E129&lt;&gt;"",$E129&lt;=V$2,$F129&gt;=V$2),1,0)</f>
        <v/>
      </c>
      <c r="W129">
        <f>W128+IF(AND($E129&lt;&gt;"",$E129&lt;=W$2,$F129&gt;=W$2),1,0)</f>
        <v/>
      </c>
      <c r="X129">
        <f>X128+IF(AND($E129&lt;&gt;"",$E129&lt;=X$2,$F129&gt;=X$2),1,0)</f>
        <v/>
      </c>
      <c r="Y129">
        <f>Y128+IF(AND($E129&lt;&gt;"",$E129&lt;=Y$2,$F129&gt;=Y$2),1,0)</f>
        <v/>
      </c>
      <c r="Z129">
        <f>Z128+IF(AND($E129&lt;&gt;"",$E129&lt;=Z$2,$F129&gt;=Z$2),1,0)</f>
        <v/>
      </c>
      <c r="AA129">
        <f>AA128+IF(AND($E129&lt;&gt;"",$E129&lt;=AA$2,$F129&gt;=AA$2),1,0)</f>
        <v/>
      </c>
      <c r="AB129">
        <f>AB128+IF(AND($E129&lt;&gt;"",$E129&lt;=AB$2,$F129&gt;=AB$2),1,0)</f>
        <v/>
      </c>
      <c r="AC129">
        <f>AC128+IF(AND($E129&lt;&gt;"",$E129&lt;=AC$2,$F129&gt;=AC$2),1,0)</f>
        <v/>
      </c>
      <c r="AD129">
        <f>AD128+IF(AND($E129&lt;&gt;"",$E129&lt;=AD$2,$F129&gt;=AD$2),1,0)</f>
        <v/>
      </c>
      <c r="AE129">
        <f>AE128+IF(AND($E129&lt;&gt;"",$E129&lt;=AE$2,$F129&gt;=AE$2),1,0)</f>
        <v/>
      </c>
      <c r="AF129">
        <f>AF128+IF(AND($E129&lt;&gt;"",$E129&lt;=AF$2,$F129&gt;=AF$2),1,0)</f>
        <v/>
      </c>
      <c r="AG129">
        <f>AG128+IF(AND($E129&lt;&gt;"",$E129&lt;=AG$2,$F129&gt;=AG$2),1,0)</f>
        <v/>
      </c>
      <c r="AH129">
        <f>AH128+IF(AND($E129&lt;&gt;"",$E129&lt;=AH$2,$F129&gt;=AH$2),1,0)</f>
        <v/>
      </c>
      <c r="AI129">
        <f>AI128+IF(AND($E129&lt;&gt;"",$E129&lt;=AI$2,$F129&gt;=AI$2),1,0)</f>
        <v/>
      </c>
      <c r="AJ129">
        <f>AJ128+IF(AND($E129&lt;&gt;"",$E129&lt;=AJ$2,$F129&gt;=AJ$2),1,0)</f>
        <v/>
      </c>
      <c r="AK129">
        <f>AK128+IF(AND($E129&lt;&gt;"",$E129&lt;=AK$2,$F129&gt;=AK$2),1,0)</f>
        <v/>
      </c>
      <c r="AL129">
        <f>AL128+IF(AND($E129&lt;&gt;"",$E129&lt;=AL$2,$F129&gt;=AL$2),1,0)</f>
        <v/>
      </c>
      <c r="AM129">
        <f>AM128+IF(AND($E129&lt;&gt;"",$E129&lt;=AM$2,$F129&gt;=AM$2),1,0)</f>
        <v/>
      </c>
      <c r="AN129">
        <f>AN128+IF(AND($E129&lt;&gt;"",$E129&lt;=AN$2,$F129&gt;=AN$2),1,0)</f>
        <v/>
      </c>
      <c r="AO129">
        <f>AO128+IF(AND($E129&lt;&gt;"",$E129&lt;=AO$2,$F129&gt;=AO$2),1,0)</f>
        <v/>
      </c>
      <c r="AP129">
        <f>AP128+IF(AND($E129&lt;&gt;"",$E129&lt;=AP$2,$F129&gt;=AP$2),1,0)</f>
        <v/>
      </c>
      <c r="AQ129">
        <f>AQ128+IF(AND($E129&lt;&gt;"",$E129&lt;=AQ$2,$F129&gt;=AQ$2),1,0)</f>
        <v/>
      </c>
      <c r="AR129">
        <f>AR128+IF(AND($E129&lt;&gt;"",$E129&lt;=AR$2,$F129&gt;=AR$2),1,0)</f>
        <v/>
      </c>
      <c r="AS129">
        <f>AS128+IF(AND($E129&lt;&gt;"",$E129&lt;=AS$2,$F129&gt;=AS$2),1,0)</f>
        <v/>
      </c>
      <c r="AT129">
        <f>AT128+IF(AND($E129&lt;&gt;"",$E129&lt;=AT$2,$F129&gt;=AT$2),1,0)</f>
        <v/>
      </c>
      <c r="AU129">
        <f>AU128+IF(AND($E129&lt;&gt;"",$E129&lt;=AU$2,$F129&gt;=AU$2),1,0)</f>
        <v/>
      </c>
      <c r="AV129">
        <f>AV128+IF(AND($E129&lt;&gt;"",$E129&lt;=AV$2,$F129&gt;=AV$2),1,0)</f>
        <v/>
      </c>
      <c r="AW129">
        <f>AW128+IF(AND($E129&lt;&gt;"",$E129&lt;=AW$2,$F129&gt;=AW$2),1,0)</f>
        <v/>
      </c>
    </row>
    <row r="130">
      <c r="A130">
        <f>IF(AND(ISNUMBER(Events!$A132),ISNUMBER(Events!$B132)),MAX(0,Events!$B132-Events!$A132),0)</f>
        <v/>
      </c>
      <c r="B130">
        <f>IF(ISNUMBER(Events!$A132),DATE(YEAR($B$1)-1,MONTH(Events!$A132),DAY(Events!$A132)),"")</f>
        <v/>
      </c>
      <c r="C130">
        <f>IF(ISNUMBER(Events!$A132),DATE(YEAR($B$1),MONTH(Events!$A132),DAY(Events!$A132)),"")</f>
        <v/>
      </c>
      <c r="D130">
        <f>IF(ISNUMBER(Events!$A132),DATE(YEAR($B$2),MONTH(Events!$A132),DAY(Events!$A132)),"")</f>
        <v/>
      </c>
      <c r="E130">
        <f>IF(OR(NOT(ISNUMBER(Events!$A132)),Events!$G132="No",Calendar!$H$4="None"),"",IF(OR(Calendar!$H$4="All events",Events!$D132=Calendar!$H$4),IF(Events!$E132="Yes",IF(AND(B130&gt;=Events!$A132,B130&lt;=$B$2,B130+$A130&gt;=$B$1),B130,IF(AND(C130&gt;=Events!$A132,C130&lt;=$B$2,C130+$A130&gt;=$B$1),C130,IF(AND(D130&gt;=Events!$A132,D130&lt;=$B$2,D130+$A130&gt;=$B$1),D130,""))),IF(AND(Events!$A132&lt;=$B$2,Events!$A132+$A130&gt;=$B$1),Events!$A132,"")),""))</f>
        <v/>
      </c>
      <c r="F130">
        <f>IF(E130="","",E130+A130)</f>
        <v/>
      </c>
      <c r="G130">
        <f>IF(E130="","",IF(AND(E130&lt;=EOMONTH(Calendar!$K$2,0),F130&gt;=Calendar!$K$2),E130+127/100000,""))</f>
        <v/>
      </c>
      <c r="H130">
        <f>H129+IF(AND($E130&lt;&gt;"",$E130&lt;=H$2,$F130&gt;=H$2),1,0)</f>
        <v/>
      </c>
      <c r="I130">
        <f>I129+IF(AND($E130&lt;&gt;"",$E130&lt;=I$2,$F130&gt;=I$2),1,0)</f>
        <v/>
      </c>
      <c r="J130">
        <f>J129+IF(AND($E130&lt;&gt;"",$E130&lt;=J$2,$F130&gt;=J$2),1,0)</f>
        <v/>
      </c>
      <c r="K130">
        <f>K129+IF(AND($E130&lt;&gt;"",$E130&lt;=K$2,$F130&gt;=K$2),1,0)</f>
        <v/>
      </c>
      <c r="L130">
        <f>L129+IF(AND($E130&lt;&gt;"",$E130&lt;=L$2,$F130&gt;=L$2),1,0)</f>
        <v/>
      </c>
      <c r="M130">
        <f>M129+IF(AND($E130&lt;&gt;"",$E130&lt;=M$2,$F130&gt;=M$2),1,0)</f>
        <v/>
      </c>
      <c r="N130">
        <f>N129+IF(AND($E130&lt;&gt;"",$E130&lt;=N$2,$F130&gt;=N$2),1,0)</f>
        <v/>
      </c>
      <c r="O130">
        <f>O129+IF(AND($E130&lt;&gt;"",$E130&lt;=O$2,$F130&gt;=O$2),1,0)</f>
        <v/>
      </c>
      <c r="P130">
        <f>P129+IF(AND($E130&lt;&gt;"",$E130&lt;=P$2,$F130&gt;=P$2),1,0)</f>
        <v/>
      </c>
      <c r="Q130">
        <f>Q129+IF(AND($E130&lt;&gt;"",$E130&lt;=Q$2,$F130&gt;=Q$2),1,0)</f>
        <v/>
      </c>
      <c r="R130">
        <f>R129+IF(AND($E130&lt;&gt;"",$E130&lt;=R$2,$F130&gt;=R$2),1,0)</f>
        <v/>
      </c>
      <c r="S130">
        <f>S129+IF(AND($E130&lt;&gt;"",$E130&lt;=S$2,$F130&gt;=S$2),1,0)</f>
        <v/>
      </c>
      <c r="T130">
        <f>T129+IF(AND($E130&lt;&gt;"",$E130&lt;=T$2,$F130&gt;=T$2),1,0)</f>
        <v/>
      </c>
      <c r="U130">
        <f>U129+IF(AND($E130&lt;&gt;"",$E130&lt;=U$2,$F130&gt;=U$2),1,0)</f>
        <v/>
      </c>
      <c r="V130">
        <f>V129+IF(AND($E130&lt;&gt;"",$E130&lt;=V$2,$F130&gt;=V$2),1,0)</f>
        <v/>
      </c>
      <c r="W130">
        <f>W129+IF(AND($E130&lt;&gt;"",$E130&lt;=W$2,$F130&gt;=W$2),1,0)</f>
        <v/>
      </c>
      <c r="X130">
        <f>X129+IF(AND($E130&lt;&gt;"",$E130&lt;=X$2,$F130&gt;=X$2),1,0)</f>
        <v/>
      </c>
      <c r="Y130">
        <f>Y129+IF(AND($E130&lt;&gt;"",$E130&lt;=Y$2,$F130&gt;=Y$2),1,0)</f>
        <v/>
      </c>
      <c r="Z130">
        <f>Z129+IF(AND($E130&lt;&gt;"",$E130&lt;=Z$2,$F130&gt;=Z$2),1,0)</f>
        <v/>
      </c>
      <c r="AA130">
        <f>AA129+IF(AND($E130&lt;&gt;"",$E130&lt;=AA$2,$F130&gt;=AA$2),1,0)</f>
        <v/>
      </c>
      <c r="AB130">
        <f>AB129+IF(AND($E130&lt;&gt;"",$E130&lt;=AB$2,$F130&gt;=AB$2),1,0)</f>
        <v/>
      </c>
      <c r="AC130">
        <f>AC129+IF(AND($E130&lt;&gt;"",$E130&lt;=AC$2,$F130&gt;=AC$2),1,0)</f>
        <v/>
      </c>
      <c r="AD130">
        <f>AD129+IF(AND($E130&lt;&gt;"",$E130&lt;=AD$2,$F130&gt;=AD$2),1,0)</f>
        <v/>
      </c>
      <c r="AE130">
        <f>AE129+IF(AND($E130&lt;&gt;"",$E130&lt;=AE$2,$F130&gt;=AE$2),1,0)</f>
        <v/>
      </c>
      <c r="AF130">
        <f>AF129+IF(AND($E130&lt;&gt;"",$E130&lt;=AF$2,$F130&gt;=AF$2),1,0)</f>
        <v/>
      </c>
      <c r="AG130">
        <f>AG129+IF(AND($E130&lt;&gt;"",$E130&lt;=AG$2,$F130&gt;=AG$2),1,0)</f>
        <v/>
      </c>
      <c r="AH130">
        <f>AH129+IF(AND($E130&lt;&gt;"",$E130&lt;=AH$2,$F130&gt;=AH$2),1,0)</f>
        <v/>
      </c>
      <c r="AI130">
        <f>AI129+IF(AND($E130&lt;&gt;"",$E130&lt;=AI$2,$F130&gt;=AI$2),1,0)</f>
        <v/>
      </c>
      <c r="AJ130">
        <f>AJ129+IF(AND($E130&lt;&gt;"",$E130&lt;=AJ$2,$F130&gt;=AJ$2),1,0)</f>
        <v/>
      </c>
      <c r="AK130">
        <f>AK129+IF(AND($E130&lt;&gt;"",$E130&lt;=AK$2,$F130&gt;=AK$2),1,0)</f>
        <v/>
      </c>
      <c r="AL130">
        <f>AL129+IF(AND($E130&lt;&gt;"",$E130&lt;=AL$2,$F130&gt;=AL$2),1,0)</f>
        <v/>
      </c>
      <c r="AM130">
        <f>AM129+IF(AND($E130&lt;&gt;"",$E130&lt;=AM$2,$F130&gt;=AM$2),1,0)</f>
        <v/>
      </c>
      <c r="AN130">
        <f>AN129+IF(AND($E130&lt;&gt;"",$E130&lt;=AN$2,$F130&gt;=AN$2),1,0)</f>
        <v/>
      </c>
      <c r="AO130">
        <f>AO129+IF(AND($E130&lt;&gt;"",$E130&lt;=AO$2,$F130&gt;=AO$2),1,0)</f>
        <v/>
      </c>
      <c r="AP130">
        <f>AP129+IF(AND($E130&lt;&gt;"",$E130&lt;=AP$2,$F130&gt;=AP$2),1,0)</f>
        <v/>
      </c>
      <c r="AQ130">
        <f>AQ129+IF(AND($E130&lt;&gt;"",$E130&lt;=AQ$2,$F130&gt;=AQ$2),1,0)</f>
        <v/>
      </c>
      <c r="AR130">
        <f>AR129+IF(AND($E130&lt;&gt;"",$E130&lt;=AR$2,$F130&gt;=AR$2),1,0)</f>
        <v/>
      </c>
      <c r="AS130">
        <f>AS129+IF(AND($E130&lt;&gt;"",$E130&lt;=AS$2,$F130&gt;=AS$2),1,0)</f>
        <v/>
      </c>
      <c r="AT130">
        <f>AT129+IF(AND($E130&lt;&gt;"",$E130&lt;=AT$2,$F130&gt;=AT$2),1,0)</f>
        <v/>
      </c>
      <c r="AU130">
        <f>AU129+IF(AND($E130&lt;&gt;"",$E130&lt;=AU$2,$F130&gt;=AU$2),1,0)</f>
        <v/>
      </c>
      <c r="AV130">
        <f>AV129+IF(AND($E130&lt;&gt;"",$E130&lt;=AV$2,$F130&gt;=AV$2),1,0)</f>
        <v/>
      </c>
      <c r="AW130">
        <f>AW129+IF(AND($E130&lt;&gt;"",$E130&lt;=AW$2,$F130&gt;=AW$2),1,0)</f>
        <v/>
      </c>
    </row>
    <row r="131">
      <c r="A131">
        <f>IF(AND(ISNUMBER(Events!$A133),ISNUMBER(Events!$B133)),MAX(0,Events!$B133-Events!$A133),0)</f>
        <v/>
      </c>
      <c r="B131">
        <f>IF(ISNUMBER(Events!$A133),DATE(YEAR($B$1)-1,MONTH(Events!$A133),DAY(Events!$A133)),"")</f>
        <v/>
      </c>
      <c r="C131">
        <f>IF(ISNUMBER(Events!$A133),DATE(YEAR($B$1),MONTH(Events!$A133),DAY(Events!$A133)),"")</f>
        <v/>
      </c>
      <c r="D131">
        <f>IF(ISNUMBER(Events!$A133),DATE(YEAR($B$2),MONTH(Events!$A133),DAY(Events!$A133)),"")</f>
        <v/>
      </c>
      <c r="E131">
        <f>IF(OR(NOT(ISNUMBER(Events!$A133)),Events!$G133="No",Calendar!$H$4="None"),"",IF(OR(Calendar!$H$4="All events",Events!$D133=Calendar!$H$4),IF(Events!$E133="Yes",IF(AND(B131&gt;=Events!$A133,B131&lt;=$B$2,B131+$A131&gt;=$B$1),B131,IF(AND(C131&gt;=Events!$A133,C131&lt;=$B$2,C131+$A131&gt;=$B$1),C131,IF(AND(D131&gt;=Events!$A133,D131&lt;=$B$2,D131+$A131&gt;=$B$1),D131,""))),IF(AND(Events!$A133&lt;=$B$2,Events!$A133+$A131&gt;=$B$1),Events!$A133,"")),""))</f>
        <v/>
      </c>
      <c r="F131">
        <f>IF(E131="","",E131+A131)</f>
        <v/>
      </c>
      <c r="G131">
        <f>IF(E131="","",IF(AND(E131&lt;=EOMONTH(Calendar!$K$2,0),F131&gt;=Calendar!$K$2),E131+128/100000,""))</f>
        <v/>
      </c>
      <c r="H131">
        <f>H130+IF(AND($E131&lt;&gt;"",$E131&lt;=H$2,$F131&gt;=H$2),1,0)</f>
        <v/>
      </c>
      <c r="I131">
        <f>I130+IF(AND($E131&lt;&gt;"",$E131&lt;=I$2,$F131&gt;=I$2),1,0)</f>
        <v/>
      </c>
      <c r="J131">
        <f>J130+IF(AND($E131&lt;&gt;"",$E131&lt;=J$2,$F131&gt;=J$2),1,0)</f>
        <v/>
      </c>
      <c r="K131">
        <f>K130+IF(AND($E131&lt;&gt;"",$E131&lt;=K$2,$F131&gt;=K$2),1,0)</f>
        <v/>
      </c>
      <c r="L131">
        <f>L130+IF(AND($E131&lt;&gt;"",$E131&lt;=L$2,$F131&gt;=L$2),1,0)</f>
        <v/>
      </c>
      <c r="M131">
        <f>M130+IF(AND($E131&lt;&gt;"",$E131&lt;=M$2,$F131&gt;=M$2),1,0)</f>
        <v/>
      </c>
      <c r="N131">
        <f>N130+IF(AND($E131&lt;&gt;"",$E131&lt;=N$2,$F131&gt;=N$2),1,0)</f>
        <v/>
      </c>
      <c r="O131">
        <f>O130+IF(AND($E131&lt;&gt;"",$E131&lt;=O$2,$F131&gt;=O$2),1,0)</f>
        <v/>
      </c>
      <c r="P131">
        <f>P130+IF(AND($E131&lt;&gt;"",$E131&lt;=P$2,$F131&gt;=P$2),1,0)</f>
        <v/>
      </c>
      <c r="Q131">
        <f>Q130+IF(AND($E131&lt;&gt;"",$E131&lt;=Q$2,$F131&gt;=Q$2),1,0)</f>
        <v/>
      </c>
      <c r="R131">
        <f>R130+IF(AND($E131&lt;&gt;"",$E131&lt;=R$2,$F131&gt;=R$2),1,0)</f>
        <v/>
      </c>
      <c r="S131">
        <f>S130+IF(AND($E131&lt;&gt;"",$E131&lt;=S$2,$F131&gt;=S$2),1,0)</f>
        <v/>
      </c>
      <c r="T131">
        <f>T130+IF(AND($E131&lt;&gt;"",$E131&lt;=T$2,$F131&gt;=T$2),1,0)</f>
        <v/>
      </c>
      <c r="U131">
        <f>U130+IF(AND($E131&lt;&gt;"",$E131&lt;=U$2,$F131&gt;=U$2),1,0)</f>
        <v/>
      </c>
      <c r="V131">
        <f>V130+IF(AND($E131&lt;&gt;"",$E131&lt;=V$2,$F131&gt;=V$2),1,0)</f>
        <v/>
      </c>
      <c r="W131">
        <f>W130+IF(AND($E131&lt;&gt;"",$E131&lt;=W$2,$F131&gt;=W$2),1,0)</f>
        <v/>
      </c>
      <c r="X131">
        <f>X130+IF(AND($E131&lt;&gt;"",$E131&lt;=X$2,$F131&gt;=X$2),1,0)</f>
        <v/>
      </c>
      <c r="Y131">
        <f>Y130+IF(AND($E131&lt;&gt;"",$E131&lt;=Y$2,$F131&gt;=Y$2),1,0)</f>
        <v/>
      </c>
      <c r="Z131">
        <f>Z130+IF(AND($E131&lt;&gt;"",$E131&lt;=Z$2,$F131&gt;=Z$2),1,0)</f>
        <v/>
      </c>
      <c r="AA131">
        <f>AA130+IF(AND($E131&lt;&gt;"",$E131&lt;=AA$2,$F131&gt;=AA$2),1,0)</f>
        <v/>
      </c>
      <c r="AB131">
        <f>AB130+IF(AND($E131&lt;&gt;"",$E131&lt;=AB$2,$F131&gt;=AB$2),1,0)</f>
        <v/>
      </c>
      <c r="AC131">
        <f>AC130+IF(AND($E131&lt;&gt;"",$E131&lt;=AC$2,$F131&gt;=AC$2),1,0)</f>
        <v/>
      </c>
      <c r="AD131">
        <f>AD130+IF(AND($E131&lt;&gt;"",$E131&lt;=AD$2,$F131&gt;=AD$2),1,0)</f>
        <v/>
      </c>
      <c r="AE131">
        <f>AE130+IF(AND($E131&lt;&gt;"",$E131&lt;=AE$2,$F131&gt;=AE$2),1,0)</f>
        <v/>
      </c>
      <c r="AF131">
        <f>AF130+IF(AND($E131&lt;&gt;"",$E131&lt;=AF$2,$F131&gt;=AF$2),1,0)</f>
        <v/>
      </c>
      <c r="AG131">
        <f>AG130+IF(AND($E131&lt;&gt;"",$E131&lt;=AG$2,$F131&gt;=AG$2),1,0)</f>
        <v/>
      </c>
      <c r="AH131">
        <f>AH130+IF(AND($E131&lt;&gt;"",$E131&lt;=AH$2,$F131&gt;=AH$2),1,0)</f>
        <v/>
      </c>
      <c r="AI131">
        <f>AI130+IF(AND($E131&lt;&gt;"",$E131&lt;=AI$2,$F131&gt;=AI$2),1,0)</f>
        <v/>
      </c>
      <c r="AJ131">
        <f>AJ130+IF(AND($E131&lt;&gt;"",$E131&lt;=AJ$2,$F131&gt;=AJ$2),1,0)</f>
        <v/>
      </c>
      <c r="AK131">
        <f>AK130+IF(AND($E131&lt;&gt;"",$E131&lt;=AK$2,$F131&gt;=AK$2),1,0)</f>
        <v/>
      </c>
      <c r="AL131">
        <f>AL130+IF(AND($E131&lt;&gt;"",$E131&lt;=AL$2,$F131&gt;=AL$2),1,0)</f>
        <v/>
      </c>
      <c r="AM131">
        <f>AM130+IF(AND($E131&lt;&gt;"",$E131&lt;=AM$2,$F131&gt;=AM$2),1,0)</f>
        <v/>
      </c>
      <c r="AN131">
        <f>AN130+IF(AND($E131&lt;&gt;"",$E131&lt;=AN$2,$F131&gt;=AN$2),1,0)</f>
        <v/>
      </c>
      <c r="AO131">
        <f>AO130+IF(AND($E131&lt;&gt;"",$E131&lt;=AO$2,$F131&gt;=AO$2),1,0)</f>
        <v/>
      </c>
      <c r="AP131">
        <f>AP130+IF(AND($E131&lt;&gt;"",$E131&lt;=AP$2,$F131&gt;=AP$2),1,0)</f>
        <v/>
      </c>
      <c r="AQ131">
        <f>AQ130+IF(AND($E131&lt;&gt;"",$E131&lt;=AQ$2,$F131&gt;=AQ$2),1,0)</f>
        <v/>
      </c>
      <c r="AR131">
        <f>AR130+IF(AND($E131&lt;&gt;"",$E131&lt;=AR$2,$F131&gt;=AR$2),1,0)</f>
        <v/>
      </c>
      <c r="AS131">
        <f>AS130+IF(AND($E131&lt;&gt;"",$E131&lt;=AS$2,$F131&gt;=AS$2),1,0)</f>
        <v/>
      </c>
      <c r="AT131">
        <f>AT130+IF(AND($E131&lt;&gt;"",$E131&lt;=AT$2,$F131&gt;=AT$2),1,0)</f>
        <v/>
      </c>
      <c r="AU131">
        <f>AU130+IF(AND($E131&lt;&gt;"",$E131&lt;=AU$2,$F131&gt;=AU$2),1,0)</f>
        <v/>
      </c>
      <c r="AV131">
        <f>AV130+IF(AND($E131&lt;&gt;"",$E131&lt;=AV$2,$F131&gt;=AV$2),1,0)</f>
        <v/>
      </c>
      <c r="AW131">
        <f>AW130+IF(AND($E131&lt;&gt;"",$E131&lt;=AW$2,$F131&gt;=AW$2),1,0)</f>
        <v/>
      </c>
    </row>
    <row r="132">
      <c r="A132">
        <f>IF(AND(ISNUMBER(Events!$A134),ISNUMBER(Events!$B134)),MAX(0,Events!$B134-Events!$A134),0)</f>
        <v/>
      </c>
      <c r="B132">
        <f>IF(ISNUMBER(Events!$A134),DATE(YEAR($B$1)-1,MONTH(Events!$A134),DAY(Events!$A134)),"")</f>
        <v/>
      </c>
      <c r="C132">
        <f>IF(ISNUMBER(Events!$A134),DATE(YEAR($B$1),MONTH(Events!$A134),DAY(Events!$A134)),"")</f>
        <v/>
      </c>
      <c r="D132">
        <f>IF(ISNUMBER(Events!$A134),DATE(YEAR($B$2),MONTH(Events!$A134),DAY(Events!$A134)),"")</f>
        <v/>
      </c>
      <c r="E132">
        <f>IF(OR(NOT(ISNUMBER(Events!$A134)),Events!$G134="No",Calendar!$H$4="None"),"",IF(OR(Calendar!$H$4="All events",Events!$D134=Calendar!$H$4),IF(Events!$E134="Yes",IF(AND(B132&gt;=Events!$A134,B132&lt;=$B$2,B132+$A132&gt;=$B$1),B132,IF(AND(C132&gt;=Events!$A134,C132&lt;=$B$2,C132+$A132&gt;=$B$1),C132,IF(AND(D132&gt;=Events!$A134,D132&lt;=$B$2,D132+$A132&gt;=$B$1),D132,""))),IF(AND(Events!$A134&lt;=$B$2,Events!$A134+$A132&gt;=$B$1),Events!$A134,"")),""))</f>
        <v/>
      </c>
      <c r="F132">
        <f>IF(E132="","",E132+A132)</f>
        <v/>
      </c>
      <c r="G132">
        <f>IF(E132="","",IF(AND(E132&lt;=EOMONTH(Calendar!$K$2,0),F132&gt;=Calendar!$K$2),E132+129/100000,""))</f>
        <v/>
      </c>
      <c r="H132">
        <f>H131+IF(AND($E132&lt;&gt;"",$E132&lt;=H$2,$F132&gt;=H$2),1,0)</f>
        <v/>
      </c>
      <c r="I132">
        <f>I131+IF(AND($E132&lt;&gt;"",$E132&lt;=I$2,$F132&gt;=I$2),1,0)</f>
        <v/>
      </c>
      <c r="J132">
        <f>J131+IF(AND($E132&lt;&gt;"",$E132&lt;=J$2,$F132&gt;=J$2),1,0)</f>
        <v/>
      </c>
      <c r="K132">
        <f>K131+IF(AND($E132&lt;&gt;"",$E132&lt;=K$2,$F132&gt;=K$2),1,0)</f>
        <v/>
      </c>
      <c r="L132">
        <f>L131+IF(AND($E132&lt;&gt;"",$E132&lt;=L$2,$F132&gt;=L$2),1,0)</f>
        <v/>
      </c>
      <c r="M132">
        <f>M131+IF(AND($E132&lt;&gt;"",$E132&lt;=M$2,$F132&gt;=M$2),1,0)</f>
        <v/>
      </c>
      <c r="N132">
        <f>N131+IF(AND($E132&lt;&gt;"",$E132&lt;=N$2,$F132&gt;=N$2),1,0)</f>
        <v/>
      </c>
      <c r="O132">
        <f>O131+IF(AND($E132&lt;&gt;"",$E132&lt;=O$2,$F132&gt;=O$2),1,0)</f>
        <v/>
      </c>
      <c r="P132">
        <f>P131+IF(AND($E132&lt;&gt;"",$E132&lt;=P$2,$F132&gt;=P$2),1,0)</f>
        <v/>
      </c>
      <c r="Q132">
        <f>Q131+IF(AND($E132&lt;&gt;"",$E132&lt;=Q$2,$F132&gt;=Q$2),1,0)</f>
        <v/>
      </c>
      <c r="R132">
        <f>R131+IF(AND($E132&lt;&gt;"",$E132&lt;=R$2,$F132&gt;=R$2),1,0)</f>
        <v/>
      </c>
      <c r="S132">
        <f>S131+IF(AND($E132&lt;&gt;"",$E132&lt;=S$2,$F132&gt;=S$2),1,0)</f>
        <v/>
      </c>
      <c r="T132">
        <f>T131+IF(AND($E132&lt;&gt;"",$E132&lt;=T$2,$F132&gt;=T$2),1,0)</f>
        <v/>
      </c>
      <c r="U132">
        <f>U131+IF(AND($E132&lt;&gt;"",$E132&lt;=U$2,$F132&gt;=U$2),1,0)</f>
        <v/>
      </c>
      <c r="V132">
        <f>V131+IF(AND($E132&lt;&gt;"",$E132&lt;=V$2,$F132&gt;=V$2),1,0)</f>
        <v/>
      </c>
      <c r="W132">
        <f>W131+IF(AND($E132&lt;&gt;"",$E132&lt;=W$2,$F132&gt;=W$2),1,0)</f>
        <v/>
      </c>
      <c r="X132">
        <f>X131+IF(AND($E132&lt;&gt;"",$E132&lt;=X$2,$F132&gt;=X$2),1,0)</f>
        <v/>
      </c>
      <c r="Y132">
        <f>Y131+IF(AND($E132&lt;&gt;"",$E132&lt;=Y$2,$F132&gt;=Y$2),1,0)</f>
        <v/>
      </c>
      <c r="Z132">
        <f>Z131+IF(AND($E132&lt;&gt;"",$E132&lt;=Z$2,$F132&gt;=Z$2),1,0)</f>
        <v/>
      </c>
      <c r="AA132">
        <f>AA131+IF(AND($E132&lt;&gt;"",$E132&lt;=AA$2,$F132&gt;=AA$2),1,0)</f>
        <v/>
      </c>
      <c r="AB132">
        <f>AB131+IF(AND($E132&lt;&gt;"",$E132&lt;=AB$2,$F132&gt;=AB$2),1,0)</f>
        <v/>
      </c>
      <c r="AC132">
        <f>AC131+IF(AND($E132&lt;&gt;"",$E132&lt;=AC$2,$F132&gt;=AC$2),1,0)</f>
        <v/>
      </c>
      <c r="AD132">
        <f>AD131+IF(AND($E132&lt;&gt;"",$E132&lt;=AD$2,$F132&gt;=AD$2),1,0)</f>
        <v/>
      </c>
      <c r="AE132">
        <f>AE131+IF(AND($E132&lt;&gt;"",$E132&lt;=AE$2,$F132&gt;=AE$2),1,0)</f>
        <v/>
      </c>
      <c r="AF132">
        <f>AF131+IF(AND($E132&lt;&gt;"",$E132&lt;=AF$2,$F132&gt;=AF$2),1,0)</f>
        <v/>
      </c>
      <c r="AG132">
        <f>AG131+IF(AND($E132&lt;&gt;"",$E132&lt;=AG$2,$F132&gt;=AG$2),1,0)</f>
        <v/>
      </c>
      <c r="AH132">
        <f>AH131+IF(AND($E132&lt;&gt;"",$E132&lt;=AH$2,$F132&gt;=AH$2),1,0)</f>
        <v/>
      </c>
      <c r="AI132">
        <f>AI131+IF(AND($E132&lt;&gt;"",$E132&lt;=AI$2,$F132&gt;=AI$2),1,0)</f>
        <v/>
      </c>
      <c r="AJ132">
        <f>AJ131+IF(AND($E132&lt;&gt;"",$E132&lt;=AJ$2,$F132&gt;=AJ$2),1,0)</f>
        <v/>
      </c>
      <c r="AK132">
        <f>AK131+IF(AND($E132&lt;&gt;"",$E132&lt;=AK$2,$F132&gt;=AK$2),1,0)</f>
        <v/>
      </c>
      <c r="AL132">
        <f>AL131+IF(AND($E132&lt;&gt;"",$E132&lt;=AL$2,$F132&gt;=AL$2),1,0)</f>
        <v/>
      </c>
      <c r="AM132">
        <f>AM131+IF(AND($E132&lt;&gt;"",$E132&lt;=AM$2,$F132&gt;=AM$2),1,0)</f>
        <v/>
      </c>
      <c r="AN132">
        <f>AN131+IF(AND($E132&lt;&gt;"",$E132&lt;=AN$2,$F132&gt;=AN$2),1,0)</f>
        <v/>
      </c>
      <c r="AO132">
        <f>AO131+IF(AND($E132&lt;&gt;"",$E132&lt;=AO$2,$F132&gt;=AO$2),1,0)</f>
        <v/>
      </c>
      <c r="AP132">
        <f>AP131+IF(AND($E132&lt;&gt;"",$E132&lt;=AP$2,$F132&gt;=AP$2),1,0)</f>
        <v/>
      </c>
      <c r="AQ132">
        <f>AQ131+IF(AND($E132&lt;&gt;"",$E132&lt;=AQ$2,$F132&gt;=AQ$2),1,0)</f>
        <v/>
      </c>
      <c r="AR132">
        <f>AR131+IF(AND($E132&lt;&gt;"",$E132&lt;=AR$2,$F132&gt;=AR$2),1,0)</f>
        <v/>
      </c>
      <c r="AS132">
        <f>AS131+IF(AND($E132&lt;&gt;"",$E132&lt;=AS$2,$F132&gt;=AS$2),1,0)</f>
        <v/>
      </c>
      <c r="AT132">
        <f>AT131+IF(AND($E132&lt;&gt;"",$E132&lt;=AT$2,$F132&gt;=AT$2),1,0)</f>
        <v/>
      </c>
      <c r="AU132">
        <f>AU131+IF(AND($E132&lt;&gt;"",$E132&lt;=AU$2,$F132&gt;=AU$2),1,0)</f>
        <v/>
      </c>
      <c r="AV132">
        <f>AV131+IF(AND($E132&lt;&gt;"",$E132&lt;=AV$2,$F132&gt;=AV$2),1,0)</f>
        <v/>
      </c>
      <c r="AW132">
        <f>AW131+IF(AND($E132&lt;&gt;"",$E132&lt;=AW$2,$F132&gt;=AW$2),1,0)</f>
        <v/>
      </c>
    </row>
    <row r="133">
      <c r="A133">
        <f>IF(AND(ISNUMBER(Events!$A135),ISNUMBER(Events!$B135)),MAX(0,Events!$B135-Events!$A135),0)</f>
        <v/>
      </c>
      <c r="B133">
        <f>IF(ISNUMBER(Events!$A135),DATE(YEAR($B$1)-1,MONTH(Events!$A135),DAY(Events!$A135)),"")</f>
        <v/>
      </c>
      <c r="C133">
        <f>IF(ISNUMBER(Events!$A135),DATE(YEAR($B$1),MONTH(Events!$A135),DAY(Events!$A135)),"")</f>
        <v/>
      </c>
      <c r="D133">
        <f>IF(ISNUMBER(Events!$A135),DATE(YEAR($B$2),MONTH(Events!$A135),DAY(Events!$A135)),"")</f>
        <v/>
      </c>
      <c r="E133">
        <f>IF(OR(NOT(ISNUMBER(Events!$A135)),Events!$G135="No",Calendar!$H$4="None"),"",IF(OR(Calendar!$H$4="All events",Events!$D135=Calendar!$H$4),IF(Events!$E135="Yes",IF(AND(B133&gt;=Events!$A135,B133&lt;=$B$2,B133+$A133&gt;=$B$1),B133,IF(AND(C133&gt;=Events!$A135,C133&lt;=$B$2,C133+$A133&gt;=$B$1),C133,IF(AND(D133&gt;=Events!$A135,D133&lt;=$B$2,D133+$A133&gt;=$B$1),D133,""))),IF(AND(Events!$A135&lt;=$B$2,Events!$A135+$A133&gt;=$B$1),Events!$A135,"")),""))</f>
        <v/>
      </c>
      <c r="F133">
        <f>IF(E133="","",E133+A133)</f>
        <v/>
      </c>
      <c r="G133">
        <f>IF(E133="","",IF(AND(E133&lt;=EOMONTH(Calendar!$K$2,0),F133&gt;=Calendar!$K$2),E133+130/100000,""))</f>
        <v/>
      </c>
      <c r="H133">
        <f>H132+IF(AND($E133&lt;&gt;"",$E133&lt;=H$2,$F133&gt;=H$2),1,0)</f>
        <v/>
      </c>
      <c r="I133">
        <f>I132+IF(AND($E133&lt;&gt;"",$E133&lt;=I$2,$F133&gt;=I$2),1,0)</f>
        <v/>
      </c>
      <c r="J133">
        <f>J132+IF(AND($E133&lt;&gt;"",$E133&lt;=J$2,$F133&gt;=J$2),1,0)</f>
        <v/>
      </c>
      <c r="K133">
        <f>K132+IF(AND($E133&lt;&gt;"",$E133&lt;=K$2,$F133&gt;=K$2),1,0)</f>
        <v/>
      </c>
      <c r="L133">
        <f>L132+IF(AND($E133&lt;&gt;"",$E133&lt;=L$2,$F133&gt;=L$2),1,0)</f>
        <v/>
      </c>
      <c r="M133">
        <f>M132+IF(AND($E133&lt;&gt;"",$E133&lt;=M$2,$F133&gt;=M$2),1,0)</f>
        <v/>
      </c>
      <c r="N133">
        <f>N132+IF(AND($E133&lt;&gt;"",$E133&lt;=N$2,$F133&gt;=N$2),1,0)</f>
        <v/>
      </c>
      <c r="O133">
        <f>O132+IF(AND($E133&lt;&gt;"",$E133&lt;=O$2,$F133&gt;=O$2),1,0)</f>
        <v/>
      </c>
      <c r="P133">
        <f>P132+IF(AND($E133&lt;&gt;"",$E133&lt;=P$2,$F133&gt;=P$2),1,0)</f>
        <v/>
      </c>
      <c r="Q133">
        <f>Q132+IF(AND($E133&lt;&gt;"",$E133&lt;=Q$2,$F133&gt;=Q$2),1,0)</f>
        <v/>
      </c>
      <c r="R133">
        <f>R132+IF(AND($E133&lt;&gt;"",$E133&lt;=R$2,$F133&gt;=R$2),1,0)</f>
        <v/>
      </c>
      <c r="S133">
        <f>S132+IF(AND($E133&lt;&gt;"",$E133&lt;=S$2,$F133&gt;=S$2),1,0)</f>
        <v/>
      </c>
      <c r="T133">
        <f>T132+IF(AND($E133&lt;&gt;"",$E133&lt;=T$2,$F133&gt;=T$2),1,0)</f>
        <v/>
      </c>
      <c r="U133">
        <f>U132+IF(AND($E133&lt;&gt;"",$E133&lt;=U$2,$F133&gt;=U$2),1,0)</f>
        <v/>
      </c>
      <c r="V133">
        <f>V132+IF(AND($E133&lt;&gt;"",$E133&lt;=V$2,$F133&gt;=V$2),1,0)</f>
        <v/>
      </c>
      <c r="W133">
        <f>W132+IF(AND($E133&lt;&gt;"",$E133&lt;=W$2,$F133&gt;=W$2),1,0)</f>
        <v/>
      </c>
      <c r="X133">
        <f>X132+IF(AND($E133&lt;&gt;"",$E133&lt;=X$2,$F133&gt;=X$2),1,0)</f>
        <v/>
      </c>
      <c r="Y133">
        <f>Y132+IF(AND($E133&lt;&gt;"",$E133&lt;=Y$2,$F133&gt;=Y$2),1,0)</f>
        <v/>
      </c>
      <c r="Z133">
        <f>Z132+IF(AND($E133&lt;&gt;"",$E133&lt;=Z$2,$F133&gt;=Z$2),1,0)</f>
        <v/>
      </c>
      <c r="AA133">
        <f>AA132+IF(AND($E133&lt;&gt;"",$E133&lt;=AA$2,$F133&gt;=AA$2),1,0)</f>
        <v/>
      </c>
      <c r="AB133">
        <f>AB132+IF(AND($E133&lt;&gt;"",$E133&lt;=AB$2,$F133&gt;=AB$2),1,0)</f>
        <v/>
      </c>
      <c r="AC133">
        <f>AC132+IF(AND($E133&lt;&gt;"",$E133&lt;=AC$2,$F133&gt;=AC$2),1,0)</f>
        <v/>
      </c>
      <c r="AD133">
        <f>AD132+IF(AND($E133&lt;&gt;"",$E133&lt;=AD$2,$F133&gt;=AD$2),1,0)</f>
        <v/>
      </c>
      <c r="AE133">
        <f>AE132+IF(AND($E133&lt;&gt;"",$E133&lt;=AE$2,$F133&gt;=AE$2),1,0)</f>
        <v/>
      </c>
      <c r="AF133">
        <f>AF132+IF(AND($E133&lt;&gt;"",$E133&lt;=AF$2,$F133&gt;=AF$2),1,0)</f>
        <v/>
      </c>
      <c r="AG133">
        <f>AG132+IF(AND($E133&lt;&gt;"",$E133&lt;=AG$2,$F133&gt;=AG$2),1,0)</f>
        <v/>
      </c>
      <c r="AH133">
        <f>AH132+IF(AND($E133&lt;&gt;"",$E133&lt;=AH$2,$F133&gt;=AH$2),1,0)</f>
        <v/>
      </c>
      <c r="AI133">
        <f>AI132+IF(AND($E133&lt;&gt;"",$E133&lt;=AI$2,$F133&gt;=AI$2),1,0)</f>
        <v/>
      </c>
      <c r="AJ133">
        <f>AJ132+IF(AND($E133&lt;&gt;"",$E133&lt;=AJ$2,$F133&gt;=AJ$2),1,0)</f>
        <v/>
      </c>
      <c r="AK133">
        <f>AK132+IF(AND($E133&lt;&gt;"",$E133&lt;=AK$2,$F133&gt;=AK$2),1,0)</f>
        <v/>
      </c>
      <c r="AL133">
        <f>AL132+IF(AND($E133&lt;&gt;"",$E133&lt;=AL$2,$F133&gt;=AL$2),1,0)</f>
        <v/>
      </c>
      <c r="AM133">
        <f>AM132+IF(AND($E133&lt;&gt;"",$E133&lt;=AM$2,$F133&gt;=AM$2),1,0)</f>
        <v/>
      </c>
      <c r="AN133">
        <f>AN132+IF(AND($E133&lt;&gt;"",$E133&lt;=AN$2,$F133&gt;=AN$2),1,0)</f>
        <v/>
      </c>
      <c r="AO133">
        <f>AO132+IF(AND($E133&lt;&gt;"",$E133&lt;=AO$2,$F133&gt;=AO$2),1,0)</f>
        <v/>
      </c>
      <c r="AP133">
        <f>AP132+IF(AND($E133&lt;&gt;"",$E133&lt;=AP$2,$F133&gt;=AP$2),1,0)</f>
        <v/>
      </c>
      <c r="AQ133">
        <f>AQ132+IF(AND($E133&lt;&gt;"",$E133&lt;=AQ$2,$F133&gt;=AQ$2),1,0)</f>
        <v/>
      </c>
      <c r="AR133">
        <f>AR132+IF(AND($E133&lt;&gt;"",$E133&lt;=AR$2,$F133&gt;=AR$2),1,0)</f>
        <v/>
      </c>
      <c r="AS133">
        <f>AS132+IF(AND($E133&lt;&gt;"",$E133&lt;=AS$2,$F133&gt;=AS$2),1,0)</f>
        <v/>
      </c>
      <c r="AT133">
        <f>AT132+IF(AND($E133&lt;&gt;"",$E133&lt;=AT$2,$F133&gt;=AT$2),1,0)</f>
        <v/>
      </c>
      <c r="AU133">
        <f>AU132+IF(AND($E133&lt;&gt;"",$E133&lt;=AU$2,$F133&gt;=AU$2),1,0)</f>
        <v/>
      </c>
      <c r="AV133">
        <f>AV132+IF(AND($E133&lt;&gt;"",$E133&lt;=AV$2,$F133&gt;=AV$2),1,0)</f>
        <v/>
      </c>
      <c r="AW133">
        <f>AW132+IF(AND($E133&lt;&gt;"",$E133&lt;=AW$2,$F133&gt;=AW$2),1,0)</f>
        <v/>
      </c>
    </row>
    <row r="134">
      <c r="A134">
        <f>IF(AND(ISNUMBER(Events!$A136),ISNUMBER(Events!$B136)),MAX(0,Events!$B136-Events!$A136),0)</f>
        <v/>
      </c>
      <c r="B134">
        <f>IF(ISNUMBER(Events!$A136),DATE(YEAR($B$1)-1,MONTH(Events!$A136),DAY(Events!$A136)),"")</f>
        <v/>
      </c>
      <c r="C134">
        <f>IF(ISNUMBER(Events!$A136),DATE(YEAR($B$1),MONTH(Events!$A136),DAY(Events!$A136)),"")</f>
        <v/>
      </c>
      <c r="D134">
        <f>IF(ISNUMBER(Events!$A136),DATE(YEAR($B$2),MONTH(Events!$A136),DAY(Events!$A136)),"")</f>
        <v/>
      </c>
      <c r="E134">
        <f>IF(OR(NOT(ISNUMBER(Events!$A136)),Events!$G136="No",Calendar!$H$4="None"),"",IF(OR(Calendar!$H$4="All events",Events!$D136=Calendar!$H$4),IF(Events!$E136="Yes",IF(AND(B134&gt;=Events!$A136,B134&lt;=$B$2,B134+$A134&gt;=$B$1),B134,IF(AND(C134&gt;=Events!$A136,C134&lt;=$B$2,C134+$A134&gt;=$B$1),C134,IF(AND(D134&gt;=Events!$A136,D134&lt;=$B$2,D134+$A134&gt;=$B$1),D134,""))),IF(AND(Events!$A136&lt;=$B$2,Events!$A136+$A134&gt;=$B$1),Events!$A136,"")),""))</f>
        <v/>
      </c>
      <c r="F134">
        <f>IF(E134="","",E134+A134)</f>
        <v/>
      </c>
      <c r="G134">
        <f>IF(E134="","",IF(AND(E134&lt;=EOMONTH(Calendar!$K$2,0),F134&gt;=Calendar!$K$2),E134+131/100000,""))</f>
        <v/>
      </c>
      <c r="H134">
        <f>H133+IF(AND($E134&lt;&gt;"",$E134&lt;=H$2,$F134&gt;=H$2),1,0)</f>
        <v/>
      </c>
      <c r="I134">
        <f>I133+IF(AND($E134&lt;&gt;"",$E134&lt;=I$2,$F134&gt;=I$2),1,0)</f>
        <v/>
      </c>
      <c r="J134">
        <f>J133+IF(AND($E134&lt;&gt;"",$E134&lt;=J$2,$F134&gt;=J$2),1,0)</f>
        <v/>
      </c>
      <c r="K134">
        <f>K133+IF(AND($E134&lt;&gt;"",$E134&lt;=K$2,$F134&gt;=K$2),1,0)</f>
        <v/>
      </c>
      <c r="L134">
        <f>L133+IF(AND($E134&lt;&gt;"",$E134&lt;=L$2,$F134&gt;=L$2),1,0)</f>
        <v/>
      </c>
      <c r="M134">
        <f>M133+IF(AND($E134&lt;&gt;"",$E134&lt;=M$2,$F134&gt;=M$2),1,0)</f>
        <v/>
      </c>
      <c r="N134">
        <f>N133+IF(AND($E134&lt;&gt;"",$E134&lt;=N$2,$F134&gt;=N$2),1,0)</f>
        <v/>
      </c>
      <c r="O134">
        <f>O133+IF(AND($E134&lt;&gt;"",$E134&lt;=O$2,$F134&gt;=O$2),1,0)</f>
        <v/>
      </c>
      <c r="P134">
        <f>P133+IF(AND($E134&lt;&gt;"",$E134&lt;=P$2,$F134&gt;=P$2),1,0)</f>
        <v/>
      </c>
      <c r="Q134">
        <f>Q133+IF(AND($E134&lt;&gt;"",$E134&lt;=Q$2,$F134&gt;=Q$2),1,0)</f>
        <v/>
      </c>
      <c r="R134">
        <f>R133+IF(AND($E134&lt;&gt;"",$E134&lt;=R$2,$F134&gt;=R$2),1,0)</f>
        <v/>
      </c>
      <c r="S134">
        <f>S133+IF(AND($E134&lt;&gt;"",$E134&lt;=S$2,$F134&gt;=S$2),1,0)</f>
        <v/>
      </c>
      <c r="T134">
        <f>T133+IF(AND($E134&lt;&gt;"",$E134&lt;=T$2,$F134&gt;=T$2),1,0)</f>
        <v/>
      </c>
      <c r="U134">
        <f>U133+IF(AND($E134&lt;&gt;"",$E134&lt;=U$2,$F134&gt;=U$2),1,0)</f>
        <v/>
      </c>
      <c r="V134">
        <f>V133+IF(AND($E134&lt;&gt;"",$E134&lt;=V$2,$F134&gt;=V$2),1,0)</f>
        <v/>
      </c>
      <c r="W134">
        <f>W133+IF(AND($E134&lt;&gt;"",$E134&lt;=W$2,$F134&gt;=W$2),1,0)</f>
        <v/>
      </c>
      <c r="X134">
        <f>X133+IF(AND($E134&lt;&gt;"",$E134&lt;=X$2,$F134&gt;=X$2),1,0)</f>
        <v/>
      </c>
      <c r="Y134">
        <f>Y133+IF(AND($E134&lt;&gt;"",$E134&lt;=Y$2,$F134&gt;=Y$2),1,0)</f>
        <v/>
      </c>
      <c r="Z134">
        <f>Z133+IF(AND($E134&lt;&gt;"",$E134&lt;=Z$2,$F134&gt;=Z$2),1,0)</f>
        <v/>
      </c>
      <c r="AA134">
        <f>AA133+IF(AND($E134&lt;&gt;"",$E134&lt;=AA$2,$F134&gt;=AA$2),1,0)</f>
        <v/>
      </c>
      <c r="AB134">
        <f>AB133+IF(AND($E134&lt;&gt;"",$E134&lt;=AB$2,$F134&gt;=AB$2),1,0)</f>
        <v/>
      </c>
      <c r="AC134">
        <f>AC133+IF(AND($E134&lt;&gt;"",$E134&lt;=AC$2,$F134&gt;=AC$2),1,0)</f>
        <v/>
      </c>
      <c r="AD134">
        <f>AD133+IF(AND($E134&lt;&gt;"",$E134&lt;=AD$2,$F134&gt;=AD$2),1,0)</f>
        <v/>
      </c>
      <c r="AE134">
        <f>AE133+IF(AND($E134&lt;&gt;"",$E134&lt;=AE$2,$F134&gt;=AE$2),1,0)</f>
        <v/>
      </c>
      <c r="AF134">
        <f>AF133+IF(AND($E134&lt;&gt;"",$E134&lt;=AF$2,$F134&gt;=AF$2),1,0)</f>
        <v/>
      </c>
      <c r="AG134">
        <f>AG133+IF(AND($E134&lt;&gt;"",$E134&lt;=AG$2,$F134&gt;=AG$2),1,0)</f>
        <v/>
      </c>
      <c r="AH134">
        <f>AH133+IF(AND($E134&lt;&gt;"",$E134&lt;=AH$2,$F134&gt;=AH$2),1,0)</f>
        <v/>
      </c>
      <c r="AI134">
        <f>AI133+IF(AND($E134&lt;&gt;"",$E134&lt;=AI$2,$F134&gt;=AI$2),1,0)</f>
        <v/>
      </c>
      <c r="AJ134">
        <f>AJ133+IF(AND($E134&lt;&gt;"",$E134&lt;=AJ$2,$F134&gt;=AJ$2),1,0)</f>
        <v/>
      </c>
      <c r="AK134">
        <f>AK133+IF(AND($E134&lt;&gt;"",$E134&lt;=AK$2,$F134&gt;=AK$2),1,0)</f>
        <v/>
      </c>
      <c r="AL134">
        <f>AL133+IF(AND($E134&lt;&gt;"",$E134&lt;=AL$2,$F134&gt;=AL$2),1,0)</f>
        <v/>
      </c>
      <c r="AM134">
        <f>AM133+IF(AND($E134&lt;&gt;"",$E134&lt;=AM$2,$F134&gt;=AM$2),1,0)</f>
        <v/>
      </c>
      <c r="AN134">
        <f>AN133+IF(AND($E134&lt;&gt;"",$E134&lt;=AN$2,$F134&gt;=AN$2),1,0)</f>
        <v/>
      </c>
      <c r="AO134">
        <f>AO133+IF(AND($E134&lt;&gt;"",$E134&lt;=AO$2,$F134&gt;=AO$2),1,0)</f>
        <v/>
      </c>
      <c r="AP134">
        <f>AP133+IF(AND($E134&lt;&gt;"",$E134&lt;=AP$2,$F134&gt;=AP$2),1,0)</f>
        <v/>
      </c>
      <c r="AQ134">
        <f>AQ133+IF(AND($E134&lt;&gt;"",$E134&lt;=AQ$2,$F134&gt;=AQ$2),1,0)</f>
        <v/>
      </c>
      <c r="AR134">
        <f>AR133+IF(AND($E134&lt;&gt;"",$E134&lt;=AR$2,$F134&gt;=AR$2),1,0)</f>
        <v/>
      </c>
      <c r="AS134">
        <f>AS133+IF(AND($E134&lt;&gt;"",$E134&lt;=AS$2,$F134&gt;=AS$2),1,0)</f>
        <v/>
      </c>
      <c r="AT134">
        <f>AT133+IF(AND($E134&lt;&gt;"",$E134&lt;=AT$2,$F134&gt;=AT$2),1,0)</f>
        <v/>
      </c>
      <c r="AU134">
        <f>AU133+IF(AND($E134&lt;&gt;"",$E134&lt;=AU$2,$F134&gt;=AU$2),1,0)</f>
        <v/>
      </c>
      <c r="AV134">
        <f>AV133+IF(AND($E134&lt;&gt;"",$E134&lt;=AV$2,$F134&gt;=AV$2),1,0)</f>
        <v/>
      </c>
      <c r="AW134">
        <f>AW133+IF(AND($E134&lt;&gt;"",$E134&lt;=AW$2,$F134&gt;=AW$2),1,0)</f>
        <v/>
      </c>
    </row>
    <row r="135">
      <c r="A135">
        <f>IF(AND(ISNUMBER(Events!$A137),ISNUMBER(Events!$B137)),MAX(0,Events!$B137-Events!$A137),0)</f>
        <v/>
      </c>
      <c r="B135">
        <f>IF(ISNUMBER(Events!$A137),DATE(YEAR($B$1)-1,MONTH(Events!$A137),DAY(Events!$A137)),"")</f>
        <v/>
      </c>
      <c r="C135">
        <f>IF(ISNUMBER(Events!$A137),DATE(YEAR($B$1),MONTH(Events!$A137),DAY(Events!$A137)),"")</f>
        <v/>
      </c>
      <c r="D135">
        <f>IF(ISNUMBER(Events!$A137),DATE(YEAR($B$2),MONTH(Events!$A137),DAY(Events!$A137)),"")</f>
        <v/>
      </c>
      <c r="E135">
        <f>IF(OR(NOT(ISNUMBER(Events!$A137)),Events!$G137="No",Calendar!$H$4="None"),"",IF(OR(Calendar!$H$4="All events",Events!$D137=Calendar!$H$4),IF(Events!$E137="Yes",IF(AND(B135&gt;=Events!$A137,B135&lt;=$B$2,B135+$A135&gt;=$B$1),B135,IF(AND(C135&gt;=Events!$A137,C135&lt;=$B$2,C135+$A135&gt;=$B$1),C135,IF(AND(D135&gt;=Events!$A137,D135&lt;=$B$2,D135+$A135&gt;=$B$1),D135,""))),IF(AND(Events!$A137&lt;=$B$2,Events!$A137+$A135&gt;=$B$1),Events!$A137,"")),""))</f>
        <v/>
      </c>
      <c r="F135">
        <f>IF(E135="","",E135+A135)</f>
        <v/>
      </c>
      <c r="G135">
        <f>IF(E135="","",IF(AND(E135&lt;=EOMONTH(Calendar!$K$2,0),F135&gt;=Calendar!$K$2),E135+132/100000,""))</f>
        <v/>
      </c>
      <c r="H135">
        <f>H134+IF(AND($E135&lt;&gt;"",$E135&lt;=H$2,$F135&gt;=H$2),1,0)</f>
        <v/>
      </c>
      <c r="I135">
        <f>I134+IF(AND($E135&lt;&gt;"",$E135&lt;=I$2,$F135&gt;=I$2),1,0)</f>
        <v/>
      </c>
      <c r="J135">
        <f>J134+IF(AND($E135&lt;&gt;"",$E135&lt;=J$2,$F135&gt;=J$2),1,0)</f>
        <v/>
      </c>
      <c r="K135">
        <f>K134+IF(AND($E135&lt;&gt;"",$E135&lt;=K$2,$F135&gt;=K$2),1,0)</f>
        <v/>
      </c>
      <c r="L135">
        <f>L134+IF(AND($E135&lt;&gt;"",$E135&lt;=L$2,$F135&gt;=L$2),1,0)</f>
        <v/>
      </c>
      <c r="M135">
        <f>M134+IF(AND($E135&lt;&gt;"",$E135&lt;=M$2,$F135&gt;=M$2),1,0)</f>
        <v/>
      </c>
      <c r="N135">
        <f>N134+IF(AND($E135&lt;&gt;"",$E135&lt;=N$2,$F135&gt;=N$2),1,0)</f>
        <v/>
      </c>
      <c r="O135">
        <f>O134+IF(AND($E135&lt;&gt;"",$E135&lt;=O$2,$F135&gt;=O$2),1,0)</f>
        <v/>
      </c>
      <c r="P135">
        <f>P134+IF(AND($E135&lt;&gt;"",$E135&lt;=P$2,$F135&gt;=P$2),1,0)</f>
        <v/>
      </c>
      <c r="Q135">
        <f>Q134+IF(AND($E135&lt;&gt;"",$E135&lt;=Q$2,$F135&gt;=Q$2),1,0)</f>
        <v/>
      </c>
      <c r="R135">
        <f>R134+IF(AND($E135&lt;&gt;"",$E135&lt;=R$2,$F135&gt;=R$2),1,0)</f>
        <v/>
      </c>
      <c r="S135">
        <f>S134+IF(AND($E135&lt;&gt;"",$E135&lt;=S$2,$F135&gt;=S$2),1,0)</f>
        <v/>
      </c>
      <c r="T135">
        <f>T134+IF(AND($E135&lt;&gt;"",$E135&lt;=T$2,$F135&gt;=T$2),1,0)</f>
        <v/>
      </c>
      <c r="U135">
        <f>U134+IF(AND($E135&lt;&gt;"",$E135&lt;=U$2,$F135&gt;=U$2),1,0)</f>
        <v/>
      </c>
      <c r="V135">
        <f>V134+IF(AND($E135&lt;&gt;"",$E135&lt;=V$2,$F135&gt;=V$2),1,0)</f>
        <v/>
      </c>
      <c r="W135">
        <f>W134+IF(AND($E135&lt;&gt;"",$E135&lt;=W$2,$F135&gt;=W$2),1,0)</f>
        <v/>
      </c>
      <c r="X135">
        <f>X134+IF(AND($E135&lt;&gt;"",$E135&lt;=X$2,$F135&gt;=X$2),1,0)</f>
        <v/>
      </c>
      <c r="Y135">
        <f>Y134+IF(AND($E135&lt;&gt;"",$E135&lt;=Y$2,$F135&gt;=Y$2),1,0)</f>
        <v/>
      </c>
      <c r="Z135">
        <f>Z134+IF(AND($E135&lt;&gt;"",$E135&lt;=Z$2,$F135&gt;=Z$2),1,0)</f>
        <v/>
      </c>
      <c r="AA135">
        <f>AA134+IF(AND($E135&lt;&gt;"",$E135&lt;=AA$2,$F135&gt;=AA$2),1,0)</f>
        <v/>
      </c>
      <c r="AB135">
        <f>AB134+IF(AND($E135&lt;&gt;"",$E135&lt;=AB$2,$F135&gt;=AB$2),1,0)</f>
        <v/>
      </c>
      <c r="AC135">
        <f>AC134+IF(AND($E135&lt;&gt;"",$E135&lt;=AC$2,$F135&gt;=AC$2),1,0)</f>
        <v/>
      </c>
      <c r="AD135">
        <f>AD134+IF(AND($E135&lt;&gt;"",$E135&lt;=AD$2,$F135&gt;=AD$2),1,0)</f>
        <v/>
      </c>
      <c r="AE135">
        <f>AE134+IF(AND($E135&lt;&gt;"",$E135&lt;=AE$2,$F135&gt;=AE$2),1,0)</f>
        <v/>
      </c>
      <c r="AF135">
        <f>AF134+IF(AND($E135&lt;&gt;"",$E135&lt;=AF$2,$F135&gt;=AF$2),1,0)</f>
        <v/>
      </c>
      <c r="AG135">
        <f>AG134+IF(AND($E135&lt;&gt;"",$E135&lt;=AG$2,$F135&gt;=AG$2),1,0)</f>
        <v/>
      </c>
      <c r="AH135">
        <f>AH134+IF(AND($E135&lt;&gt;"",$E135&lt;=AH$2,$F135&gt;=AH$2),1,0)</f>
        <v/>
      </c>
      <c r="AI135">
        <f>AI134+IF(AND($E135&lt;&gt;"",$E135&lt;=AI$2,$F135&gt;=AI$2),1,0)</f>
        <v/>
      </c>
      <c r="AJ135">
        <f>AJ134+IF(AND($E135&lt;&gt;"",$E135&lt;=AJ$2,$F135&gt;=AJ$2),1,0)</f>
        <v/>
      </c>
      <c r="AK135">
        <f>AK134+IF(AND($E135&lt;&gt;"",$E135&lt;=AK$2,$F135&gt;=AK$2),1,0)</f>
        <v/>
      </c>
      <c r="AL135">
        <f>AL134+IF(AND($E135&lt;&gt;"",$E135&lt;=AL$2,$F135&gt;=AL$2),1,0)</f>
        <v/>
      </c>
      <c r="AM135">
        <f>AM134+IF(AND($E135&lt;&gt;"",$E135&lt;=AM$2,$F135&gt;=AM$2),1,0)</f>
        <v/>
      </c>
      <c r="AN135">
        <f>AN134+IF(AND($E135&lt;&gt;"",$E135&lt;=AN$2,$F135&gt;=AN$2),1,0)</f>
        <v/>
      </c>
      <c r="AO135">
        <f>AO134+IF(AND($E135&lt;&gt;"",$E135&lt;=AO$2,$F135&gt;=AO$2),1,0)</f>
        <v/>
      </c>
      <c r="AP135">
        <f>AP134+IF(AND($E135&lt;&gt;"",$E135&lt;=AP$2,$F135&gt;=AP$2),1,0)</f>
        <v/>
      </c>
      <c r="AQ135">
        <f>AQ134+IF(AND($E135&lt;&gt;"",$E135&lt;=AQ$2,$F135&gt;=AQ$2),1,0)</f>
        <v/>
      </c>
      <c r="AR135">
        <f>AR134+IF(AND($E135&lt;&gt;"",$E135&lt;=AR$2,$F135&gt;=AR$2),1,0)</f>
        <v/>
      </c>
      <c r="AS135">
        <f>AS134+IF(AND($E135&lt;&gt;"",$E135&lt;=AS$2,$F135&gt;=AS$2),1,0)</f>
        <v/>
      </c>
      <c r="AT135">
        <f>AT134+IF(AND($E135&lt;&gt;"",$E135&lt;=AT$2,$F135&gt;=AT$2),1,0)</f>
        <v/>
      </c>
      <c r="AU135">
        <f>AU134+IF(AND($E135&lt;&gt;"",$E135&lt;=AU$2,$F135&gt;=AU$2),1,0)</f>
        <v/>
      </c>
      <c r="AV135">
        <f>AV134+IF(AND($E135&lt;&gt;"",$E135&lt;=AV$2,$F135&gt;=AV$2),1,0)</f>
        <v/>
      </c>
      <c r="AW135">
        <f>AW134+IF(AND($E135&lt;&gt;"",$E135&lt;=AW$2,$F135&gt;=AW$2),1,0)</f>
        <v/>
      </c>
    </row>
    <row r="136">
      <c r="A136">
        <f>IF(AND(ISNUMBER(Events!$A138),ISNUMBER(Events!$B138)),MAX(0,Events!$B138-Events!$A138),0)</f>
        <v/>
      </c>
      <c r="B136">
        <f>IF(ISNUMBER(Events!$A138),DATE(YEAR($B$1)-1,MONTH(Events!$A138),DAY(Events!$A138)),"")</f>
        <v/>
      </c>
      <c r="C136">
        <f>IF(ISNUMBER(Events!$A138),DATE(YEAR($B$1),MONTH(Events!$A138),DAY(Events!$A138)),"")</f>
        <v/>
      </c>
      <c r="D136">
        <f>IF(ISNUMBER(Events!$A138),DATE(YEAR($B$2),MONTH(Events!$A138),DAY(Events!$A138)),"")</f>
        <v/>
      </c>
      <c r="E136">
        <f>IF(OR(NOT(ISNUMBER(Events!$A138)),Events!$G138="No",Calendar!$H$4="None"),"",IF(OR(Calendar!$H$4="All events",Events!$D138=Calendar!$H$4),IF(Events!$E138="Yes",IF(AND(B136&gt;=Events!$A138,B136&lt;=$B$2,B136+$A136&gt;=$B$1),B136,IF(AND(C136&gt;=Events!$A138,C136&lt;=$B$2,C136+$A136&gt;=$B$1),C136,IF(AND(D136&gt;=Events!$A138,D136&lt;=$B$2,D136+$A136&gt;=$B$1),D136,""))),IF(AND(Events!$A138&lt;=$B$2,Events!$A138+$A136&gt;=$B$1),Events!$A138,"")),""))</f>
        <v/>
      </c>
      <c r="F136">
        <f>IF(E136="","",E136+A136)</f>
        <v/>
      </c>
      <c r="G136">
        <f>IF(E136="","",IF(AND(E136&lt;=EOMONTH(Calendar!$K$2,0),F136&gt;=Calendar!$K$2),E136+133/100000,""))</f>
        <v/>
      </c>
      <c r="H136">
        <f>H135+IF(AND($E136&lt;&gt;"",$E136&lt;=H$2,$F136&gt;=H$2),1,0)</f>
        <v/>
      </c>
      <c r="I136">
        <f>I135+IF(AND($E136&lt;&gt;"",$E136&lt;=I$2,$F136&gt;=I$2),1,0)</f>
        <v/>
      </c>
      <c r="J136">
        <f>J135+IF(AND($E136&lt;&gt;"",$E136&lt;=J$2,$F136&gt;=J$2),1,0)</f>
        <v/>
      </c>
      <c r="K136">
        <f>K135+IF(AND($E136&lt;&gt;"",$E136&lt;=K$2,$F136&gt;=K$2),1,0)</f>
        <v/>
      </c>
      <c r="L136">
        <f>L135+IF(AND($E136&lt;&gt;"",$E136&lt;=L$2,$F136&gt;=L$2),1,0)</f>
        <v/>
      </c>
      <c r="M136">
        <f>M135+IF(AND($E136&lt;&gt;"",$E136&lt;=M$2,$F136&gt;=M$2),1,0)</f>
        <v/>
      </c>
      <c r="N136">
        <f>N135+IF(AND($E136&lt;&gt;"",$E136&lt;=N$2,$F136&gt;=N$2),1,0)</f>
        <v/>
      </c>
      <c r="O136">
        <f>O135+IF(AND($E136&lt;&gt;"",$E136&lt;=O$2,$F136&gt;=O$2),1,0)</f>
        <v/>
      </c>
      <c r="P136">
        <f>P135+IF(AND($E136&lt;&gt;"",$E136&lt;=P$2,$F136&gt;=P$2),1,0)</f>
        <v/>
      </c>
      <c r="Q136">
        <f>Q135+IF(AND($E136&lt;&gt;"",$E136&lt;=Q$2,$F136&gt;=Q$2),1,0)</f>
        <v/>
      </c>
      <c r="R136">
        <f>R135+IF(AND($E136&lt;&gt;"",$E136&lt;=R$2,$F136&gt;=R$2),1,0)</f>
        <v/>
      </c>
      <c r="S136">
        <f>S135+IF(AND($E136&lt;&gt;"",$E136&lt;=S$2,$F136&gt;=S$2),1,0)</f>
        <v/>
      </c>
      <c r="T136">
        <f>T135+IF(AND($E136&lt;&gt;"",$E136&lt;=T$2,$F136&gt;=T$2),1,0)</f>
        <v/>
      </c>
      <c r="U136">
        <f>U135+IF(AND($E136&lt;&gt;"",$E136&lt;=U$2,$F136&gt;=U$2),1,0)</f>
        <v/>
      </c>
      <c r="V136">
        <f>V135+IF(AND($E136&lt;&gt;"",$E136&lt;=V$2,$F136&gt;=V$2),1,0)</f>
        <v/>
      </c>
      <c r="W136">
        <f>W135+IF(AND($E136&lt;&gt;"",$E136&lt;=W$2,$F136&gt;=W$2),1,0)</f>
        <v/>
      </c>
      <c r="X136">
        <f>X135+IF(AND($E136&lt;&gt;"",$E136&lt;=X$2,$F136&gt;=X$2),1,0)</f>
        <v/>
      </c>
      <c r="Y136">
        <f>Y135+IF(AND($E136&lt;&gt;"",$E136&lt;=Y$2,$F136&gt;=Y$2),1,0)</f>
        <v/>
      </c>
      <c r="Z136">
        <f>Z135+IF(AND($E136&lt;&gt;"",$E136&lt;=Z$2,$F136&gt;=Z$2),1,0)</f>
        <v/>
      </c>
      <c r="AA136">
        <f>AA135+IF(AND($E136&lt;&gt;"",$E136&lt;=AA$2,$F136&gt;=AA$2),1,0)</f>
        <v/>
      </c>
      <c r="AB136">
        <f>AB135+IF(AND($E136&lt;&gt;"",$E136&lt;=AB$2,$F136&gt;=AB$2),1,0)</f>
        <v/>
      </c>
      <c r="AC136">
        <f>AC135+IF(AND($E136&lt;&gt;"",$E136&lt;=AC$2,$F136&gt;=AC$2),1,0)</f>
        <v/>
      </c>
      <c r="AD136">
        <f>AD135+IF(AND($E136&lt;&gt;"",$E136&lt;=AD$2,$F136&gt;=AD$2),1,0)</f>
        <v/>
      </c>
      <c r="AE136">
        <f>AE135+IF(AND($E136&lt;&gt;"",$E136&lt;=AE$2,$F136&gt;=AE$2),1,0)</f>
        <v/>
      </c>
      <c r="AF136">
        <f>AF135+IF(AND($E136&lt;&gt;"",$E136&lt;=AF$2,$F136&gt;=AF$2),1,0)</f>
        <v/>
      </c>
      <c r="AG136">
        <f>AG135+IF(AND($E136&lt;&gt;"",$E136&lt;=AG$2,$F136&gt;=AG$2),1,0)</f>
        <v/>
      </c>
      <c r="AH136">
        <f>AH135+IF(AND($E136&lt;&gt;"",$E136&lt;=AH$2,$F136&gt;=AH$2),1,0)</f>
        <v/>
      </c>
      <c r="AI136">
        <f>AI135+IF(AND($E136&lt;&gt;"",$E136&lt;=AI$2,$F136&gt;=AI$2),1,0)</f>
        <v/>
      </c>
      <c r="AJ136">
        <f>AJ135+IF(AND($E136&lt;&gt;"",$E136&lt;=AJ$2,$F136&gt;=AJ$2),1,0)</f>
        <v/>
      </c>
      <c r="AK136">
        <f>AK135+IF(AND($E136&lt;&gt;"",$E136&lt;=AK$2,$F136&gt;=AK$2),1,0)</f>
        <v/>
      </c>
      <c r="AL136">
        <f>AL135+IF(AND($E136&lt;&gt;"",$E136&lt;=AL$2,$F136&gt;=AL$2),1,0)</f>
        <v/>
      </c>
      <c r="AM136">
        <f>AM135+IF(AND($E136&lt;&gt;"",$E136&lt;=AM$2,$F136&gt;=AM$2),1,0)</f>
        <v/>
      </c>
      <c r="AN136">
        <f>AN135+IF(AND($E136&lt;&gt;"",$E136&lt;=AN$2,$F136&gt;=AN$2),1,0)</f>
        <v/>
      </c>
      <c r="AO136">
        <f>AO135+IF(AND($E136&lt;&gt;"",$E136&lt;=AO$2,$F136&gt;=AO$2),1,0)</f>
        <v/>
      </c>
      <c r="AP136">
        <f>AP135+IF(AND($E136&lt;&gt;"",$E136&lt;=AP$2,$F136&gt;=AP$2),1,0)</f>
        <v/>
      </c>
      <c r="AQ136">
        <f>AQ135+IF(AND($E136&lt;&gt;"",$E136&lt;=AQ$2,$F136&gt;=AQ$2),1,0)</f>
        <v/>
      </c>
      <c r="AR136">
        <f>AR135+IF(AND($E136&lt;&gt;"",$E136&lt;=AR$2,$F136&gt;=AR$2),1,0)</f>
        <v/>
      </c>
      <c r="AS136">
        <f>AS135+IF(AND($E136&lt;&gt;"",$E136&lt;=AS$2,$F136&gt;=AS$2),1,0)</f>
        <v/>
      </c>
      <c r="AT136">
        <f>AT135+IF(AND($E136&lt;&gt;"",$E136&lt;=AT$2,$F136&gt;=AT$2),1,0)</f>
        <v/>
      </c>
      <c r="AU136">
        <f>AU135+IF(AND($E136&lt;&gt;"",$E136&lt;=AU$2,$F136&gt;=AU$2),1,0)</f>
        <v/>
      </c>
      <c r="AV136">
        <f>AV135+IF(AND($E136&lt;&gt;"",$E136&lt;=AV$2,$F136&gt;=AV$2),1,0)</f>
        <v/>
      </c>
      <c r="AW136">
        <f>AW135+IF(AND($E136&lt;&gt;"",$E136&lt;=AW$2,$F136&gt;=AW$2),1,0)</f>
        <v/>
      </c>
    </row>
    <row r="137">
      <c r="A137">
        <f>IF(AND(ISNUMBER(Events!$A139),ISNUMBER(Events!$B139)),MAX(0,Events!$B139-Events!$A139),0)</f>
        <v/>
      </c>
      <c r="B137">
        <f>IF(ISNUMBER(Events!$A139),DATE(YEAR($B$1)-1,MONTH(Events!$A139),DAY(Events!$A139)),"")</f>
        <v/>
      </c>
      <c r="C137">
        <f>IF(ISNUMBER(Events!$A139),DATE(YEAR($B$1),MONTH(Events!$A139),DAY(Events!$A139)),"")</f>
        <v/>
      </c>
      <c r="D137">
        <f>IF(ISNUMBER(Events!$A139),DATE(YEAR($B$2),MONTH(Events!$A139),DAY(Events!$A139)),"")</f>
        <v/>
      </c>
      <c r="E137">
        <f>IF(OR(NOT(ISNUMBER(Events!$A139)),Events!$G139="No",Calendar!$H$4="None"),"",IF(OR(Calendar!$H$4="All events",Events!$D139=Calendar!$H$4),IF(Events!$E139="Yes",IF(AND(B137&gt;=Events!$A139,B137&lt;=$B$2,B137+$A137&gt;=$B$1),B137,IF(AND(C137&gt;=Events!$A139,C137&lt;=$B$2,C137+$A137&gt;=$B$1),C137,IF(AND(D137&gt;=Events!$A139,D137&lt;=$B$2,D137+$A137&gt;=$B$1),D137,""))),IF(AND(Events!$A139&lt;=$B$2,Events!$A139+$A137&gt;=$B$1),Events!$A139,"")),""))</f>
        <v/>
      </c>
      <c r="F137">
        <f>IF(E137="","",E137+A137)</f>
        <v/>
      </c>
      <c r="G137">
        <f>IF(E137="","",IF(AND(E137&lt;=EOMONTH(Calendar!$K$2,0),F137&gt;=Calendar!$K$2),E137+134/100000,""))</f>
        <v/>
      </c>
      <c r="H137">
        <f>H136+IF(AND($E137&lt;&gt;"",$E137&lt;=H$2,$F137&gt;=H$2),1,0)</f>
        <v/>
      </c>
      <c r="I137">
        <f>I136+IF(AND($E137&lt;&gt;"",$E137&lt;=I$2,$F137&gt;=I$2),1,0)</f>
        <v/>
      </c>
      <c r="J137">
        <f>J136+IF(AND($E137&lt;&gt;"",$E137&lt;=J$2,$F137&gt;=J$2),1,0)</f>
        <v/>
      </c>
      <c r="K137">
        <f>K136+IF(AND($E137&lt;&gt;"",$E137&lt;=K$2,$F137&gt;=K$2),1,0)</f>
        <v/>
      </c>
      <c r="L137">
        <f>L136+IF(AND($E137&lt;&gt;"",$E137&lt;=L$2,$F137&gt;=L$2),1,0)</f>
        <v/>
      </c>
      <c r="M137">
        <f>M136+IF(AND($E137&lt;&gt;"",$E137&lt;=M$2,$F137&gt;=M$2),1,0)</f>
        <v/>
      </c>
      <c r="N137">
        <f>N136+IF(AND($E137&lt;&gt;"",$E137&lt;=N$2,$F137&gt;=N$2),1,0)</f>
        <v/>
      </c>
      <c r="O137">
        <f>O136+IF(AND($E137&lt;&gt;"",$E137&lt;=O$2,$F137&gt;=O$2),1,0)</f>
        <v/>
      </c>
      <c r="P137">
        <f>P136+IF(AND($E137&lt;&gt;"",$E137&lt;=P$2,$F137&gt;=P$2),1,0)</f>
        <v/>
      </c>
      <c r="Q137">
        <f>Q136+IF(AND($E137&lt;&gt;"",$E137&lt;=Q$2,$F137&gt;=Q$2),1,0)</f>
        <v/>
      </c>
      <c r="R137">
        <f>R136+IF(AND($E137&lt;&gt;"",$E137&lt;=R$2,$F137&gt;=R$2),1,0)</f>
        <v/>
      </c>
      <c r="S137">
        <f>S136+IF(AND($E137&lt;&gt;"",$E137&lt;=S$2,$F137&gt;=S$2),1,0)</f>
        <v/>
      </c>
      <c r="T137">
        <f>T136+IF(AND($E137&lt;&gt;"",$E137&lt;=T$2,$F137&gt;=T$2),1,0)</f>
        <v/>
      </c>
      <c r="U137">
        <f>U136+IF(AND($E137&lt;&gt;"",$E137&lt;=U$2,$F137&gt;=U$2),1,0)</f>
        <v/>
      </c>
      <c r="V137">
        <f>V136+IF(AND($E137&lt;&gt;"",$E137&lt;=V$2,$F137&gt;=V$2),1,0)</f>
        <v/>
      </c>
      <c r="W137">
        <f>W136+IF(AND($E137&lt;&gt;"",$E137&lt;=W$2,$F137&gt;=W$2),1,0)</f>
        <v/>
      </c>
      <c r="X137">
        <f>X136+IF(AND($E137&lt;&gt;"",$E137&lt;=X$2,$F137&gt;=X$2),1,0)</f>
        <v/>
      </c>
      <c r="Y137">
        <f>Y136+IF(AND($E137&lt;&gt;"",$E137&lt;=Y$2,$F137&gt;=Y$2),1,0)</f>
        <v/>
      </c>
      <c r="Z137">
        <f>Z136+IF(AND($E137&lt;&gt;"",$E137&lt;=Z$2,$F137&gt;=Z$2),1,0)</f>
        <v/>
      </c>
      <c r="AA137">
        <f>AA136+IF(AND($E137&lt;&gt;"",$E137&lt;=AA$2,$F137&gt;=AA$2),1,0)</f>
        <v/>
      </c>
      <c r="AB137">
        <f>AB136+IF(AND($E137&lt;&gt;"",$E137&lt;=AB$2,$F137&gt;=AB$2),1,0)</f>
        <v/>
      </c>
      <c r="AC137">
        <f>AC136+IF(AND($E137&lt;&gt;"",$E137&lt;=AC$2,$F137&gt;=AC$2),1,0)</f>
        <v/>
      </c>
      <c r="AD137">
        <f>AD136+IF(AND($E137&lt;&gt;"",$E137&lt;=AD$2,$F137&gt;=AD$2),1,0)</f>
        <v/>
      </c>
      <c r="AE137">
        <f>AE136+IF(AND($E137&lt;&gt;"",$E137&lt;=AE$2,$F137&gt;=AE$2),1,0)</f>
        <v/>
      </c>
      <c r="AF137">
        <f>AF136+IF(AND($E137&lt;&gt;"",$E137&lt;=AF$2,$F137&gt;=AF$2),1,0)</f>
        <v/>
      </c>
      <c r="AG137">
        <f>AG136+IF(AND($E137&lt;&gt;"",$E137&lt;=AG$2,$F137&gt;=AG$2),1,0)</f>
        <v/>
      </c>
      <c r="AH137">
        <f>AH136+IF(AND($E137&lt;&gt;"",$E137&lt;=AH$2,$F137&gt;=AH$2),1,0)</f>
        <v/>
      </c>
      <c r="AI137">
        <f>AI136+IF(AND($E137&lt;&gt;"",$E137&lt;=AI$2,$F137&gt;=AI$2),1,0)</f>
        <v/>
      </c>
      <c r="AJ137">
        <f>AJ136+IF(AND($E137&lt;&gt;"",$E137&lt;=AJ$2,$F137&gt;=AJ$2),1,0)</f>
        <v/>
      </c>
      <c r="AK137">
        <f>AK136+IF(AND($E137&lt;&gt;"",$E137&lt;=AK$2,$F137&gt;=AK$2),1,0)</f>
        <v/>
      </c>
      <c r="AL137">
        <f>AL136+IF(AND($E137&lt;&gt;"",$E137&lt;=AL$2,$F137&gt;=AL$2),1,0)</f>
        <v/>
      </c>
      <c r="AM137">
        <f>AM136+IF(AND($E137&lt;&gt;"",$E137&lt;=AM$2,$F137&gt;=AM$2),1,0)</f>
        <v/>
      </c>
      <c r="AN137">
        <f>AN136+IF(AND($E137&lt;&gt;"",$E137&lt;=AN$2,$F137&gt;=AN$2),1,0)</f>
        <v/>
      </c>
      <c r="AO137">
        <f>AO136+IF(AND($E137&lt;&gt;"",$E137&lt;=AO$2,$F137&gt;=AO$2),1,0)</f>
        <v/>
      </c>
      <c r="AP137">
        <f>AP136+IF(AND($E137&lt;&gt;"",$E137&lt;=AP$2,$F137&gt;=AP$2),1,0)</f>
        <v/>
      </c>
      <c r="AQ137">
        <f>AQ136+IF(AND($E137&lt;&gt;"",$E137&lt;=AQ$2,$F137&gt;=AQ$2),1,0)</f>
        <v/>
      </c>
      <c r="AR137">
        <f>AR136+IF(AND($E137&lt;&gt;"",$E137&lt;=AR$2,$F137&gt;=AR$2),1,0)</f>
        <v/>
      </c>
      <c r="AS137">
        <f>AS136+IF(AND($E137&lt;&gt;"",$E137&lt;=AS$2,$F137&gt;=AS$2),1,0)</f>
        <v/>
      </c>
      <c r="AT137">
        <f>AT136+IF(AND($E137&lt;&gt;"",$E137&lt;=AT$2,$F137&gt;=AT$2),1,0)</f>
        <v/>
      </c>
      <c r="AU137">
        <f>AU136+IF(AND($E137&lt;&gt;"",$E137&lt;=AU$2,$F137&gt;=AU$2),1,0)</f>
        <v/>
      </c>
      <c r="AV137">
        <f>AV136+IF(AND($E137&lt;&gt;"",$E137&lt;=AV$2,$F137&gt;=AV$2),1,0)</f>
        <v/>
      </c>
      <c r="AW137">
        <f>AW136+IF(AND($E137&lt;&gt;"",$E137&lt;=AW$2,$F137&gt;=AW$2),1,0)</f>
        <v/>
      </c>
    </row>
    <row r="138">
      <c r="A138">
        <f>IF(AND(ISNUMBER(Events!$A140),ISNUMBER(Events!$B140)),MAX(0,Events!$B140-Events!$A140),0)</f>
        <v/>
      </c>
      <c r="B138">
        <f>IF(ISNUMBER(Events!$A140),DATE(YEAR($B$1)-1,MONTH(Events!$A140),DAY(Events!$A140)),"")</f>
        <v/>
      </c>
      <c r="C138">
        <f>IF(ISNUMBER(Events!$A140),DATE(YEAR($B$1),MONTH(Events!$A140),DAY(Events!$A140)),"")</f>
        <v/>
      </c>
      <c r="D138">
        <f>IF(ISNUMBER(Events!$A140),DATE(YEAR($B$2),MONTH(Events!$A140),DAY(Events!$A140)),"")</f>
        <v/>
      </c>
      <c r="E138">
        <f>IF(OR(NOT(ISNUMBER(Events!$A140)),Events!$G140="No",Calendar!$H$4="None"),"",IF(OR(Calendar!$H$4="All events",Events!$D140=Calendar!$H$4),IF(Events!$E140="Yes",IF(AND(B138&gt;=Events!$A140,B138&lt;=$B$2,B138+$A138&gt;=$B$1),B138,IF(AND(C138&gt;=Events!$A140,C138&lt;=$B$2,C138+$A138&gt;=$B$1),C138,IF(AND(D138&gt;=Events!$A140,D138&lt;=$B$2,D138+$A138&gt;=$B$1),D138,""))),IF(AND(Events!$A140&lt;=$B$2,Events!$A140+$A138&gt;=$B$1),Events!$A140,"")),""))</f>
        <v/>
      </c>
      <c r="F138">
        <f>IF(E138="","",E138+A138)</f>
        <v/>
      </c>
      <c r="G138">
        <f>IF(E138="","",IF(AND(E138&lt;=EOMONTH(Calendar!$K$2,0),F138&gt;=Calendar!$K$2),E138+135/100000,""))</f>
        <v/>
      </c>
      <c r="H138">
        <f>H137+IF(AND($E138&lt;&gt;"",$E138&lt;=H$2,$F138&gt;=H$2),1,0)</f>
        <v/>
      </c>
      <c r="I138">
        <f>I137+IF(AND($E138&lt;&gt;"",$E138&lt;=I$2,$F138&gt;=I$2),1,0)</f>
        <v/>
      </c>
      <c r="J138">
        <f>J137+IF(AND($E138&lt;&gt;"",$E138&lt;=J$2,$F138&gt;=J$2),1,0)</f>
        <v/>
      </c>
      <c r="K138">
        <f>K137+IF(AND($E138&lt;&gt;"",$E138&lt;=K$2,$F138&gt;=K$2),1,0)</f>
        <v/>
      </c>
      <c r="L138">
        <f>L137+IF(AND($E138&lt;&gt;"",$E138&lt;=L$2,$F138&gt;=L$2),1,0)</f>
        <v/>
      </c>
      <c r="M138">
        <f>M137+IF(AND($E138&lt;&gt;"",$E138&lt;=M$2,$F138&gt;=M$2),1,0)</f>
        <v/>
      </c>
      <c r="N138">
        <f>N137+IF(AND($E138&lt;&gt;"",$E138&lt;=N$2,$F138&gt;=N$2),1,0)</f>
        <v/>
      </c>
      <c r="O138">
        <f>O137+IF(AND($E138&lt;&gt;"",$E138&lt;=O$2,$F138&gt;=O$2),1,0)</f>
        <v/>
      </c>
      <c r="P138">
        <f>P137+IF(AND($E138&lt;&gt;"",$E138&lt;=P$2,$F138&gt;=P$2),1,0)</f>
        <v/>
      </c>
      <c r="Q138">
        <f>Q137+IF(AND($E138&lt;&gt;"",$E138&lt;=Q$2,$F138&gt;=Q$2),1,0)</f>
        <v/>
      </c>
      <c r="R138">
        <f>R137+IF(AND($E138&lt;&gt;"",$E138&lt;=R$2,$F138&gt;=R$2),1,0)</f>
        <v/>
      </c>
      <c r="S138">
        <f>S137+IF(AND($E138&lt;&gt;"",$E138&lt;=S$2,$F138&gt;=S$2),1,0)</f>
        <v/>
      </c>
      <c r="T138">
        <f>T137+IF(AND($E138&lt;&gt;"",$E138&lt;=T$2,$F138&gt;=T$2),1,0)</f>
        <v/>
      </c>
      <c r="U138">
        <f>U137+IF(AND($E138&lt;&gt;"",$E138&lt;=U$2,$F138&gt;=U$2),1,0)</f>
        <v/>
      </c>
      <c r="V138">
        <f>V137+IF(AND($E138&lt;&gt;"",$E138&lt;=V$2,$F138&gt;=V$2),1,0)</f>
        <v/>
      </c>
      <c r="W138">
        <f>W137+IF(AND($E138&lt;&gt;"",$E138&lt;=W$2,$F138&gt;=W$2),1,0)</f>
        <v/>
      </c>
      <c r="X138">
        <f>X137+IF(AND($E138&lt;&gt;"",$E138&lt;=X$2,$F138&gt;=X$2),1,0)</f>
        <v/>
      </c>
      <c r="Y138">
        <f>Y137+IF(AND($E138&lt;&gt;"",$E138&lt;=Y$2,$F138&gt;=Y$2),1,0)</f>
        <v/>
      </c>
      <c r="Z138">
        <f>Z137+IF(AND($E138&lt;&gt;"",$E138&lt;=Z$2,$F138&gt;=Z$2),1,0)</f>
        <v/>
      </c>
      <c r="AA138">
        <f>AA137+IF(AND($E138&lt;&gt;"",$E138&lt;=AA$2,$F138&gt;=AA$2),1,0)</f>
        <v/>
      </c>
      <c r="AB138">
        <f>AB137+IF(AND($E138&lt;&gt;"",$E138&lt;=AB$2,$F138&gt;=AB$2),1,0)</f>
        <v/>
      </c>
      <c r="AC138">
        <f>AC137+IF(AND($E138&lt;&gt;"",$E138&lt;=AC$2,$F138&gt;=AC$2),1,0)</f>
        <v/>
      </c>
      <c r="AD138">
        <f>AD137+IF(AND($E138&lt;&gt;"",$E138&lt;=AD$2,$F138&gt;=AD$2),1,0)</f>
        <v/>
      </c>
      <c r="AE138">
        <f>AE137+IF(AND($E138&lt;&gt;"",$E138&lt;=AE$2,$F138&gt;=AE$2),1,0)</f>
        <v/>
      </c>
      <c r="AF138">
        <f>AF137+IF(AND($E138&lt;&gt;"",$E138&lt;=AF$2,$F138&gt;=AF$2),1,0)</f>
        <v/>
      </c>
      <c r="AG138">
        <f>AG137+IF(AND($E138&lt;&gt;"",$E138&lt;=AG$2,$F138&gt;=AG$2),1,0)</f>
        <v/>
      </c>
      <c r="AH138">
        <f>AH137+IF(AND($E138&lt;&gt;"",$E138&lt;=AH$2,$F138&gt;=AH$2),1,0)</f>
        <v/>
      </c>
      <c r="AI138">
        <f>AI137+IF(AND($E138&lt;&gt;"",$E138&lt;=AI$2,$F138&gt;=AI$2),1,0)</f>
        <v/>
      </c>
      <c r="AJ138">
        <f>AJ137+IF(AND($E138&lt;&gt;"",$E138&lt;=AJ$2,$F138&gt;=AJ$2),1,0)</f>
        <v/>
      </c>
      <c r="AK138">
        <f>AK137+IF(AND($E138&lt;&gt;"",$E138&lt;=AK$2,$F138&gt;=AK$2),1,0)</f>
        <v/>
      </c>
      <c r="AL138">
        <f>AL137+IF(AND($E138&lt;&gt;"",$E138&lt;=AL$2,$F138&gt;=AL$2),1,0)</f>
        <v/>
      </c>
      <c r="AM138">
        <f>AM137+IF(AND($E138&lt;&gt;"",$E138&lt;=AM$2,$F138&gt;=AM$2),1,0)</f>
        <v/>
      </c>
      <c r="AN138">
        <f>AN137+IF(AND($E138&lt;&gt;"",$E138&lt;=AN$2,$F138&gt;=AN$2),1,0)</f>
        <v/>
      </c>
      <c r="AO138">
        <f>AO137+IF(AND($E138&lt;&gt;"",$E138&lt;=AO$2,$F138&gt;=AO$2),1,0)</f>
        <v/>
      </c>
      <c r="AP138">
        <f>AP137+IF(AND($E138&lt;&gt;"",$E138&lt;=AP$2,$F138&gt;=AP$2),1,0)</f>
        <v/>
      </c>
      <c r="AQ138">
        <f>AQ137+IF(AND($E138&lt;&gt;"",$E138&lt;=AQ$2,$F138&gt;=AQ$2),1,0)</f>
        <v/>
      </c>
      <c r="AR138">
        <f>AR137+IF(AND($E138&lt;&gt;"",$E138&lt;=AR$2,$F138&gt;=AR$2),1,0)</f>
        <v/>
      </c>
      <c r="AS138">
        <f>AS137+IF(AND($E138&lt;&gt;"",$E138&lt;=AS$2,$F138&gt;=AS$2),1,0)</f>
        <v/>
      </c>
      <c r="AT138">
        <f>AT137+IF(AND($E138&lt;&gt;"",$E138&lt;=AT$2,$F138&gt;=AT$2),1,0)</f>
        <v/>
      </c>
      <c r="AU138">
        <f>AU137+IF(AND($E138&lt;&gt;"",$E138&lt;=AU$2,$F138&gt;=AU$2),1,0)</f>
        <v/>
      </c>
      <c r="AV138">
        <f>AV137+IF(AND($E138&lt;&gt;"",$E138&lt;=AV$2,$F138&gt;=AV$2),1,0)</f>
        <v/>
      </c>
      <c r="AW138">
        <f>AW137+IF(AND($E138&lt;&gt;"",$E138&lt;=AW$2,$F138&gt;=AW$2),1,0)</f>
        <v/>
      </c>
    </row>
    <row r="139">
      <c r="A139">
        <f>IF(AND(ISNUMBER(Events!$A141),ISNUMBER(Events!$B141)),MAX(0,Events!$B141-Events!$A141),0)</f>
        <v/>
      </c>
      <c r="B139">
        <f>IF(ISNUMBER(Events!$A141),DATE(YEAR($B$1)-1,MONTH(Events!$A141),DAY(Events!$A141)),"")</f>
        <v/>
      </c>
      <c r="C139">
        <f>IF(ISNUMBER(Events!$A141),DATE(YEAR($B$1),MONTH(Events!$A141),DAY(Events!$A141)),"")</f>
        <v/>
      </c>
      <c r="D139">
        <f>IF(ISNUMBER(Events!$A141),DATE(YEAR($B$2),MONTH(Events!$A141),DAY(Events!$A141)),"")</f>
        <v/>
      </c>
      <c r="E139">
        <f>IF(OR(NOT(ISNUMBER(Events!$A141)),Events!$G141="No",Calendar!$H$4="None"),"",IF(OR(Calendar!$H$4="All events",Events!$D141=Calendar!$H$4),IF(Events!$E141="Yes",IF(AND(B139&gt;=Events!$A141,B139&lt;=$B$2,B139+$A139&gt;=$B$1),B139,IF(AND(C139&gt;=Events!$A141,C139&lt;=$B$2,C139+$A139&gt;=$B$1),C139,IF(AND(D139&gt;=Events!$A141,D139&lt;=$B$2,D139+$A139&gt;=$B$1),D139,""))),IF(AND(Events!$A141&lt;=$B$2,Events!$A141+$A139&gt;=$B$1),Events!$A141,"")),""))</f>
        <v/>
      </c>
      <c r="F139">
        <f>IF(E139="","",E139+A139)</f>
        <v/>
      </c>
      <c r="G139">
        <f>IF(E139="","",IF(AND(E139&lt;=EOMONTH(Calendar!$K$2,0),F139&gt;=Calendar!$K$2),E139+136/100000,""))</f>
        <v/>
      </c>
      <c r="H139">
        <f>H138+IF(AND($E139&lt;&gt;"",$E139&lt;=H$2,$F139&gt;=H$2),1,0)</f>
        <v/>
      </c>
      <c r="I139">
        <f>I138+IF(AND($E139&lt;&gt;"",$E139&lt;=I$2,$F139&gt;=I$2),1,0)</f>
        <v/>
      </c>
      <c r="J139">
        <f>J138+IF(AND($E139&lt;&gt;"",$E139&lt;=J$2,$F139&gt;=J$2),1,0)</f>
        <v/>
      </c>
      <c r="K139">
        <f>K138+IF(AND($E139&lt;&gt;"",$E139&lt;=K$2,$F139&gt;=K$2),1,0)</f>
        <v/>
      </c>
      <c r="L139">
        <f>L138+IF(AND($E139&lt;&gt;"",$E139&lt;=L$2,$F139&gt;=L$2),1,0)</f>
        <v/>
      </c>
      <c r="M139">
        <f>M138+IF(AND($E139&lt;&gt;"",$E139&lt;=M$2,$F139&gt;=M$2),1,0)</f>
        <v/>
      </c>
      <c r="N139">
        <f>N138+IF(AND($E139&lt;&gt;"",$E139&lt;=N$2,$F139&gt;=N$2),1,0)</f>
        <v/>
      </c>
      <c r="O139">
        <f>O138+IF(AND($E139&lt;&gt;"",$E139&lt;=O$2,$F139&gt;=O$2),1,0)</f>
        <v/>
      </c>
      <c r="P139">
        <f>P138+IF(AND($E139&lt;&gt;"",$E139&lt;=P$2,$F139&gt;=P$2),1,0)</f>
        <v/>
      </c>
      <c r="Q139">
        <f>Q138+IF(AND($E139&lt;&gt;"",$E139&lt;=Q$2,$F139&gt;=Q$2),1,0)</f>
        <v/>
      </c>
      <c r="R139">
        <f>R138+IF(AND($E139&lt;&gt;"",$E139&lt;=R$2,$F139&gt;=R$2),1,0)</f>
        <v/>
      </c>
      <c r="S139">
        <f>S138+IF(AND($E139&lt;&gt;"",$E139&lt;=S$2,$F139&gt;=S$2),1,0)</f>
        <v/>
      </c>
      <c r="T139">
        <f>T138+IF(AND($E139&lt;&gt;"",$E139&lt;=T$2,$F139&gt;=T$2),1,0)</f>
        <v/>
      </c>
      <c r="U139">
        <f>U138+IF(AND($E139&lt;&gt;"",$E139&lt;=U$2,$F139&gt;=U$2),1,0)</f>
        <v/>
      </c>
      <c r="V139">
        <f>V138+IF(AND($E139&lt;&gt;"",$E139&lt;=V$2,$F139&gt;=V$2),1,0)</f>
        <v/>
      </c>
      <c r="W139">
        <f>W138+IF(AND($E139&lt;&gt;"",$E139&lt;=W$2,$F139&gt;=W$2),1,0)</f>
        <v/>
      </c>
      <c r="X139">
        <f>X138+IF(AND($E139&lt;&gt;"",$E139&lt;=X$2,$F139&gt;=X$2),1,0)</f>
        <v/>
      </c>
      <c r="Y139">
        <f>Y138+IF(AND($E139&lt;&gt;"",$E139&lt;=Y$2,$F139&gt;=Y$2),1,0)</f>
        <v/>
      </c>
      <c r="Z139">
        <f>Z138+IF(AND($E139&lt;&gt;"",$E139&lt;=Z$2,$F139&gt;=Z$2),1,0)</f>
        <v/>
      </c>
      <c r="AA139">
        <f>AA138+IF(AND($E139&lt;&gt;"",$E139&lt;=AA$2,$F139&gt;=AA$2),1,0)</f>
        <v/>
      </c>
      <c r="AB139">
        <f>AB138+IF(AND($E139&lt;&gt;"",$E139&lt;=AB$2,$F139&gt;=AB$2),1,0)</f>
        <v/>
      </c>
      <c r="AC139">
        <f>AC138+IF(AND($E139&lt;&gt;"",$E139&lt;=AC$2,$F139&gt;=AC$2),1,0)</f>
        <v/>
      </c>
      <c r="AD139">
        <f>AD138+IF(AND($E139&lt;&gt;"",$E139&lt;=AD$2,$F139&gt;=AD$2),1,0)</f>
        <v/>
      </c>
      <c r="AE139">
        <f>AE138+IF(AND($E139&lt;&gt;"",$E139&lt;=AE$2,$F139&gt;=AE$2),1,0)</f>
        <v/>
      </c>
      <c r="AF139">
        <f>AF138+IF(AND($E139&lt;&gt;"",$E139&lt;=AF$2,$F139&gt;=AF$2),1,0)</f>
        <v/>
      </c>
      <c r="AG139">
        <f>AG138+IF(AND($E139&lt;&gt;"",$E139&lt;=AG$2,$F139&gt;=AG$2),1,0)</f>
        <v/>
      </c>
      <c r="AH139">
        <f>AH138+IF(AND($E139&lt;&gt;"",$E139&lt;=AH$2,$F139&gt;=AH$2),1,0)</f>
        <v/>
      </c>
      <c r="AI139">
        <f>AI138+IF(AND($E139&lt;&gt;"",$E139&lt;=AI$2,$F139&gt;=AI$2),1,0)</f>
        <v/>
      </c>
      <c r="AJ139">
        <f>AJ138+IF(AND($E139&lt;&gt;"",$E139&lt;=AJ$2,$F139&gt;=AJ$2),1,0)</f>
        <v/>
      </c>
      <c r="AK139">
        <f>AK138+IF(AND($E139&lt;&gt;"",$E139&lt;=AK$2,$F139&gt;=AK$2),1,0)</f>
        <v/>
      </c>
      <c r="AL139">
        <f>AL138+IF(AND($E139&lt;&gt;"",$E139&lt;=AL$2,$F139&gt;=AL$2),1,0)</f>
        <v/>
      </c>
      <c r="AM139">
        <f>AM138+IF(AND($E139&lt;&gt;"",$E139&lt;=AM$2,$F139&gt;=AM$2),1,0)</f>
        <v/>
      </c>
      <c r="AN139">
        <f>AN138+IF(AND($E139&lt;&gt;"",$E139&lt;=AN$2,$F139&gt;=AN$2),1,0)</f>
        <v/>
      </c>
      <c r="AO139">
        <f>AO138+IF(AND($E139&lt;&gt;"",$E139&lt;=AO$2,$F139&gt;=AO$2),1,0)</f>
        <v/>
      </c>
      <c r="AP139">
        <f>AP138+IF(AND($E139&lt;&gt;"",$E139&lt;=AP$2,$F139&gt;=AP$2),1,0)</f>
        <v/>
      </c>
      <c r="AQ139">
        <f>AQ138+IF(AND($E139&lt;&gt;"",$E139&lt;=AQ$2,$F139&gt;=AQ$2),1,0)</f>
        <v/>
      </c>
      <c r="AR139">
        <f>AR138+IF(AND($E139&lt;&gt;"",$E139&lt;=AR$2,$F139&gt;=AR$2),1,0)</f>
        <v/>
      </c>
      <c r="AS139">
        <f>AS138+IF(AND($E139&lt;&gt;"",$E139&lt;=AS$2,$F139&gt;=AS$2),1,0)</f>
        <v/>
      </c>
      <c r="AT139">
        <f>AT138+IF(AND($E139&lt;&gt;"",$E139&lt;=AT$2,$F139&gt;=AT$2),1,0)</f>
        <v/>
      </c>
      <c r="AU139">
        <f>AU138+IF(AND($E139&lt;&gt;"",$E139&lt;=AU$2,$F139&gt;=AU$2),1,0)</f>
        <v/>
      </c>
      <c r="AV139">
        <f>AV138+IF(AND($E139&lt;&gt;"",$E139&lt;=AV$2,$F139&gt;=AV$2),1,0)</f>
        <v/>
      </c>
      <c r="AW139">
        <f>AW138+IF(AND($E139&lt;&gt;"",$E139&lt;=AW$2,$F139&gt;=AW$2),1,0)</f>
        <v/>
      </c>
    </row>
    <row r="140">
      <c r="A140">
        <f>IF(AND(ISNUMBER(Events!$A142),ISNUMBER(Events!$B142)),MAX(0,Events!$B142-Events!$A142),0)</f>
        <v/>
      </c>
      <c r="B140">
        <f>IF(ISNUMBER(Events!$A142),DATE(YEAR($B$1)-1,MONTH(Events!$A142),DAY(Events!$A142)),"")</f>
        <v/>
      </c>
      <c r="C140">
        <f>IF(ISNUMBER(Events!$A142),DATE(YEAR($B$1),MONTH(Events!$A142),DAY(Events!$A142)),"")</f>
        <v/>
      </c>
      <c r="D140">
        <f>IF(ISNUMBER(Events!$A142),DATE(YEAR($B$2),MONTH(Events!$A142),DAY(Events!$A142)),"")</f>
        <v/>
      </c>
      <c r="E140">
        <f>IF(OR(NOT(ISNUMBER(Events!$A142)),Events!$G142="No",Calendar!$H$4="None"),"",IF(OR(Calendar!$H$4="All events",Events!$D142=Calendar!$H$4),IF(Events!$E142="Yes",IF(AND(B140&gt;=Events!$A142,B140&lt;=$B$2,B140+$A140&gt;=$B$1),B140,IF(AND(C140&gt;=Events!$A142,C140&lt;=$B$2,C140+$A140&gt;=$B$1),C140,IF(AND(D140&gt;=Events!$A142,D140&lt;=$B$2,D140+$A140&gt;=$B$1),D140,""))),IF(AND(Events!$A142&lt;=$B$2,Events!$A142+$A140&gt;=$B$1),Events!$A142,"")),""))</f>
        <v/>
      </c>
      <c r="F140">
        <f>IF(E140="","",E140+A140)</f>
        <v/>
      </c>
      <c r="G140">
        <f>IF(E140="","",IF(AND(E140&lt;=EOMONTH(Calendar!$K$2,0),F140&gt;=Calendar!$K$2),E140+137/100000,""))</f>
        <v/>
      </c>
      <c r="H140">
        <f>H139+IF(AND($E140&lt;&gt;"",$E140&lt;=H$2,$F140&gt;=H$2),1,0)</f>
        <v/>
      </c>
      <c r="I140">
        <f>I139+IF(AND($E140&lt;&gt;"",$E140&lt;=I$2,$F140&gt;=I$2),1,0)</f>
        <v/>
      </c>
      <c r="J140">
        <f>J139+IF(AND($E140&lt;&gt;"",$E140&lt;=J$2,$F140&gt;=J$2),1,0)</f>
        <v/>
      </c>
      <c r="K140">
        <f>K139+IF(AND($E140&lt;&gt;"",$E140&lt;=K$2,$F140&gt;=K$2),1,0)</f>
        <v/>
      </c>
      <c r="L140">
        <f>L139+IF(AND($E140&lt;&gt;"",$E140&lt;=L$2,$F140&gt;=L$2),1,0)</f>
        <v/>
      </c>
      <c r="M140">
        <f>M139+IF(AND($E140&lt;&gt;"",$E140&lt;=M$2,$F140&gt;=M$2),1,0)</f>
        <v/>
      </c>
      <c r="N140">
        <f>N139+IF(AND($E140&lt;&gt;"",$E140&lt;=N$2,$F140&gt;=N$2),1,0)</f>
        <v/>
      </c>
      <c r="O140">
        <f>O139+IF(AND($E140&lt;&gt;"",$E140&lt;=O$2,$F140&gt;=O$2),1,0)</f>
        <v/>
      </c>
      <c r="P140">
        <f>P139+IF(AND($E140&lt;&gt;"",$E140&lt;=P$2,$F140&gt;=P$2),1,0)</f>
        <v/>
      </c>
      <c r="Q140">
        <f>Q139+IF(AND($E140&lt;&gt;"",$E140&lt;=Q$2,$F140&gt;=Q$2),1,0)</f>
        <v/>
      </c>
      <c r="R140">
        <f>R139+IF(AND($E140&lt;&gt;"",$E140&lt;=R$2,$F140&gt;=R$2),1,0)</f>
        <v/>
      </c>
      <c r="S140">
        <f>S139+IF(AND($E140&lt;&gt;"",$E140&lt;=S$2,$F140&gt;=S$2),1,0)</f>
        <v/>
      </c>
      <c r="T140">
        <f>T139+IF(AND($E140&lt;&gt;"",$E140&lt;=T$2,$F140&gt;=T$2),1,0)</f>
        <v/>
      </c>
      <c r="U140">
        <f>U139+IF(AND($E140&lt;&gt;"",$E140&lt;=U$2,$F140&gt;=U$2),1,0)</f>
        <v/>
      </c>
      <c r="V140">
        <f>V139+IF(AND($E140&lt;&gt;"",$E140&lt;=V$2,$F140&gt;=V$2),1,0)</f>
        <v/>
      </c>
      <c r="W140">
        <f>W139+IF(AND($E140&lt;&gt;"",$E140&lt;=W$2,$F140&gt;=W$2),1,0)</f>
        <v/>
      </c>
      <c r="X140">
        <f>X139+IF(AND($E140&lt;&gt;"",$E140&lt;=X$2,$F140&gt;=X$2),1,0)</f>
        <v/>
      </c>
      <c r="Y140">
        <f>Y139+IF(AND($E140&lt;&gt;"",$E140&lt;=Y$2,$F140&gt;=Y$2),1,0)</f>
        <v/>
      </c>
      <c r="Z140">
        <f>Z139+IF(AND($E140&lt;&gt;"",$E140&lt;=Z$2,$F140&gt;=Z$2),1,0)</f>
        <v/>
      </c>
      <c r="AA140">
        <f>AA139+IF(AND($E140&lt;&gt;"",$E140&lt;=AA$2,$F140&gt;=AA$2),1,0)</f>
        <v/>
      </c>
      <c r="AB140">
        <f>AB139+IF(AND($E140&lt;&gt;"",$E140&lt;=AB$2,$F140&gt;=AB$2),1,0)</f>
        <v/>
      </c>
      <c r="AC140">
        <f>AC139+IF(AND($E140&lt;&gt;"",$E140&lt;=AC$2,$F140&gt;=AC$2),1,0)</f>
        <v/>
      </c>
      <c r="AD140">
        <f>AD139+IF(AND($E140&lt;&gt;"",$E140&lt;=AD$2,$F140&gt;=AD$2),1,0)</f>
        <v/>
      </c>
      <c r="AE140">
        <f>AE139+IF(AND($E140&lt;&gt;"",$E140&lt;=AE$2,$F140&gt;=AE$2),1,0)</f>
        <v/>
      </c>
      <c r="AF140">
        <f>AF139+IF(AND($E140&lt;&gt;"",$E140&lt;=AF$2,$F140&gt;=AF$2),1,0)</f>
        <v/>
      </c>
      <c r="AG140">
        <f>AG139+IF(AND($E140&lt;&gt;"",$E140&lt;=AG$2,$F140&gt;=AG$2),1,0)</f>
        <v/>
      </c>
      <c r="AH140">
        <f>AH139+IF(AND($E140&lt;&gt;"",$E140&lt;=AH$2,$F140&gt;=AH$2),1,0)</f>
        <v/>
      </c>
      <c r="AI140">
        <f>AI139+IF(AND($E140&lt;&gt;"",$E140&lt;=AI$2,$F140&gt;=AI$2),1,0)</f>
        <v/>
      </c>
      <c r="AJ140">
        <f>AJ139+IF(AND($E140&lt;&gt;"",$E140&lt;=AJ$2,$F140&gt;=AJ$2),1,0)</f>
        <v/>
      </c>
      <c r="AK140">
        <f>AK139+IF(AND($E140&lt;&gt;"",$E140&lt;=AK$2,$F140&gt;=AK$2),1,0)</f>
        <v/>
      </c>
      <c r="AL140">
        <f>AL139+IF(AND($E140&lt;&gt;"",$E140&lt;=AL$2,$F140&gt;=AL$2),1,0)</f>
        <v/>
      </c>
      <c r="AM140">
        <f>AM139+IF(AND($E140&lt;&gt;"",$E140&lt;=AM$2,$F140&gt;=AM$2),1,0)</f>
        <v/>
      </c>
      <c r="AN140">
        <f>AN139+IF(AND($E140&lt;&gt;"",$E140&lt;=AN$2,$F140&gt;=AN$2),1,0)</f>
        <v/>
      </c>
      <c r="AO140">
        <f>AO139+IF(AND($E140&lt;&gt;"",$E140&lt;=AO$2,$F140&gt;=AO$2),1,0)</f>
        <v/>
      </c>
      <c r="AP140">
        <f>AP139+IF(AND($E140&lt;&gt;"",$E140&lt;=AP$2,$F140&gt;=AP$2),1,0)</f>
        <v/>
      </c>
      <c r="AQ140">
        <f>AQ139+IF(AND($E140&lt;&gt;"",$E140&lt;=AQ$2,$F140&gt;=AQ$2),1,0)</f>
        <v/>
      </c>
      <c r="AR140">
        <f>AR139+IF(AND($E140&lt;&gt;"",$E140&lt;=AR$2,$F140&gt;=AR$2),1,0)</f>
        <v/>
      </c>
      <c r="AS140">
        <f>AS139+IF(AND($E140&lt;&gt;"",$E140&lt;=AS$2,$F140&gt;=AS$2),1,0)</f>
        <v/>
      </c>
      <c r="AT140">
        <f>AT139+IF(AND($E140&lt;&gt;"",$E140&lt;=AT$2,$F140&gt;=AT$2),1,0)</f>
        <v/>
      </c>
      <c r="AU140">
        <f>AU139+IF(AND($E140&lt;&gt;"",$E140&lt;=AU$2,$F140&gt;=AU$2),1,0)</f>
        <v/>
      </c>
      <c r="AV140">
        <f>AV139+IF(AND($E140&lt;&gt;"",$E140&lt;=AV$2,$F140&gt;=AV$2),1,0)</f>
        <v/>
      </c>
      <c r="AW140">
        <f>AW139+IF(AND($E140&lt;&gt;"",$E140&lt;=AW$2,$F140&gt;=AW$2),1,0)</f>
        <v/>
      </c>
    </row>
    <row r="141">
      <c r="A141">
        <f>IF(AND(ISNUMBER(Events!$A143),ISNUMBER(Events!$B143)),MAX(0,Events!$B143-Events!$A143),0)</f>
        <v/>
      </c>
      <c r="B141">
        <f>IF(ISNUMBER(Events!$A143),DATE(YEAR($B$1)-1,MONTH(Events!$A143),DAY(Events!$A143)),"")</f>
        <v/>
      </c>
      <c r="C141">
        <f>IF(ISNUMBER(Events!$A143),DATE(YEAR($B$1),MONTH(Events!$A143),DAY(Events!$A143)),"")</f>
        <v/>
      </c>
      <c r="D141">
        <f>IF(ISNUMBER(Events!$A143),DATE(YEAR($B$2),MONTH(Events!$A143),DAY(Events!$A143)),"")</f>
        <v/>
      </c>
      <c r="E141">
        <f>IF(OR(NOT(ISNUMBER(Events!$A143)),Events!$G143="No",Calendar!$H$4="None"),"",IF(OR(Calendar!$H$4="All events",Events!$D143=Calendar!$H$4),IF(Events!$E143="Yes",IF(AND(B141&gt;=Events!$A143,B141&lt;=$B$2,B141+$A141&gt;=$B$1),B141,IF(AND(C141&gt;=Events!$A143,C141&lt;=$B$2,C141+$A141&gt;=$B$1),C141,IF(AND(D141&gt;=Events!$A143,D141&lt;=$B$2,D141+$A141&gt;=$B$1),D141,""))),IF(AND(Events!$A143&lt;=$B$2,Events!$A143+$A141&gt;=$B$1),Events!$A143,"")),""))</f>
        <v/>
      </c>
      <c r="F141">
        <f>IF(E141="","",E141+A141)</f>
        <v/>
      </c>
      <c r="G141">
        <f>IF(E141="","",IF(AND(E141&lt;=EOMONTH(Calendar!$K$2,0),F141&gt;=Calendar!$K$2),E141+138/100000,""))</f>
        <v/>
      </c>
      <c r="H141">
        <f>H140+IF(AND($E141&lt;&gt;"",$E141&lt;=H$2,$F141&gt;=H$2),1,0)</f>
        <v/>
      </c>
      <c r="I141">
        <f>I140+IF(AND($E141&lt;&gt;"",$E141&lt;=I$2,$F141&gt;=I$2),1,0)</f>
        <v/>
      </c>
      <c r="J141">
        <f>J140+IF(AND($E141&lt;&gt;"",$E141&lt;=J$2,$F141&gt;=J$2),1,0)</f>
        <v/>
      </c>
      <c r="K141">
        <f>K140+IF(AND($E141&lt;&gt;"",$E141&lt;=K$2,$F141&gt;=K$2),1,0)</f>
        <v/>
      </c>
      <c r="L141">
        <f>L140+IF(AND($E141&lt;&gt;"",$E141&lt;=L$2,$F141&gt;=L$2),1,0)</f>
        <v/>
      </c>
      <c r="M141">
        <f>M140+IF(AND($E141&lt;&gt;"",$E141&lt;=M$2,$F141&gt;=M$2),1,0)</f>
        <v/>
      </c>
      <c r="N141">
        <f>N140+IF(AND($E141&lt;&gt;"",$E141&lt;=N$2,$F141&gt;=N$2),1,0)</f>
        <v/>
      </c>
      <c r="O141">
        <f>O140+IF(AND($E141&lt;&gt;"",$E141&lt;=O$2,$F141&gt;=O$2),1,0)</f>
        <v/>
      </c>
      <c r="P141">
        <f>P140+IF(AND($E141&lt;&gt;"",$E141&lt;=P$2,$F141&gt;=P$2),1,0)</f>
        <v/>
      </c>
      <c r="Q141">
        <f>Q140+IF(AND($E141&lt;&gt;"",$E141&lt;=Q$2,$F141&gt;=Q$2),1,0)</f>
        <v/>
      </c>
      <c r="R141">
        <f>R140+IF(AND($E141&lt;&gt;"",$E141&lt;=R$2,$F141&gt;=R$2),1,0)</f>
        <v/>
      </c>
      <c r="S141">
        <f>S140+IF(AND($E141&lt;&gt;"",$E141&lt;=S$2,$F141&gt;=S$2),1,0)</f>
        <v/>
      </c>
      <c r="T141">
        <f>T140+IF(AND($E141&lt;&gt;"",$E141&lt;=T$2,$F141&gt;=T$2),1,0)</f>
        <v/>
      </c>
      <c r="U141">
        <f>U140+IF(AND($E141&lt;&gt;"",$E141&lt;=U$2,$F141&gt;=U$2),1,0)</f>
        <v/>
      </c>
      <c r="V141">
        <f>V140+IF(AND($E141&lt;&gt;"",$E141&lt;=V$2,$F141&gt;=V$2),1,0)</f>
        <v/>
      </c>
      <c r="W141">
        <f>W140+IF(AND($E141&lt;&gt;"",$E141&lt;=W$2,$F141&gt;=W$2),1,0)</f>
        <v/>
      </c>
      <c r="X141">
        <f>X140+IF(AND($E141&lt;&gt;"",$E141&lt;=X$2,$F141&gt;=X$2),1,0)</f>
        <v/>
      </c>
      <c r="Y141">
        <f>Y140+IF(AND($E141&lt;&gt;"",$E141&lt;=Y$2,$F141&gt;=Y$2),1,0)</f>
        <v/>
      </c>
      <c r="Z141">
        <f>Z140+IF(AND($E141&lt;&gt;"",$E141&lt;=Z$2,$F141&gt;=Z$2),1,0)</f>
        <v/>
      </c>
      <c r="AA141">
        <f>AA140+IF(AND($E141&lt;&gt;"",$E141&lt;=AA$2,$F141&gt;=AA$2),1,0)</f>
        <v/>
      </c>
      <c r="AB141">
        <f>AB140+IF(AND($E141&lt;&gt;"",$E141&lt;=AB$2,$F141&gt;=AB$2),1,0)</f>
        <v/>
      </c>
      <c r="AC141">
        <f>AC140+IF(AND($E141&lt;&gt;"",$E141&lt;=AC$2,$F141&gt;=AC$2),1,0)</f>
        <v/>
      </c>
      <c r="AD141">
        <f>AD140+IF(AND($E141&lt;&gt;"",$E141&lt;=AD$2,$F141&gt;=AD$2),1,0)</f>
        <v/>
      </c>
      <c r="AE141">
        <f>AE140+IF(AND($E141&lt;&gt;"",$E141&lt;=AE$2,$F141&gt;=AE$2),1,0)</f>
        <v/>
      </c>
      <c r="AF141">
        <f>AF140+IF(AND($E141&lt;&gt;"",$E141&lt;=AF$2,$F141&gt;=AF$2),1,0)</f>
        <v/>
      </c>
      <c r="AG141">
        <f>AG140+IF(AND($E141&lt;&gt;"",$E141&lt;=AG$2,$F141&gt;=AG$2),1,0)</f>
        <v/>
      </c>
      <c r="AH141">
        <f>AH140+IF(AND($E141&lt;&gt;"",$E141&lt;=AH$2,$F141&gt;=AH$2),1,0)</f>
        <v/>
      </c>
      <c r="AI141">
        <f>AI140+IF(AND($E141&lt;&gt;"",$E141&lt;=AI$2,$F141&gt;=AI$2),1,0)</f>
        <v/>
      </c>
      <c r="AJ141">
        <f>AJ140+IF(AND($E141&lt;&gt;"",$E141&lt;=AJ$2,$F141&gt;=AJ$2),1,0)</f>
        <v/>
      </c>
      <c r="AK141">
        <f>AK140+IF(AND($E141&lt;&gt;"",$E141&lt;=AK$2,$F141&gt;=AK$2),1,0)</f>
        <v/>
      </c>
      <c r="AL141">
        <f>AL140+IF(AND($E141&lt;&gt;"",$E141&lt;=AL$2,$F141&gt;=AL$2),1,0)</f>
        <v/>
      </c>
      <c r="AM141">
        <f>AM140+IF(AND($E141&lt;&gt;"",$E141&lt;=AM$2,$F141&gt;=AM$2),1,0)</f>
        <v/>
      </c>
      <c r="AN141">
        <f>AN140+IF(AND($E141&lt;&gt;"",$E141&lt;=AN$2,$F141&gt;=AN$2),1,0)</f>
        <v/>
      </c>
      <c r="AO141">
        <f>AO140+IF(AND($E141&lt;&gt;"",$E141&lt;=AO$2,$F141&gt;=AO$2),1,0)</f>
        <v/>
      </c>
      <c r="AP141">
        <f>AP140+IF(AND($E141&lt;&gt;"",$E141&lt;=AP$2,$F141&gt;=AP$2),1,0)</f>
        <v/>
      </c>
      <c r="AQ141">
        <f>AQ140+IF(AND($E141&lt;&gt;"",$E141&lt;=AQ$2,$F141&gt;=AQ$2),1,0)</f>
        <v/>
      </c>
      <c r="AR141">
        <f>AR140+IF(AND($E141&lt;&gt;"",$E141&lt;=AR$2,$F141&gt;=AR$2),1,0)</f>
        <v/>
      </c>
      <c r="AS141">
        <f>AS140+IF(AND($E141&lt;&gt;"",$E141&lt;=AS$2,$F141&gt;=AS$2),1,0)</f>
        <v/>
      </c>
      <c r="AT141">
        <f>AT140+IF(AND($E141&lt;&gt;"",$E141&lt;=AT$2,$F141&gt;=AT$2),1,0)</f>
        <v/>
      </c>
      <c r="AU141">
        <f>AU140+IF(AND($E141&lt;&gt;"",$E141&lt;=AU$2,$F141&gt;=AU$2),1,0)</f>
        <v/>
      </c>
      <c r="AV141">
        <f>AV140+IF(AND($E141&lt;&gt;"",$E141&lt;=AV$2,$F141&gt;=AV$2),1,0)</f>
        <v/>
      </c>
      <c r="AW141">
        <f>AW140+IF(AND($E141&lt;&gt;"",$E141&lt;=AW$2,$F141&gt;=AW$2),1,0)</f>
        <v/>
      </c>
    </row>
    <row r="142">
      <c r="A142">
        <f>IF(AND(ISNUMBER(Events!$A144),ISNUMBER(Events!$B144)),MAX(0,Events!$B144-Events!$A144),0)</f>
        <v/>
      </c>
      <c r="B142">
        <f>IF(ISNUMBER(Events!$A144),DATE(YEAR($B$1)-1,MONTH(Events!$A144),DAY(Events!$A144)),"")</f>
        <v/>
      </c>
      <c r="C142">
        <f>IF(ISNUMBER(Events!$A144),DATE(YEAR($B$1),MONTH(Events!$A144),DAY(Events!$A144)),"")</f>
        <v/>
      </c>
      <c r="D142">
        <f>IF(ISNUMBER(Events!$A144),DATE(YEAR($B$2),MONTH(Events!$A144),DAY(Events!$A144)),"")</f>
        <v/>
      </c>
      <c r="E142">
        <f>IF(OR(NOT(ISNUMBER(Events!$A144)),Events!$G144="No",Calendar!$H$4="None"),"",IF(OR(Calendar!$H$4="All events",Events!$D144=Calendar!$H$4),IF(Events!$E144="Yes",IF(AND(B142&gt;=Events!$A144,B142&lt;=$B$2,B142+$A142&gt;=$B$1),B142,IF(AND(C142&gt;=Events!$A144,C142&lt;=$B$2,C142+$A142&gt;=$B$1),C142,IF(AND(D142&gt;=Events!$A144,D142&lt;=$B$2,D142+$A142&gt;=$B$1),D142,""))),IF(AND(Events!$A144&lt;=$B$2,Events!$A144+$A142&gt;=$B$1),Events!$A144,"")),""))</f>
        <v/>
      </c>
      <c r="F142">
        <f>IF(E142="","",E142+A142)</f>
        <v/>
      </c>
      <c r="G142">
        <f>IF(E142="","",IF(AND(E142&lt;=EOMONTH(Calendar!$K$2,0),F142&gt;=Calendar!$K$2),E142+139/100000,""))</f>
        <v/>
      </c>
      <c r="H142">
        <f>H141+IF(AND($E142&lt;&gt;"",$E142&lt;=H$2,$F142&gt;=H$2),1,0)</f>
        <v/>
      </c>
      <c r="I142">
        <f>I141+IF(AND($E142&lt;&gt;"",$E142&lt;=I$2,$F142&gt;=I$2),1,0)</f>
        <v/>
      </c>
      <c r="J142">
        <f>J141+IF(AND($E142&lt;&gt;"",$E142&lt;=J$2,$F142&gt;=J$2),1,0)</f>
        <v/>
      </c>
      <c r="K142">
        <f>K141+IF(AND($E142&lt;&gt;"",$E142&lt;=K$2,$F142&gt;=K$2),1,0)</f>
        <v/>
      </c>
      <c r="L142">
        <f>L141+IF(AND($E142&lt;&gt;"",$E142&lt;=L$2,$F142&gt;=L$2),1,0)</f>
        <v/>
      </c>
      <c r="M142">
        <f>M141+IF(AND($E142&lt;&gt;"",$E142&lt;=M$2,$F142&gt;=M$2),1,0)</f>
        <v/>
      </c>
      <c r="N142">
        <f>N141+IF(AND($E142&lt;&gt;"",$E142&lt;=N$2,$F142&gt;=N$2),1,0)</f>
        <v/>
      </c>
      <c r="O142">
        <f>O141+IF(AND($E142&lt;&gt;"",$E142&lt;=O$2,$F142&gt;=O$2),1,0)</f>
        <v/>
      </c>
      <c r="P142">
        <f>P141+IF(AND($E142&lt;&gt;"",$E142&lt;=P$2,$F142&gt;=P$2),1,0)</f>
        <v/>
      </c>
      <c r="Q142">
        <f>Q141+IF(AND($E142&lt;&gt;"",$E142&lt;=Q$2,$F142&gt;=Q$2),1,0)</f>
        <v/>
      </c>
      <c r="R142">
        <f>R141+IF(AND($E142&lt;&gt;"",$E142&lt;=R$2,$F142&gt;=R$2),1,0)</f>
        <v/>
      </c>
      <c r="S142">
        <f>S141+IF(AND($E142&lt;&gt;"",$E142&lt;=S$2,$F142&gt;=S$2),1,0)</f>
        <v/>
      </c>
      <c r="T142">
        <f>T141+IF(AND($E142&lt;&gt;"",$E142&lt;=T$2,$F142&gt;=T$2),1,0)</f>
        <v/>
      </c>
      <c r="U142">
        <f>U141+IF(AND($E142&lt;&gt;"",$E142&lt;=U$2,$F142&gt;=U$2),1,0)</f>
        <v/>
      </c>
      <c r="V142">
        <f>V141+IF(AND($E142&lt;&gt;"",$E142&lt;=V$2,$F142&gt;=V$2),1,0)</f>
        <v/>
      </c>
      <c r="W142">
        <f>W141+IF(AND($E142&lt;&gt;"",$E142&lt;=W$2,$F142&gt;=W$2),1,0)</f>
        <v/>
      </c>
      <c r="X142">
        <f>X141+IF(AND($E142&lt;&gt;"",$E142&lt;=X$2,$F142&gt;=X$2),1,0)</f>
        <v/>
      </c>
      <c r="Y142">
        <f>Y141+IF(AND($E142&lt;&gt;"",$E142&lt;=Y$2,$F142&gt;=Y$2),1,0)</f>
        <v/>
      </c>
      <c r="Z142">
        <f>Z141+IF(AND($E142&lt;&gt;"",$E142&lt;=Z$2,$F142&gt;=Z$2),1,0)</f>
        <v/>
      </c>
      <c r="AA142">
        <f>AA141+IF(AND($E142&lt;&gt;"",$E142&lt;=AA$2,$F142&gt;=AA$2),1,0)</f>
        <v/>
      </c>
      <c r="AB142">
        <f>AB141+IF(AND($E142&lt;&gt;"",$E142&lt;=AB$2,$F142&gt;=AB$2),1,0)</f>
        <v/>
      </c>
      <c r="AC142">
        <f>AC141+IF(AND($E142&lt;&gt;"",$E142&lt;=AC$2,$F142&gt;=AC$2),1,0)</f>
        <v/>
      </c>
      <c r="AD142">
        <f>AD141+IF(AND($E142&lt;&gt;"",$E142&lt;=AD$2,$F142&gt;=AD$2),1,0)</f>
        <v/>
      </c>
      <c r="AE142">
        <f>AE141+IF(AND($E142&lt;&gt;"",$E142&lt;=AE$2,$F142&gt;=AE$2),1,0)</f>
        <v/>
      </c>
      <c r="AF142">
        <f>AF141+IF(AND($E142&lt;&gt;"",$E142&lt;=AF$2,$F142&gt;=AF$2),1,0)</f>
        <v/>
      </c>
      <c r="AG142">
        <f>AG141+IF(AND($E142&lt;&gt;"",$E142&lt;=AG$2,$F142&gt;=AG$2),1,0)</f>
        <v/>
      </c>
      <c r="AH142">
        <f>AH141+IF(AND($E142&lt;&gt;"",$E142&lt;=AH$2,$F142&gt;=AH$2),1,0)</f>
        <v/>
      </c>
      <c r="AI142">
        <f>AI141+IF(AND($E142&lt;&gt;"",$E142&lt;=AI$2,$F142&gt;=AI$2),1,0)</f>
        <v/>
      </c>
      <c r="AJ142">
        <f>AJ141+IF(AND($E142&lt;&gt;"",$E142&lt;=AJ$2,$F142&gt;=AJ$2),1,0)</f>
        <v/>
      </c>
      <c r="AK142">
        <f>AK141+IF(AND($E142&lt;&gt;"",$E142&lt;=AK$2,$F142&gt;=AK$2),1,0)</f>
        <v/>
      </c>
      <c r="AL142">
        <f>AL141+IF(AND($E142&lt;&gt;"",$E142&lt;=AL$2,$F142&gt;=AL$2),1,0)</f>
        <v/>
      </c>
      <c r="AM142">
        <f>AM141+IF(AND($E142&lt;&gt;"",$E142&lt;=AM$2,$F142&gt;=AM$2),1,0)</f>
        <v/>
      </c>
      <c r="AN142">
        <f>AN141+IF(AND($E142&lt;&gt;"",$E142&lt;=AN$2,$F142&gt;=AN$2),1,0)</f>
        <v/>
      </c>
      <c r="AO142">
        <f>AO141+IF(AND($E142&lt;&gt;"",$E142&lt;=AO$2,$F142&gt;=AO$2),1,0)</f>
        <v/>
      </c>
      <c r="AP142">
        <f>AP141+IF(AND($E142&lt;&gt;"",$E142&lt;=AP$2,$F142&gt;=AP$2),1,0)</f>
        <v/>
      </c>
      <c r="AQ142">
        <f>AQ141+IF(AND($E142&lt;&gt;"",$E142&lt;=AQ$2,$F142&gt;=AQ$2),1,0)</f>
        <v/>
      </c>
      <c r="AR142">
        <f>AR141+IF(AND($E142&lt;&gt;"",$E142&lt;=AR$2,$F142&gt;=AR$2),1,0)</f>
        <v/>
      </c>
      <c r="AS142">
        <f>AS141+IF(AND($E142&lt;&gt;"",$E142&lt;=AS$2,$F142&gt;=AS$2),1,0)</f>
        <v/>
      </c>
      <c r="AT142">
        <f>AT141+IF(AND($E142&lt;&gt;"",$E142&lt;=AT$2,$F142&gt;=AT$2),1,0)</f>
        <v/>
      </c>
      <c r="AU142">
        <f>AU141+IF(AND($E142&lt;&gt;"",$E142&lt;=AU$2,$F142&gt;=AU$2),1,0)</f>
        <v/>
      </c>
      <c r="AV142">
        <f>AV141+IF(AND($E142&lt;&gt;"",$E142&lt;=AV$2,$F142&gt;=AV$2),1,0)</f>
        <v/>
      </c>
      <c r="AW142">
        <f>AW141+IF(AND($E142&lt;&gt;"",$E142&lt;=AW$2,$F142&gt;=AW$2),1,0)</f>
        <v/>
      </c>
    </row>
    <row r="143">
      <c r="A143">
        <f>IF(AND(ISNUMBER(Events!$A145),ISNUMBER(Events!$B145)),MAX(0,Events!$B145-Events!$A145),0)</f>
        <v/>
      </c>
      <c r="B143">
        <f>IF(ISNUMBER(Events!$A145),DATE(YEAR($B$1)-1,MONTH(Events!$A145),DAY(Events!$A145)),"")</f>
        <v/>
      </c>
      <c r="C143">
        <f>IF(ISNUMBER(Events!$A145),DATE(YEAR($B$1),MONTH(Events!$A145),DAY(Events!$A145)),"")</f>
        <v/>
      </c>
      <c r="D143">
        <f>IF(ISNUMBER(Events!$A145),DATE(YEAR($B$2),MONTH(Events!$A145),DAY(Events!$A145)),"")</f>
        <v/>
      </c>
      <c r="E143">
        <f>IF(OR(NOT(ISNUMBER(Events!$A145)),Events!$G145="No",Calendar!$H$4="None"),"",IF(OR(Calendar!$H$4="All events",Events!$D145=Calendar!$H$4),IF(Events!$E145="Yes",IF(AND(B143&gt;=Events!$A145,B143&lt;=$B$2,B143+$A143&gt;=$B$1),B143,IF(AND(C143&gt;=Events!$A145,C143&lt;=$B$2,C143+$A143&gt;=$B$1),C143,IF(AND(D143&gt;=Events!$A145,D143&lt;=$B$2,D143+$A143&gt;=$B$1),D143,""))),IF(AND(Events!$A145&lt;=$B$2,Events!$A145+$A143&gt;=$B$1),Events!$A145,"")),""))</f>
        <v/>
      </c>
      <c r="F143">
        <f>IF(E143="","",E143+A143)</f>
        <v/>
      </c>
      <c r="G143">
        <f>IF(E143="","",IF(AND(E143&lt;=EOMONTH(Calendar!$K$2,0),F143&gt;=Calendar!$K$2),E143+140/100000,""))</f>
        <v/>
      </c>
      <c r="H143">
        <f>H142+IF(AND($E143&lt;&gt;"",$E143&lt;=H$2,$F143&gt;=H$2),1,0)</f>
        <v/>
      </c>
      <c r="I143">
        <f>I142+IF(AND($E143&lt;&gt;"",$E143&lt;=I$2,$F143&gt;=I$2),1,0)</f>
        <v/>
      </c>
      <c r="J143">
        <f>J142+IF(AND($E143&lt;&gt;"",$E143&lt;=J$2,$F143&gt;=J$2),1,0)</f>
        <v/>
      </c>
      <c r="K143">
        <f>K142+IF(AND($E143&lt;&gt;"",$E143&lt;=K$2,$F143&gt;=K$2),1,0)</f>
        <v/>
      </c>
      <c r="L143">
        <f>L142+IF(AND($E143&lt;&gt;"",$E143&lt;=L$2,$F143&gt;=L$2),1,0)</f>
        <v/>
      </c>
      <c r="M143">
        <f>M142+IF(AND($E143&lt;&gt;"",$E143&lt;=M$2,$F143&gt;=M$2),1,0)</f>
        <v/>
      </c>
      <c r="N143">
        <f>N142+IF(AND($E143&lt;&gt;"",$E143&lt;=N$2,$F143&gt;=N$2),1,0)</f>
        <v/>
      </c>
      <c r="O143">
        <f>O142+IF(AND($E143&lt;&gt;"",$E143&lt;=O$2,$F143&gt;=O$2),1,0)</f>
        <v/>
      </c>
      <c r="P143">
        <f>P142+IF(AND($E143&lt;&gt;"",$E143&lt;=P$2,$F143&gt;=P$2),1,0)</f>
        <v/>
      </c>
      <c r="Q143">
        <f>Q142+IF(AND($E143&lt;&gt;"",$E143&lt;=Q$2,$F143&gt;=Q$2),1,0)</f>
        <v/>
      </c>
      <c r="R143">
        <f>R142+IF(AND($E143&lt;&gt;"",$E143&lt;=R$2,$F143&gt;=R$2),1,0)</f>
        <v/>
      </c>
      <c r="S143">
        <f>S142+IF(AND($E143&lt;&gt;"",$E143&lt;=S$2,$F143&gt;=S$2),1,0)</f>
        <v/>
      </c>
      <c r="T143">
        <f>T142+IF(AND($E143&lt;&gt;"",$E143&lt;=T$2,$F143&gt;=T$2),1,0)</f>
        <v/>
      </c>
      <c r="U143">
        <f>U142+IF(AND($E143&lt;&gt;"",$E143&lt;=U$2,$F143&gt;=U$2),1,0)</f>
        <v/>
      </c>
      <c r="V143">
        <f>V142+IF(AND($E143&lt;&gt;"",$E143&lt;=V$2,$F143&gt;=V$2),1,0)</f>
        <v/>
      </c>
      <c r="W143">
        <f>W142+IF(AND($E143&lt;&gt;"",$E143&lt;=W$2,$F143&gt;=W$2),1,0)</f>
        <v/>
      </c>
      <c r="X143">
        <f>X142+IF(AND($E143&lt;&gt;"",$E143&lt;=X$2,$F143&gt;=X$2),1,0)</f>
        <v/>
      </c>
      <c r="Y143">
        <f>Y142+IF(AND($E143&lt;&gt;"",$E143&lt;=Y$2,$F143&gt;=Y$2),1,0)</f>
        <v/>
      </c>
      <c r="Z143">
        <f>Z142+IF(AND($E143&lt;&gt;"",$E143&lt;=Z$2,$F143&gt;=Z$2),1,0)</f>
        <v/>
      </c>
      <c r="AA143">
        <f>AA142+IF(AND($E143&lt;&gt;"",$E143&lt;=AA$2,$F143&gt;=AA$2),1,0)</f>
        <v/>
      </c>
      <c r="AB143">
        <f>AB142+IF(AND($E143&lt;&gt;"",$E143&lt;=AB$2,$F143&gt;=AB$2),1,0)</f>
        <v/>
      </c>
      <c r="AC143">
        <f>AC142+IF(AND($E143&lt;&gt;"",$E143&lt;=AC$2,$F143&gt;=AC$2),1,0)</f>
        <v/>
      </c>
      <c r="AD143">
        <f>AD142+IF(AND($E143&lt;&gt;"",$E143&lt;=AD$2,$F143&gt;=AD$2),1,0)</f>
        <v/>
      </c>
      <c r="AE143">
        <f>AE142+IF(AND($E143&lt;&gt;"",$E143&lt;=AE$2,$F143&gt;=AE$2),1,0)</f>
        <v/>
      </c>
      <c r="AF143">
        <f>AF142+IF(AND($E143&lt;&gt;"",$E143&lt;=AF$2,$F143&gt;=AF$2),1,0)</f>
        <v/>
      </c>
      <c r="AG143">
        <f>AG142+IF(AND($E143&lt;&gt;"",$E143&lt;=AG$2,$F143&gt;=AG$2),1,0)</f>
        <v/>
      </c>
      <c r="AH143">
        <f>AH142+IF(AND($E143&lt;&gt;"",$E143&lt;=AH$2,$F143&gt;=AH$2),1,0)</f>
        <v/>
      </c>
      <c r="AI143">
        <f>AI142+IF(AND($E143&lt;&gt;"",$E143&lt;=AI$2,$F143&gt;=AI$2),1,0)</f>
        <v/>
      </c>
      <c r="AJ143">
        <f>AJ142+IF(AND($E143&lt;&gt;"",$E143&lt;=AJ$2,$F143&gt;=AJ$2),1,0)</f>
        <v/>
      </c>
      <c r="AK143">
        <f>AK142+IF(AND($E143&lt;&gt;"",$E143&lt;=AK$2,$F143&gt;=AK$2),1,0)</f>
        <v/>
      </c>
      <c r="AL143">
        <f>AL142+IF(AND($E143&lt;&gt;"",$E143&lt;=AL$2,$F143&gt;=AL$2),1,0)</f>
        <v/>
      </c>
      <c r="AM143">
        <f>AM142+IF(AND($E143&lt;&gt;"",$E143&lt;=AM$2,$F143&gt;=AM$2),1,0)</f>
        <v/>
      </c>
      <c r="AN143">
        <f>AN142+IF(AND($E143&lt;&gt;"",$E143&lt;=AN$2,$F143&gt;=AN$2),1,0)</f>
        <v/>
      </c>
      <c r="AO143">
        <f>AO142+IF(AND($E143&lt;&gt;"",$E143&lt;=AO$2,$F143&gt;=AO$2),1,0)</f>
        <v/>
      </c>
      <c r="AP143">
        <f>AP142+IF(AND($E143&lt;&gt;"",$E143&lt;=AP$2,$F143&gt;=AP$2),1,0)</f>
        <v/>
      </c>
      <c r="AQ143">
        <f>AQ142+IF(AND($E143&lt;&gt;"",$E143&lt;=AQ$2,$F143&gt;=AQ$2),1,0)</f>
        <v/>
      </c>
      <c r="AR143">
        <f>AR142+IF(AND($E143&lt;&gt;"",$E143&lt;=AR$2,$F143&gt;=AR$2),1,0)</f>
        <v/>
      </c>
      <c r="AS143">
        <f>AS142+IF(AND($E143&lt;&gt;"",$E143&lt;=AS$2,$F143&gt;=AS$2),1,0)</f>
        <v/>
      </c>
      <c r="AT143">
        <f>AT142+IF(AND($E143&lt;&gt;"",$E143&lt;=AT$2,$F143&gt;=AT$2),1,0)</f>
        <v/>
      </c>
      <c r="AU143">
        <f>AU142+IF(AND($E143&lt;&gt;"",$E143&lt;=AU$2,$F143&gt;=AU$2),1,0)</f>
        <v/>
      </c>
      <c r="AV143">
        <f>AV142+IF(AND($E143&lt;&gt;"",$E143&lt;=AV$2,$F143&gt;=AV$2),1,0)</f>
        <v/>
      </c>
      <c r="AW143">
        <f>AW142+IF(AND($E143&lt;&gt;"",$E143&lt;=AW$2,$F143&gt;=AW$2),1,0)</f>
        <v/>
      </c>
    </row>
    <row r="144">
      <c r="A144">
        <f>IF(AND(ISNUMBER(Events!$A146),ISNUMBER(Events!$B146)),MAX(0,Events!$B146-Events!$A146),0)</f>
        <v/>
      </c>
      <c r="B144">
        <f>IF(ISNUMBER(Events!$A146),DATE(YEAR($B$1)-1,MONTH(Events!$A146),DAY(Events!$A146)),"")</f>
        <v/>
      </c>
      <c r="C144">
        <f>IF(ISNUMBER(Events!$A146),DATE(YEAR($B$1),MONTH(Events!$A146),DAY(Events!$A146)),"")</f>
        <v/>
      </c>
      <c r="D144">
        <f>IF(ISNUMBER(Events!$A146),DATE(YEAR($B$2),MONTH(Events!$A146),DAY(Events!$A146)),"")</f>
        <v/>
      </c>
      <c r="E144">
        <f>IF(OR(NOT(ISNUMBER(Events!$A146)),Events!$G146="No",Calendar!$H$4="None"),"",IF(OR(Calendar!$H$4="All events",Events!$D146=Calendar!$H$4),IF(Events!$E146="Yes",IF(AND(B144&gt;=Events!$A146,B144&lt;=$B$2,B144+$A144&gt;=$B$1),B144,IF(AND(C144&gt;=Events!$A146,C144&lt;=$B$2,C144+$A144&gt;=$B$1),C144,IF(AND(D144&gt;=Events!$A146,D144&lt;=$B$2,D144+$A144&gt;=$B$1),D144,""))),IF(AND(Events!$A146&lt;=$B$2,Events!$A146+$A144&gt;=$B$1),Events!$A146,"")),""))</f>
        <v/>
      </c>
      <c r="F144">
        <f>IF(E144="","",E144+A144)</f>
        <v/>
      </c>
      <c r="G144">
        <f>IF(E144="","",IF(AND(E144&lt;=EOMONTH(Calendar!$K$2,0),F144&gt;=Calendar!$K$2),E144+141/100000,""))</f>
        <v/>
      </c>
      <c r="H144">
        <f>H143+IF(AND($E144&lt;&gt;"",$E144&lt;=H$2,$F144&gt;=H$2),1,0)</f>
        <v/>
      </c>
      <c r="I144">
        <f>I143+IF(AND($E144&lt;&gt;"",$E144&lt;=I$2,$F144&gt;=I$2),1,0)</f>
        <v/>
      </c>
      <c r="J144">
        <f>J143+IF(AND($E144&lt;&gt;"",$E144&lt;=J$2,$F144&gt;=J$2),1,0)</f>
        <v/>
      </c>
      <c r="K144">
        <f>K143+IF(AND($E144&lt;&gt;"",$E144&lt;=K$2,$F144&gt;=K$2),1,0)</f>
        <v/>
      </c>
      <c r="L144">
        <f>L143+IF(AND($E144&lt;&gt;"",$E144&lt;=L$2,$F144&gt;=L$2),1,0)</f>
        <v/>
      </c>
      <c r="M144">
        <f>M143+IF(AND($E144&lt;&gt;"",$E144&lt;=M$2,$F144&gt;=M$2),1,0)</f>
        <v/>
      </c>
      <c r="N144">
        <f>N143+IF(AND($E144&lt;&gt;"",$E144&lt;=N$2,$F144&gt;=N$2),1,0)</f>
        <v/>
      </c>
      <c r="O144">
        <f>O143+IF(AND($E144&lt;&gt;"",$E144&lt;=O$2,$F144&gt;=O$2),1,0)</f>
        <v/>
      </c>
      <c r="P144">
        <f>P143+IF(AND($E144&lt;&gt;"",$E144&lt;=P$2,$F144&gt;=P$2),1,0)</f>
        <v/>
      </c>
      <c r="Q144">
        <f>Q143+IF(AND($E144&lt;&gt;"",$E144&lt;=Q$2,$F144&gt;=Q$2),1,0)</f>
        <v/>
      </c>
      <c r="R144">
        <f>R143+IF(AND($E144&lt;&gt;"",$E144&lt;=R$2,$F144&gt;=R$2),1,0)</f>
        <v/>
      </c>
      <c r="S144">
        <f>S143+IF(AND($E144&lt;&gt;"",$E144&lt;=S$2,$F144&gt;=S$2),1,0)</f>
        <v/>
      </c>
      <c r="T144">
        <f>T143+IF(AND($E144&lt;&gt;"",$E144&lt;=T$2,$F144&gt;=T$2),1,0)</f>
        <v/>
      </c>
      <c r="U144">
        <f>U143+IF(AND($E144&lt;&gt;"",$E144&lt;=U$2,$F144&gt;=U$2),1,0)</f>
        <v/>
      </c>
      <c r="V144">
        <f>V143+IF(AND($E144&lt;&gt;"",$E144&lt;=V$2,$F144&gt;=V$2),1,0)</f>
        <v/>
      </c>
      <c r="W144">
        <f>W143+IF(AND($E144&lt;&gt;"",$E144&lt;=W$2,$F144&gt;=W$2),1,0)</f>
        <v/>
      </c>
      <c r="X144">
        <f>X143+IF(AND($E144&lt;&gt;"",$E144&lt;=X$2,$F144&gt;=X$2),1,0)</f>
        <v/>
      </c>
      <c r="Y144">
        <f>Y143+IF(AND($E144&lt;&gt;"",$E144&lt;=Y$2,$F144&gt;=Y$2),1,0)</f>
        <v/>
      </c>
      <c r="Z144">
        <f>Z143+IF(AND($E144&lt;&gt;"",$E144&lt;=Z$2,$F144&gt;=Z$2),1,0)</f>
        <v/>
      </c>
      <c r="AA144">
        <f>AA143+IF(AND($E144&lt;&gt;"",$E144&lt;=AA$2,$F144&gt;=AA$2),1,0)</f>
        <v/>
      </c>
      <c r="AB144">
        <f>AB143+IF(AND($E144&lt;&gt;"",$E144&lt;=AB$2,$F144&gt;=AB$2),1,0)</f>
        <v/>
      </c>
      <c r="AC144">
        <f>AC143+IF(AND($E144&lt;&gt;"",$E144&lt;=AC$2,$F144&gt;=AC$2),1,0)</f>
        <v/>
      </c>
      <c r="AD144">
        <f>AD143+IF(AND($E144&lt;&gt;"",$E144&lt;=AD$2,$F144&gt;=AD$2),1,0)</f>
        <v/>
      </c>
      <c r="AE144">
        <f>AE143+IF(AND($E144&lt;&gt;"",$E144&lt;=AE$2,$F144&gt;=AE$2),1,0)</f>
        <v/>
      </c>
      <c r="AF144">
        <f>AF143+IF(AND($E144&lt;&gt;"",$E144&lt;=AF$2,$F144&gt;=AF$2),1,0)</f>
        <v/>
      </c>
      <c r="AG144">
        <f>AG143+IF(AND($E144&lt;&gt;"",$E144&lt;=AG$2,$F144&gt;=AG$2),1,0)</f>
        <v/>
      </c>
      <c r="AH144">
        <f>AH143+IF(AND($E144&lt;&gt;"",$E144&lt;=AH$2,$F144&gt;=AH$2),1,0)</f>
        <v/>
      </c>
      <c r="AI144">
        <f>AI143+IF(AND($E144&lt;&gt;"",$E144&lt;=AI$2,$F144&gt;=AI$2),1,0)</f>
        <v/>
      </c>
      <c r="AJ144">
        <f>AJ143+IF(AND($E144&lt;&gt;"",$E144&lt;=AJ$2,$F144&gt;=AJ$2),1,0)</f>
        <v/>
      </c>
      <c r="AK144">
        <f>AK143+IF(AND($E144&lt;&gt;"",$E144&lt;=AK$2,$F144&gt;=AK$2),1,0)</f>
        <v/>
      </c>
      <c r="AL144">
        <f>AL143+IF(AND($E144&lt;&gt;"",$E144&lt;=AL$2,$F144&gt;=AL$2),1,0)</f>
        <v/>
      </c>
      <c r="AM144">
        <f>AM143+IF(AND($E144&lt;&gt;"",$E144&lt;=AM$2,$F144&gt;=AM$2),1,0)</f>
        <v/>
      </c>
      <c r="AN144">
        <f>AN143+IF(AND($E144&lt;&gt;"",$E144&lt;=AN$2,$F144&gt;=AN$2),1,0)</f>
        <v/>
      </c>
      <c r="AO144">
        <f>AO143+IF(AND($E144&lt;&gt;"",$E144&lt;=AO$2,$F144&gt;=AO$2),1,0)</f>
        <v/>
      </c>
      <c r="AP144">
        <f>AP143+IF(AND($E144&lt;&gt;"",$E144&lt;=AP$2,$F144&gt;=AP$2),1,0)</f>
        <v/>
      </c>
      <c r="AQ144">
        <f>AQ143+IF(AND($E144&lt;&gt;"",$E144&lt;=AQ$2,$F144&gt;=AQ$2),1,0)</f>
        <v/>
      </c>
      <c r="AR144">
        <f>AR143+IF(AND($E144&lt;&gt;"",$E144&lt;=AR$2,$F144&gt;=AR$2),1,0)</f>
        <v/>
      </c>
      <c r="AS144">
        <f>AS143+IF(AND($E144&lt;&gt;"",$E144&lt;=AS$2,$F144&gt;=AS$2),1,0)</f>
        <v/>
      </c>
      <c r="AT144">
        <f>AT143+IF(AND($E144&lt;&gt;"",$E144&lt;=AT$2,$F144&gt;=AT$2),1,0)</f>
        <v/>
      </c>
      <c r="AU144">
        <f>AU143+IF(AND($E144&lt;&gt;"",$E144&lt;=AU$2,$F144&gt;=AU$2),1,0)</f>
        <v/>
      </c>
      <c r="AV144">
        <f>AV143+IF(AND($E144&lt;&gt;"",$E144&lt;=AV$2,$F144&gt;=AV$2),1,0)</f>
        <v/>
      </c>
      <c r="AW144">
        <f>AW143+IF(AND($E144&lt;&gt;"",$E144&lt;=AW$2,$F144&gt;=AW$2),1,0)</f>
        <v/>
      </c>
    </row>
    <row r="145">
      <c r="A145">
        <f>IF(AND(ISNUMBER(Events!$A147),ISNUMBER(Events!$B147)),MAX(0,Events!$B147-Events!$A147),0)</f>
        <v/>
      </c>
      <c r="B145">
        <f>IF(ISNUMBER(Events!$A147),DATE(YEAR($B$1)-1,MONTH(Events!$A147),DAY(Events!$A147)),"")</f>
        <v/>
      </c>
      <c r="C145">
        <f>IF(ISNUMBER(Events!$A147),DATE(YEAR($B$1),MONTH(Events!$A147),DAY(Events!$A147)),"")</f>
        <v/>
      </c>
      <c r="D145">
        <f>IF(ISNUMBER(Events!$A147),DATE(YEAR($B$2),MONTH(Events!$A147),DAY(Events!$A147)),"")</f>
        <v/>
      </c>
      <c r="E145">
        <f>IF(OR(NOT(ISNUMBER(Events!$A147)),Events!$G147="No",Calendar!$H$4="None"),"",IF(OR(Calendar!$H$4="All events",Events!$D147=Calendar!$H$4),IF(Events!$E147="Yes",IF(AND(B145&gt;=Events!$A147,B145&lt;=$B$2,B145+$A145&gt;=$B$1),B145,IF(AND(C145&gt;=Events!$A147,C145&lt;=$B$2,C145+$A145&gt;=$B$1),C145,IF(AND(D145&gt;=Events!$A147,D145&lt;=$B$2,D145+$A145&gt;=$B$1),D145,""))),IF(AND(Events!$A147&lt;=$B$2,Events!$A147+$A145&gt;=$B$1),Events!$A147,"")),""))</f>
        <v/>
      </c>
      <c r="F145">
        <f>IF(E145="","",E145+A145)</f>
        <v/>
      </c>
      <c r="G145">
        <f>IF(E145="","",IF(AND(E145&lt;=EOMONTH(Calendar!$K$2,0),F145&gt;=Calendar!$K$2),E145+142/100000,""))</f>
        <v/>
      </c>
      <c r="H145">
        <f>H144+IF(AND($E145&lt;&gt;"",$E145&lt;=H$2,$F145&gt;=H$2),1,0)</f>
        <v/>
      </c>
      <c r="I145">
        <f>I144+IF(AND($E145&lt;&gt;"",$E145&lt;=I$2,$F145&gt;=I$2),1,0)</f>
        <v/>
      </c>
      <c r="J145">
        <f>J144+IF(AND($E145&lt;&gt;"",$E145&lt;=J$2,$F145&gt;=J$2),1,0)</f>
        <v/>
      </c>
      <c r="K145">
        <f>K144+IF(AND($E145&lt;&gt;"",$E145&lt;=K$2,$F145&gt;=K$2),1,0)</f>
        <v/>
      </c>
      <c r="L145">
        <f>L144+IF(AND($E145&lt;&gt;"",$E145&lt;=L$2,$F145&gt;=L$2),1,0)</f>
        <v/>
      </c>
      <c r="M145">
        <f>M144+IF(AND($E145&lt;&gt;"",$E145&lt;=M$2,$F145&gt;=M$2),1,0)</f>
        <v/>
      </c>
      <c r="N145">
        <f>N144+IF(AND($E145&lt;&gt;"",$E145&lt;=N$2,$F145&gt;=N$2),1,0)</f>
        <v/>
      </c>
      <c r="O145">
        <f>O144+IF(AND($E145&lt;&gt;"",$E145&lt;=O$2,$F145&gt;=O$2),1,0)</f>
        <v/>
      </c>
      <c r="P145">
        <f>P144+IF(AND($E145&lt;&gt;"",$E145&lt;=P$2,$F145&gt;=P$2),1,0)</f>
        <v/>
      </c>
      <c r="Q145">
        <f>Q144+IF(AND($E145&lt;&gt;"",$E145&lt;=Q$2,$F145&gt;=Q$2),1,0)</f>
        <v/>
      </c>
      <c r="R145">
        <f>R144+IF(AND($E145&lt;&gt;"",$E145&lt;=R$2,$F145&gt;=R$2),1,0)</f>
        <v/>
      </c>
      <c r="S145">
        <f>S144+IF(AND($E145&lt;&gt;"",$E145&lt;=S$2,$F145&gt;=S$2),1,0)</f>
        <v/>
      </c>
      <c r="T145">
        <f>T144+IF(AND($E145&lt;&gt;"",$E145&lt;=T$2,$F145&gt;=T$2),1,0)</f>
        <v/>
      </c>
      <c r="U145">
        <f>U144+IF(AND($E145&lt;&gt;"",$E145&lt;=U$2,$F145&gt;=U$2),1,0)</f>
        <v/>
      </c>
      <c r="V145">
        <f>V144+IF(AND($E145&lt;&gt;"",$E145&lt;=V$2,$F145&gt;=V$2),1,0)</f>
        <v/>
      </c>
      <c r="W145">
        <f>W144+IF(AND($E145&lt;&gt;"",$E145&lt;=W$2,$F145&gt;=W$2),1,0)</f>
        <v/>
      </c>
      <c r="X145">
        <f>X144+IF(AND($E145&lt;&gt;"",$E145&lt;=X$2,$F145&gt;=X$2),1,0)</f>
        <v/>
      </c>
      <c r="Y145">
        <f>Y144+IF(AND($E145&lt;&gt;"",$E145&lt;=Y$2,$F145&gt;=Y$2),1,0)</f>
        <v/>
      </c>
      <c r="Z145">
        <f>Z144+IF(AND($E145&lt;&gt;"",$E145&lt;=Z$2,$F145&gt;=Z$2),1,0)</f>
        <v/>
      </c>
      <c r="AA145">
        <f>AA144+IF(AND($E145&lt;&gt;"",$E145&lt;=AA$2,$F145&gt;=AA$2),1,0)</f>
        <v/>
      </c>
      <c r="AB145">
        <f>AB144+IF(AND($E145&lt;&gt;"",$E145&lt;=AB$2,$F145&gt;=AB$2),1,0)</f>
        <v/>
      </c>
      <c r="AC145">
        <f>AC144+IF(AND($E145&lt;&gt;"",$E145&lt;=AC$2,$F145&gt;=AC$2),1,0)</f>
        <v/>
      </c>
      <c r="AD145">
        <f>AD144+IF(AND($E145&lt;&gt;"",$E145&lt;=AD$2,$F145&gt;=AD$2),1,0)</f>
        <v/>
      </c>
      <c r="AE145">
        <f>AE144+IF(AND($E145&lt;&gt;"",$E145&lt;=AE$2,$F145&gt;=AE$2),1,0)</f>
        <v/>
      </c>
      <c r="AF145">
        <f>AF144+IF(AND($E145&lt;&gt;"",$E145&lt;=AF$2,$F145&gt;=AF$2),1,0)</f>
        <v/>
      </c>
      <c r="AG145">
        <f>AG144+IF(AND($E145&lt;&gt;"",$E145&lt;=AG$2,$F145&gt;=AG$2),1,0)</f>
        <v/>
      </c>
      <c r="AH145">
        <f>AH144+IF(AND($E145&lt;&gt;"",$E145&lt;=AH$2,$F145&gt;=AH$2),1,0)</f>
        <v/>
      </c>
      <c r="AI145">
        <f>AI144+IF(AND($E145&lt;&gt;"",$E145&lt;=AI$2,$F145&gt;=AI$2),1,0)</f>
        <v/>
      </c>
      <c r="AJ145">
        <f>AJ144+IF(AND($E145&lt;&gt;"",$E145&lt;=AJ$2,$F145&gt;=AJ$2),1,0)</f>
        <v/>
      </c>
      <c r="AK145">
        <f>AK144+IF(AND($E145&lt;&gt;"",$E145&lt;=AK$2,$F145&gt;=AK$2),1,0)</f>
        <v/>
      </c>
      <c r="AL145">
        <f>AL144+IF(AND($E145&lt;&gt;"",$E145&lt;=AL$2,$F145&gt;=AL$2),1,0)</f>
        <v/>
      </c>
      <c r="AM145">
        <f>AM144+IF(AND($E145&lt;&gt;"",$E145&lt;=AM$2,$F145&gt;=AM$2),1,0)</f>
        <v/>
      </c>
      <c r="AN145">
        <f>AN144+IF(AND($E145&lt;&gt;"",$E145&lt;=AN$2,$F145&gt;=AN$2),1,0)</f>
        <v/>
      </c>
      <c r="AO145">
        <f>AO144+IF(AND($E145&lt;&gt;"",$E145&lt;=AO$2,$F145&gt;=AO$2),1,0)</f>
        <v/>
      </c>
      <c r="AP145">
        <f>AP144+IF(AND($E145&lt;&gt;"",$E145&lt;=AP$2,$F145&gt;=AP$2),1,0)</f>
        <v/>
      </c>
      <c r="AQ145">
        <f>AQ144+IF(AND($E145&lt;&gt;"",$E145&lt;=AQ$2,$F145&gt;=AQ$2),1,0)</f>
        <v/>
      </c>
      <c r="AR145">
        <f>AR144+IF(AND($E145&lt;&gt;"",$E145&lt;=AR$2,$F145&gt;=AR$2),1,0)</f>
        <v/>
      </c>
      <c r="AS145">
        <f>AS144+IF(AND($E145&lt;&gt;"",$E145&lt;=AS$2,$F145&gt;=AS$2),1,0)</f>
        <v/>
      </c>
      <c r="AT145">
        <f>AT144+IF(AND($E145&lt;&gt;"",$E145&lt;=AT$2,$F145&gt;=AT$2),1,0)</f>
        <v/>
      </c>
      <c r="AU145">
        <f>AU144+IF(AND($E145&lt;&gt;"",$E145&lt;=AU$2,$F145&gt;=AU$2),1,0)</f>
        <v/>
      </c>
      <c r="AV145">
        <f>AV144+IF(AND($E145&lt;&gt;"",$E145&lt;=AV$2,$F145&gt;=AV$2),1,0)</f>
        <v/>
      </c>
      <c r="AW145">
        <f>AW144+IF(AND($E145&lt;&gt;"",$E145&lt;=AW$2,$F145&gt;=AW$2),1,0)</f>
        <v/>
      </c>
    </row>
    <row r="146">
      <c r="A146">
        <f>IF(AND(ISNUMBER(Events!$A148),ISNUMBER(Events!$B148)),MAX(0,Events!$B148-Events!$A148),0)</f>
        <v/>
      </c>
      <c r="B146">
        <f>IF(ISNUMBER(Events!$A148),DATE(YEAR($B$1)-1,MONTH(Events!$A148),DAY(Events!$A148)),"")</f>
        <v/>
      </c>
      <c r="C146">
        <f>IF(ISNUMBER(Events!$A148),DATE(YEAR($B$1),MONTH(Events!$A148),DAY(Events!$A148)),"")</f>
        <v/>
      </c>
      <c r="D146">
        <f>IF(ISNUMBER(Events!$A148),DATE(YEAR($B$2),MONTH(Events!$A148),DAY(Events!$A148)),"")</f>
        <v/>
      </c>
      <c r="E146">
        <f>IF(OR(NOT(ISNUMBER(Events!$A148)),Events!$G148="No",Calendar!$H$4="None"),"",IF(OR(Calendar!$H$4="All events",Events!$D148=Calendar!$H$4),IF(Events!$E148="Yes",IF(AND(B146&gt;=Events!$A148,B146&lt;=$B$2,B146+$A146&gt;=$B$1),B146,IF(AND(C146&gt;=Events!$A148,C146&lt;=$B$2,C146+$A146&gt;=$B$1),C146,IF(AND(D146&gt;=Events!$A148,D146&lt;=$B$2,D146+$A146&gt;=$B$1),D146,""))),IF(AND(Events!$A148&lt;=$B$2,Events!$A148+$A146&gt;=$B$1),Events!$A148,"")),""))</f>
        <v/>
      </c>
      <c r="F146">
        <f>IF(E146="","",E146+A146)</f>
        <v/>
      </c>
      <c r="G146">
        <f>IF(E146="","",IF(AND(E146&lt;=EOMONTH(Calendar!$K$2,0),F146&gt;=Calendar!$K$2),E146+143/100000,""))</f>
        <v/>
      </c>
      <c r="H146">
        <f>H145+IF(AND($E146&lt;&gt;"",$E146&lt;=H$2,$F146&gt;=H$2),1,0)</f>
        <v/>
      </c>
      <c r="I146">
        <f>I145+IF(AND($E146&lt;&gt;"",$E146&lt;=I$2,$F146&gt;=I$2),1,0)</f>
        <v/>
      </c>
      <c r="J146">
        <f>J145+IF(AND($E146&lt;&gt;"",$E146&lt;=J$2,$F146&gt;=J$2),1,0)</f>
        <v/>
      </c>
      <c r="K146">
        <f>K145+IF(AND($E146&lt;&gt;"",$E146&lt;=K$2,$F146&gt;=K$2),1,0)</f>
        <v/>
      </c>
      <c r="L146">
        <f>L145+IF(AND($E146&lt;&gt;"",$E146&lt;=L$2,$F146&gt;=L$2),1,0)</f>
        <v/>
      </c>
      <c r="M146">
        <f>M145+IF(AND($E146&lt;&gt;"",$E146&lt;=M$2,$F146&gt;=M$2),1,0)</f>
        <v/>
      </c>
      <c r="N146">
        <f>N145+IF(AND($E146&lt;&gt;"",$E146&lt;=N$2,$F146&gt;=N$2),1,0)</f>
        <v/>
      </c>
      <c r="O146">
        <f>O145+IF(AND($E146&lt;&gt;"",$E146&lt;=O$2,$F146&gt;=O$2),1,0)</f>
        <v/>
      </c>
      <c r="P146">
        <f>P145+IF(AND($E146&lt;&gt;"",$E146&lt;=P$2,$F146&gt;=P$2),1,0)</f>
        <v/>
      </c>
      <c r="Q146">
        <f>Q145+IF(AND($E146&lt;&gt;"",$E146&lt;=Q$2,$F146&gt;=Q$2),1,0)</f>
        <v/>
      </c>
      <c r="R146">
        <f>R145+IF(AND($E146&lt;&gt;"",$E146&lt;=R$2,$F146&gt;=R$2),1,0)</f>
        <v/>
      </c>
      <c r="S146">
        <f>S145+IF(AND($E146&lt;&gt;"",$E146&lt;=S$2,$F146&gt;=S$2),1,0)</f>
        <v/>
      </c>
      <c r="T146">
        <f>T145+IF(AND($E146&lt;&gt;"",$E146&lt;=T$2,$F146&gt;=T$2),1,0)</f>
        <v/>
      </c>
      <c r="U146">
        <f>U145+IF(AND($E146&lt;&gt;"",$E146&lt;=U$2,$F146&gt;=U$2),1,0)</f>
        <v/>
      </c>
      <c r="V146">
        <f>V145+IF(AND($E146&lt;&gt;"",$E146&lt;=V$2,$F146&gt;=V$2),1,0)</f>
        <v/>
      </c>
      <c r="W146">
        <f>W145+IF(AND($E146&lt;&gt;"",$E146&lt;=W$2,$F146&gt;=W$2),1,0)</f>
        <v/>
      </c>
      <c r="X146">
        <f>X145+IF(AND($E146&lt;&gt;"",$E146&lt;=X$2,$F146&gt;=X$2),1,0)</f>
        <v/>
      </c>
      <c r="Y146">
        <f>Y145+IF(AND($E146&lt;&gt;"",$E146&lt;=Y$2,$F146&gt;=Y$2),1,0)</f>
        <v/>
      </c>
      <c r="Z146">
        <f>Z145+IF(AND($E146&lt;&gt;"",$E146&lt;=Z$2,$F146&gt;=Z$2),1,0)</f>
        <v/>
      </c>
      <c r="AA146">
        <f>AA145+IF(AND($E146&lt;&gt;"",$E146&lt;=AA$2,$F146&gt;=AA$2),1,0)</f>
        <v/>
      </c>
      <c r="AB146">
        <f>AB145+IF(AND($E146&lt;&gt;"",$E146&lt;=AB$2,$F146&gt;=AB$2),1,0)</f>
        <v/>
      </c>
      <c r="AC146">
        <f>AC145+IF(AND($E146&lt;&gt;"",$E146&lt;=AC$2,$F146&gt;=AC$2),1,0)</f>
        <v/>
      </c>
      <c r="AD146">
        <f>AD145+IF(AND($E146&lt;&gt;"",$E146&lt;=AD$2,$F146&gt;=AD$2),1,0)</f>
        <v/>
      </c>
      <c r="AE146">
        <f>AE145+IF(AND($E146&lt;&gt;"",$E146&lt;=AE$2,$F146&gt;=AE$2),1,0)</f>
        <v/>
      </c>
      <c r="AF146">
        <f>AF145+IF(AND($E146&lt;&gt;"",$E146&lt;=AF$2,$F146&gt;=AF$2),1,0)</f>
        <v/>
      </c>
      <c r="AG146">
        <f>AG145+IF(AND($E146&lt;&gt;"",$E146&lt;=AG$2,$F146&gt;=AG$2),1,0)</f>
        <v/>
      </c>
      <c r="AH146">
        <f>AH145+IF(AND($E146&lt;&gt;"",$E146&lt;=AH$2,$F146&gt;=AH$2),1,0)</f>
        <v/>
      </c>
      <c r="AI146">
        <f>AI145+IF(AND($E146&lt;&gt;"",$E146&lt;=AI$2,$F146&gt;=AI$2),1,0)</f>
        <v/>
      </c>
      <c r="AJ146">
        <f>AJ145+IF(AND($E146&lt;&gt;"",$E146&lt;=AJ$2,$F146&gt;=AJ$2),1,0)</f>
        <v/>
      </c>
      <c r="AK146">
        <f>AK145+IF(AND($E146&lt;&gt;"",$E146&lt;=AK$2,$F146&gt;=AK$2),1,0)</f>
        <v/>
      </c>
      <c r="AL146">
        <f>AL145+IF(AND($E146&lt;&gt;"",$E146&lt;=AL$2,$F146&gt;=AL$2),1,0)</f>
        <v/>
      </c>
      <c r="AM146">
        <f>AM145+IF(AND($E146&lt;&gt;"",$E146&lt;=AM$2,$F146&gt;=AM$2),1,0)</f>
        <v/>
      </c>
      <c r="AN146">
        <f>AN145+IF(AND($E146&lt;&gt;"",$E146&lt;=AN$2,$F146&gt;=AN$2),1,0)</f>
        <v/>
      </c>
      <c r="AO146">
        <f>AO145+IF(AND($E146&lt;&gt;"",$E146&lt;=AO$2,$F146&gt;=AO$2),1,0)</f>
        <v/>
      </c>
      <c r="AP146">
        <f>AP145+IF(AND($E146&lt;&gt;"",$E146&lt;=AP$2,$F146&gt;=AP$2),1,0)</f>
        <v/>
      </c>
      <c r="AQ146">
        <f>AQ145+IF(AND($E146&lt;&gt;"",$E146&lt;=AQ$2,$F146&gt;=AQ$2),1,0)</f>
        <v/>
      </c>
      <c r="AR146">
        <f>AR145+IF(AND($E146&lt;&gt;"",$E146&lt;=AR$2,$F146&gt;=AR$2),1,0)</f>
        <v/>
      </c>
      <c r="AS146">
        <f>AS145+IF(AND($E146&lt;&gt;"",$E146&lt;=AS$2,$F146&gt;=AS$2),1,0)</f>
        <v/>
      </c>
      <c r="AT146">
        <f>AT145+IF(AND($E146&lt;&gt;"",$E146&lt;=AT$2,$F146&gt;=AT$2),1,0)</f>
        <v/>
      </c>
      <c r="AU146">
        <f>AU145+IF(AND($E146&lt;&gt;"",$E146&lt;=AU$2,$F146&gt;=AU$2),1,0)</f>
        <v/>
      </c>
      <c r="AV146">
        <f>AV145+IF(AND($E146&lt;&gt;"",$E146&lt;=AV$2,$F146&gt;=AV$2),1,0)</f>
        <v/>
      </c>
      <c r="AW146">
        <f>AW145+IF(AND($E146&lt;&gt;"",$E146&lt;=AW$2,$F146&gt;=AW$2),1,0)</f>
        <v/>
      </c>
    </row>
    <row r="147">
      <c r="A147">
        <f>IF(AND(ISNUMBER(Events!$A149),ISNUMBER(Events!$B149)),MAX(0,Events!$B149-Events!$A149),0)</f>
        <v/>
      </c>
      <c r="B147">
        <f>IF(ISNUMBER(Events!$A149),DATE(YEAR($B$1)-1,MONTH(Events!$A149),DAY(Events!$A149)),"")</f>
        <v/>
      </c>
      <c r="C147">
        <f>IF(ISNUMBER(Events!$A149),DATE(YEAR($B$1),MONTH(Events!$A149),DAY(Events!$A149)),"")</f>
        <v/>
      </c>
      <c r="D147">
        <f>IF(ISNUMBER(Events!$A149),DATE(YEAR($B$2),MONTH(Events!$A149),DAY(Events!$A149)),"")</f>
        <v/>
      </c>
      <c r="E147">
        <f>IF(OR(NOT(ISNUMBER(Events!$A149)),Events!$G149="No",Calendar!$H$4="None"),"",IF(OR(Calendar!$H$4="All events",Events!$D149=Calendar!$H$4),IF(Events!$E149="Yes",IF(AND(B147&gt;=Events!$A149,B147&lt;=$B$2,B147+$A147&gt;=$B$1),B147,IF(AND(C147&gt;=Events!$A149,C147&lt;=$B$2,C147+$A147&gt;=$B$1),C147,IF(AND(D147&gt;=Events!$A149,D147&lt;=$B$2,D147+$A147&gt;=$B$1),D147,""))),IF(AND(Events!$A149&lt;=$B$2,Events!$A149+$A147&gt;=$B$1),Events!$A149,"")),""))</f>
        <v/>
      </c>
      <c r="F147">
        <f>IF(E147="","",E147+A147)</f>
        <v/>
      </c>
      <c r="G147">
        <f>IF(E147="","",IF(AND(E147&lt;=EOMONTH(Calendar!$K$2,0),F147&gt;=Calendar!$K$2),E147+144/100000,""))</f>
        <v/>
      </c>
      <c r="H147">
        <f>H146+IF(AND($E147&lt;&gt;"",$E147&lt;=H$2,$F147&gt;=H$2),1,0)</f>
        <v/>
      </c>
      <c r="I147">
        <f>I146+IF(AND($E147&lt;&gt;"",$E147&lt;=I$2,$F147&gt;=I$2),1,0)</f>
        <v/>
      </c>
      <c r="J147">
        <f>J146+IF(AND($E147&lt;&gt;"",$E147&lt;=J$2,$F147&gt;=J$2),1,0)</f>
        <v/>
      </c>
      <c r="K147">
        <f>K146+IF(AND($E147&lt;&gt;"",$E147&lt;=K$2,$F147&gt;=K$2),1,0)</f>
        <v/>
      </c>
      <c r="L147">
        <f>L146+IF(AND($E147&lt;&gt;"",$E147&lt;=L$2,$F147&gt;=L$2),1,0)</f>
        <v/>
      </c>
      <c r="M147">
        <f>M146+IF(AND($E147&lt;&gt;"",$E147&lt;=M$2,$F147&gt;=M$2),1,0)</f>
        <v/>
      </c>
      <c r="N147">
        <f>N146+IF(AND($E147&lt;&gt;"",$E147&lt;=N$2,$F147&gt;=N$2),1,0)</f>
        <v/>
      </c>
      <c r="O147">
        <f>O146+IF(AND($E147&lt;&gt;"",$E147&lt;=O$2,$F147&gt;=O$2),1,0)</f>
        <v/>
      </c>
      <c r="P147">
        <f>P146+IF(AND($E147&lt;&gt;"",$E147&lt;=P$2,$F147&gt;=P$2),1,0)</f>
        <v/>
      </c>
      <c r="Q147">
        <f>Q146+IF(AND($E147&lt;&gt;"",$E147&lt;=Q$2,$F147&gt;=Q$2),1,0)</f>
        <v/>
      </c>
      <c r="R147">
        <f>R146+IF(AND($E147&lt;&gt;"",$E147&lt;=R$2,$F147&gt;=R$2),1,0)</f>
        <v/>
      </c>
      <c r="S147">
        <f>S146+IF(AND($E147&lt;&gt;"",$E147&lt;=S$2,$F147&gt;=S$2),1,0)</f>
        <v/>
      </c>
      <c r="T147">
        <f>T146+IF(AND($E147&lt;&gt;"",$E147&lt;=T$2,$F147&gt;=T$2),1,0)</f>
        <v/>
      </c>
      <c r="U147">
        <f>U146+IF(AND($E147&lt;&gt;"",$E147&lt;=U$2,$F147&gt;=U$2),1,0)</f>
        <v/>
      </c>
      <c r="V147">
        <f>V146+IF(AND($E147&lt;&gt;"",$E147&lt;=V$2,$F147&gt;=V$2),1,0)</f>
        <v/>
      </c>
      <c r="W147">
        <f>W146+IF(AND($E147&lt;&gt;"",$E147&lt;=W$2,$F147&gt;=W$2),1,0)</f>
        <v/>
      </c>
      <c r="X147">
        <f>X146+IF(AND($E147&lt;&gt;"",$E147&lt;=X$2,$F147&gt;=X$2),1,0)</f>
        <v/>
      </c>
      <c r="Y147">
        <f>Y146+IF(AND($E147&lt;&gt;"",$E147&lt;=Y$2,$F147&gt;=Y$2),1,0)</f>
        <v/>
      </c>
      <c r="Z147">
        <f>Z146+IF(AND($E147&lt;&gt;"",$E147&lt;=Z$2,$F147&gt;=Z$2),1,0)</f>
        <v/>
      </c>
      <c r="AA147">
        <f>AA146+IF(AND($E147&lt;&gt;"",$E147&lt;=AA$2,$F147&gt;=AA$2),1,0)</f>
        <v/>
      </c>
      <c r="AB147">
        <f>AB146+IF(AND($E147&lt;&gt;"",$E147&lt;=AB$2,$F147&gt;=AB$2),1,0)</f>
        <v/>
      </c>
      <c r="AC147">
        <f>AC146+IF(AND($E147&lt;&gt;"",$E147&lt;=AC$2,$F147&gt;=AC$2),1,0)</f>
        <v/>
      </c>
      <c r="AD147">
        <f>AD146+IF(AND($E147&lt;&gt;"",$E147&lt;=AD$2,$F147&gt;=AD$2),1,0)</f>
        <v/>
      </c>
      <c r="AE147">
        <f>AE146+IF(AND($E147&lt;&gt;"",$E147&lt;=AE$2,$F147&gt;=AE$2),1,0)</f>
        <v/>
      </c>
      <c r="AF147">
        <f>AF146+IF(AND($E147&lt;&gt;"",$E147&lt;=AF$2,$F147&gt;=AF$2),1,0)</f>
        <v/>
      </c>
      <c r="AG147">
        <f>AG146+IF(AND($E147&lt;&gt;"",$E147&lt;=AG$2,$F147&gt;=AG$2),1,0)</f>
        <v/>
      </c>
      <c r="AH147">
        <f>AH146+IF(AND($E147&lt;&gt;"",$E147&lt;=AH$2,$F147&gt;=AH$2),1,0)</f>
        <v/>
      </c>
      <c r="AI147">
        <f>AI146+IF(AND($E147&lt;&gt;"",$E147&lt;=AI$2,$F147&gt;=AI$2),1,0)</f>
        <v/>
      </c>
      <c r="AJ147">
        <f>AJ146+IF(AND($E147&lt;&gt;"",$E147&lt;=AJ$2,$F147&gt;=AJ$2),1,0)</f>
        <v/>
      </c>
      <c r="AK147">
        <f>AK146+IF(AND($E147&lt;&gt;"",$E147&lt;=AK$2,$F147&gt;=AK$2),1,0)</f>
        <v/>
      </c>
      <c r="AL147">
        <f>AL146+IF(AND($E147&lt;&gt;"",$E147&lt;=AL$2,$F147&gt;=AL$2),1,0)</f>
        <v/>
      </c>
      <c r="AM147">
        <f>AM146+IF(AND($E147&lt;&gt;"",$E147&lt;=AM$2,$F147&gt;=AM$2),1,0)</f>
        <v/>
      </c>
      <c r="AN147">
        <f>AN146+IF(AND($E147&lt;&gt;"",$E147&lt;=AN$2,$F147&gt;=AN$2),1,0)</f>
        <v/>
      </c>
      <c r="AO147">
        <f>AO146+IF(AND($E147&lt;&gt;"",$E147&lt;=AO$2,$F147&gt;=AO$2),1,0)</f>
        <v/>
      </c>
      <c r="AP147">
        <f>AP146+IF(AND($E147&lt;&gt;"",$E147&lt;=AP$2,$F147&gt;=AP$2),1,0)</f>
        <v/>
      </c>
      <c r="AQ147">
        <f>AQ146+IF(AND($E147&lt;&gt;"",$E147&lt;=AQ$2,$F147&gt;=AQ$2),1,0)</f>
        <v/>
      </c>
      <c r="AR147">
        <f>AR146+IF(AND($E147&lt;&gt;"",$E147&lt;=AR$2,$F147&gt;=AR$2),1,0)</f>
        <v/>
      </c>
      <c r="AS147">
        <f>AS146+IF(AND($E147&lt;&gt;"",$E147&lt;=AS$2,$F147&gt;=AS$2),1,0)</f>
        <v/>
      </c>
      <c r="AT147">
        <f>AT146+IF(AND($E147&lt;&gt;"",$E147&lt;=AT$2,$F147&gt;=AT$2),1,0)</f>
        <v/>
      </c>
      <c r="AU147">
        <f>AU146+IF(AND($E147&lt;&gt;"",$E147&lt;=AU$2,$F147&gt;=AU$2),1,0)</f>
        <v/>
      </c>
      <c r="AV147">
        <f>AV146+IF(AND($E147&lt;&gt;"",$E147&lt;=AV$2,$F147&gt;=AV$2),1,0)</f>
        <v/>
      </c>
      <c r="AW147">
        <f>AW146+IF(AND($E147&lt;&gt;"",$E147&lt;=AW$2,$F147&gt;=AW$2),1,0)</f>
        <v/>
      </c>
    </row>
    <row r="148">
      <c r="A148">
        <f>IF(AND(ISNUMBER(Events!$A150),ISNUMBER(Events!$B150)),MAX(0,Events!$B150-Events!$A150),0)</f>
        <v/>
      </c>
      <c r="B148">
        <f>IF(ISNUMBER(Events!$A150),DATE(YEAR($B$1)-1,MONTH(Events!$A150),DAY(Events!$A150)),"")</f>
        <v/>
      </c>
      <c r="C148">
        <f>IF(ISNUMBER(Events!$A150),DATE(YEAR($B$1),MONTH(Events!$A150),DAY(Events!$A150)),"")</f>
        <v/>
      </c>
      <c r="D148">
        <f>IF(ISNUMBER(Events!$A150),DATE(YEAR($B$2),MONTH(Events!$A150),DAY(Events!$A150)),"")</f>
        <v/>
      </c>
      <c r="E148">
        <f>IF(OR(NOT(ISNUMBER(Events!$A150)),Events!$G150="No",Calendar!$H$4="None"),"",IF(OR(Calendar!$H$4="All events",Events!$D150=Calendar!$H$4),IF(Events!$E150="Yes",IF(AND(B148&gt;=Events!$A150,B148&lt;=$B$2,B148+$A148&gt;=$B$1),B148,IF(AND(C148&gt;=Events!$A150,C148&lt;=$B$2,C148+$A148&gt;=$B$1),C148,IF(AND(D148&gt;=Events!$A150,D148&lt;=$B$2,D148+$A148&gt;=$B$1),D148,""))),IF(AND(Events!$A150&lt;=$B$2,Events!$A150+$A148&gt;=$B$1),Events!$A150,"")),""))</f>
        <v/>
      </c>
      <c r="F148">
        <f>IF(E148="","",E148+A148)</f>
        <v/>
      </c>
      <c r="G148">
        <f>IF(E148="","",IF(AND(E148&lt;=EOMONTH(Calendar!$K$2,0),F148&gt;=Calendar!$K$2),E148+145/100000,""))</f>
        <v/>
      </c>
      <c r="H148">
        <f>H147+IF(AND($E148&lt;&gt;"",$E148&lt;=H$2,$F148&gt;=H$2),1,0)</f>
        <v/>
      </c>
      <c r="I148">
        <f>I147+IF(AND($E148&lt;&gt;"",$E148&lt;=I$2,$F148&gt;=I$2),1,0)</f>
        <v/>
      </c>
      <c r="J148">
        <f>J147+IF(AND($E148&lt;&gt;"",$E148&lt;=J$2,$F148&gt;=J$2),1,0)</f>
        <v/>
      </c>
      <c r="K148">
        <f>K147+IF(AND($E148&lt;&gt;"",$E148&lt;=K$2,$F148&gt;=K$2),1,0)</f>
        <v/>
      </c>
      <c r="L148">
        <f>L147+IF(AND($E148&lt;&gt;"",$E148&lt;=L$2,$F148&gt;=L$2),1,0)</f>
        <v/>
      </c>
      <c r="M148">
        <f>M147+IF(AND($E148&lt;&gt;"",$E148&lt;=M$2,$F148&gt;=M$2),1,0)</f>
        <v/>
      </c>
      <c r="N148">
        <f>N147+IF(AND($E148&lt;&gt;"",$E148&lt;=N$2,$F148&gt;=N$2),1,0)</f>
        <v/>
      </c>
      <c r="O148">
        <f>O147+IF(AND($E148&lt;&gt;"",$E148&lt;=O$2,$F148&gt;=O$2),1,0)</f>
        <v/>
      </c>
      <c r="P148">
        <f>P147+IF(AND($E148&lt;&gt;"",$E148&lt;=P$2,$F148&gt;=P$2),1,0)</f>
        <v/>
      </c>
      <c r="Q148">
        <f>Q147+IF(AND($E148&lt;&gt;"",$E148&lt;=Q$2,$F148&gt;=Q$2),1,0)</f>
        <v/>
      </c>
      <c r="R148">
        <f>R147+IF(AND($E148&lt;&gt;"",$E148&lt;=R$2,$F148&gt;=R$2),1,0)</f>
        <v/>
      </c>
      <c r="S148">
        <f>S147+IF(AND($E148&lt;&gt;"",$E148&lt;=S$2,$F148&gt;=S$2),1,0)</f>
        <v/>
      </c>
      <c r="T148">
        <f>T147+IF(AND($E148&lt;&gt;"",$E148&lt;=T$2,$F148&gt;=T$2),1,0)</f>
        <v/>
      </c>
      <c r="U148">
        <f>U147+IF(AND($E148&lt;&gt;"",$E148&lt;=U$2,$F148&gt;=U$2),1,0)</f>
        <v/>
      </c>
      <c r="V148">
        <f>V147+IF(AND($E148&lt;&gt;"",$E148&lt;=V$2,$F148&gt;=V$2),1,0)</f>
        <v/>
      </c>
      <c r="W148">
        <f>W147+IF(AND($E148&lt;&gt;"",$E148&lt;=W$2,$F148&gt;=W$2),1,0)</f>
        <v/>
      </c>
      <c r="X148">
        <f>X147+IF(AND($E148&lt;&gt;"",$E148&lt;=X$2,$F148&gt;=X$2),1,0)</f>
        <v/>
      </c>
      <c r="Y148">
        <f>Y147+IF(AND($E148&lt;&gt;"",$E148&lt;=Y$2,$F148&gt;=Y$2),1,0)</f>
        <v/>
      </c>
      <c r="Z148">
        <f>Z147+IF(AND($E148&lt;&gt;"",$E148&lt;=Z$2,$F148&gt;=Z$2),1,0)</f>
        <v/>
      </c>
      <c r="AA148">
        <f>AA147+IF(AND($E148&lt;&gt;"",$E148&lt;=AA$2,$F148&gt;=AA$2),1,0)</f>
        <v/>
      </c>
      <c r="AB148">
        <f>AB147+IF(AND($E148&lt;&gt;"",$E148&lt;=AB$2,$F148&gt;=AB$2),1,0)</f>
        <v/>
      </c>
      <c r="AC148">
        <f>AC147+IF(AND($E148&lt;&gt;"",$E148&lt;=AC$2,$F148&gt;=AC$2),1,0)</f>
        <v/>
      </c>
      <c r="AD148">
        <f>AD147+IF(AND($E148&lt;&gt;"",$E148&lt;=AD$2,$F148&gt;=AD$2),1,0)</f>
        <v/>
      </c>
      <c r="AE148">
        <f>AE147+IF(AND($E148&lt;&gt;"",$E148&lt;=AE$2,$F148&gt;=AE$2),1,0)</f>
        <v/>
      </c>
      <c r="AF148">
        <f>AF147+IF(AND($E148&lt;&gt;"",$E148&lt;=AF$2,$F148&gt;=AF$2),1,0)</f>
        <v/>
      </c>
      <c r="AG148">
        <f>AG147+IF(AND($E148&lt;&gt;"",$E148&lt;=AG$2,$F148&gt;=AG$2),1,0)</f>
        <v/>
      </c>
      <c r="AH148">
        <f>AH147+IF(AND($E148&lt;&gt;"",$E148&lt;=AH$2,$F148&gt;=AH$2),1,0)</f>
        <v/>
      </c>
      <c r="AI148">
        <f>AI147+IF(AND($E148&lt;&gt;"",$E148&lt;=AI$2,$F148&gt;=AI$2),1,0)</f>
        <v/>
      </c>
      <c r="AJ148">
        <f>AJ147+IF(AND($E148&lt;&gt;"",$E148&lt;=AJ$2,$F148&gt;=AJ$2),1,0)</f>
        <v/>
      </c>
      <c r="AK148">
        <f>AK147+IF(AND($E148&lt;&gt;"",$E148&lt;=AK$2,$F148&gt;=AK$2),1,0)</f>
        <v/>
      </c>
      <c r="AL148">
        <f>AL147+IF(AND($E148&lt;&gt;"",$E148&lt;=AL$2,$F148&gt;=AL$2),1,0)</f>
        <v/>
      </c>
      <c r="AM148">
        <f>AM147+IF(AND($E148&lt;&gt;"",$E148&lt;=AM$2,$F148&gt;=AM$2),1,0)</f>
        <v/>
      </c>
      <c r="AN148">
        <f>AN147+IF(AND($E148&lt;&gt;"",$E148&lt;=AN$2,$F148&gt;=AN$2),1,0)</f>
        <v/>
      </c>
      <c r="AO148">
        <f>AO147+IF(AND($E148&lt;&gt;"",$E148&lt;=AO$2,$F148&gt;=AO$2),1,0)</f>
        <v/>
      </c>
      <c r="AP148">
        <f>AP147+IF(AND($E148&lt;&gt;"",$E148&lt;=AP$2,$F148&gt;=AP$2),1,0)</f>
        <v/>
      </c>
      <c r="AQ148">
        <f>AQ147+IF(AND($E148&lt;&gt;"",$E148&lt;=AQ$2,$F148&gt;=AQ$2),1,0)</f>
        <v/>
      </c>
      <c r="AR148">
        <f>AR147+IF(AND($E148&lt;&gt;"",$E148&lt;=AR$2,$F148&gt;=AR$2),1,0)</f>
        <v/>
      </c>
      <c r="AS148">
        <f>AS147+IF(AND($E148&lt;&gt;"",$E148&lt;=AS$2,$F148&gt;=AS$2),1,0)</f>
        <v/>
      </c>
      <c r="AT148">
        <f>AT147+IF(AND($E148&lt;&gt;"",$E148&lt;=AT$2,$F148&gt;=AT$2),1,0)</f>
        <v/>
      </c>
      <c r="AU148">
        <f>AU147+IF(AND($E148&lt;&gt;"",$E148&lt;=AU$2,$F148&gt;=AU$2),1,0)</f>
        <v/>
      </c>
      <c r="AV148">
        <f>AV147+IF(AND($E148&lt;&gt;"",$E148&lt;=AV$2,$F148&gt;=AV$2),1,0)</f>
        <v/>
      </c>
      <c r="AW148">
        <f>AW147+IF(AND($E148&lt;&gt;"",$E148&lt;=AW$2,$F148&gt;=AW$2),1,0)</f>
        <v/>
      </c>
    </row>
    <row r="149">
      <c r="A149">
        <f>IF(AND(ISNUMBER(Events!$A151),ISNUMBER(Events!$B151)),MAX(0,Events!$B151-Events!$A151),0)</f>
        <v/>
      </c>
      <c r="B149">
        <f>IF(ISNUMBER(Events!$A151),DATE(YEAR($B$1)-1,MONTH(Events!$A151),DAY(Events!$A151)),"")</f>
        <v/>
      </c>
      <c r="C149">
        <f>IF(ISNUMBER(Events!$A151),DATE(YEAR($B$1),MONTH(Events!$A151),DAY(Events!$A151)),"")</f>
        <v/>
      </c>
      <c r="D149">
        <f>IF(ISNUMBER(Events!$A151),DATE(YEAR($B$2),MONTH(Events!$A151),DAY(Events!$A151)),"")</f>
        <v/>
      </c>
      <c r="E149">
        <f>IF(OR(NOT(ISNUMBER(Events!$A151)),Events!$G151="No",Calendar!$H$4="None"),"",IF(OR(Calendar!$H$4="All events",Events!$D151=Calendar!$H$4),IF(Events!$E151="Yes",IF(AND(B149&gt;=Events!$A151,B149&lt;=$B$2,B149+$A149&gt;=$B$1),B149,IF(AND(C149&gt;=Events!$A151,C149&lt;=$B$2,C149+$A149&gt;=$B$1),C149,IF(AND(D149&gt;=Events!$A151,D149&lt;=$B$2,D149+$A149&gt;=$B$1),D149,""))),IF(AND(Events!$A151&lt;=$B$2,Events!$A151+$A149&gt;=$B$1),Events!$A151,"")),""))</f>
        <v/>
      </c>
      <c r="F149">
        <f>IF(E149="","",E149+A149)</f>
        <v/>
      </c>
      <c r="G149">
        <f>IF(E149="","",IF(AND(E149&lt;=EOMONTH(Calendar!$K$2,0),F149&gt;=Calendar!$K$2),E149+146/100000,""))</f>
        <v/>
      </c>
      <c r="H149">
        <f>H148+IF(AND($E149&lt;&gt;"",$E149&lt;=H$2,$F149&gt;=H$2),1,0)</f>
        <v/>
      </c>
      <c r="I149">
        <f>I148+IF(AND($E149&lt;&gt;"",$E149&lt;=I$2,$F149&gt;=I$2),1,0)</f>
        <v/>
      </c>
      <c r="J149">
        <f>J148+IF(AND($E149&lt;&gt;"",$E149&lt;=J$2,$F149&gt;=J$2),1,0)</f>
        <v/>
      </c>
      <c r="K149">
        <f>K148+IF(AND($E149&lt;&gt;"",$E149&lt;=K$2,$F149&gt;=K$2),1,0)</f>
        <v/>
      </c>
      <c r="L149">
        <f>L148+IF(AND($E149&lt;&gt;"",$E149&lt;=L$2,$F149&gt;=L$2),1,0)</f>
        <v/>
      </c>
      <c r="M149">
        <f>M148+IF(AND($E149&lt;&gt;"",$E149&lt;=M$2,$F149&gt;=M$2),1,0)</f>
        <v/>
      </c>
      <c r="N149">
        <f>N148+IF(AND($E149&lt;&gt;"",$E149&lt;=N$2,$F149&gt;=N$2),1,0)</f>
        <v/>
      </c>
      <c r="O149">
        <f>O148+IF(AND($E149&lt;&gt;"",$E149&lt;=O$2,$F149&gt;=O$2),1,0)</f>
        <v/>
      </c>
      <c r="P149">
        <f>P148+IF(AND($E149&lt;&gt;"",$E149&lt;=P$2,$F149&gt;=P$2),1,0)</f>
        <v/>
      </c>
      <c r="Q149">
        <f>Q148+IF(AND($E149&lt;&gt;"",$E149&lt;=Q$2,$F149&gt;=Q$2),1,0)</f>
        <v/>
      </c>
      <c r="R149">
        <f>R148+IF(AND($E149&lt;&gt;"",$E149&lt;=R$2,$F149&gt;=R$2),1,0)</f>
        <v/>
      </c>
      <c r="S149">
        <f>S148+IF(AND($E149&lt;&gt;"",$E149&lt;=S$2,$F149&gt;=S$2),1,0)</f>
        <v/>
      </c>
      <c r="T149">
        <f>T148+IF(AND($E149&lt;&gt;"",$E149&lt;=T$2,$F149&gt;=T$2),1,0)</f>
        <v/>
      </c>
      <c r="U149">
        <f>U148+IF(AND($E149&lt;&gt;"",$E149&lt;=U$2,$F149&gt;=U$2),1,0)</f>
        <v/>
      </c>
      <c r="V149">
        <f>V148+IF(AND($E149&lt;&gt;"",$E149&lt;=V$2,$F149&gt;=V$2),1,0)</f>
        <v/>
      </c>
      <c r="W149">
        <f>W148+IF(AND($E149&lt;&gt;"",$E149&lt;=W$2,$F149&gt;=W$2),1,0)</f>
        <v/>
      </c>
      <c r="X149">
        <f>X148+IF(AND($E149&lt;&gt;"",$E149&lt;=X$2,$F149&gt;=X$2),1,0)</f>
        <v/>
      </c>
      <c r="Y149">
        <f>Y148+IF(AND($E149&lt;&gt;"",$E149&lt;=Y$2,$F149&gt;=Y$2),1,0)</f>
        <v/>
      </c>
      <c r="Z149">
        <f>Z148+IF(AND($E149&lt;&gt;"",$E149&lt;=Z$2,$F149&gt;=Z$2),1,0)</f>
        <v/>
      </c>
      <c r="AA149">
        <f>AA148+IF(AND($E149&lt;&gt;"",$E149&lt;=AA$2,$F149&gt;=AA$2),1,0)</f>
        <v/>
      </c>
      <c r="AB149">
        <f>AB148+IF(AND($E149&lt;&gt;"",$E149&lt;=AB$2,$F149&gt;=AB$2),1,0)</f>
        <v/>
      </c>
      <c r="AC149">
        <f>AC148+IF(AND($E149&lt;&gt;"",$E149&lt;=AC$2,$F149&gt;=AC$2),1,0)</f>
        <v/>
      </c>
      <c r="AD149">
        <f>AD148+IF(AND($E149&lt;&gt;"",$E149&lt;=AD$2,$F149&gt;=AD$2),1,0)</f>
        <v/>
      </c>
      <c r="AE149">
        <f>AE148+IF(AND($E149&lt;&gt;"",$E149&lt;=AE$2,$F149&gt;=AE$2),1,0)</f>
        <v/>
      </c>
      <c r="AF149">
        <f>AF148+IF(AND($E149&lt;&gt;"",$E149&lt;=AF$2,$F149&gt;=AF$2),1,0)</f>
        <v/>
      </c>
      <c r="AG149">
        <f>AG148+IF(AND($E149&lt;&gt;"",$E149&lt;=AG$2,$F149&gt;=AG$2),1,0)</f>
        <v/>
      </c>
      <c r="AH149">
        <f>AH148+IF(AND($E149&lt;&gt;"",$E149&lt;=AH$2,$F149&gt;=AH$2),1,0)</f>
        <v/>
      </c>
      <c r="AI149">
        <f>AI148+IF(AND($E149&lt;&gt;"",$E149&lt;=AI$2,$F149&gt;=AI$2),1,0)</f>
        <v/>
      </c>
      <c r="AJ149">
        <f>AJ148+IF(AND($E149&lt;&gt;"",$E149&lt;=AJ$2,$F149&gt;=AJ$2),1,0)</f>
        <v/>
      </c>
      <c r="AK149">
        <f>AK148+IF(AND($E149&lt;&gt;"",$E149&lt;=AK$2,$F149&gt;=AK$2),1,0)</f>
        <v/>
      </c>
      <c r="AL149">
        <f>AL148+IF(AND($E149&lt;&gt;"",$E149&lt;=AL$2,$F149&gt;=AL$2),1,0)</f>
        <v/>
      </c>
      <c r="AM149">
        <f>AM148+IF(AND($E149&lt;&gt;"",$E149&lt;=AM$2,$F149&gt;=AM$2),1,0)</f>
        <v/>
      </c>
      <c r="AN149">
        <f>AN148+IF(AND($E149&lt;&gt;"",$E149&lt;=AN$2,$F149&gt;=AN$2),1,0)</f>
        <v/>
      </c>
      <c r="AO149">
        <f>AO148+IF(AND($E149&lt;&gt;"",$E149&lt;=AO$2,$F149&gt;=AO$2),1,0)</f>
        <v/>
      </c>
      <c r="AP149">
        <f>AP148+IF(AND($E149&lt;&gt;"",$E149&lt;=AP$2,$F149&gt;=AP$2),1,0)</f>
        <v/>
      </c>
      <c r="AQ149">
        <f>AQ148+IF(AND($E149&lt;&gt;"",$E149&lt;=AQ$2,$F149&gt;=AQ$2),1,0)</f>
        <v/>
      </c>
      <c r="AR149">
        <f>AR148+IF(AND($E149&lt;&gt;"",$E149&lt;=AR$2,$F149&gt;=AR$2),1,0)</f>
        <v/>
      </c>
      <c r="AS149">
        <f>AS148+IF(AND($E149&lt;&gt;"",$E149&lt;=AS$2,$F149&gt;=AS$2),1,0)</f>
        <v/>
      </c>
      <c r="AT149">
        <f>AT148+IF(AND($E149&lt;&gt;"",$E149&lt;=AT$2,$F149&gt;=AT$2),1,0)</f>
        <v/>
      </c>
      <c r="AU149">
        <f>AU148+IF(AND($E149&lt;&gt;"",$E149&lt;=AU$2,$F149&gt;=AU$2),1,0)</f>
        <v/>
      </c>
      <c r="AV149">
        <f>AV148+IF(AND($E149&lt;&gt;"",$E149&lt;=AV$2,$F149&gt;=AV$2),1,0)</f>
        <v/>
      </c>
      <c r="AW149">
        <f>AW148+IF(AND($E149&lt;&gt;"",$E149&lt;=AW$2,$F149&gt;=AW$2),1,0)</f>
        <v/>
      </c>
    </row>
    <row r="150">
      <c r="A150">
        <f>IF(AND(ISNUMBER(Events!$A152),ISNUMBER(Events!$B152)),MAX(0,Events!$B152-Events!$A152),0)</f>
        <v/>
      </c>
      <c r="B150">
        <f>IF(ISNUMBER(Events!$A152),DATE(YEAR($B$1)-1,MONTH(Events!$A152),DAY(Events!$A152)),"")</f>
        <v/>
      </c>
      <c r="C150">
        <f>IF(ISNUMBER(Events!$A152),DATE(YEAR($B$1),MONTH(Events!$A152),DAY(Events!$A152)),"")</f>
        <v/>
      </c>
      <c r="D150">
        <f>IF(ISNUMBER(Events!$A152),DATE(YEAR($B$2),MONTH(Events!$A152),DAY(Events!$A152)),"")</f>
        <v/>
      </c>
      <c r="E150">
        <f>IF(OR(NOT(ISNUMBER(Events!$A152)),Events!$G152="No",Calendar!$H$4="None"),"",IF(OR(Calendar!$H$4="All events",Events!$D152=Calendar!$H$4),IF(Events!$E152="Yes",IF(AND(B150&gt;=Events!$A152,B150&lt;=$B$2,B150+$A150&gt;=$B$1),B150,IF(AND(C150&gt;=Events!$A152,C150&lt;=$B$2,C150+$A150&gt;=$B$1),C150,IF(AND(D150&gt;=Events!$A152,D150&lt;=$B$2,D150+$A150&gt;=$B$1),D150,""))),IF(AND(Events!$A152&lt;=$B$2,Events!$A152+$A150&gt;=$B$1),Events!$A152,"")),""))</f>
        <v/>
      </c>
      <c r="F150">
        <f>IF(E150="","",E150+A150)</f>
        <v/>
      </c>
      <c r="G150">
        <f>IF(E150="","",IF(AND(E150&lt;=EOMONTH(Calendar!$K$2,0),F150&gt;=Calendar!$K$2),E150+147/100000,""))</f>
        <v/>
      </c>
      <c r="H150">
        <f>H149+IF(AND($E150&lt;&gt;"",$E150&lt;=H$2,$F150&gt;=H$2),1,0)</f>
        <v/>
      </c>
      <c r="I150">
        <f>I149+IF(AND($E150&lt;&gt;"",$E150&lt;=I$2,$F150&gt;=I$2),1,0)</f>
        <v/>
      </c>
      <c r="J150">
        <f>J149+IF(AND($E150&lt;&gt;"",$E150&lt;=J$2,$F150&gt;=J$2),1,0)</f>
        <v/>
      </c>
      <c r="K150">
        <f>K149+IF(AND($E150&lt;&gt;"",$E150&lt;=K$2,$F150&gt;=K$2),1,0)</f>
        <v/>
      </c>
      <c r="L150">
        <f>L149+IF(AND($E150&lt;&gt;"",$E150&lt;=L$2,$F150&gt;=L$2),1,0)</f>
        <v/>
      </c>
      <c r="M150">
        <f>M149+IF(AND($E150&lt;&gt;"",$E150&lt;=M$2,$F150&gt;=M$2),1,0)</f>
        <v/>
      </c>
      <c r="N150">
        <f>N149+IF(AND($E150&lt;&gt;"",$E150&lt;=N$2,$F150&gt;=N$2),1,0)</f>
        <v/>
      </c>
      <c r="O150">
        <f>O149+IF(AND($E150&lt;&gt;"",$E150&lt;=O$2,$F150&gt;=O$2),1,0)</f>
        <v/>
      </c>
      <c r="P150">
        <f>P149+IF(AND($E150&lt;&gt;"",$E150&lt;=P$2,$F150&gt;=P$2),1,0)</f>
        <v/>
      </c>
      <c r="Q150">
        <f>Q149+IF(AND($E150&lt;&gt;"",$E150&lt;=Q$2,$F150&gt;=Q$2),1,0)</f>
        <v/>
      </c>
      <c r="R150">
        <f>R149+IF(AND($E150&lt;&gt;"",$E150&lt;=R$2,$F150&gt;=R$2),1,0)</f>
        <v/>
      </c>
      <c r="S150">
        <f>S149+IF(AND($E150&lt;&gt;"",$E150&lt;=S$2,$F150&gt;=S$2),1,0)</f>
        <v/>
      </c>
      <c r="T150">
        <f>T149+IF(AND($E150&lt;&gt;"",$E150&lt;=T$2,$F150&gt;=T$2),1,0)</f>
        <v/>
      </c>
      <c r="U150">
        <f>U149+IF(AND($E150&lt;&gt;"",$E150&lt;=U$2,$F150&gt;=U$2),1,0)</f>
        <v/>
      </c>
      <c r="V150">
        <f>V149+IF(AND($E150&lt;&gt;"",$E150&lt;=V$2,$F150&gt;=V$2),1,0)</f>
        <v/>
      </c>
      <c r="W150">
        <f>W149+IF(AND($E150&lt;&gt;"",$E150&lt;=W$2,$F150&gt;=W$2),1,0)</f>
        <v/>
      </c>
      <c r="X150">
        <f>X149+IF(AND($E150&lt;&gt;"",$E150&lt;=X$2,$F150&gt;=X$2),1,0)</f>
        <v/>
      </c>
      <c r="Y150">
        <f>Y149+IF(AND($E150&lt;&gt;"",$E150&lt;=Y$2,$F150&gt;=Y$2),1,0)</f>
        <v/>
      </c>
      <c r="Z150">
        <f>Z149+IF(AND($E150&lt;&gt;"",$E150&lt;=Z$2,$F150&gt;=Z$2),1,0)</f>
        <v/>
      </c>
      <c r="AA150">
        <f>AA149+IF(AND($E150&lt;&gt;"",$E150&lt;=AA$2,$F150&gt;=AA$2),1,0)</f>
        <v/>
      </c>
      <c r="AB150">
        <f>AB149+IF(AND($E150&lt;&gt;"",$E150&lt;=AB$2,$F150&gt;=AB$2),1,0)</f>
        <v/>
      </c>
      <c r="AC150">
        <f>AC149+IF(AND($E150&lt;&gt;"",$E150&lt;=AC$2,$F150&gt;=AC$2),1,0)</f>
        <v/>
      </c>
      <c r="AD150">
        <f>AD149+IF(AND($E150&lt;&gt;"",$E150&lt;=AD$2,$F150&gt;=AD$2),1,0)</f>
        <v/>
      </c>
      <c r="AE150">
        <f>AE149+IF(AND($E150&lt;&gt;"",$E150&lt;=AE$2,$F150&gt;=AE$2),1,0)</f>
        <v/>
      </c>
      <c r="AF150">
        <f>AF149+IF(AND($E150&lt;&gt;"",$E150&lt;=AF$2,$F150&gt;=AF$2),1,0)</f>
        <v/>
      </c>
      <c r="AG150">
        <f>AG149+IF(AND($E150&lt;&gt;"",$E150&lt;=AG$2,$F150&gt;=AG$2),1,0)</f>
        <v/>
      </c>
      <c r="AH150">
        <f>AH149+IF(AND($E150&lt;&gt;"",$E150&lt;=AH$2,$F150&gt;=AH$2),1,0)</f>
        <v/>
      </c>
      <c r="AI150">
        <f>AI149+IF(AND($E150&lt;&gt;"",$E150&lt;=AI$2,$F150&gt;=AI$2),1,0)</f>
        <v/>
      </c>
      <c r="AJ150">
        <f>AJ149+IF(AND($E150&lt;&gt;"",$E150&lt;=AJ$2,$F150&gt;=AJ$2),1,0)</f>
        <v/>
      </c>
      <c r="AK150">
        <f>AK149+IF(AND($E150&lt;&gt;"",$E150&lt;=AK$2,$F150&gt;=AK$2),1,0)</f>
        <v/>
      </c>
      <c r="AL150">
        <f>AL149+IF(AND($E150&lt;&gt;"",$E150&lt;=AL$2,$F150&gt;=AL$2),1,0)</f>
        <v/>
      </c>
      <c r="AM150">
        <f>AM149+IF(AND($E150&lt;&gt;"",$E150&lt;=AM$2,$F150&gt;=AM$2),1,0)</f>
        <v/>
      </c>
      <c r="AN150">
        <f>AN149+IF(AND($E150&lt;&gt;"",$E150&lt;=AN$2,$F150&gt;=AN$2),1,0)</f>
        <v/>
      </c>
      <c r="AO150">
        <f>AO149+IF(AND($E150&lt;&gt;"",$E150&lt;=AO$2,$F150&gt;=AO$2),1,0)</f>
        <v/>
      </c>
      <c r="AP150">
        <f>AP149+IF(AND($E150&lt;&gt;"",$E150&lt;=AP$2,$F150&gt;=AP$2),1,0)</f>
        <v/>
      </c>
      <c r="AQ150">
        <f>AQ149+IF(AND($E150&lt;&gt;"",$E150&lt;=AQ$2,$F150&gt;=AQ$2),1,0)</f>
        <v/>
      </c>
      <c r="AR150">
        <f>AR149+IF(AND($E150&lt;&gt;"",$E150&lt;=AR$2,$F150&gt;=AR$2),1,0)</f>
        <v/>
      </c>
      <c r="AS150">
        <f>AS149+IF(AND($E150&lt;&gt;"",$E150&lt;=AS$2,$F150&gt;=AS$2),1,0)</f>
        <v/>
      </c>
      <c r="AT150">
        <f>AT149+IF(AND($E150&lt;&gt;"",$E150&lt;=AT$2,$F150&gt;=AT$2),1,0)</f>
        <v/>
      </c>
      <c r="AU150">
        <f>AU149+IF(AND($E150&lt;&gt;"",$E150&lt;=AU$2,$F150&gt;=AU$2),1,0)</f>
        <v/>
      </c>
      <c r="AV150">
        <f>AV149+IF(AND($E150&lt;&gt;"",$E150&lt;=AV$2,$F150&gt;=AV$2),1,0)</f>
        <v/>
      </c>
      <c r="AW150">
        <f>AW149+IF(AND($E150&lt;&gt;"",$E150&lt;=AW$2,$F150&gt;=AW$2),1,0)</f>
        <v/>
      </c>
    </row>
    <row r="151">
      <c r="A151">
        <f>IF(AND(ISNUMBER(Events!$A153),ISNUMBER(Events!$B153)),MAX(0,Events!$B153-Events!$A153),0)</f>
        <v/>
      </c>
      <c r="B151">
        <f>IF(ISNUMBER(Events!$A153),DATE(YEAR($B$1)-1,MONTH(Events!$A153),DAY(Events!$A153)),"")</f>
        <v/>
      </c>
      <c r="C151">
        <f>IF(ISNUMBER(Events!$A153),DATE(YEAR($B$1),MONTH(Events!$A153),DAY(Events!$A153)),"")</f>
        <v/>
      </c>
      <c r="D151">
        <f>IF(ISNUMBER(Events!$A153),DATE(YEAR($B$2),MONTH(Events!$A153),DAY(Events!$A153)),"")</f>
        <v/>
      </c>
      <c r="E151">
        <f>IF(OR(NOT(ISNUMBER(Events!$A153)),Events!$G153="No",Calendar!$H$4="None"),"",IF(OR(Calendar!$H$4="All events",Events!$D153=Calendar!$H$4),IF(Events!$E153="Yes",IF(AND(B151&gt;=Events!$A153,B151&lt;=$B$2,B151+$A151&gt;=$B$1),B151,IF(AND(C151&gt;=Events!$A153,C151&lt;=$B$2,C151+$A151&gt;=$B$1),C151,IF(AND(D151&gt;=Events!$A153,D151&lt;=$B$2,D151+$A151&gt;=$B$1),D151,""))),IF(AND(Events!$A153&lt;=$B$2,Events!$A153+$A151&gt;=$B$1),Events!$A153,"")),""))</f>
        <v/>
      </c>
      <c r="F151">
        <f>IF(E151="","",E151+A151)</f>
        <v/>
      </c>
      <c r="G151">
        <f>IF(E151="","",IF(AND(E151&lt;=EOMONTH(Calendar!$K$2,0),F151&gt;=Calendar!$K$2),E151+148/100000,""))</f>
        <v/>
      </c>
      <c r="H151">
        <f>H150+IF(AND($E151&lt;&gt;"",$E151&lt;=H$2,$F151&gt;=H$2),1,0)</f>
        <v/>
      </c>
      <c r="I151">
        <f>I150+IF(AND($E151&lt;&gt;"",$E151&lt;=I$2,$F151&gt;=I$2),1,0)</f>
        <v/>
      </c>
      <c r="J151">
        <f>J150+IF(AND($E151&lt;&gt;"",$E151&lt;=J$2,$F151&gt;=J$2),1,0)</f>
        <v/>
      </c>
      <c r="K151">
        <f>K150+IF(AND($E151&lt;&gt;"",$E151&lt;=K$2,$F151&gt;=K$2),1,0)</f>
        <v/>
      </c>
      <c r="L151">
        <f>L150+IF(AND($E151&lt;&gt;"",$E151&lt;=L$2,$F151&gt;=L$2),1,0)</f>
        <v/>
      </c>
      <c r="M151">
        <f>M150+IF(AND($E151&lt;&gt;"",$E151&lt;=M$2,$F151&gt;=M$2),1,0)</f>
        <v/>
      </c>
      <c r="N151">
        <f>N150+IF(AND($E151&lt;&gt;"",$E151&lt;=N$2,$F151&gt;=N$2),1,0)</f>
        <v/>
      </c>
      <c r="O151">
        <f>O150+IF(AND($E151&lt;&gt;"",$E151&lt;=O$2,$F151&gt;=O$2),1,0)</f>
        <v/>
      </c>
      <c r="P151">
        <f>P150+IF(AND($E151&lt;&gt;"",$E151&lt;=P$2,$F151&gt;=P$2),1,0)</f>
        <v/>
      </c>
      <c r="Q151">
        <f>Q150+IF(AND($E151&lt;&gt;"",$E151&lt;=Q$2,$F151&gt;=Q$2),1,0)</f>
        <v/>
      </c>
      <c r="R151">
        <f>R150+IF(AND($E151&lt;&gt;"",$E151&lt;=R$2,$F151&gt;=R$2),1,0)</f>
        <v/>
      </c>
      <c r="S151">
        <f>S150+IF(AND($E151&lt;&gt;"",$E151&lt;=S$2,$F151&gt;=S$2),1,0)</f>
        <v/>
      </c>
      <c r="T151">
        <f>T150+IF(AND($E151&lt;&gt;"",$E151&lt;=T$2,$F151&gt;=T$2),1,0)</f>
        <v/>
      </c>
      <c r="U151">
        <f>U150+IF(AND($E151&lt;&gt;"",$E151&lt;=U$2,$F151&gt;=U$2),1,0)</f>
        <v/>
      </c>
      <c r="V151">
        <f>V150+IF(AND($E151&lt;&gt;"",$E151&lt;=V$2,$F151&gt;=V$2),1,0)</f>
        <v/>
      </c>
      <c r="W151">
        <f>W150+IF(AND($E151&lt;&gt;"",$E151&lt;=W$2,$F151&gt;=W$2),1,0)</f>
        <v/>
      </c>
      <c r="X151">
        <f>X150+IF(AND($E151&lt;&gt;"",$E151&lt;=X$2,$F151&gt;=X$2),1,0)</f>
        <v/>
      </c>
      <c r="Y151">
        <f>Y150+IF(AND($E151&lt;&gt;"",$E151&lt;=Y$2,$F151&gt;=Y$2),1,0)</f>
        <v/>
      </c>
      <c r="Z151">
        <f>Z150+IF(AND($E151&lt;&gt;"",$E151&lt;=Z$2,$F151&gt;=Z$2),1,0)</f>
        <v/>
      </c>
      <c r="AA151">
        <f>AA150+IF(AND($E151&lt;&gt;"",$E151&lt;=AA$2,$F151&gt;=AA$2),1,0)</f>
        <v/>
      </c>
      <c r="AB151">
        <f>AB150+IF(AND($E151&lt;&gt;"",$E151&lt;=AB$2,$F151&gt;=AB$2),1,0)</f>
        <v/>
      </c>
      <c r="AC151">
        <f>AC150+IF(AND($E151&lt;&gt;"",$E151&lt;=AC$2,$F151&gt;=AC$2),1,0)</f>
        <v/>
      </c>
      <c r="AD151">
        <f>AD150+IF(AND($E151&lt;&gt;"",$E151&lt;=AD$2,$F151&gt;=AD$2),1,0)</f>
        <v/>
      </c>
      <c r="AE151">
        <f>AE150+IF(AND($E151&lt;&gt;"",$E151&lt;=AE$2,$F151&gt;=AE$2),1,0)</f>
        <v/>
      </c>
      <c r="AF151">
        <f>AF150+IF(AND($E151&lt;&gt;"",$E151&lt;=AF$2,$F151&gt;=AF$2),1,0)</f>
        <v/>
      </c>
      <c r="AG151">
        <f>AG150+IF(AND($E151&lt;&gt;"",$E151&lt;=AG$2,$F151&gt;=AG$2),1,0)</f>
        <v/>
      </c>
      <c r="AH151">
        <f>AH150+IF(AND($E151&lt;&gt;"",$E151&lt;=AH$2,$F151&gt;=AH$2),1,0)</f>
        <v/>
      </c>
      <c r="AI151">
        <f>AI150+IF(AND($E151&lt;&gt;"",$E151&lt;=AI$2,$F151&gt;=AI$2),1,0)</f>
        <v/>
      </c>
      <c r="AJ151">
        <f>AJ150+IF(AND($E151&lt;&gt;"",$E151&lt;=AJ$2,$F151&gt;=AJ$2),1,0)</f>
        <v/>
      </c>
      <c r="AK151">
        <f>AK150+IF(AND($E151&lt;&gt;"",$E151&lt;=AK$2,$F151&gt;=AK$2),1,0)</f>
        <v/>
      </c>
      <c r="AL151">
        <f>AL150+IF(AND($E151&lt;&gt;"",$E151&lt;=AL$2,$F151&gt;=AL$2),1,0)</f>
        <v/>
      </c>
      <c r="AM151">
        <f>AM150+IF(AND($E151&lt;&gt;"",$E151&lt;=AM$2,$F151&gt;=AM$2),1,0)</f>
        <v/>
      </c>
      <c r="AN151">
        <f>AN150+IF(AND($E151&lt;&gt;"",$E151&lt;=AN$2,$F151&gt;=AN$2),1,0)</f>
        <v/>
      </c>
      <c r="AO151">
        <f>AO150+IF(AND($E151&lt;&gt;"",$E151&lt;=AO$2,$F151&gt;=AO$2),1,0)</f>
        <v/>
      </c>
      <c r="AP151">
        <f>AP150+IF(AND($E151&lt;&gt;"",$E151&lt;=AP$2,$F151&gt;=AP$2),1,0)</f>
        <v/>
      </c>
      <c r="AQ151">
        <f>AQ150+IF(AND($E151&lt;&gt;"",$E151&lt;=AQ$2,$F151&gt;=AQ$2),1,0)</f>
        <v/>
      </c>
      <c r="AR151">
        <f>AR150+IF(AND($E151&lt;&gt;"",$E151&lt;=AR$2,$F151&gt;=AR$2),1,0)</f>
        <v/>
      </c>
      <c r="AS151">
        <f>AS150+IF(AND($E151&lt;&gt;"",$E151&lt;=AS$2,$F151&gt;=AS$2),1,0)</f>
        <v/>
      </c>
      <c r="AT151">
        <f>AT150+IF(AND($E151&lt;&gt;"",$E151&lt;=AT$2,$F151&gt;=AT$2),1,0)</f>
        <v/>
      </c>
      <c r="AU151">
        <f>AU150+IF(AND($E151&lt;&gt;"",$E151&lt;=AU$2,$F151&gt;=AU$2),1,0)</f>
        <v/>
      </c>
      <c r="AV151">
        <f>AV150+IF(AND($E151&lt;&gt;"",$E151&lt;=AV$2,$F151&gt;=AV$2),1,0)</f>
        <v/>
      </c>
      <c r="AW151">
        <f>AW150+IF(AND($E151&lt;&gt;"",$E151&lt;=AW$2,$F151&gt;=AW$2),1,0)</f>
        <v/>
      </c>
    </row>
    <row r="152">
      <c r="A152">
        <f>IF(AND(ISNUMBER(Events!$A154),ISNUMBER(Events!$B154)),MAX(0,Events!$B154-Events!$A154),0)</f>
        <v/>
      </c>
      <c r="B152">
        <f>IF(ISNUMBER(Events!$A154),DATE(YEAR($B$1)-1,MONTH(Events!$A154),DAY(Events!$A154)),"")</f>
        <v/>
      </c>
      <c r="C152">
        <f>IF(ISNUMBER(Events!$A154),DATE(YEAR($B$1),MONTH(Events!$A154),DAY(Events!$A154)),"")</f>
        <v/>
      </c>
      <c r="D152">
        <f>IF(ISNUMBER(Events!$A154),DATE(YEAR($B$2),MONTH(Events!$A154),DAY(Events!$A154)),"")</f>
        <v/>
      </c>
      <c r="E152">
        <f>IF(OR(NOT(ISNUMBER(Events!$A154)),Events!$G154="No",Calendar!$H$4="None"),"",IF(OR(Calendar!$H$4="All events",Events!$D154=Calendar!$H$4),IF(Events!$E154="Yes",IF(AND(B152&gt;=Events!$A154,B152&lt;=$B$2,B152+$A152&gt;=$B$1),B152,IF(AND(C152&gt;=Events!$A154,C152&lt;=$B$2,C152+$A152&gt;=$B$1),C152,IF(AND(D152&gt;=Events!$A154,D152&lt;=$B$2,D152+$A152&gt;=$B$1),D152,""))),IF(AND(Events!$A154&lt;=$B$2,Events!$A154+$A152&gt;=$B$1),Events!$A154,"")),""))</f>
        <v/>
      </c>
      <c r="F152">
        <f>IF(E152="","",E152+A152)</f>
        <v/>
      </c>
      <c r="G152">
        <f>IF(E152="","",IF(AND(E152&lt;=EOMONTH(Calendar!$K$2,0),F152&gt;=Calendar!$K$2),E152+149/100000,""))</f>
        <v/>
      </c>
      <c r="H152">
        <f>H151+IF(AND($E152&lt;&gt;"",$E152&lt;=H$2,$F152&gt;=H$2),1,0)</f>
        <v/>
      </c>
      <c r="I152">
        <f>I151+IF(AND($E152&lt;&gt;"",$E152&lt;=I$2,$F152&gt;=I$2),1,0)</f>
        <v/>
      </c>
      <c r="J152">
        <f>J151+IF(AND($E152&lt;&gt;"",$E152&lt;=J$2,$F152&gt;=J$2),1,0)</f>
        <v/>
      </c>
      <c r="K152">
        <f>K151+IF(AND($E152&lt;&gt;"",$E152&lt;=K$2,$F152&gt;=K$2),1,0)</f>
        <v/>
      </c>
      <c r="L152">
        <f>L151+IF(AND($E152&lt;&gt;"",$E152&lt;=L$2,$F152&gt;=L$2),1,0)</f>
        <v/>
      </c>
      <c r="M152">
        <f>M151+IF(AND($E152&lt;&gt;"",$E152&lt;=M$2,$F152&gt;=M$2),1,0)</f>
        <v/>
      </c>
      <c r="N152">
        <f>N151+IF(AND($E152&lt;&gt;"",$E152&lt;=N$2,$F152&gt;=N$2),1,0)</f>
        <v/>
      </c>
      <c r="O152">
        <f>O151+IF(AND($E152&lt;&gt;"",$E152&lt;=O$2,$F152&gt;=O$2),1,0)</f>
        <v/>
      </c>
      <c r="P152">
        <f>P151+IF(AND($E152&lt;&gt;"",$E152&lt;=P$2,$F152&gt;=P$2),1,0)</f>
        <v/>
      </c>
      <c r="Q152">
        <f>Q151+IF(AND($E152&lt;&gt;"",$E152&lt;=Q$2,$F152&gt;=Q$2),1,0)</f>
        <v/>
      </c>
      <c r="R152">
        <f>R151+IF(AND($E152&lt;&gt;"",$E152&lt;=R$2,$F152&gt;=R$2),1,0)</f>
        <v/>
      </c>
      <c r="S152">
        <f>S151+IF(AND($E152&lt;&gt;"",$E152&lt;=S$2,$F152&gt;=S$2),1,0)</f>
        <v/>
      </c>
      <c r="T152">
        <f>T151+IF(AND($E152&lt;&gt;"",$E152&lt;=T$2,$F152&gt;=T$2),1,0)</f>
        <v/>
      </c>
      <c r="U152">
        <f>U151+IF(AND($E152&lt;&gt;"",$E152&lt;=U$2,$F152&gt;=U$2),1,0)</f>
        <v/>
      </c>
      <c r="V152">
        <f>V151+IF(AND($E152&lt;&gt;"",$E152&lt;=V$2,$F152&gt;=V$2),1,0)</f>
        <v/>
      </c>
      <c r="W152">
        <f>W151+IF(AND($E152&lt;&gt;"",$E152&lt;=W$2,$F152&gt;=W$2),1,0)</f>
        <v/>
      </c>
      <c r="X152">
        <f>X151+IF(AND($E152&lt;&gt;"",$E152&lt;=X$2,$F152&gt;=X$2),1,0)</f>
        <v/>
      </c>
      <c r="Y152">
        <f>Y151+IF(AND($E152&lt;&gt;"",$E152&lt;=Y$2,$F152&gt;=Y$2),1,0)</f>
        <v/>
      </c>
      <c r="Z152">
        <f>Z151+IF(AND($E152&lt;&gt;"",$E152&lt;=Z$2,$F152&gt;=Z$2),1,0)</f>
        <v/>
      </c>
      <c r="AA152">
        <f>AA151+IF(AND($E152&lt;&gt;"",$E152&lt;=AA$2,$F152&gt;=AA$2),1,0)</f>
        <v/>
      </c>
      <c r="AB152">
        <f>AB151+IF(AND($E152&lt;&gt;"",$E152&lt;=AB$2,$F152&gt;=AB$2),1,0)</f>
        <v/>
      </c>
      <c r="AC152">
        <f>AC151+IF(AND($E152&lt;&gt;"",$E152&lt;=AC$2,$F152&gt;=AC$2),1,0)</f>
        <v/>
      </c>
      <c r="AD152">
        <f>AD151+IF(AND($E152&lt;&gt;"",$E152&lt;=AD$2,$F152&gt;=AD$2),1,0)</f>
        <v/>
      </c>
      <c r="AE152">
        <f>AE151+IF(AND($E152&lt;&gt;"",$E152&lt;=AE$2,$F152&gt;=AE$2),1,0)</f>
        <v/>
      </c>
      <c r="AF152">
        <f>AF151+IF(AND($E152&lt;&gt;"",$E152&lt;=AF$2,$F152&gt;=AF$2),1,0)</f>
        <v/>
      </c>
      <c r="AG152">
        <f>AG151+IF(AND($E152&lt;&gt;"",$E152&lt;=AG$2,$F152&gt;=AG$2),1,0)</f>
        <v/>
      </c>
      <c r="AH152">
        <f>AH151+IF(AND($E152&lt;&gt;"",$E152&lt;=AH$2,$F152&gt;=AH$2),1,0)</f>
        <v/>
      </c>
      <c r="AI152">
        <f>AI151+IF(AND($E152&lt;&gt;"",$E152&lt;=AI$2,$F152&gt;=AI$2),1,0)</f>
        <v/>
      </c>
      <c r="AJ152">
        <f>AJ151+IF(AND($E152&lt;&gt;"",$E152&lt;=AJ$2,$F152&gt;=AJ$2),1,0)</f>
        <v/>
      </c>
      <c r="AK152">
        <f>AK151+IF(AND($E152&lt;&gt;"",$E152&lt;=AK$2,$F152&gt;=AK$2),1,0)</f>
        <v/>
      </c>
      <c r="AL152">
        <f>AL151+IF(AND($E152&lt;&gt;"",$E152&lt;=AL$2,$F152&gt;=AL$2),1,0)</f>
        <v/>
      </c>
      <c r="AM152">
        <f>AM151+IF(AND($E152&lt;&gt;"",$E152&lt;=AM$2,$F152&gt;=AM$2),1,0)</f>
        <v/>
      </c>
      <c r="AN152">
        <f>AN151+IF(AND($E152&lt;&gt;"",$E152&lt;=AN$2,$F152&gt;=AN$2),1,0)</f>
        <v/>
      </c>
      <c r="AO152">
        <f>AO151+IF(AND($E152&lt;&gt;"",$E152&lt;=AO$2,$F152&gt;=AO$2),1,0)</f>
        <v/>
      </c>
      <c r="AP152">
        <f>AP151+IF(AND($E152&lt;&gt;"",$E152&lt;=AP$2,$F152&gt;=AP$2),1,0)</f>
        <v/>
      </c>
      <c r="AQ152">
        <f>AQ151+IF(AND($E152&lt;&gt;"",$E152&lt;=AQ$2,$F152&gt;=AQ$2),1,0)</f>
        <v/>
      </c>
      <c r="AR152">
        <f>AR151+IF(AND($E152&lt;&gt;"",$E152&lt;=AR$2,$F152&gt;=AR$2),1,0)</f>
        <v/>
      </c>
      <c r="AS152">
        <f>AS151+IF(AND($E152&lt;&gt;"",$E152&lt;=AS$2,$F152&gt;=AS$2),1,0)</f>
        <v/>
      </c>
      <c r="AT152">
        <f>AT151+IF(AND($E152&lt;&gt;"",$E152&lt;=AT$2,$F152&gt;=AT$2),1,0)</f>
        <v/>
      </c>
      <c r="AU152">
        <f>AU151+IF(AND($E152&lt;&gt;"",$E152&lt;=AU$2,$F152&gt;=AU$2),1,0)</f>
        <v/>
      </c>
      <c r="AV152">
        <f>AV151+IF(AND($E152&lt;&gt;"",$E152&lt;=AV$2,$F152&gt;=AV$2),1,0)</f>
        <v/>
      </c>
      <c r="AW152">
        <f>AW151+IF(AND($E152&lt;&gt;"",$E152&lt;=AW$2,$F152&gt;=AW$2),1,0)</f>
        <v/>
      </c>
    </row>
    <row r="153">
      <c r="A153">
        <f>IF(AND(ISNUMBER(Events!$A155),ISNUMBER(Events!$B155)),MAX(0,Events!$B155-Events!$A155),0)</f>
        <v/>
      </c>
      <c r="B153">
        <f>IF(ISNUMBER(Events!$A155),DATE(YEAR($B$1)-1,MONTH(Events!$A155),DAY(Events!$A155)),"")</f>
        <v/>
      </c>
      <c r="C153">
        <f>IF(ISNUMBER(Events!$A155),DATE(YEAR($B$1),MONTH(Events!$A155),DAY(Events!$A155)),"")</f>
        <v/>
      </c>
      <c r="D153">
        <f>IF(ISNUMBER(Events!$A155),DATE(YEAR($B$2),MONTH(Events!$A155),DAY(Events!$A155)),"")</f>
        <v/>
      </c>
      <c r="E153">
        <f>IF(OR(NOT(ISNUMBER(Events!$A155)),Events!$G155="No",Calendar!$H$4="None"),"",IF(OR(Calendar!$H$4="All events",Events!$D155=Calendar!$H$4),IF(Events!$E155="Yes",IF(AND(B153&gt;=Events!$A155,B153&lt;=$B$2,B153+$A153&gt;=$B$1),B153,IF(AND(C153&gt;=Events!$A155,C153&lt;=$B$2,C153+$A153&gt;=$B$1),C153,IF(AND(D153&gt;=Events!$A155,D153&lt;=$B$2,D153+$A153&gt;=$B$1),D153,""))),IF(AND(Events!$A155&lt;=$B$2,Events!$A155+$A153&gt;=$B$1),Events!$A155,"")),""))</f>
        <v/>
      </c>
      <c r="F153">
        <f>IF(E153="","",E153+A153)</f>
        <v/>
      </c>
      <c r="G153">
        <f>IF(E153="","",IF(AND(E153&lt;=EOMONTH(Calendar!$K$2,0),F153&gt;=Calendar!$K$2),E153+150/100000,""))</f>
        <v/>
      </c>
      <c r="H153">
        <f>H152+IF(AND($E153&lt;&gt;"",$E153&lt;=H$2,$F153&gt;=H$2),1,0)</f>
        <v/>
      </c>
      <c r="I153">
        <f>I152+IF(AND($E153&lt;&gt;"",$E153&lt;=I$2,$F153&gt;=I$2),1,0)</f>
        <v/>
      </c>
      <c r="J153">
        <f>J152+IF(AND($E153&lt;&gt;"",$E153&lt;=J$2,$F153&gt;=J$2),1,0)</f>
        <v/>
      </c>
      <c r="K153">
        <f>K152+IF(AND($E153&lt;&gt;"",$E153&lt;=K$2,$F153&gt;=K$2),1,0)</f>
        <v/>
      </c>
      <c r="L153">
        <f>L152+IF(AND($E153&lt;&gt;"",$E153&lt;=L$2,$F153&gt;=L$2),1,0)</f>
        <v/>
      </c>
      <c r="M153">
        <f>M152+IF(AND($E153&lt;&gt;"",$E153&lt;=M$2,$F153&gt;=M$2),1,0)</f>
        <v/>
      </c>
      <c r="N153">
        <f>N152+IF(AND($E153&lt;&gt;"",$E153&lt;=N$2,$F153&gt;=N$2),1,0)</f>
        <v/>
      </c>
      <c r="O153">
        <f>O152+IF(AND($E153&lt;&gt;"",$E153&lt;=O$2,$F153&gt;=O$2),1,0)</f>
        <v/>
      </c>
      <c r="P153">
        <f>P152+IF(AND($E153&lt;&gt;"",$E153&lt;=P$2,$F153&gt;=P$2),1,0)</f>
        <v/>
      </c>
      <c r="Q153">
        <f>Q152+IF(AND($E153&lt;&gt;"",$E153&lt;=Q$2,$F153&gt;=Q$2),1,0)</f>
        <v/>
      </c>
      <c r="R153">
        <f>R152+IF(AND($E153&lt;&gt;"",$E153&lt;=R$2,$F153&gt;=R$2),1,0)</f>
        <v/>
      </c>
      <c r="S153">
        <f>S152+IF(AND($E153&lt;&gt;"",$E153&lt;=S$2,$F153&gt;=S$2),1,0)</f>
        <v/>
      </c>
      <c r="T153">
        <f>T152+IF(AND($E153&lt;&gt;"",$E153&lt;=T$2,$F153&gt;=T$2),1,0)</f>
        <v/>
      </c>
      <c r="U153">
        <f>U152+IF(AND($E153&lt;&gt;"",$E153&lt;=U$2,$F153&gt;=U$2),1,0)</f>
        <v/>
      </c>
      <c r="V153">
        <f>V152+IF(AND($E153&lt;&gt;"",$E153&lt;=V$2,$F153&gt;=V$2),1,0)</f>
        <v/>
      </c>
      <c r="W153">
        <f>W152+IF(AND($E153&lt;&gt;"",$E153&lt;=W$2,$F153&gt;=W$2),1,0)</f>
        <v/>
      </c>
      <c r="X153">
        <f>X152+IF(AND($E153&lt;&gt;"",$E153&lt;=X$2,$F153&gt;=X$2),1,0)</f>
        <v/>
      </c>
      <c r="Y153">
        <f>Y152+IF(AND($E153&lt;&gt;"",$E153&lt;=Y$2,$F153&gt;=Y$2),1,0)</f>
        <v/>
      </c>
      <c r="Z153">
        <f>Z152+IF(AND($E153&lt;&gt;"",$E153&lt;=Z$2,$F153&gt;=Z$2),1,0)</f>
        <v/>
      </c>
      <c r="AA153">
        <f>AA152+IF(AND($E153&lt;&gt;"",$E153&lt;=AA$2,$F153&gt;=AA$2),1,0)</f>
        <v/>
      </c>
      <c r="AB153">
        <f>AB152+IF(AND($E153&lt;&gt;"",$E153&lt;=AB$2,$F153&gt;=AB$2),1,0)</f>
        <v/>
      </c>
      <c r="AC153">
        <f>AC152+IF(AND($E153&lt;&gt;"",$E153&lt;=AC$2,$F153&gt;=AC$2),1,0)</f>
        <v/>
      </c>
      <c r="AD153">
        <f>AD152+IF(AND($E153&lt;&gt;"",$E153&lt;=AD$2,$F153&gt;=AD$2),1,0)</f>
        <v/>
      </c>
      <c r="AE153">
        <f>AE152+IF(AND($E153&lt;&gt;"",$E153&lt;=AE$2,$F153&gt;=AE$2),1,0)</f>
        <v/>
      </c>
      <c r="AF153">
        <f>AF152+IF(AND($E153&lt;&gt;"",$E153&lt;=AF$2,$F153&gt;=AF$2),1,0)</f>
        <v/>
      </c>
      <c r="AG153">
        <f>AG152+IF(AND($E153&lt;&gt;"",$E153&lt;=AG$2,$F153&gt;=AG$2),1,0)</f>
        <v/>
      </c>
      <c r="AH153">
        <f>AH152+IF(AND($E153&lt;&gt;"",$E153&lt;=AH$2,$F153&gt;=AH$2),1,0)</f>
        <v/>
      </c>
      <c r="AI153">
        <f>AI152+IF(AND($E153&lt;&gt;"",$E153&lt;=AI$2,$F153&gt;=AI$2),1,0)</f>
        <v/>
      </c>
      <c r="AJ153">
        <f>AJ152+IF(AND($E153&lt;&gt;"",$E153&lt;=AJ$2,$F153&gt;=AJ$2),1,0)</f>
        <v/>
      </c>
      <c r="AK153">
        <f>AK152+IF(AND($E153&lt;&gt;"",$E153&lt;=AK$2,$F153&gt;=AK$2),1,0)</f>
        <v/>
      </c>
      <c r="AL153">
        <f>AL152+IF(AND($E153&lt;&gt;"",$E153&lt;=AL$2,$F153&gt;=AL$2),1,0)</f>
        <v/>
      </c>
      <c r="AM153">
        <f>AM152+IF(AND($E153&lt;&gt;"",$E153&lt;=AM$2,$F153&gt;=AM$2),1,0)</f>
        <v/>
      </c>
      <c r="AN153">
        <f>AN152+IF(AND($E153&lt;&gt;"",$E153&lt;=AN$2,$F153&gt;=AN$2),1,0)</f>
        <v/>
      </c>
      <c r="AO153">
        <f>AO152+IF(AND($E153&lt;&gt;"",$E153&lt;=AO$2,$F153&gt;=AO$2),1,0)</f>
        <v/>
      </c>
      <c r="AP153">
        <f>AP152+IF(AND($E153&lt;&gt;"",$E153&lt;=AP$2,$F153&gt;=AP$2),1,0)</f>
        <v/>
      </c>
      <c r="AQ153">
        <f>AQ152+IF(AND($E153&lt;&gt;"",$E153&lt;=AQ$2,$F153&gt;=AQ$2),1,0)</f>
        <v/>
      </c>
      <c r="AR153">
        <f>AR152+IF(AND($E153&lt;&gt;"",$E153&lt;=AR$2,$F153&gt;=AR$2),1,0)</f>
        <v/>
      </c>
      <c r="AS153">
        <f>AS152+IF(AND($E153&lt;&gt;"",$E153&lt;=AS$2,$F153&gt;=AS$2),1,0)</f>
        <v/>
      </c>
      <c r="AT153">
        <f>AT152+IF(AND($E153&lt;&gt;"",$E153&lt;=AT$2,$F153&gt;=AT$2),1,0)</f>
        <v/>
      </c>
      <c r="AU153">
        <f>AU152+IF(AND($E153&lt;&gt;"",$E153&lt;=AU$2,$F153&gt;=AU$2),1,0)</f>
        <v/>
      </c>
      <c r="AV153">
        <f>AV152+IF(AND($E153&lt;&gt;"",$E153&lt;=AV$2,$F153&gt;=AV$2),1,0)</f>
        <v/>
      </c>
      <c r="AW153">
        <f>AW152+IF(AND($E153&lt;&gt;"",$E153&lt;=AW$2,$F153&gt;=AW$2),1,0)</f>
        <v/>
      </c>
    </row>
    <row r="154">
      <c r="A154">
        <f>IF(AND(ISNUMBER(Events!$A156),ISNUMBER(Events!$B156)),MAX(0,Events!$B156-Events!$A156),0)</f>
        <v/>
      </c>
      <c r="B154">
        <f>IF(ISNUMBER(Events!$A156),DATE(YEAR($B$1)-1,MONTH(Events!$A156),DAY(Events!$A156)),"")</f>
        <v/>
      </c>
      <c r="C154">
        <f>IF(ISNUMBER(Events!$A156),DATE(YEAR($B$1),MONTH(Events!$A156),DAY(Events!$A156)),"")</f>
        <v/>
      </c>
      <c r="D154">
        <f>IF(ISNUMBER(Events!$A156),DATE(YEAR($B$2),MONTH(Events!$A156),DAY(Events!$A156)),"")</f>
        <v/>
      </c>
      <c r="E154">
        <f>IF(OR(NOT(ISNUMBER(Events!$A156)),Events!$G156="No",Calendar!$H$4="None"),"",IF(OR(Calendar!$H$4="All events",Events!$D156=Calendar!$H$4),IF(Events!$E156="Yes",IF(AND(B154&gt;=Events!$A156,B154&lt;=$B$2,B154+$A154&gt;=$B$1),B154,IF(AND(C154&gt;=Events!$A156,C154&lt;=$B$2,C154+$A154&gt;=$B$1),C154,IF(AND(D154&gt;=Events!$A156,D154&lt;=$B$2,D154+$A154&gt;=$B$1),D154,""))),IF(AND(Events!$A156&lt;=$B$2,Events!$A156+$A154&gt;=$B$1),Events!$A156,"")),""))</f>
        <v/>
      </c>
      <c r="F154">
        <f>IF(E154="","",E154+A154)</f>
        <v/>
      </c>
      <c r="G154">
        <f>IF(E154="","",IF(AND(E154&lt;=EOMONTH(Calendar!$K$2,0),F154&gt;=Calendar!$K$2),E154+151/100000,""))</f>
        <v/>
      </c>
      <c r="H154">
        <f>H153+IF(AND($E154&lt;&gt;"",$E154&lt;=H$2,$F154&gt;=H$2),1,0)</f>
        <v/>
      </c>
      <c r="I154">
        <f>I153+IF(AND($E154&lt;&gt;"",$E154&lt;=I$2,$F154&gt;=I$2),1,0)</f>
        <v/>
      </c>
      <c r="J154">
        <f>J153+IF(AND($E154&lt;&gt;"",$E154&lt;=J$2,$F154&gt;=J$2),1,0)</f>
        <v/>
      </c>
      <c r="K154">
        <f>K153+IF(AND($E154&lt;&gt;"",$E154&lt;=K$2,$F154&gt;=K$2),1,0)</f>
        <v/>
      </c>
      <c r="L154">
        <f>L153+IF(AND($E154&lt;&gt;"",$E154&lt;=L$2,$F154&gt;=L$2),1,0)</f>
        <v/>
      </c>
      <c r="M154">
        <f>M153+IF(AND($E154&lt;&gt;"",$E154&lt;=M$2,$F154&gt;=M$2),1,0)</f>
        <v/>
      </c>
      <c r="N154">
        <f>N153+IF(AND($E154&lt;&gt;"",$E154&lt;=N$2,$F154&gt;=N$2),1,0)</f>
        <v/>
      </c>
      <c r="O154">
        <f>O153+IF(AND($E154&lt;&gt;"",$E154&lt;=O$2,$F154&gt;=O$2),1,0)</f>
        <v/>
      </c>
      <c r="P154">
        <f>P153+IF(AND($E154&lt;&gt;"",$E154&lt;=P$2,$F154&gt;=P$2),1,0)</f>
        <v/>
      </c>
      <c r="Q154">
        <f>Q153+IF(AND($E154&lt;&gt;"",$E154&lt;=Q$2,$F154&gt;=Q$2),1,0)</f>
        <v/>
      </c>
      <c r="R154">
        <f>R153+IF(AND($E154&lt;&gt;"",$E154&lt;=R$2,$F154&gt;=R$2),1,0)</f>
        <v/>
      </c>
      <c r="S154">
        <f>S153+IF(AND($E154&lt;&gt;"",$E154&lt;=S$2,$F154&gt;=S$2),1,0)</f>
        <v/>
      </c>
      <c r="T154">
        <f>T153+IF(AND($E154&lt;&gt;"",$E154&lt;=T$2,$F154&gt;=T$2),1,0)</f>
        <v/>
      </c>
      <c r="U154">
        <f>U153+IF(AND($E154&lt;&gt;"",$E154&lt;=U$2,$F154&gt;=U$2),1,0)</f>
        <v/>
      </c>
      <c r="V154">
        <f>V153+IF(AND($E154&lt;&gt;"",$E154&lt;=V$2,$F154&gt;=V$2),1,0)</f>
        <v/>
      </c>
      <c r="W154">
        <f>W153+IF(AND($E154&lt;&gt;"",$E154&lt;=W$2,$F154&gt;=W$2),1,0)</f>
        <v/>
      </c>
      <c r="X154">
        <f>X153+IF(AND($E154&lt;&gt;"",$E154&lt;=X$2,$F154&gt;=X$2),1,0)</f>
        <v/>
      </c>
      <c r="Y154">
        <f>Y153+IF(AND($E154&lt;&gt;"",$E154&lt;=Y$2,$F154&gt;=Y$2),1,0)</f>
        <v/>
      </c>
      <c r="Z154">
        <f>Z153+IF(AND($E154&lt;&gt;"",$E154&lt;=Z$2,$F154&gt;=Z$2),1,0)</f>
        <v/>
      </c>
      <c r="AA154">
        <f>AA153+IF(AND($E154&lt;&gt;"",$E154&lt;=AA$2,$F154&gt;=AA$2),1,0)</f>
        <v/>
      </c>
      <c r="AB154">
        <f>AB153+IF(AND($E154&lt;&gt;"",$E154&lt;=AB$2,$F154&gt;=AB$2),1,0)</f>
        <v/>
      </c>
      <c r="AC154">
        <f>AC153+IF(AND($E154&lt;&gt;"",$E154&lt;=AC$2,$F154&gt;=AC$2),1,0)</f>
        <v/>
      </c>
      <c r="AD154">
        <f>AD153+IF(AND($E154&lt;&gt;"",$E154&lt;=AD$2,$F154&gt;=AD$2),1,0)</f>
        <v/>
      </c>
      <c r="AE154">
        <f>AE153+IF(AND($E154&lt;&gt;"",$E154&lt;=AE$2,$F154&gt;=AE$2),1,0)</f>
        <v/>
      </c>
      <c r="AF154">
        <f>AF153+IF(AND($E154&lt;&gt;"",$E154&lt;=AF$2,$F154&gt;=AF$2),1,0)</f>
        <v/>
      </c>
      <c r="AG154">
        <f>AG153+IF(AND($E154&lt;&gt;"",$E154&lt;=AG$2,$F154&gt;=AG$2),1,0)</f>
        <v/>
      </c>
      <c r="AH154">
        <f>AH153+IF(AND($E154&lt;&gt;"",$E154&lt;=AH$2,$F154&gt;=AH$2),1,0)</f>
        <v/>
      </c>
      <c r="AI154">
        <f>AI153+IF(AND($E154&lt;&gt;"",$E154&lt;=AI$2,$F154&gt;=AI$2),1,0)</f>
        <v/>
      </c>
      <c r="AJ154">
        <f>AJ153+IF(AND($E154&lt;&gt;"",$E154&lt;=AJ$2,$F154&gt;=AJ$2),1,0)</f>
        <v/>
      </c>
      <c r="AK154">
        <f>AK153+IF(AND($E154&lt;&gt;"",$E154&lt;=AK$2,$F154&gt;=AK$2),1,0)</f>
        <v/>
      </c>
      <c r="AL154">
        <f>AL153+IF(AND($E154&lt;&gt;"",$E154&lt;=AL$2,$F154&gt;=AL$2),1,0)</f>
        <v/>
      </c>
      <c r="AM154">
        <f>AM153+IF(AND($E154&lt;&gt;"",$E154&lt;=AM$2,$F154&gt;=AM$2),1,0)</f>
        <v/>
      </c>
      <c r="AN154">
        <f>AN153+IF(AND($E154&lt;&gt;"",$E154&lt;=AN$2,$F154&gt;=AN$2),1,0)</f>
        <v/>
      </c>
      <c r="AO154">
        <f>AO153+IF(AND($E154&lt;&gt;"",$E154&lt;=AO$2,$F154&gt;=AO$2),1,0)</f>
        <v/>
      </c>
      <c r="AP154">
        <f>AP153+IF(AND($E154&lt;&gt;"",$E154&lt;=AP$2,$F154&gt;=AP$2),1,0)</f>
        <v/>
      </c>
      <c r="AQ154">
        <f>AQ153+IF(AND($E154&lt;&gt;"",$E154&lt;=AQ$2,$F154&gt;=AQ$2),1,0)</f>
        <v/>
      </c>
      <c r="AR154">
        <f>AR153+IF(AND($E154&lt;&gt;"",$E154&lt;=AR$2,$F154&gt;=AR$2),1,0)</f>
        <v/>
      </c>
      <c r="AS154">
        <f>AS153+IF(AND($E154&lt;&gt;"",$E154&lt;=AS$2,$F154&gt;=AS$2),1,0)</f>
        <v/>
      </c>
      <c r="AT154">
        <f>AT153+IF(AND($E154&lt;&gt;"",$E154&lt;=AT$2,$F154&gt;=AT$2),1,0)</f>
        <v/>
      </c>
      <c r="AU154">
        <f>AU153+IF(AND($E154&lt;&gt;"",$E154&lt;=AU$2,$F154&gt;=AU$2),1,0)</f>
        <v/>
      </c>
      <c r="AV154">
        <f>AV153+IF(AND($E154&lt;&gt;"",$E154&lt;=AV$2,$F154&gt;=AV$2),1,0)</f>
        <v/>
      </c>
      <c r="AW154">
        <f>AW153+IF(AND($E154&lt;&gt;"",$E154&lt;=AW$2,$F154&gt;=AW$2),1,0)</f>
        <v/>
      </c>
    </row>
    <row r="155">
      <c r="A155">
        <f>IF(AND(ISNUMBER(Events!$A157),ISNUMBER(Events!$B157)),MAX(0,Events!$B157-Events!$A157),0)</f>
        <v/>
      </c>
      <c r="B155">
        <f>IF(ISNUMBER(Events!$A157),DATE(YEAR($B$1)-1,MONTH(Events!$A157),DAY(Events!$A157)),"")</f>
        <v/>
      </c>
      <c r="C155">
        <f>IF(ISNUMBER(Events!$A157),DATE(YEAR($B$1),MONTH(Events!$A157),DAY(Events!$A157)),"")</f>
        <v/>
      </c>
      <c r="D155">
        <f>IF(ISNUMBER(Events!$A157),DATE(YEAR($B$2),MONTH(Events!$A157),DAY(Events!$A157)),"")</f>
        <v/>
      </c>
      <c r="E155">
        <f>IF(OR(NOT(ISNUMBER(Events!$A157)),Events!$G157="No",Calendar!$H$4="None"),"",IF(OR(Calendar!$H$4="All events",Events!$D157=Calendar!$H$4),IF(Events!$E157="Yes",IF(AND(B155&gt;=Events!$A157,B155&lt;=$B$2,B155+$A155&gt;=$B$1),B155,IF(AND(C155&gt;=Events!$A157,C155&lt;=$B$2,C155+$A155&gt;=$B$1),C155,IF(AND(D155&gt;=Events!$A157,D155&lt;=$B$2,D155+$A155&gt;=$B$1),D155,""))),IF(AND(Events!$A157&lt;=$B$2,Events!$A157+$A155&gt;=$B$1),Events!$A157,"")),""))</f>
        <v/>
      </c>
      <c r="F155">
        <f>IF(E155="","",E155+A155)</f>
        <v/>
      </c>
      <c r="G155">
        <f>IF(E155="","",IF(AND(E155&lt;=EOMONTH(Calendar!$K$2,0),F155&gt;=Calendar!$K$2),E155+152/100000,""))</f>
        <v/>
      </c>
      <c r="H155">
        <f>H154+IF(AND($E155&lt;&gt;"",$E155&lt;=H$2,$F155&gt;=H$2),1,0)</f>
        <v/>
      </c>
      <c r="I155">
        <f>I154+IF(AND($E155&lt;&gt;"",$E155&lt;=I$2,$F155&gt;=I$2),1,0)</f>
        <v/>
      </c>
      <c r="J155">
        <f>J154+IF(AND($E155&lt;&gt;"",$E155&lt;=J$2,$F155&gt;=J$2),1,0)</f>
        <v/>
      </c>
      <c r="K155">
        <f>K154+IF(AND($E155&lt;&gt;"",$E155&lt;=K$2,$F155&gt;=K$2),1,0)</f>
        <v/>
      </c>
      <c r="L155">
        <f>L154+IF(AND($E155&lt;&gt;"",$E155&lt;=L$2,$F155&gt;=L$2),1,0)</f>
        <v/>
      </c>
      <c r="M155">
        <f>M154+IF(AND($E155&lt;&gt;"",$E155&lt;=M$2,$F155&gt;=M$2),1,0)</f>
        <v/>
      </c>
      <c r="N155">
        <f>N154+IF(AND($E155&lt;&gt;"",$E155&lt;=N$2,$F155&gt;=N$2),1,0)</f>
        <v/>
      </c>
      <c r="O155">
        <f>O154+IF(AND($E155&lt;&gt;"",$E155&lt;=O$2,$F155&gt;=O$2),1,0)</f>
        <v/>
      </c>
      <c r="P155">
        <f>P154+IF(AND($E155&lt;&gt;"",$E155&lt;=P$2,$F155&gt;=P$2),1,0)</f>
        <v/>
      </c>
      <c r="Q155">
        <f>Q154+IF(AND($E155&lt;&gt;"",$E155&lt;=Q$2,$F155&gt;=Q$2),1,0)</f>
        <v/>
      </c>
      <c r="R155">
        <f>R154+IF(AND($E155&lt;&gt;"",$E155&lt;=R$2,$F155&gt;=R$2),1,0)</f>
        <v/>
      </c>
      <c r="S155">
        <f>S154+IF(AND($E155&lt;&gt;"",$E155&lt;=S$2,$F155&gt;=S$2),1,0)</f>
        <v/>
      </c>
      <c r="T155">
        <f>T154+IF(AND($E155&lt;&gt;"",$E155&lt;=T$2,$F155&gt;=T$2),1,0)</f>
        <v/>
      </c>
      <c r="U155">
        <f>U154+IF(AND($E155&lt;&gt;"",$E155&lt;=U$2,$F155&gt;=U$2),1,0)</f>
        <v/>
      </c>
      <c r="V155">
        <f>V154+IF(AND($E155&lt;&gt;"",$E155&lt;=V$2,$F155&gt;=V$2),1,0)</f>
        <v/>
      </c>
      <c r="W155">
        <f>W154+IF(AND($E155&lt;&gt;"",$E155&lt;=W$2,$F155&gt;=W$2),1,0)</f>
        <v/>
      </c>
      <c r="X155">
        <f>X154+IF(AND($E155&lt;&gt;"",$E155&lt;=X$2,$F155&gt;=X$2),1,0)</f>
        <v/>
      </c>
      <c r="Y155">
        <f>Y154+IF(AND($E155&lt;&gt;"",$E155&lt;=Y$2,$F155&gt;=Y$2),1,0)</f>
        <v/>
      </c>
      <c r="Z155">
        <f>Z154+IF(AND($E155&lt;&gt;"",$E155&lt;=Z$2,$F155&gt;=Z$2),1,0)</f>
        <v/>
      </c>
      <c r="AA155">
        <f>AA154+IF(AND($E155&lt;&gt;"",$E155&lt;=AA$2,$F155&gt;=AA$2),1,0)</f>
        <v/>
      </c>
      <c r="AB155">
        <f>AB154+IF(AND($E155&lt;&gt;"",$E155&lt;=AB$2,$F155&gt;=AB$2),1,0)</f>
        <v/>
      </c>
      <c r="AC155">
        <f>AC154+IF(AND($E155&lt;&gt;"",$E155&lt;=AC$2,$F155&gt;=AC$2),1,0)</f>
        <v/>
      </c>
      <c r="AD155">
        <f>AD154+IF(AND($E155&lt;&gt;"",$E155&lt;=AD$2,$F155&gt;=AD$2),1,0)</f>
        <v/>
      </c>
      <c r="AE155">
        <f>AE154+IF(AND($E155&lt;&gt;"",$E155&lt;=AE$2,$F155&gt;=AE$2),1,0)</f>
        <v/>
      </c>
      <c r="AF155">
        <f>AF154+IF(AND($E155&lt;&gt;"",$E155&lt;=AF$2,$F155&gt;=AF$2),1,0)</f>
        <v/>
      </c>
      <c r="AG155">
        <f>AG154+IF(AND($E155&lt;&gt;"",$E155&lt;=AG$2,$F155&gt;=AG$2),1,0)</f>
        <v/>
      </c>
      <c r="AH155">
        <f>AH154+IF(AND($E155&lt;&gt;"",$E155&lt;=AH$2,$F155&gt;=AH$2),1,0)</f>
        <v/>
      </c>
      <c r="AI155">
        <f>AI154+IF(AND($E155&lt;&gt;"",$E155&lt;=AI$2,$F155&gt;=AI$2),1,0)</f>
        <v/>
      </c>
      <c r="AJ155">
        <f>AJ154+IF(AND($E155&lt;&gt;"",$E155&lt;=AJ$2,$F155&gt;=AJ$2),1,0)</f>
        <v/>
      </c>
      <c r="AK155">
        <f>AK154+IF(AND($E155&lt;&gt;"",$E155&lt;=AK$2,$F155&gt;=AK$2),1,0)</f>
        <v/>
      </c>
      <c r="AL155">
        <f>AL154+IF(AND($E155&lt;&gt;"",$E155&lt;=AL$2,$F155&gt;=AL$2),1,0)</f>
        <v/>
      </c>
      <c r="AM155">
        <f>AM154+IF(AND($E155&lt;&gt;"",$E155&lt;=AM$2,$F155&gt;=AM$2),1,0)</f>
        <v/>
      </c>
      <c r="AN155">
        <f>AN154+IF(AND($E155&lt;&gt;"",$E155&lt;=AN$2,$F155&gt;=AN$2),1,0)</f>
        <v/>
      </c>
      <c r="AO155">
        <f>AO154+IF(AND($E155&lt;&gt;"",$E155&lt;=AO$2,$F155&gt;=AO$2),1,0)</f>
        <v/>
      </c>
      <c r="AP155">
        <f>AP154+IF(AND($E155&lt;&gt;"",$E155&lt;=AP$2,$F155&gt;=AP$2),1,0)</f>
        <v/>
      </c>
      <c r="AQ155">
        <f>AQ154+IF(AND($E155&lt;&gt;"",$E155&lt;=AQ$2,$F155&gt;=AQ$2),1,0)</f>
        <v/>
      </c>
      <c r="AR155">
        <f>AR154+IF(AND($E155&lt;&gt;"",$E155&lt;=AR$2,$F155&gt;=AR$2),1,0)</f>
        <v/>
      </c>
      <c r="AS155">
        <f>AS154+IF(AND($E155&lt;&gt;"",$E155&lt;=AS$2,$F155&gt;=AS$2),1,0)</f>
        <v/>
      </c>
      <c r="AT155">
        <f>AT154+IF(AND($E155&lt;&gt;"",$E155&lt;=AT$2,$F155&gt;=AT$2),1,0)</f>
        <v/>
      </c>
      <c r="AU155">
        <f>AU154+IF(AND($E155&lt;&gt;"",$E155&lt;=AU$2,$F155&gt;=AU$2),1,0)</f>
        <v/>
      </c>
      <c r="AV155">
        <f>AV154+IF(AND($E155&lt;&gt;"",$E155&lt;=AV$2,$F155&gt;=AV$2),1,0)</f>
        <v/>
      </c>
      <c r="AW155">
        <f>AW154+IF(AND($E155&lt;&gt;"",$E155&lt;=AW$2,$F155&gt;=AW$2),1,0)</f>
        <v/>
      </c>
    </row>
    <row r="156">
      <c r="A156">
        <f>IF(AND(ISNUMBER(Events!$A158),ISNUMBER(Events!$B158)),MAX(0,Events!$B158-Events!$A158),0)</f>
        <v/>
      </c>
      <c r="B156">
        <f>IF(ISNUMBER(Events!$A158),DATE(YEAR($B$1)-1,MONTH(Events!$A158),DAY(Events!$A158)),"")</f>
        <v/>
      </c>
      <c r="C156">
        <f>IF(ISNUMBER(Events!$A158),DATE(YEAR($B$1),MONTH(Events!$A158),DAY(Events!$A158)),"")</f>
        <v/>
      </c>
      <c r="D156">
        <f>IF(ISNUMBER(Events!$A158),DATE(YEAR($B$2),MONTH(Events!$A158),DAY(Events!$A158)),"")</f>
        <v/>
      </c>
      <c r="E156">
        <f>IF(OR(NOT(ISNUMBER(Events!$A158)),Events!$G158="No",Calendar!$H$4="None"),"",IF(OR(Calendar!$H$4="All events",Events!$D158=Calendar!$H$4),IF(Events!$E158="Yes",IF(AND(B156&gt;=Events!$A158,B156&lt;=$B$2,B156+$A156&gt;=$B$1),B156,IF(AND(C156&gt;=Events!$A158,C156&lt;=$B$2,C156+$A156&gt;=$B$1),C156,IF(AND(D156&gt;=Events!$A158,D156&lt;=$B$2,D156+$A156&gt;=$B$1),D156,""))),IF(AND(Events!$A158&lt;=$B$2,Events!$A158+$A156&gt;=$B$1),Events!$A158,"")),""))</f>
        <v/>
      </c>
      <c r="F156">
        <f>IF(E156="","",E156+A156)</f>
        <v/>
      </c>
      <c r="G156">
        <f>IF(E156="","",IF(AND(E156&lt;=EOMONTH(Calendar!$K$2,0),F156&gt;=Calendar!$K$2),E156+153/100000,""))</f>
        <v/>
      </c>
      <c r="H156">
        <f>H155+IF(AND($E156&lt;&gt;"",$E156&lt;=H$2,$F156&gt;=H$2),1,0)</f>
        <v/>
      </c>
      <c r="I156">
        <f>I155+IF(AND($E156&lt;&gt;"",$E156&lt;=I$2,$F156&gt;=I$2),1,0)</f>
        <v/>
      </c>
      <c r="J156">
        <f>J155+IF(AND($E156&lt;&gt;"",$E156&lt;=J$2,$F156&gt;=J$2),1,0)</f>
        <v/>
      </c>
      <c r="K156">
        <f>K155+IF(AND($E156&lt;&gt;"",$E156&lt;=K$2,$F156&gt;=K$2),1,0)</f>
        <v/>
      </c>
      <c r="L156">
        <f>L155+IF(AND($E156&lt;&gt;"",$E156&lt;=L$2,$F156&gt;=L$2),1,0)</f>
        <v/>
      </c>
      <c r="M156">
        <f>M155+IF(AND($E156&lt;&gt;"",$E156&lt;=M$2,$F156&gt;=M$2),1,0)</f>
        <v/>
      </c>
      <c r="N156">
        <f>N155+IF(AND($E156&lt;&gt;"",$E156&lt;=N$2,$F156&gt;=N$2),1,0)</f>
        <v/>
      </c>
      <c r="O156">
        <f>O155+IF(AND($E156&lt;&gt;"",$E156&lt;=O$2,$F156&gt;=O$2),1,0)</f>
        <v/>
      </c>
      <c r="P156">
        <f>P155+IF(AND($E156&lt;&gt;"",$E156&lt;=P$2,$F156&gt;=P$2),1,0)</f>
        <v/>
      </c>
      <c r="Q156">
        <f>Q155+IF(AND($E156&lt;&gt;"",$E156&lt;=Q$2,$F156&gt;=Q$2),1,0)</f>
        <v/>
      </c>
      <c r="R156">
        <f>R155+IF(AND($E156&lt;&gt;"",$E156&lt;=R$2,$F156&gt;=R$2),1,0)</f>
        <v/>
      </c>
      <c r="S156">
        <f>S155+IF(AND($E156&lt;&gt;"",$E156&lt;=S$2,$F156&gt;=S$2),1,0)</f>
        <v/>
      </c>
      <c r="T156">
        <f>T155+IF(AND($E156&lt;&gt;"",$E156&lt;=T$2,$F156&gt;=T$2),1,0)</f>
        <v/>
      </c>
      <c r="U156">
        <f>U155+IF(AND($E156&lt;&gt;"",$E156&lt;=U$2,$F156&gt;=U$2),1,0)</f>
        <v/>
      </c>
      <c r="V156">
        <f>V155+IF(AND($E156&lt;&gt;"",$E156&lt;=V$2,$F156&gt;=V$2),1,0)</f>
        <v/>
      </c>
      <c r="W156">
        <f>W155+IF(AND($E156&lt;&gt;"",$E156&lt;=W$2,$F156&gt;=W$2),1,0)</f>
        <v/>
      </c>
      <c r="X156">
        <f>X155+IF(AND($E156&lt;&gt;"",$E156&lt;=X$2,$F156&gt;=X$2),1,0)</f>
        <v/>
      </c>
      <c r="Y156">
        <f>Y155+IF(AND($E156&lt;&gt;"",$E156&lt;=Y$2,$F156&gt;=Y$2),1,0)</f>
        <v/>
      </c>
      <c r="Z156">
        <f>Z155+IF(AND($E156&lt;&gt;"",$E156&lt;=Z$2,$F156&gt;=Z$2),1,0)</f>
        <v/>
      </c>
      <c r="AA156">
        <f>AA155+IF(AND($E156&lt;&gt;"",$E156&lt;=AA$2,$F156&gt;=AA$2),1,0)</f>
        <v/>
      </c>
      <c r="AB156">
        <f>AB155+IF(AND($E156&lt;&gt;"",$E156&lt;=AB$2,$F156&gt;=AB$2),1,0)</f>
        <v/>
      </c>
      <c r="AC156">
        <f>AC155+IF(AND($E156&lt;&gt;"",$E156&lt;=AC$2,$F156&gt;=AC$2),1,0)</f>
        <v/>
      </c>
      <c r="AD156">
        <f>AD155+IF(AND($E156&lt;&gt;"",$E156&lt;=AD$2,$F156&gt;=AD$2),1,0)</f>
        <v/>
      </c>
      <c r="AE156">
        <f>AE155+IF(AND($E156&lt;&gt;"",$E156&lt;=AE$2,$F156&gt;=AE$2),1,0)</f>
        <v/>
      </c>
      <c r="AF156">
        <f>AF155+IF(AND($E156&lt;&gt;"",$E156&lt;=AF$2,$F156&gt;=AF$2),1,0)</f>
        <v/>
      </c>
      <c r="AG156">
        <f>AG155+IF(AND($E156&lt;&gt;"",$E156&lt;=AG$2,$F156&gt;=AG$2),1,0)</f>
        <v/>
      </c>
      <c r="AH156">
        <f>AH155+IF(AND($E156&lt;&gt;"",$E156&lt;=AH$2,$F156&gt;=AH$2),1,0)</f>
        <v/>
      </c>
      <c r="AI156">
        <f>AI155+IF(AND($E156&lt;&gt;"",$E156&lt;=AI$2,$F156&gt;=AI$2),1,0)</f>
        <v/>
      </c>
      <c r="AJ156">
        <f>AJ155+IF(AND($E156&lt;&gt;"",$E156&lt;=AJ$2,$F156&gt;=AJ$2),1,0)</f>
        <v/>
      </c>
      <c r="AK156">
        <f>AK155+IF(AND($E156&lt;&gt;"",$E156&lt;=AK$2,$F156&gt;=AK$2),1,0)</f>
        <v/>
      </c>
      <c r="AL156">
        <f>AL155+IF(AND($E156&lt;&gt;"",$E156&lt;=AL$2,$F156&gt;=AL$2),1,0)</f>
        <v/>
      </c>
      <c r="AM156">
        <f>AM155+IF(AND($E156&lt;&gt;"",$E156&lt;=AM$2,$F156&gt;=AM$2),1,0)</f>
        <v/>
      </c>
      <c r="AN156">
        <f>AN155+IF(AND($E156&lt;&gt;"",$E156&lt;=AN$2,$F156&gt;=AN$2),1,0)</f>
        <v/>
      </c>
      <c r="AO156">
        <f>AO155+IF(AND($E156&lt;&gt;"",$E156&lt;=AO$2,$F156&gt;=AO$2),1,0)</f>
        <v/>
      </c>
      <c r="AP156">
        <f>AP155+IF(AND($E156&lt;&gt;"",$E156&lt;=AP$2,$F156&gt;=AP$2),1,0)</f>
        <v/>
      </c>
      <c r="AQ156">
        <f>AQ155+IF(AND($E156&lt;&gt;"",$E156&lt;=AQ$2,$F156&gt;=AQ$2),1,0)</f>
        <v/>
      </c>
      <c r="AR156">
        <f>AR155+IF(AND($E156&lt;&gt;"",$E156&lt;=AR$2,$F156&gt;=AR$2),1,0)</f>
        <v/>
      </c>
      <c r="AS156">
        <f>AS155+IF(AND($E156&lt;&gt;"",$E156&lt;=AS$2,$F156&gt;=AS$2),1,0)</f>
        <v/>
      </c>
      <c r="AT156">
        <f>AT155+IF(AND($E156&lt;&gt;"",$E156&lt;=AT$2,$F156&gt;=AT$2),1,0)</f>
        <v/>
      </c>
      <c r="AU156">
        <f>AU155+IF(AND($E156&lt;&gt;"",$E156&lt;=AU$2,$F156&gt;=AU$2),1,0)</f>
        <v/>
      </c>
      <c r="AV156">
        <f>AV155+IF(AND($E156&lt;&gt;"",$E156&lt;=AV$2,$F156&gt;=AV$2),1,0)</f>
        <v/>
      </c>
      <c r="AW156">
        <f>AW155+IF(AND($E156&lt;&gt;"",$E156&lt;=AW$2,$F156&gt;=AW$2),1,0)</f>
        <v/>
      </c>
    </row>
    <row r="157">
      <c r="A157">
        <f>IF(AND(ISNUMBER(Events!$A159),ISNUMBER(Events!$B159)),MAX(0,Events!$B159-Events!$A159),0)</f>
        <v/>
      </c>
      <c r="B157">
        <f>IF(ISNUMBER(Events!$A159),DATE(YEAR($B$1)-1,MONTH(Events!$A159),DAY(Events!$A159)),"")</f>
        <v/>
      </c>
      <c r="C157">
        <f>IF(ISNUMBER(Events!$A159),DATE(YEAR($B$1),MONTH(Events!$A159),DAY(Events!$A159)),"")</f>
        <v/>
      </c>
      <c r="D157">
        <f>IF(ISNUMBER(Events!$A159),DATE(YEAR($B$2),MONTH(Events!$A159),DAY(Events!$A159)),"")</f>
        <v/>
      </c>
      <c r="E157">
        <f>IF(OR(NOT(ISNUMBER(Events!$A159)),Events!$G159="No",Calendar!$H$4="None"),"",IF(OR(Calendar!$H$4="All events",Events!$D159=Calendar!$H$4),IF(Events!$E159="Yes",IF(AND(B157&gt;=Events!$A159,B157&lt;=$B$2,B157+$A157&gt;=$B$1),B157,IF(AND(C157&gt;=Events!$A159,C157&lt;=$B$2,C157+$A157&gt;=$B$1),C157,IF(AND(D157&gt;=Events!$A159,D157&lt;=$B$2,D157+$A157&gt;=$B$1),D157,""))),IF(AND(Events!$A159&lt;=$B$2,Events!$A159+$A157&gt;=$B$1),Events!$A159,"")),""))</f>
        <v/>
      </c>
      <c r="F157">
        <f>IF(E157="","",E157+A157)</f>
        <v/>
      </c>
      <c r="G157">
        <f>IF(E157="","",IF(AND(E157&lt;=EOMONTH(Calendar!$K$2,0),F157&gt;=Calendar!$K$2),E157+154/100000,""))</f>
        <v/>
      </c>
      <c r="H157">
        <f>H156+IF(AND($E157&lt;&gt;"",$E157&lt;=H$2,$F157&gt;=H$2),1,0)</f>
        <v/>
      </c>
      <c r="I157">
        <f>I156+IF(AND($E157&lt;&gt;"",$E157&lt;=I$2,$F157&gt;=I$2),1,0)</f>
        <v/>
      </c>
      <c r="J157">
        <f>J156+IF(AND($E157&lt;&gt;"",$E157&lt;=J$2,$F157&gt;=J$2),1,0)</f>
        <v/>
      </c>
      <c r="K157">
        <f>K156+IF(AND($E157&lt;&gt;"",$E157&lt;=K$2,$F157&gt;=K$2),1,0)</f>
        <v/>
      </c>
      <c r="L157">
        <f>L156+IF(AND($E157&lt;&gt;"",$E157&lt;=L$2,$F157&gt;=L$2),1,0)</f>
        <v/>
      </c>
      <c r="M157">
        <f>M156+IF(AND($E157&lt;&gt;"",$E157&lt;=M$2,$F157&gt;=M$2),1,0)</f>
        <v/>
      </c>
      <c r="N157">
        <f>N156+IF(AND($E157&lt;&gt;"",$E157&lt;=N$2,$F157&gt;=N$2),1,0)</f>
        <v/>
      </c>
      <c r="O157">
        <f>O156+IF(AND($E157&lt;&gt;"",$E157&lt;=O$2,$F157&gt;=O$2),1,0)</f>
        <v/>
      </c>
      <c r="P157">
        <f>P156+IF(AND($E157&lt;&gt;"",$E157&lt;=P$2,$F157&gt;=P$2),1,0)</f>
        <v/>
      </c>
      <c r="Q157">
        <f>Q156+IF(AND($E157&lt;&gt;"",$E157&lt;=Q$2,$F157&gt;=Q$2),1,0)</f>
        <v/>
      </c>
      <c r="R157">
        <f>R156+IF(AND($E157&lt;&gt;"",$E157&lt;=R$2,$F157&gt;=R$2),1,0)</f>
        <v/>
      </c>
      <c r="S157">
        <f>S156+IF(AND($E157&lt;&gt;"",$E157&lt;=S$2,$F157&gt;=S$2),1,0)</f>
        <v/>
      </c>
      <c r="T157">
        <f>T156+IF(AND($E157&lt;&gt;"",$E157&lt;=T$2,$F157&gt;=T$2),1,0)</f>
        <v/>
      </c>
      <c r="U157">
        <f>U156+IF(AND($E157&lt;&gt;"",$E157&lt;=U$2,$F157&gt;=U$2),1,0)</f>
        <v/>
      </c>
      <c r="V157">
        <f>V156+IF(AND($E157&lt;&gt;"",$E157&lt;=V$2,$F157&gt;=V$2),1,0)</f>
        <v/>
      </c>
      <c r="W157">
        <f>W156+IF(AND($E157&lt;&gt;"",$E157&lt;=W$2,$F157&gt;=W$2),1,0)</f>
        <v/>
      </c>
      <c r="X157">
        <f>X156+IF(AND($E157&lt;&gt;"",$E157&lt;=X$2,$F157&gt;=X$2),1,0)</f>
        <v/>
      </c>
      <c r="Y157">
        <f>Y156+IF(AND($E157&lt;&gt;"",$E157&lt;=Y$2,$F157&gt;=Y$2),1,0)</f>
        <v/>
      </c>
      <c r="Z157">
        <f>Z156+IF(AND($E157&lt;&gt;"",$E157&lt;=Z$2,$F157&gt;=Z$2),1,0)</f>
        <v/>
      </c>
      <c r="AA157">
        <f>AA156+IF(AND($E157&lt;&gt;"",$E157&lt;=AA$2,$F157&gt;=AA$2),1,0)</f>
        <v/>
      </c>
      <c r="AB157">
        <f>AB156+IF(AND($E157&lt;&gt;"",$E157&lt;=AB$2,$F157&gt;=AB$2),1,0)</f>
        <v/>
      </c>
      <c r="AC157">
        <f>AC156+IF(AND($E157&lt;&gt;"",$E157&lt;=AC$2,$F157&gt;=AC$2),1,0)</f>
        <v/>
      </c>
      <c r="AD157">
        <f>AD156+IF(AND($E157&lt;&gt;"",$E157&lt;=AD$2,$F157&gt;=AD$2),1,0)</f>
        <v/>
      </c>
      <c r="AE157">
        <f>AE156+IF(AND($E157&lt;&gt;"",$E157&lt;=AE$2,$F157&gt;=AE$2),1,0)</f>
        <v/>
      </c>
      <c r="AF157">
        <f>AF156+IF(AND($E157&lt;&gt;"",$E157&lt;=AF$2,$F157&gt;=AF$2),1,0)</f>
        <v/>
      </c>
      <c r="AG157">
        <f>AG156+IF(AND($E157&lt;&gt;"",$E157&lt;=AG$2,$F157&gt;=AG$2),1,0)</f>
        <v/>
      </c>
      <c r="AH157">
        <f>AH156+IF(AND($E157&lt;&gt;"",$E157&lt;=AH$2,$F157&gt;=AH$2),1,0)</f>
        <v/>
      </c>
      <c r="AI157">
        <f>AI156+IF(AND($E157&lt;&gt;"",$E157&lt;=AI$2,$F157&gt;=AI$2),1,0)</f>
        <v/>
      </c>
      <c r="AJ157">
        <f>AJ156+IF(AND($E157&lt;&gt;"",$E157&lt;=AJ$2,$F157&gt;=AJ$2),1,0)</f>
        <v/>
      </c>
      <c r="AK157">
        <f>AK156+IF(AND($E157&lt;&gt;"",$E157&lt;=AK$2,$F157&gt;=AK$2),1,0)</f>
        <v/>
      </c>
      <c r="AL157">
        <f>AL156+IF(AND($E157&lt;&gt;"",$E157&lt;=AL$2,$F157&gt;=AL$2),1,0)</f>
        <v/>
      </c>
      <c r="AM157">
        <f>AM156+IF(AND($E157&lt;&gt;"",$E157&lt;=AM$2,$F157&gt;=AM$2),1,0)</f>
        <v/>
      </c>
      <c r="AN157">
        <f>AN156+IF(AND($E157&lt;&gt;"",$E157&lt;=AN$2,$F157&gt;=AN$2),1,0)</f>
        <v/>
      </c>
      <c r="AO157">
        <f>AO156+IF(AND($E157&lt;&gt;"",$E157&lt;=AO$2,$F157&gt;=AO$2),1,0)</f>
        <v/>
      </c>
      <c r="AP157">
        <f>AP156+IF(AND($E157&lt;&gt;"",$E157&lt;=AP$2,$F157&gt;=AP$2),1,0)</f>
        <v/>
      </c>
      <c r="AQ157">
        <f>AQ156+IF(AND($E157&lt;&gt;"",$E157&lt;=AQ$2,$F157&gt;=AQ$2),1,0)</f>
        <v/>
      </c>
      <c r="AR157">
        <f>AR156+IF(AND($E157&lt;&gt;"",$E157&lt;=AR$2,$F157&gt;=AR$2),1,0)</f>
        <v/>
      </c>
      <c r="AS157">
        <f>AS156+IF(AND($E157&lt;&gt;"",$E157&lt;=AS$2,$F157&gt;=AS$2),1,0)</f>
        <v/>
      </c>
      <c r="AT157">
        <f>AT156+IF(AND($E157&lt;&gt;"",$E157&lt;=AT$2,$F157&gt;=AT$2),1,0)</f>
        <v/>
      </c>
      <c r="AU157">
        <f>AU156+IF(AND($E157&lt;&gt;"",$E157&lt;=AU$2,$F157&gt;=AU$2),1,0)</f>
        <v/>
      </c>
      <c r="AV157">
        <f>AV156+IF(AND($E157&lt;&gt;"",$E157&lt;=AV$2,$F157&gt;=AV$2),1,0)</f>
        <v/>
      </c>
      <c r="AW157">
        <f>AW156+IF(AND($E157&lt;&gt;"",$E157&lt;=AW$2,$F157&gt;=AW$2),1,0)</f>
        <v/>
      </c>
    </row>
    <row r="158">
      <c r="A158">
        <f>IF(AND(ISNUMBER(Events!$A160),ISNUMBER(Events!$B160)),MAX(0,Events!$B160-Events!$A160),0)</f>
        <v/>
      </c>
      <c r="B158">
        <f>IF(ISNUMBER(Events!$A160),DATE(YEAR($B$1)-1,MONTH(Events!$A160),DAY(Events!$A160)),"")</f>
        <v/>
      </c>
      <c r="C158">
        <f>IF(ISNUMBER(Events!$A160),DATE(YEAR($B$1),MONTH(Events!$A160),DAY(Events!$A160)),"")</f>
        <v/>
      </c>
      <c r="D158">
        <f>IF(ISNUMBER(Events!$A160),DATE(YEAR($B$2),MONTH(Events!$A160),DAY(Events!$A160)),"")</f>
        <v/>
      </c>
      <c r="E158">
        <f>IF(OR(NOT(ISNUMBER(Events!$A160)),Events!$G160="No",Calendar!$H$4="None"),"",IF(OR(Calendar!$H$4="All events",Events!$D160=Calendar!$H$4),IF(Events!$E160="Yes",IF(AND(B158&gt;=Events!$A160,B158&lt;=$B$2,B158+$A158&gt;=$B$1),B158,IF(AND(C158&gt;=Events!$A160,C158&lt;=$B$2,C158+$A158&gt;=$B$1),C158,IF(AND(D158&gt;=Events!$A160,D158&lt;=$B$2,D158+$A158&gt;=$B$1),D158,""))),IF(AND(Events!$A160&lt;=$B$2,Events!$A160+$A158&gt;=$B$1),Events!$A160,"")),""))</f>
        <v/>
      </c>
      <c r="F158">
        <f>IF(E158="","",E158+A158)</f>
        <v/>
      </c>
      <c r="G158">
        <f>IF(E158="","",IF(AND(E158&lt;=EOMONTH(Calendar!$K$2,0),F158&gt;=Calendar!$K$2),E158+155/100000,""))</f>
        <v/>
      </c>
      <c r="H158">
        <f>H157+IF(AND($E158&lt;&gt;"",$E158&lt;=H$2,$F158&gt;=H$2),1,0)</f>
        <v/>
      </c>
      <c r="I158">
        <f>I157+IF(AND($E158&lt;&gt;"",$E158&lt;=I$2,$F158&gt;=I$2),1,0)</f>
        <v/>
      </c>
      <c r="J158">
        <f>J157+IF(AND($E158&lt;&gt;"",$E158&lt;=J$2,$F158&gt;=J$2),1,0)</f>
        <v/>
      </c>
      <c r="K158">
        <f>K157+IF(AND($E158&lt;&gt;"",$E158&lt;=K$2,$F158&gt;=K$2),1,0)</f>
        <v/>
      </c>
      <c r="L158">
        <f>L157+IF(AND($E158&lt;&gt;"",$E158&lt;=L$2,$F158&gt;=L$2),1,0)</f>
        <v/>
      </c>
      <c r="M158">
        <f>M157+IF(AND($E158&lt;&gt;"",$E158&lt;=M$2,$F158&gt;=M$2),1,0)</f>
        <v/>
      </c>
      <c r="N158">
        <f>N157+IF(AND($E158&lt;&gt;"",$E158&lt;=N$2,$F158&gt;=N$2),1,0)</f>
        <v/>
      </c>
      <c r="O158">
        <f>O157+IF(AND($E158&lt;&gt;"",$E158&lt;=O$2,$F158&gt;=O$2),1,0)</f>
        <v/>
      </c>
      <c r="P158">
        <f>P157+IF(AND($E158&lt;&gt;"",$E158&lt;=P$2,$F158&gt;=P$2),1,0)</f>
        <v/>
      </c>
      <c r="Q158">
        <f>Q157+IF(AND($E158&lt;&gt;"",$E158&lt;=Q$2,$F158&gt;=Q$2),1,0)</f>
        <v/>
      </c>
      <c r="R158">
        <f>R157+IF(AND($E158&lt;&gt;"",$E158&lt;=R$2,$F158&gt;=R$2),1,0)</f>
        <v/>
      </c>
      <c r="S158">
        <f>S157+IF(AND($E158&lt;&gt;"",$E158&lt;=S$2,$F158&gt;=S$2),1,0)</f>
        <v/>
      </c>
      <c r="T158">
        <f>T157+IF(AND($E158&lt;&gt;"",$E158&lt;=T$2,$F158&gt;=T$2),1,0)</f>
        <v/>
      </c>
      <c r="U158">
        <f>U157+IF(AND($E158&lt;&gt;"",$E158&lt;=U$2,$F158&gt;=U$2),1,0)</f>
        <v/>
      </c>
      <c r="V158">
        <f>V157+IF(AND($E158&lt;&gt;"",$E158&lt;=V$2,$F158&gt;=V$2),1,0)</f>
        <v/>
      </c>
      <c r="W158">
        <f>W157+IF(AND($E158&lt;&gt;"",$E158&lt;=W$2,$F158&gt;=W$2),1,0)</f>
        <v/>
      </c>
      <c r="X158">
        <f>X157+IF(AND($E158&lt;&gt;"",$E158&lt;=X$2,$F158&gt;=X$2),1,0)</f>
        <v/>
      </c>
      <c r="Y158">
        <f>Y157+IF(AND($E158&lt;&gt;"",$E158&lt;=Y$2,$F158&gt;=Y$2),1,0)</f>
        <v/>
      </c>
      <c r="Z158">
        <f>Z157+IF(AND($E158&lt;&gt;"",$E158&lt;=Z$2,$F158&gt;=Z$2),1,0)</f>
        <v/>
      </c>
      <c r="AA158">
        <f>AA157+IF(AND($E158&lt;&gt;"",$E158&lt;=AA$2,$F158&gt;=AA$2),1,0)</f>
        <v/>
      </c>
      <c r="AB158">
        <f>AB157+IF(AND($E158&lt;&gt;"",$E158&lt;=AB$2,$F158&gt;=AB$2),1,0)</f>
        <v/>
      </c>
      <c r="AC158">
        <f>AC157+IF(AND($E158&lt;&gt;"",$E158&lt;=AC$2,$F158&gt;=AC$2),1,0)</f>
        <v/>
      </c>
      <c r="AD158">
        <f>AD157+IF(AND($E158&lt;&gt;"",$E158&lt;=AD$2,$F158&gt;=AD$2),1,0)</f>
        <v/>
      </c>
      <c r="AE158">
        <f>AE157+IF(AND($E158&lt;&gt;"",$E158&lt;=AE$2,$F158&gt;=AE$2),1,0)</f>
        <v/>
      </c>
      <c r="AF158">
        <f>AF157+IF(AND($E158&lt;&gt;"",$E158&lt;=AF$2,$F158&gt;=AF$2),1,0)</f>
        <v/>
      </c>
      <c r="AG158">
        <f>AG157+IF(AND($E158&lt;&gt;"",$E158&lt;=AG$2,$F158&gt;=AG$2),1,0)</f>
        <v/>
      </c>
      <c r="AH158">
        <f>AH157+IF(AND($E158&lt;&gt;"",$E158&lt;=AH$2,$F158&gt;=AH$2),1,0)</f>
        <v/>
      </c>
      <c r="AI158">
        <f>AI157+IF(AND($E158&lt;&gt;"",$E158&lt;=AI$2,$F158&gt;=AI$2),1,0)</f>
        <v/>
      </c>
      <c r="AJ158">
        <f>AJ157+IF(AND($E158&lt;&gt;"",$E158&lt;=AJ$2,$F158&gt;=AJ$2),1,0)</f>
        <v/>
      </c>
      <c r="AK158">
        <f>AK157+IF(AND($E158&lt;&gt;"",$E158&lt;=AK$2,$F158&gt;=AK$2),1,0)</f>
        <v/>
      </c>
      <c r="AL158">
        <f>AL157+IF(AND($E158&lt;&gt;"",$E158&lt;=AL$2,$F158&gt;=AL$2),1,0)</f>
        <v/>
      </c>
      <c r="AM158">
        <f>AM157+IF(AND($E158&lt;&gt;"",$E158&lt;=AM$2,$F158&gt;=AM$2),1,0)</f>
        <v/>
      </c>
      <c r="AN158">
        <f>AN157+IF(AND($E158&lt;&gt;"",$E158&lt;=AN$2,$F158&gt;=AN$2),1,0)</f>
        <v/>
      </c>
      <c r="AO158">
        <f>AO157+IF(AND($E158&lt;&gt;"",$E158&lt;=AO$2,$F158&gt;=AO$2),1,0)</f>
        <v/>
      </c>
      <c r="AP158">
        <f>AP157+IF(AND($E158&lt;&gt;"",$E158&lt;=AP$2,$F158&gt;=AP$2),1,0)</f>
        <v/>
      </c>
      <c r="AQ158">
        <f>AQ157+IF(AND($E158&lt;&gt;"",$E158&lt;=AQ$2,$F158&gt;=AQ$2),1,0)</f>
        <v/>
      </c>
      <c r="AR158">
        <f>AR157+IF(AND($E158&lt;&gt;"",$E158&lt;=AR$2,$F158&gt;=AR$2),1,0)</f>
        <v/>
      </c>
      <c r="AS158">
        <f>AS157+IF(AND($E158&lt;&gt;"",$E158&lt;=AS$2,$F158&gt;=AS$2),1,0)</f>
        <v/>
      </c>
      <c r="AT158">
        <f>AT157+IF(AND($E158&lt;&gt;"",$E158&lt;=AT$2,$F158&gt;=AT$2),1,0)</f>
        <v/>
      </c>
      <c r="AU158">
        <f>AU157+IF(AND($E158&lt;&gt;"",$E158&lt;=AU$2,$F158&gt;=AU$2),1,0)</f>
        <v/>
      </c>
      <c r="AV158">
        <f>AV157+IF(AND($E158&lt;&gt;"",$E158&lt;=AV$2,$F158&gt;=AV$2),1,0)</f>
        <v/>
      </c>
      <c r="AW158">
        <f>AW157+IF(AND($E158&lt;&gt;"",$E158&lt;=AW$2,$F158&gt;=AW$2),1,0)</f>
        <v/>
      </c>
    </row>
    <row r="159">
      <c r="A159">
        <f>IF(AND(ISNUMBER(Events!$A161),ISNUMBER(Events!$B161)),MAX(0,Events!$B161-Events!$A161),0)</f>
        <v/>
      </c>
      <c r="B159">
        <f>IF(ISNUMBER(Events!$A161),DATE(YEAR($B$1)-1,MONTH(Events!$A161),DAY(Events!$A161)),"")</f>
        <v/>
      </c>
      <c r="C159">
        <f>IF(ISNUMBER(Events!$A161),DATE(YEAR($B$1),MONTH(Events!$A161),DAY(Events!$A161)),"")</f>
        <v/>
      </c>
      <c r="D159">
        <f>IF(ISNUMBER(Events!$A161),DATE(YEAR($B$2),MONTH(Events!$A161),DAY(Events!$A161)),"")</f>
        <v/>
      </c>
      <c r="E159">
        <f>IF(OR(NOT(ISNUMBER(Events!$A161)),Events!$G161="No",Calendar!$H$4="None"),"",IF(OR(Calendar!$H$4="All events",Events!$D161=Calendar!$H$4),IF(Events!$E161="Yes",IF(AND(B159&gt;=Events!$A161,B159&lt;=$B$2,B159+$A159&gt;=$B$1),B159,IF(AND(C159&gt;=Events!$A161,C159&lt;=$B$2,C159+$A159&gt;=$B$1),C159,IF(AND(D159&gt;=Events!$A161,D159&lt;=$B$2,D159+$A159&gt;=$B$1),D159,""))),IF(AND(Events!$A161&lt;=$B$2,Events!$A161+$A159&gt;=$B$1),Events!$A161,"")),""))</f>
        <v/>
      </c>
      <c r="F159">
        <f>IF(E159="","",E159+A159)</f>
        <v/>
      </c>
      <c r="G159">
        <f>IF(E159="","",IF(AND(E159&lt;=EOMONTH(Calendar!$K$2,0),F159&gt;=Calendar!$K$2),E159+156/100000,""))</f>
        <v/>
      </c>
      <c r="H159">
        <f>H158+IF(AND($E159&lt;&gt;"",$E159&lt;=H$2,$F159&gt;=H$2),1,0)</f>
        <v/>
      </c>
      <c r="I159">
        <f>I158+IF(AND($E159&lt;&gt;"",$E159&lt;=I$2,$F159&gt;=I$2),1,0)</f>
        <v/>
      </c>
      <c r="J159">
        <f>J158+IF(AND($E159&lt;&gt;"",$E159&lt;=J$2,$F159&gt;=J$2),1,0)</f>
        <v/>
      </c>
      <c r="K159">
        <f>K158+IF(AND($E159&lt;&gt;"",$E159&lt;=K$2,$F159&gt;=K$2),1,0)</f>
        <v/>
      </c>
      <c r="L159">
        <f>L158+IF(AND($E159&lt;&gt;"",$E159&lt;=L$2,$F159&gt;=L$2),1,0)</f>
        <v/>
      </c>
      <c r="M159">
        <f>M158+IF(AND($E159&lt;&gt;"",$E159&lt;=M$2,$F159&gt;=M$2),1,0)</f>
        <v/>
      </c>
      <c r="N159">
        <f>N158+IF(AND($E159&lt;&gt;"",$E159&lt;=N$2,$F159&gt;=N$2),1,0)</f>
        <v/>
      </c>
      <c r="O159">
        <f>O158+IF(AND($E159&lt;&gt;"",$E159&lt;=O$2,$F159&gt;=O$2),1,0)</f>
        <v/>
      </c>
      <c r="P159">
        <f>P158+IF(AND($E159&lt;&gt;"",$E159&lt;=P$2,$F159&gt;=P$2),1,0)</f>
        <v/>
      </c>
      <c r="Q159">
        <f>Q158+IF(AND($E159&lt;&gt;"",$E159&lt;=Q$2,$F159&gt;=Q$2),1,0)</f>
        <v/>
      </c>
      <c r="R159">
        <f>R158+IF(AND($E159&lt;&gt;"",$E159&lt;=R$2,$F159&gt;=R$2),1,0)</f>
        <v/>
      </c>
      <c r="S159">
        <f>S158+IF(AND($E159&lt;&gt;"",$E159&lt;=S$2,$F159&gt;=S$2),1,0)</f>
        <v/>
      </c>
      <c r="T159">
        <f>T158+IF(AND($E159&lt;&gt;"",$E159&lt;=T$2,$F159&gt;=T$2),1,0)</f>
        <v/>
      </c>
      <c r="U159">
        <f>U158+IF(AND($E159&lt;&gt;"",$E159&lt;=U$2,$F159&gt;=U$2),1,0)</f>
        <v/>
      </c>
      <c r="V159">
        <f>V158+IF(AND($E159&lt;&gt;"",$E159&lt;=V$2,$F159&gt;=V$2),1,0)</f>
        <v/>
      </c>
      <c r="W159">
        <f>W158+IF(AND($E159&lt;&gt;"",$E159&lt;=W$2,$F159&gt;=W$2),1,0)</f>
        <v/>
      </c>
      <c r="X159">
        <f>X158+IF(AND($E159&lt;&gt;"",$E159&lt;=X$2,$F159&gt;=X$2),1,0)</f>
        <v/>
      </c>
      <c r="Y159">
        <f>Y158+IF(AND($E159&lt;&gt;"",$E159&lt;=Y$2,$F159&gt;=Y$2),1,0)</f>
        <v/>
      </c>
      <c r="Z159">
        <f>Z158+IF(AND($E159&lt;&gt;"",$E159&lt;=Z$2,$F159&gt;=Z$2),1,0)</f>
        <v/>
      </c>
      <c r="AA159">
        <f>AA158+IF(AND($E159&lt;&gt;"",$E159&lt;=AA$2,$F159&gt;=AA$2),1,0)</f>
        <v/>
      </c>
      <c r="AB159">
        <f>AB158+IF(AND($E159&lt;&gt;"",$E159&lt;=AB$2,$F159&gt;=AB$2),1,0)</f>
        <v/>
      </c>
      <c r="AC159">
        <f>AC158+IF(AND($E159&lt;&gt;"",$E159&lt;=AC$2,$F159&gt;=AC$2),1,0)</f>
        <v/>
      </c>
      <c r="AD159">
        <f>AD158+IF(AND($E159&lt;&gt;"",$E159&lt;=AD$2,$F159&gt;=AD$2),1,0)</f>
        <v/>
      </c>
      <c r="AE159">
        <f>AE158+IF(AND($E159&lt;&gt;"",$E159&lt;=AE$2,$F159&gt;=AE$2),1,0)</f>
        <v/>
      </c>
      <c r="AF159">
        <f>AF158+IF(AND($E159&lt;&gt;"",$E159&lt;=AF$2,$F159&gt;=AF$2),1,0)</f>
        <v/>
      </c>
      <c r="AG159">
        <f>AG158+IF(AND($E159&lt;&gt;"",$E159&lt;=AG$2,$F159&gt;=AG$2),1,0)</f>
        <v/>
      </c>
      <c r="AH159">
        <f>AH158+IF(AND($E159&lt;&gt;"",$E159&lt;=AH$2,$F159&gt;=AH$2),1,0)</f>
        <v/>
      </c>
      <c r="AI159">
        <f>AI158+IF(AND($E159&lt;&gt;"",$E159&lt;=AI$2,$F159&gt;=AI$2),1,0)</f>
        <v/>
      </c>
      <c r="AJ159">
        <f>AJ158+IF(AND($E159&lt;&gt;"",$E159&lt;=AJ$2,$F159&gt;=AJ$2),1,0)</f>
        <v/>
      </c>
      <c r="AK159">
        <f>AK158+IF(AND($E159&lt;&gt;"",$E159&lt;=AK$2,$F159&gt;=AK$2),1,0)</f>
        <v/>
      </c>
      <c r="AL159">
        <f>AL158+IF(AND($E159&lt;&gt;"",$E159&lt;=AL$2,$F159&gt;=AL$2),1,0)</f>
        <v/>
      </c>
      <c r="AM159">
        <f>AM158+IF(AND($E159&lt;&gt;"",$E159&lt;=AM$2,$F159&gt;=AM$2),1,0)</f>
        <v/>
      </c>
      <c r="AN159">
        <f>AN158+IF(AND($E159&lt;&gt;"",$E159&lt;=AN$2,$F159&gt;=AN$2),1,0)</f>
        <v/>
      </c>
      <c r="AO159">
        <f>AO158+IF(AND($E159&lt;&gt;"",$E159&lt;=AO$2,$F159&gt;=AO$2),1,0)</f>
        <v/>
      </c>
      <c r="AP159">
        <f>AP158+IF(AND($E159&lt;&gt;"",$E159&lt;=AP$2,$F159&gt;=AP$2),1,0)</f>
        <v/>
      </c>
      <c r="AQ159">
        <f>AQ158+IF(AND($E159&lt;&gt;"",$E159&lt;=AQ$2,$F159&gt;=AQ$2),1,0)</f>
        <v/>
      </c>
      <c r="AR159">
        <f>AR158+IF(AND($E159&lt;&gt;"",$E159&lt;=AR$2,$F159&gt;=AR$2),1,0)</f>
        <v/>
      </c>
      <c r="AS159">
        <f>AS158+IF(AND($E159&lt;&gt;"",$E159&lt;=AS$2,$F159&gt;=AS$2),1,0)</f>
        <v/>
      </c>
      <c r="AT159">
        <f>AT158+IF(AND($E159&lt;&gt;"",$E159&lt;=AT$2,$F159&gt;=AT$2),1,0)</f>
        <v/>
      </c>
      <c r="AU159">
        <f>AU158+IF(AND($E159&lt;&gt;"",$E159&lt;=AU$2,$F159&gt;=AU$2),1,0)</f>
        <v/>
      </c>
      <c r="AV159">
        <f>AV158+IF(AND($E159&lt;&gt;"",$E159&lt;=AV$2,$F159&gt;=AV$2),1,0)</f>
        <v/>
      </c>
      <c r="AW159">
        <f>AW158+IF(AND($E159&lt;&gt;"",$E159&lt;=AW$2,$F159&gt;=AW$2),1,0)</f>
        <v/>
      </c>
    </row>
    <row r="160">
      <c r="A160">
        <f>IF(AND(ISNUMBER(Events!$A162),ISNUMBER(Events!$B162)),MAX(0,Events!$B162-Events!$A162),0)</f>
        <v/>
      </c>
      <c r="B160">
        <f>IF(ISNUMBER(Events!$A162),DATE(YEAR($B$1)-1,MONTH(Events!$A162),DAY(Events!$A162)),"")</f>
        <v/>
      </c>
      <c r="C160">
        <f>IF(ISNUMBER(Events!$A162),DATE(YEAR($B$1),MONTH(Events!$A162),DAY(Events!$A162)),"")</f>
        <v/>
      </c>
      <c r="D160">
        <f>IF(ISNUMBER(Events!$A162),DATE(YEAR($B$2),MONTH(Events!$A162),DAY(Events!$A162)),"")</f>
        <v/>
      </c>
      <c r="E160">
        <f>IF(OR(NOT(ISNUMBER(Events!$A162)),Events!$G162="No",Calendar!$H$4="None"),"",IF(OR(Calendar!$H$4="All events",Events!$D162=Calendar!$H$4),IF(Events!$E162="Yes",IF(AND(B160&gt;=Events!$A162,B160&lt;=$B$2,B160+$A160&gt;=$B$1),B160,IF(AND(C160&gt;=Events!$A162,C160&lt;=$B$2,C160+$A160&gt;=$B$1),C160,IF(AND(D160&gt;=Events!$A162,D160&lt;=$B$2,D160+$A160&gt;=$B$1),D160,""))),IF(AND(Events!$A162&lt;=$B$2,Events!$A162+$A160&gt;=$B$1),Events!$A162,"")),""))</f>
        <v/>
      </c>
      <c r="F160">
        <f>IF(E160="","",E160+A160)</f>
        <v/>
      </c>
      <c r="G160">
        <f>IF(E160="","",IF(AND(E160&lt;=EOMONTH(Calendar!$K$2,0),F160&gt;=Calendar!$K$2),E160+157/100000,""))</f>
        <v/>
      </c>
      <c r="H160">
        <f>H159+IF(AND($E160&lt;&gt;"",$E160&lt;=H$2,$F160&gt;=H$2),1,0)</f>
        <v/>
      </c>
      <c r="I160">
        <f>I159+IF(AND($E160&lt;&gt;"",$E160&lt;=I$2,$F160&gt;=I$2),1,0)</f>
        <v/>
      </c>
      <c r="J160">
        <f>J159+IF(AND($E160&lt;&gt;"",$E160&lt;=J$2,$F160&gt;=J$2),1,0)</f>
        <v/>
      </c>
      <c r="K160">
        <f>K159+IF(AND($E160&lt;&gt;"",$E160&lt;=K$2,$F160&gt;=K$2),1,0)</f>
        <v/>
      </c>
      <c r="L160">
        <f>L159+IF(AND($E160&lt;&gt;"",$E160&lt;=L$2,$F160&gt;=L$2),1,0)</f>
        <v/>
      </c>
      <c r="M160">
        <f>M159+IF(AND($E160&lt;&gt;"",$E160&lt;=M$2,$F160&gt;=M$2),1,0)</f>
        <v/>
      </c>
      <c r="N160">
        <f>N159+IF(AND($E160&lt;&gt;"",$E160&lt;=N$2,$F160&gt;=N$2),1,0)</f>
        <v/>
      </c>
      <c r="O160">
        <f>O159+IF(AND($E160&lt;&gt;"",$E160&lt;=O$2,$F160&gt;=O$2),1,0)</f>
        <v/>
      </c>
      <c r="P160">
        <f>P159+IF(AND($E160&lt;&gt;"",$E160&lt;=P$2,$F160&gt;=P$2),1,0)</f>
        <v/>
      </c>
      <c r="Q160">
        <f>Q159+IF(AND($E160&lt;&gt;"",$E160&lt;=Q$2,$F160&gt;=Q$2),1,0)</f>
        <v/>
      </c>
      <c r="R160">
        <f>R159+IF(AND($E160&lt;&gt;"",$E160&lt;=R$2,$F160&gt;=R$2),1,0)</f>
        <v/>
      </c>
      <c r="S160">
        <f>S159+IF(AND($E160&lt;&gt;"",$E160&lt;=S$2,$F160&gt;=S$2),1,0)</f>
        <v/>
      </c>
      <c r="T160">
        <f>T159+IF(AND($E160&lt;&gt;"",$E160&lt;=T$2,$F160&gt;=T$2),1,0)</f>
        <v/>
      </c>
      <c r="U160">
        <f>U159+IF(AND($E160&lt;&gt;"",$E160&lt;=U$2,$F160&gt;=U$2),1,0)</f>
        <v/>
      </c>
      <c r="V160">
        <f>V159+IF(AND($E160&lt;&gt;"",$E160&lt;=V$2,$F160&gt;=V$2),1,0)</f>
        <v/>
      </c>
      <c r="W160">
        <f>W159+IF(AND($E160&lt;&gt;"",$E160&lt;=W$2,$F160&gt;=W$2),1,0)</f>
        <v/>
      </c>
      <c r="X160">
        <f>X159+IF(AND($E160&lt;&gt;"",$E160&lt;=X$2,$F160&gt;=X$2),1,0)</f>
        <v/>
      </c>
      <c r="Y160">
        <f>Y159+IF(AND($E160&lt;&gt;"",$E160&lt;=Y$2,$F160&gt;=Y$2),1,0)</f>
        <v/>
      </c>
      <c r="Z160">
        <f>Z159+IF(AND($E160&lt;&gt;"",$E160&lt;=Z$2,$F160&gt;=Z$2),1,0)</f>
        <v/>
      </c>
      <c r="AA160">
        <f>AA159+IF(AND($E160&lt;&gt;"",$E160&lt;=AA$2,$F160&gt;=AA$2),1,0)</f>
        <v/>
      </c>
      <c r="AB160">
        <f>AB159+IF(AND($E160&lt;&gt;"",$E160&lt;=AB$2,$F160&gt;=AB$2),1,0)</f>
        <v/>
      </c>
      <c r="AC160">
        <f>AC159+IF(AND($E160&lt;&gt;"",$E160&lt;=AC$2,$F160&gt;=AC$2),1,0)</f>
        <v/>
      </c>
      <c r="AD160">
        <f>AD159+IF(AND($E160&lt;&gt;"",$E160&lt;=AD$2,$F160&gt;=AD$2),1,0)</f>
        <v/>
      </c>
      <c r="AE160">
        <f>AE159+IF(AND($E160&lt;&gt;"",$E160&lt;=AE$2,$F160&gt;=AE$2),1,0)</f>
        <v/>
      </c>
      <c r="AF160">
        <f>AF159+IF(AND($E160&lt;&gt;"",$E160&lt;=AF$2,$F160&gt;=AF$2),1,0)</f>
        <v/>
      </c>
      <c r="AG160">
        <f>AG159+IF(AND($E160&lt;&gt;"",$E160&lt;=AG$2,$F160&gt;=AG$2),1,0)</f>
        <v/>
      </c>
      <c r="AH160">
        <f>AH159+IF(AND($E160&lt;&gt;"",$E160&lt;=AH$2,$F160&gt;=AH$2),1,0)</f>
        <v/>
      </c>
      <c r="AI160">
        <f>AI159+IF(AND($E160&lt;&gt;"",$E160&lt;=AI$2,$F160&gt;=AI$2),1,0)</f>
        <v/>
      </c>
      <c r="AJ160">
        <f>AJ159+IF(AND($E160&lt;&gt;"",$E160&lt;=AJ$2,$F160&gt;=AJ$2),1,0)</f>
        <v/>
      </c>
      <c r="AK160">
        <f>AK159+IF(AND($E160&lt;&gt;"",$E160&lt;=AK$2,$F160&gt;=AK$2),1,0)</f>
        <v/>
      </c>
      <c r="AL160">
        <f>AL159+IF(AND($E160&lt;&gt;"",$E160&lt;=AL$2,$F160&gt;=AL$2),1,0)</f>
        <v/>
      </c>
      <c r="AM160">
        <f>AM159+IF(AND($E160&lt;&gt;"",$E160&lt;=AM$2,$F160&gt;=AM$2),1,0)</f>
        <v/>
      </c>
      <c r="AN160">
        <f>AN159+IF(AND($E160&lt;&gt;"",$E160&lt;=AN$2,$F160&gt;=AN$2),1,0)</f>
        <v/>
      </c>
      <c r="AO160">
        <f>AO159+IF(AND($E160&lt;&gt;"",$E160&lt;=AO$2,$F160&gt;=AO$2),1,0)</f>
        <v/>
      </c>
      <c r="AP160">
        <f>AP159+IF(AND($E160&lt;&gt;"",$E160&lt;=AP$2,$F160&gt;=AP$2),1,0)</f>
        <v/>
      </c>
      <c r="AQ160">
        <f>AQ159+IF(AND($E160&lt;&gt;"",$E160&lt;=AQ$2,$F160&gt;=AQ$2),1,0)</f>
        <v/>
      </c>
      <c r="AR160">
        <f>AR159+IF(AND($E160&lt;&gt;"",$E160&lt;=AR$2,$F160&gt;=AR$2),1,0)</f>
        <v/>
      </c>
      <c r="AS160">
        <f>AS159+IF(AND($E160&lt;&gt;"",$E160&lt;=AS$2,$F160&gt;=AS$2),1,0)</f>
        <v/>
      </c>
      <c r="AT160">
        <f>AT159+IF(AND($E160&lt;&gt;"",$E160&lt;=AT$2,$F160&gt;=AT$2),1,0)</f>
        <v/>
      </c>
      <c r="AU160">
        <f>AU159+IF(AND($E160&lt;&gt;"",$E160&lt;=AU$2,$F160&gt;=AU$2),1,0)</f>
        <v/>
      </c>
      <c r="AV160">
        <f>AV159+IF(AND($E160&lt;&gt;"",$E160&lt;=AV$2,$F160&gt;=AV$2),1,0)</f>
        <v/>
      </c>
      <c r="AW160">
        <f>AW159+IF(AND($E160&lt;&gt;"",$E160&lt;=AW$2,$F160&gt;=AW$2),1,0)</f>
        <v/>
      </c>
    </row>
    <row r="161">
      <c r="A161">
        <f>IF(AND(ISNUMBER(Events!$A163),ISNUMBER(Events!$B163)),MAX(0,Events!$B163-Events!$A163),0)</f>
        <v/>
      </c>
      <c r="B161">
        <f>IF(ISNUMBER(Events!$A163),DATE(YEAR($B$1)-1,MONTH(Events!$A163),DAY(Events!$A163)),"")</f>
        <v/>
      </c>
      <c r="C161">
        <f>IF(ISNUMBER(Events!$A163),DATE(YEAR($B$1),MONTH(Events!$A163),DAY(Events!$A163)),"")</f>
        <v/>
      </c>
      <c r="D161">
        <f>IF(ISNUMBER(Events!$A163),DATE(YEAR($B$2),MONTH(Events!$A163),DAY(Events!$A163)),"")</f>
        <v/>
      </c>
      <c r="E161">
        <f>IF(OR(NOT(ISNUMBER(Events!$A163)),Events!$G163="No",Calendar!$H$4="None"),"",IF(OR(Calendar!$H$4="All events",Events!$D163=Calendar!$H$4),IF(Events!$E163="Yes",IF(AND(B161&gt;=Events!$A163,B161&lt;=$B$2,B161+$A161&gt;=$B$1),B161,IF(AND(C161&gt;=Events!$A163,C161&lt;=$B$2,C161+$A161&gt;=$B$1),C161,IF(AND(D161&gt;=Events!$A163,D161&lt;=$B$2,D161+$A161&gt;=$B$1),D161,""))),IF(AND(Events!$A163&lt;=$B$2,Events!$A163+$A161&gt;=$B$1),Events!$A163,"")),""))</f>
        <v/>
      </c>
      <c r="F161">
        <f>IF(E161="","",E161+A161)</f>
        <v/>
      </c>
      <c r="G161">
        <f>IF(E161="","",IF(AND(E161&lt;=EOMONTH(Calendar!$K$2,0),F161&gt;=Calendar!$K$2),E161+158/100000,""))</f>
        <v/>
      </c>
      <c r="H161">
        <f>H160+IF(AND($E161&lt;&gt;"",$E161&lt;=H$2,$F161&gt;=H$2),1,0)</f>
        <v/>
      </c>
      <c r="I161">
        <f>I160+IF(AND($E161&lt;&gt;"",$E161&lt;=I$2,$F161&gt;=I$2),1,0)</f>
        <v/>
      </c>
      <c r="J161">
        <f>J160+IF(AND($E161&lt;&gt;"",$E161&lt;=J$2,$F161&gt;=J$2),1,0)</f>
        <v/>
      </c>
      <c r="K161">
        <f>K160+IF(AND($E161&lt;&gt;"",$E161&lt;=K$2,$F161&gt;=K$2),1,0)</f>
        <v/>
      </c>
      <c r="L161">
        <f>L160+IF(AND($E161&lt;&gt;"",$E161&lt;=L$2,$F161&gt;=L$2),1,0)</f>
        <v/>
      </c>
      <c r="M161">
        <f>M160+IF(AND($E161&lt;&gt;"",$E161&lt;=M$2,$F161&gt;=M$2),1,0)</f>
        <v/>
      </c>
      <c r="N161">
        <f>N160+IF(AND($E161&lt;&gt;"",$E161&lt;=N$2,$F161&gt;=N$2),1,0)</f>
        <v/>
      </c>
      <c r="O161">
        <f>O160+IF(AND($E161&lt;&gt;"",$E161&lt;=O$2,$F161&gt;=O$2),1,0)</f>
        <v/>
      </c>
      <c r="P161">
        <f>P160+IF(AND($E161&lt;&gt;"",$E161&lt;=P$2,$F161&gt;=P$2),1,0)</f>
        <v/>
      </c>
      <c r="Q161">
        <f>Q160+IF(AND($E161&lt;&gt;"",$E161&lt;=Q$2,$F161&gt;=Q$2),1,0)</f>
        <v/>
      </c>
      <c r="R161">
        <f>R160+IF(AND($E161&lt;&gt;"",$E161&lt;=R$2,$F161&gt;=R$2),1,0)</f>
        <v/>
      </c>
      <c r="S161">
        <f>S160+IF(AND($E161&lt;&gt;"",$E161&lt;=S$2,$F161&gt;=S$2),1,0)</f>
        <v/>
      </c>
      <c r="T161">
        <f>T160+IF(AND($E161&lt;&gt;"",$E161&lt;=T$2,$F161&gt;=T$2),1,0)</f>
        <v/>
      </c>
      <c r="U161">
        <f>U160+IF(AND($E161&lt;&gt;"",$E161&lt;=U$2,$F161&gt;=U$2),1,0)</f>
        <v/>
      </c>
      <c r="V161">
        <f>V160+IF(AND($E161&lt;&gt;"",$E161&lt;=V$2,$F161&gt;=V$2),1,0)</f>
        <v/>
      </c>
      <c r="W161">
        <f>W160+IF(AND($E161&lt;&gt;"",$E161&lt;=W$2,$F161&gt;=W$2),1,0)</f>
        <v/>
      </c>
      <c r="X161">
        <f>X160+IF(AND($E161&lt;&gt;"",$E161&lt;=X$2,$F161&gt;=X$2),1,0)</f>
        <v/>
      </c>
      <c r="Y161">
        <f>Y160+IF(AND($E161&lt;&gt;"",$E161&lt;=Y$2,$F161&gt;=Y$2),1,0)</f>
        <v/>
      </c>
      <c r="Z161">
        <f>Z160+IF(AND($E161&lt;&gt;"",$E161&lt;=Z$2,$F161&gt;=Z$2),1,0)</f>
        <v/>
      </c>
      <c r="AA161">
        <f>AA160+IF(AND($E161&lt;&gt;"",$E161&lt;=AA$2,$F161&gt;=AA$2),1,0)</f>
        <v/>
      </c>
      <c r="AB161">
        <f>AB160+IF(AND($E161&lt;&gt;"",$E161&lt;=AB$2,$F161&gt;=AB$2),1,0)</f>
        <v/>
      </c>
      <c r="AC161">
        <f>AC160+IF(AND($E161&lt;&gt;"",$E161&lt;=AC$2,$F161&gt;=AC$2),1,0)</f>
        <v/>
      </c>
      <c r="AD161">
        <f>AD160+IF(AND($E161&lt;&gt;"",$E161&lt;=AD$2,$F161&gt;=AD$2),1,0)</f>
        <v/>
      </c>
      <c r="AE161">
        <f>AE160+IF(AND($E161&lt;&gt;"",$E161&lt;=AE$2,$F161&gt;=AE$2),1,0)</f>
        <v/>
      </c>
      <c r="AF161">
        <f>AF160+IF(AND($E161&lt;&gt;"",$E161&lt;=AF$2,$F161&gt;=AF$2),1,0)</f>
        <v/>
      </c>
      <c r="AG161">
        <f>AG160+IF(AND($E161&lt;&gt;"",$E161&lt;=AG$2,$F161&gt;=AG$2),1,0)</f>
        <v/>
      </c>
      <c r="AH161">
        <f>AH160+IF(AND($E161&lt;&gt;"",$E161&lt;=AH$2,$F161&gt;=AH$2),1,0)</f>
        <v/>
      </c>
      <c r="AI161">
        <f>AI160+IF(AND($E161&lt;&gt;"",$E161&lt;=AI$2,$F161&gt;=AI$2),1,0)</f>
        <v/>
      </c>
      <c r="AJ161">
        <f>AJ160+IF(AND($E161&lt;&gt;"",$E161&lt;=AJ$2,$F161&gt;=AJ$2),1,0)</f>
        <v/>
      </c>
      <c r="AK161">
        <f>AK160+IF(AND($E161&lt;&gt;"",$E161&lt;=AK$2,$F161&gt;=AK$2),1,0)</f>
        <v/>
      </c>
      <c r="AL161">
        <f>AL160+IF(AND($E161&lt;&gt;"",$E161&lt;=AL$2,$F161&gt;=AL$2),1,0)</f>
        <v/>
      </c>
      <c r="AM161">
        <f>AM160+IF(AND($E161&lt;&gt;"",$E161&lt;=AM$2,$F161&gt;=AM$2),1,0)</f>
        <v/>
      </c>
      <c r="AN161">
        <f>AN160+IF(AND($E161&lt;&gt;"",$E161&lt;=AN$2,$F161&gt;=AN$2),1,0)</f>
        <v/>
      </c>
      <c r="AO161">
        <f>AO160+IF(AND($E161&lt;&gt;"",$E161&lt;=AO$2,$F161&gt;=AO$2),1,0)</f>
        <v/>
      </c>
      <c r="AP161">
        <f>AP160+IF(AND($E161&lt;&gt;"",$E161&lt;=AP$2,$F161&gt;=AP$2),1,0)</f>
        <v/>
      </c>
      <c r="AQ161">
        <f>AQ160+IF(AND($E161&lt;&gt;"",$E161&lt;=AQ$2,$F161&gt;=AQ$2),1,0)</f>
        <v/>
      </c>
      <c r="AR161">
        <f>AR160+IF(AND($E161&lt;&gt;"",$E161&lt;=AR$2,$F161&gt;=AR$2),1,0)</f>
        <v/>
      </c>
      <c r="AS161">
        <f>AS160+IF(AND($E161&lt;&gt;"",$E161&lt;=AS$2,$F161&gt;=AS$2),1,0)</f>
        <v/>
      </c>
      <c r="AT161">
        <f>AT160+IF(AND($E161&lt;&gt;"",$E161&lt;=AT$2,$F161&gt;=AT$2),1,0)</f>
        <v/>
      </c>
      <c r="AU161">
        <f>AU160+IF(AND($E161&lt;&gt;"",$E161&lt;=AU$2,$F161&gt;=AU$2),1,0)</f>
        <v/>
      </c>
      <c r="AV161">
        <f>AV160+IF(AND($E161&lt;&gt;"",$E161&lt;=AV$2,$F161&gt;=AV$2),1,0)</f>
        <v/>
      </c>
      <c r="AW161">
        <f>AW160+IF(AND($E161&lt;&gt;"",$E161&lt;=AW$2,$F161&gt;=AW$2),1,0)</f>
        <v/>
      </c>
    </row>
    <row r="162">
      <c r="A162">
        <f>IF(AND(ISNUMBER(Events!$A164),ISNUMBER(Events!$B164)),MAX(0,Events!$B164-Events!$A164),0)</f>
        <v/>
      </c>
      <c r="B162">
        <f>IF(ISNUMBER(Events!$A164),DATE(YEAR($B$1)-1,MONTH(Events!$A164),DAY(Events!$A164)),"")</f>
        <v/>
      </c>
      <c r="C162">
        <f>IF(ISNUMBER(Events!$A164),DATE(YEAR($B$1),MONTH(Events!$A164),DAY(Events!$A164)),"")</f>
        <v/>
      </c>
      <c r="D162">
        <f>IF(ISNUMBER(Events!$A164),DATE(YEAR($B$2),MONTH(Events!$A164),DAY(Events!$A164)),"")</f>
        <v/>
      </c>
      <c r="E162">
        <f>IF(OR(NOT(ISNUMBER(Events!$A164)),Events!$G164="No",Calendar!$H$4="None"),"",IF(OR(Calendar!$H$4="All events",Events!$D164=Calendar!$H$4),IF(Events!$E164="Yes",IF(AND(B162&gt;=Events!$A164,B162&lt;=$B$2,B162+$A162&gt;=$B$1),B162,IF(AND(C162&gt;=Events!$A164,C162&lt;=$B$2,C162+$A162&gt;=$B$1),C162,IF(AND(D162&gt;=Events!$A164,D162&lt;=$B$2,D162+$A162&gt;=$B$1),D162,""))),IF(AND(Events!$A164&lt;=$B$2,Events!$A164+$A162&gt;=$B$1),Events!$A164,"")),""))</f>
        <v/>
      </c>
      <c r="F162">
        <f>IF(E162="","",E162+A162)</f>
        <v/>
      </c>
      <c r="G162">
        <f>IF(E162="","",IF(AND(E162&lt;=EOMONTH(Calendar!$K$2,0),F162&gt;=Calendar!$K$2),E162+159/100000,""))</f>
        <v/>
      </c>
      <c r="H162">
        <f>H161+IF(AND($E162&lt;&gt;"",$E162&lt;=H$2,$F162&gt;=H$2),1,0)</f>
        <v/>
      </c>
      <c r="I162">
        <f>I161+IF(AND($E162&lt;&gt;"",$E162&lt;=I$2,$F162&gt;=I$2),1,0)</f>
        <v/>
      </c>
      <c r="J162">
        <f>J161+IF(AND($E162&lt;&gt;"",$E162&lt;=J$2,$F162&gt;=J$2),1,0)</f>
        <v/>
      </c>
      <c r="K162">
        <f>K161+IF(AND($E162&lt;&gt;"",$E162&lt;=K$2,$F162&gt;=K$2),1,0)</f>
        <v/>
      </c>
      <c r="L162">
        <f>L161+IF(AND($E162&lt;&gt;"",$E162&lt;=L$2,$F162&gt;=L$2),1,0)</f>
        <v/>
      </c>
      <c r="M162">
        <f>M161+IF(AND($E162&lt;&gt;"",$E162&lt;=M$2,$F162&gt;=M$2),1,0)</f>
        <v/>
      </c>
      <c r="N162">
        <f>N161+IF(AND($E162&lt;&gt;"",$E162&lt;=N$2,$F162&gt;=N$2),1,0)</f>
        <v/>
      </c>
      <c r="O162">
        <f>O161+IF(AND($E162&lt;&gt;"",$E162&lt;=O$2,$F162&gt;=O$2),1,0)</f>
        <v/>
      </c>
      <c r="P162">
        <f>P161+IF(AND($E162&lt;&gt;"",$E162&lt;=P$2,$F162&gt;=P$2),1,0)</f>
        <v/>
      </c>
      <c r="Q162">
        <f>Q161+IF(AND($E162&lt;&gt;"",$E162&lt;=Q$2,$F162&gt;=Q$2),1,0)</f>
        <v/>
      </c>
      <c r="R162">
        <f>R161+IF(AND($E162&lt;&gt;"",$E162&lt;=R$2,$F162&gt;=R$2),1,0)</f>
        <v/>
      </c>
      <c r="S162">
        <f>S161+IF(AND($E162&lt;&gt;"",$E162&lt;=S$2,$F162&gt;=S$2),1,0)</f>
        <v/>
      </c>
      <c r="T162">
        <f>T161+IF(AND($E162&lt;&gt;"",$E162&lt;=T$2,$F162&gt;=T$2),1,0)</f>
        <v/>
      </c>
      <c r="U162">
        <f>U161+IF(AND($E162&lt;&gt;"",$E162&lt;=U$2,$F162&gt;=U$2),1,0)</f>
        <v/>
      </c>
      <c r="V162">
        <f>V161+IF(AND($E162&lt;&gt;"",$E162&lt;=V$2,$F162&gt;=V$2),1,0)</f>
        <v/>
      </c>
      <c r="W162">
        <f>W161+IF(AND($E162&lt;&gt;"",$E162&lt;=W$2,$F162&gt;=W$2),1,0)</f>
        <v/>
      </c>
      <c r="X162">
        <f>X161+IF(AND($E162&lt;&gt;"",$E162&lt;=X$2,$F162&gt;=X$2),1,0)</f>
        <v/>
      </c>
      <c r="Y162">
        <f>Y161+IF(AND($E162&lt;&gt;"",$E162&lt;=Y$2,$F162&gt;=Y$2),1,0)</f>
        <v/>
      </c>
      <c r="Z162">
        <f>Z161+IF(AND($E162&lt;&gt;"",$E162&lt;=Z$2,$F162&gt;=Z$2),1,0)</f>
        <v/>
      </c>
      <c r="AA162">
        <f>AA161+IF(AND($E162&lt;&gt;"",$E162&lt;=AA$2,$F162&gt;=AA$2),1,0)</f>
        <v/>
      </c>
      <c r="AB162">
        <f>AB161+IF(AND($E162&lt;&gt;"",$E162&lt;=AB$2,$F162&gt;=AB$2),1,0)</f>
        <v/>
      </c>
      <c r="AC162">
        <f>AC161+IF(AND($E162&lt;&gt;"",$E162&lt;=AC$2,$F162&gt;=AC$2),1,0)</f>
        <v/>
      </c>
      <c r="AD162">
        <f>AD161+IF(AND($E162&lt;&gt;"",$E162&lt;=AD$2,$F162&gt;=AD$2),1,0)</f>
        <v/>
      </c>
      <c r="AE162">
        <f>AE161+IF(AND($E162&lt;&gt;"",$E162&lt;=AE$2,$F162&gt;=AE$2),1,0)</f>
        <v/>
      </c>
      <c r="AF162">
        <f>AF161+IF(AND($E162&lt;&gt;"",$E162&lt;=AF$2,$F162&gt;=AF$2),1,0)</f>
        <v/>
      </c>
      <c r="AG162">
        <f>AG161+IF(AND($E162&lt;&gt;"",$E162&lt;=AG$2,$F162&gt;=AG$2),1,0)</f>
        <v/>
      </c>
      <c r="AH162">
        <f>AH161+IF(AND($E162&lt;&gt;"",$E162&lt;=AH$2,$F162&gt;=AH$2),1,0)</f>
        <v/>
      </c>
      <c r="AI162">
        <f>AI161+IF(AND($E162&lt;&gt;"",$E162&lt;=AI$2,$F162&gt;=AI$2),1,0)</f>
        <v/>
      </c>
      <c r="AJ162">
        <f>AJ161+IF(AND($E162&lt;&gt;"",$E162&lt;=AJ$2,$F162&gt;=AJ$2),1,0)</f>
        <v/>
      </c>
      <c r="AK162">
        <f>AK161+IF(AND($E162&lt;&gt;"",$E162&lt;=AK$2,$F162&gt;=AK$2),1,0)</f>
        <v/>
      </c>
      <c r="AL162">
        <f>AL161+IF(AND($E162&lt;&gt;"",$E162&lt;=AL$2,$F162&gt;=AL$2),1,0)</f>
        <v/>
      </c>
      <c r="AM162">
        <f>AM161+IF(AND($E162&lt;&gt;"",$E162&lt;=AM$2,$F162&gt;=AM$2),1,0)</f>
        <v/>
      </c>
      <c r="AN162">
        <f>AN161+IF(AND($E162&lt;&gt;"",$E162&lt;=AN$2,$F162&gt;=AN$2),1,0)</f>
        <v/>
      </c>
      <c r="AO162">
        <f>AO161+IF(AND($E162&lt;&gt;"",$E162&lt;=AO$2,$F162&gt;=AO$2),1,0)</f>
        <v/>
      </c>
      <c r="AP162">
        <f>AP161+IF(AND($E162&lt;&gt;"",$E162&lt;=AP$2,$F162&gt;=AP$2),1,0)</f>
        <v/>
      </c>
      <c r="AQ162">
        <f>AQ161+IF(AND($E162&lt;&gt;"",$E162&lt;=AQ$2,$F162&gt;=AQ$2),1,0)</f>
        <v/>
      </c>
      <c r="AR162">
        <f>AR161+IF(AND($E162&lt;&gt;"",$E162&lt;=AR$2,$F162&gt;=AR$2),1,0)</f>
        <v/>
      </c>
      <c r="AS162">
        <f>AS161+IF(AND($E162&lt;&gt;"",$E162&lt;=AS$2,$F162&gt;=AS$2),1,0)</f>
        <v/>
      </c>
      <c r="AT162">
        <f>AT161+IF(AND($E162&lt;&gt;"",$E162&lt;=AT$2,$F162&gt;=AT$2),1,0)</f>
        <v/>
      </c>
      <c r="AU162">
        <f>AU161+IF(AND($E162&lt;&gt;"",$E162&lt;=AU$2,$F162&gt;=AU$2),1,0)</f>
        <v/>
      </c>
      <c r="AV162">
        <f>AV161+IF(AND($E162&lt;&gt;"",$E162&lt;=AV$2,$F162&gt;=AV$2),1,0)</f>
        <v/>
      </c>
      <c r="AW162">
        <f>AW161+IF(AND($E162&lt;&gt;"",$E162&lt;=AW$2,$F162&gt;=AW$2),1,0)</f>
        <v/>
      </c>
    </row>
    <row r="163">
      <c r="A163">
        <f>IF(AND(ISNUMBER(Events!$A165),ISNUMBER(Events!$B165)),MAX(0,Events!$B165-Events!$A165),0)</f>
        <v/>
      </c>
      <c r="B163">
        <f>IF(ISNUMBER(Events!$A165),DATE(YEAR($B$1)-1,MONTH(Events!$A165),DAY(Events!$A165)),"")</f>
        <v/>
      </c>
      <c r="C163">
        <f>IF(ISNUMBER(Events!$A165),DATE(YEAR($B$1),MONTH(Events!$A165),DAY(Events!$A165)),"")</f>
        <v/>
      </c>
      <c r="D163">
        <f>IF(ISNUMBER(Events!$A165),DATE(YEAR($B$2),MONTH(Events!$A165),DAY(Events!$A165)),"")</f>
        <v/>
      </c>
      <c r="E163">
        <f>IF(OR(NOT(ISNUMBER(Events!$A165)),Events!$G165="No",Calendar!$H$4="None"),"",IF(OR(Calendar!$H$4="All events",Events!$D165=Calendar!$H$4),IF(Events!$E165="Yes",IF(AND(B163&gt;=Events!$A165,B163&lt;=$B$2,B163+$A163&gt;=$B$1),B163,IF(AND(C163&gt;=Events!$A165,C163&lt;=$B$2,C163+$A163&gt;=$B$1),C163,IF(AND(D163&gt;=Events!$A165,D163&lt;=$B$2,D163+$A163&gt;=$B$1),D163,""))),IF(AND(Events!$A165&lt;=$B$2,Events!$A165+$A163&gt;=$B$1),Events!$A165,"")),""))</f>
        <v/>
      </c>
      <c r="F163">
        <f>IF(E163="","",E163+A163)</f>
        <v/>
      </c>
      <c r="G163">
        <f>IF(E163="","",IF(AND(E163&lt;=EOMONTH(Calendar!$K$2,0),F163&gt;=Calendar!$K$2),E163+160/100000,""))</f>
        <v/>
      </c>
      <c r="H163">
        <f>H162+IF(AND($E163&lt;&gt;"",$E163&lt;=H$2,$F163&gt;=H$2),1,0)</f>
        <v/>
      </c>
      <c r="I163">
        <f>I162+IF(AND($E163&lt;&gt;"",$E163&lt;=I$2,$F163&gt;=I$2),1,0)</f>
        <v/>
      </c>
      <c r="J163">
        <f>J162+IF(AND($E163&lt;&gt;"",$E163&lt;=J$2,$F163&gt;=J$2),1,0)</f>
        <v/>
      </c>
      <c r="K163">
        <f>K162+IF(AND($E163&lt;&gt;"",$E163&lt;=K$2,$F163&gt;=K$2),1,0)</f>
        <v/>
      </c>
      <c r="L163">
        <f>L162+IF(AND($E163&lt;&gt;"",$E163&lt;=L$2,$F163&gt;=L$2),1,0)</f>
        <v/>
      </c>
      <c r="M163">
        <f>M162+IF(AND($E163&lt;&gt;"",$E163&lt;=M$2,$F163&gt;=M$2),1,0)</f>
        <v/>
      </c>
      <c r="N163">
        <f>N162+IF(AND($E163&lt;&gt;"",$E163&lt;=N$2,$F163&gt;=N$2),1,0)</f>
        <v/>
      </c>
      <c r="O163">
        <f>O162+IF(AND($E163&lt;&gt;"",$E163&lt;=O$2,$F163&gt;=O$2),1,0)</f>
        <v/>
      </c>
      <c r="P163">
        <f>P162+IF(AND($E163&lt;&gt;"",$E163&lt;=P$2,$F163&gt;=P$2),1,0)</f>
        <v/>
      </c>
      <c r="Q163">
        <f>Q162+IF(AND($E163&lt;&gt;"",$E163&lt;=Q$2,$F163&gt;=Q$2),1,0)</f>
        <v/>
      </c>
      <c r="R163">
        <f>R162+IF(AND($E163&lt;&gt;"",$E163&lt;=R$2,$F163&gt;=R$2),1,0)</f>
        <v/>
      </c>
      <c r="S163">
        <f>S162+IF(AND($E163&lt;&gt;"",$E163&lt;=S$2,$F163&gt;=S$2),1,0)</f>
        <v/>
      </c>
      <c r="T163">
        <f>T162+IF(AND($E163&lt;&gt;"",$E163&lt;=T$2,$F163&gt;=T$2),1,0)</f>
        <v/>
      </c>
      <c r="U163">
        <f>U162+IF(AND($E163&lt;&gt;"",$E163&lt;=U$2,$F163&gt;=U$2),1,0)</f>
        <v/>
      </c>
      <c r="V163">
        <f>V162+IF(AND($E163&lt;&gt;"",$E163&lt;=V$2,$F163&gt;=V$2),1,0)</f>
        <v/>
      </c>
      <c r="W163">
        <f>W162+IF(AND($E163&lt;&gt;"",$E163&lt;=W$2,$F163&gt;=W$2),1,0)</f>
        <v/>
      </c>
      <c r="X163">
        <f>X162+IF(AND($E163&lt;&gt;"",$E163&lt;=X$2,$F163&gt;=X$2),1,0)</f>
        <v/>
      </c>
      <c r="Y163">
        <f>Y162+IF(AND($E163&lt;&gt;"",$E163&lt;=Y$2,$F163&gt;=Y$2),1,0)</f>
        <v/>
      </c>
      <c r="Z163">
        <f>Z162+IF(AND($E163&lt;&gt;"",$E163&lt;=Z$2,$F163&gt;=Z$2),1,0)</f>
        <v/>
      </c>
      <c r="AA163">
        <f>AA162+IF(AND($E163&lt;&gt;"",$E163&lt;=AA$2,$F163&gt;=AA$2),1,0)</f>
        <v/>
      </c>
      <c r="AB163">
        <f>AB162+IF(AND($E163&lt;&gt;"",$E163&lt;=AB$2,$F163&gt;=AB$2),1,0)</f>
        <v/>
      </c>
      <c r="AC163">
        <f>AC162+IF(AND($E163&lt;&gt;"",$E163&lt;=AC$2,$F163&gt;=AC$2),1,0)</f>
        <v/>
      </c>
      <c r="AD163">
        <f>AD162+IF(AND($E163&lt;&gt;"",$E163&lt;=AD$2,$F163&gt;=AD$2),1,0)</f>
        <v/>
      </c>
      <c r="AE163">
        <f>AE162+IF(AND($E163&lt;&gt;"",$E163&lt;=AE$2,$F163&gt;=AE$2),1,0)</f>
        <v/>
      </c>
      <c r="AF163">
        <f>AF162+IF(AND($E163&lt;&gt;"",$E163&lt;=AF$2,$F163&gt;=AF$2),1,0)</f>
        <v/>
      </c>
      <c r="AG163">
        <f>AG162+IF(AND($E163&lt;&gt;"",$E163&lt;=AG$2,$F163&gt;=AG$2),1,0)</f>
        <v/>
      </c>
      <c r="AH163">
        <f>AH162+IF(AND($E163&lt;&gt;"",$E163&lt;=AH$2,$F163&gt;=AH$2),1,0)</f>
        <v/>
      </c>
      <c r="AI163">
        <f>AI162+IF(AND($E163&lt;&gt;"",$E163&lt;=AI$2,$F163&gt;=AI$2),1,0)</f>
        <v/>
      </c>
      <c r="AJ163">
        <f>AJ162+IF(AND($E163&lt;&gt;"",$E163&lt;=AJ$2,$F163&gt;=AJ$2),1,0)</f>
        <v/>
      </c>
      <c r="AK163">
        <f>AK162+IF(AND($E163&lt;&gt;"",$E163&lt;=AK$2,$F163&gt;=AK$2),1,0)</f>
        <v/>
      </c>
      <c r="AL163">
        <f>AL162+IF(AND($E163&lt;&gt;"",$E163&lt;=AL$2,$F163&gt;=AL$2),1,0)</f>
        <v/>
      </c>
      <c r="AM163">
        <f>AM162+IF(AND($E163&lt;&gt;"",$E163&lt;=AM$2,$F163&gt;=AM$2),1,0)</f>
        <v/>
      </c>
      <c r="AN163">
        <f>AN162+IF(AND($E163&lt;&gt;"",$E163&lt;=AN$2,$F163&gt;=AN$2),1,0)</f>
        <v/>
      </c>
      <c r="AO163">
        <f>AO162+IF(AND($E163&lt;&gt;"",$E163&lt;=AO$2,$F163&gt;=AO$2),1,0)</f>
        <v/>
      </c>
      <c r="AP163">
        <f>AP162+IF(AND($E163&lt;&gt;"",$E163&lt;=AP$2,$F163&gt;=AP$2),1,0)</f>
        <v/>
      </c>
      <c r="AQ163">
        <f>AQ162+IF(AND($E163&lt;&gt;"",$E163&lt;=AQ$2,$F163&gt;=AQ$2),1,0)</f>
        <v/>
      </c>
      <c r="AR163">
        <f>AR162+IF(AND($E163&lt;&gt;"",$E163&lt;=AR$2,$F163&gt;=AR$2),1,0)</f>
        <v/>
      </c>
      <c r="AS163">
        <f>AS162+IF(AND($E163&lt;&gt;"",$E163&lt;=AS$2,$F163&gt;=AS$2),1,0)</f>
        <v/>
      </c>
      <c r="AT163">
        <f>AT162+IF(AND($E163&lt;&gt;"",$E163&lt;=AT$2,$F163&gt;=AT$2),1,0)</f>
        <v/>
      </c>
      <c r="AU163">
        <f>AU162+IF(AND($E163&lt;&gt;"",$E163&lt;=AU$2,$F163&gt;=AU$2),1,0)</f>
        <v/>
      </c>
      <c r="AV163">
        <f>AV162+IF(AND($E163&lt;&gt;"",$E163&lt;=AV$2,$F163&gt;=AV$2),1,0)</f>
        <v/>
      </c>
      <c r="AW163">
        <f>AW162+IF(AND($E163&lt;&gt;"",$E163&lt;=AW$2,$F163&gt;=AW$2),1,0)</f>
        <v/>
      </c>
    </row>
    <row r="164">
      <c r="A164">
        <f>IF(AND(ISNUMBER(Events!$A166),ISNUMBER(Events!$B166)),MAX(0,Events!$B166-Events!$A166),0)</f>
        <v/>
      </c>
      <c r="B164">
        <f>IF(ISNUMBER(Events!$A166),DATE(YEAR($B$1)-1,MONTH(Events!$A166),DAY(Events!$A166)),"")</f>
        <v/>
      </c>
      <c r="C164">
        <f>IF(ISNUMBER(Events!$A166),DATE(YEAR($B$1),MONTH(Events!$A166),DAY(Events!$A166)),"")</f>
        <v/>
      </c>
      <c r="D164">
        <f>IF(ISNUMBER(Events!$A166),DATE(YEAR($B$2),MONTH(Events!$A166),DAY(Events!$A166)),"")</f>
        <v/>
      </c>
      <c r="E164">
        <f>IF(OR(NOT(ISNUMBER(Events!$A166)),Events!$G166="No",Calendar!$H$4="None"),"",IF(OR(Calendar!$H$4="All events",Events!$D166=Calendar!$H$4),IF(Events!$E166="Yes",IF(AND(B164&gt;=Events!$A166,B164&lt;=$B$2,B164+$A164&gt;=$B$1),B164,IF(AND(C164&gt;=Events!$A166,C164&lt;=$B$2,C164+$A164&gt;=$B$1),C164,IF(AND(D164&gt;=Events!$A166,D164&lt;=$B$2,D164+$A164&gt;=$B$1),D164,""))),IF(AND(Events!$A166&lt;=$B$2,Events!$A166+$A164&gt;=$B$1),Events!$A166,"")),""))</f>
        <v/>
      </c>
      <c r="F164">
        <f>IF(E164="","",E164+A164)</f>
        <v/>
      </c>
      <c r="G164">
        <f>IF(E164="","",IF(AND(E164&lt;=EOMONTH(Calendar!$K$2,0),F164&gt;=Calendar!$K$2),E164+161/100000,""))</f>
        <v/>
      </c>
      <c r="H164">
        <f>H163+IF(AND($E164&lt;&gt;"",$E164&lt;=H$2,$F164&gt;=H$2),1,0)</f>
        <v/>
      </c>
      <c r="I164">
        <f>I163+IF(AND($E164&lt;&gt;"",$E164&lt;=I$2,$F164&gt;=I$2),1,0)</f>
        <v/>
      </c>
      <c r="J164">
        <f>J163+IF(AND($E164&lt;&gt;"",$E164&lt;=J$2,$F164&gt;=J$2),1,0)</f>
        <v/>
      </c>
      <c r="K164">
        <f>K163+IF(AND($E164&lt;&gt;"",$E164&lt;=K$2,$F164&gt;=K$2),1,0)</f>
        <v/>
      </c>
      <c r="L164">
        <f>L163+IF(AND($E164&lt;&gt;"",$E164&lt;=L$2,$F164&gt;=L$2),1,0)</f>
        <v/>
      </c>
      <c r="M164">
        <f>M163+IF(AND($E164&lt;&gt;"",$E164&lt;=M$2,$F164&gt;=M$2),1,0)</f>
        <v/>
      </c>
      <c r="N164">
        <f>N163+IF(AND($E164&lt;&gt;"",$E164&lt;=N$2,$F164&gt;=N$2),1,0)</f>
        <v/>
      </c>
      <c r="O164">
        <f>O163+IF(AND($E164&lt;&gt;"",$E164&lt;=O$2,$F164&gt;=O$2),1,0)</f>
        <v/>
      </c>
      <c r="P164">
        <f>P163+IF(AND($E164&lt;&gt;"",$E164&lt;=P$2,$F164&gt;=P$2),1,0)</f>
        <v/>
      </c>
      <c r="Q164">
        <f>Q163+IF(AND($E164&lt;&gt;"",$E164&lt;=Q$2,$F164&gt;=Q$2),1,0)</f>
        <v/>
      </c>
      <c r="R164">
        <f>R163+IF(AND($E164&lt;&gt;"",$E164&lt;=R$2,$F164&gt;=R$2),1,0)</f>
        <v/>
      </c>
      <c r="S164">
        <f>S163+IF(AND($E164&lt;&gt;"",$E164&lt;=S$2,$F164&gt;=S$2),1,0)</f>
        <v/>
      </c>
      <c r="T164">
        <f>T163+IF(AND($E164&lt;&gt;"",$E164&lt;=T$2,$F164&gt;=T$2),1,0)</f>
        <v/>
      </c>
      <c r="U164">
        <f>U163+IF(AND($E164&lt;&gt;"",$E164&lt;=U$2,$F164&gt;=U$2),1,0)</f>
        <v/>
      </c>
      <c r="V164">
        <f>V163+IF(AND($E164&lt;&gt;"",$E164&lt;=V$2,$F164&gt;=V$2),1,0)</f>
        <v/>
      </c>
      <c r="W164">
        <f>W163+IF(AND($E164&lt;&gt;"",$E164&lt;=W$2,$F164&gt;=W$2),1,0)</f>
        <v/>
      </c>
      <c r="X164">
        <f>X163+IF(AND($E164&lt;&gt;"",$E164&lt;=X$2,$F164&gt;=X$2),1,0)</f>
        <v/>
      </c>
      <c r="Y164">
        <f>Y163+IF(AND($E164&lt;&gt;"",$E164&lt;=Y$2,$F164&gt;=Y$2),1,0)</f>
        <v/>
      </c>
      <c r="Z164">
        <f>Z163+IF(AND($E164&lt;&gt;"",$E164&lt;=Z$2,$F164&gt;=Z$2),1,0)</f>
        <v/>
      </c>
      <c r="AA164">
        <f>AA163+IF(AND($E164&lt;&gt;"",$E164&lt;=AA$2,$F164&gt;=AA$2),1,0)</f>
        <v/>
      </c>
      <c r="AB164">
        <f>AB163+IF(AND($E164&lt;&gt;"",$E164&lt;=AB$2,$F164&gt;=AB$2),1,0)</f>
        <v/>
      </c>
      <c r="AC164">
        <f>AC163+IF(AND($E164&lt;&gt;"",$E164&lt;=AC$2,$F164&gt;=AC$2),1,0)</f>
        <v/>
      </c>
      <c r="AD164">
        <f>AD163+IF(AND($E164&lt;&gt;"",$E164&lt;=AD$2,$F164&gt;=AD$2),1,0)</f>
        <v/>
      </c>
      <c r="AE164">
        <f>AE163+IF(AND($E164&lt;&gt;"",$E164&lt;=AE$2,$F164&gt;=AE$2),1,0)</f>
        <v/>
      </c>
      <c r="AF164">
        <f>AF163+IF(AND($E164&lt;&gt;"",$E164&lt;=AF$2,$F164&gt;=AF$2),1,0)</f>
        <v/>
      </c>
      <c r="AG164">
        <f>AG163+IF(AND($E164&lt;&gt;"",$E164&lt;=AG$2,$F164&gt;=AG$2),1,0)</f>
        <v/>
      </c>
      <c r="AH164">
        <f>AH163+IF(AND($E164&lt;&gt;"",$E164&lt;=AH$2,$F164&gt;=AH$2),1,0)</f>
        <v/>
      </c>
      <c r="AI164">
        <f>AI163+IF(AND($E164&lt;&gt;"",$E164&lt;=AI$2,$F164&gt;=AI$2),1,0)</f>
        <v/>
      </c>
      <c r="AJ164">
        <f>AJ163+IF(AND($E164&lt;&gt;"",$E164&lt;=AJ$2,$F164&gt;=AJ$2),1,0)</f>
        <v/>
      </c>
      <c r="AK164">
        <f>AK163+IF(AND($E164&lt;&gt;"",$E164&lt;=AK$2,$F164&gt;=AK$2),1,0)</f>
        <v/>
      </c>
      <c r="AL164">
        <f>AL163+IF(AND($E164&lt;&gt;"",$E164&lt;=AL$2,$F164&gt;=AL$2),1,0)</f>
        <v/>
      </c>
      <c r="AM164">
        <f>AM163+IF(AND($E164&lt;&gt;"",$E164&lt;=AM$2,$F164&gt;=AM$2),1,0)</f>
        <v/>
      </c>
      <c r="AN164">
        <f>AN163+IF(AND($E164&lt;&gt;"",$E164&lt;=AN$2,$F164&gt;=AN$2),1,0)</f>
        <v/>
      </c>
      <c r="AO164">
        <f>AO163+IF(AND($E164&lt;&gt;"",$E164&lt;=AO$2,$F164&gt;=AO$2),1,0)</f>
        <v/>
      </c>
      <c r="AP164">
        <f>AP163+IF(AND($E164&lt;&gt;"",$E164&lt;=AP$2,$F164&gt;=AP$2),1,0)</f>
        <v/>
      </c>
      <c r="AQ164">
        <f>AQ163+IF(AND($E164&lt;&gt;"",$E164&lt;=AQ$2,$F164&gt;=AQ$2),1,0)</f>
        <v/>
      </c>
      <c r="AR164">
        <f>AR163+IF(AND($E164&lt;&gt;"",$E164&lt;=AR$2,$F164&gt;=AR$2),1,0)</f>
        <v/>
      </c>
      <c r="AS164">
        <f>AS163+IF(AND($E164&lt;&gt;"",$E164&lt;=AS$2,$F164&gt;=AS$2),1,0)</f>
        <v/>
      </c>
      <c r="AT164">
        <f>AT163+IF(AND($E164&lt;&gt;"",$E164&lt;=AT$2,$F164&gt;=AT$2),1,0)</f>
        <v/>
      </c>
      <c r="AU164">
        <f>AU163+IF(AND($E164&lt;&gt;"",$E164&lt;=AU$2,$F164&gt;=AU$2),1,0)</f>
        <v/>
      </c>
      <c r="AV164">
        <f>AV163+IF(AND($E164&lt;&gt;"",$E164&lt;=AV$2,$F164&gt;=AV$2),1,0)</f>
        <v/>
      </c>
      <c r="AW164">
        <f>AW163+IF(AND($E164&lt;&gt;"",$E164&lt;=AW$2,$F164&gt;=AW$2),1,0)</f>
        <v/>
      </c>
    </row>
    <row r="165">
      <c r="A165">
        <f>IF(AND(ISNUMBER(Events!$A167),ISNUMBER(Events!$B167)),MAX(0,Events!$B167-Events!$A167),0)</f>
        <v/>
      </c>
      <c r="B165">
        <f>IF(ISNUMBER(Events!$A167),DATE(YEAR($B$1)-1,MONTH(Events!$A167),DAY(Events!$A167)),"")</f>
        <v/>
      </c>
      <c r="C165">
        <f>IF(ISNUMBER(Events!$A167),DATE(YEAR($B$1),MONTH(Events!$A167),DAY(Events!$A167)),"")</f>
        <v/>
      </c>
      <c r="D165">
        <f>IF(ISNUMBER(Events!$A167),DATE(YEAR($B$2),MONTH(Events!$A167),DAY(Events!$A167)),"")</f>
        <v/>
      </c>
      <c r="E165">
        <f>IF(OR(NOT(ISNUMBER(Events!$A167)),Events!$G167="No",Calendar!$H$4="None"),"",IF(OR(Calendar!$H$4="All events",Events!$D167=Calendar!$H$4),IF(Events!$E167="Yes",IF(AND(B165&gt;=Events!$A167,B165&lt;=$B$2,B165+$A165&gt;=$B$1),B165,IF(AND(C165&gt;=Events!$A167,C165&lt;=$B$2,C165+$A165&gt;=$B$1),C165,IF(AND(D165&gt;=Events!$A167,D165&lt;=$B$2,D165+$A165&gt;=$B$1),D165,""))),IF(AND(Events!$A167&lt;=$B$2,Events!$A167+$A165&gt;=$B$1),Events!$A167,"")),""))</f>
        <v/>
      </c>
      <c r="F165">
        <f>IF(E165="","",E165+A165)</f>
        <v/>
      </c>
      <c r="G165">
        <f>IF(E165="","",IF(AND(E165&lt;=EOMONTH(Calendar!$K$2,0),F165&gt;=Calendar!$K$2),E165+162/100000,""))</f>
        <v/>
      </c>
      <c r="H165">
        <f>H164+IF(AND($E165&lt;&gt;"",$E165&lt;=H$2,$F165&gt;=H$2),1,0)</f>
        <v/>
      </c>
      <c r="I165">
        <f>I164+IF(AND($E165&lt;&gt;"",$E165&lt;=I$2,$F165&gt;=I$2),1,0)</f>
        <v/>
      </c>
      <c r="J165">
        <f>J164+IF(AND($E165&lt;&gt;"",$E165&lt;=J$2,$F165&gt;=J$2),1,0)</f>
        <v/>
      </c>
      <c r="K165">
        <f>K164+IF(AND($E165&lt;&gt;"",$E165&lt;=K$2,$F165&gt;=K$2),1,0)</f>
        <v/>
      </c>
      <c r="L165">
        <f>L164+IF(AND($E165&lt;&gt;"",$E165&lt;=L$2,$F165&gt;=L$2),1,0)</f>
        <v/>
      </c>
      <c r="M165">
        <f>M164+IF(AND($E165&lt;&gt;"",$E165&lt;=M$2,$F165&gt;=M$2),1,0)</f>
        <v/>
      </c>
      <c r="N165">
        <f>N164+IF(AND($E165&lt;&gt;"",$E165&lt;=N$2,$F165&gt;=N$2),1,0)</f>
        <v/>
      </c>
      <c r="O165">
        <f>O164+IF(AND($E165&lt;&gt;"",$E165&lt;=O$2,$F165&gt;=O$2),1,0)</f>
        <v/>
      </c>
      <c r="P165">
        <f>P164+IF(AND($E165&lt;&gt;"",$E165&lt;=P$2,$F165&gt;=P$2),1,0)</f>
        <v/>
      </c>
      <c r="Q165">
        <f>Q164+IF(AND($E165&lt;&gt;"",$E165&lt;=Q$2,$F165&gt;=Q$2),1,0)</f>
        <v/>
      </c>
      <c r="R165">
        <f>R164+IF(AND($E165&lt;&gt;"",$E165&lt;=R$2,$F165&gt;=R$2),1,0)</f>
        <v/>
      </c>
      <c r="S165">
        <f>S164+IF(AND($E165&lt;&gt;"",$E165&lt;=S$2,$F165&gt;=S$2),1,0)</f>
        <v/>
      </c>
      <c r="T165">
        <f>T164+IF(AND($E165&lt;&gt;"",$E165&lt;=T$2,$F165&gt;=T$2),1,0)</f>
        <v/>
      </c>
      <c r="U165">
        <f>U164+IF(AND($E165&lt;&gt;"",$E165&lt;=U$2,$F165&gt;=U$2),1,0)</f>
        <v/>
      </c>
      <c r="V165">
        <f>V164+IF(AND($E165&lt;&gt;"",$E165&lt;=V$2,$F165&gt;=V$2),1,0)</f>
        <v/>
      </c>
      <c r="W165">
        <f>W164+IF(AND($E165&lt;&gt;"",$E165&lt;=W$2,$F165&gt;=W$2),1,0)</f>
        <v/>
      </c>
      <c r="X165">
        <f>X164+IF(AND($E165&lt;&gt;"",$E165&lt;=X$2,$F165&gt;=X$2),1,0)</f>
        <v/>
      </c>
      <c r="Y165">
        <f>Y164+IF(AND($E165&lt;&gt;"",$E165&lt;=Y$2,$F165&gt;=Y$2),1,0)</f>
        <v/>
      </c>
      <c r="Z165">
        <f>Z164+IF(AND($E165&lt;&gt;"",$E165&lt;=Z$2,$F165&gt;=Z$2),1,0)</f>
        <v/>
      </c>
      <c r="AA165">
        <f>AA164+IF(AND($E165&lt;&gt;"",$E165&lt;=AA$2,$F165&gt;=AA$2),1,0)</f>
        <v/>
      </c>
      <c r="AB165">
        <f>AB164+IF(AND($E165&lt;&gt;"",$E165&lt;=AB$2,$F165&gt;=AB$2),1,0)</f>
        <v/>
      </c>
      <c r="AC165">
        <f>AC164+IF(AND($E165&lt;&gt;"",$E165&lt;=AC$2,$F165&gt;=AC$2),1,0)</f>
        <v/>
      </c>
      <c r="AD165">
        <f>AD164+IF(AND($E165&lt;&gt;"",$E165&lt;=AD$2,$F165&gt;=AD$2),1,0)</f>
        <v/>
      </c>
      <c r="AE165">
        <f>AE164+IF(AND($E165&lt;&gt;"",$E165&lt;=AE$2,$F165&gt;=AE$2),1,0)</f>
        <v/>
      </c>
      <c r="AF165">
        <f>AF164+IF(AND($E165&lt;&gt;"",$E165&lt;=AF$2,$F165&gt;=AF$2),1,0)</f>
        <v/>
      </c>
      <c r="AG165">
        <f>AG164+IF(AND($E165&lt;&gt;"",$E165&lt;=AG$2,$F165&gt;=AG$2),1,0)</f>
        <v/>
      </c>
      <c r="AH165">
        <f>AH164+IF(AND($E165&lt;&gt;"",$E165&lt;=AH$2,$F165&gt;=AH$2),1,0)</f>
        <v/>
      </c>
      <c r="AI165">
        <f>AI164+IF(AND($E165&lt;&gt;"",$E165&lt;=AI$2,$F165&gt;=AI$2),1,0)</f>
        <v/>
      </c>
      <c r="AJ165">
        <f>AJ164+IF(AND($E165&lt;&gt;"",$E165&lt;=AJ$2,$F165&gt;=AJ$2),1,0)</f>
        <v/>
      </c>
      <c r="AK165">
        <f>AK164+IF(AND($E165&lt;&gt;"",$E165&lt;=AK$2,$F165&gt;=AK$2),1,0)</f>
        <v/>
      </c>
      <c r="AL165">
        <f>AL164+IF(AND($E165&lt;&gt;"",$E165&lt;=AL$2,$F165&gt;=AL$2),1,0)</f>
        <v/>
      </c>
      <c r="AM165">
        <f>AM164+IF(AND($E165&lt;&gt;"",$E165&lt;=AM$2,$F165&gt;=AM$2),1,0)</f>
        <v/>
      </c>
      <c r="AN165">
        <f>AN164+IF(AND($E165&lt;&gt;"",$E165&lt;=AN$2,$F165&gt;=AN$2),1,0)</f>
        <v/>
      </c>
      <c r="AO165">
        <f>AO164+IF(AND($E165&lt;&gt;"",$E165&lt;=AO$2,$F165&gt;=AO$2),1,0)</f>
        <v/>
      </c>
      <c r="AP165">
        <f>AP164+IF(AND($E165&lt;&gt;"",$E165&lt;=AP$2,$F165&gt;=AP$2),1,0)</f>
        <v/>
      </c>
      <c r="AQ165">
        <f>AQ164+IF(AND($E165&lt;&gt;"",$E165&lt;=AQ$2,$F165&gt;=AQ$2),1,0)</f>
        <v/>
      </c>
      <c r="AR165">
        <f>AR164+IF(AND($E165&lt;&gt;"",$E165&lt;=AR$2,$F165&gt;=AR$2),1,0)</f>
        <v/>
      </c>
      <c r="AS165">
        <f>AS164+IF(AND($E165&lt;&gt;"",$E165&lt;=AS$2,$F165&gt;=AS$2),1,0)</f>
        <v/>
      </c>
      <c r="AT165">
        <f>AT164+IF(AND($E165&lt;&gt;"",$E165&lt;=AT$2,$F165&gt;=AT$2),1,0)</f>
        <v/>
      </c>
      <c r="AU165">
        <f>AU164+IF(AND($E165&lt;&gt;"",$E165&lt;=AU$2,$F165&gt;=AU$2),1,0)</f>
        <v/>
      </c>
      <c r="AV165">
        <f>AV164+IF(AND($E165&lt;&gt;"",$E165&lt;=AV$2,$F165&gt;=AV$2),1,0)</f>
        <v/>
      </c>
      <c r="AW165">
        <f>AW164+IF(AND($E165&lt;&gt;"",$E165&lt;=AW$2,$F165&gt;=AW$2),1,0)</f>
        <v/>
      </c>
    </row>
    <row r="166">
      <c r="A166">
        <f>IF(AND(ISNUMBER(Events!$A168),ISNUMBER(Events!$B168)),MAX(0,Events!$B168-Events!$A168),0)</f>
        <v/>
      </c>
      <c r="B166">
        <f>IF(ISNUMBER(Events!$A168),DATE(YEAR($B$1)-1,MONTH(Events!$A168),DAY(Events!$A168)),"")</f>
        <v/>
      </c>
      <c r="C166">
        <f>IF(ISNUMBER(Events!$A168),DATE(YEAR($B$1),MONTH(Events!$A168),DAY(Events!$A168)),"")</f>
        <v/>
      </c>
      <c r="D166">
        <f>IF(ISNUMBER(Events!$A168),DATE(YEAR($B$2),MONTH(Events!$A168),DAY(Events!$A168)),"")</f>
        <v/>
      </c>
      <c r="E166">
        <f>IF(OR(NOT(ISNUMBER(Events!$A168)),Events!$G168="No",Calendar!$H$4="None"),"",IF(OR(Calendar!$H$4="All events",Events!$D168=Calendar!$H$4),IF(Events!$E168="Yes",IF(AND(B166&gt;=Events!$A168,B166&lt;=$B$2,B166+$A166&gt;=$B$1),B166,IF(AND(C166&gt;=Events!$A168,C166&lt;=$B$2,C166+$A166&gt;=$B$1),C166,IF(AND(D166&gt;=Events!$A168,D166&lt;=$B$2,D166+$A166&gt;=$B$1),D166,""))),IF(AND(Events!$A168&lt;=$B$2,Events!$A168+$A166&gt;=$B$1),Events!$A168,"")),""))</f>
        <v/>
      </c>
      <c r="F166">
        <f>IF(E166="","",E166+A166)</f>
        <v/>
      </c>
      <c r="G166">
        <f>IF(E166="","",IF(AND(E166&lt;=EOMONTH(Calendar!$K$2,0),F166&gt;=Calendar!$K$2),E166+163/100000,""))</f>
        <v/>
      </c>
      <c r="H166">
        <f>H165+IF(AND($E166&lt;&gt;"",$E166&lt;=H$2,$F166&gt;=H$2),1,0)</f>
        <v/>
      </c>
      <c r="I166">
        <f>I165+IF(AND($E166&lt;&gt;"",$E166&lt;=I$2,$F166&gt;=I$2),1,0)</f>
        <v/>
      </c>
      <c r="J166">
        <f>J165+IF(AND($E166&lt;&gt;"",$E166&lt;=J$2,$F166&gt;=J$2),1,0)</f>
        <v/>
      </c>
      <c r="K166">
        <f>K165+IF(AND($E166&lt;&gt;"",$E166&lt;=K$2,$F166&gt;=K$2),1,0)</f>
        <v/>
      </c>
      <c r="L166">
        <f>L165+IF(AND($E166&lt;&gt;"",$E166&lt;=L$2,$F166&gt;=L$2),1,0)</f>
        <v/>
      </c>
      <c r="M166">
        <f>M165+IF(AND($E166&lt;&gt;"",$E166&lt;=M$2,$F166&gt;=M$2),1,0)</f>
        <v/>
      </c>
      <c r="N166">
        <f>N165+IF(AND($E166&lt;&gt;"",$E166&lt;=N$2,$F166&gt;=N$2),1,0)</f>
        <v/>
      </c>
      <c r="O166">
        <f>O165+IF(AND($E166&lt;&gt;"",$E166&lt;=O$2,$F166&gt;=O$2),1,0)</f>
        <v/>
      </c>
      <c r="P166">
        <f>P165+IF(AND($E166&lt;&gt;"",$E166&lt;=P$2,$F166&gt;=P$2),1,0)</f>
        <v/>
      </c>
      <c r="Q166">
        <f>Q165+IF(AND($E166&lt;&gt;"",$E166&lt;=Q$2,$F166&gt;=Q$2),1,0)</f>
        <v/>
      </c>
      <c r="R166">
        <f>R165+IF(AND($E166&lt;&gt;"",$E166&lt;=R$2,$F166&gt;=R$2),1,0)</f>
        <v/>
      </c>
      <c r="S166">
        <f>S165+IF(AND($E166&lt;&gt;"",$E166&lt;=S$2,$F166&gt;=S$2),1,0)</f>
        <v/>
      </c>
      <c r="T166">
        <f>T165+IF(AND($E166&lt;&gt;"",$E166&lt;=T$2,$F166&gt;=T$2),1,0)</f>
        <v/>
      </c>
      <c r="U166">
        <f>U165+IF(AND($E166&lt;&gt;"",$E166&lt;=U$2,$F166&gt;=U$2),1,0)</f>
        <v/>
      </c>
      <c r="V166">
        <f>V165+IF(AND($E166&lt;&gt;"",$E166&lt;=V$2,$F166&gt;=V$2),1,0)</f>
        <v/>
      </c>
      <c r="W166">
        <f>W165+IF(AND($E166&lt;&gt;"",$E166&lt;=W$2,$F166&gt;=W$2),1,0)</f>
        <v/>
      </c>
      <c r="X166">
        <f>X165+IF(AND($E166&lt;&gt;"",$E166&lt;=X$2,$F166&gt;=X$2),1,0)</f>
        <v/>
      </c>
      <c r="Y166">
        <f>Y165+IF(AND($E166&lt;&gt;"",$E166&lt;=Y$2,$F166&gt;=Y$2),1,0)</f>
        <v/>
      </c>
      <c r="Z166">
        <f>Z165+IF(AND($E166&lt;&gt;"",$E166&lt;=Z$2,$F166&gt;=Z$2),1,0)</f>
        <v/>
      </c>
      <c r="AA166">
        <f>AA165+IF(AND($E166&lt;&gt;"",$E166&lt;=AA$2,$F166&gt;=AA$2),1,0)</f>
        <v/>
      </c>
      <c r="AB166">
        <f>AB165+IF(AND($E166&lt;&gt;"",$E166&lt;=AB$2,$F166&gt;=AB$2),1,0)</f>
        <v/>
      </c>
      <c r="AC166">
        <f>AC165+IF(AND($E166&lt;&gt;"",$E166&lt;=AC$2,$F166&gt;=AC$2),1,0)</f>
        <v/>
      </c>
      <c r="AD166">
        <f>AD165+IF(AND($E166&lt;&gt;"",$E166&lt;=AD$2,$F166&gt;=AD$2),1,0)</f>
        <v/>
      </c>
      <c r="AE166">
        <f>AE165+IF(AND($E166&lt;&gt;"",$E166&lt;=AE$2,$F166&gt;=AE$2),1,0)</f>
        <v/>
      </c>
      <c r="AF166">
        <f>AF165+IF(AND($E166&lt;&gt;"",$E166&lt;=AF$2,$F166&gt;=AF$2),1,0)</f>
        <v/>
      </c>
      <c r="AG166">
        <f>AG165+IF(AND($E166&lt;&gt;"",$E166&lt;=AG$2,$F166&gt;=AG$2),1,0)</f>
        <v/>
      </c>
      <c r="AH166">
        <f>AH165+IF(AND($E166&lt;&gt;"",$E166&lt;=AH$2,$F166&gt;=AH$2),1,0)</f>
        <v/>
      </c>
      <c r="AI166">
        <f>AI165+IF(AND($E166&lt;&gt;"",$E166&lt;=AI$2,$F166&gt;=AI$2),1,0)</f>
        <v/>
      </c>
      <c r="AJ166">
        <f>AJ165+IF(AND($E166&lt;&gt;"",$E166&lt;=AJ$2,$F166&gt;=AJ$2),1,0)</f>
        <v/>
      </c>
      <c r="AK166">
        <f>AK165+IF(AND($E166&lt;&gt;"",$E166&lt;=AK$2,$F166&gt;=AK$2),1,0)</f>
        <v/>
      </c>
      <c r="AL166">
        <f>AL165+IF(AND($E166&lt;&gt;"",$E166&lt;=AL$2,$F166&gt;=AL$2),1,0)</f>
        <v/>
      </c>
      <c r="AM166">
        <f>AM165+IF(AND($E166&lt;&gt;"",$E166&lt;=AM$2,$F166&gt;=AM$2),1,0)</f>
        <v/>
      </c>
      <c r="AN166">
        <f>AN165+IF(AND($E166&lt;&gt;"",$E166&lt;=AN$2,$F166&gt;=AN$2),1,0)</f>
        <v/>
      </c>
      <c r="AO166">
        <f>AO165+IF(AND($E166&lt;&gt;"",$E166&lt;=AO$2,$F166&gt;=AO$2),1,0)</f>
        <v/>
      </c>
      <c r="AP166">
        <f>AP165+IF(AND($E166&lt;&gt;"",$E166&lt;=AP$2,$F166&gt;=AP$2),1,0)</f>
        <v/>
      </c>
      <c r="AQ166">
        <f>AQ165+IF(AND($E166&lt;&gt;"",$E166&lt;=AQ$2,$F166&gt;=AQ$2),1,0)</f>
        <v/>
      </c>
      <c r="AR166">
        <f>AR165+IF(AND($E166&lt;&gt;"",$E166&lt;=AR$2,$F166&gt;=AR$2),1,0)</f>
        <v/>
      </c>
      <c r="AS166">
        <f>AS165+IF(AND($E166&lt;&gt;"",$E166&lt;=AS$2,$F166&gt;=AS$2),1,0)</f>
        <v/>
      </c>
      <c r="AT166">
        <f>AT165+IF(AND($E166&lt;&gt;"",$E166&lt;=AT$2,$F166&gt;=AT$2),1,0)</f>
        <v/>
      </c>
      <c r="AU166">
        <f>AU165+IF(AND($E166&lt;&gt;"",$E166&lt;=AU$2,$F166&gt;=AU$2),1,0)</f>
        <v/>
      </c>
      <c r="AV166">
        <f>AV165+IF(AND($E166&lt;&gt;"",$E166&lt;=AV$2,$F166&gt;=AV$2),1,0)</f>
        <v/>
      </c>
      <c r="AW166">
        <f>AW165+IF(AND($E166&lt;&gt;"",$E166&lt;=AW$2,$F166&gt;=AW$2),1,0)</f>
        <v/>
      </c>
    </row>
    <row r="167">
      <c r="A167">
        <f>IF(AND(ISNUMBER(Events!$A169),ISNUMBER(Events!$B169)),MAX(0,Events!$B169-Events!$A169),0)</f>
        <v/>
      </c>
      <c r="B167">
        <f>IF(ISNUMBER(Events!$A169),DATE(YEAR($B$1)-1,MONTH(Events!$A169),DAY(Events!$A169)),"")</f>
        <v/>
      </c>
      <c r="C167">
        <f>IF(ISNUMBER(Events!$A169),DATE(YEAR($B$1),MONTH(Events!$A169),DAY(Events!$A169)),"")</f>
        <v/>
      </c>
      <c r="D167">
        <f>IF(ISNUMBER(Events!$A169),DATE(YEAR($B$2),MONTH(Events!$A169),DAY(Events!$A169)),"")</f>
        <v/>
      </c>
      <c r="E167">
        <f>IF(OR(NOT(ISNUMBER(Events!$A169)),Events!$G169="No",Calendar!$H$4="None"),"",IF(OR(Calendar!$H$4="All events",Events!$D169=Calendar!$H$4),IF(Events!$E169="Yes",IF(AND(B167&gt;=Events!$A169,B167&lt;=$B$2,B167+$A167&gt;=$B$1),B167,IF(AND(C167&gt;=Events!$A169,C167&lt;=$B$2,C167+$A167&gt;=$B$1),C167,IF(AND(D167&gt;=Events!$A169,D167&lt;=$B$2,D167+$A167&gt;=$B$1),D167,""))),IF(AND(Events!$A169&lt;=$B$2,Events!$A169+$A167&gt;=$B$1),Events!$A169,"")),""))</f>
        <v/>
      </c>
      <c r="F167">
        <f>IF(E167="","",E167+A167)</f>
        <v/>
      </c>
      <c r="G167">
        <f>IF(E167="","",IF(AND(E167&lt;=EOMONTH(Calendar!$K$2,0),F167&gt;=Calendar!$K$2),E167+164/100000,""))</f>
        <v/>
      </c>
      <c r="H167">
        <f>H166+IF(AND($E167&lt;&gt;"",$E167&lt;=H$2,$F167&gt;=H$2),1,0)</f>
        <v/>
      </c>
      <c r="I167">
        <f>I166+IF(AND($E167&lt;&gt;"",$E167&lt;=I$2,$F167&gt;=I$2),1,0)</f>
        <v/>
      </c>
      <c r="J167">
        <f>J166+IF(AND($E167&lt;&gt;"",$E167&lt;=J$2,$F167&gt;=J$2),1,0)</f>
        <v/>
      </c>
      <c r="K167">
        <f>K166+IF(AND($E167&lt;&gt;"",$E167&lt;=K$2,$F167&gt;=K$2),1,0)</f>
        <v/>
      </c>
      <c r="L167">
        <f>L166+IF(AND($E167&lt;&gt;"",$E167&lt;=L$2,$F167&gt;=L$2),1,0)</f>
        <v/>
      </c>
      <c r="M167">
        <f>M166+IF(AND($E167&lt;&gt;"",$E167&lt;=M$2,$F167&gt;=M$2),1,0)</f>
        <v/>
      </c>
      <c r="N167">
        <f>N166+IF(AND($E167&lt;&gt;"",$E167&lt;=N$2,$F167&gt;=N$2),1,0)</f>
        <v/>
      </c>
      <c r="O167">
        <f>O166+IF(AND($E167&lt;&gt;"",$E167&lt;=O$2,$F167&gt;=O$2),1,0)</f>
        <v/>
      </c>
      <c r="P167">
        <f>P166+IF(AND($E167&lt;&gt;"",$E167&lt;=P$2,$F167&gt;=P$2),1,0)</f>
        <v/>
      </c>
      <c r="Q167">
        <f>Q166+IF(AND($E167&lt;&gt;"",$E167&lt;=Q$2,$F167&gt;=Q$2),1,0)</f>
        <v/>
      </c>
      <c r="R167">
        <f>R166+IF(AND($E167&lt;&gt;"",$E167&lt;=R$2,$F167&gt;=R$2),1,0)</f>
        <v/>
      </c>
      <c r="S167">
        <f>S166+IF(AND($E167&lt;&gt;"",$E167&lt;=S$2,$F167&gt;=S$2),1,0)</f>
        <v/>
      </c>
      <c r="T167">
        <f>T166+IF(AND($E167&lt;&gt;"",$E167&lt;=T$2,$F167&gt;=T$2),1,0)</f>
        <v/>
      </c>
      <c r="U167">
        <f>U166+IF(AND($E167&lt;&gt;"",$E167&lt;=U$2,$F167&gt;=U$2),1,0)</f>
        <v/>
      </c>
      <c r="V167">
        <f>V166+IF(AND($E167&lt;&gt;"",$E167&lt;=V$2,$F167&gt;=V$2),1,0)</f>
        <v/>
      </c>
      <c r="W167">
        <f>W166+IF(AND($E167&lt;&gt;"",$E167&lt;=W$2,$F167&gt;=W$2),1,0)</f>
        <v/>
      </c>
      <c r="X167">
        <f>X166+IF(AND($E167&lt;&gt;"",$E167&lt;=X$2,$F167&gt;=X$2),1,0)</f>
        <v/>
      </c>
      <c r="Y167">
        <f>Y166+IF(AND($E167&lt;&gt;"",$E167&lt;=Y$2,$F167&gt;=Y$2),1,0)</f>
        <v/>
      </c>
      <c r="Z167">
        <f>Z166+IF(AND($E167&lt;&gt;"",$E167&lt;=Z$2,$F167&gt;=Z$2),1,0)</f>
        <v/>
      </c>
      <c r="AA167">
        <f>AA166+IF(AND($E167&lt;&gt;"",$E167&lt;=AA$2,$F167&gt;=AA$2),1,0)</f>
        <v/>
      </c>
      <c r="AB167">
        <f>AB166+IF(AND($E167&lt;&gt;"",$E167&lt;=AB$2,$F167&gt;=AB$2),1,0)</f>
        <v/>
      </c>
      <c r="AC167">
        <f>AC166+IF(AND($E167&lt;&gt;"",$E167&lt;=AC$2,$F167&gt;=AC$2),1,0)</f>
        <v/>
      </c>
      <c r="AD167">
        <f>AD166+IF(AND($E167&lt;&gt;"",$E167&lt;=AD$2,$F167&gt;=AD$2),1,0)</f>
        <v/>
      </c>
      <c r="AE167">
        <f>AE166+IF(AND($E167&lt;&gt;"",$E167&lt;=AE$2,$F167&gt;=AE$2),1,0)</f>
        <v/>
      </c>
      <c r="AF167">
        <f>AF166+IF(AND($E167&lt;&gt;"",$E167&lt;=AF$2,$F167&gt;=AF$2),1,0)</f>
        <v/>
      </c>
      <c r="AG167">
        <f>AG166+IF(AND($E167&lt;&gt;"",$E167&lt;=AG$2,$F167&gt;=AG$2),1,0)</f>
        <v/>
      </c>
      <c r="AH167">
        <f>AH166+IF(AND($E167&lt;&gt;"",$E167&lt;=AH$2,$F167&gt;=AH$2),1,0)</f>
        <v/>
      </c>
      <c r="AI167">
        <f>AI166+IF(AND($E167&lt;&gt;"",$E167&lt;=AI$2,$F167&gt;=AI$2),1,0)</f>
        <v/>
      </c>
      <c r="AJ167">
        <f>AJ166+IF(AND($E167&lt;&gt;"",$E167&lt;=AJ$2,$F167&gt;=AJ$2),1,0)</f>
        <v/>
      </c>
      <c r="AK167">
        <f>AK166+IF(AND($E167&lt;&gt;"",$E167&lt;=AK$2,$F167&gt;=AK$2),1,0)</f>
        <v/>
      </c>
      <c r="AL167">
        <f>AL166+IF(AND($E167&lt;&gt;"",$E167&lt;=AL$2,$F167&gt;=AL$2),1,0)</f>
        <v/>
      </c>
      <c r="AM167">
        <f>AM166+IF(AND($E167&lt;&gt;"",$E167&lt;=AM$2,$F167&gt;=AM$2),1,0)</f>
        <v/>
      </c>
      <c r="AN167">
        <f>AN166+IF(AND($E167&lt;&gt;"",$E167&lt;=AN$2,$F167&gt;=AN$2),1,0)</f>
        <v/>
      </c>
      <c r="AO167">
        <f>AO166+IF(AND($E167&lt;&gt;"",$E167&lt;=AO$2,$F167&gt;=AO$2),1,0)</f>
        <v/>
      </c>
      <c r="AP167">
        <f>AP166+IF(AND($E167&lt;&gt;"",$E167&lt;=AP$2,$F167&gt;=AP$2),1,0)</f>
        <v/>
      </c>
      <c r="AQ167">
        <f>AQ166+IF(AND($E167&lt;&gt;"",$E167&lt;=AQ$2,$F167&gt;=AQ$2),1,0)</f>
        <v/>
      </c>
      <c r="AR167">
        <f>AR166+IF(AND($E167&lt;&gt;"",$E167&lt;=AR$2,$F167&gt;=AR$2),1,0)</f>
        <v/>
      </c>
      <c r="AS167">
        <f>AS166+IF(AND($E167&lt;&gt;"",$E167&lt;=AS$2,$F167&gt;=AS$2),1,0)</f>
        <v/>
      </c>
      <c r="AT167">
        <f>AT166+IF(AND($E167&lt;&gt;"",$E167&lt;=AT$2,$F167&gt;=AT$2),1,0)</f>
        <v/>
      </c>
      <c r="AU167">
        <f>AU166+IF(AND($E167&lt;&gt;"",$E167&lt;=AU$2,$F167&gt;=AU$2),1,0)</f>
        <v/>
      </c>
      <c r="AV167">
        <f>AV166+IF(AND($E167&lt;&gt;"",$E167&lt;=AV$2,$F167&gt;=AV$2),1,0)</f>
        <v/>
      </c>
      <c r="AW167">
        <f>AW166+IF(AND($E167&lt;&gt;"",$E167&lt;=AW$2,$F167&gt;=AW$2),1,0)</f>
        <v/>
      </c>
    </row>
    <row r="168">
      <c r="A168">
        <f>IF(AND(ISNUMBER(Events!$A170),ISNUMBER(Events!$B170)),MAX(0,Events!$B170-Events!$A170),0)</f>
        <v/>
      </c>
      <c r="B168">
        <f>IF(ISNUMBER(Events!$A170),DATE(YEAR($B$1)-1,MONTH(Events!$A170),DAY(Events!$A170)),"")</f>
        <v/>
      </c>
      <c r="C168">
        <f>IF(ISNUMBER(Events!$A170),DATE(YEAR($B$1),MONTH(Events!$A170),DAY(Events!$A170)),"")</f>
        <v/>
      </c>
      <c r="D168">
        <f>IF(ISNUMBER(Events!$A170),DATE(YEAR($B$2),MONTH(Events!$A170),DAY(Events!$A170)),"")</f>
        <v/>
      </c>
      <c r="E168">
        <f>IF(OR(NOT(ISNUMBER(Events!$A170)),Events!$G170="No",Calendar!$H$4="None"),"",IF(OR(Calendar!$H$4="All events",Events!$D170=Calendar!$H$4),IF(Events!$E170="Yes",IF(AND(B168&gt;=Events!$A170,B168&lt;=$B$2,B168+$A168&gt;=$B$1),B168,IF(AND(C168&gt;=Events!$A170,C168&lt;=$B$2,C168+$A168&gt;=$B$1),C168,IF(AND(D168&gt;=Events!$A170,D168&lt;=$B$2,D168+$A168&gt;=$B$1),D168,""))),IF(AND(Events!$A170&lt;=$B$2,Events!$A170+$A168&gt;=$B$1),Events!$A170,"")),""))</f>
        <v/>
      </c>
      <c r="F168">
        <f>IF(E168="","",E168+A168)</f>
        <v/>
      </c>
      <c r="G168">
        <f>IF(E168="","",IF(AND(E168&lt;=EOMONTH(Calendar!$K$2,0),F168&gt;=Calendar!$K$2),E168+165/100000,""))</f>
        <v/>
      </c>
      <c r="H168">
        <f>H167+IF(AND($E168&lt;&gt;"",$E168&lt;=H$2,$F168&gt;=H$2),1,0)</f>
        <v/>
      </c>
      <c r="I168">
        <f>I167+IF(AND($E168&lt;&gt;"",$E168&lt;=I$2,$F168&gt;=I$2),1,0)</f>
        <v/>
      </c>
      <c r="J168">
        <f>J167+IF(AND($E168&lt;&gt;"",$E168&lt;=J$2,$F168&gt;=J$2),1,0)</f>
        <v/>
      </c>
      <c r="K168">
        <f>K167+IF(AND($E168&lt;&gt;"",$E168&lt;=K$2,$F168&gt;=K$2),1,0)</f>
        <v/>
      </c>
      <c r="L168">
        <f>L167+IF(AND($E168&lt;&gt;"",$E168&lt;=L$2,$F168&gt;=L$2),1,0)</f>
        <v/>
      </c>
      <c r="M168">
        <f>M167+IF(AND($E168&lt;&gt;"",$E168&lt;=M$2,$F168&gt;=M$2),1,0)</f>
        <v/>
      </c>
      <c r="N168">
        <f>N167+IF(AND($E168&lt;&gt;"",$E168&lt;=N$2,$F168&gt;=N$2),1,0)</f>
        <v/>
      </c>
      <c r="O168">
        <f>O167+IF(AND($E168&lt;&gt;"",$E168&lt;=O$2,$F168&gt;=O$2),1,0)</f>
        <v/>
      </c>
      <c r="P168">
        <f>P167+IF(AND($E168&lt;&gt;"",$E168&lt;=P$2,$F168&gt;=P$2),1,0)</f>
        <v/>
      </c>
      <c r="Q168">
        <f>Q167+IF(AND($E168&lt;&gt;"",$E168&lt;=Q$2,$F168&gt;=Q$2),1,0)</f>
        <v/>
      </c>
      <c r="R168">
        <f>R167+IF(AND($E168&lt;&gt;"",$E168&lt;=R$2,$F168&gt;=R$2),1,0)</f>
        <v/>
      </c>
      <c r="S168">
        <f>S167+IF(AND($E168&lt;&gt;"",$E168&lt;=S$2,$F168&gt;=S$2),1,0)</f>
        <v/>
      </c>
      <c r="T168">
        <f>T167+IF(AND($E168&lt;&gt;"",$E168&lt;=T$2,$F168&gt;=T$2),1,0)</f>
        <v/>
      </c>
      <c r="U168">
        <f>U167+IF(AND($E168&lt;&gt;"",$E168&lt;=U$2,$F168&gt;=U$2),1,0)</f>
        <v/>
      </c>
      <c r="V168">
        <f>V167+IF(AND($E168&lt;&gt;"",$E168&lt;=V$2,$F168&gt;=V$2),1,0)</f>
        <v/>
      </c>
      <c r="W168">
        <f>W167+IF(AND($E168&lt;&gt;"",$E168&lt;=W$2,$F168&gt;=W$2),1,0)</f>
        <v/>
      </c>
      <c r="X168">
        <f>X167+IF(AND($E168&lt;&gt;"",$E168&lt;=X$2,$F168&gt;=X$2),1,0)</f>
        <v/>
      </c>
      <c r="Y168">
        <f>Y167+IF(AND($E168&lt;&gt;"",$E168&lt;=Y$2,$F168&gt;=Y$2),1,0)</f>
        <v/>
      </c>
      <c r="Z168">
        <f>Z167+IF(AND($E168&lt;&gt;"",$E168&lt;=Z$2,$F168&gt;=Z$2),1,0)</f>
        <v/>
      </c>
      <c r="AA168">
        <f>AA167+IF(AND($E168&lt;&gt;"",$E168&lt;=AA$2,$F168&gt;=AA$2),1,0)</f>
        <v/>
      </c>
      <c r="AB168">
        <f>AB167+IF(AND($E168&lt;&gt;"",$E168&lt;=AB$2,$F168&gt;=AB$2),1,0)</f>
        <v/>
      </c>
      <c r="AC168">
        <f>AC167+IF(AND($E168&lt;&gt;"",$E168&lt;=AC$2,$F168&gt;=AC$2),1,0)</f>
        <v/>
      </c>
      <c r="AD168">
        <f>AD167+IF(AND($E168&lt;&gt;"",$E168&lt;=AD$2,$F168&gt;=AD$2),1,0)</f>
        <v/>
      </c>
      <c r="AE168">
        <f>AE167+IF(AND($E168&lt;&gt;"",$E168&lt;=AE$2,$F168&gt;=AE$2),1,0)</f>
        <v/>
      </c>
      <c r="AF168">
        <f>AF167+IF(AND($E168&lt;&gt;"",$E168&lt;=AF$2,$F168&gt;=AF$2),1,0)</f>
        <v/>
      </c>
      <c r="AG168">
        <f>AG167+IF(AND($E168&lt;&gt;"",$E168&lt;=AG$2,$F168&gt;=AG$2),1,0)</f>
        <v/>
      </c>
      <c r="AH168">
        <f>AH167+IF(AND($E168&lt;&gt;"",$E168&lt;=AH$2,$F168&gt;=AH$2),1,0)</f>
        <v/>
      </c>
      <c r="AI168">
        <f>AI167+IF(AND($E168&lt;&gt;"",$E168&lt;=AI$2,$F168&gt;=AI$2),1,0)</f>
        <v/>
      </c>
      <c r="AJ168">
        <f>AJ167+IF(AND($E168&lt;&gt;"",$E168&lt;=AJ$2,$F168&gt;=AJ$2),1,0)</f>
        <v/>
      </c>
      <c r="AK168">
        <f>AK167+IF(AND($E168&lt;&gt;"",$E168&lt;=AK$2,$F168&gt;=AK$2),1,0)</f>
        <v/>
      </c>
      <c r="AL168">
        <f>AL167+IF(AND($E168&lt;&gt;"",$E168&lt;=AL$2,$F168&gt;=AL$2),1,0)</f>
        <v/>
      </c>
      <c r="AM168">
        <f>AM167+IF(AND($E168&lt;&gt;"",$E168&lt;=AM$2,$F168&gt;=AM$2),1,0)</f>
        <v/>
      </c>
      <c r="AN168">
        <f>AN167+IF(AND($E168&lt;&gt;"",$E168&lt;=AN$2,$F168&gt;=AN$2),1,0)</f>
        <v/>
      </c>
      <c r="AO168">
        <f>AO167+IF(AND($E168&lt;&gt;"",$E168&lt;=AO$2,$F168&gt;=AO$2),1,0)</f>
        <v/>
      </c>
      <c r="AP168">
        <f>AP167+IF(AND($E168&lt;&gt;"",$E168&lt;=AP$2,$F168&gt;=AP$2),1,0)</f>
        <v/>
      </c>
      <c r="AQ168">
        <f>AQ167+IF(AND($E168&lt;&gt;"",$E168&lt;=AQ$2,$F168&gt;=AQ$2),1,0)</f>
        <v/>
      </c>
      <c r="AR168">
        <f>AR167+IF(AND($E168&lt;&gt;"",$E168&lt;=AR$2,$F168&gt;=AR$2),1,0)</f>
        <v/>
      </c>
      <c r="AS168">
        <f>AS167+IF(AND($E168&lt;&gt;"",$E168&lt;=AS$2,$F168&gt;=AS$2),1,0)</f>
        <v/>
      </c>
      <c r="AT168">
        <f>AT167+IF(AND($E168&lt;&gt;"",$E168&lt;=AT$2,$F168&gt;=AT$2),1,0)</f>
        <v/>
      </c>
      <c r="AU168">
        <f>AU167+IF(AND($E168&lt;&gt;"",$E168&lt;=AU$2,$F168&gt;=AU$2),1,0)</f>
        <v/>
      </c>
      <c r="AV168">
        <f>AV167+IF(AND($E168&lt;&gt;"",$E168&lt;=AV$2,$F168&gt;=AV$2),1,0)</f>
        <v/>
      </c>
      <c r="AW168">
        <f>AW167+IF(AND($E168&lt;&gt;"",$E168&lt;=AW$2,$F168&gt;=AW$2),1,0)</f>
        <v/>
      </c>
    </row>
    <row r="169">
      <c r="A169">
        <f>IF(AND(ISNUMBER(Events!$A171),ISNUMBER(Events!$B171)),MAX(0,Events!$B171-Events!$A171),0)</f>
        <v/>
      </c>
      <c r="B169">
        <f>IF(ISNUMBER(Events!$A171),DATE(YEAR($B$1)-1,MONTH(Events!$A171),DAY(Events!$A171)),"")</f>
        <v/>
      </c>
      <c r="C169">
        <f>IF(ISNUMBER(Events!$A171),DATE(YEAR($B$1),MONTH(Events!$A171),DAY(Events!$A171)),"")</f>
        <v/>
      </c>
      <c r="D169">
        <f>IF(ISNUMBER(Events!$A171),DATE(YEAR($B$2),MONTH(Events!$A171),DAY(Events!$A171)),"")</f>
        <v/>
      </c>
      <c r="E169">
        <f>IF(OR(NOT(ISNUMBER(Events!$A171)),Events!$G171="No",Calendar!$H$4="None"),"",IF(OR(Calendar!$H$4="All events",Events!$D171=Calendar!$H$4),IF(Events!$E171="Yes",IF(AND(B169&gt;=Events!$A171,B169&lt;=$B$2,B169+$A169&gt;=$B$1),B169,IF(AND(C169&gt;=Events!$A171,C169&lt;=$B$2,C169+$A169&gt;=$B$1),C169,IF(AND(D169&gt;=Events!$A171,D169&lt;=$B$2,D169+$A169&gt;=$B$1),D169,""))),IF(AND(Events!$A171&lt;=$B$2,Events!$A171+$A169&gt;=$B$1),Events!$A171,"")),""))</f>
        <v/>
      </c>
      <c r="F169">
        <f>IF(E169="","",E169+A169)</f>
        <v/>
      </c>
      <c r="G169">
        <f>IF(E169="","",IF(AND(E169&lt;=EOMONTH(Calendar!$K$2,0),F169&gt;=Calendar!$K$2),E169+166/100000,""))</f>
        <v/>
      </c>
      <c r="H169">
        <f>H168+IF(AND($E169&lt;&gt;"",$E169&lt;=H$2,$F169&gt;=H$2),1,0)</f>
        <v/>
      </c>
      <c r="I169">
        <f>I168+IF(AND($E169&lt;&gt;"",$E169&lt;=I$2,$F169&gt;=I$2),1,0)</f>
        <v/>
      </c>
      <c r="J169">
        <f>J168+IF(AND($E169&lt;&gt;"",$E169&lt;=J$2,$F169&gt;=J$2),1,0)</f>
        <v/>
      </c>
      <c r="K169">
        <f>K168+IF(AND($E169&lt;&gt;"",$E169&lt;=K$2,$F169&gt;=K$2),1,0)</f>
        <v/>
      </c>
      <c r="L169">
        <f>L168+IF(AND($E169&lt;&gt;"",$E169&lt;=L$2,$F169&gt;=L$2),1,0)</f>
        <v/>
      </c>
      <c r="M169">
        <f>M168+IF(AND($E169&lt;&gt;"",$E169&lt;=M$2,$F169&gt;=M$2),1,0)</f>
        <v/>
      </c>
      <c r="N169">
        <f>N168+IF(AND($E169&lt;&gt;"",$E169&lt;=N$2,$F169&gt;=N$2),1,0)</f>
        <v/>
      </c>
      <c r="O169">
        <f>O168+IF(AND($E169&lt;&gt;"",$E169&lt;=O$2,$F169&gt;=O$2),1,0)</f>
        <v/>
      </c>
      <c r="P169">
        <f>P168+IF(AND($E169&lt;&gt;"",$E169&lt;=P$2,$F169&gt;=P$2),1,0)</f>
        <v/>
      </c>
      <c r="Q169">
        <f>Q168+IF(AND($E169&lt;&gt;"",$E169&lt;=Q$2,$F169&gt;=Q$2),1,0)</f>
        <v/>
      </c>
      <c r="R169">
        <f>R168+IF(AND($E169&lt;&gt;"",$E169&lt;=R$2,$F169&gt;=R$2),1,0)</f>
        <v/>
      </c>
      <c r="S169">
        <f>S168+IF(AND($E169&lt;&gt;"",$E169&lt;=S$2,$F169&gt;=S$2),1,0)</f>
        <v/>
      </c>
      <c r="T169">
        <f>T168+IF(AND($E169&lt;&gt;"",$E169&lt;=T$2,$F169&gt;=T$2),1,0)</f>
        <v/>
      </c>
      <c r="U169">
        <f>U168+IF(AND($E169&lt;&gt;"",$E169&lt;=U$2,$F169&gt;=U$2),1,0)</f>
        <v/>
      </c>
      <c r="V169">
        <f>V168+IF(AND($E169&lt;&gt;"",$E169&lt;=V$2,$F169&gt;=V$2),1,0)</f>
        <v/>
      </c>
      <c r="W169">
        <f>W168+IF(AND($E169&lt;&gt;"",$E169&lt;=W$2,$F169&gt;=W$2),1,0)</f>
        <v/>
      </c>
      <c r="X169">
        <f>X168+IF(AND($E169&lt;&gt;"",$E169&lt;=X$2,$F169&gt;=X$2),1,0)</f>
        <v/>
      </c>
      <c r="Y169">
        <f>Y168+IF(AND($E169&lt;&gt;"",$E169&lt;=Y$2,$F169&gt;=Y$2),1,0)</f>
        <v/>
      </c>
      <c r="Z169">
        <f>Z168+IF(AND($E169&lt;&gt;"",$E169&lt;=Z$2,$F169&gt;=Z$2),1,0)</f>
        <v/>
      </c>
      <c r="AA169">
        <f>AA168+IF(AND($E169&lt;&gt;"",$E169&lt;=AA$2,$F169&gt;=AA$2),1,0)</f>
        <v/>
      </c>
      <c r="AB169">
        <f>AB168+IF(AND($E169&lt;&gt;"",$E169&lt;=AB$2,$F169&gt;=AB$2),1,0)</f>
        <v/>
      </c>
      <c r="AC169">
        <f>AC168+IF(AND($E169&lt;&gt;"",$E169&lt;=AC$2,$F169&gt;=AC$2),1,0)</f>
        <v/>
      </c>
      <c r="AD169">
        <f>AD168+IF(AND($E169&lt;&gt;"",$E169&lt;=AD$2,$F169&gt;=AD$2),1,0)</f>
        <v/>
      </c>
      <c r="AE169">
        <f>AE168+IF(AND($E169&lt;&gt;"",$E169&lt;=AE$2,$F169&gt;=AE$2),1,0)</f>
        <v/>
      </c>
      <c r="AF169">
        <f>AF168+IF(AND($E169&lt;&gt;"",$E169&lt;=AF$2,$F169&gt;=AF$2),1,0)</f>
        <v/>
      </c>
      <c r="AG169">
        <f>AG168+IF(AND($E169&lt;&gt;"",$E169&lt;=AG$2,$F169&gt;=AG$2),1,0)</f>
        <v/>
      </c>
      <c r="AH169">
        <f>AH168+IF(AND($E169&lt;&gt;"",$E169&lt;=AH$2,$F169&gt;=AH$2),1,0)</f>
        <v/>
      </c>
      <c r="AI169">
        <f>AI168+IF(AND($E169&lt;&gt;"",$E169&lt;=AI$2,$F169&gt;=AI$2),1,0)</f>
        <v/>
      </c>
      <c r="AJ169">
        <f>AJ168+IF(AND($E169&lt;&gt;"",$E169&lt;=AJ$2,$F169&gt;=AJ$2),1,0)</f>
        <v/>
      </c>
      <c r="AK169">
        <f>AK168+IF(AND($E169&lt;&gt;"",$E169&lt;=AK$2,$F169&gt;=AK$2),1,0)</f>
        <v/>
      </c>
      <c r="AL169">
        <f>AL168+IF(AND($E169&lt;&gt;"",$E169&lt;=AL$2,$F169&gt;=AL$2),1,0)</f>
        <v/>
      </c>
      <c r="AM169">
        <f>AM168+IF(AND($E169&lt;&gt;"",$E169&lt;=AM$2,$F169&gt;=AM$2),1,0)</f>
        <v/>
      </c>
      <c r="AN169">
        <f>AN168+IF(AND($E169&lt;&gt;"",$E169&lt;=AN$2,$F169&gt;=AN$2),1,0)</f>
        <v/>
      </c>
      <c r="AO169">
        <f>AO168+IF(AND($E169&lt;&gt;"",$E169&lt;=AO$2,$F169&gt;=AO$2),1,0)</f>
        <v/>
      </c>
      <c r="AP169">
        <f>AP168+IF(AND($E169&lt;&gt;"",$E169&lt;=AP$2,$F169&gt;=AP$2),1,0)</f>
        <v/>
      </c>
      <c r="AQ169">
        <f>AQ168+IF(AND($E169&lt;&gt;"",$E169&lt;=AQ$2,$F169&gt;=AQ$2),1,0)</f>
        <v/>
      </c>
      <c r="AR169">
        <f>AR168+IF(AND($E169&lt;&gt;"",$E169&lt;=AR$2,$F169&gt;=AR$2),1,0)</f>
        <v/>
      </c>
      <c r="AS169">
        <f>AS168+IF(AND($E169&lt;&gt;"",$E169&lt;=AS$2,$F169&gt;=AS$2),1,0)</f>
        <v/>
      </c>
      <c r="AT169">
        <f>AT168+IF(AND($E169&lt;&gt;"",$E169&lt;=AT$2,$F169&gt;=AT$2),1,0)</f>
        <v/>
      </c>
      <c r="AU169">
        <f>AU168+IF(AND($E169&lt;&gt;"",$E169&lt;=AU$2,$F169&gt;=AU$2),1,0)</f>
        <v/>
      </c>
      <c r="AV169">
        <f>AV168+IF(AND($E169&lt;&gt;"",$E169&lt;=AV$2,$F169&gt;=AV$2),1,0)</f>
        <v/>
      </c>
      <c r="AW169">
        <f>AW168+IF(AND($E169&lt;&gt;"",$E169&lt;=AW$2,$F169&gt;=AW$2),1,0)</f>
        <v/>
      </c>
    </row>
    <row r="170">
      <c r="A170">
        <f>IF(AND(ISNUMBER(Events!$A172),ISNUMBER(Events!$B172)),MAX(0,Events!$B172-Events!$A172),0)</f>
        <v/>
      </c>
      <c r="B170">
        <f>IF(ISNUMBER(Events!$A172),DATE(YEAR($B$1)-1,MONTH(Events!$A172),DAY(Events!$A172)),"")</f>
        <v/>
      </c>
      <c r="C170">
        <f>IF(ISNUMBER(Events!$A172),DATE(YEAR($B$1),MONTH(Events!$A172),DAY(Events!$A172)),"")</f>
        <v/>
      </c>
      <c r="D170">
        <f>IF(ISNUMBER(Events!$A172),DATE(YEAR($B$2),MONTH(Events!$A172),DAY(Events!$A172)),"")</f>
        <v/>
      </c>
      <c r="E170">
        <f>IF(OR(NOT(ISNUMBER(Events!$A172)),Events!$G172="No",Calendar!$H$4="None"),"",IF(OR(Calendar!$H$4="All events",Events!$D172=Calendar!$H$4),IF(Events!$E172="Yes",IF(AND(B170&gt;=Events!$A172,B170&lt;=$B$2,B170+$A170&gt;=$B$1),B170,IF(AND(C170&gt;=Events!$A172,C170&lt;=$B$2,C170+$A170&gt;=$B$1),C170,IF(AND(D170&gt;=Events!$A172,D170&lt;=$B$2,D170+$A170&gt;=$B$1),D170,""))),IF(AND(Events!$A172&lt;=$B$2,Events!$A172+$A170&gt;=$B$1),Events!$A172,"")),""))</f>
        <v/>
      </c>
      <c r="F170">
        <f>IF(E170="","",E170+A170)</f>
        <v/>
      </c>
      <c r="G170">
        <f>IF(E170="","",IF(AND(E170&lt;=EOMONTH(Calendar!$K$2,0),F170&gt;=Calendar!$K$2),E170+167/100000,""))</f>
        <v/>
      </c>
      <c r="H170">
        <f>H169+IF(AND($E170&lt;&gt;"",$E170&lt;=H$2,$F170&gt;=H$2),1,0)</f>
        <v/>
      </c>
      <c r="I170">
        <f>I169+IF(AND($E170&lt;&gt;"",$E170&lt;=I$2,$F170&gt;=I$2),1,0)</f>
        <v/>
      </c>
      <c r="J170">
        <f>J169+IF(AND($E170&lt;&gt;"",$E170&lt;=J$2,$F170&gt;=J$2),1,0)</f>
        <v/>
      </c>
      <c r="K170">
        <f>K169+IF(AND($E170&lt;&gt;"",$E170&lt;=K$2,$F170&gt;=K$2),1,0)</f>
        <v/>
      </c>
      <c r="L170">
        <f>L169+IF(AND($E170&lt;&gt;"",$E170&lt;=L$2,$F170&gt;=L$2),1,0)</f>
        <v/>
      </c>
      <c r="M170">
        <f>M169+IF(AND($E170&lt;&gt;"",$E170&lt;=M$2,$F170&gt;=M$2),1,0)</f>
        <v/>
      </c>
      <c r="N170">
        <f>N169+IF(AND($E170&lt;&gt;"",$E170&lt;=N$2,$F170&gt;=N$2),1,0)</f>
        <v/>
      </c>
      <c r="O170">
        <f>O169+IF(AND($E170&lt;&gt;"",$E170&lt;=O$2,$F170&gt;=O$2),1,0)</f>
        <v/>
      </c>
      <c r="P170">
        <f>P169+IF(AND($E170&lt;&gt;"",$E170&lt;=P$2,$F170&gt;=P$2),1,0)</f>
        <v/>
      </c>
      <c r="Q170">
        <f>Q169+IF(AND($E170&lt;&gt;"",$E170&lt;=Q$2,$F170&gt;=Q$2),1,0)</f>
        <v/>
      </c>
      <c r="R170">
        <f>R169+IF(AND($E170&lt;&gt;"",$E170&lt;=R$2,$F170&gt;=R$2),1,0)</f>
        <v/>
      </c>
      <c r="S170">
        <f>S169+IF(AND($E170&lt;&gt;"",$E170&lt;=S$2,$F170&gt;=S$2),1,0)</f>
        <v/>
      </c>
      <c r="T170">
        <f>T169+IF(AND($E170&lt;&gt;"",$E170&lt;=T$2,$F170&gt;=T$2),1,0)</f>
        <v/>
      </c>
      <c r="U170">
        <f>U169+IF(AND($E170&lt;&gt;"",$E170&lt;=U$2,$F170&gt;=U$2),1,0)</f>
        <v/>
      </c>
      <c r="V170">
        <f>V169+IF(AND($E170&lt;&gt;"",$E170&lt;=V$2,$F170&gt;=V$2),1,0)</f>
        <v/>
      </c>
      <c r="W170">
        <f>W169+IF(AND($E170&lt;&gt;"",$E170&lt;=W$2,$F170&gt;=W$2),1,0)</f>
        <v/>
      </c>
      <c r="X170">
        <f>X169+IF(AND($E170&lt;&gt;"",$E170&lt;=X$2,$F170&gt;=X$2),1,0)</f>
        <v/>
      </c>
      <c r="Y170">
        <f>Y169+IF(AND($E170&lt;&gt;"",$E170&lt;=Y$2,$F170&gt;=Y$2),1,0)</f>
        <v/>
      </c>
      <c r="Z170">
        <f>Z169+IF(AND($E170&lt;&gt;"",$E170&lt;=Z$2,$F170&gt;=Z$2),1,0)</f>
        <v/>
      </c>
      <c r="AA170">
        <f>AA169+IF(AND($E170&lt;&gt;"",$E170&lt;=AA$2,$F170&gt;=AA$2),1,0)</f>
        <v/>
      </c>
      <c r="AB170">
        <f>AB169+IF(AND($E170&lt;&gt;"",$E170&lt;=AB$2,$F170&gt;=AB$2),1,0)</f>
        <v/>
      </c>
      <c r="AC170">
        <f>AC169+IF(AND($E170&lt;&gt;"",$E170&lt;=AC$2,$F170&gt;=AC$2),1,0)</f>
        <v/>
      </c>
      <c r="AD170">
        <f>AD169+IF(AND($E170&lt;&gt;"",$E170&lt;=AD$2,$F170&gt;=AD$2),1,0)</f>
        <v/>
      </c>
      <c r="AE170">
        <f>AE169+IF(AND($E170&lt;&gt;"",$E170&lt;=AE$2,$F170&gt;=AE$2),1,0)</f>
        <v/>
      </c>
      <c r="AF170">
        <f>AF169+IF(AND($E170&lt;&gt;"",$E170&lt;=AF$2,$F170&gt;=AF$2),1,0)</f>
        <v/>
      </c>
      <c r="AG170">
        <f>AG169+IF(AND($E170&lt;&gt;"",$E170&lt;=AG$2,$F170&gt;=AG$2),1,0)</f>
        <v/>
      </c>
      <c r="AH170">
        <f>AH169+IF(AND($E170&lt;&gt;"",$E170&lt;=AH$2,$F170&gt;=AH$2),1,0)</f>
        <v/>
      </c>
      <c r="AI170">
        <f>AI169+IF(AND($E170&lt;&gt;"",$E170&lt;=AI$2,$F170&gt;=AI$2),1,0)</f>
        <v/>
      </c>
      <c r="AJ170">
        <f>AJ169+IF(AND($E170&lt;&gt;"",$E170&lt;=AJ$2,$F170&gt;=AJ$2),1,0)</f>
        <v/>
      </c>
      <c r="AK170">
        <f>AK169+IF(AND($E170&lt;&gt;"",$E170&lt;=AK$2,$F170&gt;=AK$2),1,0)</f>
        <v/>
      </c>
      <c r="AL170">
        <f>AL169+IF(AND($E170&lt;&gt;"",$E170&lt;=AL$2,$F170&gt;=AL$2),1,0)</f>
        <v/>
      </c>
      <c r="AM170">
        <f>AM169+IF(AND($E170&lt;&gt;"",$E170&lt;=AM$2,$F170&gt;=AM$2),1,0)</f>
        <v/>
      </c>
      <c r="AN170">
        <f>AN169+IF(AND($E170&lt;&gt;"",$E170&lt;=AN$2,$F170&gt;=AN$2),1,0)</f>
        <v/>
      </c>
      <c r="AO170">
        <f>AO169+IF(AND($E170&lt;&gt;"",$E170&lt;=AO$2,$F170&gt;=AO$2),1,0)</f>
        <v/>
      </c>
      <c r="AP170">
        <f>AP169+IF(AND($E170&lt;&gt;"",$E170&lt;=AP$2,$F170&gt;=AP$2),1,0)</f>
        <v/>
      </c>
      <c r="AQ170">
        <f>AQ169+IF(AND($E170&lt;&gt;"",$E170&lt;=AQ$2,$F170&gt;=AQ$2),1,0)</f>
        <v/>
      </c>
      <c r="AR170">
        <f>AR169+IF(AND($E170&lt;&gt;"",$E170&lt;=AR$2,$F170&gt;=AR$2),1,0)</f>
        <v/>
      </c>
      <c r="AS170">
        <f>AS169+IF(AND($E170&lt;&gt;"",$E170&lt;=AS$2,$F170&gt;=AS$2),1,0)</f>
        <v/>
      </c>
      <c r="AT170">
        <f>AT169+IF(AND($E170&lt;&gt;"",$E170&lt;=AT$2,$F170&gt;=AT$2),1,0)</f>
        <v/>
      </c>
      <c r="AU170">
        <f>AU169+IF(AND($E170&lt;&gt;"",$E170&lt;=AU$2,$F170&gt;=AU$2),1,0)</f>
        <v/>
      </c>
      <c r="AV170">
        <f>AV169+IF(AND($E170&lt;&gt;"",$E170&lt;=AV$2,$F170&gt;=AV$2),1,0)</f>
        <v/>
      </c>
      <c r="AW170">
        <f>AW169+IF(AND($E170&lt;&gt;"",$E170&lt;=AW$2,$F170&gt;=AW$2),1,0)</f>
        <v/>
      </c>
    </row>
    <row r="171">
      <c r="A171">
        <f>IF(AND(ISNUMBER(Events!$A173),ISNUMBER(Events!$B173)),MAX(0,Events!$B173-Events!$A173),0)</f>
        <v/>
      </c>
      <c r="B171">
        <f>IF(ISNUMBER(Events!$A173),DATE(YEAR($B$1)-1,MONTH(Events!$A173),DAY(Events!$A173)),"")</f>
        <v/>
      </c>
      <c r="C171">
        <f>IF(ISNUMBER(Events!$A173),DATE(YEAR($B$1),MONTH(Events!$A173),DAY(Events!$A173)),"")</f>
        <v/>
      </c>
      <c r="D171">
        <f>IF(ISNUMBER(Events!$A173),DATE(YEAR($B$2),MONTH(Events!$A173),DAY(Events!$A173)),"")</f>
        <v/>
      </c>
      <c r="E171">
        <f>IF(OR(NOT(ISNUMBER(Events!$A173)),Events!$G173="No",Calendar!$H$4="None"),"",IF(OR(Calendar!$H$4="All events",Events!$D173=Calendar!$H$4),IF(Events!$E173="Yes",IF(AND(B171&gt;=Events!$A173,B171&lt;=$B$2,B171+$A171&gt;=$B$1),B171,IF(AND(C171&gt;=Events!$A173,C171&lt;=$B$2,C171+$A171&gt;=$B$1),C171,IF(AND(D171&gt;=Events!$A173,D171&lt;=$B$2,D171+$A171&gt;=$B$1),D171,""))),IF(AND(Events!$A173&lt;=$B$2,Events!$A173+$A171&gt;=$B$1),Events!$A173,"")),""))</f>
        <v/>
      </c>
      <c r="F171">
        <f>IF(E171="","",E171+A171)</f>
        <v/>
      </c>
      <c r="G171">
        <f>IF(E171="","",IF(AND(E171&lt;=EOMONTH(Calendar!$K$2,0),F171&gt;=Calendar!$K$2),E171+168/100000,""))</f>
        <v/>
      </c>
      <c r="H171">
        <f>H170+IF(AND($E171&lt;&gt;"",$E171&lt;=H$2,$F171&gt;=H$2),1,0)</f>
        <v/>
      </c>
      <c r="I171">
        <f>I170+IF(AND($E171&lt;&gt;"",$E171&lt;=I$2,$F171&gt;=I$2),1,0)</f>
        <v/>
      </c>
      <c r="J171">
        <f>J170+IF(AND($E171&lt;&gt;"",$E171&lt;=J$2,$F171&gt;=J$2),1,0)</f>
        <v/>
      </c>
      <c r="K171">
        <f>K170+IF(AND($E171&lt;&gt;"",$E171&lt;=K$2,$F171&gt;=K$2),1,0)</f>
        <v/>
      </c>
      <c r="L171">
        <f>L170+IF(AND($E171&lt;&gt;"",$E171&lt;=L$2,$F171&gt;=L$2),1,0)</f>
        <v/>
      </c>
      <c r="M171">
        <f>M170+IF(AND($E171&lt;&gt;"",$E171&lt;=M$2,$F171&gt;=M$2),1,0)</f>
        <v/>
      </c>
      <c r="N171">
        <f>N170+IF(AND($E171&lt;&gt;"",$E171&lt;=N$2,$F171&gt;=N$2),1,0)</f>
        <v/>
      </c>
      <c r="O171">
        <f>O170+IF(AND($E171&lt;&gt;"",$E171&lt;=O$2,$F171&gt;=O$2),1,0)</f>
        <v/>
      </c>
      <c r="P171">
        <f>P170+IF(AND($E171&lt;&gt;"",$E171&lt;=P$2,$F171&gt;=P$2),1,0)</f>
        <v/>
      </c>
      <c r="Q171">
        <f>Q170+IF(AND($E171&lt;&gt;"",$E171&lt;=Q$2,$F171&gt;=Q$2),1,0)</f>
        <v/>
      </c>
      <c r="R171">
        <f>R170+IF(AND($E171&lt;&gt;"",$E171&lt;=R$2,$F171&gt;=R$2),1,0)</f>
        <v/>
      </c>
      <c r="S171">
        <f>S170+IF(AND($E171&lt;&gt;"",$E171&lt;=S$2,$F171&gt;=S$2),1,0)</f>
        <v/>
      </c>
      <c r="T171">
        <f>T170+IF(AND($E171&lt;&gt;"",$E171&lt;=T$2,$F171&gt;=T$2),1,0)</f>
        <v/>
      </c>
      <c r="U171">
        <f>U170+IF(AND($E171&lt;&gt;"",$E171&lt;=U$2,$F171&gt;=U$2),1,0)</f>
        <v/>
      </c>
      <c r="V171">
        <f>V170+IF(AND($E171&lt;&gt;"",$E171&lt;=V$2,$F171&gt;=V$2),1,0)</f>
        <v/>
      </c>
      <c r="W171">
        <f>W170+IF(AND($E171&lt;&gt;"",$E171&lt;=W$2,$F171&gt;=W$2),1,0)</f>
        <v/>
      </c>
      <c r="X171">
        <f>X170+IF(AND($E171&lt;&gt;"",$E171&lt;=X$2,$F171&gt;=X$2),1,0)</f>
        <v/>
      </c>
      <c r="Y171">
        <f>Y170+IF(AND($E171&lt;&gt;"",$E171&lt;=Y$2,$F171&gt;=Y$2),1,0)</f>
        <v/>
      </c>
      <c r="Z171">
        <f>Z170+IF(AND($E171&lt;&gt;"",$E171&lt;=Z$2,$F171&gt;=Z$2),1,0)</f>
        <v/>
      </c>
      <c r="AA171">
        <f>AA170+IF(AND($E171&lt;&gt;"",$E171&lt;=AA$2,$F171&gt;=AA$2),1,0)</f>
        <v/>
      </c>
      <c r="AB171">
        <f>AB170+IF(AND($E171&lt;&gt;"",$E171&lt;=AB$2,$F171&gt;=AB$2),1,0)</f>
        <v/>
      </c>
      <c r="AC171">
        <f>AC170+IF(AND($E171&lt;&gt;"",$E171&lt;=AC$2,$F171&gt;=AC$2),1,0)</f>
        <v/>
      </c>
      <c r="AD171">
        <f>AD170+IF(AND($E171&lt;&gt;"",$E171&lt;=AD$2,$F171&gt;=AD$2),1,0)</f>
        <v/>
      </c>
      <c r="AE171">
        <f>AE170+IF(AND($E171&lt;&gt;"",$E171&lt;=AE$2,$F171&gt;=AE$2),1,0)</f>
        <v/>
      </c>
      <c r="AF171">
        <f>AF170+IF(AND($E171&lt;&gt;"",$E171&lt;=AF$2,$F171&gt;=AF$2),1,0)</f>
        <v/>
      </c>
      <c r="AG171">
        <f>AG170+IF(AND($E171&lt;&gt;"",$E171&lt;=AG$2,$F171&gt;=AG$2),1,0)</f>
        <v/>
      </c>
      <c r="AH171">
        <f>AH170+IF(AND($E171&lt;&gt;"",$E171&lt;=AH$2,$F171&gt;=AH$2),1,0)</f>
        <v/>
      </c>
      <c r="AI171">
        <f>AI170+IF(AND($E171&lt;&gt;"",$E171&lt;=AI$2,$F171&gt;=AI$2),1,0)</f>
        <v/>
      </c>
      <c r="AJ171">
        <f>AJ170+IF(AND($E171&lt;&gt;"",$E171&lt;=AJ$2,$F171&gt;=AJ$2),1,0)</f>
        <v/>
      </c>
      <c r="AK171">
        <f>AK170+IF(AND($E171&lt;&gt;"",$E171&lt;=AK$2,$F171&gt;=AK$2),1,0)</f>
        <v/>
      </c>
      <c r="AL171">
        <f>AL170+IF(AND($E171&lt;&gt;"",$E171&lt;=AL$2,$F171&gt;=AL$2),1,0)</f>
        <v/>
      </c>
      <c r="AM171">
        <f>AM170+IF(AND($E171&lt;&gt;"",$E171&lt;=AM$2,$F171&gt;=AM$2),1,0)</f>
        <v/>
      </c>
      <c r="AN171">
        <f>AN170+IF(AND($E171&lt;&gt;"",$E171&lt;=AN$2,$F171&gt;=AN$2),1,0)</f>
        <v/>
      </c>
      <c r="AO171">
        <f>AO170+IF(AND($E171&lt;&gt;"",$E171&lt;=AO$2,$F171&gt;=AO$2),1,0)</f>
        <v/>
      </c>
      <c r="AP171">
        <f>AP170+IF(AND($E171&lt;&gt;"",$E171&lt;=AP$2,$F171&gt;=AP$2),1,0)</f>
        <v/>
      </c>
      <c r="AQ171">
        <f>AQ170+IF(AND($E171&lt;&gt;"",$E171&lt;=AQ$2,$F171&gt;=AQ$2),1,0)</f>
        <v/>
      </c>
      <c r="AR171">
        <f>AR170+IF(AND($E171&lt;&gt;"",$E171&lt;=AR$2,$F171&gt;=AR$2),1,0)</f>
        <v/>
      </c>
      <c r="AS171">
        <f>AS170+IF(AND($E171&lt;&gt;"",$E171&lt;=AS$2,$F171&gt;=AS$2),1,0)</f>
        <v/>
      </c>
      <c r="AT171">
        <f>AT170+IF(AND($E171&lt;&gt;"",$E171&lt;=AT$2,$F171&gt;=AT$2),1,0)</f>
        <v/>
      </c>
      <c r="AU171">
        <f>AU170+IF(AND($E171&lt;&gt;"",$E171&lt;=AU$2,$F171&gt;=AU$2),1,0)</f>
        <v/>
      </c>
      <c r="AV171">
        <f>AV170+IF(AND($E171&lt;&gt;"",$E171&lt;=AV$2,$F171&gt;=AV$2),1,0)</f>
        <v/>
      </c>
      <c r="AW171">
        <f>AW170+IF(AND($E171&lt;&gt;"",$E171&lt;=AW$2,$F171&gt;=AW$2),1,0)</f>
        <v/>
      </c>
    </row>
    <row r="172">
      <c r="A172">
        <f>IF(AND(ISNUMBER(Events!$A174),ISNUMBER(Events!$B174)),MAX(0,Events!$B174-Events!$A174),0)</f>
        <v/>
      </c>
      <c r="B172">
        <f>IF(ISNUMBER(Events!$A174),DATE(YEAR($B$1)-1,MONTH(Events!$A174),DAY(Events!$A174)),"")</f>
        <v/>
      </c>
      <c r="C172">
        <f>IF(ISNUMBER(Events!$A174),DATE(YEAR($B$1),MONTH(Events!$A174),DAY(Events!$A174)),"")</f>
        <v/>
      </c>
      <c r="D172">
        <f>IF(ISNUMBER(Events!$A174),DATE(YEAR($B$2),MONTH(Events!$A174),DAY(Events!$A174)),"")</f>
        <v/>
      </c>
      <c r="E172">
        <f>IF(OR(NOT(ISNUMBER(Events!$A174)),Events!$G174="No",Calendar!$H$4="None"),"",IF(OR(Calendar!$H$4="All events",Events!$D174=Calendar!$H$4),IF(Events!$E174="Yes",IF(AND(B172&gt;=Events!$A174,B172&lt;=$B$2,B172+$A172&gt;=$B$1),B172,IF(AND(C172&gt;=Events!$A174,C172&lt;=$B$2,C172+$A172&gt;=$B$1),C172,IF(AND(D172&gt;=Events!$A174,D172&lt;=$B$2,D172+$A172&gt;=$B$1),D172,""))),IF(AND(Events!$A174&lt;=$B$2,Events!$A174+$A172&gt;=$B$1),Events!$A174,"")),""))</f>
        <v/>
      </c>
      <c r="F172">
        <f>IF(E172="","",E172+A172)</f>
        <v/>
      </c>
      <c r="G172">
        <f>IF(E172="","",IF(AND(E172&lt;=EOMONTH(Calendar!$K$2,0),F172&gt;=Calendar!$K$2),E172+169/100000,""))</f>
        <v/>
      </c>
      <c r="H172">
        <f>H171+IF(AND($E172&lt;&gt;"",$E172&lt;=H$2,$F172&gt;=H$2),1,0)</f>
        <v/>
      </c>
      <c r="I172">
        <f>I171+IF(AND($E172&lt;&gt;"",$E172&lt;=I$2,$F172&gt;=I$2),1,0)</f>
        <v/>
      </c>
      <c r="J172">
        <f>J171+IF(AND($E172&lt;&gt;"",$E172&lt;=J$2,$F172&gt;=J$2),1,0)</f>
        <v/>
      </c>
      <c r="K172">
        <f>K171+IF(AND($E172&lt;&gt;"",$E172&lt;=K$2,$F172&gt;=K$2),1,0)</f>
        <v/>
      </c>
      <c r="L172">
        <f>L171+IF(AND($E172&lt;&gt;"",$E172&lt;=L$2,$F172&gt;=L$2),1,0)</f>
        <v/>
      </c>
      <c r="M172">
        <f>M171+IF(AND($E172&lt;&gt;"",$E172&lt;=M$2,$F172&gt;=M$2),1,0)</f>
        <v/>
      </c>
      <c r="N172">
        <f>N171+IF(AND($E172&lt;&gt;"",$E172&lt;=N$2,$F172&gt;=N$2),1,0)</f>
        <v/>
      </c>
      <c r="O172">
        <f>O171+IF(AND($E172&lt;&gt;"",$E172&lt;=O$2,$F172&gt;=O$2),1,0)</f>
        <v/>
      </c>
      <c r="P172">
        <f>P171+IF(AND($E172&lt;&gt;"",$E172&lt;=P$2,$F172&gt;=P$2),1,0)</f>
        <v/>
      </c>
      <c r="Q172">
        <f>Q171+IF(AND($E172&lt;&gt;"",$E172&lt;=Q$2,$F172&gt;=Q$2),1,0)</f>
        <v/>
      </c>
      <c r="R172">
        <f>R171+IF(AND($E172&lt;&gt;"",$E172&lt;=R$2,$F172&gt;=R$2),1,0)</f>
        <v/>
      </c>
      <c r="S172">
        <f>S171+IF(AND($E172&lt;&gt;"",$E172&lt;=S$2,$F172&gt;=S$2),1,0)</f>
        <v/>
      </c>
      <c r="T172">
        <f>T171+IF(AND($E172&lt;&gt;"",$E172&lt;=T$2,$F172&gt;=T$2),1,0)</f>
        <v/>
      </c>
      <c r="U172">
        <f>U171+IF(AND($E172&lt;&gt;"",$E172&lt;=U$2,$F172&gt;=U$2),1,0)</f>
        <v/>
      </c>
      <c r="V172">
        <f>V171+IF(AND($E172&lt;&gt;"",$E172&lt;=V$2,$F172&gt;=V$2),1,0)</f>
        <v/>
      </c>
      <c r="W172">
        <f>W171+IF(AND($E172&lt;&gt;"",$E172&lt;=W$2,$F172&gt;=W$2),1,0)</f>
        <v/>
      </c>
      <c r="X172">
        <f>X171+IF(AND($E172&lt;&gt;"",$E172&lt;=X$2,$F172&gt;=X$2),1,0)</f>
        <v/>
      </c>
      <c r="Y172">
        <f>Y171+IF(AND($E172&lt;&gt;"",$E172&lt;=Y$2,$F172&gt;=Y$2),1,0)</f>
        <v/>
      </c>
      <c r="Z172">
        <f>Z171+IF(AND($E172&lt;&gt;"",$E172&lt;=Z$2,$F172&gt;=Z$2),1,0)</f>
        <v/>
      </c>
      <c r="AA172">
        <f>AA171+IF(AND($E172&lt;&gt;"",$E172&lt;=AA$2,$F172&gt;=AA$2),1,0)</f>
        <v/>
      </c>
      <c r="AB172">
        <f>AB171+IF(AND($E172&lt;&gt;"",$E172&lt;=AB$2,$F172&gt;=AB$2),1,0)</f>
        <v/>
      </c>
      <c r="AC172">
        <f>AC171+IF(AND($E172&lt;&gt;"",$E172&lt;=AC$2,$F172&gt;=AC$2),1,0)</f>
        <v/>
      </c>
      <c r="AD172">
        <f>AD171+IF(AND($E172&lt;&gt;"",$E172&lt;=AD$2,$F172&gt;=AD$2),1,0)</f>
        <v/>
      </c>
      <c r="AE172">
        <f>AE171+IF(AND($E172&lt;&gt;"",$E172&lt;=AE$2,$F172&gt;=AE$2),1,0)</f>
        <v/>
      </c>
      <c r="AF172">
        <f>AF171+IF(AND($E172&lt;&gt;"",$E172&lt;=AF$2,$F172&gt;=AF$2),1,0)</f>
        <v/>
      </c>
      <c r="AG172">
        <f>AG171+IF(AND($E172&lt;&gt;"",$E172&lt;=AG$2,$F172&gt;=AG$2),1,0)</f>
        <v/>
      </c>
      <c r="AH172">
        <f>AH171+IF(AND($E172&lt;&gt;"",$E172&lt;=AH$2,$F172&gt;=AH$2),1,0)</f>
        <v/>
      </c>
      <c r="AI172">
        <f>AI171+IF(AND($E172&lt;&gt;"",$E172&lt;=AI$2,$F172&gt;=AI$2),1,0)</f>
        <v/>
      </c>
      <c r="AJ172">
        <f>AJ171+IF(AND($E172&lt;&gt;"",$E172&lt;=AJ$2,$F172&gt;=AJ$2),1,0)</f>
        <v/>
      </c>
      <c r="AK172">
        <f>AK171+IF(AND($E172&lt;&gt;"",$E172&lt;=AK$2,$F172&gt;=AK$2),1,0)</f>
        <v/>
      </c>
      <c r="AL172">
        <f>AL171+IF(AND($E172&lt;&gt;"",$E172&lt;=AL$2,$F172&gt;=AL$2),1,0)</f>
        <v/>
      </c>
      <c r="AM172">
        <f>AM171+IF(AND($E172&lt;&gt;"",$E172&lt;=AM$2,$F172&gt;=AM$2),1,0)</f>
        <v/>
      </c>
      <c r="AN172">
        <f>AN171+IF(AND($E172&lt;&gt;"",$E172&lt;=AN$2,$F172&gt;=AN$2),1,0)</f>
        <v/>
      </c>
      <c r="AO172">
        <f>AO171+IF(AND($E172&lt;&gt;"",$E172&lt;=AO$2,$F172&gt;=AO$2),1,0)</f>
        <v/>
      </c>
      <c r="AP172">
        <f>AP171+IF(AND($E172&lt;&gt;"",$E172&lt;=AP$2,$F172&gt;=AP$2),1,0)</f>
        <v/>
      </c>
      <c r="AQ172">
        <f>AQ171+IF(AND($E172&lt;&gt;"",$E172&lt;=AQ$2,$F172&gt;=AQ$2),1,0)</f>
        <v/>
      </c>
      <c r="AR172">
        <f>AR171+IF(AND($E172&lt;&gt;"",$E172&lt;=AR$2,$F172&gt;=AR$2),1,0)</f>
        <v/>
      </c>
      <c r="AS172">
        <f>AS171+IF(AND($E172&lt;&gt;"",$E172&lt;=AS$2,$F172&gt;=AS$2),1,0)</f>
        <v/>
      </c>
      <c r="AT172">
        <f>AT171+IF(AND($E172&lt;&gt;"",$E172&lt;=AT$2,$F172&gt;=AT$2),1,0)</f>
        <v/>
      </c>
      <c r="AU172">
        <f>AU171+IF(AND($E172&lt;&gt;"",$E172&lt;=AU$2,$F172&gt;=AU$2),1,0)</f>
        <v/>
      </c>
      <c r="AV172">
        <f>AV171+IF(AND($E172&lt;&gt;"",$E172&lt;=AV$2,$F172&gt;=AV$2),1,0)</f>
        <v/>
      </c>
      <c r="AW172">
        <f>AW171+IF(AND($E172&lt;&gt;"",$E172&lt;=AW$2,$F172&gt;=AW$2),1,0)</f>
        <v/>
      </c>
    </row>
    <row r="173">
      <c r="A173">
        <f>IF(AND(ISNUMBER(Events!$A175),ISNUMBER(Events!$B175)),MAX(0,Events!$B175-Events!$A175),0)</f>
        <v/>
      </c>
      <c r="B173">
        <f>IF(ISNUMBER(Events!$A175),DATE(YEAR($B$1)-1,MONTH(Events!$A175),DAY(Events!$A175)),"")</f>
        <v/>
      </c>
      <c r="C173">
        <f>IF(ISNUMBER(Events!$A175),DATE(YEAR($B$1),MONTH(Events!$A175),DAY(Events!$A175)),"")</f>
        <v/>
      </c>
      <c r="D173">
        <f>IF(ISNUMBER(Events!$A175),DATE(YEAR($B$2),MONTH(Events!$A175),DAY(Events!$A175)),"")</f>
        <v/>
      </c>
      <c r="E173">
        <f>IF(OR(NOT(ISNUMBER(Events!$A175)),Events!$G175="No",Calendar!$H$4="None"),"",IF(OR(Calendar!$H$4="All events",Events!$D175=Calendar!$H$4),IF(Events!$E175="Yes",IF(AND(B173&gt;=Events!$A175,B173&lt;=$B$2,B173+$A173&gt;=$B$1),B173,IF(AND(C173&gt;=Events!$A175,C173&lt;=$B$2,C173+$A173&gt;=$B$1),C173,IF(AND(D173&gt;=Events!$A175,D173&lt;=$B$2,D173+$A173&gt;=$B$1),D173,""))),IF(AND(Events!$A175&lt;=$B$2,Events!$A175+$A173&gt;=$B$1),Events!$A175,"")),""))</f>
        <v/>
      </c>
      <c r="F173">
        <f>IF(E173="","",E173+A173)</f>
        <v/>
      </c>
      <c r="G173">
        <f>IF(E173="","",IF(AND(E173&lt;=EOMONTH(Calendar!$K$2,0),F173&gt;=Calendar!$K$2),E173+170/100000,""))</f>
        <v/>
      </c>
      <c r="H173">
        <f>H172+IF(AND($E173&lt;&gt;"",$E173&lt;=H$2,$F173&gt;=H$2),1,0)</f>
        <v/>
      </c>
      <c r="I173">
        <f>I172+IF(AND($E173&lt;&gt;"",$E173&lt;=I$2,$F173&gt;=I$2),1,0)</f>
        <v/>
      </c>
      <c r="J173">
        <f>J172+IF(AND($E173&lt;&gt;"",$E173&lt;=J$2,$F173&gt;=J$2),1,0)</f>
        <v/>
      </c>
      <c r="K173">
        <f>K172+IF(AND($E173&lt;&gt;"",$E173&lt;=K$2,$F173&gt;=K$2),1,0)</f>
        <v/>
      </c>
      <c r="L173">
        <f>L172+IF(AND($E173&lt;&gt;"",$E173&lt;=L$2,$F173&gt;=L$2),1,0)</f>
        <v/>
      </c>
      <c r="M173">
        <f>M172+IF(AND($E173&lt;&gt;"",$E173&lt;=M$2,$F173&gt;=M$2),1,0)</f>
        <v/>
      </c>
      <c r="N173">
        <f>N172+IF(AND($E173&lt;&gt;"",$E173&lt;=N$2,$F173&gt;=N$2),1,0)</f>
        <v/>
      </c>
      <c r="O173">
        <f>O172+IF(AND($E173&lt;&gt;"",$E173&lt;=O$2,$F173&gt;=O$2),1,0)</f>
        <v/>
      </c>
      <c r="P173">
        <f>P172+IF(AND($E173&lt;&gt;"",$E173&lt;=P$2,$F173&gt;=P$2),1,0)</f>
        <v/>
      </c>
      <c r="Q173">
        <f>Q172+IF(AND($E173&lt;&gt;"",$E173&lt;=Q$2,$F173&gt;=Q$2),1,0)</f>
        <v/>
      </c>
      <c r="R173">
        <f>R172+IF(AND($E173&lt;&gt;"",$E173&lt;=R$2,$F173&gt;=R$2),1,0)</f>
        <v/>
      </c>
      <c r="S173">
        <f>S172+IF(AND($E173&lt;&gt;"",$E173&lt;=S$2,$F173&gt;=S$2),1,0)</f>
        <v/>
      </c>
      <c r="T173">
        <f>T172+IF(AND($E173&lt;&gt;"",$E173&lt;=T$2,$F173&gt;=T$2),1,0)</f>
        <v/>
      </c>
      <c r="U173">
        <f>U172+IF(AND($E173&lt;&gt;"",$E173&lt;=U$2,$F173&gt;=U$2),1,0)</f>
        <v/>
      </c>
      <c r="V173">
        <f>V172+IF(AND($E173&lt;&gt;"",$E173&lt;=V$2,$F173&gt;=V$2),1,0)</f>
        <v/>
      </c>
      <c r="W173">
        <f>W172+IF(AND($E173&lt;&gt;"",$E173&lt;=W$2,$F173&gt;=W$2),1,0)</f>
        <v/>
      </c>
      <c r="X173">
        <f>X172+IF(AND($E173&lt;&gt;"",$E173&lt;=X$2,$F173&gt;=X$2),1,0)</f>
        <v/>
      </c>
      <c r="Y173">
        <f>Y172+IF(AND($E173&lt;&gt;"",$E173&lt;=Y$2,$F173&gt;=Y$2),1,0)</f>
        <v/>
      </c>
      <c r="Z173">
        <f>Z172+IF(AND($E173&lt;&gt;"",$E173&lt;=Z$2,$F173&gt;=Z$2),1,0)</f>
        <v/>
      </c>
      <c r="AA173">
        <f>AA172+IF(AND($E173&lt;&gt;"",$E173&lt;=AA$2,$F173&gt;=AA$2),1,0)</f>
        <v/>
      </c>
      <c r="AB173">
        <f>AB172+IF(AND($E173&lt;&gt;"",$E173&lt;=AB$2,$F173&gt;=AB$2),1,0)</f>
        <v/>
      </c>
      <c r="AC173">
        <f>AC172+IF(AND($E173&lt;&gt;"",$E173&lt;=AC$2,$F173&gt;=AC$2),1,0)</f>
        <v/>
      </c>
      <c r="AD173">
        <f>AD172+IF(AND($E173&lt;&gt;"",$E173&lt;=AD$2,$F173&gt;=AD$2),1,0)</f>
        <v/>
      </c>
      <c r="AE173">
        <f>AE172+IF(AND($E173&lt;&gt;"",$E173&lt;=AE$2,$F173&gt;=AE$2),1,0)</f>
        <v/>
      </c>
      <c r="AF173">
        <f>AF172+IF(AND($E173&lt;&gt;"",$E173&lt;=AF$2,$F173&gt;=AF$2),1,0)</f>
        <v/>
      </c>
      <c r="AG173">
        <f>AG172+IF(AND($E173&lt;&gt;"",$E173&lt;=AG$2,$F173&gt;=AG$2),1,0)</f>
        <v/>
      </c>
      <c r="AH173">
        <f>AH172+IF(AND($E173&lt;&gt;"",$E173&lt;=AH$2,$F173&gt;=AH$2),1,0)</f>
        <v/>
      </c>
      <c r="AI173">
        <f>AI172+IF(AND($E173&lt;&gt;"",$E173&lt;=AI$2,$F173&gt;=AI$2),1,0)</f>
        <v/>
      </c>
      <c r="AJ173">
        <f>AJ172+IF(AND($E173&lt;&gt;"",$E173&lt;=AJ$2,$F173&gt;=AJ$2),1,0)</f>
        <v/>
      </c>
      <c r="AK173">
        <f>AK172+IF(AND($E173&lt;&gt;"",$E173&lt;=AK$2,$F173&gt;=AK$2),1,0)</f>
        <v/>
      </c>
      <c r="AL173">
        <f>AL172+IF(AND($E173&lt;&gt;"",$E173&lt;=AL$2,$F173&gt;=AL$2),1,0)</f>
        <v/>
      </c>
      <c r="AM173">
        <f>AM172+IF(AND($E173&lt;&gt;"",$E173&lt;=AM$2,$F173&gt;=AM$2),1,0)</f>
        <v/>
      </c>
      <c r="AN173">
        <f>AN172+IF(AND($E173&lt;&gt;"",$E173&lt;=AN$2,$F173&gt;=AN$2),1,0)</f>
        <v/>
      </c>
      <c r="AO173">
        <f>AO172+IF(AND($E173&lt;&gt;"",$E173&lt;=AO$2,$F173&gt;=AO$2),1,0)</f>
        <v/>
      </c>
      <c r="AP173">
        <f>AP172+IF(AND($E173&lt;&gt;"",$E173&lt;=AP$2,$F173&gt;=AP$2),1,0)</f>
        <v/>
      </c>
      <c r="AQ173">
        <f>AQ172+IF(AND($E173&lt;&gt;"",$E173&lt;=AQ$2,$F173&gt;=AQ$2),1,0)</f>
        <v/>
      </c>
      <c r="AR173">
        <f>AR172+IF(AND($E173&lt;&gt;"",$E173&lt;=AR$2,$F173&gt;=AR$2),1,0)</f>
        <v/>
      </c>
      <c r="AS173">
        <f>AS172+IF(AND($E173&lt;&gt;"",$E173&lt;=AS$2,$F173&gt;=AS$2),1,0)</f>
        <v/>
      </c>
      <c r="AT173">
        <f>AT172+IF(AND($E173&lt;&gt;"",$E173&lt;=AT$2,$F173&gt;=AT$2),1,0)</f>
        <v/>
      </c>
      <c r="AU173">
        <f>AU172+IF(AND($E173&lt;&gt;"",$E173&lt;=AU$2,$F173&gt;=AU$2),1,0)</f>
        <v/>
      </c>
      <c r="AV173">
        <f>AV172+IF(AND($E173&lt;&gt;"",$E173&lt;=AV$2,$F173&gt;=AV$2),1,0)</f>
        <v/>
      </c>
      <c r="AW173">
        <f>AW172+IF(AND($E173&lt;&gt;"",$E173&lt;=AW$2,$F173&gt;=AW$2),1,0)</f>
        <v/>
      </c>
    </row>
    <row r="174">
      <c r="A174">
        <f>IF(AND(ISNUMBER(Events!$A176),ISNUMBER(Events!$B176)),MAX(0,Events!$B176-Events!$A176),0)</f>
        <v/>
      </c>
      <c r="B174">
        <f>IF(ISNUMBER(Events!$A176),DATE(YEAR($B$1)-1,MONTH(Events!$A176),DAY(Events!$A176)),"")</f>
        <v/>
      </c>
      <c r="C174">
        <f>IF(ISNUMBER(Events!$A176),DATE(YEAR($B$1),MONTH(Events!$A176),DAY(Events!$A176)),"")</f>
        <v/>
      </c>
      <c r="D174">
        <f>IF(ISNUMBER(Events!$A176),DATE(YEAR($B$2),MONTH(Events!$A176),DAY(Events!$A176)),"")</f>
        <v/>
      </c>
      <c r="E174">
        <f>IF(OR(NOT(ISNUMBER(Events!$A176)),Events!$G176="No",Calendar!$H$4="None"),"",IF(OR(Calendar!$H$4="All events",Events!$D176=Calendar!$H$4),IF(Events!$E176="Yes",IF(AND(B174&gt;=Events!$A176,B174&lt;=$B$2,B174+$A174&gt;=$B$1),B174,IF(AND(C174&gt;=Events!$A176,C174&lt;=$B$2,C174+$A174&gt;=$B$1),C174,IF(AND(D174&gt;=Events!$A176,D174&lt;=$B$2,D174+$A174&gt;=$B$1),D174,""))),IF(AND(Events!$A176&lt;=$B$2,Events!$A176+$A174&gt;=$B$1),Events!$A176,"")),""))</f>
        <v/>
      </c>
      <c r="F174">
        <f>IF(E174="","",E174+A174)</f>
        <v/>
      </c>
      <c r="G174">
        <f>IF(E174="","",IF(AND(E174&lt;=EOMONTH(Calendar!$K$2,0),F174&gt;=Calendar!$K$2),E174+171/100000,""))</f>
        <v/>
      </c>
      <c r="H174">
        <f>H173+IF(AND($E174&lt;&gt;"",$E174&lt;=H$2,$F174&gt;=H$2),1,0)</f>
        <v/>
      </c>
      <c r="I174">
        <f>I173+IF(AND($E174&lt;&gt;"",$E174&lt;=I$2,$F174&gt;=I$2),1,0)</f>
        <v/>
      </c>
      <c r="J174">
        <f>J173+IF(AND($E174&lt;&gt;"",$E174&lt;=J$2,$F174&gt;=J$2),1,0)</f>
        <v/>
      </c>
      <c r="K174">
        <f>K173+IF(AND($E174&lt;&gt;"",$E174&lt;=K$2,$F174&gt;=K$2),1,0)</f>
        <v/>
      </c>
      <c r="L174">
        <f>L173+IF(AND($E174&lt;&gt;"",$E174&lt;=L$2,$F174&gt;=L$2),1,0)</f>
        <v/>
      </c>
      <c r="M174">
        <f>M173+IF(AND($E174&lt;&gt;"",$E174&lt;=M$2,$F174&gt;=M$2),1,0)</f>
        <v/>
      </c>
      <c r="N174">
        <f>N173+IF(AND($E174&lt;&gt;"",$E174&lt;=N$2,$F174&gt;=N$2),1,0)</f>
        <v/>
      </c>
      <c r="O174">
        <f>O173+IF(AND($E174&lt;&gt;"",$E174&lt;=O$2,$F174&gt;=O$2),1,0)</f>
        <v/>
      </c>
      <c r="P174">
        <f>P173+IF(AND($E174&lt;&gt;"",$E174&lt;=P$2,$F174&gt;=P$2),1,0)</f>
        <v/>
      </c>
      <c r="Q174">
        <f>Q173+IF(AND($E174&lt;&gt;"",$E174&lt;=Q$2,$F174&gt;=Q$2),1,0)</f>
        <v/>
      </c>
      <c r="R174">
        <f>R173+IF(AND($E174&lt;&gt;"",$E174&lt;=R$2,$F174&gt;=R$2),1,0)</f>
        <v/>
      </c>
      <c r="S174">
        <f>S173+IF(AND($E174&lt;&gt;"",$E174&lt;=S$2,$F174&gt;=S$2),1,0)</f>
        <v/>
      </c>
      <c r="T174">
        <f>T173+IF(AND($E174&lt;&gt;"",$E174&lt;=T$2,$F174&gt;=T$2),1,0)</f>
        <v/>
      </c>
      <c r="U174">
        <f>U173+IF(AND($E174&lt;&gt;"",$E174&lt;=U$2,$F174&gt;=U$2),1,0)</f>
        <v/>
      </c>
      <c r="V174">
        <f>V173+IF(AND($E174&lt;&gt;"",$E174&lt;=V$2,$F174&gt;=V$2),1,0)</f>
        <v/>
      </c>
      <c r="W174">
        <f>W173+IF(AND($E174&lt;&gt;"",$E174&lt;=W$2,$F174&gt;=W$2),1,0)</f>
        <v/>
      </c>
      <c r="X174">
        <f>X173+IF(AND($E174&lt;&gt;"",$E174&lt;=X$2,$F174&gt;=X$2),1,0)</f>
        <v/>
      </c>
      <c r="Y174">
        <f>Y173+IF(AND($E174&lt;&gt;"",$E174&lt;=Y$2,$F174&gt;=Y$2),1,0)</f>
        <v/>
      </c>
      <c r="Z174">
        <f>Z173+IF(AND($E174&lt;&gt;"",$E174&lt;=Z$2,$F174&gt;=Z$2),1,0)</f>
        <v/>
      </c>
      <c r="AA174">
        <f>AA173+IF(AND($E174&lt;&gt;"",$E174&lt;=AA$2,$F174&gt;=AA$2),1,0)</f>
        <v/>
      </c>
      <c r="AB174">
        <f>AB173+IF(AND($E174&lt;&gt;"",$E174&lt;=AB$2,$F174&gt;=AB$2),1,0)</f>
        <v/>
      </c>
      <c r="AC174">
        <f>AC173+IF(AND($E174&lt;&gt;"",$E174&lt;=AC$2,$F174&gt;=AC$2),1,0)</f>
        <v/>
      </c>
      <c r="AD174">
        <f>AD173+IF(AND($E174&lt;&gt;"",$E174&lt;=AD$2,$F174&gt;=AD$2),1,0)</f>
        <v/>
      </c>
      <c r="AE174">
        <f>AE173+IF(AND($E174&lt;&gt;"",$E174&lt;=AE$2,$F174&gt;=AE$2),1,0)</f>
        <v/>
      </c>
      <c r="AF174">
        <f>AF173+IF(AND($E174&lt;&gt;"",$E174&lt;=AF$2,$F174&gt;=AF$2),1,0)</f>
        <v/>
      </c>
      <c r="AG174">
        <f>AG173+IF(AND($E174&lt;&gt;"",$E174&lt;=AG$2,$F174&gt;=AG$2),1,0)</f>
        <v/>
      </c>
      <c r="AH174">
        <f>AH173+IF(AND($E174&lt;&gt;"",$E174&lt;=AH$2,$F174&gt;=AH$2),1,0)</f>
        <v/>
      </c>
      <c r="AI174">
        <f>AI173+IF(AND($E174&lt;&gt;"",$E174&lt;=AI$2,$F174&gt;=AI$2),1,0)</f>
        <v/>
      </c>
      <c r="AJ174">
        <f>AJ173+IF(AND($E174&lt;&gt;"",$E174&lt;=AJ$2,$F174&gt;=AJ$2),1,0)</f>
        <v/>
      </c>
      <c r="AK174">
        <f>AK173+IF(AND($E174&lt;&gt;"",$E174&lt;=AK$2,$F174&gt;=AK$2),1,0)</f>
        <v/>
      </c>
      <c r="AL174">
        <f>AL173+IF(AND($E174&lt;&gt;"",$E174&lt;=AL$2,$F174&gt;=AL$2),1,0)</f>
        <v/>
      </c>
      <c r="AM174">
        <f>AM173+IF(AND($E174&lt;&gt;"",$E174&lt;=AM$2,$F174&gt;=AM$2),1,0)</f>
        <v/>
      </c>
      <c r="AN174">
        <f>AN173+IF(AND($E174&lt;&gt;"",$E174&lt;=AN$2,$F174&gt;=AN$2),1,0)</f>
        <v/>
      </c>
      <c r="AO174">
        <f>AO173+IF(AND($E174&lt;&gt;"",$E174&lt;=AO$2,$F174&gt;=AO$2),1,0)</f>
        <v/>
      </c>
      <c r="AP174">
        <f>AP173+IF(AND($E174&lt;&gt;"",$E174&lt;=AP$2,$F174&gt;=AP$2),1,0)</f>
        <v/>
      </c>
      <c r="AQ174">
        <f>AQ173+IF(AND($E174&lt;&gt;"",$E174&lt;=AQ$2,$F174&gt;=AQ$2),1,0)</f>
        <v/>
      </c>
      <c r="AR174">
        <f>AR173+IF(AND($E174&lt;&gt;"",$E174&lt;=AR$2,$F174&gt;=AR$2),1,0)</f>
        <v/>
      </c>
      <c r="AS174">
        <f>AS173+IF(AND($E174&lt;&gt;"",$E174&lt;=AS$2,$F174&gt;=AS$2),1,0)</f>
        <v/>
      </c>
      <c r="AT174">
        <f>AT173+IF(AND($E174&lt;&gt;"",$E174&lt;=AT$2,$F174&gt;=AT$2),1,0)</f>
        <v/>
      </c>
      <c r="AU174">
        <f>AU173+IF(AND($E174&lt;&gt;"",$E174&lt;=AU$2,$F174&gt;=AU$2),1,0)</f>
        <v/>
      </c>
      <c r="AV174">
        <f>AV173+IF(AND($E174&lt;&gt;"",$E174&lt;=AV$2,$F174&gt;=AV$2),1,0)</f>
        <v/>
      </c>
      <c r="AW174">
        <f>AW173+IF(AND($E174&lt;&gt;"",$E174&lt;=AW$2,$F174&gt;=AW$2),1,0)</f>
        <v/>
      </c>
    </row>
    <row r="175">
      <c r="A175">
        <f>IF(AND(ISNUMBER(Events!$A177),ISNUMBER(Events!$B177)),MAX(0,Events!$B177-Events!$A177),0)</f>
        <v/>
      </c>
      <c r="B175">
        <f>IF(ISNUMBER(Events!$A177),DATE(YEAR($B$1)-1,MONTH(Events!$A177),DAY(Events!$A177)),"")</f>
        <v/>
      </c>
      <c r="C175">
        <f>IF(ISNUMBER(Events!$A177),DATE(YEAR($B$1),MONTH(Events!$A177),DAY(Events!$A177)),"")</f>
        <v/>
      </c>
      <c r="D175">
        <f>IF(ISNUMBER(Events!$A177),DATE(YEAR($B$2),MONTH(Events!$A177),DAY(Events!$A177)),"")</f>
        <v/>
      </c>
      <c r="E175">
        <f>IF(OR(NOT(ISNUMBER(Events!$A177)),Events!$G177="No",Calendar!$H$4="None"),"",IF(OR(Calendar!$H$4="All events",Events!$D177=Calendar!$H$4),IF(Events!$E177="Yes",IF(AND(B175&gt;=Events!$A177,B175&lt;=$B$2,B175+$A175&gt;=$B$1),B175,IF(AND(C175&gt;=Events!$A177,C175&lt;=$B$2,C175+$A175&gt;=$B$1),C175,IF(AND(D175&gt;=Events!$A177,D175&lt;=$B$2,D175+$A175&gt;=$B$1),D175,""))),IF(AND(Events!$A177&lt;=$B$2,Events!$A177+$A175&gt;=$B$1),Events!$A177,"")),""))</f>
        <v/>
      </c>
      <c r="F175">
        <f>IF(E175="","",E175+A175)</f>
        <v/>
      </c>
      <c r="G175">
        <f>IF(E175="","",IF(AND(E175&lt;=EOMONTH(Calendar!$K$2,0),F175&gt;=Calendar!$K$2),E175+172/100000,""))</f>
        <v/>
      </c>
      <c r="H175">
        <f>H174+IF(AND($E175&lt;&gt;"",$E175&lt;=H$2,$F175&gt;=H$2),1,0)</f>
        <v/>
      </c>
      <c r="I175">
        <f>I174+IF(AND($E175&lt;&gt;"",$E175&lt;=I$2,$F175&gt;=I$2),1,0)</f>
        <v/>
      </c>
      <c r="J175">
        <f>J174+IF(AND($E175&lt;&gt;"",$E175&lt;=J$2,$F175&gt;=J$2),1,0)</f>
        <v/>
      </c>
      <c r="K175">
        <f>K174+IF(AND($E175&lt;&gt;"",$E175&lt;=K$2,$F175&gt;=K$2),1,0)</f>
        <v/>
      </c>
      <c r="L175">
        <f>L174+IF(AND($E175&lt;&gt;"",$E175&lt;=L$2,$F175&gt;=L$2),1,0)</f>
        <v/>
      </c>
      <c r="M175">
        <f>M174+IF(AND($E175&lt;&gt;"",$E175&lt;=M$2,$F175&gt;=M$2),1,0)</f>
        <v/>
      </c>
      <c r="N175">
        <f>N174+IF(AND($E175&lt;&gt;"",$E175&lt;=N$2,$F175&gt;=N$2),1,0)</f>
        <v/>
      </c>
      <c r="O175">
        <f>O174+IF(AND($E175&lt;&gt;"",$E175&lt;=O$2,$F175&gt;=O$2),1,0)</f>
        <v/>
      </c>
      <c r="P175">
        <f>P174+IF(AND($E175&lt;&gt;"",$E175&lt;=P$2,$F175&gt;=P$2),1,0)</f>
        <v/>
      </c>
      <c r="Q175">
        <f>Q174+IF(AND($E175&lt;&gt;"",$E175&lt;=Q$2,$F175&gt;=Q$2),1,0)</f>
        <v/>
      </c>
      <c r="R175">
        <f>R174+IF(AND($E175&lt;&gt;"",$E175&lt;=R$2,$F175&gt;=R$2),1,0)</f>
        <v/>
      </c>
      <c r="S175">
        <f>S174+IF(AND($E175&lt;&gt;"",$E175&lt;=S$2,$F175&gt;=S$2),1,0)</f>
        <v/>
      </c>
      <c r="T175">
        <f>T174+IF(AND($E175&lt;&gt;"",$E175&lt;=T$2,$F175&gt;=T$2),1,0)</f>
        <v/>
      </c>
      <c r="U175">
        <f>U174+IF(AND($E175&lt;&gt;"",$E175&lt;=U$2,$F175&gt;=U$2),1,0)</f>
        <v/>
      </c>
      <c r="V175">
        <f>V174+IF(AND($E175&lt;&gt;"",$E175&lt;=V$2,$F175&gt;=V$2),1,0)</f>
        <v/>
      </c>
      <c r="W175">
        <f>W174+IF(AND($E175&lt;&gt;"",$E175&lt;=W$2,$F175&gt;=W$2),1,0)</f>
        <v/>
      </c>
      <c r="X175">
        <f>X174+IF(AND($E175&lt;&gt;"",$E175&lt;=X$2,$F175&gt;=X$2),1,0)</f>
        <v/>
      </c>
      <c r="Y175">
        <f>Y174+IF(AND($E175&lt;&gt;"",$E175&lt;=Y$2,$F175&gt;=Y$2),1,0)</f>
        <v/>
      </c>
      <c r="Z175">
        <f>Z174+IF(AND($E175&lt;&gt;"",$E175&lt;=Z$2,$F175&gt;=Z$2),1,0)</f>
        <v/>
      </c>
      <c r="AA175">
        <f>AA174+IF(AND($E175&lt;&gt;"",$E175&lt;=AA$2,$F175&gt;=AA$2),1,0)</f>
        <v/>
      </c>
      <c r="AB175">
        <f>AB174+IF(AND($E175&lt;&gt;"",$E175&lt;=AB$2,$F175&gt;=AB$2),1,0)</f>
        <v/>
      </c>
      <c r="AC175">
        <f>AC174+IF(AND($E175&lt;&gt;"",$E175&lt;=AC$2,$F175&gt;=AC$2),1,0)</f>
        <v/>
      </c>
      <c r="AD175">
        <f>AD174+IF(AND($E175&lt;&gt;"",$E175&lt;=AD$2,$F175&gt;=AD$2),1,0)</f>
        <v/>
      </c>
      <c r="AE175">
        <f>AE174+IF(AND($E175&lt;&gt;"",$E175&lt;=AE$2,$F175&gt;=AE$2),1,0)</f>
        <v/>
      </c>
      <c r="AF175">
        <f>AF174+IF(AND($E175&lt;&gt;"",$E175&lt;=AF$2,$F175&gt;=AF$2),1,0)</f>
        <v/>
      </c>
      <c r="AG175">
        <f>AG174+IF(AND($E175&lt;&gt;"",$E175&lt;=AG$2,$F175&gt;=AG$2),1,0)</f>
        <v/>
      </c>
      <c r="AH175">
        <f>AH174+IF(AND($E175&lt;&gt;"",$E175&lt;=AH$2,$F175&gt;=AH$2),1,0)</f>
        <v/>
      </c>
      <c r="AI175">
        <f>AI174+IF(AND($E175&lt;&gt;"",$E175&lt;=AI$2,$F175&gt;=AI$2),1,0)</f>
        <v/>
      </c>
      <c r="AJ175">
        <f>AJ174+IF(AND($E175&lt;&gt;"",$E175&lt;=AJ$2,$F175&gt;=AJ$2),1,0)</f>
        <v/>
      </c>
      <c r="AK175">
        <f>AK174+IF(AND($E175&lt;&gt;"",$E175&lt;=AK$2,$F175&gt;=AK$2),1,0)</f>
        <v/>
      </c>
      <c r="AL175">
        <f>AL174+IF(AND($E175&lt;&gt;"",$E175&lt;=AL$2,$F175&gt;=AL$2),1,0)</f>
        <v/>
      </c>
      <c r="AM175">
        <f>AM174+IF(AND($E175&lt;&gt;"",$E175&lt;=AM$2,$F175&gt;=AM$2),1,0)</f>
        <v/>
      </c>
      <c r="AN175">
        <f>AN174+IF(AND($E175&lt;&gt;"",$E175&lt;=AN$2,$F175&gt;=AN$2),1,0)</f>
        <v/>
      </c>
      <c r="AO175">
        <f>AO174+IF(AND($E175&lt;&gt;"",$E175&lt;=AO$2,$F175&gt;=AO$2),1,0)</f>
        <v/>
      </c>
      <c r="AP175">
        <f>AP174+IF(AND($E175&lt;&gt;"",$E175&lt;=AP$2,$F175&gt;=AP$2),1,0)</f>
        <v/>
      </c>
      <c r="AQ175">
        <f>AQ174+IF(AND($E175&lt;&gt;"",$E175&lt;=AQ$2,$F175&gt;=AQ$2),1,0)</f>
        <v/>
      </c>
      <c r="AR175">
        <f>AR174+IF(AND($E175&lt;&gt;"",$E175&lt;=AR$2,$F175&gt;=AR$2),1,0)</f>
        <v/>
      </c>
      <c r="AS175">
        <f>AS174+IF(AND($E175&lt;&gt;"",$E175&lt;=AS$2,$F175&gt;=AS$2),1,0)</f>
        <v/>
      </c>
      <c r="AT175">
        <f>AT174+IF(AND($E175&lt;&gt;"",$E175&lt;=AT$2,$F175&gt;=AT$2),1,0)</f>
        <v/>
      </c>
      <c r="AU175">
        <f>AU174+IF(AND($E175&lt;&gt;"",$E175&lt;=AU$2,$F175&gt;=AU$2),1,0)</f>
        <v/>
      </c>
      <c r="AV175">
        <f>AV174+IF(AND($E175&lt;&gt;"",$E175&lt;=AV$2,$F175&gt;=AV$2),1,0)</f>
        <v/>
      </c>
      <c r="AW175">
        <f>AW174+IF(AND($E175&lt;&gt;"",$E175&lt;=AW$2,$F175&gt;=AW$2),1,0)</f>
        <v/>
      </c>
    </row>
    <row r="176">
      <c r="A176">
        <f>IF(AND(ISNUMBER(Events!$A178),ISNUMBER(Events!$B178)),MAX(0,Events!$B178-Events!$A178),0)</f>
        <v/>
      </c>
      <c r="B176">
        <f>IF(ISNUMBER(Events!$A178),DATE(YEAR($B$1)-1,MONTH(Events!$A178),DAY(Events!$A178)),"")</f>
        <v/>
      </c>
      <c r="C176">
        <f>IF(ISNUMBER(Events!$A178),DATE(YEAR($B$1),MONTH(Events!$A178),DAY(Events!$A178)),"")</f>
        <v/>
      </c>
      <c r="D176">
        <f>IF(ISNUMBER(Events!$A178),DATE(YEAR($B$2),MONTH(Events!$A178),DAY(Events!$A178)),"")</f>
        <v/>
      </c>
      <c r="E176">
        <f>IF(OR(NOT(ISNUMBER(Events!$A178)),Events!$G178="No",Calendar!$H$4="None"),"",IF(OR(Calendar!$H$4="All events",Events!$D178=Calendar!$H$4),IF(Events!$E178="Yes",IF(AND(B176&gt;=Events!$A178,B176&lt;=$B$2,B176+$A176&gt;=$B$1),B176,IF(AND(C176&gt;=Events!$A178,C176&lt;=$B$2,C176+$A176&gt;=$B$1),C176,IF(AND(D176&gt;=Events!$A178,D176&lt;=$B$2,D176+$A176&gt;=$B$1),D176,""))),IF(AND(Events!$A178&lt;=$B$2,Events!$A178+$A176&gt;=$B$1),Events!$A178,"")),""))</f>
        <v/>
      </c>
      <c r="F176">
        <f>IF(E176="","",E176+A176)</f>
        <v/>
      </c>
      <c r="G176">
        <f>IF(E176="","",IF(AND(E176&lt;=EOMONTH(Calendar!$K$2,0),F176&gt;=Calendar!$K$2),E176+173/100000,""))</f>
        <v/>
      </c>
      <c r="H176">
        <f>H175+IF(AND($E176&lt;&gt;"",$E176&lt;=H$2,$F176&gt;=H$2),1,0)</f>
        <v/>
      </c>
      <c r="I176">
        <f>I175+IF(AND($E176&lt;&gt;"",$E176&lt;=I$2,$F176&gt;=I$2),1,0)</f>
        <v/>
      </c>
      <c r="J176">
        <f>J175+IF(AND($E176&lt;&gt;"",$E176&lt;=J$2,$F176&gt;=J$2),1,0)</f>
        <v/>
      </c>
      <c r="K176">
        <f>K175+IF(AND($E176&lt;&gt;"",$E176&lt;=K$2,$F176&gt;=K$2),1,0)</f>
        <v/>
      </c>
      <c r="L176">
        <f>L175+IF(AND($E176&lt;&gt;"",$E176&lt;=L$2,$F176&gt;=L$2),1,0)</f>
        <v/>
      </c>
      <c r="M176">
        <f>M175+IF(AND($E176&lt;&gt;"",$E176&lt;=M$2,$F176&gt;=M$2),1,0)</f>
        <v/>
      </c>
      <c r="N176">
        <f>N175+IF(AND($E176&lt;&gt;"",$E176&lt;=N$2,$F176&gt;=N$2),1,0)</f>
        <v/>
      </c>
      <c r="O176">
        <f>O175+IF(AND($E176&lt;&gt;"",$E176&lt;=O$2,$F176&gt;=O$2),1,0)</f>
        <v/>
      </c>
      <c r="P176">
        <f>P175+IF(AND($E176&lt;&gt;"",$E176&lt;=P$2,$F176&gt;=P$2),1,0)</f>
        <v/>
      </c>
      <c r="Q176">
        <f>Q175+IF(AND($E176&lt;&gt;"",$E176&lt;=Q$2,$F176&gt;=Q$2),1,0)</f>
        <v/>
      </c>
      <c r="R176">
        <f>R175+IF(AND($E176&lt;&gt;"",$E176&lt;=R$2,$F176&gt;=R$2),1,0)</f>
        <v/>
      </c>
      <c r="S176">
        <f>S175+IF(AND($E176&lt;&gt;"",$E176&lt;=S$2,$F176&gt;=S$2),1,0)</f>
        <v/>
      </c>
      <c r="T176">
        <f>T175+IF(AND($E176&lt;&gt;"",$E176&lt;=T$2,$F176&gt;=T$2),1,0)</f>
        <v/>
      </c>
      <c r="U176">
        <f>U175+IF(AND($E176&lt;&gt;"",$E176&lt;=U$2,$F176&gt;=U$2),1,0)</f>
        <v/>
      </c>
      <c r="V176">
        <f>V175+IF(AND($E176&lt;&gt;"",$E176&lt;=V$2,$F176&gt;=V$2),1,0)</f>
        <v/>
      </c>
      <c r="W176">
        <f>W175+IF(AND($E176&lt;&gt;"",$E176&lt;=W$2,$F176&gt;=W$2),1,0)</f>
        <v/>
      </c>
      <c r="X176">
        <f>X175+IF(AND($E176&lt;&gt;"",$E176&lt;=X$2,$F176&gt;=X$2),1,0)</f>
        <v/>
      </c>
      <c r="Y176">
        <f>Y175+IF(AND($E176&lt;&gt;"",$E176&lt;=Y$2,$F176&gt;=Y$2),1,0)</f>
        <v/>
      </c>
      <c r="Z176">
        <f>Z175+IF(AND($E176&lt;&gt;"",$E176&lt;=Z$2,$F176&gt;=Z$2),1,0)</f>
        <v/>
      </c>
      <c r="AA176">
        <f>AA175+IF(AND($E176&lt;&gt;"",$E176&lt;=AA$2,$F176&gt;=AA$2),1,0)</f>
        <v/>
      </c>
      <c r="AB176">
        <f>AB175+IF(AND($E176&lt;&gt;"",$E176&lt;=AB$2,$F176&gt;=AB$2),1,0)</f>
        <v/>
      </c>
      <c r="AC176">
        <f>AC175+IF(AND($E176&lt;&gt;"",$E176&lt;=AC$2,$F176&gt;=AC$2),1,0)</f>
        <v/>
      </c>
      <c r="AD176">
        <f>AD175+IF(AND($E176&lt;&gt;"",$E176&lt;=AD$2,$F176&gt;=AD$2),1,0)</f>
        <v/>
      </c>
      <c r="AE176">
        <f>AE175+IF(AND($E176&lt;&gt;"",$E176&lt;=AE$2,$F176&gt;=AE$2),1,0)</f>
        <v/>
      </c>
      <c r="AF176">
        <f>AF175+IF(AND($E176&lt;&gt;"",$E176&lt;=AF$2,$F176&gt;=AF$2),1,0)</f>
        <v/>
      </c>
      <c r="AG176">
        <f>AG175+IF(AND($E176&lt;&gt;"",$E176&lt;=AG$2,$F176&gt;=AG$2),1,0)</f>
        <v/>
      </c>
      <c r="AH176">
        <f>AH175+IF(AND($E176&lt;&gt;"",$E176&lt;=AH$2,$F176&gt;=AH$2),1,0)</f>
        <v/>
      </c>
      <c r="AI176">
        <f>AI175+IF(AND($E176&lt;&gt;"",$E176&lt;=AI$2,$F176&gt;=AI$2),1,0)</f>
        <v/>
      </c>
      <c r="AJ176">
        <f>AJ175+IF(AND($E176&lt;&gt;"",$E176&lt;=AJ$2,$F176&gt;=AJ$2),1,0)</f>
        <v/>
      </c>
      <c r="AK176">
        <f>AK175+IF(AND($E176&lt;&gt;"",$E176&lt;=AK$2,$F176&gt;=AK$2),1,0)</f>
        <v/>
      </c>
      <c r="AL176">
        <f>AL175+IF(AND($E176&lt;&gt;"",$E176&lt;=AL$2,$F176&gt;=AL$2),1,0)</f>
        <v/>
      </c>
      <c r="AM176">
        <f>AM175+IF(AND($E176&lt;&gt;"",$E176&lt;=AM$2,$F176&gt;=AM$2),1,0)</f>
        <v/>
      </c>
      <c r="AN176">
        <f>AN175+IF(AND($E176&lt;&gt;"",$E176&lt;=AN$2,$F176&gt;=AN$2),1,0)</f>
        <v/>
      </c>
      <c r="AO176">
        <f>AO175+IF(AND($E176&lt;&gt;"",$E176&lt;=AO$2,$F176&gt;=AO$2),1,0)</f>
        <v/>
      </c>
      <c r="AP176">
        <f>AP175+IF(AND($E176&lt;&gt;"",$E176&lt;=AP$2,$F176&gt;=AP$2),1,0)</f>
        <v/>
      </c>
      <c r="AQ176">
        <f>AQ175+IF(AND($E176&lt;&gt;"",$E176&lt;=AQ$2,$F176&gt;=AQ$2),1,0)</f>
        <v/>
      </c>
      <c r="AR176">
        <f>AR175+IF(AND($E176&lt;&gt;"",$E176&lt;=AR$2,$F176&gt;=AR$2),1,0)</f>
        <v/>
      </c>
      <c r="AS176">
        <f>AS175+IF(AND($E176&lt;&gt;"",$E176&lt;=AS$2,$F176&gt;=AS$2),1,0)</f>
        <v/>
      </c>
      <c r="AT176">
        <f>AT175+IF(AND($E176&lt;&gt;"",$E176&lt;=AT$2,$F176&gt;=AT$2),1,0)</f>
        <v/>
      </c>
      <c r="AU176">
        <f>AU175+IF(AND($E176&lt;&gt;"",$E176&lt;=AU$2,$F176&gt;=AU$2),1,0)</f>
        <v/>
      </c>
      <c r="AV176">
        <f>AV175+IF(AND($E176&lt;&gt;"",$E176&lt;=AV$2,$F176&gt;=AV$2),1,0)</f>
        <v/>
      </c>
      <c r="AW176">
        <f>AW175+IF(AND($E176&lt;&gt;"",$E176&lt;=AW$2,$F176&gt;=AW$2),1,0)</f>
        <v/>
      </c>
    </row>
    <row r="177">
      <c r="A177">
        <f>IF(AND(ISNUMBER(Events!$A179),ISNUMBER(Events!$B179)),MAX(0,Events!$B179-Events!$A179),0)</f>
        <v/>
      </c>
      <c r="B177">
        <f>IF(ISNUMBER(Events!$A179),DATE(YEAR($B$1)-1,MONTH(Events!$A179),DAY(Events!$A179)),"")</f>
        <v/>
      </c>
      <c r="C177">
        <f>IF(ISNUMBER(Events!$A179),DATE(YEAR($B$1),MONTH(Events!$A179),DAY(Events!$A179)),"")</f>
        <v/>
      </c>
      <c r="D177">
        <f>IF(ISNUMBER(Events!$A179),DATE(YEAR($B$2),MONTH(Events!$A179),DAY(Events!$A179)),"")</f>
        <v/>
      </c>
      <c r="E177">
        <f>IF(OR(NOT(ISNUMBER(Events!$A179)),Events!$G179="No",Calendar!$H$4="None"),"",IF(OR(Calendar!$H$4="All events",Events!$D179=Calendar!$H$4),IF(Events!$E179="Yes",IF(AND(B177&gt;=Events!$A179,B177&lt;=$B$2,B177+$A177&gt;=$B$1),B177,IF(AND(C177&gt;=Events!$A179,C177&lt;=$B$2,C177+$A177&gt;=$B$1),C177,IF(AND(D177&gt;=Events!$A179,D177&lt;=$B$2,D177+$A177&gt;=$B$1),D177,""))),IF(AND(Events!$A179&lt;=$B$2,Events!$A179+$A177&gt;=$B$1),Events!$A179,"")),""))</f>
        <v/>
      </c>
      <c r="F177">
        <f>IF(E177="","",E177+A177)</f>
        <v/>
      </c>
      <c r="G177">
        <f>IF(E177="","",IF(AND(E177&lt;=EOMONTH(Calendar!$K$2,0),F177&gt;=Calendar!$K$2),E177+174/100000,""))</f>
        <v/>
      </c>
      <c r="H177">
        <f>H176+IF(AND($E177&lt;&gt;"",$E177&lt;=H$2,$F177&gt;=H$2),1,0)</f>
        <v/>
      </c>
      <c r="I177">
        <f>I176+IF(AND($E177&lt;&gt;"",$E177&lt;=I$2,$F177&gt;=I$2),1,0)</f>
        <v/>
      </c>
      <c r="J177">
        <f>J176+IF(AND($E177&lt;&gt;"",$E177&lt;=J$2,$F177&gt;=J$2),1,0)</f>
        <v/>
      </c>
      <c r="K177">
        <f>K176+IF(AND($E177&lt;&gt;"",$E177&lt;=K$2,$F177&gt;=K$2),1,0)</f>
        <v/>
      </c>
      <c r="L177">
        <f>L176+IF(AND($E177&lt;&gt;"",$E177&lt;=L$2,$F177&gt;=L$2),1,0)</f>
        <v/>
      </c>
      <c r="M177">
        <f>M176+IF(AND($E177&lt;&gt;"",$E177&lt;=M$2,$F177&gt;=M$2),1,0)</f>
        <v/>
      </c>
      <c r="N177">
        <f>N176+IF(AND($E177&lt;&gt;"",$E177&lt;=N$2,$F177&gt;=N$2),1,0)</f>
        <v/>
      </c>
      <c r="O177">
        <f>O176+IF(AND($E177&lt;&gt;"",$E177&lt;=O$2,$F177&gt;=O$2),1,0)</f>
        <v/>
      </c>
      <c r="P177">
        <f>P176+IF(AND($E177&lt;&gt;"",$E177&lt;=P$2,$F177&gt;=P$2),1,0)</f>
        <v/>
      </c>
      <c r="Q177">
        <f>Q176+IF(AND($E177&lt;&gt;"",$E177&lt;=Q$2,$F177&gt;=Q$2),1,0)</f>
        <v/>
      </c>
      <c r="R177">
        <f>R176+IF(AND($E177&lt;&gt;"",$E177&lt;=R$2,$F177&gt;=R$2),1,0)</f>
        <v/>
      </c>
      <c r="S177">
        <f>S176+IF(AND($E177&lt;&gt;"",$E177&lt;=S$2,$F177&gt;=S$2),1,0)</f>
        <v/>
      </c>
      <c r="T177">
        <f>T176+IF(AND($E177&lt;&gt;"",$E177&lt;=T$2,$F177&gt;=T$2),1,0)</f>
        <v/>
      </c>
      <c r="U177">
        <f>U176+IF(AND($E177&lt;&gt;"",$E177&lt;=U$2,$F177&gt;=U$2),1,0)</f>
        <v/>
      </c>
      <c r="V177">
        <f>V176+IF(AND($E177&lt;&gt;"",$E177&lt;=V$2,$F177&gt;=V$2),1,0)</f>
        <v/>
      </c>
      <c r="W177">
        <f>W176+IF(AND($E177&lt;&gt;"",$E177&lt;=W$2,$F177&gt;=W$2),1,0)</f>
        <v/>
      </c>
      <c r="X177">
        <f>X176+IF(AND($E177&lt;&gt;"",$E177&lt;=X$2,$F177&gt;=X$2),1,0)</f>
        <v/>
      </c>
      <c r="Y177">
        <f>Y176+IF(AND($E177&lt;&gt;"",$E177&lt;=Y$2,$F177&gt;=Y$2),1,0)</f>
        <v/>
      </c>
      <c r="Z177">
        <f>Z176+IF(AND($E177&lt;&gt;"",$E177&lt;=Z$2,$F177&gt;=Z$2),1,0)</f>
        <v/>
      </c>
      <c r="AA177">
        <f>AA176+IF(AND($E177&lt;&gt;"",$E177&lt;=AA$2,$F177&gt;=AA$2),1,0)</f>
        <v/>
      </c>
      <c r="AB177">
        <f>AB176+IF(AND($E177&lt;&gt;"",$E177&lt;=AB$2,$F177&gt;=AB$2),1,0)</f>
        <v/>
      </c>
      <c r="AC177">
        <f>AC176+IF(AND($E177&lt;&gt;"",$E177&lt;=AC$2,$F177&gt;=AC$2),1,0)</f>
        <v/>
      </c>
      <c r="AD177">
        <f>AD176+IF(AND($E177&lt;&gt;"",$E177&lt;=AD$2,$F177&gt;=AD$2),1,0)</f>
        <v/>
      </c>
      <c r="AE177">
        <f>AE176+IF(AND($E177&lt;&gt;"",$E177&lt;=AE$2,$F177&gt;=AE$2),1,0)</f>
        <v/>
      </c>
      <c r="AF177">
        <f>AF176+IF(AND($E177&lt;&gt;"",$E177&lt;=AF$2,$F177&gt;=AF$2),1,0)</f>
        <v/>
      </c>
      <c r="AG177">
        <f>AG176+IF(AND($E177&lt;&gt;"",$E177&lt;=AG$2,$F177&gt;=AG$2),1,0)</f>
        <v/>
      </c>
      <c r="AH177">
        <f>AH176+IF(AND($E177&lt;&gt;"",$E177&lt;=AH$2,$F177&gt;=AH$2),1,0)</f>
        <v/>
      </c>
      <c r="AI177">
        <f>AI176+IF(AND($E177&lt;&gt;"",$E177&lt;=AI$2,$F177&gt;=AI$2),1,0)</f>
        <v/>
      </c>
      <c r="AJ177">
        <f>AJ176+IF(AND($E177&lt;&gt;"",$E177&lt;=AJ$2,$F177&gt;=AJ$2),1,0)</f>
        <v/>
      </c>
      <c r="AK177">
        <f>AK176+IF(AND($E177&lt;&gt;"",$E177&lt;=AK$2,$F177&gt;=AK$2),1,0)</f>
        <v/>
      </c>
      <c r="AL177">
        <f>AL176+IF(AND($E177&lt;&gt;"",$E177&lt;=AL$2,$F177&gt;=AL$2),1,0)</f>
        <v/>
      </c>
      <c r="AM177">
        <f>AM176+IF(AND($E177&lt;&gt;"",$E177&lt;=AM$2,$F177&gt;=AM$2),1,0)</f>
        <v/>
      </c>
      <c r="AN177">
        <f>AN176+IF(AND($E177&lt;&gt;"",$E177&lt;=AN$2,$F177&gt;=AN$2),1,0)</f>
        <v/>
      </c>
      <c r="AO177">
        <f>AO176+IF(AND($E177&lt;&gt;"",$E177&lt;=AO$2,$F177&gt;=AO$2),1,0)</f>
        <v/>
      </c>
      <c r="AP177">
        <f>AP176+IF(AND($E177&lt;&gt;"",$E177&lt;=AP$2,$F177&gt;=AP$2),1,0)</f>
        <v/>
      </c>
      <c r="AQ177">
        <f>AQ176+IF(AND($E177&lt;&gt;"",$E177&lt;=AQ$2,$F177&gt;=AQ$2),1,0)</f>
        <v/>
      </c>
      <c r="AR177">
        <f>AR176+IF(AND($E177&lt;&gt;"",$E177&lt;=AR$2,$F177&gt;=AR$2),1,0)</f>
        <v/>
      </c>
      <c r="AS177">
        <f>AS176+IF(AND($E177&lt;&gt;"",$E177&lt;=AS$2,$F177&gt;=AS$2),1,0)</f>
        <v/>
      </c>
      <c r="AT177">
        <f>AT176+IF(AND($E177&lt;&gt;"",$E177&lt;=AT$2,$F177&gt;=AT$2),1,0)</f>
        <v/>
      </c>
      <c r="AU177">
        <f>AU176+IF(AND($E177&lt;&gt;"",$E177&lt;=AU$2,$F177&gt;=AU$2),1,0)</f>
        <v/>
      </c>
      <c r="AV177">
        <f>AV176+IF(AND($E177&lt;&gt;"",$E177&lt;=AV$2,$F177&gt;=AV$2),1,0)</f>
        <v/>
      </c>
      <c r="AW177">
        <f>AW176+IF(AND($E177&lt;&gt;"",$E177&lt;=AW$2,$F177&gt;=AW$2),1,0)</f>
        <v/>
      </c>
    </row>
    <row r="178">
      <c r="A178">
        <f>IF(AND(ISNUMBER(Events!$A180),ISNUMBER(Events!$B180)),MAX(0,Events!$B180-Events!$A180),0)</f>
        <v/>
      </c>
      <c r="B178">
        <f>IF(ISNUMBER(Events!$A180),DATE(YEAR($B$1)-1,MONTH(Events!$A180),DAY(Events!$A180)),"")</f>
        <v/>
      </c>
      <c r="C178">
        <f>IF(ISNUMBER(Events!$A180),DATE(YEAR($B$1),MONTH(Events!$A180),DAY(Events!$A180)),"")</f>
        <v/>
      </c>
      <c r="D178">
        <f>IF(ISNUMBER(Events!$A180),DATE(YEAR($B$2),MONTH(Events!$A180),DAY(Events!$A180)),"")</f>
        <v/>
      </c>
      <c r="E178">
        <f>IF(OR(NOT(ISNUMBER(Events!$A180)),Events!$G180="No",Calendar!$H$4="None"),"",IF(OR(Calendar!$H$4="All events",Events!$D180=Calendar!$H$4),IF(Events!$E180="Yes",IF(AND(B178&gt;=Events!$A180,B178&lt;=$B$2,B178+$A178&gt;=$B$1),B178,IF(AND(C178&gt;=Events!$A180,C178&lt;=$B$2,C178+$A178&gt;=$B$1),C178,IF(AND(D178&gt;=Events!$A180,D178&lt;=$B$2,D178+$A178&gt;=$B$1),D178,""))),IF(AND(Events!$A180&lt;=$B$2,Events!$A180+$A178&gt;=$B$1),Events!$A180,"")),""))</f>
        <v/>
      </c>
      <c r="F178">
        <f>IF(E178="","",E178+A178)</f>
        <v/>
      </c>
      <c r="G178">
        <f>IF(E178="","",IF(AND(E178&lt;=EOMONTH(Calendar!$K$2,0),F178&gt;=Calendar!$K$2),E178+175/100000,""))</f>
        <v/>
      </c>
      <c r="H178">
        <f>H177+IF(AND($E178&lt;&gt;"",$E178&lt;=H$2,$F178&gt;=H$2),1,0)</f>
        <v/>
      </c>
      <c r="I178">
        <f>I177+IF(AND($E178&lt;&gt;"",$E178&lt;=I$2,$F178&gt;=I$2),1,0)</f>
        <v/>
      </c>
      <c r="J178">
        <f>J177+IF(AND($E178&lt;&gt;"",$E178&lt;=J$2,$F178&gt;=J$2),1,0)</f>
        <v/>
      </c>
      <c r="K178">
        <f>K177+IF(AND($E178&lt;&gt;"",$E178&lt;=K$2,$F178&gt;=K$2),1,0)</f>
        <v/>
      </c>
      <c r="L178">
        <f>L177+IF(AND($E178&lt;&gt;"",$E178&lt;=L$2,$F178&gt;=L$2),1,0)</f>
        <v/>
      </c>
      <c r="M178">
        <f>M177+IF(AND($E178&lt;&gt;"",$E178&lt;=M$2,$F178&gt;=M$2),1,0)</f>
        <v/>
      </c>
      <c r="N178">
        <f>N177+IF(AND($E178&lt;&gt;"",$E178&lt;=N$2,$F178&gt;=N$2),1,0)</f>
        <v/>
      </c>
      <c r="O178">
        <f>O177+IF(AND($E178&lt;&gt;"",$E178&lt;=O$2,$F178&gt;=O$2),1,0)</f>
        <v/>
      </c>
      <c r="P178">
        <f>P177+IF(AND($E178&lt;&gt;"",$E178&lt;=P$2,$F178&gt;=P$2),1,0)</f>
        <v/>
      </c>
      <c r="Q178">
        <f>Q177+IF(AND($E178&lt;&gt;"",$E178&lt;=Q$2,$F178&gt;=Q$2),1,0)</f>
        <v/>
      </c>
      <c r="R178">
        <f>R177+IF(AND($E178&lt;&gt;"",$E178&lt;=R$2,$F178&gt;=R$2),1,0)</f>
        <v/>
      </c>
      <c r="S178">
        <f>S177+IF(AND($E178&lt;&gt;"",$E178&lt;=S$2,$F178&gt;=S$2),1,0)</f>
        <v/>
      </c>
      <c r="T178">
        <f>T177+IF(AND($E178&lt;&gt;"",$E178&lt;=T$2,$F178&gt;=T$2),1,0)</f>
        <v/>
      </c>
      <c r="U178">
        <f>U177+IF(AND($E178&lt;&gt;"",$E178&lt;=U$2,$F178&gt;=U$2),1,0)</f>
        <v/>
      </c>
      <c r="V178">
        <f>V177+IF(AND($E178&lt;&gt;"",$E178&lt;=V$2,$F178&gt;=V$2),1,0)</f>
        <v/>
      </c>
      <c r="W178">
        <f>W177+IF(AND($E178&lt;&gt;"",$E178&lt;=W$2,$F178&gt;=W$2),1,0)</f>
        <v/>
      </c>
      <c r="X178">
        <f>X177+IF(AND($E178&lt;&gt;"",$E178&lt;=X$2,$F178&gt;=X$2),1,0)</f>
        <v/>
      </c>
      <c r="Y178">
        <f>Y177+IF(AND($E178&lt;&gt;"",$E178&lt;=Y$2,$F178&gt;=Y$2),1,0)</f>
        <v/>
      </c>
      <c r="Z178">
        <f>Z177+IF(AND($E178&lt;&gt;"",$E178&lt;=Z$2,$F178&gt;=Z$2),1,0)</f>
        <v/>
      </c>
      <c r="AA178">
        <f>AA177+IF(AND($E178&lt;&gt;"",$E178&lt;=AA$2,$F178&gt;=AA$2),1,0)</f>
        <v/>
      </c>
      <c r="AB178">
        <f>AB177+IF(AND($E178&lt;&gt;"",$E178&lt;=AB$2,$F178&gt;=AB$2),1,0)</f>
        <v/>
      </c>
      <c r="AC178">
        <f>AC177+IF(AND($E178&lt;&gt;"",$E178&lt;=AC$2,$F178&gt;=AC$2),1,0)</f>
        <v/>
      </c>
      <c r="AD178">
        <f>AD177+IF(AND($E178&lt;&gt;"",$E178&lt;=AD$2,$F178&gt;=AD$2),1,0)</f>
        <v/>
      </c>
      <c r="AE178">
        <f>AE177+IF(AND($E178&lt;&gt;"",$E178&lt;=AE$2,$F178&gt;=AE$2),1,0)</f>
        <v/>
      </c>
      <c r="AF178">
        <f>AF177+IF(AND($E178&lt;&gt;"",$E178&lt;=AF$2,$F178&gt;=AF$2),1,0)</f>
        <v/>
      </c>
      <c r="AG178">
        <f>AG177+IF(AND($E178&lt;&gt;"",$E178&lt;=AG$2,$F178&gt;=AG$2),1,0)</f>
        <v/>
      </c>
      <c r="AH178">
        <f>AH177+IF(AND($E178&lt;&gt;"",$E178&lt;=AH$2,$F178&gt;=AH$2),1,0)</f>
        <v/>
      </c>
      <c r="AI178">
        <f>AI177+IF(AND($E178&lt;&gt;"",$E178&lt;=AI$2,$F178&gt;=AI$2),1,0)</f>
        <v/>
      </c>
      <c r="AJ178">
        <f>AJ177+IF(AND($E178&lt;&gt;"",$E178&lt;=AJ$2,$F178&gt;=AJ$2),1,0)</f>
        <v/>
      </c>
      <c r="AK178">
        <f>AK177+IF(AND($E178&lt;&gt;"",$E178&lt;=AK$2,$F178&gt;=AK$2),1,0)</f>
        <v/>
      </c>
      <c r="AL178">
        <f>AL177+IF(AND($E178&lt;&gt;"",$E178&lt;=AL$2,$F178&gt;=AL$2),1,0)</f>
        <v/>
      </c>
      <c r="AM178">
        <f>AM177+IF(AND($E178&lt;&gt;"",$E178&lt;=AM$2,$F178&gt;=AM$2),1,0)</f>
        <v/>
      </c>
      <c r="AN178">
        <f>AN177+IF(AND($E178&lt;&gt;"",$E178&lt;=AN$2,$F178&gt;=AN$2),1,0)</f>
        <v/>
      </c>
      <c r="AO178">
        <f>AO177+IF(AND($E178&lt;&gt;"",$E178&lt;=AO$2,$F178&gt;=AO$2),1,0)</f>
        <v/>
      </c>
      <c r="AP178">
        <f>AP177+IF(AND($E178&lt;&gt;"",$E178&lt;=AP$2,$F178&gt;=AP$2),1,0)</f>
        <v/>
      </c>
      <c r="AQ178">
        <f>AQ177+IF(AND($E178&lt;&gt;"",$E178&lt;=AQ$2,$F178&gt;=AQ$2),1,0)</f>
        <v/>
      </c>
      <c r="AR178">
        <f>AR177+IF(AND($E178&lt;&gt;"",$E178&lt;=AR$2,$F178&gt;=AR$2),1,0)</f>
        <v/>
      </c>
      <c r="AS178">
        <f>AS177+IF(AND($E178&lt;&gt;"",$E178&lt;=AS$2,$F178&gt;=AS$2),1,0)</f>
        <v/>
      </c>
      <c r="AT178">
        <f>AT177+IF(AND($E178&lt;&gt;"",$E178&lt;=AT$2,$F178&gt;=AT$2),1,0)</f>
        <v/>
      </c>
      <c r="AU178">
        <f>AU177+IF(AND($E178&lt;&gt;"",$E178&lt;=AU$2,$F178&gt;=AU$2),1,0)</f>
        <v/>
      </c>
      <c r="AV178">
        <f>AV177+IF(AND($E178&lt;&gt;"",$E178&lt;=AV$2,$F178&gt;=AV$2),1,0)</f>
        <v/>
      </c>
      <c r="AW178">
        <f>AW177+IF(AND($E178&lt;&gt;"",$E178&lt;=AW$2,$F178&gt;=AW$2),1,0)</f>
        <v/>
      </c>
    </row>
    <row r="179">
      <c r="A179">
        <f>IF(AND(ISNUMBER(Events!$A181),ISNUMBER(Events!$B181)),MAX(0,Events!$B181-Events!$A181),0)</f>
        <v/>
      </c>
      <c r="B179">
        <f>IF(ISNUMBER(Events!$A181),DATE(YEAR($B$1)-1,MONTH(Events!$A181),DAY(Events!$A181)),"")</f>
        <v/>
      </c>
      <c r="C179">
        <f>IF(ISNUMBER(Events!$A181),DATE(YEAR($B$1),MONTH(Events!$A181),DAY(Events!$A181)),"")</f>
        <v/>
      </c>
      <c r="D179">
        <f>IF(ISNUMBER(Events!$A181),DATE(YEAR($B$2),MONTH(Events!$A181),DAY(Events!$A181)),"")</f>
        <v/>
      </c>
      <c r="E179">
        <f>IF(OR(NOT(ISNUMBER(Events!$A181)),Events!$G181="No",Calendar!$H$4="None"),"",IF(OR(Calendar!$H$4="All events",Events!$D181=Calendar!$H$4),IF(Events!$E181="Yes",IF(AND(B179&gt;=Events!$A181,B179&lt;=$B$2,B179+$A179&gt;=$B$1),B179,IF(AND(C179&gt;=Events!$A181,C179&lt;=$B$2,C179+$A179&gt;=$B$1),C179,IF(AND(D179&gt;=Events!$A181,D179&lt;=$B$2,D179+$A179&gt;=$B$1),D179,""))),IF(AND(Events!$A181&lt;=$B$2,Events!$A181+$A179&gt;=$B$1),Events!$A181,"")),""))</f>
        <v/>
      </c>
      <c r="F179">
        <f>IF(E179="","",E179+A179)</f>
        <v/>
      </c>
      <c r="G179">
        <f>IF(E179="","",IF(AND(E179&lt;=EOMONTH(Calendar!$K$2,0),F179&gt;=Calendar!$K$2),E179+176/100000,""))</f>
        <v/>
      </c>
      <c r="H179">
        <f>H178+IF(AND($E179&lt;&gt;"",$E179&lt;=H$2,$F179&gt;=H$2),1,0)</f>
        <v/>
      </c>
      <c r="I179">
        <f>I178+IF(AND($E179&lt;&gt;"",$E179&lt;=I$2,$F179&gt;=I$2),1,0)</f>
        <v/>
      </c>
      <c r="J179">
        <f>J178+IF(AND($E179&lt;&gt;"",$E179&lt;=J$2,$F179&gt;=J$2),1,0)</f>
        <v/>
      </c>
      <c r="K179">
        <f>K178+IF(AND($E179&lt;&gt;"",$E179&lt;=K$2,$F179&gt;=K$2),1,0)</f>
        <v/>
      </c>
      <c r="L179">
        <f>L178+IF(AND($E179&lt;&gt;"",$E179&lt;=L$2,$F179&gt;=L$2),1,0)</f>
        <v/>
      </c>
      <c r="M179">
        <f>M178+IF(AND($E179&lt;&gt;"",$E179&lt;=M$2,$F179&gt;=M$2),1,0)</f>
        <v/>
      </c>
      <c r="N179">
        <f>N178+IF(AND($E179&lt;&gt;"",$E179&lt;=N$2,$F179&gt;=N$2),1,0)</f>
        <v/>
      </c>
      <c r="O179">
        <f>O178+IF(AND($E179&lt;&gt;"",$E179&lt;=O$2,$F179&gt;=O$2),1,0)</f>
        <v/>
      </c>
      <c r="P179">
        <f>P178+IF(AND($E179&lt;&gt;"",$E179&lt;=P$2,$F179&gt;=P$2),1,0)</f>
        <v/>
      </c>
      <c r="Q179">
        <f>Q178+IF(AND($E179&lt;&gt;"",$E179&lt;=Q$2,$F179&gt;=Q$2),1,0)</f>
        <v/>
      </c>
      <c r="R179">
        <f>R178+IF(AND($E179&lt;&gt;"",$E179&lt;=R$2,$F179&gt;=R$2),1,0)</f>
        <v/>
      </c>
      <c r="S179">
        <f>S178+IF(AND($E179&lt;&gt;"",$E179&lt;=S$2,$F179&gt;=S$2),1,0)</f>
        <v/>
      </c>
      <c r="T179">
        <f>T178+IF(AND($E179&lt;&gt;"",$E179&lt;=T$2,$F179&gt;=T$2),1,0)</f>
        <v/>
      </c>
      <c r="U179">
        <f>U178+IF(AND($E179&lt;&gt;"",$E179&lt;=U$2,$F179&gt;=U$2),1,0)</f>
        <v/>
      </c>
      <c r="V179">
        <f>V178+IF(AND($E179&lt;&gt;"",$E179&lt;=V$2,$F179&gt;=V$2),1,0)</f>
        <v/>
      </c>
      <c r="W179">
        <f>W178+IF(AND($E179&lt;&gt;"",$E179&lt;=W$2,$F179&gt;=W$2),1,0)</f>
        <v/>
      </c>
      <c r="X179">
        <f>X178+IF(AND($E179&lt;&gt;"",$E179&lt;=X$2,$F179&gt;=X$2),1,0)</f>
        <v/>
      </c>
      <c r="Y179">
        <f>Y178+IF(AND($E179&lt;&gt;"",$E179&lt;=Y$2,$F179&gt;=Y$2),1,0)</f>
        <v/>
      </c>
      <c r="Z179">
        <f>Z178+IF(AND($E179&lt;&gt;"",$E179&lt;=Z$2,$F179&gt;=Z$2),1,0)</f>
        <v/>
      </c>
      <c r="AA179">
        <f>AA178+IF(AND($E179&lt;&gt;"",$E179&lt;=AA$2,$F179&gt;=AA$2),1,0)</f>
        <v/>
      </c>
      <c r="AB179">
        <f>AB178+IF(AND($E179&lt;&gt;"",$E179&lt;=AB$2,$F179&gt;=AB$2),1,0)</f>
        <v/>
      </c>
      <c r="AC179">
        <f>AC178+IF(AND($E179&lt;&gt;"",$E179&lt;=AC$2,$F179&gt;=AC$2),1,0)</f>
        <v/>
      </c>
      <c r="AD179">
        <f>AD178+IF(AND($E179&lt;&gt;"",$E179&lt;=AD$2,$F179&gt;=AD$2),1,0)</f>
        <v/>
      </c>
      <c r="AE179">
        <f>AE178+IF(AND($E179&lt;&gt;"",$E179&lt;=AE$2,$F179&gt;=AE$2),1,0)</f>
        <v/>
      </c>
      <c r="AF179">
        <f>AF178+IF(AND($E179&lt;&gt;"",$E179&lt;=AF$2,$F179&gt;=AF$2),1,0)</f>
        <v/>
      </c>
      <c r="AG179">
        <f>AG178+IF(AND($E179&lt;&gt;"",$E179&lt;=AG$2,$F179&gt;=AG$2),1,0)</f>
        <v/>
      </c>
      <c r="AH179">
        <f>AH178+IF(AND($E179&lt;&gt;"",$E179&lt;=AH$2,$F179&gt;=AH$2),1,0)</f>
        <v/>
      </c>
      <c r="AI179">
        <f>AI178+IF(AND($E179&lt;&gt;"",$E179&lt;=AI$2,$F179&gt;=AI$2),1,0)</f>
        <v/>
      </c>
      <c r="AJ179">
        <f>AJ178+IF(AND($E179&lt;&gt;"",$E179&lt;=AJ$2,$F179&gt;=AJ$2),1,0)</f>
        <v/>
      </c>
      <c r="AK179">
        <f>AK178+IF(AND($E179&lt;&gt;"",$E179&lt;=AK$2,$F179&gt;=AK$2),1,0)</f>
        <v/>
      </c>
      <c r="AL179">
        <f>AL178+IF(AND($E179&lt;&gt;"",$E179&lt;=AL$2,$F179&gt;=AL$2),1,0)</f>
        <v/>
      </c>
      <c r="AM179">
        <f>AM178+IF(AND($E179&lt;&gt;"",$E179&lt;=AM$2,$F179&gt;=AM$2),1,0)</f>
        <v/>
      </c>
      <c r="AN179">
        <f>AN178+IF(AND($E179&lt;&gt;"",$E179&lt;=AN$2,$F179&gt;=AN$2),1,0)</f>
        <v/>
      </c>
      <c r="AO179">
        <f>AO178+IF(AND($E179&lt;&gt;"",$E179&lt;=AO$2,$F179&gt;=AO$2),1,0)</f>
        <v/>
      </c>
      <c r="AP179">
        <f>AP178+IF(AND($E179&lt;&gt;"",$E179&lt;=AP$2,$F179&gt;=AP$2),1,0)</f>
        <v/>
      </c>
      <c r="AQ179">
        <f>AQ178+IF(AND($E179&lt;&gt;"",$E179&lt;=AQ$2,$F179&gt;=AQ$2),1,0)</f>
        <v/>
      </c>
      <c r="AR179">
        <f>AR178+IF(AND($E179&lt;&gt;"",$E179&lt;=AR$2,$F179&gt;=AR$2),1,0)</f>
        <v/>
      </c>
      <c r="AS179">
        <f>AS178+IF(AND($E179&lt;&gt;"",$E179&lt;=AS$2,$F179&gt;=AS$2),1,0)</f>
        <v/>
      </c>
      <c r="AT179">
        <f>AT178+IF(AND($E179&lt;&gt;"",$E179&lt;=AT$2,$F179&gt;=AT$2),1,0)</f>
        <v/>
      </c>
      <c r="AU179">
        <f>AU178+IF(AND($E179&lt;&gt;"",$E179&lt;=AU$2,$F179&gt;=AU$2),1,0)</f>
        <v/>
      </c>
      <c r="AV179">
        <f>AV178+IF(AND($E179&lt;&gt;"",$E179&lt;=AV$2,$F179&gt;=AV$2),1,0)</f>
        <v/>
      </c>
      <c r="AW179">
        <f>AW178+IF(AND($E179&lt;&gt;"",$E179&lt;=AW$2,$F179&gt;=AW$2),1,0)</f>
        <v/>
      </c>
    </row>
    <row r="180">
      <c r="A180">
        <f>IF(AND(ISNUMBER(Events!$A182),ISNUMBER(Events!$B182)),MAX(0,Events!$B182-Events!$A182),0)</f>
        <v/>
      </c>
      <c r="B180">
        <f>IF(ISNUMBER(Events!$A182),DATE(YEAR($B$1)-1,MONTH(Events!$A182),DAY(Events!$A182)),"")</f>
        <v/>
      </c>
      <c r="C180">
        <f>IF(ISNUMBER(Events!$A182),DATE(YEAR($B$1),MONTH(Events!$A182),DAY(Events!$A182)),"")</f>
        <v/>
      </c>
      <c r="D180">
        <f>IF(ISNUMBER(Events!$A182),DATE(YEAR($B$2),MONTH(Events!$A182),DAY(Events!$A182)),"")</f>
        <v/>
      </c>
      <c r="E180">
        <f>IF(OR(NOT(ISNUMBER(Events!$A182)),Events!$G182="No",Calendar!$H$4="None"),"",IF(OR(Calendar!$H$4="All events",Events!$D182=Calendar!$H$4),IF(Events!$E182="Yes",IF(AND(B180&gt;=Events!$A182,B180&lt;=$B$2,B180+$A180&gt;=$B$1),B180,IF(AND(C180&gt;=Events!$A182,C180&lt;=$B$2,C180+$A180&gt;=$B$1),C180,IF(AND(D180&gt;=Events!$A182,D180&lt;=$B$2,D180+$A180&gt;=$B$1),D180,""))),IF(AND(Events!$A182&lt;=$B$2,Events!$A182+$A180&gt;=$B$1),Events!$A182,"")),""))</f>
        <v/>
      </c>
      <c r="F180">
        <f>IF(E180="","",E180+A180)</f>
        <v/>
      </c>
      <c r="G180">
        <f>IF(E180="","",IF(AND(E180&lt;=EOMONTH(Calendar!$K$2,0),F180&gt;=Calendar!$K$2),E180+177/100000,""))</f>
        <v/>
      </c>
      <c r="H180">
        <f>H179+IF(AND($E180&lt;&gt;"",$E180&lt;=H$2,$F180&gt;=H$2),1,0)</f>
        <v/>
      </c>
      <c r="I180">
        <f>I179+IF(AND($E180&lt;&gt;"",$E180&lt;=I$2,$F180&gt;=I$2),1,0)</f>
        <v/>
      </c>
      <c r="J180">
        <f>J179+IF(AND($E180&lt;&gt;"",$E180&lt;=J$2,$F180&gt;=J$2),1,0)</f>
        <v/>
      </c>
      <c r="K180">
        <f>K179+IF(AND($E180&lt;&gt;"",$E180&lt;=K$2,$F180&gt;=K$2),1,0)</f>
        <v/>
      </c>
      <c r="L180">
        <f>L179+IF(AND($E180&lt;&gt;"",$E180&lt;=L$2,$F180&gt;=L$2),1,0)</f>
        <v/>
      </c>
      <c r="M180">
        <f>M179+IF(AND($E180&lt;&gt;"",$E180&lt;=M$2,$F180&gt;=M$2),1,0)</f>
        <v/>
      </c>
      <c r="N180">
        <f>N179+IF(AND($E180&lt;&gt;"",$E180&lt;=N$2,$F180&gt;=N$2),1,0)</f>
        <v/>
      </c>
      <c r="O180">
        <f>O179+IF(AND($E180&lt;&gt;"",$E180&lt;=O$2,$F180&gt;=O$2),1,0)</f>
        <v/>
      </c>
      <c r="P180">
        <f>P179+IF(AND($E180&lt;&gt;"",$E180&lt;=P$2,$F180&gt;=P$2),1,0)</f>
        <v/>
      </c>
      <c r="Q180">
        <f>Q179+IF(AND($E180&lt;&gt;"",$E180&lt;=Q$2,$F180&gt;=Q$2),1,0)</f>
        <v/>
      </c>
      <c r="R180">
        <f>R179+IF(AND($E180&lt;&gt;"",$E180&lt;=R$2,$F180&gt;=R$2),1,0)</f>
        <v/>
      </c>
      <c r="S180">
        <f>S179+IF(AND($E180&lt;&gt;"",$E180&lt;=S$2,$F180&gt;=S$2),1,0)</f>
        <v/>
      </c>
      <c r="T180">
        <f>T179+IF(AND($E180&lt;&gt;"",$E180&lt;=T$2,$F180&gt;=T$2),1,0)</f>
        <v/>
      </c>
      <c r="U180">
        <f>U179+IF(AND($E180&lt;&gt;"",$E180&lt;=U$2,$F180&gt;=U$2),1,0)</f>
        <v/>
      </c>
      <c r="V180">
        <f>V179+IF(AND($E180&lt;&gt;"",$E180&lt;=V$2,$F180&gt;=V$2),1,0)</f>
        <v/>
      </c>
      <c r="W180">
        <f>W179+IF(AND($E180&lt;&gt;"",$E180&lt;=W$2,$F180&gt;=W$2),1,0)</f>
        <v/>
      </c>
      <c r="X180">
        <f>X179+IF(AND($E180&lt;&gt;"",$E180&lt;=X$2,$F180&gt;=X$2),1,0)</f>
        <v/>
      </c>
      <c r="Y180">
        <f>Y179+IF(AND($E180&lt;&gt;"",$E180&lt;=Y$2,$F180&gt;=Y$2),1,0)</f>
        <v/>
      </c>
      <c r="Z180">
        <f>Z179+IF(AND($E180&lt;&gt;"",$E180&lt;=Z$2,$F180&gt;=Z$2),1,0)</f>
        <v/>
      </c>
      <c r="AA180">
        <f>AA179+IF(AND($E180&lt;&gt;"",$E180&lt;=AA$2,$F180&gt;=AA$2),1,0)</f>
        <v/>
      </c>
      <c r="AB180">
        <f>AB179+IF(AND($E180&lt;&gt;"",$E180&lt;=AB$2,$F180&gt;=AB$2),1,0)</f>
        <v/>
      </c>
      <c r="AC180">
        <f>AC179+IF(AND($E180&lt;&gt;"",$E180&lt;=AC$2,$F180&gt;=AC$2),1,0)</f>
        <v/>
      </c>
      <c r="AD180">
        <f>AD179+IF(AND($E180&lt;&gt;"",$E180&lt;=AD$2,$F180&gt;=AD$2),1,0)</f>
        <v/>
      </c>
      <c r="AE180">
        <f>AE179+IF(AND($E180&lt;&gt;"",$E180&lt;=AE$2,$F180&gt;=AE$2),1,0)</f>
        <v/>
      </c>
      <c r="AF180">
        <f>AF179+IF(AND($E180&lt;&gt;"",$E180&lt;=AF$2,$F180&gt;=AF$2),1,0)</f>
        <v/>
      </c>
      <c r="AG180">
        <f>AG179+IF(AND($E180&lt;&gt;"",$E180&lt;=AG$2,$F180&gt;=AG$2),1,0)</f>
        <v/>
      </c>
      <c r="AH180">
        <f>AH179+IF(AND($E180&lt;&gt;"",$E180&lt;=AH$2,$F180&gt;=AH$2),1,0)</f>
        <v/>
      </c>
      <c r="AI180">
        <f>AI179+IF(AND($E180&lt;&gt;"",$E180&lt;=AI$2,$F180&gt;=AI$2),1,0)</f>
        <v/>
      </c>
      <c r="AJ180">
        <f>AJ179+IF(AND($E180&lt;&gt;"",$E180&lt;=AJ$2,$F180&gt;=AJ$2),1,0)</f>
        <v/>
      </c>
      <c r="AK180">
        <f>AK179+IF(AND($E180&lt;&gt;"",$E180&lt;=AK$2,$F180&gt;=AK$2),1,0)</f>
        <v/>
      </c>
      <c r="AL180">
        <f>AL179+IF(AND($E180&lt;&gt;"",$E180&lt;=AL$2,$F180&gt;=AL$2),1,0)</f>
        <v/>
      </c>
      <c r="AM180">
        <f>AM179+IF(AND($E180&lt;&gt;"",$E180&lt;=AM$2,$F180&gt;=AM$2),1,0)</f>
        <v/>
      </c>
      <c r="AN180">
        <f>AN179+IF(AND($E180&lt;&gt;"",$E180&lt;=AN$2,$F180&gt;=AN$2),1,0)</f>
        <v/>
      </c>
      <c r="AO180">
        <f>AO179+IF(AND($E180&lt;&gt;"",$E180&lt;=AO$2,$F180&gt;=AO$2),1,0)</f>
        <v/>
      </c>
      <c r="AP180">
        <f>AP179+IF(AND($E180&lt;&gt;"",$E180&lt;=AP$2,$F180&gt;=AP$2),1,0)</f>
        <v/>
      </c>
      <c r="AQ180">
        <f>AQ179+IF(AND($E180&lt;&gt;"",$E180&lt;=AQ$2,$F180&gt;=AQ$2),1,0)</f>
        <v/>
      </c>
      <c r="AR180">
        <f>AR179+IF(AND($E180&lt;&gt;"",$E180&lt;=AR$2,$F180&gt;=AR$2),1,0)</f>
        <v/>
      </c>
      <c r="AS180">
        <f>AS179+IF(AND($E180&lt;&gt;"",$E180&lt;=AS$2,$F180&gt;=AS$2),1,0)</f>
        <v/>
      </c>
      <c r="AT180">
        <f>AT179+IF(AND($E180&lt;&gt;"",$E180&lt;=AT$2,$F180&gt;=AT$2),1,0)</f>
        <v/>
      </c>
      <c r="AU180">
        <f>AU179+IF(AND($E180&lt;&gt;"",$E180&lt;=AU$2,$F180&gt;=AU$2),1,0)</f>
        <v/>
      </c>
      <c r="AV180">
        <f>AV179+IF(AND($E180&lt;&gt;"",$E180&lt;=AV$2,$F180&gt;=AV$2),1,0)</f>
        <v/>
      </c>
      <c r="AW180">
        <f>AW179+IF(AND($E180&lt;&gt;"",$E180&lt;=AW$2,$F180&gt;=AW$2),1,0)</f>
        <v/>
      </c>
    </row>
    <row r="181">
      <c r="A181">
        <f>IF(AND(ISNUMBER(Events!$A183),ISNUMBER(Events!$B183)),MAX(0,Events!$B183-Events!$A183),0)</f>
        <v/>
      </c>
      <c r="B181">
        <f>IF(ISNUMBER(Events!$A183),DATE(YEAR($B$1)-1,MONTH(Events!$A183),DAY(Events!$A183)),"")</f>
        <v/>
      </c>
      <c r="C181">
        <f>IF(ISNUMBER(Events!$A183),DATE(YEAR($B$1),MONTH(Events!$A183),DAY(Events!$A183)),"")</f>
        <v/>
      </c>
      <c r="D181">
        <f>IF(ISNUMBER(Events!$A183),DATE(YEAR($B$2),MONTH(Events!$A183),DAY(Events!$A183)),"")</f>
        <v/>
      </c>
      <c r="E181">
        <f>IF(OR(NOT(ISNUMBER(Events!$A183)),Events!$G183="No",Calendar!$H$4="None"),"",IF(OR(Calendar!$H$4="All events",Events!$D183=Calendar!$H$4),IF(Events!$E183="Yes",IF(AND(B181&gt;=Events!$A183,B181&lt;=$B$2,B181+$A181&gt;=$B$1),B181,IF(AND(C181&gt;=Events!$A183,C181&lt;=$B$2,C181+$A181&gt;=$B$1),C181,IF(AND(D181&gt;=Events!$A183,D181&lt;=$B$2,D181+$A181&gt;=$B$1),D181,""))),IF(AND(Events!$A183&lt;=$B$2,Events!$A183+$A181&gt;=$B$1),Events!$A183,"")),""))</f>
        <v/>
      </c>
      <c r="F181">
        <f>IF(E181="","",E181+A181)</f>
        <v/>
      </c>
      <c r="G181">
        <f>IF(E181="","",IF(AND(E181&lt;=EOMONTH(Calendar!$K$2,0),F181&gt;=Calendar!$K$2),E181+178/100000,""))</f>
        <v/>
      </c>
      <c r="H181">
        <f>H180+IF(AND($E181&lt;&gt;"",$E181&lt;=H$2,$F181&gt;=H$2),1,0)</f>
        <v/>
      </c>
      <c r="I181">
        <f>I180+IF(AND($E181&lt;&gt;"",$E181&lt;=I$2,$F181&gt;=I$2),1,0)</f>
        <v/>
      </c>
      <c r="J181">
        <f>J180+IF(AND($E181&lt;&gt;"",$E181&lt;=J$2,$F181&gt;=J$2),1,0)</f>
        <v/>
      </c>
      <c r="K181">
        <f>K180+IF(AND($E181&lt;&gt;"",$E181&lt;=K$2,$F181&gt;=K$2),1,0)</f>
        <v/>
      </c>
      <c r="L181">
        <f>L180+IF(AND($E181&lt;&gt;"",$E181&lt;=L$2,$F181&gt;=L$2),1,0)</f>
        <v/>
      </c>
      <c r="M181">
        <f>M180+IF(AND($E181&lt;&gt;"",$E181&lt;=M$2,$F181&gt;=M$2),1,0)</f>
        <v/>
      </c>
      <c r="N181">
        <f>N180+IF(AND($E181&lt;&gt;"",$E181&lt;=N$2,$F181&gt;=N$2),1,0)</f>
        <v/>
      </c>
      <c r="O181">
        <f>O180+IF(AND($E181&lt;&gt;"",$E181&lt;=O$2,$F181&gt;=O$2),1,0)</f>
        <v/>
      </c>
      <c r="P181">
        <f>P180+IF(AND($E181&lt;&gt;"",$E181&lt;=P$2,$F181&gt;=P$2),1,0)</f>
        <v/>
      </c>
      <c r="Q181">
        <f>Q180+IF(AND($E181&lt;&gt;"",$E181&lt;=Q$2,$F181&gt;=Q$2),1,0)</f>
        <v/>
      </c>
      <c r="R181">
        <f>R180+IF(AND($E181&lt;&gt;"",$E181&lt;=R$2,$F181&gt;=R$2),1,0)</f>
        <v/>
      </c>
      <c r="S181">
        <f>S180+IF(AND($E181&lt;&gt;"",$E181&lt;=S$2,$F181&gt;=S$2),1,0)</f>
        <v/>
      </c>
      <c r="T181">
        <f>T180+IF(AND($E181&lt;&gt;"",$E181&lt;=T$2,$F181&gt;=T$2),1,0)</f>
        <v/>
      </c>
      <c r="U181">
        <f>U180+IF(AND($E181&lt;&gt;"",$E181&lt;=U$2,$F181&gt;=U$2),1,0)</f>
        <v/>
      </c>
      <c r="V181">
        <f>V180+IF(AND($E181&lt;&gt;"",$E181&lt;=V$2,$F181&gt;=V$2),1,0)</f>
        <v/>
      </c>
      <c r="W181">
        <f>W180+IF(AND($E181&lt;&gt;"",$E181&lt;=W$2,$F181&gt;=W$2),1,0)</f>
        <v/>
      </c>
      <c r="X181">
        <f>X180+IF(AND($E181&lt;&gt;"",$E181&lt;=X$2,$F181&gt;=X$2),1,0)</f>
        <v/>
      </c>
      <c r="Y181">
        <f>Y180+IF(AND($E181&lt;&gt;"",$E181&lt;=Y$2,$F181&gt;=Y$2),1,0)</f>
        <v/>
      </c>
      <c r="Z181">
        <f>Z180+IF(AND($E181&lt;&gt;"",$E181&lt;=Z$2,$F181&gt;=Z$2),1,0)</f>
        <v/>
      </c>
      <c r="AA181">
        <f>AA180+IF(AND($E181&lt;&gt;"",$E181&lt;=AA$2,$F181&gt;=AA$2),1,0)</f>
        <v/>
      </c>
      <c r="AB181">
        <f>AB180+IF(AND($E181&lt;&gt;"",$E181&lt;=AB$2,$F181&gt;=AB$2),1,0)</f>
        <v/>
      </c>
      <c r="AC181">
        <f>AC180+IF(AND($E181&lt;&gt;"",$E181&lt;=AC$2,$F181&gt;=AC$2),1,0)</f>
        <v/>
      </c>
      <c r="AD181">
        <f>AD180+IF(AND($E181&lt;&gt;"",$E181&lt;=AD$2,$F181&gt;=AD$2),1,0)</f>
        <v/>
      </c>
      <c r="AE181">
        <f>AE180+IF(AND($E181&lt;&gt;"",$E181&lt;=AE$2,$F181&gt;=AE$2),1,0)</f>
        <v/>
      </c>
      <c r="AF181">
        <f>AF180+IF(AND($E181&lt;&gt;"",$E181&lt;=AF$2,$F181&gt;=AF$2),1,0)</f>
        <v/>
      </c>
      <c r="AG181">
        <f>AG180+IF(AND($E181&lt;&gt;"",$E181&lt;=AG$2,$F181&gt;=AG$2),1,0)</f>
        <v/>
      </c>
      <c r="AH181">
        <f>AH180+IF(AND($E181&lt;&gt;"",$E181&lt;=AH$2,$F181&gt;=AH$2),1,0)</f>
        <v/>
      </c>
      <c r="AI181">
        <f>AI180+IF(AND($E181&lt;&gt;"",$E181&lt;=AI$2,$F181&gt;=AI$2),1,0)</f>
        <v/>
      </c>
      <c r="AJ181">
        <f>AJ180+IF(AND($E181&lt;&gt;"",$E181&lt;=AJ$2,$F181&gt;=AJ$2),1,0)</f>
        <v/>
      </c>
      <c r="AK181">
        <f>AK180+IF(AND($E181&lt;&gt;"",$E181&lt;=AK$2,$F181&gt;=AK$2),1,0)</f>
        <v/>
      </c>
      <c r="AL181">
        <f>AL180+IF(AND($E181&lt;&gt;"",$E181&lt;=AL$2,$F181&gt;=AL$2),1,0)</f>
        <v/>
      </c>
      <c r="AM181">
        <f>AM180+IF(AND($E181&lt;&gt;"",$E181&lt;=AM$2,$F181&gt;=AM$2),1,0)</f>
        <v/>
      </c>
      <c r="AN181">
        <f>AN180+IF(AND($E181&lt;&gt;"",$E181&lt;=AN$2,$F181&gt;=AN$2),1,0)</f>
        <v/>
      </c>
      <c r="AO181">
        <f>AO180+IF(AND($E181&lt;&gt;"",$E181&lt;=AO$2,$F181&gt;=AO$2),1,0)</f>
        <v/>
      </c>
      <c r="AP181">
        <f>AP180+IF(AND($E181&lt;&gt;"",$E181&lt;=AP$2,$F181&gt;=AP$2),1,0)</f>
        <v/>
      </c>
      <c r="AQ181">
        <f>AQ180+IF(AND($E181&lt;&gt;"",$E181&lt;=AQ$2,$F181&gt;=AQ$2),1,0)</f>
        <v/>
      </c>
      <c r="AR181">
        <f>AR180+IF(AND($E181&lt;&gt;"",$E181&lt;=AR$2,$F181&gt;=AR$2),1,0)</f>
        <v/>
      </c>
      <c r="AS181">
        <f>AS180+IF(AND($E181&lt;&gt;"",$E181&lt;=AS$2,$F181&gt;=AS$2),1,0)</f>
        <v/>
      </c>
      <c r="AT181">
        <f>AT180+IF(AND($E181&lt;&gt;"",$E181&lt;=AT$2,$F181&gt;=AT$2),1,0)</f>
        <v/>
      </c>
      <c r="AU181">
        <f>AU180+IF(AND($E181&lt;&gt;"",$E181&lt;=AU$2,$F181&gt;=AU$2),1,0)</f>
        <v/>
      </c>
      <c r="AV181">
        <f>AV180+IF(AND($E181&lt;&gt;"",$E181&lt;=AV$2,$F181&gt;=AV$2),1,0)</f>
        <v/>
      </c>
      <c r="AW181">
        <f>AW180+IF(AND($E181&lt;&gt;"",$E181&lt;=AW$2,$F181&gt;=AW$2),1,0)</f>
        <v/>
      </c>
    </row>
    <row r="182">
      <c r="A182">
        <f>IF(AND(ISNUMBER(Events!$A184),ISNUMBER(Events!$B184)),MAX(0,Events!$B184-Events!$A184),0)</f>
        <v/>
      </c>
      <c r="B182">
        <f>IF(ISNUMBER(Events!$A184),DATE(YEAR($B$1)-1,MONTH(Events!$A184),DAY(Events!$A184)),"")</f>
        <v/>
      </c>
      <c r="C182">
        <f>IF(ISNUMBER(Events!$A184),DATE(YEAR($B$1),MONTH(Events!$A184),DAY(Events!$A184)),"")</f>
        <v/>
      </c>
      <c r="D182">
        <f>IF(ISNUMBER(Events!$A184),DATE(YEAR($B$2),MONTH(Events!$A184),DAY(Events!$A184)),"")</f>
        <v/>
      </c>
      <c r="E182">
        <f>IF(OR(NOT(ISNUMBER(Events!$A184)),Events!$G184="No",Calendar!$H$4="None"),"",IF(OR(Calendar!$H$4="All events",Events!$D184=Calendar!$H$4),IF(Events!$E184="Yes",IF(AND(B182&gt;=Events!$A184,B182&lt;=$B$2,B182+$A182&gt;=$B$1),B182,IF(AND(C182&gt;=Events!$A184,C182&lt;=$B$2,C182+$A182&gt;=$B$1),C182,IF(AND(D182&gt;=Events!$A184,D182&lt;=$B$2,D182+$A182&gt;=$B$1),D182,""))),IF(AND(Events!$A184&lt;=$B$2,Events!$A184+$A182&gt;=$B$1),Events!$A184,"")),""))</f>
        <v/>
      </c>
      <c r="F182">
        <f>IF(E182="","",E182+A182)</f>
        <v/>
      </c>
      <c r="G182">
        <f>IF(E182="","",IF(AND(E182&lt;=EOMONTH(Calendar!$K$2,0),F182&gt;=Calendar!$K$2),E182+179/100000,""))</f>
        <v/>
      </c>
      <c r="H182">
        <f>H181+IF(AND($E182&lt;&gt;"",$E182&lt;=H$2,$F182&gt;=H$2),1,0)</f>
        <v/>
      </c>
      <c r="I182">
        <f>I181+IF(AND($E182&lt;&gt;"",$E182&lt;=I$2,$F182&gt;=I$2),1,0)</f>
        <v/>
      </c>
      <c r="J182">
        <f>J181+IF(AND($E182&lt;&gt;"",$E182&lt;=J$2,$F182&gt;=J$2),1,0)</f>
        <v/>
      </c>
      <c r="K182">
        <f>K181+IF(AND($E182&lt;&gt;"",$E182&lt;=K$2,$F182&gt;=K$2),1,0)</f>
        <v/>
      </c>
      <c r="L182">
        <f>L181+IF(AND($E182&lt;&gt;"",$E182&lt;=L$2,$F182&gt;=L$2),1,0)</f>
        <v/>
      </c>
      <c r="M182">
        <f>M181+IF(AND($E182&lt;&gt;"",$E182&lt;=M$2,$F182&gt;=M$2),1,0)</f>
        <v/>
      </c>
      <c r="N182">
        <f>N181+IF(AND($E182&lt;&gt;"",$E182&lt;=N$2,$F182&gt;=N$2),1,0)</f>
        <v/>
      </c>
      <c r="O182">
        <f>O181+IF(AND($E182&lt;&gt;"",$E182&lt;=O$2,$F182&gt;=O$2),1,0)</f>
        <v/>
      </c>
      <c r="P182">
        <f>P181+IF(AND($E182&lt;&gt;"",$E182&lt;=P$2,$F182&gt;=P$2),1,0)</f>
        <v/>
      </c>
      <c r="Q182">
        <f>Q181+IF(AND($E182&lt;&gt;"",$E182&lt;=Q$2,$F182&gt;=Q$2),1,0)</f>
        <v/>
      </c>
      <c r="R182">
        <f>R181+IF(AND($E182&lt;&gt;"",$E182&lt;=R$2,$F182&gt;=R$2),1,0)</f>
        <v/>
      </c>
      <c r="S182">
        <f>S181+IF(AND($E182&lt;&gt;"",$E182&lt;=S$2,$F182&gt;=S$2),1,0)</f>
        <v/>
      </c>
      <c r="T182">
        <f>T181+IF(AND($E182&lt;&gt;"",$E182&lt;=T$2,$F182&gt;=T$2),1,0)</f>
        <v/>
      </c>
      <c r="U182">
        <f>U181+IF(AND($E182&lt;&gt;"",$E182&lt;=U$2,$F182&gt;=U$2),1,0)</f>
        <v/>
      </c>
      <c r="V182">
        <f>V181+IF(AND($E182&lt;&gt;"",$E182&lt;=V$2,$F182&gt;=V$2),1,0)</f>
        <v/>
      </c>
      <c r="W182">
        <f>W181+IF(AND($E182&lt;&gt;"",$E182&lt;=W$2,$F182&gt;=W$2),1,0)</f>
        <v/>
      </c>
      <c r="X182">
        <f>X181+IF(AND($E182&lt;&gt;"",$E182&lt;=X$2,$F182&gt;=X$2),1,0)</f>
        <v/>
      </c>
      <c r="Y182">
        <f>Y181+IF(AND($E182&lt;&gt;"",$E182&lt;=Y$2,$F182&gt;=Y$2),1,0)</f>
        <v/>
      </c>
      <c r="Z182">
        <f>Z181+IF(AND($E182&lt;&gt;"",$E182&lt;=Z$2,$F182&gt;=Z$2),1,0)</f>
        <v/>
      </c>
      <c r="AA182">
        <f>AA181+IF(AND($E182&lt;&gt;"",$E182&lt;=AA$2,$F182&gt;=AA$2),1,0)</f>
        <v/>
      </c>
      <c r="AB182">
        <f>AB181+IF(AND($E182&lt;&gt;"",$E182&lt;=AB$2,$F182&gt;=AB$2),1,0)</f>
        <v/>
      </c>
      <c r="AC182">
        <f>AC181+IF(AND($E182&lt;&gt;"",$E182&lt;=AC$2,$F182&gt;=AC$2),1,0)</f>
        <v/>
      </c>
      <c r="AD182">
        <f>AD181+IF(AND($E182&lt;&gt;"",$E182&lt;=AD$2,$F182&gt;=AD$2),1,0)</f>
        <v/>
      </c>
      <c r="AE182">
        <f>AE181+IF(AND($E182&lt;&gt;"",$E182&lt;=AE$2,$F182&gt;=AE$2),1,0)</f>
        <v/>
      </c>
      <c r="AF182">
        <f>AF181+IF(AND($E182&lt;&gt;"",$E182&lt;=AF$2,$F182&gt;=AF$2),1,0)</f>
        <v/>
      </c>
      <c r="AG182">
        <f>AG181+IF(AND($E182&lt;&gt;"",$E182&lt;=AG$2,$F182&gt;=AG$2),1,0)</f>
        <v/>
      </c>
      <c r="AH182">
        <f>AH181+IF(AND($E182&lt;&gt;"",$E182&lt;=AH$2,$F182&gt;=AH$2),1,0)</f>
        <v/>
      </c>
      <c r="AI182">
        <f>AI181+IF(AND($E182&lt;&gt;"",$E182&lt;=AI$2,$F182&gt;=AI$2),1,0)</f>
        <v/>
      </c>
      <c r="AJ182">
        <f>AJ181+IF(AND($E182&lt;&gt;"",$E182&lt;=AJ$2,$F182&gt;=AJ$2),1,0)</f>
        <v/>
      </c>
      <c r="AK182">
        <f>AK181+IF(AND($E182&lt;&gt;"",$E182&lt;=AK$2,$F182&gt;=AK$2),1,0)</f>
        <v/>
      </c>
      <c r="AL182">
        <f>AL181+IF(AND($E182&lt;&gt;"",$E182&lt;=AL$2,$F182&gt;=AL$2),1,0)</f>
        <v/>
      </c>
      <c r="AM182">
        <f>AM181+IF(AND($E182&lt;&gt;"",$E182&lt;=AM$2,$F182&gt;=AM$2),1,0)</f>
        <v/>
      </c>
      <c r="AN182">
        <f>AN181+IF(AND($E182&lt;&gt;"",$E182&lt;=AN$2,$F182&gt;=AN$2),1,0)</f>
        <v/>
      </c>
      <c r="AO182">
        <f>AO181+IF(AND($E182&lt;&gt;"",$E182&lt;=AO$2,$F182&gt;=AO$2),1,0)</f>
        <v/>
      </c>
      <c r="AP182">
        <f>AP181+IF(AND($E182&lt;&gt;"",$E182&lt;=AP$2,$F182&gt;=AP$2),1,0)</f>
        <v/>
      </c>
      <c r="AQ182">
        <f>AQ181+IF(AND($E182&lt;&gt;"",$E182&lt;=AQ$2,$F182&gt;=AQ$2),1,0)</f>
        <v/>
      </c>
      <c r="AR182">
        <f>AR181+IF(AND($E182&lt;&gt;"",$E182&lt;=AR$2,$F182&gt;=AR$2),1,0)</f>
        <v/>
      </c>
      <c r="AS182">
        <f>AS181+IF(AND($E182&lt;&gt;"",$E182&lt;=AS$2,$F182&gt;=AS$2),1,0)</f>
        <v/>
      </c>
      <c r="AT182">
        <f>AT181+IF(AND($E182&lt;&gt;"",$E182&lt;=AT$2,$F182&gt;=AT$2),1,0)</f>
        <v/>
      </c>
      <c r="AU182">
        <f>AU181+IF(AND($E182&lt;&gt;"",$E182&lt;=AU$2,$F182&gt;=AU$2),1,0)</f>
        <v/>
      </c>
      <c r="AV182">
        <f>AV181+IF(AND($E182&lt;&gt;"",$E182&lt;=AV$2,$F182&gt;=AV$2),1,0)</f>
        <v/>
      </c>
      <c r="AW182">
        <f>AW181+IF(AND($E182&lt;&gt;"",$E182&lt;=AW$2,$F182&gt;=AW$2),1,0)</f>
        <v/>
      </c>
    </row>
    <row r="183">
      <c r="A183">
        <f>IF(AND(ISNUMBER(Events!$A185),ISNUMBER(Events!$B185)),MAX(0,Events!$B185-Events!$A185),0)</f>
        <v/>
      </c>
      <c r="B183">
        <f>IF(ISNUMBER(Events!$A185),DATE(YEAR($B$1)-1,MONTH(Events!$A185),DAY(Events!$A185)),"")</f>
        <v/>
      </c>
      <c r="C183">
        <f>IF(ISNUMBER(Events!$A185),DATE(YEAR($B$1),MONTH(Events!$A185),DAY(Events!$A185)),"")</f>
        <v/>
      </c>
      <c r="D183">
        <f>IF(ISNUMBER(Events!$A185),DATE(YEAR($B$2),MONTH(Events!$A185),DAY(Events!$A185)),"")</f>
        <v/>
      </c>
      <c r="E183">
        <f>IF(OR(NOT(ISNUMBER(Events!$A185)),Events!$G185="No",Calendar!$H$4="None"),"",IF(OR(Calendar!$H$4="All events",Events!$D185=Calendar!$H$4),IF(Events!$E185="Yes",IF(AND(B183&gt;=Events!$A185,B183&lt;=$B$2,B183+$A183&gt;=$B$1),B183,IF(AND(C183&gt;=Events!$A185,C183&lt;=$B$2,C183+$A183&gt;=$B$1),C183,IF(AND(D183&gt;=Events!$A185,D183&lt;=$B$2,D183+$A183&gt;=$B$1),D183,""))),IF(AND(Events!$A185&lt;=$B$2,Events!$A185+$A183&gt;=$B$1),Events!$A185,"")),""))</f>
        <v/>
      </c>
      <c r="F183">
        <f>IF(E183="","",E183+A183)</f>
        <v/>
      </c>
      <c r="G183">
        <f>IF(E183="","",IF(AND(E183&lt;=EOMONTH(Calendar!$K$2,0),F183&gt;=Calendar!$K$2),E183+180/100000,""))</f>
        <v/>
      </c>
      <c r="H183">
        <f>H182+IF(AND($E183&lt;&gt;"",$E183&lt;=H$2,$F183&gt;=H$2),1,0)</f>
        <v/>
      </c>
      <c r="I183">
        <f>I182+IF(AND($E183&lt;&gt;"",$E183&lt;=I$2,$F183&gt;=I$2),1,0)</f>
        <v/>
      </c>
      <c r="J183">
        <f>J182+IF(AND($E183&lt;&gt;"",$E183&lt;=J$2,$F183&gt;=J$2),1,0)</f>
        <v/>
      </c>
      <c r="K183">
        <f>K182+IF(AND($E183&lt;&gt;"",$E183&lt;=K$2,$F183&gt;=K$2),1,0)</f>
        <v/>
      </c>
      <c r="L183">
        <f>L182+IF(AND($E183&lt;&gt;"",$E183&lt;=L$2,$F183&gt;=L$2),1,0)</f>
        <v/>
      </c>
      <c r="M183">
        <f>M182+IF(AND($E183&lt;&gt;"",$E183&lt;=M$2,$F183&gt;=M$2),1,0)</f>
        <v/>
      </c>
      <c r="N183">
        <f>N182+IF(AND($E183&lt;&gt;"",$E183&lt;=N$2,$F183&gt;=N$2),1,0)</f>
        <v/>
      </c>
      <c r="O183">
        <f>O182+IF(AND($E183&lt;&gt;"",$E183&lt;=O$2,$F183&gt;=O$2),1,0)</f>
        <v/>
      </c>
      <c r="P183">
        <f>P182+IF(AND($E183&lt;&gt;"",$E183&lt;=P$2,$F183&gt;=P$2),1,0)</f>
        <v/>
      </c>
      <c r="Q183">
        <f>Q182+IF(AND($E183&lt;&gt;"",$E183&lt;=Q$2,$F183&gt;=Q$2),1,0)</f>
        <v/>
      </c>
      <c r="R183">
        <f>R182+IF(AND($E183&lt;&gt;"",$E183&lt;=R$2,$F183&gt;=R$2),1,0)</f>
        <v/>
      </c>
      <c r="S183">
        <f>S182+IF(AND($E183&lt;&gt;"",$E183&lt;=S$2,$F183&gt;=S$2),1,0)</f>
        <v/>
      </c>
      <c r="T183">
        <f>T182+IF(AND($E183&lt;&gt;"",$E183&lt;=T$2,$F183&gt;=T$2),1,0)</f>
        <v/>
      </c>
      <c r="U183">
        <f>U182+IF(AND($E183&lt;&gt;"",$E183&lt;=U$2,$F183&gt;=U$2),1,0)</f>
        <v/>
      </c>
      <c r="V183">
        <f>V182+IF(AND($E183&lt;&gt;"",$E183&lt;=V$2,$F183&gt;=V$2),1,0)</f>
        <v/>
      </c>
      <c r="W183">
        <f>W182+IF(AND($E183&lt;&gt;"",$E183&lt;=W$2,$F183&gt;=W$2),1,0)</f>
        <v/>
      </c>
      <c r="X183">
        <f>X182+IF(AND($E183&lt;&gt;"",$E183&lt;=X$2,$F183&gt;=X$2),1,0)</f>
        <v/>
      </c>
      <c r="Y183">
        <f>Y182+IF(AND($E183&lt;&gt;"",$E183&lt;=Y$2,$F183&gt;=Y$2),1,0)</f>
        <v/>
      </c>
      <c r="Z183">
        <f>Z182+IF(AND($E183&lt;&gt;"",$E183&lt;=Z$2,$F183&gt;=Z$2),1,0)</f>
        <v/>
      </c>
      <c r="AA183">
        <f>AA182+IF(AND($E183&lt;&gt;"",$E183&lt;=AA$2,$F183&gt;=AA$2),1,0)</f>
        <v/>
      </c>
      <c r="AB183">
        <f>AB182+IF(AND($E183&lt;&gt;"",$E183&lt;=AB$2,$F183&gt;=AB$2),1,0)</f>
        <v/>
      </c>
      <c r="AC183">
        <f>AC182+IF(AND($E183&lt;&gt;"",$E183&lt;=AC$2,$F183&gt;=AC$2),1,0)</f>
        <v/>
      </c>
      <c r="AD183">
        <f>AD182+IF(AND($E183&lt;&gt;"",$E183&lt;=AD$2,$F183&gt;=AD$2),1,0)</f>
        <v/>
      </c>
      <c r="AE183">
        <f>AE182+IF(AND($E183&lt;&gt;"",$E183&lt;=AE$2,$F183&gt;=AE$2),1,0)</f>
        <v/>
      </c>
      <c r="AF183">
        <f>AF182+IF(AND($E183&lt;&gt;"",$E183&lt;=AF$2,$F183&gt;=AF$2),1,0)</f>
        <v/>
      </c>
      <c r="AG183">
        <f>AG182+IF(AND($E183&lt;&gt;"",$E183&lt;=AG$2,$F183&gt;=AG$2),1,0)</f>
        <v/>
      </c>
      <c r="AH183">
        <f>AH182+IF(AND($E183&lt;&gt;"",$E183&lt;=AH$2,$F183&gt;=AH$2),1,0)</f>
        <v/>
      </c>
      <c r="AI183">
        <f>AI182+IF(AND($E183&lt;&gt;"",$E183&lt;=AI$2,$F183&gt;=AI$2),1,0)</f>
        <v/>
      </c>
      <c r="AJ183">
        <f>AJ182+IF(AND($E183&lt;&gt;"",$E183&lt;=AJ$2,$F183&gt;=AJ$2),1,0)</f>
        <v/>
      </c>
      <c r="AK183">
        <f>AK182+IF(AND($E183&lt;&gt;"",$E183&lt;=AK$2,$F183&gt;=AK$2),1,0)</f>
        <v/>
      </c>
      <c r="AL183">
        <f>AL182+IF(AND($E183&lt;&gt;"",$E183&lt;=AL$2,$F183&gt;=AL$2),1,0)</f>
        <v/>
      </c>
      <c r="AM183">
        <f>AM182+IF(AND($E183&lt;&gt;"",$E183&lt;=AM$2,$F183&gt;=AM$2),1,0)</f>
        <v/>
      </c>
      <c r="AN183">
        <f>AN182+IF(AND($E183&lt;&gt;"",$E183&lt;=AN$2,$F183&gt;=AN$2),1,0)</f>
        <v/>
      </c>
      <c r="AO183">
        <f>AO182+IF(AND($E183&lt;&gt;"",$E183&lt;=AO$2,$F183&gt;=AO$2),1,0)</f>
        <v/>
      </c>
      <c r="AP183">
        <f>AP182+IF(AND($E183&lt;&gt;"",$E183&lt;=AP$2,$F183&gt;=AP$2),1,0)</f>
        <v/>
      </c>
      <c r="AQ183">
        <f>AQ182+IF(AND($E183&lt;&gt;"",$E183&lt;=AQ$2,$F183&gt;=AQ$2),1,0)</f>
        <v/>
      </c>
      <c r="AR183">
        <f>AR182+IF(AND($E183&lt;&gt;"",$E183&lt;=AR$2,$F183&gt;=AR$2),1,0)</f>
        <v/>
      </c>
      <c r="AS183">
        <f>AS182+IF(AND($E183&lt;&gt;"",$E183&lt;=AS$2,$F183&gt;=AS$2),1,0)</f>
        <v/>
      </c>
      <c r="AT183">
        <f>AT182+IF(AND($E183&lt;&gt;"",$E183&lt;=AT$2,$F183&gt;=AT$2),1,0)</f>
        <v/>
      </c>
      <c r="AU183">
        <f>AU182+IF(AND($E183&lt;&gt;"",$E183&lt;=AU$2,$F183&gt;=AU$2),1,0)</f>
        <v/>
      </c>
      <c r="AV183">
        <f>AV182+IF(AND($E183&lt;&gt;"",$E183&lt;=AV$2,$F183&gt;=AV$2),1,0)</f>
        <v/>
      </c>
      <c r="AW183">
        <f>AW182+IF(AND($E183&lt;&gt;"",$E183&lt;=AW$2,$F183&gt;=AW$2),1,0)</f>
        <v/>
      </c>
    </row>
    <row r="184">
      <c r="A184">
        <f>IF(AND(ISNUMBER(Events!$A186),ISNUMBER(Events!$B186)),MAX(0,Events!$B186-Events!$A186),0)</f>
        <v/>
      </c>
      <c r="B184">
        <f>IF(ISNUMBER(Events!$A186),DATE(YEAR($B$1)-1,MONTH(Events!$A186),DAY(Events!$A186)),"")</f>
        <v/>
      </c>
      <c r="C184">
        <f>IF(ISNUMBER(Events!$A186),DATE(YEAR($B$1),MONTH(Events!$A186),DAY(Events!$A186)),"")</f>
        <v/>
      </c>
      <c r="D184">
        <f>IF(ISNUMBER(Events!$A186),DATE(YEAR($B$2),MONTH(Events!$A186),DAY(Events!$A186)),"")</f>
        <v/>
      </c>
      <c r="E184">
        <f>IF(OR(NOT(ISNUMBER(Events!$A186)),Events!$G186="No",Calendar!$H$4="None"),"",IF(OR(Calendar!$H$4="All events",Events!$D186=Calendar!$H$4),IF(Events!$E186="Yes",IF(AND(B184&gt;=Events!$A186,B184&lt;=$B$2,B184+$A184&gt;=$B$1),B184,IF(AND(C184&gt;=Events!$A186,C184&lt;=$B$2,C184+$A184&gt;=$B$1),C184,IF(AND(D184&gt;=Events!$A186,D184&lt;=$B$2,D184+$A184&gt;=$B$1),D184,""))),IF(AND(Events!$A186&lt;=$B$2,Events!$A186+$A184&gt;=$B$1),Events!$A186,"")),""))</f>
        <v/>
      </c>
      <c r="F184">
        <f>IF(E184="","",E184+A184)</f>
        <v/>
      </c>
      <c r="G184">
        <f>IF(E184="","",IF(AND(E184&lt;=EOMONTH(Calendar!$K$2,0),F184&gt;=Calendar!$K$2),E184+181/100000,""))</f>
        <v/>
      </c>
      <c r="H184">
        <f>H183+IF(AND($E184&lt;&gt;"",$E184&lt;=H$2,$F184&gt;=H$2),1,0)</f>
        <v/>
      </c>
      <c r="I184">
        <f>I183+IF(AND($E184&lt;&gt;"",$E184&lt;=I$2,$F184&gt;=I$2),1,0)</f>
        <v/>
      </c>
      <c r="J184">
        <f>J183+IF(AND($E184&lt;&gt;"",$E184&lt;=J$2,$F184&gt;=J$2),1,0)</f>
        <v/>
      </c>
      <c r="K184">
        <f>K183+IF(AND($E184&lt;&gt;"",$E184&lt;=K$2,$F184&gt;=K$2),1,0)</f>
        <v/>
      </c>
      <c r="L184">
        <f>L183+IF(AND($E184&lt;&gt;"",$E184&lt;=L$2,$F184&gt;=L$2),1,0)</f>
        <v/>
      </c>
      <c r="M184">
        <f>M183+IF(AND($E184&lt;&gt;"",$E184&lt;=M$2,$F184&gt;=M$2),1,0)</f>
        <v/>
      </c>
      <c r="N184">
        <f>N183+IF(AND($E184&lt;&gt;"",$E184&lt;=N$2,$F184&gt;=N$2),1,0)</f>
        <v/>
      </c>
      <c r="O184">
        <f>O183+IF(AND($E184&lt;&gt;"",$E184&lt;=O$2,$F184&gt;=O$2),1,0)</f>
        <v/>
      </c>
      <c r="P184">
        <f>P183+IF(AND($E184&lt;&gt;"",$E184&lt;=P$2,$F184&gt;=P$2),1,0)</f>
        <v/>
      </c>
      <c r="Q184">
        <f>Q183+IF(AND($E184&lt;&gt;"",$E184&lt;=Q$2,$F184&gt;=Q$2),1,0)</f>
        <v/>
      </c>
      <c r="R184">
        <f>R183+IF(AND($E184&lt;&gt;"",$E184&lt;=R$2,$F184&gt;=R$2),1,0)</f>
        <v/>
      </c>
      <c r="S184">
        <f>S183+IF(AND($E184&lt;&gt;"",$E184&lt;=S$2,$F184&gt;=S$2),1,0)</f>
        <v/>
      </c>
      <c r="T184">
        <f>T183+IF(AND($E184&lt;&gt;"",$E184&lt;=T$2,$F184&gt;=T$2),1,0)</f>
        <v/>
      </c>
      <c r="U184">
        <f>U183+IF(AND($E184&lt;&gt;"",$E184&lt;=U$2,$F184&gt;=U$2),1,0)</f>
        <v/>
      </c>
      <c r="V184">
        <f>V183+IF(AND($E184&lt;&gt;"",$E184&lt;=V$2,$F184&gt;=V$2),1,0)</f>
        <v/>
      </c>
      <c r="W184">
        <f>W183+IF(AND($E184&lt;&gt;"",$E184&lt;=W$2,$F184&gt;=W$2),1,0)</f>
        <v/>
      </c>
      <c r="X184">
        <f>X183+IF(AND($E184&lt;&gt;"",$E184&lt;=X$2,$F184&gt;=X$2),1,0)</f>
        <v/>
      </c>
      <c r="Y184">
        <f>Y183+IF(AND($E184&lt;&gt;"",$E184&lt;=Y$2,$F184&gt;=Y$2),1,0)</f>
        <v/>
      </c>
      <c r="Z184">
        <f>Z183+IF(AND($E184&lt;&gt;"",$E184&lt;=Z$2,$F184&gt;=Z$2),1,0)</f>
        <v/>
      </c>
      <c r="AA184">
        <f>AA183+IF(AND($E184&lt;&gt;"",$E184&lt;=AA$2,$F184&gt;=AA$2),1,0)</f>
        <v/>
      </c>
      <c r="AB184">
        <f>AB183+IF(AND($E184&lt;&gt;"",$E184&lt;=AB$2,$F184&gt;=AB$2),1,0)</f>
        <v/>
      </c>
      <c r="AC184">
        <f>AC183+IF(AND($E184&lt;&gt;"",$E184&lt;=AC$2,$F184&gt;=AC$2),1,0)</f>
        <v/>
      </c>
      <c r="AD184">
        <f>AD183+IF(AND($E184&lt;&gt;"",$E184&lt;=AD$2,$F184&gt;=AD$2),1,0)</f>
        <v/>
      </c>
      <c r="AE184">
        <f>AE183+IF(AND($E184&lt;&gt;"",$E184&lt;=AE$2,$F184&gt;=AE$2),1,0)</f>
        <v/>
      </c>
      <c r="AF184">
        <f>AF183+IF(AND($E184&lt;&gt;"",$E184&lt;=AF$2,$F184&gt;=AF$2),1,0)</f>
        <v/>
      </c>
      <c r="AG184">
        <f>AG183+IF(AND($E184&lt;&gt;"",$E184&lt;=AG$2,$F184&gt;=AG$2),1,0)</f>
        <v/>
      </c>
      <c r="AH184">
        <f>AH183+IF(AND($E184&lt;&gt;"",$E184&lt;=AH$2,$F184&gt;=AH$2),1,0)</f>
        <v/>
      </c>
      <c r="AI184">
        <f>AI183+IF(AND($E184&lt;&gt;"",$E184&lt;=AI$2,$F184&gt;=AI$2),1,0)</f>
        <v/>
      </c>
      <c r="AJ184">
        <f>AJ183+IF(AND($E184&lt;&gt;"",$E184&lt;=AJ$2,$F184&gt;=AJ$2),1,0)</f>
        <v/>
      </c>
      <c r="AK184">
        <f>AK183+IF(AND($E184&lt;&gt;"",$E184&lt;=AK$2,$F184&gt;=AK$2),1,0)</f>
        <v/>
      </c>
      <c r="AL184">
        <f>AL183+IF(AND($E184&lt;&gt;"",$E184&lt;=AL$2,$F184&gt;=AL$2),1,0)</f>
        <v/>
      </c>
      <c r="AM184">
        <f>AM183+IF(AND($E184&lt;&gt;"",$E184&lt;=AM$2,$F184&gt;=AM$2),1,0)</f>
        <v/>
      </c>
      <c r="AN184">
        <f>AN183+IF(AND($E184&lt;&gt;"",$E184&lt;=AN$2,$F184&gt;=AN$2),1,0)</f>
        <v/>
      </c>
      <c r="AO184">
        <f>AO183+IF(AND($E184&lt;&gt;"",$E184&lt;=AO$2,$F184&gt;=AO$2),1,0)</f>
        <v/>
      </c>
      <c r="AP184">
        <f>AP183+IF(AND($E184&lt;&gt;"",$E184&lt;=AP$2,$F184&gt;=AP$2),1,0)</f>
        <v/>
      </c>
      <c r="AQ184">
        <f>AQ183+IF(AND($E184&lt;&gt;"",$E184&lt;=AQ$2,$F184&gt;=AQ$2),1,0)</f>
        <v/>
      </c>
      <c r="AR184">
        <f>AR183+IF(AND($E184&lt;&gt;"",$E184&lt;=AR$2,$F184&gt;=AR$2),1,0)</f>
        <v/>
      </c>
      <c r="AS184">
        <f>AS183+IF(AND($E184&lt;&gt;"",$E184&lt;=AS$2,$F184&gt;=AS$2),1,0)</f>
        <v/>
      </c>
      <c r="AT184">
        <f>AT183+IF(AND($E184&lt;&gt;"",$E184&lt;=AT$2,$F184&gt;=AT$2),1,0)</f>
        <v/>
      </c>
      <c r="AU184">
        <f>AU183+IF(AND($E184&lt;&gt;"",$E184&lt;=AU$2,$F184&gt;=AU$2),1,0)</f>
        <v/>
      </c>
      <c r="AV184">
        <f>AV183+IF(AND($E184&lt;&gt;"",$E184&lt;=AV$2,$F184&gt;=AV$2),1,0)</f>
        <v/>
      </c>
      <c r="AW184">
        <f>AW183+IF(AND($E184&lt;&gt;"",$E184&lt;=AW$2,$F184&gt;=AW$2),1,0)</f>
        <v/>
      </c>
    </row>
    <row r="185">
      <c r="A185">
        <f>IF(AND(ISNUMBER(Events!$A187),ISNUMBER(Events!$B187)),MAX(0,Events!$B187-Events!$A187),0)</f>
        <v/>
      </c>
      <c r="B185">
        <f>IF(ISNUMBER(Events!$A187),DATE(YEAR($B$1)-1,MONTH(Events!$A187),DAY(Events!$A187)),"")</f>
        <v/>
      </c>
      <c r="C185">
        <f>IF(ISNUMBER(Events!$A187),DATE(YEAR($B$1),MONTH(Events!$A187),DAY(Events!$A187)),"")</f>
        <v/>
      </c>
      <c r="D185">
        <f>IF(ISNUMBER(Events!$A187),DATE(YEAR($B$2),MONTH(Events!$A187),DAY(Events!$A187)),"")</f>
        <v/>
      </c>
      <c r="E185">
        <f>IF(OR(NOT(ISNUMBER(Events!$A187)),Events!$G187="No",Calendar!$H$4="None"),"",IF(OR(Calendar!$H$4="All events",Events!$D187=Calendar!$H$4),IF(Events!$E187="Yes",IF(AND(B185&gt;=Events!$A187,B185&lt;=$B$2,B185+$A185&gt;=$B$1),B185,IF(AND(C185&gt;=Events!$A187,C185&lt;=$B$2,C185+$A185&gt;=$B$1),C185,IF(AND(D185&gt;=Events!$A187,D185&lt;=$B$2,D185+$A185&gt;=$B$1),D185,""))),IF(AND(Events!$A187&lt;=$B$2,Events!$A187+$A185&gt;=$B$1),Events!$A187,"")),""))</f>
        <v/>
      </c>
      <c r="F185">
        <f>IF(E185="","",E185+A185)</f>
        <v/>
      </c>
      <c r="G185">
        <f>IF(E185="","",IF(AND(E185&lt;=EOMONTH(Calendar!$K$2,0),F185&gt;=Calendar!$K$2),E185+182/100000,""))</f>
        <v/>
      </c>
      <c r="H185">
        <f>H184+IF(AND($E185&lt;&gt;"",$E185&lt;=H$2,$F185&gt;=H$2),1,0)</f>
        <v/>
      </c>
      <c r="I185">
        <f>I184+IF(AND($E185&lt;&gt;"",$E185&lt;=I$2,$F185&gt;=I$2),1,0)</f>
        <v/>
      </c>
      <c r="J185">
        <f>J184+IF(AND($E185&lt;&gt;"",$E185&lt;=J$2,$F185&gt;=J$2),1,0)</f>
        <v/>
      </c>
      <c r="K185">
        <f>K184+IF(AND($E185&lt;&gt;"",$E185&lt;=K$2,$F185&gt;=K$2),1,0)</f>
        <v/>
      </c>
      <c r="L185">
        <f>L184+IF(AND($E185&lt;&gt;"",$E185&lt;=L$2,$F185&gt;=L$2),1,0)</f>
        <v/>
      </c>
      <c r="M185">
        <f>M184+IF(AND($E185&lt;&gt;"",$E185&lt;=M$2,$F185&gt;=M$2),1,0)</f>
        <v/>
      </c>
      <c r="N185">
        <f>N184+IF(AND($E185&lt;&gt;"",$E185&lt;=N$2,$F185&gt;=N$2),1,0)</f>
        <v/>
      </c>
      <c r="O185">
        <f>O184+IF(AND($E185&lt;&gt;"",$E185&lt;=O$2,$F185&gt;=O$2),1,0)</f>
        <v/>
      </c>
      <c r="P185">
        <f>P184+IF(AND($E185&lt;&gt;"",$E185&lt;=P$2,$F185&gt;=P$2),1,0)</f>
        <v/>
      </c>
      <c r="Q185">
        <f>Q184+IF(AND($E185&lt;&gt;"",$E185&lt;=Q$2,$F185&gt;=Q$2),1,0)</f>
        <v/>
      </c>
      <c r="R185">
        <f>R184+IF(AND($E185&lt;&gt;"",$E185&lt;=R$2,$F185&gt;=R$2),1,0)</f>
        <v/>
      </c>
      <c r="S185">
        <f>S184+IF(AND($E185&lt;&gt;"",$E185&lt;=S$2,$F185&gt;=S$2),1,0)</f>
        <v/>
      </c>
      <c r="T185">
        <f>T184+IF(AND($E185&lt;&gt;"",$E185&lt;=T$2,$F185&gt;=T$2),1,0)</f>
        <v/>
      </c>
      <c r="U185">
        <f>U184+IF(AND($E185&lt;&gt;"",$E185&lt;=U$2,$F185&gt;=U$2),1,0)</f>
        <v/>
      </c>
      <c r="V185">
        <f>V184+IF(AND($E185&lt;&gt;"",$E185&lt;=V$2,$F185&gt;=V$2),1,0)</f>
        <v/>
      </c>
      <c r="W185">
        <f>W184+IF(AND($E185&lt;&gt;"",$E185&lt;=W$2,$F185&gt;=W$2),1,0)</f>
        <v/>
      </c>
      <c r="X185">
        <f>X184+IF(AND($E185&lt;&gt;"",$E185&lt;=X$2,$F185&gt;=X$2),1,0)</f>
        <v/>
      </c>
      <c r="Y185">
        <f>Y184+IF(AND($E185&lt;&gt;"",$E185&lt;=Y$2,$F185&gt;=Y$2),1,0)</f>
        <v/>
      </c>
      <c r="Z185">
        <f>Z184+IF(AND($E185&lt;&gt;"",$E185&lt;=Z$2,$F185&gt;=Z$2),1,0)</f>
        <v/>
      </c>
      <c r="AA185">
        <f>AA184+IF(AND($E185&lt;&gt;"",$E185&lt;=AA$2,$F185&gt;=AA$2),1,0)</f>
        <v/>
      </c>
      <c r="AB185">
        <f>AB184+IF(AND($E185&lt;&gt;"",$E185&lt;=AB$2,$F185&gt;=AB$2),1,0)</f>
        <v/>
      </c>
      <c r="AC185">
        <f>AC184+IF(AND($E185&lt;&gt;"",$E185&lt;=AC$2,$F185&gt;=AC$2),1,0)</f>
        <v/>
      </c>
      <c r="AD185">
        <f>AD184+IF(AND($E185&lt;&gt;"",$E185&lt;=AD$2,$F185&gt;=AD$2),1,0)</f>
        <v/>
      </c>
      <c r="AE185">
        <f>AE184+IF(AND($E185&lt;&gt;"",$E185&lt;=AE$2,$F185&gt;=AE$2),1,0)</f>
        <v/>
      </c>
      <c r="AF185">
        <f>AF184+IF(AND($E185&lt;&gt;"",$E185&lt;=AF$2,$F185&gt;=AF$2),1,0)</f>
        <v/>
      </c>
      <c r="AG185">
        <f>AG184+IF(AND($E185&lt;&gt;"",$E185&lt;=AG$2,$F185&gt;=AG$2),1,0)</f>
        <v/>
      </c>
      <c r="AH185">
        <f>AH184+IF(AND($E185&lt;&gt;"",$E185&lt;=AH$2,$F185&gt;=AH$2),1,0)</f>
        <v/>
      </c>
      <c r="AI185">
        <f>AI184+IF(AND($E185&lt;&gt;"",$E185&lt;=AI$2,$F185&gt;=AI$2),1,0)</f>
        <v/>
      </c>
      <c r="AJ185">
        <f>AJ184+IF(AND($E185&lt;&gt;"",$E185&lt;=AJ$2,$F185&gt;=AJ$2),1,0)</f>
        <v/>
      </c>
      <c r="AK185">
        <f>AK184+IF(AND($E185&lt;&gt;"",$E185&lt;=AK$2,$F185&gt;=AK$2),1,0)</f>
        <v/>
      </c>
      <c r="AL185">
        <f>AL184+IF(AND($E185&lt;&gt;"",$E185&lt;=AL$2,$F185&gt;=AL$2),1,0)</f>
        <v/>
      </c>
      <c r="AM185">
        <f>AM184+IF(AND($E185&lt;&gt;"",$E185&lt;=AM$2,$F185&gt;=AM$2),1,0)</f>
        <v/>
      </c>
      <c r="AN185">
        <f>AN184+IF(AND($E185&lt;&gt;"",$E185&lt;=AN$2,$F185&gt;=AN$2),1,0)</f>
        <v/>
      </c>
      <c r="AO185">
        <f>AO184+IF(AND($E185&lt;&gt;"",$E185&lt;=AO$2,$F185&gt;=AO$2),1,0)</f>
        <v/>
      </c>
      <c r="AP185">
        <f>AP184+IF(AND($E185&lt;&gt;"",$E185&lt;=AP$2,$F185&gt;=AP$2),1,0)</f>
        <v/>
      </c>
      <c r="AQ185">
        <f>AQ184+IF(AND($E185&lt;&gt;"",$E185&lt;=AQ$2,$F185&gt;=AQ$2),1,0)</f>
        <v/>
      </c>
      <c r="AR185">
        <f>AR184+IF(AND($E185&lt;&gt;"",$E185&lt;=AR$2,$F185&gt;=AR$2),1,0)</f>
        <v/>
      </c>
      <c r="AS185">
        <f>AS184+IF(AND($E185&lt;&gt;"",$E185&lt;=AS$2,$F185&gt;=AS$2),1,0)</f>
        <v/>
      </c>
      <c r="AT185">
        <f>AT184+IF(AND($E185&lt;&gt;"",$E185&lt;=AT$2,$F185&gt;=AT$2),1,0)</f>
        <v/>
      </c>
      <c r="AU185">
        <f>AU184+IF(AND($E185&lt;&gt;"",$E185&lt;=AU$2,$F185&gt;=AU$2),1,0)</f>
        <v/>
      </c>
      <c r="AV185">
        <f>AV184+IF(AND($E185&lt;&gt;"",$E185&lt;=AV$2,$F185&gt;=AV$2),1,0)</f>
        <v/>
      </c>
      <c r="AW185">
        <f>AW184+IF(AND($E185&lt;&gt;"",$E185&lt;=AW$2,$F185&gt;=AW$2),1,0)</f>
        <v/>
      </c>
    </row>
    <row r="186">
      <c r="A186">
        <f>IF(AND(ISNUMBER(Events!$A188),ISNUMBER(Events!$B188)),MAX(0,Events!$B188-Events!$A188),0)</f>
        <v/>
      </c>
      <c r="B186">
        <f>IF(ISNUMBER(Events!$A188),DATE(YEAR($B$1)-1,MONTH(Events!$A188),DAY(Events!$A188)),"")</f>
        <v/>
      </c>
      <c r="C186">
        <f>IF(ISNUMBER(Events!$A188),DATE(YEAR($B$1),MONTH(Events!$A188),DAY(Events!$A188)),"")</f>
        <v/>
      </c>
      <c r="D186">
        <f>IF(ISNUMBER(Events!$A188),DATE(YEAR($B$2),MONTH(Events!$A188),DAY(Events!$A188)),"")</f>
        <v/>
      </c>
      <c r="E186">
        <f>IF(OR(NOT(ISNUMBER(Events!$A188)),Events!$G188="No",Calendar!$H$4="None"),"",IF(OR(Calendar!$H$4="All events",Events!$D188=Calendar!$H$4),IF(Events!$E188="Yes",IF(AND(B186&gt;=Events!$A188,B186&lt;=$B$2,B186+$A186&gt;=$B$1),B186,IF(AND(C186&gt;=Events!$A188,C186&lt;=$B$2,C186+$A186&gt;=$B$1),C186,IF(AND(D186&gt;=Events!$A188,D186&lt;=$B$2,D186+$A186&gt;=$B$1),D186,""))),IF(AND(Events!$A188&lt;=$B$2,Events!$A188+$A186&gt;=$B$1),Events!$A188,"")),""))</f>
        <v/>
      </c>
      <c r="F186">
        <f>IF(E186="","",E186+A186)</f>
        <v/>
      </c>
      <c r="G186">
        <f>IF(E186="","",IF(AND(E186&lt;=EOMONTH(Calendar!$K$2,0),F186&gt;=Calendar!$K$2),E186+183/100000,""))</f>
        <v/>
      </c>
      <c r="H186">
        <f>H185+IF(AND($E186&lt;&gt;"",$E186&lt;=H$2,$F186&gt;=H$2),1,0)</f>
        <v/>
      </c>
      <c r="I186">
        <f>I185+IF(AND($E186&lt;&gt;"",$E186&lt;=I$2,$F186&gt;=I$2),1,0)</f>
        <v/>
      </c>
      <c r="J186">
        <f>J185+IF(AND($E186&lt;&gt;"",$E186&lt;=J$2,$F186&gt;=J$2),1,0)</f>
        <v/>
      </c>
      <c r="K186">
        <f>K185+IF(AND($E186&lt;&gt;"",$E186&lt;=K$2,$F186&gt;=K$2),1,0)</f>
        <v/>
      </c>
      <c r="L186">
        <f>L185+IF(AND($E186&lt;&gt;"",$E186&lt;=L$2,$F186&gt;=L$2),1,0)</f>
        <v/>
      </c>
      <c r="M186">
        <f>M185+IF(AND($E186&lt;&gt;"",$E186&lt;=M$2,$F186&gt;=M$2),1,0)</f>
        <v/>
      </c>
      <c r="N186">
        <f>N185+IF(AND($E186&lt;&gt;"",$E186&lt;=N$2,$F186&gt;=N$2),1,0)</f>
        <v/>
      </c>
      <c r="O186">
        <f>O185+IF(AND($E186&lt;&gt;"",$E186&lt;=O$2,$F186&gt;=O$2),1,0)</f>
        <v/>
      </c>
      <c r="P186">
        <f>P185+IF(AND($E186&lt;&gt;"",$E186&lt;=P$2,$F186&gt;=P$2),1,0)</f>
        <v/>
      </c>
      <c r="Q186">
        <f>Q185+IF(AND($E186&lt;&gt;"",$E186&lt;=Q$2,$F186&gt;=Q$2),1,0)</f>
        <v/>
      </c>
      <c r="R186">
        <f>R185+IF(AND($E186&lt;&gt;"",$E186&lt;=R$2,$F186&gt;=R$2),1,0)</f>
        <v/>
      </c>
      <c r="S186">
        <f>S185+IF(AND($E186&lt;&gt;"",$E186&lt;=S$2,$F186&gt;=S$2),1,0)</f>
        <v/>
      </c>
      <c r="T186">
        <f>T185+IF(AND($E186&lt;&gt;"",$E186&lt;=T$2,$F186&gt;=T$2),1,0)</f>
        <v/>
      </c>
      <c r="U186">
        <f>U185+IF(AND($E186&lt;&gt;"",$E186&lt;=U$2,$F186&gt;=U$2),1,0)</f>
        <v/>
      </c>
      <c r="V186">
        <f>V185+IF(AND($E186&lt;&gt;"",$E186&lt;=V$2,$F186&gt;=V$2),1,0)</f>
        <v/>
      </c>
      <c r="W186">
        <f>W185+IF(AND($E186&lt;&gt;"",$E186&lt;=W$2,$F186&gt;=W$2),1,0)</f>
        <v/>
      </c>
      <c r="X186">
        <f>X185+IF(AND($E186&lt;&gt;"",$E186&lt;=X$2,$F186&gt;=X$2),1,0)</f>
        <v/>
      </c>
      <c r="Y186">
        <f>Y185+IF(AND($E186&lt;&gt;"",$E186&lt;=Y$2,$F186&gt;=Y$2),1,0)</f>
        <v/>
      </c>
      <c r="Z186">
        <f>Z185+IF(AND($E186&lt;&gt;"",$E186&lt;=Z$2,$F186&gt;=Z$2),1,0)</f>
        <v/>
      </c>
      <c r="AA186">
        <f>AA185+IF(AND($E186&lt;&gt;"",$E186&lt;=AA$2,$F186&gt;=AA$2),1,0)</f>
        <v/>
      </c>
      <c r="AB186">
        <f>AB185+IF(AND($E186&lt;&gt;"",$E186&lt;=AB$2,$F186&gt;=AB$2),1,0)</f>
        <v/>
      </c>
      <c r="AC186">
        <f>AC185+IF(AND($E186&lt;&gt;"",$E186&lt;=AC$2,$F186&gt;=AC$2),1,0)</f>
        <v/>
      </c>
      <c r="AD186">
        <f>AD185+IF(AND($E186&lt;&gt;"",$E186&lt;=AD$2,$F186&gt;=AD$2),1,0)</f>
        <v/>
      </c>
      <c r="AE186">
        <f>AE185+IF(AND($E186&lt;&gt;"",$E186&lt;=AE$2,$F186&gt;=AE$2),1,0)</f>
        <v/>
      </c>
      <c r="AF186">
        <f>AF185+IF(AND($E186&lt;&gt;"",$E186&lt;=AF$2,$F186&gt;=AF$2),1,0)</f>
        <v/>
      </c>
      <c r="AG186">
        <f>AG185+IF(AND($E186&lt;&gt;"",$E186&lt;=AG$2,$F186&gt;=AG$2),1,0)</f>
        <v/>
      </c>
      <c r="AH186">
        <f>AH185+IF(AND($E186&lt;&gt;"",$E186&lt;=AH$2,$F186&gt;=AH$2),1,0)</f>
        <v/>
      </c>
      <c r="AI186">
        <f>AI185+IF(AND($E186&lt;&gt;"",$E186&lt;=AI$2,$F186&gt;=AI$2),1,0)</f>
        <v/>
      </c>
      <c r="AJ186">
        <f>AJ185+IF(AND($E186&lt;&gt;"",$E186&lt;=AJ$2,$F186&gt;=AJ$2),1,0)</f>
        <v/>
      </c>
      <c r="AK186">
        <f>AK185+IF(AND($E186&lt;&gt;"",$E186&lt;=AK$2,$F186&gt;=AK$2),1,0)</f>
        <v/>
      </c>
      <c r="AL186">
        <f>AL185+IF(AND($E186&lt;&gt;"",$E186&lt;=AL$2,$F186&gt;=AL$2),1,0)</f>
        <v/>
      </c>
      <c r="AM186">
        <f>AM185+IF(AND($E186&lt;&gt;"",$E186&lt;=AM$2,$F186&gt;=AM$2),1,0)</f>
        <v/>
      </c>
      <c r="AN186">
        <f>AN185+IF(AND($E186&lt;&gt;"",$E186&lt;=AN$2,$F186&gt;=AN$2),1,0)</f>
        <v/>
      </c>
      <c r="AO186">
        <f>AO185+IF(AND($E186&lt;&gt;"",$E186&lt;=AO$2,$F186&gt;=AO$2),1,0)</f>
        <v/>
      </c>
      <c r="AP186">
        <f>AP185+IF(AND($E186&lt;&gt;"",$E186&lt;=AP$2,$F186&gt;=AP$2),1,0)</f>
        <v/>
      </c>
      <c r="AQ186">
        <f>AQ185+IF(AND($E186&lt;&gt;"",$E186&lt;=AQ$2,$F186&gt;=AQ$2),1,0)</f>
        <v/>
      </c>
      <c r="AR186">
        <f>AR185+IF(AND($E186&lt;&gt;"",$E186&lt;=AR$2,$F186&gt;=AR$2),1,0)</f>
        <v/>
      </c>
      <c r="AS186">
        <f>AS185+IF(AND($E186&lt;&gt;"",$E186&lt;=AS$2,$F186&gt;=AS$2),1,0)</f>
        <v/>
      </c>
      <c r="AT186">
        <f>AT185+IF(AND($E186&lt;&gt;"",$E186&lt;=AT$2,$F186&gt;=AT$2),1,0)</f>
        <v/>
      </c>
      <c r="AU186">
        <f>AU185+IF(AND($E186&lt;&gt;"",$E186&lt;=AU$2,$F186&gt;=AU$2),1,0)</f>
        <v/>
      </c>
      <c r="AV186">
        <f>AV185+IF(AND($E186&lt;&gt;"",$E186&lt;=AV$2,$F186&gt;=AV$2),1,0)</f>
        <v/>
      </c>
      <c r="AW186">
        <f>AW185+IF(AND($E186&lt;&gt;"",$E186&lt;=AW$2,$F186&gt;=AW$2),1,0)</f>
        <v/>
      </c>
    </row>
    <row r="187">
      <c r="A187">
        <f>IF(AND(ISNUMBER(Events!$A189),ISNUMBER(Events!$B189)),MAX(0,Events!$B189-Events!$A189),0)</f>
        <v/>
      </c>
      <c r="B187">
        <f>IF(ISNUMBER(Events!$A189),DATE(YEAR($B$1)-1,MONTH(Events!$A189),DAY(Events!$A189)),"")</f>
        <v/>
      </c>
      <c r="C187">
        <f>IF(ISNUMBER(Events!$A189),DATE(YEAR($B$1),MONTH(Events!$A189),DAY(Events!$A189)),"")</f>
        <v/>
      </c>
      <c r="D187">
        <f>IF(ISNUMBER(Events!$A189),DATE(YEAR($B$2),MONTH(Events!$A189),DAY(Events!$A189)),"")</f>
        <v/>
      </c>
      <c r="E187">
        <f>IF(OR(NOT(ISNUMBER(Events!$A189)),Events!$G189="No",Calendar!$H$4="None"),"",IF(OR(Calendar!$H$4="All events",Events!$D189=Calendar!$H$4),IF(Events!$E189="Yes",IF(AND(B187&gt;=Events!$A189,B187&lt;=$B$2,B187+$A187&gt;=$B$1),B187,IF(AND(C187&gt;=Events!$A189,C187&lt;=$B$2,C187+$A187&gt;=$B$1),C187,IF(AND(D187&gt;=Events!$A189,D187&lt;=$B$2,D187+$A187&gt;=$B$1),D187,""))),IF(AND(Events!$A189&lt;=$B$2,Events!$A189+$A187&gt;=$B$1),Events!$A189,"")),""))</f>
        <v/>
      </c>
      <c r="F187">
        <f>IF(E187="","",E187+A187)</f>
        <v/>
      </c>
      <c r="G187">
        <f>IF(E187="","",IF(AND(E187&lt;=EOMONTH(Calendar!$K$2,0),F187&gt;=Calendar!$K$2),E187+184/100000,""))</f>
        <v/>
      </c>
      <c r="H187">
        <f>H186+IF(AND($E187&lt;&gt;"",$E187&lt;=H$2,$F187&gt;=H$2),1,0)</f>
        <v/>
      </c>
      <c r="I187">
        <f>I186+IF(AND($E187&lt;&gt;"",$E187&lt;=I$2,$F187&gt;=I$2),1,0)</f>
        <v/>
      </c>
      <c r="J187">
        <f>J186+IF(AND($E187&lt;&gt;"",$E187&lt;=J$2,$F187&gt;=J$2),1,0)</f>
        <v/>
      </c>
      <c r="K187">
        <f>K186+IF(AND($E187&lt;&gt;"",$E187&lt;=K$2,$F187&gt;=K$2),1,0)</f>
        <v/>
      </c>
      <c r="L187">
        <f>L186+IF(AND($E187&lt;&gt;"",$E187&lt;=L$2,$F187&gt;=L$2),1,0)</f>
        <v/>
      </c>
      <c r="M187">
        <f>M186+IF(AND($E187&lt;&gt;"",$E187&lt;=M$2,$F187&gt;=M$2),1,0)</f>
        <v/>
      </c>
      <c r="N187">
        <f>N186+IF(AND($E187&lt;&gt;"",$E187&lt;=N$2,$F187&gt;=N$2),1,0)</f>
        <v/>
      </c>
      <c r="O187">
        <f>O186+IF(AND($E187&lt;&gt;"",$E187&lt;=O$2,$F187&gt;=O$2),1,0)</f>
        <v/>
      </c>
      <c r="P187">
        <f>P186+IF(AND($E187&lt;&gt;"",$E187&lt;=P$2,$F187&gt;=P$2),1,0)</f>
        <v/>
      </c>
      <c r="Q187">
        <f>Q186+IF(AND($E187&lt;&gt;"",$E187&lt;=Q$2,$F187&gt;=Q$2),1,0)</f>
        <v/>
      </c>
      <c r="R187">
        <f>R186+IF(AND($E187&lt;&gt;"",$E187&lt;=R$2,$F187&gt;=R$2),1,0)</f>
        <v/>
      </c>
      <c r="S187">
        <f>S186+IF(AND($E187&lt;&gt;"",$E187&lt;=S$2,$F187&gt;=S$2),1,0)</f>
        <v/>
      </c>
      <c r="T187">
        <f>T186+IF(AND($E187&lt;&gt;"",$E187&lt;=T$2,$F187&gt;=T$2),1,0)</f>
        <v/>
      </c>
      <c r="U187">
        <f>U186+IF(AND($E187&lt;&gt;"",$E187&lt;=U$2,$F187&gt;=U$2),1,0)</f>
        <v/>
      </c>
      <c r="V187">
        <f>V186+IF(AND($E187&lt;&gt;"",$E187&lt;=V$2,$F187&gt;=V$2),1,0)</f>
        <v/>
      </c>
      <c r="W187">
        <f>W186+IF(AND($E187&lt;&gt;"",$E187&lt;=W$2,$F187&gt;=W$2),1,0)</f>
        <v/>
      </c>
      <c r="X187">
        <f>X186+IF(AND($E187&lt;&gt;"",$E187&lt;=X$2,$F187&gt;=X$2),1,0)</f>
        <v/>
      </c>
      <c r="Y187">
        <f>Y186+IF(AND($E187&lt;&gt;"",$E187&lt;=Y$2,$F187&gt;=Y$2),1,0)</f>
        <v/>
      </c>
      <c r="Z187">
        <f>Z186+IF(AND($E187&lt;&gt;"",$E187&lt;=Z$2,$F187&gt;=Z$2),1,0)</f>
        <v/>
      </c>
      <c r="AA187">
        <f>AA186+IF(AND($E187&lt;&gt;"",$E187&lt;=AA$2,$F187&gt;=AA$2),1,0)</f>
        <v/>
      </c>
      <c r="AB187">
        <f>AB186+IF(AND($E187&lt;&gt;"",$E187&lt;=AB$2,$F187&gt;=AB$2),1,0)</f>
        <v/>
      </c>
      <c r="AC187">
        <f>AC186+IF(AND($E187&lt;&gt;"",$E187&lt;=AC$2,$F187&gt;=AC$2),1,0)</f>
        <v/>
      </c>
      <c r="AD187">
        <f>AD186+IF(AND($E187&lt;&gt;"",$E187&lt;=AD$2,$F187&gt;=AD$2),1,0)</f>
        <v/>
      </c>
      <c r="AE187">
        <f>AE186+IF(AND($E187&lt;&gt;"",$E187&lt;=AE$2,$F187&gt;=AE$2),1,0)</f>
        <v/>
      </c>
      <c r="AF187">
        <f>AF186+IF(AND($E187&lt;&gt;"",$E187&lt;=AF$2,$F187&gt;=AF$2),1,0)</f>
        <v/>
      </c>
      <c r="AG187">
        <f>AG186+IF(AND($E187&lt;&gt;"",$E187&lt;=AG$2,$F187&gt;=AG$2),1,0)</f>
        <v/>
      </c>
      <c r="AH187">
        <f>AH186+IF(AND($E187&lt;&gt;"",$E187&lt;=AH$2,$F187&gt;=AH$2),1,0)</f>
        <v/>
      </c>
      <c r="AI187">
        <f>AI186+IF(AND($E187&lt;&gt;"",$E187&lt;=AI$2,$F187&gt;=AI$2),1,0)</f>
        <v/>
      </c>
      <c r="AJ187">
        <f>AJ186+IF(AND($E187&lt;&gt;"",$E187&lt;=AJ$2,$F187&gt;=AJ$2),1,0)</f>
        <v/>
      </c>
      <c r="AK187">
        <f>AK186+IF(AND($E187&lt;&gt;"",$E187&lt;=AK$2,$F187&gt;=AK$2),1,0)</f>
        <v/>
      </c>
      <c r="AL187">
        <f>AL186+IF(AND($E187&lt;&gt;"",$E187&lt;=AL$2,$F187&gt;=AL$2),1,0)</f>
        <v/>
      </c>
      <c r="AM187">
        <f>AM186+IF(AND($E187&lt;&gt;"",$E187&lt;=AM$2,$F187&gt;=AM$2),1,0)</f>
        <v/>
      </c>
      <c r="AN187">
        <f>AN186+IF(AND($E187&lt;&gt;"",$E187&lt;=AN$2,$F187&gt;=AN$2),1,0)</f>
        <v/>
      </c>
      <c r="AO187">
        <f>AO186+IF(AND($E187&lt;&gt;"",$E187&lt;=AO$2,$F187&gt;=AO$2),1,0)</f>
        <v/>
      </c>
      <c r="AP187">
        <f>AP186+IF(AND($E187&lt;&gt;"",$E187&lt;=AP$2,$F187&gt;=AP$2),1,0)</f>
        <v/>
      </c>
      <c r="AQ187">
        <f>AQ186+IF(AND($E187&lt;&gt;"",$E187&lt;=AQ$2,$F187&gt;=AQ$2),1,0)</f>
        <v/>
      </c>
      <c r="AR187">
        <f>AR186+IF(AND($E187&lt;&gt;"",$E187&lt;=AR$2,$F187&gt;=AR$2),1,0)</f>
        <v/>
      </c>
      <c r="AS187">
        <f>AS186+IF(AND($E187&lt;&gt;"",$E187&lt;=AS$2,$F187&gt;=AS$2),1,0)</f>
        <v/>
      </c>
      <c r="AT187">
        <f>AT186+IF(AND($E187&lt;&gt;"",$E187&lt;=AT$2,$F187&gt;=AT$2),1,0)</f>
        <v/>
      </c>
      <c r="AU187">
        <f>AU186+IF(AND($E187&lt;&gt;"",$E187&lt;=AU$2,$F187&gt;=AU$2),1,0)</f>
        <v/>
      </c>
      <c r="AV187">
        <f>AV186+IF(AND($E187&lt;&gt;"",$E187&lt;=AV$2,$F187&gt;=AV$2),1,0)</f>
        <v/>
      </c>
      <c r="AW187">
        <f>AW186+IF(AND($E187&lt;&gt;"",$E187&lt;=AW$2,$F187&gt;=AW$2),1,0)</f>
        <v/>
      </c>
    </row>
    <row r="188">
      <c r="A188">
        <f>IF(AND(ISNUMBER(Events!$A190),ISNUMBER(Events!$B190)),MAX(0,Events!$B190-Events!$A190),0)</f>
        <v/>
      </c>
      <c r="B188">
        <f>IF(ISNUMBER(Events!$A190),DATE(YEAR($B$1)-1,MONTH(Events!$A190),DAY(Events!$A190)),"")</f>
        <v/>
      </c>
      <c r="C188">
        <f>IF(ISNUMBER(Events!$A190),DATE(YEAR($B$1),MONTH(Events!$A190),DAY(Events!$A190)),"")</f>
        <v/>
      </c>
      <c r="D188">
        <f>IF(ISNUMBER(Events!$A190),DATE(YEAR($B$2),MONTH(Events!$A190),DAY(Events!$A190)),"")</f>
        <v/>
      </c>
      <c r="E188">
        <f>IF(OR(NOT(ISNUMBER(Events!$A190)),Events!$G190="No",Calendar!$H$4="None"),"",IF(OR(Calendar!$H$4="All events",Events!$D190=Calendar!$H$4),IF(Events!$E190="Yes",IF(AND(B188&gt;=Events!$A190,B188&lt;=$B$2,B188+$A188&gt;=$B$1),B188,IF(AND(C188&gt;=Events!$A190,C188&lt;=$B$2,C188+$A188&gt;=$B$1),C188,IF(AND(D188&gt;=Events!$A190,D188&lt;=$B$2,D188+$A188&gt;=$B$1),D188,""))),IF(AND(Events!$A190&lt;=$B$2,Events!$A190+$A188&gt;=$B$1),Events!$A190,"")),""))</f>
        <v/>
      </c>
      <c r="F188">
        <f>IF(E188="","",E188+A188)</f>
        <v/>
      </c>
      <c r="G188">
        <f>IF(E188="","",IF(AND(E188&lt;=EOMONTH(Calendar!$K$2,0),F188&gt;=Calendar!$K$2),E188+185/100000,""))</f>
        <v/>
      </c>
      <c r="H188">
        <f>H187+IF(AND($E188&lt;&gt;"",$E188&lt;=H$2,$F188&gt;=H$2),1,0)</f>
        <v/>
      </c>
      <c r="I188">
        <f>I187+IF(AND($E188&lt;&gt;"",$E188&lt;=I$2,$F188&gt;=I$2),1,0)</f>
        <v/>
      </c>
      <c r="J188">
        <f>J187+IF(AND($E188&lt;&gt;"",$E188&lt;=J$2,$F188&gt;=J$2),1,0)</f>
        <v/>
      </c>
      <c r="K188">
        <f>K187+IF(AND($E188&lt;&gt;"",$E188&lt;=K$2,$F188&gt;=K$2),1,0)</f>
        <v/>
      </c>
      <c r="L188">
        <f>L187+IF(AND($E188&lt;&gt;"",$E188&lt;=L$2,$F188&gt;=L$2),1,0)</f>
        <v/>
      </c>
      <c r="M188">
        <f>M187+IF(AND($E188&lt;&gt;"",$E188&lt;=M$2,$F188&gt;=M$2),1,0)</f>
        <v/>
      </c>
      <c r="N188">
        <f>N187+IF(AND($E188&lt;&gt;"",$E188&lt;=N$2,$F188&gt;=N$2),1,0)</f>
        <v/>
      </c>
      <c r="O188">
        <f>O187+IF(AND($E188&lt;&gt;"",$E188&lt;=O$2,$F188&gt;=O$2),1,0)</f>
        <v/>
      </c>
      <c r="P188">
        <f>P187+IF(AND($E188&lt;&gt;"",$E188&lt;=P$2,$F188&gt;=P$2),1,0)</f>
        <v/>
      </c>
      <c r="Q188">
        <f>Q187+IF(AND($E188&lt;&gt;"",$E188&lt;=Q$2,$F188&gt;=Q$2),1,0)</f>
        <v/>
      </c>
      <c r="R188">
        <f>R187+IF(AND($E188&lt;&gt;"",$E188&lt;=R$2,$F188&gt;=R$2),1,0)</f>
        <v/>
      </c>
      <c r="S188">
        <f>S187+IF(AND($E188&lt;&gt;"",$E188&lt;=S$2,$F188&gt;=S$2),1,0)</f>
        <v/>
      </c>
      <c r="T188">
        <f>T187+IF(AND($E188&lt;&gt;"",$E188&lt;=T$2,$F188&gt;=T$2),1,0)</f>
        <v/>
      </c>
      <c r="U188">
        <f>U187+IF(AND($E188&lt;&gt;"",$E188&lt;=U$2,$F188&gt;=U$2),1,0)</f>
        <v/>
      </c>
      <c r="V188">
        <f>V187+IF(AND($E188&lt;&gt;"",$E188&lt;=V$2,$F188&gt;=V$2),1,0)</f>
        <v/>
      </c>
      <c r="W188">
        <f>W187+IF(AND($E188&lt;&gt;"",$E188&lt;=W$2,$F188&gt;=W$2),1,0)</f>
        <v/>
      </c>
      <c r="X188">
        <f>X187+IF(AND($E188&lt;&gt;"",$E188&lt;=X$2,$F188&gt;=X$2),1,0)</f>
        <v/>
      </c>
      <c r="Y188">
        <f>Y187+IF(AND($E188&lt;&gt;"",$E188&lt;=Y$2,$F188&gt;=Y$2),1,0)</f>
        <v/>
      </c>
      <c r="Z188">
        <f>Z187+IF(AND($E188&lt;&gt;"",$E188&lt;=Z$2,$F188&gt;=Z$2),1,0)</f>
        <v/>
      </c>
      <c r="AA188">
        <f>AA187+IF(AND($E188&lt;&gt;"",$E188&lt;=AA$2,$F188&gt;=AA$2),1,0)</f>
        <v/>
      </c>
      <c r="AB188">
        <f>AB187+IF(AND($E188&lt;&gt;"",$E188&lt;=AB$2,$F188&gt;=AB$2),1,0)</f>
        <v/>
      </c>
      <c r="AC188">
        <f>AC187+IF(AND($E188&lt;&gt;"",$E188&lt;=AC$2,$F188&gt;=AC$2),1,0)</f>
        <v/>
      </c>
      <c r="AD188">
        <f>AD187+IF(AND($E188&lt;&gt;"",$E188&lt;=AD$2,$F188&gt;=AD$2),1,0)</f>
        <v/>
      </c>
      <c r="AE188">
        <f>AE187+IF(AND($E188&lt;&gt;"",$E188&lt;=AE$2,$F188&gt;=AE$2),1,0)</f>
        <v/>
      </c>
      <c r="AF188">
        <f>AF187+IF(AND($E188&lt;&gt;"",$E188&lt;=AF$2,$F188&gt;=AF$2),1,0)</f>
        <v/>
      </c>
      <c r="AG188">
        <f>AG187+IF(AND($E188&lt;&gt;"",$E188&lt;=AG$2,$F188&gt;=AG$2),1,0)</f>
        <v/>
      </c>
      <c r="AH188">
        <f>AH187+IF(AND($E188&lt;&gt;"",$E188&lt;=AH$2,$F188&gt;=AH$2),1,0)</f>
        <v/>
      </c>
      <c r="AI188">
        <f>AI187+IF(AND($E188&lt;&gt;"",$E188&lt;=AI$2,$F188&gt;=AI$2),1,0)</f>
        <v/>
      </c>
      <c r="AJ188">
        <f>AJ187+IF(AND($E188&lt;&gt;"",$E188&lt;=AJ$2,$F188&gt;=AJ$2),1,0)</f>
        <v/>
      </c>
      <c r="AK188">
        <f>AK187+IF(AND($E188&lt;&gt;"",$E188&lt;=AK$2,$F188&gt;=AK$2),1,0)</f>
        <v/>
      </c>
      <c r="AL188">
        <f>AL187+IF(AND($E188&lt;&gt;"",$E188&lt;=AL$2,$F188&gt;=AL$2),1,0)</f>
        <v/>
      </c>
      <c r="AM188">
        <f>AM187+IF(AND($E188&lt;&gt;"",$E188&lt;=AM$2,$F188&gt;=AM$2),1,0)</f>
        <v/>
      </c>
      <c r="AN188">
        <f>AN187+IF(AND($E188&lt;&gt;"",$E188&lt;=AN$2,$F188&gt;=AN$2),1,0)</f>
        <v/>
      </c>
      <c r="AO188">
        <f>AO187+IF(AND($E188&lt;&gt;"",$E188&lt;=AO$2,$F188&gt;=AO$2),1,0)</f>
        <v/>
      </c>
      <c r="AP188">
        <f>AP187+IF(AND($E188&lt;&gt;"",$E188&lt;=AP$2,$F188&gt;=AP$2),1,0)</f>
        <v/>
      </c>
      <c r="AQ188">
        <f>AQ187+IF(AND($E188&lt;&gt;"",$E188&lt;=AQ$2,$F188&gt;=AQ$2),1,0)</f>
        <v/>
      </c>
      <c r="AR188">
        <f>AR187+IF(AND($E188&lt;&gt;"",$E188&lt;=AR$2,$F188&gt;=AR$2),1,0)</f>
        <v/>
      </c>
      <c r="AS188">
        <f>AS187+IF(AND($E188&lt;&gt;"",$E188&lt;=AS$2,$F188&gt;=AS$2),1,0)</f>
        <v/>
      </c>
      <c r="AT188">
        <f>AT187+IF(AND($E188&lt;&gt;"",$E188&lt;=AT$2,$F188&gt;=AT$2),1,0)</f>
        <v/>
      </c>
      <c r="AU188">
        <f>AU187+IF(AND($E188&lt;&gt;"",$E188&lt;=AU$2,$F188&gt;=AU$2),1,0)</f>
        <v/>
      </c>
      <c r="AV188">
        <f>AV187+IF(AND($E188&lt;&gt;"",$E188&lt;=AV$2,$F188&gt;=AV$2),1,0)</f>
        <v/>
      </c>
      <c r="AW188">
        <f>AW187+IF(AND($E188&lt;&gt;"",$E188&lt;=AW$2,$F188&gt;=AW$2),1,0)</f>
        <v/>
      </c>
    </row>
    <row r="189">
      <c r="A189">
        <f>IF(AND(ISNUMBER(Events!$A191),ISNUMBER(Events!$B191)),MAX(0,Events!$B191-Events!$A191),0)</f>
        <v/>
      </c>
      <c r="B189">
        <f>IF(ISNUMBER(Events!$A191),DATE(YEAR($B$1)-1,MONTH(Events!$A191),DAY(Events!$A191)),"")</f>
        <v/>
      </c>
      <c r="C189">
        <f>IF(ISNUMBER(Events!$A191),DATE(YEAR($B$1),MONTH(Events!$A191),DAY(Events!$A191)),"")</f>
        <v/>
      </c>
      <c r="D189">
        <f>IF(ISNUMBER(Events!$A191),DATE(YEAR($B$2),MONTH(Events!$A191),DAY(Events!$A191)),"")</f>
        <v/>
      </c>
      <c r="E189">
        <f>IF(OR(NOT(ISNUMBER(Events!$A191)),Events!$G191="No",Calendar!$H$4="None"),"",IF(OR(Calendar!$H$4="All events",Events!$D191=Calendar!$H$4),IF(Events!$E191="Yes",IF(AND(B189&gt;=Events!$A191,B189&lt;=$B$2,B189+$A189&gt;=$B$1),B189,IF(AND(C189&gt;=Events!$A191,C189&lt;=$B$2,C189+$A189&gt;=$B$1),C189,IF(AND(D189&gt;=Events!$A191,D189&lt;=$B$2,D189+$A189&gt;=$B$1),D189,""))),IF(AND(Events!$A191&lt;=$B$2,Events!$A191+$A189&gt;=$B$1),Events!$A191,"")),""))</f>
        <v/>
      </c>
      <c r="F189">
        <f>IF(E189="","",E189+A189)</f>
        <v/>
      </c>
      <c r="G189">
        <f>IF(E189="","",IF(AND(E189&lt;=EOMONTH(Calendar!$K$2,0),F189&gt;=Calendar!$K$2),E189+186/100000,""))</f>
        <v/>
      </c>
      <c r="H189">
        <f>H188+IF(AND($E189&lt;&gt;"",$E189&lt;=H$2,$F189&gt;=H$2),1,0)</f>
        <v/>
      </c>
      <c r="I189">
        <f>I188+IF(AND($E189&lt;&gt;"",$E189&lt;=I$2,$F189&gt;=I$2),1,0)</f>
        <v/>
      </c>
      <c r="J189">
        <f>J188+IF(AND($E189&lt;&gt;"",$E189&lt;=J$2,$F189&gt;=J$2),1,0)</f>
        <v/>
      </c>
      <c r="K189">
        <f>K188+IF(AND($E189&lt;&gt;"",$E189&lt;=K$2,$F189&gt;=K$2),1,0)</f>
        <v/>
      </c>
      <c r="L189">
        <f>L188+IF(AND($E189&lt;&gt;"",$E189&lt;=L$2,$F189&gt;=L$2),1,0)</f>
        <v/>
      </c>
      <c r="M189">
        <f>M188+IF(AND($E189&lt;&gt;"",$E189&lt;=M$2,$F189&gt;=M$2),1,0)</f>
        <v/>
      </c>
      <c r="N189">
        <f>N188+IF(AND($E189&lt;&gt;"",$E189&lt;=N$2,$F189&gt;=N$2),1,0)</f>
        <v/>
      </c>
      <c r="O189">
        <f>O188+IF(AND($E189&lt;&gt;"",$E189&lt;=O$2,$F189&gt;=O$2),1,0)</f>
        <v/>
      </c>
      <c r="P189">
        <f>P188+IF(AND($E189&lt;&gt;"",$E189&lt;=P$2,$F189&gt;=P$2),1,0)</f>
        <v/>
      </c>
      <c r="Q189">
        <f>Q188+IF(AND($E189&lt;&gt;"",$E189&lt;=Q$2,$F189&gt;=Q$2),1,0)</f>
        <v/>
      </c>
      <c r="R189">
        <f>R188+IF(AND($E189&lt;&gt;"",$E189&lt;=R$2,$F189&gt;=R$2),1,0)</f>
        <v/>
      </c>
      <c r="S189">
        <f>S188+IF(AND($E189&lt;&gt;"",$E189&lt;=S$2,$F189&gt;=S$2),1,0)</f>
        <v/>
      </c>
      <c r="T189">
        <f>T188+IF(AND($E189&lt;&gt;"",$E189&lt;=T$2,$F189&gt;=T$2),1,0)</f>
        <v/>
      </c>
      <c r="U189">
        <f>U188+IF(AND($E189&lt;&gt;"",$E189&lt;=U$2,$F189&gt;=U$2),1,0)</f>
        <v/>
      </c>
      <c r="V189">
        <f>V188+IF(AND($E189&lt;&gt;"",$E189&lt;=V$2,$F189&gt;=V$2),1,0)</f>
        <v/>
      </c>
      <c r="W189">
        <f>W188+IF(AND($E189&lt;&gt;"",$E189&lt;=W$2,$F189&gt;=W$2),1,0)</f>
        <v/>
      </c>
      <c r="X189">
        <f>X188+IF(AND($E189&lt;&gt;"",$E189&lt;=X$2,$F189&gt;=X$2),1,0)</f>
        <v/>
      </c>
      <c r="Y189">
        <f>Y188+IF(AND($E189&lt;&gt;"",$E189&lt;=Y$2,$F189&gt;=Y$2),1,0)</f>
        <v/>
      </c>
      <c r="Z189">
        <f>Z188+IF(AND($E189&lt;&gt;"",$E189&lt;=Z$2,$F189&gt;=Z$2),1,0)</f>
        <v/>
      </c>
      <c r="AA189">
        <f>AA188+IF(AND($E189&lt;&gt;"",$E189&lt;=AA$2,$F189&gt;=AA$2),1,0)</f>
        <v/>
      </c>
      <c r="AB189">
        <f>AB188+IF(AND($E189&lt;&gt;"",$E189&lt;=AB$2,$F189&gt;=AB$2),1,0)</f>
        <v/>
      </c>
      <c r="AC189">
        <f>AC188+IF(AND($E189&lt;&gt;"",$E189&lt;=AC$2,$F189&gt;=AC$2),1,0)</f>
        <v/>
      </c>
      <c r="AD189">
        <f>AD188+IF(AND($E189&lt;&gt;"",$E189&lt;=AD$2,$F189&gt;=AD$2),1,0)</f>
        <v/>
      </c>
      <c r="AE189">
        <f>AE188+IF(AND($E189&lt;&gt;"",$E189&lt;=AE$2,$F189&gt;=AE$2),1,0)</f>
        <v/>
      </c>
      <c r="AF189">
        <f>AF188+IF(AND($E189&lt;&gt;"",$E189&lt;=AF$2,$F189&gt;=AF$2),1,0)</f>
        <v/>
      </c>
      <c r="AG189">
        <f>AG188+IF(AND($E189&lt;&gt;"",$E189&lt;=AG$2,$F189&gt;=AG$2),1,0)</f>
        <v/>
      </c>
      <c r="AH189">
        <f>AH188+IF(AND($E189&lt;&gt;"",$E189&lt;=AH$2,$F189&gt;=AH$2),1,0)</f>
        <v/>
      </c>
      <c r="AI189">
        <f>AI188+IF(AND($E189&lt;&gt;"",$E189&lt;=AI$2,$F189&gt;=AI$2),1,0)</f>
        <v/>
      </c>
      <c r="AJ189">
        <f>AJ188+IF(AND($E189&lt;&gt;"",$E189&lt;=AJ$2,$F189&gt;=AJ$2),1,0)</f>
        <v/>
      </c>
      <c r="AK189">
        <f>AK188+IF(AND($E189&lt;&gt;"",$E189&lt;=AK$2,$F189&gt;=AK$2),1,0)</f>
        <v/>
      </c>
      <c r="AL189">
        <f>AL188+IF(AND($E189&lt;&gt;"",$E189&lt;=AL$2,$F189&gt;=AL$2),1,0)</f>
        <v/>
      </c>
      <c r="AM189">
        <f>AM188+IF(AND($E189&lt;&gt;"",$E189&lt;=AM$2,$F189&gt;=AM$2),1,0)</f>
        <v/>
      </c>
      <c r="AN189">
        <f>AN188+IF(AND($E189&lt;&gt;"",$E189&lt;=AN$2,$F189&gt;=AN$2),1,0)</f>
        <v/>
      </c>
      <c r="AO189">
        <f>AO188+IF(AND($E189&lt;&gt;"",$E189&lt;=AO$2,$F189&gt;=AO$2),1,0)</f>
        <v/>
      </c>
      <c r="AP189">
        <f>AP188+IF(AND($E189&lt;&gt;"",$E189&lt;=AP$2,$F189&gt;=AP$2),1,0)</f>
        <v/>
      </c>
      <c r="AQ189">
        <f>AQ188+IF(AND($E189&lt;&gt;"",$E189&lt;=AQ$2,$F189&gt;=AQ$2),1,0)</f>
        <v/>
      </c>
      <c r="AR189">
        <f>AR188+IF(AND($E189&lt;&gt;"",$E189&lt;=AR$2,$F189&gt;=AR$2),1,0)</f>
        <v/>
      </c>
      <c r="AS189">
        <f>AS188+IF(AND($E189&lt;&gt;"",$E189&lt;=AS$2,$F189&gt;=AS$2),1,0)</f>
        <v/>
      </c>
      <c r="AT189">
        <f>AT188+IF(AND($E189&lt;&gt;"",$E189&lt;=AT$2,$F189&gt;=AT$2),1,0)</f>
        <v/>
      </c>
      <c r="AU189">
        <f>AU188+IF(AND($E189&lt;&gt;"",$E189&lt;=AU$2,$F189&gt;=AU$2),1,0)</f>
        <v/>
      </c>
      <c r="AV189">
        <f>AV188+IF(AND($E189&lt;&gt;"",$E189&lt;=AV$2,$F189&gt;=AV$2),1,0)</f>
        <v/>
      </c>
      <c r="AW189">
        <f>AW188+IF(AND($E189&lt;&gt;"",$E189&lt;=AW$2,$F189&gt;=AW$2),1,0)</f>
        <v/>
      </c>
    </row>
    <row r="190">
      <c r="A190">
        <f>IF(AND(ISNUMBER(Events!$A192),ISNUMBER(Events!$B192)),MAX(0,Events!$B192-Events!$A192),0)</f>
        <v/>
      </c>
      <c r="B190">
        <f>IF(ISNUMBER(Events!$A192),DATE(YEAR($B$1)-1,MONTH(Events!$A192),DAY(Events!$A192)),"")</f>
        <v/>
      </c>
      <c r="C190">
        <f>IF(ISNUMBER(Events!$A192),DATE(YEAR($B$1),MONTH(Events!$A192),DAY(Events!$A192)),"")</f>
        <v/>
      </c>
      <c r="D190">
        <f>IF(ISNUMBER(Events!$A192),DATE(YEAR($B$2),MONTH(Events!$A192),DAY(Events!$A192)),"")</f>
        <v/>
      </c>
      <c r="E190">
        <f>IF(OR(NOT(ISNUMBER(Events!$A192)),Events!$G192="No",Calendar!$H$4="None"),"",IF(OR(Calendar!$H$4="All events",Events!$D192=Calendar!$H$4),IF(Events!$E192="Yes",IF(AND(B190&gt;=Events!$A192,B190&lt;=$B$2,B190+$A190&gt;=$B$1),B190,IF(AND(C190&gt;=Events!$A192,C190&lt;=$B$2,C190+$A190&gt;=$B$1),C190,IF(AND(D190&gt;=Events!$A192,D190&lt;=$B$2,D190+$A190&gt;=$B$1),D190,""))),IF(AND(Events!$A192&lt;=$B$2,Events!$A192+$A190&gt;=$B$1),Events!$A192,"")),""))</f>
        <v/>
      </c>
      <c r="F190">
        <f>IF(E190="","",E190+A190)</f>
        <v/>
      </c>
      <c r="G190">
        <f>IF(E190="","",IF(AND(E190&lt;=EOMONTH(Calendar!$K$2,0),F190&gt;=Calendar!$K$2),E190+187/100000,""))</f>
        <v/>
      </c>
      <c r="H190">
        <f>H189+IF(AND($E190&lt;&gt;"",$E190&lt;=H$2,$F190&gt;=H$2),1,0)</f>
        <v/>
      </c>
      <c r="I190">
        <f>I189+IF(AND($E190&lt;&gt;"",$E190&lt;=I$2,$F190&gt;=I$2),1,0)</f>
        <v/>
      </c>
      <c r="J190">
        <f>J189+IF(AND($E190&lt;&gt;"",$E190&lt;=J$2,$F190&gt;=J$2),1,0)</f>
        <v/>
      </c>
      <c r="K190">
        <f>K189+IF(AND($E190&lt;&gt;"",$E190&lt;=K$2,$F190&gt;=K$2),1,0)</f>
        <v/>
      </c>
      <c r="L190">
        <f>L189+IF(AND($E190&lt;&gt;"",$E190&lt;=L$2,$F190&gt;=L$2),1,0)</f>
        <v/>
      </c>
      <c r="M190">
        <f>M189+IF(AND($E190&lt;&gt;"",$E190&lt;=M$2,$F190&gt;=M$2),1,0)</f>
        <v/>
      </c>
      <c r="N190">
        <f>N189+IF(AND($E190&lt;&gt;"",$E190&lt;=N$2,$F190&gt;=N$2),1,0)</f>
        <v/>
      </c>
      <c r="O190">
        <f>O189+IF(AND($E190&lt;&gt;"",$E190&lt;=O$2,$F190&gt;=O$2),1,0)</f>
        <v/>
      </c>
      <c r="P190">
        <f>P189+IF(AND($E190&lt;&gt;"",$E190&lt;=P$2,$F190&gt;=P$2),1,0)</f>
        <v/>
      </c>
      <c r="Q190">
        <f>Q189+IF(AND($E190&lt;&gt;"",$E190&lt;=Q$2,$F190&gt;=Q$2),1,0)</f>
        <v/>
      </c>
      <c r="R190">
        <f>R189+IF(AND($E190&lt;&gt;"",$E190&lt;=R$2,$F190&gt;=R$2),1,0)</f>
        <v/>
      </c>
      <c r="S190">
        <f>S189+IF(AND($E190&lt;&gt;"",$E190&lt;=S$2,$F190&gt;=S$2),1,0)</f>
        <v/>
      </c>
      <c r="T190">
        <f>T189+IF(AND($E190&lt;&gt;"",$E190&lt;=T$2,$F190&gt;=T$2),1,0)</f>
        <v/>
      </c>
      <c r="U190">
        <f>U189+IF(AND($E190&lt;&gt;"",$E190&lt;=U$2,$F190&gt;=U$2),1,0)</f>
        <v/>
      </c>
      <c r="V190">
        <f>V189+IF(AND($E190&lt;&gt;"",$E190&lt;=V$2,$F190&gt;=V$2),1,0)</f>
        <v/>
      </c>
      <c r="W190">
        <f>W189+IF(AND($E190&lt;&gt;"",$E190&lt;=W$2,$F190&gt;=W$2),1,0)</f>
        <v/>
      </c>
      <c r="X190">
        <f>X189+IF(AND($E190&lt;&gt;"",$E190&lt;=X$2,$F190&gt;=X$2),1,0)</f>
        <v/>
      </c>
      <c r="Y190">
        <f>Y189+IF(AND($E190&lt;&gt;"",$E190&lt;=Y$2,$F190&gt;=Y$2),1,0)</f>
        <v/>
      </c>
      <c r="Z190">
        <f>Z189+IF(AND($E190&lt;&gt;"",$E190&lt;=Z$2,$F190&gt;=Z$2),1,0)</f>
        <v/>
      </c>
      <c r="AA190">
        <f>AA189+IF(AND($E190&lt;&gt;"",$E190&lt;=AA$2,$F190&gt;=AA$2),1,0)</f>
        <v/>
      </c>
      <c r="AB190">
        <f>AB189+IF(AND($E190&lt;&gt;"",$E190&lt;=AB$2,$F190&gt;=AB$2),1,0)</f>
        <v/>
      </c>
      <c r="AC190">
        <f>AC189+IF(AND($E190&lt;&gt;"",$E190&lt;=AC$2,$F190&gt;=AC$2),1,0)</f>
        <v/>
      </c>
      <c r="AD190">
        <f>AD189+IF(AND($E190&lt;&gt;"",$E190&lt;=AD$2,$F190&gt;=AD$2),1,0)</f>
        <v/>
      </c>
      <c r="AE190">
        <f>AE189+IF(AND($E190&lt;&gt;"",$E190&lt;=AE$2,$F190&gt;=AE$2),1,0)</f>
        <v/>
      </c>
      <c r="AF190">
        <f>AF189+IF(AND($E190&lt;&gt;"",$E190&lt;=AF$2,$F190&gt;=AF$2),1,0)</f>
        <v/>
      </c>
      <c r="AG190">
        <f>AG189+IF(AND($E190&lt;&gt;"",$E190&lt;=AG$2,$F190&gt;=AG$2),1,0)</f>
        <v/>
      </c>
      <c r="AH190">
        <f>AH189+IF(AND($E190&lt;&gt;"",$E190&lt;=AH$2,$F190&gt;=AH$2),1,0)</f>
        <v/>
      </c>
      <c r="AI190">
        <f>AI189+IF(AND($E190&lt;&gt;"",$E190&lt;=AI$2,$F190&gt;=AI$2),1,0)</f>
        <v/>
      </c>
      <c r="AJ190">
        <f>AJ189+IF(AND($E190&lt;&gt;"",$E190&lt;=AJ$2,$F190&gt;=AJ$2),1,0)</f>
        <v/>
      </c>
      <c r="AK190">
        <f>AK189+IF(AND($E190&lt;&gt;"",$E190&lt;=AK$2,$F190&gt;=AK$2),1,0)</f>
        <v/>
      </c>
      <c r="AL190">
        <f>AL189+IF(AND($E190&lt;&gt;"",$E190&lt;=AL$2,$F190&gt;=AL$2),1,0)</f>
        <v/>
      </c>
      <c r="AM190">
        <f>AM189+IF(AND($E190&lt;&gt;"",$E190&lt;=AM$2,$F190&gt;=AM$2),1,0)</f>
        <v/>
      </c>
      <c r="AN190">
        <f>AN189+IF(AND($E190&lt;&gt;"",$E190&lt;=AN$2,$F190&gt;=AN$2),1,0)</f>
        <v/>
      </c>
      <c r="AO190">
        <f>AO189+IF(AND($E190&lt;&gt;"",$E190&lt;=AO$2,$F190&gt;=AO$2),1,0)</f>
        <v/>
      </c>
      <c r="AP190">
        <f>AP189+IF(AND($E190&lt;&gt;"",$E190&lt;=AP$2,$F190&gt;=AP$2),1,0)</f>
        <v/>
      </c>
      <c r="AQ190">
        <f>AQ189+IF(AND($E190&lt;&gt;"",$E190&lt;=AQ$2,$F190&gt;=AQ$2),1,0)</f>
        <v/>
      </c>
      <c r="AR190">
        <f>AR189+IF(AND($E190&lt;&gt;"",$E190&lt;=AR$2,$F190&gt;=AR$2),1,0)</f>
        <v/>
      </c>
      <c r="AS190">
        <f>AS189+IF(AND($E190&lt;&gt;"",$E190&lt;=AS$2,$F190&gt;=AS$2),1,0)</f>
        <v/>
      </c>
      <c r="AT190">
        <f>AT189+IF(AND($E190&lt;&gt;"",$E190&lt;=AT$2,$F190&gt;=AT$2),1,0)</f>
        <v/>
      </c>
      <c r="AU190">
        <f>AU189+IF(AND($E190&lt;&gt;"",$E190&lt;=AU$2,$F190&gt;=AU$2),1,0)</f>
        <v/>
      </c>
      <c r="AV190">
        <f>AV189+IF(AND($E190&lt;&gt;"",$E190&lt;=AV$2,$F190&gt;=AV$2),1,0)</f>
        <v/>
      </c>
      <c r="AW190">
        <f>AW189+IF(AND($E190&lt;&gt;"",$E190&lt;=AW$2,$F190&gt;=AW$2),1,0)</f>
        <v/>
      </c>
    </row>
    <row r="191">
      <c r="A191">
        <f>IF(AND(ISNUMBER(Events!$A193),ISNUMBER(Events!$B193)),MAX(0,Events!$B193-Events!$A193),0)</f>
        <v/>
      </c>
      <c r="B191">
        <f>IF(ISNUMBER(Events!$A193),DATE(YEAR($B$1)-1,MONTH(Events!$A193),DAY(Events!$A193)),"")</f>
        <v/>
      </c>
      <c r="C191">
        <f>IF(ISNUMBER(Events!$A193),DATE(YEAR($B$1),MONTH(Events!$A193),DAY(Events!$A193)),"")</f>
        <v/>
      </c>
      <c r="D191">
        <f>IF(ISNUMBER(Events!$A193),DATE(YEAR($B$2),MONTH(Events!$A193),DAY(Events!$A193)),"")</f>
        <v/>
      </c>
      <c r="E191">
        <f>IF(OR(NOT(ISNUMBER(Events!$A193)),Events!$G193="No",Calendar!$H$4="None"),"",IF(OR(Calendar!$H$4="All events",Events!$D193=Calendar!$H$4),IF(Events!$E193="Yes",IF(AND(B191&gt;=Events!$A193,B191&lt;=$B$2,B191+$A191&gt;=$B$1),B191,IF(AND(C191&gt;=Events!$A193,C191&lt;=$B$2,C191+$A191&gt;=$B$1),C191,IF(AND(D191&gt;=Events!$A193,D191&lt;=$B$2,D191+$A191&gt;=$B$1),D191,""))),IF(AND(Events!$A193&lt;=$B$2,Events!$A193+$A191&gt;=$B$1),Events!$A193,"")),""))</f>
        <v/>
      </c>
      <c r="F191">
        <f>IF(E191="","",E191+A191)</f>
        <v/>
      </c>
      <c r="G191">
        <f>IF(E191="","",IF(AND(E191&lt;=EOMONTH(Calendar!$K$2,0),F191&gt;=Calendar!$K$2),E191+188/100000,""))</f>
        <v/>
      </c>
      <c r="H191">
        <f>H190+IF(AND($E191&lt;&gt;"",$E191&lt;=H$2,$F191&gt;=H$2),1,0)</f>
        <v/>
      </c>
      <c r="I191">
        <f>I190+IF(AND($E191&lt;&gt;"",$E191&lt;=I$2,$F191&gt;=I$2),1,0)</f>
        <v/>
      </c>
      <c r="J191">
        <f>J190+IF(AND($E191&lt;&gt;"",$E191&lt;=J$2,$F191&gt;=J$2),1,0)</f>
        <v/>
      </c>
      <c r="K191">
        <f>K190+IF(AND($E191&lt;&gt;"",$E191&lt;=K$2,$F191&gt;=K$2),1,0)</f>
        <v/>
      </c>
      <c r="L191">
        <f>L190+IF(AND($E191&lt;&gt;"",$E191&lt;=L$2,$F191&gt;=L$2),1,0)</f>
        <v/>
      </c>
      <c r="M191">
        <f>M190+IF(AND($E191&lt;&gt;"",$E191&lt;=M$2,$F191&gt;=M$2),1,0)</f>
        <v/>
      </c>
      <c r="N191">
        <f>N190+IF(AND($E191&lt;&gt;"",$E191&lt;=N$2,$F191&gt;=N$2),1,0)</f>
        <v/>
      </c>
      <c r="O191">
        <f>O190+IF(AND($E191&lt;&gt;"",$E191&lt;=O$2,$F191&gt;=O$2),1,0)</f>
        <v/>
      </c>
      <c r="P191">
        <f>P190+IF(AND($E191&lt;&gt;"",$E191&lt;=P$2,$F191&gt;=P$2),1,0)</f>
        <v/>
      </c>
      <c r="Q191">
        <f>Q190+IF(AND($E191&lt;&gt;"",$E191&lt;=Q$2,$F191&gt;=Q$2),1,0)</f>
        <v/>
      </c>
      <c r="R191">
        <f>R190+IF(AND($E191&lt;&gt;"",$E191&lt;=R$2,$F191&gt;=R$2),1,0)</f>
        <v/>
      </c>
      <c r="S191">
        <f>S190+IF(AND($E191&lt;&gt;"",$E191&lt;=S$2,$F191&gt;=S$2),1,0)</f>
        <v/>
      </c>
      <c r="T191">
        <f>T190+IF(AND($E191&lt;&gt;"",$E191&lt;=T$2,$F191&gt;=T$2),1,0)</f>
        <v/>
      </c>
      <c r="U191">
        <f>U190+IF(AND($E191&lt;&gt;"",$E191&lt;=U$2,$F191&gt;=U$2),1,0)</f>
        <v/>
      </c>
      <c r="V191">
        <f>V190+IF(AND($E191&lt;&gt;"",$E191&lt;=V$2,$F191&gt;=V$2),1,0)</f>
        <v/>
      </c>
      <c r="W191">
        <f>W190+IF(AND($E191&lt;&gt;"",$E191&lt;=W$2,$F191&gt;=W$2),1,0)</f>
        <v/>
      </c>
      <c r="X191">
        <f>X190+IF(AND($E191&lt;&gt;"",$E191&lt;=X$2,$F191&gt;=X$2),1,0)</f>
        <v/>
      </c>
      <c r="Y191">
        <f>Y190+IF(AND($E191&lt;&gt;"",$E191&lt;=Y$2,$F191&gt;=Y$2),1,0)</f>
        <v/>
      </c>
      <c r="Z191">
        <f>Z190+IF(AND($E191&lt;&gt;"",$E191&lt;=Z$2,$F191&gt;=Z$2),1,0)</f>
        <v/>
      </c>
      <c r="AA191">
        <f>AA190+IF(AND($E191&lt;&gt;"",$E191&lt;=AA$2,$F191&gt;=AA$2),1,0)</f>
        <v/>
      </c>
      <c r="AB191">
        <f>AB190+IF(AND($E191&lt;&gt;"",$E191&lt;=AB$2,$F191&gt;=AB$2),1,0)</f>
        <v/>
      </c>
      <c r="AC191">
        <f>AC190+IF(AND($E191&lt;&gt;"",$E191&lt;=AC$2,$F191&gt;=AC$2),1,0)</f>
        <v/>
      </c>
      <c r="AD191">
        <f>AD190+IF(AND($E191&lt;&gt;"",$E191&lt;=AD$2,$F191&gt;=AD$2),1,0)</f>
        <v/>
      </c>
      <c r="AE191">
        <f>AE190+IF(AND($E191&lt;&gt;"",$E191&lt;=AE$2,$F191&gt;=AE$2),1,0)</f>
        <v/>
      </c>
      <c r="AF191">
        <f>AF190+IF(AND($E191&lt;&gt;"",$E191&lt;=AF$2,$F191&gt;=AF$2),1,0)</f>
        <v/>
      </c>
      <c r="AG191">
        <f>AG190+IF(AND($E191&lt;&gt;"",$E191&lt;=AG$2,$F191&gt;=AG$2),1,0)</f>
        <v/>
      </c>
      <c r="AH191">
        <f>AH190+IF(AND($E191&lt;&gt;"",$E191&lt;=AH$2,$F191&gt;=AH$2),1,0)</f>
        <v/>
      </c>
      <c r="AI191">
        <f>AI190+IF(AND($E191&lt;&gt;"",$E191&lt;=AI$2,$F191&gt;=AI$2),1,0)</f>
        <v/>
      </c>
      <c r="AJ191">
        <f>AJ190+IF(AND($E191&lt;&gt;"",$E191&lt;=AJ$2,$F191&gt;=AJ$2),1,0)</f>
        <v/>
      </c>
      <c r="AK191">
        <f>AK190+IF(AND($E191&lt;&gt;"",$E191&lt;=AK$2,$F191&gt;=AK$2),1,0)</f>
        <v/>
      </c>
      <c r="AL191">
        <f>AL190+IF(AND($E191&lt;&gt;"",$E191&lt;=AL$2,$F191&gt;=AL$2),1,0)</f>
        <v/>
      </c>
      <c r="AM191">
        <f>AM190+IF(AND($E191&lt;&gt;"",$E191&lt;=AM$2,$F191&gt;=AM$2),1,0)</f>
        <v/>
      </c>
      <c r="AN191">
        <f>AN190+IF(AND($E191&lt;&gt;"",$E191&lt;=AN$2,$F191&gt;=AN$2),1,0)</f>
        <v/>
      </c>
      <c r="AO191">
        <f>AO190+IF(AND($E191&lt;&gt;"",$E191&lt;=AO$2,$F191&gt;=AO$2),1,0)</f>
        <v/>
      </c>
      <c r="AP191">
        <f>AP190+IF(AND($E191&lt;&gt;"",$E191&lt;=AP$2,$F191&gt;=AP$2),1,0)</f>
        <v/>
      </c>
      <c r="AQ191">
        <f>AQ190+IF(AND($E191&lt;&gt;"",$E191&lt;=AQ$2,$F191&gt;=AQ$2),1,0)</f>
        <v/>
      </c>
      <c r="AR191">
        <f>AR190+IF(AND($E191&lt;&gt;"",$E191&lt;=AR$2,$F191&gt;=AR$2),1,0)</f>
        <v/>
      </c>
      <c r="AS191">
        <f>AS190+IF(AND($E191&lt;&gt;"",$E191&lt;=AS$2,$F191&gt;=AS$2),1,0)</f>
        <v/>
      </c>
      <c r="AT191">
        <f>AT190+IF(AND($E191&lt;&gt;"",$E191&lt;=AT$2,$F191&gt;=AT$2),1,0)</f>
        <v/>
      </c>
      <c r="AU191">
        <f>AU190+IF(AND($E191&lt;&gt;"",$E191&lt;=AU$2,$F191&gt;=AU$2),1,0)</f>
        <v/>
      </c>
      <c r="AV191">
        <f>AV190+IF(AND($E191&lt;&gt;"",$E191&lt;=AV$2,$F191&gt;=AV$2),1,0)</f>
        <v/>
      </c>
      <c r="AW191">
        <f>AW190+IF(AND($E191&lt;&gt;"",$E191&lt;=AW$2,$F191&gt;=AW$2),1,0)</f>
        <v/>
      </c>
    </row>
    <row r="192">
      <c r="A192">
        <f>IF(AND(ISNUMBER(Events!$A194),ISNUMBER(Events!$B194)),MAX(0,Events!$B194-Events!$A194),0)</f>
        <v/>
      </c>
      <c r="B192">
        <f>IF(ISNUMBER(Events!$A194),DATE(YEAR($B$1)-1,MONTH(Events!$A194),DAY(Events!$A194)),"")</f>
        <v/>
      </c>
      <c r="C192">
        <f>IF(ISNUMBER(Events!$A194),DATE(YEAR($B$1),MONTH(Events!$A194),DAY(Events!$A194)),"")</f>
        <v/>
      </c>
      <c r="D192">
        <f>IF(ISNUMBER(Events!$A194),DATE(YEAR($B$2),MONTH(Events!$A194),DAY(Events!$A194)),"")</f>
        <v/>
      </c>
      <c r="E192">
        <f>IF(OR(NOT(ISNUMBER(Events!$A194)),Events!$G194="No",Calendar!$H$4="None"),"",IF(OR(Calendar!$H$4="All events",Events!$D194=Calendar!$H$4),IF(Events!$E194="Yes",IF(AND(B192&gt;=Events!$A194,B192&lt;=$B$2,B192+$A192&gt;=$B$1),B192,IF(AND(C192&gt;=Events!$A194,C192&lt;=$B$2,C192+$A192&gt;=$B$1),C192,IF(AND(D192&gt;=Events!$A194,D192&lt;=$B$2,D192+$A192&gt;=$B$1),D192,""))),IF(AND(Events!$A194&lt;=$B$2,Events!$A194+$A192&gt;=$B$1),Events!$A194,"")),""))</f>
        <v/>
      </c>
      <c r="F192">
        <f>IF(E192="","",E192+A192)</f>
        <v/>
      </c>
      <c r="G192">
        <f>IF(E192="","",IF(AND(E192&lt;=EOMONTH(Calendar!$K$2,0),F192&gt;=Calendar!$K$2),E192+189/100000,""))</f>
        <v/>
      </c>
      <c r="H192">
        <f>H191+IF(AND($E192&lt;&gt;"",$E192&lt;=H$2,$F192&gt;=H$2),1,0)</f>
        <v/>
      </c>
      <c r="I192">
        <f>I191+IF(AND($E192&lt;&gt;"",$E192&lt;=I$2,$F192&gt;=I$2),1,0)</f>
        <v/>
      </c>
      <c r="J192">
        <f>J191+IF(AND($E192&lt;&gt;"",$E192&lt;=J$2,$F192&gt;=J$2),1,0)</f>
        <v/>
      </c>
      <c r="K192">
        <f>K191+IF(AND($E192&lt;&gt;"",$E192&lt;=K$2,$F192&gt;=K$2),1,0)</f>
        <v/>
      </c>
      <c r="L192">
        <f>L191+IF(AND($E192&lt;&gt;"",$E192&lt;=L$2,$F192&gt;=L$2),1,0)</f>
        <v/>
      </c>
      <c r="M192">
        <f>M191+IF(AND($E192&lt;&gt;"",$E192&lt;=M$2,$F192&gt;=M$2),1,0)</f>
        <v/>
      </c>
      <c r="N192">
        <f>N191+IF(AND($E192&lt;&gt;"",$E192&lt;=N$2,$F192&gt;=N$2),1,0)</f>
        <v/>
      </c>
      <c r="O192">
        <f>O191+IF(AND($E192&lt;&gt;"",$E192&lt;=O$2,$F192&gt;=O$2),1,0)</f>
        <v/>
      </c>
      <c r="P192">
        <f>P191+IF(AND($E192&lt;&gt;"",$E192&lt;=P$2,$F192&gt;=P$2),1,0)</f>
        <v/>
      </c>
      <c r="Q192">
        <f>Q191+IF(AND($E192&lt;&gt;"",$E192&lt;=Q$2,$F192&gt;=Q$2),1,0)</f>
        <v/>
      </c>
      <c r="R192">
        <f>R191+IF(AND($E192&lt;&gt;"",$E192&lt;=R$2,$F192&gt;=R$2),1,0)</f>
        <v/>
      </c>
      <c r="S192">
        <f>S191+IF(AND($E192&lt;&gt;"",$E192&lt;=S$2,$F192&gt;=S$2),1,0)</f>
        <v/>
      </c>
      <c r="T192">
        <f>T191+IF(AND($E192&lt;&gt;"",$E192&lt;=T$2,$F192&gt;=T$2),1,0)</f>
        <v/>
      </c>
      <c r="U192">
        <f>U191+IF(AND($E192&lt;&gt;"",$E192&lt;=U$2,$F192&gt;=U$2),1,0)</f>
        <v/>
      </c>
      <c r="V192">
        <f>V191+IF(AND($E192&lt;&gt;"",$E192&lt;=V$2,$F192&gt;=V$2),1,0)</f>
        <v/>
      </c>
      <c r="W192">
        <f>W191+IF(AND($E192&lt;&gt;"",$E192&lt;=W$2,$F192&gt;=W$2),1,0)</f>
        <v/>
      </c>
      <c r="X192">
        <f>X191+IF(AND($E192&lt;&gt;"",$E192&lt;=X$2,$F192&gt;=X$2),1,0)</f>
        <v/>
      </c>
      <c r="Y192">
        <f>Y191+IF(AND($E192&lt;&gt;"",$E192&lt;=Y$2,$F192&gt;=Y$2),1,0)</f>
        <v/>
      </c>
      <c r="Z192">
        <f>Z191+IF(AND($E192&lt;&gt;"",$E192&lt;=Z$2,$F192&gt;=Z$2),1,0)</f>
        <v/>
      </c>
      <c r="AA192">
        <f>AA191+IF(AND($E192&lt;&gt;"",$E192&lt;=AA$2,$F192&gt;=AA$2),1,0)</f>
        <v/>
      </c>
      <c r="AB192">
        <f>AB191+IF(AND($E192&lt;&gt;"",$E192&lt;=AB$2,$F192&gt;=AB$2),1,0)</f>
        <v/>
      </c>
      <c r="AC192">
        <f>AC191+IF(AND($E192&lt;&gt;"",$E192&lt;=AC$2,$F192&gt;=AC$2),1,0)</f>
        <v/>
      </c>
      <c r="AD192">
        <f>AD191+IF(AND($E192&lt;&gt;"",$E192&lt;=AD$2,$F192&gt;=AD$2),1,0)</f>
        <v/>
      </c>
      <c r="AE192">
        <f>AE191+IF(AND($E192&lt;&gt;"",$E192&lt;=AE$2,$F192&gt;=AE$2),1,0)</f>
        <v/>
      </c>
      <c r="AF192">
        <f>AF191+IF(AND($E192&lt;&gt;"",$E192&lt;=AF$2,$F192&gt;=AF$2),1,0)</f>
        <v/>
      </c>
      <c r="AG192">
        <f>AG191+IF(AND($E192&lt;&gt;"",$E192&lt;=AG$2,$F192&gt;=AG$2),1,0)</f>
        <v/>
      </c>
      <c r="AH192">
        <f>AH191+IF(AND($E192&lt;&gt;"",$E192&lt;=AH$2,$F192&gt;=AH$2),1,0)</f>
        <v/>
      </c>
      <c r="AI192">
        <f>AI191+IF(AND($E192&lt;&gt;"",$E192&lt;=AI$2,$F192&gt;=AI$2),1,0)</f>
        <v/>
      </c>
      <c r="AJ192">
        <f>AJ191+IF(AND($E192&lt;&gt;"",$E192&lt;=AJ$2,$F192&gt;=AJ$2),1,0)</f>
        <v/>
      </c>
      <c r="AK192">
        <f>AK191+IF(AND($E192&lt;&gt;"",$E192&lt;=AK$2,$F192&gt;=AK$2),1,0)</f>
        <v/>
      </c>
      <c r="AL192">
        <f>AL191+IF(AND($E192&lt;&gt;"",$E192&lt;=AL$2,$F192&gt;=AL$2),1,0)</f>
        <v/>
      </c>
      <c r="AM192">
        <f>AM191+IF(AND($E192&lt;&gt;"",$E192&lt;=AM$2,$F192&gt;=AM$2),1,0)</f>
        <v/>
      </c>
      <c r="AN192">
        <f>AN191+IF(AND($E192&lt;&gt;"",$E192&lt;=AN$2,$F192&gt;=AN$2),1,0)</f>
        <v/>
      </c>
      <c r="AO192">
        <f>AO191+IF(AND($E192&lt;&gt;"",$E192&lt;=AO$2,$F192&gt;=AO$2),1,0)</f>
        <v/>
      </c>
      <c r="AP192">
        <f>AP191+IF(AND($E192&lt;&gt;"",$E192&lt;=AP$2,$F192&gt;=AP$2),1,0)</f>
        <v/>
      </c>
      <c r="AQ192">
        <f>AQ191+IF(AND($E192&lt;&gt;"",$E192&lt;=AQ$2,$F192&gt;=AQ$2),1,0)</f>
        <v/>
      </c>
      <c r="AR192">
        <f>AR191+IF(AND($E192&lt;&gt;"",$E192&lt;=AR$2,$F192&gt;=AR$2),1,0)</f>
        <v/>
      </c>
      <c r="AS192">
        <f>AS191+IF(AND($E192&lt;&gt;"",$E192&lt;=AS$2,$F192&gt;=AS$2),1,0)</f>
        <v/>
      </c>
      <c r="AT192">
        <f>AT191+IF(AND($E192&lt;&gt;"",$E192&lt;=AT$2,$F192&gt;=AT$2),1,0)</f>
        <v/>
      </c>
      <c r="AU192">
        <f>AU191+IF(AND($E192&lt;&gt;"",$E192&lt;=AU$2,$F192&gt;=AU$2),1,0)</f>
        <v/>
      </c>
      <c r="AV192">
        <f>AV191+IF(AND($E192&lt;&gt;"",$E192&lt;=AV$2,$F192&gt;=AV$2),1,0)</f>
        <v/>
      </c>
      <c r="AW192">
        <f>AW191+IF(AND($E192&lt;&gt;"",$E192&lt;=AW$2,$F192&gt;=AW$2),1,0)</f>
        <v/>
      </c>
    </row>
    <row r="193">
      <c r="A193">
        <f>IF(AND(ISNUMBER(Events!$A195),ISNUMBER(Events!$B195)),MAX(0,Events!$B195-Events!$A195),0)</f>
        <v/>
      </c>
      <c r="B193">
        <f>IF(ISNUMBER(Events!$A195),DATE(YEAR($B$1)-1,MONTH(Events!$A195),DAY(Events!$A195)),"")</f>
        <v/>
      </c>
      <c r="C193">
        <f>IF(ISNUMBER(Events!$A195),DATE(YEAR($B$1),MONTH(Events!$A195),DAY(Events!$A195)),"")</f>
        <v/>
      </c>
      <c r="D193">
        <f>IF(ISNUMBER(Events!$A195),DATE(YEAR($B$2),MONTH(Events!$A195),DAY(Events!$A195)),"")</f>
        <v/>
      </c>
      <c r="E193">
        <f>IF(OR(NOT(ISNUMBER(Events!$A195)),Events!$G195="No",Calendar!$H$4="None"),"",IF(OR(Calendar!$H$4="All events",Events!$D195=Calendar!$H$4),IF(Events!$E195="Yes",IF(AND(B193&gt;=Events!$A195,B193&lt;=$B$2,B193+$A193&gt;=$B$1),B193,IF(AND(C193&gt;=Events!$A195,C193&lt;=$B$2,C193+$A193&gt;=$B$1),C193,IF(AND(D193&gt;=Events!$A195,D193&lt;=$B$2,D193+$A193&gt;=$B$1),D193,""))),IF(AND(Events!$A195&lt;=$B$2,Events!$A195+$A193&gt;=$B$1),Events!$A195,"")),""))</f>
        <v/>
      </c>
      <c r="F193">
        <f>IF(E193="","",E193+A193)</f>
        <v/>
      </c>
      <c r="G193">
        <f>IF(E193="","",IF(AND(E193&lt;=EOMONTH(Calendar!$K$2,0),F193&gt;=Calendar!$K$2),E193+190/100000,""))</f>
        <v/>
      </c>
      <c r="H193">
        <f>H192+IF(AND($E193&lt;&gt;"",$E193&lt;=H$2,$F193&gt;=H$2),1,0)</f>
        <v/>
      </c>
      <c r="I193">
        <f>I192+IF(AND($E193&lt;&gt;"",$E193&lt;=I$2,$F193&gt;=I$2),1,0)</f>
        <v/>
      </c>
      <c r="J193">
        <f>J192+IF(AND($E193&lt;&gt;"",$E193&lt;=J$2,$F193&gt;=J$2),1,0)</f>
        <v/>
      </c>
      <c r="K193">
        <f>K192+IF(AND($E193&lt;&gt;"",$E193&lt;=K$2,$F193&gt;=K$2),1,0)</f>
        <v/>
      </c>
      <c r="L193">
        <f>L192+IF(AND($E193&lt;&gt;"",$E193&lt;=L$2,$F193&gt;=L$2),1,0)</f>
        <v/>
      </c>
      <c r="M193">
        <f>M192+IF(AND($E193&lt;&gt;"",$E193&lt;=M$2,$F193&gt;=M$2),1,0)</f>
        <v/>
      </c>
      <c r="N193">
        <f>N192+IF(AND($E193&lt;&gt;"",$E193&lt;=N$2,$F193&gt;=N$2),1,0)</f>
        <v/>
      </c>
      <c r="O193">
        <f>O192+IF(AND($E193&lt;&gt;"",$E193&lt;=O$2,$F193&gt;=O$2),1,0)</f>
        <v/>
      </c>
      <c r="P193">
        <f>P192+IF(AND($E193&lt;&gt;"",$E193&lt;=P$2,$F193&gt;=P$2),1,0)</f>
        <v/>
      </c>
      <c r="Q193">
        <f>Q192+IF(AND($E193&lt;&gt;"",$E193&lt;=Q$2,$F193&gt;=Q$2),1,0)</f>
        <v/>
      </c>
      <c r="R193">
        <f>R192+IF(AND($E193&lt;&gt;"",$E193&lt;=R$2,$F193&gt;=R$2),1,0)</f>
        <v/>
      </c>
      <c r="S193">
        <f>S192+IF(AND($E193&lt;&gt;"",$E193&lt;=S$2,$F193&gt;=S$2),1,0)</f>
        <v/>
      </c>
      <c r="T193">
        <f>T192+IF(AND($E193&lt;&gt;"",$E193&lt;=T$2,$F193&gt;=T$2),1,0)</f>
        <v/>
      </c>
      <c r="U193">
        <f>U192+IF(AND($E193&lt;&gt;"",$E193&lt;=U$2,$F193&gt;=U$2),1,0)</f>
        <v/>
      </c>
      <c r="V193">
        <f>V192+IF(AND($E193&lt;&gt;"",$E193&lt;=V$2,$F193&gt;=V$2),1,0)</f>
        <v/>
      </c>
      <c r="W193">
        <f>W192+IF(AND($E193&lt;&gt;"",$E193&lt;=W$2,$F193&gt;=W$2),1,0)</f>
        <v/>
      </c>
      <c r="X193">
        <f>X192+IF(AND($E193&lt;&gt;"",$E193&lt;=X$2,$F193&gt;=X$2),1,0)</f>
        <v/>
      </c>
      <c r="Y193">
        <f>Y192+IF(AND($E193&lt;&gt;"",$E193&lt;=Y$2,$F193&gt;=Y$2),1,0)</f>
        <v/>
      </c>
      <c r="Z193">
        <f>Z192+IF(AND($E193&lt;&gt;"",$E193&lt;=Z$2,$F193&gt;=Z$2),1,0)</f>
        <v/>
      </c>
      <c r="AA193">
        <f>AA192+IF(AND($E193&lt;&gt;"",$E193&lt;=AA$2,$F193&gt;=AA$2),1,0)</f>
        <v/>
      </c>
      <c r="AB193">
        <f>AB192+IF(AND($E193&lt;&gt;"",$E193&lt;=AB$2,$F193&gt;=AB$2),1,0)</f>
        <v/>
      </c>
      <c r="AC193">
        <f>AC192+IF(AND($E193&lt;&gt;"",$E193&lt;=AC$2,$F193&gt;=AC$2),1,0)</f>
        <v/>
      </c>
      <c r="AD193">
        <f>AD192+IF(AND($E193&lt;&gt;"",$E193&lt;=AD$2,$F193&gt;=AD$2),1,0)</f>
        <v/>
      </c>
      <c r="AE193">
        <f>AE192+IF(AND($E193&lt;&gt;"",$E193&lt;=AE$2,$F193&gt;=AE$2),1,0)</f>
        <v/>
      </c>
      <c r="AF193">
        <f>AF192+IF(AND($E193&lt;&gt;"",$E193&lt;=AF$2,$F193&gt;=AF$2),1,0)</f>
        <v/>
      </c>
      <c r="AG193">
        <f>AG192+IF(AND($E193&lt;&gt;"",$E193&lt;=AG$2,$F193&gt;=AG$2),1,0)</f>
        <v/>
      </c>
      <c r="AH193">
        <f>AH192+IF(AND($E193&lt;&gt;"",$E193&lt;=AH$2,$F193&gt;=AH$2),1,0)</f>
        <v/>
      </c>
      <c r="AI193">
        <f>AI192+IF(AND($E193&lt;&gt;"",$E193&lt;=AI$2,$F193&gt;=AI$2),1,0)</f>
        <v/>
      </c>
      <c r="AJ193">
        <f>AJ192+IF(AND($E193&lt;&gt;"",$E193&lt;=AJ$2,$F193&gt;=AJ$2),1,0)</f>
        <v/>
      </c>
      <c r="AK193">
        <f>AK192+IF(AND($E193&lt;&gt;"",$E193&lt;=AK$2,$F193&gt;=AK$2),1,0)</f>
        <v/>
      </c>
      <c r="AL193">
        <f>AL192+IF(AND($E193&lt;&gt;"",$E193&lt;=AL$2,$F193&gt;=AL$2),1,0)</f>
        <v/>
      </c>
      <c r="AM193">
        <f>AM192+IF(AND($E193&lt;&gt;"",$E193&lt;=AM$2,$F193&gt;=AM$2),1,0)</f>
        <v/>
      </c>
      <c r="AN193">
        <f>AN192+IF(AND($E193&lt;&gt;"",$E193&lt;=AN$2,$F193&gt;=AN$2),1,0)</f>
        <v/>
      </c>
      <c r="AO193">
        <f>AO192+IF(AND($E193&lt;&gt;"",$E193&lt;=AO$2,$F193&gt;=AO$2),1,0)</f>
        <v/>
      </c>
      <c r="AP193">
        <f>AP192+IF(AND($E193&lt;&gt;"",$E193&lt;=AP$2,$F193&gt;=AP$2),1,0)</f>
        <v/>
      </c>
      <c r="AQ193">
        <f>AQ192+IF(AND($E193&lt;&gt;"",$E193&lt;=AQ$2,$F193&gt;=AQ$2),1,0)</f>
        <v/>
      </c>
      <c r="AR193">
        <f>AR192+IF(AND($E193&lt;&gt;"",$E193&lt;=AR$2,$F193&gt;=AR$2),1,0)</f>
        <v/>
      </c>
      <c r="AS193">
        <f>AS192+IF(AND($E193&lt;&gt;"",$E193&lt;=AS$2,$F193&gt;=AS$2),1,0)</f>
        <v/>
      </c>
      <c r="AT193">
        <f>AT192+IF(AND($E193&lt;&gt;"",$E193&lt;=AT$2,$F193&gt;=AT$2),1,0)</f>
        <v/>
      </c>
      <c r="AU193">
        <f>AU192+IF(AND($E193&lt;&gt;"",$E193&lt;=AU$2,$F193&gt;=AU$2),1,0)</f>
        <v/>
      </c>
      <c r="AV193">
        <f>AV192+IF(AND($E193&lt;&gt;"",$E193&lt;=AV$2,$F193&gt;=AV$2),1,0)</f>
        <v/>
      </c>
      <c r="AW193">
        <f>AW192+IF(AND($E193&lt;&gt;"",$E193&lt;=AW$2,$F193&gt;=AW$2),1,0)</f>
        <v/>
      </c>
    </row>
    <row r="194">
      <c r="A194">
        <f>IF(AND(ISNUMBER(Events!$A196),ISNUMBER(Events!$B196)),MAX(0,Events!$B196-Events!$A196),0)</f>
        <v/>
      </c>
      <c r="B194">
        <f>IF(ISNUMBER(Events!$A196),DATE(YEAR($B$1)-1,MONTH(Events!$A196),DAY(Events!$A196)),"")</f>
        <v/>
      </c>
      <c r="C194">
        <f>IF(ISNUMBER(Events!$A196),DATE(YEAR($B$1),MONTH(Events!$A196),DAY(Events!$A196)),"")</f>
        <v/>
      </c>
      <c r="D194">
        <f>IF(ISNUMBER(Events!$A196),DATE(YEAR($B$2),MONTH(Events!$A196),DAY(Events!$A196)),"")</f>
        <v/>
      </c>
      <c r="E194">
        <f>IF(OR(NOT(ISNUMBER(Events!$A196)),Events!$G196="No",Calendar!$H$4="None"),"",IF(OR(Calendar!$H$4="All events",Events!$D196=Calendar!$H$4),IF(Events!$E196="Yes",IF(AND(B194&gt;=Events!$A196,B194&lt;=$B$2,B194+$A194&gt;=$B$1),B194,IF(AND(C194&gt;=Events!$A196,C194&lt;=$B$2,C194+$A194&gt;=$B$1),C194,IF(AND(D194&gt;=Events!$A196,D194&lt;=$B$2,D194+$A194&gt;=$B$1),D194,""))),IF(AND(Events!$A196&lt;=$B$2,Events!$A196+$A194&gt;=$B$1),Events!$A196,"")),""))</f>
        <v/>
      </c>
      <c r="F194">
        <f>IF(E194="","",E194+A194)</f>
        <v/>
      </c>
      <c r="G194">
        <f>IF(E194="","",IF(AND(E194&lt;=EOMONTH(Calendar!$K$2,0),F194&gt;=Calendar!$K$2),E194+191/100000,""))</f>
        <v/>
      </c>
      <c r="H194">
        <f>H193+IF(AND($E194&lt;&gt;"",$E194&lt;=H$2,$F194&gt;=H$2),1,0)</f>
        <v/>
      </c>
      <c r="I194">
        <f>I193+IF(AND($E194&lt;&gt;"",$E194&lt;=I$2,$F194&gt;=I$2),1,0)</f>
        <v/>
      </c>
      <c r="J194">
        <f>J193+IF(AND($E194&lt;&gt;"",$E194&lt;=J$2,$F194&gt;=J$2),1,0)</f>
        <v/>
      </c>
      <c r="K194">
        <f>K193+IF(AND($E194&lt;&gt;"",$E194&lt;=K$2,$F194&gt;=K$2),1,0)</f>
        <v/>
      </c>
      <c r="L194">
        <f>L193+IF(AND($E194&lt;&gt;"",$E194&lt;=L$2,$F194&gt;=L$2),1,0)</f>
        <v/>
      </c>
      <c r="M194">
        <f>M193+IF(AND($E194&lt;&gt;"",$E194&lt;=M$2,$F194&gt;=M$2),1,0)</f>
        <v/>
      </c>
      <c r="N194">
        <f>N193+IF(AND($E194&lt;&gt;"",$E194&lt;=N$2,$F194&gt;=N$2),1,0)</f>
        <v/>
      </c>
      <c r="O194">
        <f>O193+IF(AND($E194&lt;&gt;"",$E194&lt;=O$2,$F194&gt;=O$2),1,0)</f>
        <v/>
      </c>
      <c r="P194">
        <f>P193+IF(AND($E194&lt;&gt;"",$E194&lt;=P$2,$F194&gt;=P$2),1,0)</f>
        <v/>
      </c>
      <c r="Q194">
        <f>Q193+IF(AND($E194&lt;&gt;"",$E194&lt;=Q$2,$F194&gt;=Q$2),1,0)</f>
        <v/>
      </c>
      <c r="R194">
        <f>R193+IF(AND($E194&lt;&gt;"",$E194&lt;=R$2,$F194&gt;=R$2),1,0)</f>
        <v/>
      </c>
      <c r="S194">
        <f>S193+IF(AND($E194&lt;&gt;"",$E194&lt;=S$2,$F194&gt;=S$2),1,0)</f>
        <v/>
      </c>
      <c r="T194">
        <f>T193+IF(AND($E194&lt;&gt;"",$E194&lt;=T$2,$F194&gt;=T$2),1,0)</f>
        <v/>
      </c>
      <c r="U194">
        <f>U193+IF(AND($E194&lt;&gt;"",$E194&lt;=U$2,$F194&gt;=U$2),1,0)</f>
        <v/>
      </c>
      <c r="V194">
        <f>V193+IF(AND($E194&lt;&gt;"",$E194&lt;=V$2,$F194&gt;=V$2),1,0)</f>
        <v/>
      </c>
      <c r="W194">
        <f>W193+IF(AND($E194&lt;&gt;"",$E194&lt;=W$2,$F194&gt;=W$2),1,0)</f>
        <v/>
      </c>
      <c r="X194">
        <f>X193+IF(AND($E194&lt;&gt;"",$E194&lt;=X$2,$F194&gt;=X$2),1,0)</f>
        <v/>
      </c>
      <c r="Y194">
        <f>Y193+IF(AND($E194&lt;&gt;"",$E194&lt;=Y$2,$F194&gt;=Y$2),1,0)</f>
        <v/>
      </c>
      <c r="Z194">
        <f>Z193+IF(AND($E194&lt;&gt;"",$E194&lt;=Z$2,$F194&gt;=Z$2),1,0)</f>
        <v/>
      </c>
      <c r="AA194">
        <f>AA193+IF(AND($E194&lt;&gt;"",$E194&lt;=AA$2,$F194&gt;=AA$2),1,0)</f>
        <v/>
      </c>
      <c r="AB194">
        <f>AB193+IF(AND($E194&lt;&gt;"",$E194&lt;=AB$2,$F194&gt;=AB$2),1,0)</f>
        <v/>
      </c>
      <c r="AC194">
        <f>AC193+IF(AND($E194&lt;&gt;"",$E194&lt;=AC$2,$F194&gt;=AC$2),1,0)</f>
        <v/>
      </c>
      <c r="AD194">
        <f>AD193+IF(AND($E194&lt;&gt;"",$E194&lt;=AD$2,$F194&gt;=AD$2),1,0)</f>
        <v/>
      </c>
      <c r="AE194">
        <f>AE193+IF(AND($E194&lt;&gt;"",$E194&lt;=AE$2,$F194&gt;=AE$2),1,0)</f>
        <v/>
      </c>
      <c r="AF194">
        <f>AF193+IF(AND($E194&lt;&gt;"",$E194&lt;=AF$2,$F194&gt;=AF$2),1,0)</f>
        <v/>
      </c>
      <c r="AG194">
        <f>AG193+IF(AND($E194&lt;&gt;"",$E194&lt;=AG$2,$F194&gt;=AG$2),1,0)</f>
        <v/>
      </c>
      <c r="AH194">
        <f>AH193+IF(AND($E194&lt;&gt;"",$E194&lt;=AH$2,$F194&gt;=AH$2),1,0)</f>
        <v/>
      </c>
      <c r="AI194">
        <f>AI193+IF(AND($E194&lt;&gt;"",$E194&lt;=AI$2,$F194&gt;=AI$2),1,0)</f>
        <v/>
      </c>
      <c r="AJ194">
        <f>AJ193+IF(AND($E194&lt;&gt;"",$E194&lt;=AJ$2,$F194&gt;=AJ$2),1,0)</f>
        <v/>
      </c>
      <c r="AK194">
        <f>AK193+IF(AND($E194&lt;&gt;"",$E194&lt;=AK$2,$F194&gt;=AK$2),1,0)</f>
        <v/>
      </c>
      <c r="AL194">
        <f>AL193+IF(AND($E194&lt;&gt;"",$E194&lt;=AL$2,$F194&gt;=AL$2),1,0)</f>
        <v/>
      </c>
      <c r="AM194">
        <f>AM193+IF(AND($E194&lt;&gt;"",$E194&lt;=AM$2,$F194&gt;=AM$2),1,0)</f>
        <v/>
      </c>
      <c r="AN194">
        <f>AN193+IF(AND($E194&lt;&gt;"",$E194&lt;=AN$2,$F194&gt;=AN$2),1,0)</f>
        <v/>
      </c>
      <c r="AO194">
        <f>AO193+IF(AND($E194&lt;&gt;"",$E194&lt;=AO$2,$F194&gt;=AO$2),1,0)</f>
        <v/>
      </c>
      <c r="AP194">
        <f>AP193+IF(AND($E194&lt;&gt;"",$E194&lt;=AP$2,$F194&gt;=AP$2),1,0)</f>
        <v/>
      </c>
      <c r="AQ194">
        <f>AQ193+IF(AND($E194&lt;&gt;"",$E194&lt;=AQ$2,$F194&gt;=AQ$2),1,0)</f>
        <v/>
      </c>
      <c r="AR194">
        <f>AR193+IF(AND($E194&lt;&gt;"",$E194&lt;=AR$2,$F194&gt;=AR$2),1,0)</f>
        <v/>
      </c>
      <c r="AS194">
        <f>AS193+IF(AND($E194&lt;&gt;"",$E194&lt;=AS$2,$F194&gt;=AS$2),1,0)</f>
        <v/>
      </c>
      <c r="AT194">
        <f>AT193+IF(AND($E194&lt;&gt;"",$E194&lt;=AT$2,$F194&gt;=AT$2),1,0)</f>
        <v/>
      </c>
      <c r="AU194">
        <f>AU193+IF(AND($E194&lt;&gt;"",$E194&lt;=AU$2,$F194&gt;=AU$2),1,0)</f>
        <v/>
      </c>
      <c r="AV194">
        <f>AV193+IF(AND($E194&lt;&gt;"",$E194&lt;=AV$2,$F194&gt;=AV$2),1,0)</f>
        <v/>
      </c>
      <c r="AW194">
        <f>AW193+IF(AND($E194&lt;&gt;"",$E194&lt;=AW$2,$F194&gt;=AW$2),1,0)</f>
        <v/>
      </c>
    </row>
    <row r="195">
      <c r="A195">
        <f>IF(AND(ISNUMBER(Events!$A197),ISNUMBER(Events!$B197)),MAX(0,Events!$B197-Events!$A197),0)</f>
        <v/>
      </c>
      <c r="B195">
        <f>IF(ISNUMBER(Events!$A197),DATE(YEAR($B$1)-1,MONTH(Events!$A197),DAY(Events!$A197)),"")</f>
        <v/>
      </c>
      <c r="C195">
        <f>IF(ISNUMBER(Events!$A197),DATE(YEAR($B$1),MONTH(Events!$A197),DAY(Events!$A197)),"")</f>
        <v/>
      </c>
      <c r="D195">
        <f>IF(ISNUMBER(Events!$A197),DATE(YEAR($B$2),MONTH(Events!$A197),DAY(Events!$A197)),"")</f>
        <v/>
      </c>
      <c r="E195">
        <f>IF(OR(NOT(ISNUMBER(Events!$A197)),Events!$G197="No",Calendar!$H$4="None"),"",IF(OR(Calendar!$H$4="All events",Events!$D197=Calendar!$H$4),IF(Events!$E197="Yes",IF(AND(B195&gt;=Events!$A197,B195&lt;=$B$2,B195+$A195&gt;=$B$1),B195,IF(AND(C195&gt;=Events!$A197,C195&lt;=$B$2,C195+$A195&gt;=$B$1),C195,IF(AND(D195&gt;=Events!$A197,D195&lt;=$B$2,D195+$A195&gt;=$B$1),D195,""))),IF(AND(Events!$A197&lt;=$B$2,Events!$A197+$A195&gt;=$B$1),Events!$A197,"")),""))</f>
        <v/>
      </c>
      <c r="F195">
        <f>IF(E195="","",E195+A195)</f>
        <v/>
      </c>
      <c r="G195">
        <f>IF(E195="","",IF(AND(E195&lt;=EOMONTH(Calendar!$K$2,0),F195&gt;=Calendar!$K$2),E195+192/100000,""))</f>
        <v/>
      </c>
      <c r="H195">
        <f>H194+IF(AND($E195&lt;&gt;"",$E195&lt;=H$2,$F195&gt;=H$2),1,0)</f>
        <v/>
      </c>
      <c r="I195">
        <f>I194+IF(AND($E195&lt;&gt;"",$E195&lt;=I$2,$F195&gt;=I$2),1,0)</f>
        <v/>
      </c>
      <c r="J195">
        <f>J194+IF(AND($E195&lt;&gt;"",$E195&lt;=J$2,$F195&gt;=J$2),1,0)</f>
        <v/>
      </c>
      <c r="K195">
        <f>K194+IF(AND($E195&lt;&gt;"",$E195&lt;=K$2,$F195&gt;=K$2),1,0)</f>
        <v/>
      </c>
      <c r="L195">
        <f>L194+IF(AND($E195&lt;&gt;"",$E195&lt;=L$2,$F195&gt;=L$2),1,0)</f>
        <v/>
      </c>
      <c r="M195">
        <f>M194+IF(AND($E195&lt;&gt;"",$E195&lt;=M$2,$F195&gt;=M$2),1,0)</f>
        <v/>
      </c>
      <c r="N195">
        <f>N194+IF(AND($E195&lt;&gt;"",$E195&lt;=N$2,$F195&gt;=N$2),1,0)</f>
        <v/>
      </c>
      <c r="O195">
        <f>O194+IF(AND($E195&lt;&gt;"",$E195&lt;=O$2,$F195&gt;=O$2),1,0)</f>
        <v/>
      </c>
      <c r="P195">
        <f>P194+IF(AND($E195&lt;&gt;"",$E195&lt;=P$2,$F195&gt;=P$2),1,0)</f>
        <v/>
      </c>
      <c r="Q195">
        <f>Q194+IF(AND($E195&lt;&gt;"",$E195&lt;=Q$2,$F195&gt;=Q$2),1,0)</f>
        <v/>
      </c>
      <c r="R195">
        <f>R194+IF(AND($E195&lt;&gt;"",$E195&lt;=R$2,$F195&gt;=R$2),1,0)</f>
        <v/>
      </c>
      <c r="S195">
        <f>S194+IF(AND($E195&lt;&gt;"",$E195&lt;=S$2,$F195&gt;=S$2),1,0)</f>
        <v/>
      </c>
      <c r="T195">
        <f>T194+IF(AND($E195&lt;&gt;"",$E195&lt;=T$2,$F195&gt;=T$2),1,0)</f>
        <v/>
      </c>
      <c r="U195">
        <f>U194+IF(AND($E195&lt;&gt;"",$E195&lt;=U$2,$F195&gt;=U$2),1,0)</f>
        <v/>
      </c>
      <c r="V195">
        <f>V194+IF(AND($E195&lt;&gt;"",$E195&lt;=V$2,$F195&gt;=V$2),1,0)</f>
        <v/>
      </c>
      <c r="W195">
        <f>W194+IF(AND($E195&lt;&gt;"",$E195&lt;=W$2,$F195&gt;=W$2),1,0)</f>
        <v/>
      </c>
      <c r="X195">
        <f>X194+IF(AND($E195&lt;&gt;"",$E195&lt;=X$2,$F195&gt;=X$2),1,0)</f>
        <v/>
      </c>
      <c r="Y195">
        <f>Y194+IF(AND($E195&lt;&gt;"",$E195&lt;=Y$2,$F195&gt;=Y$2),1,0)</f>
        <v/>
      </c>
      <c r="Z195">
        <f>Z194+IF(AND($E195&lt;&gt;"",$E195&lt;=Z$2,$F195&gt;=Z$2),1,0)</f>
        <v/>
      </c>
      <c r="AA195">
        <f>AA194+IF(AND($E195&lt;&gt;"",$E195&lt;=AA$2,$F195&gt;=AA$2),1,0)</f>
        <v/>
      </c>
      <c r="AB195">
        <f>AB194+IF(AND($E195&lt;&gt;"",$E195&lt;=AB$2,$F195&gt;=AB$2),1,0)</f>
        <v/>
      </c>
      <c r="AC195">
        <f>AC194+IF(AND($E195&lt;&gt;"",$E195&lt;=AC$2,$F195&gt;=AC$2),1,0)</f>
        <v/>
      </c>
      <c r="AD195">
        <f>AD194+IF(AND($E195&lt;&gt;"",$E195&lt;=AD$2,$F195&gt;=AD$2),1,0)</f>
        <v/>
      </c>
      <c r="AE195">
        <f>AE194+IF(AND($E195&lt;&gt;"",$E195&lt;=AE$2,$F195&gt;=AE$2),1,0)</f>
        <v/>
      </c>
      <c r="AF195">
        <f>AF194+IF(AND($E195&lt;&gt;"",$E195&lt;=AF$2,$F195&gt;=AF$2),1,0)</f>
        <v/>
      </c>
      <c r="AG195">
        <f>AG194+IF(AND($E195&lt;&gt;"",$E195&lt;=AG$2,$F195&gt;=AG$2),1,0)</f>
        <v/>
      </c>
      <c r="AH195">
        <f>AH194+IF(AND($E195&lt;&gt;"",$E195&lt;=AH$2,$F195&gt;=AH$2),1,0)</f>
        <v/>
      </c>
      <c r="AI195">
        <f>AI194+IF(AND($E195&lt;&gt;"",$E195&lt;=AI$2,$F195&gt;=AI$2),1,0)</f>
        <v/>
      </c>
      <c r="AJ195">
        <f>AJ194+IF(AND($E195&lt;&gt;"",$E195&lt;=AJ$2,$F195&gt;=AJ$2),1,0)</f>
        <v/>
      </c>
      <c r="AK195">
        <f>AK194+IF(AND($E195&lt;&gt;"",$E195&lt;=AK$2,$F195&gt;=AK$2),1,0)</f>
        <v/>
      </c>
      <c r="AL195">
        <f>AL194+IF(AND($E195&lt;&gt;"",$E195&lt;=AL$2,$F195&gt;=AL$2),1,0)</f>
        <v/>
      </c>
      <c r="AM195">
        <f>AM194+IF(AND($E195&lt;&gt;"",$E195&lt;=AM$2,$F195&gt;=AM$2),1,0)</f>
        <v/>
      </c>
      <c r="AN195">
        <f>AN194+IF(AND($E195&lt;&gt;"",$E195&lt;=AN$2,$F195&gt;=AN$2),1,0)</f>
        <v/>
      </c>
      <c r="AO195">
        <f>AO194+IF(AND($E195&lt;&gt;"",$E195&lt;=AO$2,$F195&gt;=AO$2),1,0)</f>
        <v/>
      </c>
      <c r="AP195">
        <f>AP194+IF(AND($E195&lt;&gt;"",$E195&lt;=AP$2,$F195&gt;=AP$2),1,0)</f>
        <v/>
      </c>
      <c r="AQ195">
        <f>AQ194+IF(AND($E195&lt;&gt;"",$E195&lt;=AQ$2,$F195&gt;=AQ$2),1,0)</f>
        <v/>
      </c>
      <c r="AR195">
        <f>AR194+IF(AND($E195&lt;&gt;"",$E195&lt;=AR$2,$F195&gt;=AR$2),1,0)</f>
        <v/>
      </c>
      <c r="AS195">
        <f>AS194+IF(AND($E195&lt;&gt;"",$E195&lt;=AS$2,$F195&gt;=AS$2),1,0)</f>
        <v/>
      </c>
      <c r="AT195">
        <f>AT194+IF(AND($E195&lt;&gt;"",$E195&lt;=AT$2,$F195&gt;=AT$2),1,0)</f>
        <v/>
      </c>
      <c r="AU195">
        <f>AU194+IF(AND($E195&lt;&gt;"",$E195&lt;=AU$2,$F195&gt;=AU$2),1,0)</f>
        <v/>
      </c>
      <c r="AV195">
        <f>AV194+IF(AND($E195&lt;&gt;"",$E195&lt;=AV$2,$F195&gt;=AV$2),1,0)</f>
        <v/>
      </c>
      <c r="AW195">
        <f>AW194+IF(AND($E195&lt;&gt;"",$E195&lt;=AW$2,$F195&gt;=AW$2),1,0)</f>
        <v/>
      </c>
    </row>
    <row r="196">
      <c r="A196">
        <f>IF(AND(ISNUMBER(Events!$A198),ISNUMBER(Events!$B198)),MAX(0,Events!$B198-Events!$A198),0)</f>
        <v/>
      </c>
      <c r="B196">
        <f>IF(ISNUMBER(Events!$A198),DATE(YEAR($B$1)-1,MONTH(Events!$A198),DAY(Events!$A198)),"")</f>
        <v/>
      </c>
      <c r="C196">
        <f>IF(ISNUMBER(Events!$A198),DATE(YEAR($B$1),MONTH(Events!$A198),DAY(Events!$A198)),"")</f>
        <v/>
      </c>
      <c r="D196">
        <f>IF(ISNUMBER(Events!$A198),DATE(YEAR($B$2),MONTH(Events!$A198),DAY(Events!$A198)),"")</f>
        <v/>
      </c>
      <c r="E196">
        <f>IF(OR(NOT(ISNUMBER(Events!$A198)),Events!$G198="No",Calendar!$H$4="None"),"",IF(OR(Calendar!$H$4="All events",Events!$D198=Calendar!$H$4),IF(Events!$E198="Yes",IF(AND(B196&gt;=Events!$A198,B196&lt;=$B$2,B196+$A196&gt;=$B$1),B196,IF(AND(C196&gt;=Events!$A198,C196&lt;=$B$2,C196+$A196&gt;=$B$1),C196,IF(AND(D196&gt;=Events!$A198,D196&lt;=$B$2,D196+$A196&gt;=$B$1),D196,""))),IF(AND(Events!$A198&lt;=$B$2,Events!$A198+$A196&gt;=$B$1),Events!$A198,"")),""))</f>
        <v/>
      </c>
      <c r="F196">
        <f>IF(E196="","",E196+A196)</f>
        <v/>
      </c>
      <c r="G196">
        <f>IF(E196="","",IF(AND(E196&lt;=EOMONTH(Calendar!$K$2,0),F196&gt;=Calendar!$K$2),E196+193/100000,""))</f>
        <v/>
      </c>
      <c r="H196">
        <f>H195+IF(AND($E196&lt;&gt;"",$E196&lt;=H$2,$F196&gt;=H$2),1,0)</f>
        <v/>
      </c>
      <c r="I196">
        <f>I195+IF(AND($E196&lt;&gt;"",$E196&lt;=I$2,$F196&gt;=I$2),1,0)</f>
        <v/>
      </c>
      <c r="J196">
        <f>J195+IF(AND($E196&lt;&gt;"",$E196&lt;=J$2,$F196&gt;=J$2),1,0)</f>
        <v/>
      </c>
      <c r="K196">
        <f>K195+IF(AND($E196&lt;&gt;"",$E196&lt;=K$2,$F196&gt;=K$2),1,0)</f>
        <v/>
      </c>
      <c r="L196">
        <f>L195+IF(AND($E196&lt;&gt;"",$E196&lt;=L$2,$F196&gt;=L$2),1,0)</f>
        <v/>
      </c>
      <c r="M196">
        <f>M195+IF(AND($E196&lt;&gt;"",$E196&lt;=M$2,$F196&gt;=M$2),1,0)</f>
        <v/>
      </c>
      <c r="N196">
        <f>N195+IF(AND($E196&lt;&gt;"",$E196&lt;=N$2,$F196&gt;=N$2),1,0)</f>
        <v/>
      </c>
      <c r="O196">
        <f>O195+IF(AND($E196&lt;&gt;"",$E196&lt;=O$2,$F196&gt;=O$2),1,0)</f>
        <v/>
      </c>
      <c r="P196">
        <f>P195+IF(AND($E196&lt;&gt;"",$E196&lt;=P$2,$F196&gt;=P$2),1,0)</f>
        <v/>
      </c>
      <c r="Q196">
        <f>Q195+IF(AND($E196&lt;&gt;"",$E196&lt;=Q$2,$F196&gt;=Q$2),1,0)</f>
        <v/>
      </c>
      <c r="R196">
        <f>R195+IF(AND($E196&lt;&gt;"",$E196&lt;=R$2,$F196&gt;=R$2),1,0)</f>
        <v/>
      </c>
      <c r="S196">
        <f>S195+IF(AND($E196&lt;&gt;"",$E196&lt;=S$2,$F196&gt;=S$2),1,0)</f>
        <v/>
      </c>
      <c r="T196">
        <f>T195+IF(AND($E196&lt;&gt;"",$E196&lt;=T$2,$F196&gt;=T$2),1,0)</f>
        <v/>
      </c>
      <c r="U196">
        <f>U195+IF(AND($E196&lt;&gt;"",$E196&lt;=U$2,$F196&gt;=U$2),1,0)</f>
        <v/>
      </c>
      <c r="V196">
        <f>V195+IF(AND($E196&lt;&gt;"",$E196&lt;=V$2,$F196&gt;=V$2),1,0)</f>
        <v/>
      </c>
      <c r="W196">
        <f>W195+IF(AND($E196&lt;&gt;"",$E196&lt;=W$2,$F196&gt;=W$2),1,0)</f>
        <v/>
      </c>
      <c r="X196">
        <f>X195+IF(AND($E196&lt;&gt;"",$E196&lt;=X$2,$F196&gt;=X$2),1,0)</f>
        <v/>
      </c>
      <c r="Y196">
        <f>Y195+IF(AND($E196&lt;&gt;"",$E196&lt;=Y$2,$F196&gt;=Y$2),1,0)</f>
        <v/>
      </c>
      <c r="Z196">
        <f>Z195+IF(AND($E196&lt;&gt;"",$E196&lt;=Z$2,$F196&gt;=Z$2),1,0)</f>
        <v/>
      </c>
      <c r="AA196">
        <f>AA195+IF(AND($E196&lt;&gt;"",$E196&lt;=AA$2,$F196&gt;=AA$2),1,0)</f>
        <v/>
      </c>
      <c r="AB196">
        <f>AB195+IF(AND($E196&lt;&gt;"",$E196&lt;=AB$2,$F196&gt;=AB$2),1,0)</f>
        <v/>
      </c>
      <c r="AC196">
        <f>AC195+IF(AND($E196&lt;&gt;"",$E196&lt;=AC$2,$F196&gt;=AC$2),1,0)</f>
        <v/>
      </c>
      <c r="AD196">
        <f>AD195+IF(AND($E196&lt;&gt;"",$E196&lt;=AD$2,$F196&gt;=AD$2),1,0)</f>
        <v/>
      </c>
      <c r="AE196">
        <f>AE195+IF(AND($E196&lt;&gt;"",$E196&lt;=AE$2,$F196&gt;=AE$2),1,0)</f>
        <v/>
      </c>
      <c r="AF196">
        <f>AF195+IF(AND($E196&lt;&gt;"",$E196&lt;=AF$2,$F196&gt;=AF$2),1,0)</f>
        <v/>
      </c>
      <c r="AG196">
        <f>AG195+IF(AND($E196&lt;&gt;"",$E196&lt;=AG$2,$F196&gt;=AG$2),1,0)</f>
        <v/>
      </c>
      <c r="AH196">
        <f>AH195+IF(AND($E196&lt;&gt;"",$E196&lt;=AH$2,$F196&gt;=AH$2),1,0)</f>
        <v/>
      </c>
      <c r="AI196">
        <f>AI195+IF(AND($E196&lt;&gt;"",$E196&lt;=AI$2,$F196&gt;=AI$2),1,0)</f>
        <v/>
      </c>
      <c r="AJ196">
        <f>AJ195+IF(AND($E196&lt;&gt;"",$E196&lt;=AJ$2,$F196&gt;=AJ$2),1,0)</f>
        <v/>
      </c>
      <c r="AK196">
        <f>AK195+IF(AND($E196&lt;&gt;"",$E196&lt;=AK$2,$F196&gt;=AK$2),1,0)</f>
        <v/>
      </c>
      <c r="AL196">
        <f>AL195+IF(AND($E196&lt;&gt;"",$E196&lt;=AL$2,$F196&gt;=AL$2),1,0)</f>
        <v/>
      </c>
      <c r="AM196">
        <f>AM195+IF(AND($E196&lt;&gt;"",$E196&lt;=AM$2,$F196&gt;=AM$2),1,0)</f>
        <v/>
      </c>
      <c r="AN196">
        <f>AN195+IF(AND($E196&lt;&gt;"",$E196&lt;=AN$2,$F196&gt;=AN$2),1,0)</f>
        <v/>
      </c>
      <c r="AO196">
        <f>AO195+IF(AND($E196&lt;&gt;"",$E196&lt;=AO$2,$F196&gt;=AO$2),1,0)</f>
        <v/>
      </c>
      <c r="AP196">
        <f>AP195+IF(AND($E196&lt;&gt;"",$E196&lt;=AP$2,$F196&gt;=AP$2),1,0)</f>
        <v/>
      </c>
      <c r="AQ196">
        <f>AQ195+IF(AND($E196&lt;&gt;"",$E196&lt;=AQ$2,$F196&gt;=AQ$2),1,0)</f>
        <v/>
      </c>
      <c r="AR196">
        <f>AR195+IF(AND($E196&lt;&gt;"",$E196&lt;=AR$2,$F196&gt;=AR$2),1,0)</f>
        <v/>
      </c>
      <c r="AS196">
        <f>AS195+IF(AND($E196&lt;&gt;"",$E196&lt;=AS$2,$F196&gt;=AS$2),1,0)</f>
        <v/>
      </c>
      <c r="AT196">
        <f>AT195+IF(AND($E196&lt;&gt;"",$E196&lt;=AT$2,$F196&gt;=AT$2),1,0)</f>
        <v/>
      </c>
      <c r="AU196">
        <f>AU195+IF(AND($E196&lt;&gt;"",$E196&lt;=AU$2,$F196&gt;=AU$2),1,0)</f>
        <v/>
      </c>
      <c r="AV196">
        <f>AV195+IF(AND($E196&lt;&gt;"",$E196&lt;=AV$2,$F196&gt;=AV$2),1,0)</f>
        <v/>
      </c>
      <c r="AW196">
        <f>AW195+IF(AND($E196&lt;&gt;"",$E196&lt;=AW$2,$F196&gt;=AW$2),1,0)</f>
        <v/>
      </c>
    </row>
    <row r="197">
      <c r="A197">
        <f>IF(AND(ISNUMBER(Events!$A199),ISNUMBER(Events!$B199)),MAX(0,Events!$B199-Events!$A199),0)</f>
        <v/>
      </c>
      <c r="B197">
        <f>IF(ISNUMBER(Events!$A199),DATE(YEAR($B$1)-1,MONTH(Events!$A199),DAY(Events!$A199)),"")</f>
        <v/>
      </c>
      <c r="C197">
        <f>IF(ISNUMBER(Events!$A199),DATE(YEAR($B$1),MONTH(Events!$A199),DAY(Events!$A199)),"")</f>
        <v/>
      </c>
      <c r="D197">
        <f>IF(ISNUMBER(Events!$A199),DATE(YEAR($B$2),MONTH(Events!$A199),DAY(Events!$A199)),"")</f>
        <v/>
      </c>
      <c r="E197">
        <f>IF(OR(NOT(ISNUMBER(Events!$A199)),Events!$G199="No",Calendar!$H$4="None"),"",IF(OR(Calendar!$H$4="All events",Events!$D199=Calendar!$H$4),IF(Events!$E199="Yes",IF(AND(B197&gt;=Events!$A199,B197&lt;=$B$2,B197+$A197&gt;=$B$1),B197,IF(AND(C197&gt;=Events!$A199,C197&lt;=$B$2,C197+$A197&gt;=$B$1),C197,IF(AND(D197&gt;=Events!$A199,D197&lt;=$B$2,D197+$A197&gt;=$B$1),D197,""))),IF(AND(Events!$A199&lt;=$B$2,Events!$A199+$A197&gt;=$B$1),Events!$A199,"")),""))</f>
        <v/>
      </c>
      <c r="F197">
        <f>IF(E197="","",E197+A197)</f>
        <v/>
      </c>
      <c r="G197">
        <f>IF(E197="","",IF(AND(E197&lt;=EOMONTH(Calendar!$K$2,0),F197&gt;=Calendar!$K$2),E197+194/100000,""))</f>
        <v/>
      </c>
      <c r="H197">
        <f>H196+IF(AND($E197&lt;&gt;"",$E197&lt;=H$2,$F197&gt;=H$2),1,0)</f>
        <v/>
      </c>
      <c r="I197">
        <f>I196+IF(AND($E197&lt;&gt;"",$E197&lt;=I$2,$F197&gt;=I$2),1,0)</f>
        <v/>
      </c>
      <c r="J197">
        <f>J196+IF(AND($E197&lt;&gt;"",$E197&lt;=J$2,$F197&gt;=J$2),1,0)</f>
        <v/>
      </c>
      <c r="K197">
        <f>K196+IF(AND($E197&lt;&gt;"",$E197&lt;=K$2,$F197&gt;=K$2),1,0)</f>
        <v/>
      </c>
      <c r="L197">
        <f>L196+IF(AND($E197&lt;&gt;"",$E197&lt;=L$2,$F197&gt;=L$2),1,0)</f>
        <v/>
      </c>
      <c r="M197">
        <f>M196+IF(AND($E197&lt;&gt;"",$E197&lt;=M$2,$F197&gt;=M$2),1,0)</f>
        <v/>
      </c>
      <c r="N197">
        <f>N196+IF(AND($E197&lt;&gt;"",$E197&lt;=N$2,$F197&gt;=N$2),1,0)</f>
        <v/>
      </c>
      <c r="O197">
        <f>O196+IF(AND($E197&lt;&gt;"",$E197&lt;=O$2,$F197&gt;=O$2),1,0)</f>
        <v/>
      </c>
      <c r="P197">
        <f>P196+IF(AND($E197&lt;&gt;"",$E197&lt;=P$2,$F197&gt;=P$2),1,0)</f>
        <v/>
      </c>
      <c r="Q197">
        <f>Q196+IF(AND($E197&lt;&gt;"",$E197&lt;=Q$2,$F197&gt;=Q$2),1,0)</f>
        <v/>
      </c>
      <c r="R197">
        <f>R196+IF(AND($E197&lt;&gt;"",$E197&lt;=R$2,$F197&gt;=R$2),1,0)</f>
        <v/>
      </c>
      <c r="S197">
        <f>S196+IF(AND($E197&lt;&gt;"",$E197&lt;=S$2,$F197&gt;=S$2),1,0)</f>
        <v/>
      </c>
      <c r="T197">
        <f>T196+IF(AND($E197&lt;&gt;"",$E197&lt;=T$2,$F197&gt;=T$2),1,0)</f>
        <v/>
      </c>
      <c r="U197">
        <f>U196+IF(AND($E197&lt;&gt;"",$E197&lt;=U$2,$F197&gt;=U$2),1,0)</f>
        <v/>
      </c>
      <c r="V197">
        <f>V196+IF(AND($E197&lt;&gt;"",$E197&lt;=V$2,$F197&gt;=V$2),1,0)</f>
        <v/>
      </c>
      <c r="W197">
        <f>W196+IF(AND($E197&lt;&gt;"",$E197&lt;=W$2,$F197&gt;=W$2),1,0)</f>
        <v/>
      </c>
      <c r="X197">
        <f>X196+IF(AND($E197&lt;&gt;"",$E197&lt;=X$2,$F197&gt;=X$2),1,0)</f>
        <v/>
      </c>
      <c r="Y197">
        <f>Y196+IF(AND($E197&lt;&gt;"",$E197&lt;=Y$2,$F197&gt;=Y$2),1,0)</f>
        <v/>
      </c>
      <c r="Z197">
        <f>Z196+IF(AND($E197&lt;&gt;"",$E197&lt;=Z$2,$F197&gt;=Z$2),1,0)</f>
        <v/>
      </c>
      <c r="AA197">
        <f>AA196+IF(AND($E197&lt;&gt;"",$E197&lt;=AA$2,$F197&gt;=AA$2),1,0)</f>
        <v/>
      </c>
      <c r="AB197">
        <f>AB196+IF(AND($E197&lt;&gt;"",$E197&lt;=AB$2,$F197&gt;=AB$2),1,0)</f>
        <v/>
      </c>
      <c r="AC197">
        <f>AC196+IF(AND($E197&lt;&gt;"",$E197&lt;=AC$2,$F197&gt;=AC$2),1,0)</f>
        <v/>
      </c>
      <c r="AD197">
        <f>AD196+IF(AND($E197&lt;&gt;"",$E197&lt;=AD$2,$F197&gt;=AD$2),1,0)</f>
        <v/>
      </c>
      <c r="AE197">
        <f>AE196+IF(AND($E197&lt;&gt;"",$E197&lt;=AE$2,$F197&gt;=AE$2),1,0)</f>
        <v/>
      </c>
      <c r="AF197">
        <f>AF196+IF(AND($E197&lt;&gt;"",$E197&lt;=AF$2,$F197&gt;=AF$2),1,0)</f>
        <v/>
      </c>
      <c r="AG197">
        <f>AG196+IF(AND($E197&lt;&gt;"",$E197&lt;=AG$2,$F197&gt;=AG$2),1,0)</f>
        <v/>
      </c>
      <c r="AH197">
        <f>AH196+IF(AND($E197&lt;&gt;"",$E197&lt;=AH$2,$F197&gt;=AH$2),1,0)</f>
        <v/>
      </c>
      <c r="AI197">
        <f>AI196+IF(AND($E197&lt;&gt;"",$E197&lt;=AI$2,$F197&gt;=AI$2),1,0)</f>
        <v/>
      </c>
      <c r="AJ197">
        <f>AJ196+IF(AND($E197&lt;&gt;"",$E197&lt;=AJ$2,$F197&gt;=AJ$2),1,0)</f>
        <v/>
      </c>
      <c r="AK197">
        <f>AK196+IF(AND($E197&lt;&gt;"",$E197&lt;=AK$2,$F197&gt;=AK$2),1,0)</f>
        <v/>
      </c>
      <c r="AL197">
        <f>AL196+IF(AND($E197&lt;&gt;"",$E197&lt;=AL$2,$F197&gt;=AL$2),1,0)</f>
        <v/>
      </c>
      <c r="AM197">
        <f>AM196+IF(AND($E197&lt;&gt;"",$E197&lt;=AM$2,$F197&gt;=AM$2),1,0)</f>
        <v/>
      </c>
      <c r="AN197">
        <f>AN196+IF(AND($E197&lt;&gt;"",$E197&lt;=AN$2,$F197&gt;=AN$2),1,0)</f>
        <v/>
      </c>
      <c r="AO197">
        <f>AO196+IF(AND($E197&lt;&gt;"",$E197&lt;=AO$2,$F197&gt;=AO$2),1,0)</f>
        <v/>
      </c>
      <c r="AP197">
        <f>AP196+IF(AND($E197&lt;&gt;"",$E197&lt;=AP$2,$F197&gt;=AP$2),1,0)</f>
        <v/>
      </c>
      <c r="AQ197">
        <f>AQ196+IF(AND($E197&lt;&gt;"",$E197&lt;=AQ$2,$F197&gt;=AQ$2),1,0)</f>
        <v/>
      </c>
      <c r="AR197">
        <f>AR196+IF(AND($E197&lt;&gt;"",$E197&lt;=AR$2,$F197&gt;=AR$2),1,0)</f>
        <v/>
      </c>
      <c r="AS197">
        <f>AS196+IF(AND($E197&lt;&gt;"",$E197&lt;=AS$2,$F197&gt;=AS$2),1,0)</f>
        <v/>
      </c>
      <c r="AT197">
        <f>AT196+IF(AND($E197&lt;&gt;"",$E197&lt;=AT$2,$F197&gt;=AT$2),1,0)</f>
        <v/>
      </c>
      <c r="AU197">
        <f>AU196+IF(AND($E197&lt;&gt;"",$E197&lt;=AU$2,$F197&gt;=AU$2),1,0)</f>
        <v/>
      </c>
      <c r="AV197">
        <f>AV196+IF(AND($E197&lt;&gt;"",$E197&lt;=AV$2,$F197&gt;=AV$2),1,0)</f>
        <v/>
      </c>
      <c r="AW197">
        <f>AW196+IF(AND($E197&lt;&gt;"",$E197&lt;=AW$2,$F197&gt;=AW$2),1,0)</f>
        <v/>
      </c>
    </row>
    <row r="198">
      <c r="A198">
        <f>IF(AND(ISNUMBER(Events!$A200),ISNUMBER(Events!$B200)),MAX(0,Events!$B200-Events!$A200),0)</f>
        <v/>
      </c>
      <c r="B198">
        <f>IF(ISNUMBER(Events!$A200),DATE(YEAR($B$1)-1,MONTH(Events!$A200),DAY(Events!$A200)),"")</f>
        <v/>
      </c>
      <c r="C198">
        <f>IF(ISNUMBER(Events!$A200),DATE(YEAR($B$1),MONTH(Events!$A200),DAY(Events!$A200)),"")</f>
        <v/>
      </c>
      <c r="D198">
        <f>IF(ISNUMBER(Events!$A200),DATE(YEAR($B$2),MONTH(Events!$A200),DAY(Events!$A200)),"")</f>
        <v/>
      </c>
      <c r="E198">
        <f>IF(OR(NOT(ISNUMBER(Events!$A200)),Events!$G200="No",Calendar!$H$4="None"),"",IF(OR(Calendar!$H$4="All events",Events!$D200=Calendar!$H$4),IF(Events!$E200="Yes",IF(AND(B198&gt;=Events!$A200,B198&lt;=$B$2,B198+$A198&gt;=$B$1),B198,IF(AND(C198&gt;=Events!$A200,C198&lt;=$B$2,C198+$A198&gt;=$B$1),C198,IF(AND(D198&gt;=Events!$A200,D198&lt;=$B$2,D198+$A198&gt;=$B$1),D198,""))),IF(AND(Events!$A200&lt;=$B$2,Events!$A200+$A198&gt;=$B$1),Events!$A200,"")),""))</f>
        <v/>
      </c>
      <c r="F198">
        <f>IF(E198="","",E198+A198)</f>
        <v/>
      </c>
      <c r="G198">
        <f>IF(E198="","",IF(AND(E198&lt;=EOMONTH(Calendar!$K$2,0),F198&gt;=Calendar!$K$2),E198+195/100000,""))</f>
        <v/>
      </c>
      <c r="H198">
        <f>H197+IF(AND($E198&lt;&gt;"",$E198&lt;=H$2,$F198&gt;=H$2),1,0)</f>
        <v/>
      </c>
      <c r="I198">
        <f>I197+IF(AND($E198&lt;&gt;"",$E198&lt;=I$2,$F198&gt;=I$2),1,0)</f>
        <v/>
      </c>
      <c r="J198">
        <f>J197+IF(AND($E198&lt;&gt;"",$E198&lt;=J$2,$F198&gt;=J$2),1,0)</f>
        <v/>
      </c>
      <c r="K198">
        <f>K197+IF(AND($E198&lt;&gt;"",$E198&lt;=K$2,$F198&gt;=K$2),1,0)</f>
        <v/>
      </c>
      <c r="L198">
        <f>L197+IF(AND($E198&lt;&gt;"",$E198&lt;=L$2,$F198&gt;=L$2),1,0)</f>
        <v/>
      </c>
      <c r="M198">
        <f>M197+IF(AND($E198&lt;&gt;"",$E198&lt;=M$2,$F198&gt;=M$2),1,0)</f>
        <v/>
      </c>
      <c r="N198">
        <f>N197+IF(AND($E198&lt;&gt;"",$E198&lt;=N$2,$F198&gt;=N$2),1,0)</f>
        <v/>
      </c>
      <c r="O198">
        <f>O197+IF(AND($E198&lt;&gt;"",$E198&lt;=O$2,$F198&gt;=O$2),1,0)</f>
        <v/>
      </c>
      <c r="P198">
        <f>P197+IF(AND($E198&lt;&gt;"",$E198&lt;=P$2,$F198&gt;=P$2),1,0)</f>
        <v/>
      </c>
      <c r="Q198">
        <f>Q197+IF(AND($E198&lt;&gt;"",$E198&lt;=Q$2,$F198&gt;=Q$2),1,0)</f>
        <v/>
      </c>
      <c r="R198">
        <f>R197+IF(AND($E198&lt;&gt;"",$E198&lt;=R$2,$F198&gt;=R$2),1,0)</f>
        <v/>
      </c>
      <c r="S198">
        <f>S197+IF(AND($E198&lt;&gt;"",$E198&lt;=S$2,$F198&gt;=S$2),1,0)</f>
        <v/>
      </c>
      <c r="T198">
        <f>T197+IF(AND($E198&lt;&gt;"",$E198&lt;=T$2,$F198&gt;=T$2),1,0)</f>
        <v/>
      </c>
      <c r="U198">
        <f>U197+IF(AND($E198&lt;&gt;"",$E198&lt;=U$2,$F198&gt;=U$2),1,0)</f>
        <v/>
      </c>
      <c r="V198">
        <f>V197+IF(AND($E198&lt;&gt;"",$E198&lt;=V$2,$F198&gt;=V$2),1,0)</f>
        <v/>
      </c>
      <c r="W198">
        <f>W197+IF(AND($E198&lt;&gt;"",$E198&lt;=W$2,$F198&gt;=W$2),1,0)</f>
        <v/>
      </c>
      <c r="X198">
        <f>X197+IF(AND($E198&lt;&gt;"",$E198&lt;=X$2,$F198&gt;=X$2),1,0)</f>
        <v/>
      </c>
      <c r="Y198">
        <f>Y197+IF(AND($E198&lt;&gt;"",$E198&lt;=Y$2,$F198&gt;=Y$2),1,0)</f>
        <v/>
      </c>
      <c r="Z198">
        <f>Z197+IF(AND($E198&lt;&gt;"",$E198&lt;=Z$2,$F198&gt;=Z$2),1,0)</f>
        <v/>
      </c>
      <c r="AA198">
        <f>AA197+IF(AND($E198&lt;&gt;"",$E198&lt;=AA$2,$F198&gt;=AA$2),1,0)</f>
        <v/>
      </c>
      <c r="AB198">
        <f>AB197+IF(AND($E198&lt;&gt;"",$E198&lt;=AB$2,$F198&gt;=AB$2),1,0)</f>
        <v/>
      </c>
      <c r="AC198">
        <f>AC197+IF(AND($E198&lt;&gt;"",$E198&lt;=AC$2,$F198&gt;=AC$2),1,0)</f>
        <v/>
      </c>
      <c r="AD198">
        <f>AD197+IF(AND($E198&lt;&gt;"",$E198&lt;=AD$2,$F198&gt;=AD$2),1,0)</f>
        <v/>
      </c>
      <c r="AE198">
        <f>AE197+IF(AND($E198&lt;&gt;"",$E198&lt;=AE$2,$F198&gt;=AE$2),1,0)</f>
        <v/>
      </c>
      <c r="AF198">
        <f>AF197+IF(AND($E198&lt;&gt;"",$E198&lt;=AF$2,$F198&gt;=AF$2),1,0)</f>
        <v/>
      </c>
      <c r="AG198">
        <f>AG197+IF(AND($E198&lt;&gt;"",$E198&lt;=AG$2,$F198&gt;=AG$2),1,0)</f>
        <v/>
      </c>
      <c r="AH198">
        <f>AH197+IF(AND($E198&lt;&gt;"",$E198&lt;=AH$2,$F198&gt;=AH$2),1,0)</f>
        <v/>
      </c>
      <c r="AI198">
        <f>AI197+IF(AND($E198&lt;&gt;"",$E198&lt;=AI$2,$F198&gt;=AI$2),1,0)</f>
        <v/>
      </c>
      <c r="AJ198">
        <f>AJ197+IF(AND($E198&lt;&gt;"",$E198&lt;=AJ$2,$F198&gt;=AJ$2),1,0)</f>
        <v/>
      </c>
      <c r="AK198">
        <f>AK197+IF(AND($E198&lt;&gt;"",$E198&lt;=AK$2,$F198&gt;=AK$2),1,0)</f>
        <v/>
      </c>
      <c r="AL198">
        <f>AL197+IF(AND($E198&lt;&gt;"",$E198&lt;=AL$2,$F198&gt;=AL$2),1,0)</f>
        <v/>
      </c>
      <c r="AM198">
        <f>AM197+IF(AND($E198&lt;&gt;"",$E198&lt;=AM$2,$F198&gt;=AM$2),1,0)</f>
        <v/>
      </c>
      <c r="AN198">
        <f>AN197+IF(AND($E198&lt;&gt;"",$E198&lt;=AN$2,$F198&gt;=AN$2),1,0)</f>
        <v/>
      </c>
      <c r="AO198">
        <f>AO197+IF(AND($E198&lt;&gt;"",$E198&lt;=AO$2,$F198&gt;=AO$2),1,0)</f>
        <v/>
      </c>
      <c r="AP198">
        <f>AP197+IF(AND($E198&lt;&gt;"",$E198&lt;=AP$2,$F198&gt;=AP$2),1,0)</f>
        <v/>
      </c>
      <c r="AQ198">
        <f>AQ197+IF(AND($E198&lt;&gt;"",$E198&lt;=AQ$2,$F198&gt;=AQ$2),1,0)</f>
        <v/>
      </c>
      <c r="AR198">
        <f>AR197+IF(AND($E198&lt;&gt;"",$E198&lt;=AR$2,$F198&gt;=AR$2),1,0)</f>
        <v/>
      </c>
      <c r="AS198">
        <f>AS197+IF(AND($E198&lt;&gt;"",$E198&lt;=AS$2,$F198&gt;=AS$2),1,0)</f>
        <v/>
      </c>
      <c r="AT198">
        <f>AT197+IF(AND($E198&lt;&gt;"",$E198&lt;=AT$2,$F198&gt;=AT$2),1,0)</f>
        <v/>
      </c>
      <c r="AU198">
        <f>AU197+IF(AND($E198&lt;&gt;"",$E198&lt;=AU$2,$F198&gt;=AU$2),1,0)</f>
        <v/>
      </c>
      <c r="AV198">
        <f>AV197+IF(AND($E198&lt;&gt;"",$E198&lt;=AV$2,$F198&gt;=AV$2),1,0)</f>
        <v/>
      </c>
      <c r="AW198">
        <f>AW197+IF(AND($E198&lt;&gt;"",$E198&lt;=AW$2,$F198&gt;=AW$2),1,0)</f>
        <v/>
      </c>
    </row>
    <row r="199">
      <c r="A199">
        <f>IF(AND(ISNUMBER(Events!$A201),ISNUMBER(Events!$B201)),MAX(0,Events!$B201-Events!$A201),0)</f>
        <v/>
      </c>
      <c r="B199">
        <f>IF(ISNUMBER(Events!$A201),DATE(YEAR($B$1)-1,MONTH(Events!$A201),DAY(Events!$A201)),"")</f>
        <v/>
      </c>
      <c r="C199">
        <f>IF(ISNUMBER(Events!$A201),DATE(YEAR($B$1),MONTH(Events!$A201),DAY(Events!$A201)),"")</f>
        <v/>
      </c>
      <c r="D199">
        <f>IF(ISNUMBER(Events!$A201),DATE(YEAR($B$2),MONTH(Events!$A201),DAY(Events!$A201)),"")</f>
        <v/>
      </c>
      <c r="E199">
        <f>IF(OR(NOT(ISNUMBER(Events!$A201)),Events!$G201="No",Calendar!$H$4="None"),"",IF(OR(Calendar!$H$4="All events",Events!$D201=Calendar!$H$4),IF(Events!$E201="Yes",IF(AND(B199&gt;=Events!$A201,B199&lt;=$B$2,B199+$A199&gt;=$B$1),B199,IF(AND(C199&gt;=Events!$A201,C199&lt;=$B$2,C199+$A199&gt;=$B$1),C199,IF(AND(D199&gt;=Events!$A201,D199&lt;=$B$2,D199+$A199&gt;=$B$1),D199,""))),IF(AND(Events!$A201&lt;=$B$2,Events!$A201+$A199&gt;=$B$1),Events!$A201,"")),""))</f>
        <v/>
      </c>
      <c r="F199">
        <f>IF(E199="","",E199+A199)</f>
        <v/>
      </c>
      <c r="G199">
        <f>IF(E199="","",IF(AND(E199&lt;=EOMONTH(Calendar!$K$2,0),F199&gt;=Calendar!$K$2),E199+196/100000,""))</f>
        <v/>
      </c>
      <c r="H199">
        <f>H198+IF(AND($E199&lt;&gt;"",$E199&lt;=H$2,$F199&gt;=H$2),1,0)</f>
        <v/>
      </c>
      <c r="I199">
        <f>I198+IF(AND($E199&lt;&gt;"",$E199&lt;=I$2,$F199&gt;=I$2),1,0)</f>
        <v/>
      </c>
      <c r="J199">
        <f>J198+IF(AND($E199&lt;&gt;"",$E199&lt;=J$2,$F199&gt;=J$2),1,0)</f>
        <v/>
      </c>
      <c r="K199">
        <f>K198+IF(AND($E199&lt;&gt;"",$E199&lt;=K$2,$F199&gt;=K$2),1,0)</f>
        <v/>
      </c>
      <c r="L199">
        <f>L198+IF(AND($E199&lt;&gt;"",$E199&lt;=L$2,$F199&gt;=L$2),1,0)</f>
        <v/>
      </c>
      <c r="M199">
        <f>M198+IF(AND($E199&lt;&gt;"",$E199&lt;=M$2,$F199&gt;=M$2),1,0)</f>
        <v/>
      </c>
      <c r="N199">
        <f>N198+IF(AND($E199&lt;&gt;"",$E199&lt;=N$2,$F199&gt;=N$2),1,0)</f>
        <v/>
      </c>
      <c r="O199">
        <f>O198+IF(AND($E199&lt;&gt;"",$E199&lt;=O$2,$F199&gt;=O$2),1,0)</f>
        <v/>
      </c>
      <c r="P199">
        <f>P198+IF(AND($E199&lt;&gt;"",$E199&lt;=P$2,$F199&gt;=P$2),1,0)</f>
        <v/>
      </c>
      <c r="Q199">
        <f>Q198+IF(AND($E199&lt;&gt;"",$E199&lt;=Q$2,$F199&gt;=Q$2),1,0)</f>
        <v/>
      </c>
      <c r="R199">
        <f>R198+IF(AND($E199&lt;&gt;"",$E199&lt;=R$2,$F199&gt;=R$2),1,0)</f>
        <v/>
      </c>
      <c r="S199">
        <f>S198+IF(AND($E199&lt;&gt;"",$E199&lt;=S$2,$F199&gt;=S$2),1,0)</f>
        <v/>
      </c>
      <c r="T199">
        <f>T198+IF(AND($E199&lt;&gt;"",$E199&lt;=T$2,$F199&gt;=T$2),1,0)</f>
        <v/>
      </c>
      <c r="U199">
        <f>U198+IF(AND($E199&lt;&gt;"",$E199&lt;=U$2,$F199&gt;=U$2),1,0)</f>
        <v/>
      </c>
      <c r="V199">
        <f>V198+IF(AND($E199&lt;&gt;"",$E199&lt;=V$2,$F199&gt;=V$2),1,0)</f>
        <v/>
      </c>
      <c r="W199">
        <f>W198+IF(AND($E199&lt;&gt;"",$E199&lt;=W$2,$F199&gt;=W$2),1,0)</f>
        <v/>
      </c>
      <c r="X199">
        <f>X198+IF(AND($E199&lt;&gt;"",$E199&lt;=X$2,$F199&gt;=X$2),1,0)</f>
        <v/>
      </c>
      <c r="Y199">
        <f>Y198+IF(AND($E199&lt;&gt;"",$E199&lt;=Y$2,$F199&gt;=Y$2),1,0)</f>
        <v/>
      </c>
      <c r="Z199">
        <f>Z198+IF(AND($E199&lt;&gt;"",$E199&lt;=Z$2,$F199&gt;=Z$2),1,0)</f>
        <v/>
      </c>
      <c r="AA199">
        <f>AA198+IF(AND($E199&lt;&gt;"",$E199&lt;=AA$2,$F199&gt;=AA$2),1,0)</f>
        <v/>
      </c>
      <c r="AB199">
        <f>AB198+IF(AND($E199&lt;&gt;"",$E199&lt;=AB$2,$F199&gt;=AB$2),1,0)</f>
        <v/>
      </c>
      <c r="AC199">
        <f>AC198+IF(AND($E199&lt;&gt;"",$E199&lt;=AC$2,$F199&gt;=AC$2),1,0)</f>
        <v/>
      </c>
      <c r="AD199">
        <f>AD198+IF(AND($E199&lt;&gt;"",$E199&lt;=AD$2,$F199&gt;=AD$2),1,0)</f>
        <v/>
      </c>
      <c r="AE199">
        <f>AE198+IF(AND($E199&lt;&gt;"",$E199&lt;=AE$2,$F199&gt;=AE$2),1,0)</f>
        <v/>
      </c>
      <c r="AF199">
        <f>AF198+IF(AND($E199&lt;&gt;"",$E199&lt;=AF$2,$F199&gt;=AF$2),1,0)</f>
        <v/>
      </c>
      <c r="AG199">
        <f>AG198+IF(AND($E199&lt;&gt;"",$E199&lt;=AG$2,$F199&gt;=AG$2),1,0)</f>
        <v/>
      </c>
      <c r="AH199">
        <f>AH198+IF(AND($E199&lt;&gt;"",$E199&lt;=AH$2,$F199&gt;=AH$2),1,0)</f>
        <v/>
      </c>
      <c r="AI199">
        <f>AI198+IF(AND($E199&lt;&gt;"",$E199&lt;=AI$2,$F199&gt;=AI$2),1,0)</f>
        <v/>
      </c>
      <c r="AJ199">
        <f>AJ198+IF(AND($E199&lt;&gt;"",$E199&lt;=AJ$2,$F199&gt;=AJ$2),1,0)</f>
        <v/>
      </c>
      <c r="AK199">
        <f>AK198+IF(AND($E199&lt;&gt;"",$E199&lt;=AK$2,$F199&gt;=AK$2),1,0)</f>
        <v/>
      </c>
      <c r="AL199">
        <f>AL198+IF(AND($E199&lt;&gt;"",$E199&lt;=AL$2,$F199&gt;=AL$2),1,0)</f>
        <v/>
      </c>
      <c r="AM199">
        <f>AM198+IF(AND($E199&lt;&gt;"",$E199&lt;=AM$2,$F199&gt;=AM$2),1,0)</f>
        <v/>
      </c>
      <c r="AN199">
        <f>AN198+IF(AND($E199&lt;&gt;"",$E199&lt;=AN$2,$F199&gt;=AN$2),1,0)</f>
        <v/>
      </c>
      <c r="AO199">
        <f>AO198+IF(AND($E199&lt;&gt;"",$E199&lt;=AO$2,$F199&gt;=AO$2),1,0)</f>
        <v/>
      </c>
      <c r="AP199">
        <f>AP198+IF(AND($E199&lt;&gt;"",$E199&lt;=AP$2,$F199&gt;=AP$2),1,0)</f>
        <v/>
      </c>
      <c r="AQ199">
        <f>AQ198+IF(AND($E199&lt;&gt;"",$E199&lt;=AQ$2,$F199&gt;=AQ$2),1,0)</f>
        <v/>
      </c>
      <c r="AR199">
        <f>AR198+IF(AND($E199&lt;&gt;"",$E199&lt;=AR$2,$F199&gt;=AR$2),1,0)</f>
        <v/>
      </c>
      <c r="AS199">
        <f>AS198+IF(AND($E199&lt;&gt;"",$E199&lt;=AS$2,$F199&gt;=AS$2),1,0)</f>
        <v/>
      </c>
      <c r="AT199">
        <f>AT198+IF(AND($E199&lt;&gt;"",$E199&lt;=AT$2,$F199&gt;=AT$2),1,0)</f>
        <v/>
      </c>
      <c r="AU199">
        <f>AU198+IF(AND($E199&lt;&gt;"",$E199&lt;=AU$2,$F199&gt;=AU$2),1,0)</f>
        <v/>
      </c>
      <c r="AV199">
        <f>AV198+IF(AND($E199&lt;&gt;"",$E199&lt;=AV$2,$F199&gt;=AV$2),1,0)</f>
        <v/>
      </c>
      <c r="AW199">
        <f>AW198+IF(AND($E199&lt;&gt;"",$E199&lt;=AW$2,$F199&gt;=AW$2),1,0)</f>
        <v/>
      </c>
    </row>
    <row r="200">
      <c r="A200">
        <f>IF(AND(ISNUMBER(Events!$A202),ISNUMBER(Events!$B202)),MAX(0,Events!$B202-Events!$A202),0)</f>
        <v/>
      </c>
      <c r="B200">
        <f>IF(ISNUMBER(Events!$A202),DATE(YEAR($B$1)-1,MONTH(Events!$A202),DAY(Events!$A202)),"")</f>
        <v/>
      </c>
      <c r="C200">
        <f>IF(ISNUMBER(Events!$A202),DATE(YEAR($B$1),MONTH(Events!$A202),DAY(Events!$A202)),"")</f>
        <v/>
      </c>
      <c r="D200">
        <f>IF(ISNUMBER(Events!$A202),DATE(YEAR($B$2),MONTH(Events!$A202),DAY(Events!$A202)),"")</f>
        <v/>
      </c>
      <c r="E200">
        <f>IF(OR(NOT(ISNUMBER(Events!$A202)),Events!$G202="No",Calendar!$H$4="None"),"",IF(OR(Calendar!$H$4="All events",Events!$D202=Calendar!$H$4),IF(Events!$E202="Yes",IF(AND(B200&gt;=Events!$A202,B200&lt;=$B$2,B200+$A200&gt;=$B$1),B200,IF(AND(C200&gt;=Events!$A202,C200&lt;=$B$2,C200+$A200&gt;=$B$1),C200,IF(AND(D200&gt;=Events!$A202,D200&lt;=$B$2,D200+$A200&gt;=$B$1),D200,""))),IF(AND(Events!$A202&lt;=$B$2,Events!$A202+$A200&gt;=$B$1),Events!$A202,"")),""))</f>
        <v/>
      </c>
      <c r="F200">
        <f>IF(E200="","",E200+A200)</f>
        <v/>
      </c>
      <c r="G200">
        <f>IF(E200="","",IF(AND(E200&lt;=EOMONTH(Calendar!$K$2,0),F200&gt;=Calendar!$K$2),E200+197/100000,""))</f>
        <v/>
      </c>
      <c r="H200">
        <f>H199+IF(AND($E200&lt;&gt;"",$E200&lt;=H$2,$F200&gt;=H$2),1,0)</f>
        <v/>
      </c>
      <c r="I200">
        <f>I199+IF(AND($E200&lt;&gt;"",$E200&lt;=I$2,$F200&gt;=I$2),1,0)</f>
        <v/>
      </c>
      <c r="J200">
        <f>J199+IF(AND($E200&lt;&gt;"",$E200&lt;=J$2,$F200&gt;=J$2),1,0)</f>
        <v/>
      </c>
      <c r="K200">
        <f>K199+IF(AND($E200&lt;&gt;"",$E200&lt;=K$2,$F200&gt;=K$2),1,0)</f>
        <v/>
      </c>
      <c r="L200">
        <f>L199+IF(AND($E200&lt;&gt;"",$E200&lt;=L$2,$F200&gt;=L$2),1,0)</f>
        <v/>
      </c>
      <c r="M200">
        <f>M199+IF(AND($E200&lt;&gt;"",$E200&lt;=M$2,$F200&gt;=M$2),1,0)</f>
        <v/>
      </c>
      <c r="N200">
        <f>N199+IF(AND($E200&lt;&gt;"",$E200&lt;=N$2,$F200&gt;=N$2),1,0)</f>
        <v/>
      </c>
      <c r="O200">
        <f>O199+IF(AND($E200&lt;&gt;"",$E200&lt;=O$2,$F200&gt;=O$2),1,0)</f>
        <v/>
      </c>
      <c r="P200">
        <f>P199+IF(AND($E200&lt;&gt;"",$E200&lt;=P$2,$F200&gt;=P$2),1,0)</f>
        <v/>
      </c>
      <c r="Q200">
        <f>Q199+IF(AND($E200&lt;&gt;"",$E200&lt;=Q$2,$F200&gt;=Q$2),1,0)</f>
        <v/>
      </c>
      <c r="R200">
        <f>R199+IF(AND($E200&lt;&gt;"",$E200&lt;=R$2,$F200&gt;=R$2),1,0)</f>
        <v/>
      </c>
      <c r="S200">
        <f>S199+IF(AND($E200&lt;&gt;"",$E200&lt;=S$2,$F200&gt;=S$2),1,0)</f>
        <v/>
      </c>
      <c r="T200">
        <f>T199+IF(AND($E200&lt;&gt;"",$E200&lt;=T$2,$F200&gt;=T$2),1,0)</f>
        <v/>
      </c>
      <c r="U200">
        <f>U199+IF(AND($E200&lt;&gt;"",$E200&lt;=U$2,$F200&gt;=U$2),1,0)</f>
        <v/>
      </c>
      <c r="V200">
        <f>V199+IF(AND($E200&lt;&gt;"",$E200&lt;=V$2,$F200&gt;=V$2),1,0)</f>
        <v/>
      </c>
      <c r="W200">
        <f>W199+IF(AND($E200&lt;&gt;"",$E200&lt;=W$2,$F200&gt;=W$2),1,0)</f>
        <v/>
      </c>
      <c r="X200">
        <f>X199+IF(AND($E200&lt;&gt;"",$E200&lt;=X$2,$F200&gt;=X$2),1,0)</f>
        <v/>
      </c>
      <c r="Y200">
        <f>Y199+IF(AND($E200&lt;&gt;"",$E200&lt;=Y$2,$F200&gt;=Y$2),1,0)</f>
        <v/>
      </c>
      <c r="Z200">
        <f>Z199+IF(AND($E200&lt;&gt;"",$E200&lt;=Z$2,$F200&gt;=Z$2),1,0)</f>
        <v/>
      </c>
      <c r="AA200">
        <f>AA199+IF(AND($E200&lt;&gt;"",$E200&lt;=AA$2,$F200&gt;=AA$2),1,0)</f>
        <v/>
      </c>
      <c r="AB200">
        <f>AB199+IF(AND($E200&lt;&gt;"",$E200&lt;=AB$2,$F200&gt;=AB$2),1,0)</f>
        <v/>
      </c>
      <c r="AC200">
        <f>AC199+IF(AND($E200&lt;&gt;"",$E200&lt;=AC$2,$F200&gt;=AC$2),1,0)</f>
        <v/>
      </c>
      <c r="AD200">
        <f>AD199+IF(AND($E200&lt;&gt;"",$E200&lt;=AD$2,$F200&gt;=AD$2),1,0)</f>
        <v/>
      </c>
      <c r="AE200">
        <f>AE199+IF(AND($E200&lt;&gt;"",$E200&lt;=AE$2,$F200&gt;=AE$2),1,0)</f>
        <v/>
      </c>
      <c r="AF200">
        <f>AF199+IF(AND($E200&lt;&gt;"",$E200&lt;=AF$2,$F200&gt;=AF$2),1,0)</f>
        <v/>
      </c>
      <c r="AG200">
        <f>AG199+IF(AND($E200&lt;&gt;"",$E200&lt;=AG$2,$F200&gt;=AG$2),1,0)</f>
        <v/>
      </c>
      <c r="AH200">
        <f>AH199+IF(AND($E200&lt;&gt;"",$E200&lt;=AH$2,$F200&gt;=AH$2),1,0)</f>
        <v/>
      </c>
      <c r="AI200">
        <f>AI199+IF(AND($E200&lt;&gt;"",$E200&lt;=AI$2,$F200&gt;=AI$2),1,0)</f>
        <v/>
      </c>
      <c r="AJ200">
        <f>AJ199+IF(AND($E200&lt;&gt;"",$E200&lt;=AJ$2,$F200&gt;=AJ$2),1,0)</f>
        <v/>
      </c>
      <c r="AK200">
        <f>AK199+IF(AND($E200&lt;&gt;"",$E200&lt;=AK$2,$F200&gt;=AK$2),1,0)</f>
        <v/>
      </c>
      <c r="AL200">
        <f>AL199+IF(AND($E200&lt;&gt;"",$E200&lt;=AL$2,$F200&gt;=AL$2),1,0)</f>
        <v/>
      </c>
      <c r="AM200">
        <f>AM199+IF(AND($E200&lt;&gt;"",$E200&lt;=AM$2,$F200&gt;=AM$2),1,0)</f>
        <v/>
      </c>
      <c r="AN200">
        <f>AN199+IF(AND($E200&lt;&gt;"",$E200&lt;=AN$2,$F200&gt;=AN$2),1,0)</f>
        <v/>
      </c>
      <c r="AO200">
        <f>AO199+IF(AND($E200&lt;&gt;"",$E200&lt;=AO$2,$F200&gt;=AO$2),1,0)</f>
        <v/>
      </c>
      <c r="AP200">
        <f>AP199+IF(AND($E200&lt;&gt;"",$E200&lt;=AP$2,$F200&gt;=AP$2),1,0)</f>
        <v/>
      </c>
      <c r="AQ200">
        <f>AQ199+IF(AND($E200&lt;&gt;"",$E200&lt;=AQ$2,$F200&gt;=AQ$2),1,0)</f>
        <v/>
      </c>
      <c r="AR200">
        <f>AR199+IF(AND($E200&lt;&gt;"",$E200&lt;=AR$2,$F200&gt;=AR$2),1,0)</f>
        <v/>
      </c>
      <c r="AS200">
        <f>AS199+IF(AND($E200&lt;&gt;"",$E200&lt;=AS$2,$F200&gt;=AS$2),1,0)</f>
        <v/>
      </c>
      <c r="AT200">
        <f>AT199+IF(AND($E200&lt;&gt;"",$E200&lt;=AT$2,$F200&gt;=AT$2),1,0)</f>
        <v/>
      </c>
      <c r="AU200">
        <f>AU199+IF(AND($E200&lt;&gt;"",$E200&lt;=AU$2,$F200&gt;=AU$2),1,0)</f>
        <v/>
      </c>
      <c r="AV200">
        <f>AV199+IF(AND($E200&lt;&gt;"",$E200&lt;=AV$2,$F200&gt;=AV$2),1,0)</f>
        <v/>
      </c>
      <c r="AW200">
        <f>AW199+IF(AND($E200&lt;&gt;"",$E200&lt;=AW$2,$F200&gt;=AW$2),1,0)</f>
        <v/>
      </c>
    </row>
    <row r="201">
      <c r="A201">
        <f>IF(AND(ISNUMBER(Events!$A203),ISNUMBER(Events!$B203)),MAX(0,Events!$B203-Events!$A203),0)</f>
        <v/>
      </c>
      <c r="B201">
        <f>IF(ISNUMBER(Events!$A203),DATE(YEAR($B$1)-1,MONTH(Events!$A203),DAY(Events!$A203)),"")</f>
        <v/>
      </c>
      <c r="C201">
        <f>IF(ISNUMBER(Events!$A203),DATE(YEAR($B$1),MONTH(Events!$A203),DAY(Events!$A203)),"")</f>
        <v/>
      </c>
      <c r="D201">
        <f>IF(ISNUMBER(Events!$A203),DATE(YEAR($B$2),MONTH(Events!$A203),DAY(Events!$A203)),"")</f>
        <v/>
      </c>
      <c r="E201">
        <f>IF(OR(NOT(ISNUMBER(Events!$A203)),Events!$G203="No",Calendar!$H$4="None"),"",IF(OR(Calendar!$H$4="All events",Events!$D203=Calendar!$H$4),IF(Events!$E203="Yes",IF(AND(B201&gt;=Events!$A203,B201&lt;=$B$2,B201+$A201&gt;=$B$1),B201,IF(AND(C201&gt;=Events!$A203,C201&lt;=$B$2,C201+$A201&gt;=$B$1),C201,IF(AND(D201&gt;=Events!$A203,D201&lt;=$B$2,D201+$A201&gt;=$B$1),D201,""))),IF(AND(Events!$A203&lt;=$B$2,Events!$A203+$A201&gt;=$B$1),Events!$A203,"")),""))</f>
        <v/>
      </c>
      <c r="F201">
        <f>IF(E201="","",E201+A201)</f>
        <v/>
      </c>
      <c r="G201">
        <f>IF(E201="","",IF(AND(E201&lt;=EOMONTH(Calendar!$K$2,0),F201&gt;=Calendar!$K$2),E201+198/100000,""))</f>
        <v/>
      </c>
      <c r="H201">
        <f>H200+IF(AND($E201&lt;&gt;"",$E201&lt;=H$2,$F201&gt;=H$2),1,0)</f>
        <v/>
      </c>
      <c r="I201">
        <f>I200+IF(AND($E201&lt;&gt;"",$E201&lt;=I$2,$F201&gt;=I$2),1,0)</f>
        <v/>
      </c>
      <c r="J201">
        <f>J200+IF(AND($E201&lt;&gt;"",$E201&lt;=J$2,$F201&gt;=J$2),1,0)</f>
        <v/>
      </c>
      <c r="K201">
        <f>K200+IF(AND($E201&lt;&gt;"",$E201&lt;=K$2,$F201&gt;=K$2),1,0)</f>
        <v/>
      </c>
      <c r="L201">
        <f>L200+IF(AND($E201&lt;&gt;"",$E201&lt;=L$2,$F201&gt;=L$2),1,0)</f>
        <v/>
      </c>
      <c r="M201">
        <f>M200+IF(AND($E201&lt;&gt;"",$E201&lt;=M$2,$F201&gt;=M$2),1,0)</f>
        <v/>
      </c>
      <c r="N201">
        <f>N200+IF(AND($E201&lt;&gt;"",$E201&lt;=N$2,$F201&gt;=N$2),1,0)</f>
        <v/>
      </c>
      <c r="O201">
        <f>O200+IF(AND($E201&lt;&gt;"",$E201&lt;=O$2,$F201&gt;=O$2),1,0)</f>
        <v/>
      </c>
      <c r="P201">
        <f>P200+IF(AND($E201&lt;&gt;"",$E201&lt;=P$2,$F201&gt;=P$2),1,0)</f>
        <v/>
      </c>
      <c r="Q201">
        <f>Q200+IF(AND($E201&lt;&gt;"",$E201&lt;=Q$2,$F201&gt;=Q$2),1,0)</f>
        <v/>
      </c>
      <c r="R201">
        <f>R200+IF(AND($E201&lt;&gt;"",$E201&lt;=R$2,$F201&gt;=R$2),1,0)</f>
        <v/>
      </c>
      <c r="S201">
        <f>S200+IF(AND($E201&lt;&gt;"",$E201&lt;=S$2,$F201&gt;=S$2),1,0)</f>
        <v/>
      </c>
      <c r="T201">
        <f>T200+IF(AND($E201&lt;&gt;"",$E201&lt;=T$2,$F201&gt;=T$2),1,0)</f>
        <v/>
      </c>
      <c r="U201">
        <f>U200+IF(AND($E201&lt;&gt;"",$E201&lt;=U$2,$F201&gt;=U$2),1,0)</f>
        <v/>
      </c>
      <c r="V201">
        <f>V200+IF(AND($E201&lt;&gt;"",$E201&lt;=V$2,$F201&gt;=V$2),1,0)</f>
        <v/>
      </c>
      <c r="W201">
        <f>W200+IF(AND($E201&lt;&gt;"",$E201&lt;=W$2,$F201&gt;=W$2),1,0)</f>
        <v/>
      </c>
      <c r="X201">
        <f>X200+IF(AND($E201&lt;&gt;"",$E201&lt;=X$2,$F201&gt;=X$2),1,0)</f>
        <v/>
      </c>
      <c r="Y201">
        <f>Y200+IF(AND($E201&lt;&gt;"",$E201&lt;=Y$2,$F201&gt;=Y$2),1,0)</f>
        <v/>
      </c>
      <c r="Z201">
        <f>Z200+IF(AND($E201&lt;&gt;"",$E201&lt;=Z$2,$F201&gt;=Z$2),1,0)</f>
        <v/>
      </c>
      <c r="AA201">
        <f>AA200+IF(AND($E201&lt;&gt;"",$E201&lt;=AA$2,$F201&gt;=AA$2),1,0)</f>
        <v/>
      </c>
      <c r="AB201">
        <f>AB200+IF(AND($E201&lt;&gt;"",$E201&lt;=AB$2,$F201&gt;=AB$2),1,0)</f>
        <v/>
      </c>
      <c r="AC201">
        <f>AC200+IF(AND($E201&lt;&gt;"",$E201&lt;=AC$2,$F201&gt;=AC$2),1,0)</f>
        <v/>
      </c>
      <c r="AD201">
        <f>AD200+IF(AND($E201&lt;&gt;"",$E201&lt;=AD$2,$F201&gt;=AD$2),1,0)</f>
        <v/>
      </c>
      <c r="AE201">
        <f>AE200+IF(AND($E201&lt;&gt;"",$E201&lt;=AE$2,$F201&gt;=AE$2),1,0)</f>
        <v/>
      </c>
      <c r="AF201">
        <f>AF200+IF(AND($E201&lt;&gt;"",$E201&lt;=AF$2,$F201&gt;=AF$2),1,0)</f>
        <v/>
      </c>
      <c r="AG201">
        <f>AG200+IF(AND($E201&lt;&gt;"",$E201&lt;=AG$2,$F201&gt;=AG$2),1,0)</f>
        <v/>
      </c>
      <c r="AH201">
        <f>AH200+IF(AND($E201&lt;&gt;"",$E201&lt;=AH$2,$F201&gt;=AH$2),1,0)</f>
        <v/>
      </c>
      <c r="AI201">
        <f>AI200+IF(AND($E201&lt;&gt;"",$E201&lt;=AI$2,$F201&gt;=AI$2),1,0)</f>
        <v/>
      </c>
      <c r="AJ201">
        <f>AJ200+IF(AND($E201&lt;&gt;"",$E201&lt;=AJ$2,$F201&gt;=AJ$2),1,0)</f>
        <v/>
      </c>
      <c r="AK201">
        <f>AK200+IF(AND($E201&lt;&gt;"",$E201&lt;=AK$2,$F201&gt;=AK$2),1,0)</f>
        <v/>
      </c>
      <c r="AL201">
        <f>AL200+IF(AND($E201&lt;&gt;"",$E201&lt;=AL$2,$F201&gt;=AL$2),1,0)</f>
        <v/>
      </c>
      <c r="AM201">
        <f>AM200+IF(AND($E201&lt;&gt;"",$E201&lt;=AM$2,$F201&gt;=AM$2),1,0)</f>
        <v/>
      </c>
      <c r="AN201">
        <f>AN200+IF(AND($E201&lt;&gt;"",$E201&lt;=AN$2,$F201&gt;=AN$2),1,0)</f>
        <v/>
      </c>
      <c r="AO201">
        <f>AO200+IF(AND($E201&lt;&gt;"",$E201&lt;=AO$2,$F201&gt;=AO$2),1,0)</f>
        <v/>
      </c>
      <c r="AP201">
        <f>AP200+IF(AND($E201&lt;&gt;"",$E201&lt;=AP$2,$F201&gt;=AP$2),1,0)</f>
        <v/>
      </c>
      <c r="AQ201">
        <f>AQ200+IF(AND($E201&lt;&gt;"",$E201&lt;=AQ$2,$F201&gt;=AQ$2),1,0)</f>
        <v/>
      </c>
      <c r="AR201">
        <f>AR200+IF(AND($E201&lt;&gt;"",$E201&lt;=AR$2,$F201&gt;=AR$2),1,0)</f>
        <v/>
      </c>
      <c r="AS201">
        <f>AS200+IF(AND($E201&lt;&gt;"",$E201&lt;=AS$2,$F201&gt;=AS$2),1,0)</f>
        <v/>
      </c>
      <c r="AT201">
        <f>AT200+IF(AND($E201&lt;&gt;"",$E201&lt;=AT$2,$F201&gt;=AT$2),1,0)</f>
        <v/>
      </c>
      <c r="AU201">
        <f>AU200+IF(AND($E201&lt;&gt;"",$E201&lt;=AU$2,$F201&gt;=AU$2),1,0)</f>
        <v/>
      </c>
      <c r="AV201">
        <f>AV200+IF(AND($E201&lt;&gt;"",$E201&lt;=AV$2,$F201&gt;=AV$2),1,0)</f>
        <v/>
      </c>
      <c r="AW201">
        <f>AW200+IF(AND($E201&lt;&gt;"",$E201&lt;=AW$2,$F201&gt;=AW$2),1,0)</f>
        <v/>
      </c>
    </row>
    <row r="202">
      <c r="A202">
        <f>IF(AND(ISNUMBER(Events!$A204),ISNUMBER(Events!$B204)),MAX(0,Events!$B204-Events!$A204),0)</f>
        <v/>
      </c>
      <c r="B202">
        <f>IF(ISNUMBER(Events!$A204),DATE(YEAR($B$1)-1,MONTH(Events!$A204),DAY(Events!$A204)),"")</f>
        <v/>
      </c>
      <c r="C202">
        <f>IF(ISNUMBER(Events!$A204),DATE(YEAR($B$1),MONTH(Events!$A204),DAY(Events!$A204)),"")</f>
        <v/>
      </c>
      <c r="D202">
        <f>IF(ISNUMBER(Events!$A204),DATE(YEAR($B$2),MONTH(Events!$A204),DAY(Events!$A204)),"")</f>
        <v/>
      </c>
      <c r="E202">
        <f>IF(OR(NOT(ISNUMBER(Events!$A204)),Events!$G204="No",Calendar!$H$4="None"),"",IF(OR(Calendar!$H$4="All events",Events!$D204=Calendar!$H$4),IF(Events!$E204="Yes",IF(AND(B202&gt;=Events!$A204,B202&lt;=$B$2,B202+$A202&gt;=$B$1),B202,IF(AND(C202&gt;=Events!$A204,C202&lt;=$B$2,C202+$A202&gt;=$B$1),C202,IF(AND(D202&gt;=Events!$A204,D202&lt;=$B$2,D202+$A202&gt;=$B$1),D202,""))),IF(AND(Events!$A204&lt;=$B$2,Events!$A204+$A202&gt;=$B$1),Events!$A204,"")),""))</f>
        <v/>
      </c>
      <c r="F202">
        <f>IF(E202="","",E202+A202)</f>
        <v/>
      </c>
      <c r="G202">
        <f>IF(E202="","",IF(AND(E202&lt;=EOMONTH(Calendar!$K$2,0),F202&gt;=Calendar!$K$2),E202+199/100000,""))</f>
        <v/>
      </c>
      <c r="H202">
        <f>H201+IF(AND($E202&lt;&gt;"",$E202&lt;=H$2,$F202&gt;=H$2),1,0)</f>
        <v/>
      </c>
      <c r="I202">
        <f>I201+IF(AND($E202&lt;&gt;"",$E202&lt;=I$2,$F202&gt;=I$2),1,0)</f>
        <v/>
      </c>
      <c r="J202">
        <f>J201+IF(AND($E202&lt;&gt;"",$E202&lt;=J$2,$F202&gt;=J$2),1,0)</f>
        <v/>
      </c>
      <c r="K202">
        <f>K201+IF(AND($E202&lt;&gt;"",$E202&lt;=K$2,$F202&gt;=K$2),1,0)</f>
        <v/>
      </c>
      <c r="L202">
        <f>L201+IF(AND($E202&lt;&gt;"",$E202&lt;=L$2,$F202&gt;=L$2),1,0)</f>
        <v/>
      </c>
      <c r="M202">
        <f>M201+IF(AND($E202&lt;&gt;"",$E202&lt;=M$2,$F202&gt;=M$2),1,0)</f>
        <v/>
      </c>
      <c r="N202">
        <f>N201+IF(AND($E202&lt;&gt;"",$E202&lt;=N$2,$F202&gt;=N$2),1,0)</f>
        <v/>
      </c>
      <c r="O202">
        <f>O201+IF(AND($E202&lt;&gt;"",$E202&lt;=O$2,$F202&gt;=O$2),1,0)</f>
        <v/>
      </c>
      <c r="P202">
        <f>P201+IF(AND($E202&lt;&gt;"",$E202&lt;=P$2,$F202&gt;=P$2),1,0)</f>
        <v/>
      </c>
      <c r="Q202">
        <f>Q201+IF(AND($E202&lt;&gt;"",$E202&lt;=Q$2,$F202&gt;=Q$2),1,0)</f>
        <v/>
      </c>
      <c r="R202">
        <f>R201+IF(AND($E202&lt;&gt;"",$E202&lt;=R$2,$F202&gt;=R$2),1,0)</f>
        <v/>
      </c>
      <c r="S202">
        <f>S201+IF(AND($E202&lt;&gt;"",$E202&lt;=S$2,$F202&gt;=S$2),1,0)</f>
        <v/>
      </c>
      <c r="T202">
        <f>T201+IF(AND($E202&lt;&gt;"",$E202&lt;=T$2,$F202&gt;=T$2),1,0)</f>
        <v/>
      </c>
      <c r="U202">
        <f>U201+IF(AND($E202&lt;&gt;"",$E202&lt;=U$2,$F202&gt;=U$2),1,0)</f>
        <v/>
      </c>
      <c r="V202">
        <f>V201+IF(AND($E202&lt;&gt;"",$E202&lt;=V$2,$F202&gt;=V$2),1,0)</f>
        <v/>
      </c>
      <c r="W202">
        <f>W201+IF(AND($E202&lt;&gt;"",$E202&lt;=W$2,$F202&gt;=W$2),1,0)</f>
        <v/>
      </c>
      <c r="X202">
        <f>X201+IF(AND($E202&lt;&gt;"",$E202&lt;=X$2,$F202&gt;=X$2),1,0)</f>
        <v/>
      </c>
      <c r="Y202">
        <f>Y201+IF(AND($E202&lt;&gt;"",$E202&lt;=Y$2,$F202&gt;=Y$2),1,0)</f>
        <v/>
      </c>
      <c r="Z202">
        <f>Z201+IF(AND($E202&lt;&gt;"",$E202&lt;=Z$2,$F202&gt;=Z$2),1,0)</f>
        <v/>
      </c>
      <c r="AA202">
        <f>AA201+IF(AND($E202&lt;&gt;"",$E202&lt;=AA$2,$F202&gt;=AA$2),1,0)</f>
        <v/>
      </c>
      <c r="AB202">
        <f>AB201+IF(AND($E202&lt;&gt;"",$E202&lt;=AB$2,$F202&gt;=AB$2),1,0)</f>
        <v/>
      </c>
      <c r="AC202">
        <f>AC201+IF(AND($E202&lt;&gt;"",$E202&lt;=AC$2,$F202&gt;=AC$2),1,0)</f>
        <v/>
      </c>
      <c r="AD202">
        <f>AD201+IF(AND($E202&lt;&gt;"",$E202&lt;=AD$2,$F202&gt;=AD$2),1,0)</f>
        <v/>
      </c>
      <c r="AE202">
        <f>AE201+IF(AND($E202&lt;&gt;"",$E202&lt;=AE$2,$F202&gt;=AE$2),1,0)</f>
        <v/>
      </c>
      <c r="AF202">
        <f>AF201+IF(AND($E202&lt;&gt;"",$E202&lt;=AF$2,$F202&gt;=AF$2),1,0)</f>
        <v/>
      </c>
      <c r="AG202">
        <f>AG201+IF(AND($E202&lt;&gt;"",$E202&lt;=AG$2,$F202&gt;=AG$2),1,0)</f>
        <v/>
      </c>
      <c r="AH202">
        <f>AH201+IF(AND($E202&lt;&gt;"",$E202&lt;=AH$2,$F202&gt;=AH$2),1,0)</f>
        <v/>
      </c>
      <c r="AI202">
        <f>AI201+IF(AND($E202&lt;&gt;"",$E202&lt;=AI$2,$F202&gt;=AI$2),1,0)</f>
        <v/>
      </c>
      <c r="AJ202">
        <f>AJ201+IF(AND($E202&lt;&gt;"",$E202&lt;=AJ$2,$F202&gt;=AJ$2),1,0)</f>
        <v/>
      </c>
      <c r="AK202">
        <f>AK201+IF(AND($E202&lt;&gt;"",$E202&lt;=AK$2,$F202&gt;=AK$2),1,0)</f>
        <v/>
      </c>
      <c r="AL202">
        <f>AL201+IF(AND($E202&lt;&gt;"",$E202&lt;=AL$2,$F202&gt;=AL$2),1,0)</f>
        <v/>
      </c>
      <c r="AM202">
        <f>AM201+IF(AND($E202&lt;&gt;"",$E202&lt;=AM$2,$F202&gt;=AM$2),1,0)</f>
        <v/>
      </c>
      <c r="AN202">
        <f>AN201+IF(AND($E202&lt;&gt;"",$E202&lt;=AN$2,$F202&gt;=AN$2),1,0)</f>
        <v/>
      </c>
      <c r="AO202">
        <f>AO201+IF(AND($E202&lt;&gt;"",$E202&lt;=AO$2,$F202&gt;=AO$2),1,0)</f>
        <v/>
      </c>
      <c r="AP202">
        <f>AP201+IF(AND($E202&lt;&gt;"",$E202&lt;=AP$2,$F202&gt;=AP$2),1,0)</f>
        <v/>
      </c>
      <c r="AQ202">
        <f>AQ201+IF(AND($E202&lt;&gt;"",$E202&lt;=AQ$2,$F202&gt;=AQ$2),1,0)</f>
        <v/>
      </c>
      <c r="AR202">
        <f>AR201+IF(AND($E202&lt;&gt;"",$E202&lt;=AR$2,$F202&gt;=AR$2),1,0)</f>
        <v/>
      </c>
      <c r="AS202">
        <f>AS201+IF(AND($E202&lt;&gt;"",$E202&lt;=AS$2,$F202&gt;=AS$2),1,0)</f>
        <v/>
      </c>
      <c r="AT202">
        <f>AT201+IF(AND($E202&lt;&gt;"",$E202&lt;=AT$2,$F202&gt;=AT$2),1,0)</f>
        <v/>
      </c>
      <c r="AU202">
        <f>AU201+IF(AND($E202&lt;&gt;"",$E202&lt;=AU$2,$F202&gt;=AU$2),1,0)</f>
        <v/>
      </c>
      <c r="AV202">
        <f>AV201+IF(AND($E202&lt;&gt;"",$E202&lt;=AV$2,$F202&gt;=AV$2),1,0)</f>
        <v/>
      </c>
      <c r="AW202">
        <f>AW201+IF(AND($E202&lt;&gt;"",$E202&lt;=AW$2,$F202&gt;=AW$2),1,0)</f>
        <v/>
      </c>
    </row>
    <row r="203">
      <c r="A203">
        <f>IF(AND(ISNUMBER(Events!$A205),ISNUMBER(Events!$B205)),MAX(0,Events!$B205-Events!$A205),0)</f>
        <v/>
      </c>
      <c r="B203">
        <f>IF(ISNUMBER(Events!$A205),DATE(YEAR($B$1)-1,MONTH(Events!$A205),DAY(Events!$A205)),"")</f>
        <v/>
      </c>
      <c r="C203">
        <f>IF(ISNUMBER(Events!$A205),DATE(YEAR($B$1),MONTH(Events!$A205),DAY(Events!$A205)),"")</f>
        <v/>
      </c>
      <c r="D203">
        <f>IF(ISNUMBER(Events!$A205),DATE(YEAR($B$2),MONTH(Events!$A205),DAY(Events!$A205)),"")</f>
        <v/>
      </c>
      <c r="E203">
        <f>IF(OR(NOT(ISNUMBER(Events!$A205)),Events!$G205="No",Calendar!$H$4="None"),"",IF(OR(Calendar!$H$4="All events",Events!$D205=Calendar!$H$4),IF(Events!$E205="Yes",IF(AND(B203&gt;=Events!$A205,B203&lt;=$B$2,B203+$A203&gt;=$B$1),B203,IF(AND(C203&gt;=Events!$A205,C203&lt;=$B$2,C203+$A203&gt;=$B$1),C203,IF(AND(D203&gt;=Events!$A205,D203&lt;=$B$2,D203+$A203&gt;=$B$1),D203,""))),IF(AND(Events!$A205&lt;=$B$2,Events!$A205+$A203&gt;=$B$1),Events!$A205,"")),""))</f>
        <v/>
      </c>
      <c r="F203">
        <f>IF(E203="","",E203+A203)</f>
        <v/>
      </c>
      <c r="G203">
        <f>IF(E203="","",IF(AND(E203&lt;=EOMONTH(Calendar!$K$2,0),F203&gt;=Calendar!$K$2),E203+200/100000,""))</f>
        <v/>
      </c>
      <c r="H203">
        <f>H202+IF(AND($E203&lt;&gt;"",$E203&lt;=H$2,$F203&gt;=H$2),1,0)</f>
        <v/>
      </c>
      <c r="I203">
        <f>I202+IF(AND($E203&lt;&gt;"",$E203&lt;=I$2,$F203&gt;=I$2),1,0)</f>
        <v/>
      </c>
      <c r="J203">
        <f>J202+IF(AND($E203&lt;&gt;"",$E203&lt;=J$2,$F203&gt;=J$2),1,0)</f>
        <v/>
      </c>
      <c r="K203">
        <f>K202+IF(AND($E203&lt;&gt;"",$E203&lt;=K$2,$F203&gt;=K$2),1,0)</f>
        <v/>
      </c>
      <c r="L203">
        <f>L202+IF(AND($E203&lt;&gt;"",$E203&lt;=L$2,$F203&gt;=L$2),1,0)</f>
        <v/>
      </c>
      <c r="M203">
        <f>M202+IF(AND($E203&lt;&gt;"",$E203&lt;=M$2,$F203&gt;=M$2),1,0)</f>
        <v/>
      </c>
      <c r="N203">
        <f>N202+IF(AND($E203&lt;&gt;"",$E203&lt;=N$2,$F203&gt;=N$2),1,0)</f>
        <v/>
      </c>
      <c r="O203">
        <f>O202+IF(AND($E203&lt;&gt;"",$E203&lt;=O$2,$F203&gt;=O$2),1,0)</f>
        <v/>
      </c>
      <c r="P203">
        <f>P202+IF(AND($E203&lt;&gt;"",$E203&lt;=P$2,$F203&gt;=P$2),1,0)</f>
        <v/>
      </c>
      <c r="Q203">
        <f>Q202+IF(AND($E203&lt;&gt;"",$E203&lt;=Q$2,$F203&gt;=Q$2),1,0)</f>
        <v/>
      </c>
      <c r="R203">
        <f>R202+IF(AND($E203&lt;&gt;"",$E203&lt;=R$2,$F203&gt;=R$2),1,0)</f>
        <v/>
      </c>
      <c r="S203">
        <f>S202+IF(AND($E203&lt;&gt;"",$E203&lt;=S$2,$F203&gt;=S$2),1,0)</f>
        <v/>
      </c>
      <c r="T203">
        <f>T202+IF(AND($E203&lt;&gt;"",$E203&lt;=T$2,$F203&gt;=T$2),1,0)</f>
        <v/>
      </c>
      <c r="U203">
        <f>U202+IF(AND($E203&lt;&gt;"",$E203&lt;=U$2,$F203&gt;=U$2),1,0)</f>
        <v/>
      </c>
      <c r="V203">
        <f>V202+IF(AND($E203&lt;&gt;"",$E203&lt;=V$2,$F203&gt;=V$2),1,0)</f>
        <v/>
      </c>
      <c r="W203">
        <f>W202+IF(AND($E203&lt;&gt;"",$E203&lt;=W$2,$F203&gt;=W$2),1,0)</f>
        <v/>
      </c>
      <c r="X203">
        <f>X202+IF(AND($E203&lt;&gt;"",$E203&lt;=X$2,$F203&gt;=X$2),1,0)</f>
        <v/>
      </c>
      <c r="Y203">
        <f>Y202+IF(AND($E203&lt;&gt;"",$E203&lt;=Y$2,$F203&gt;=Y$2),1,0)</f>
        <v/>
      </c>
      <c r="Z203">
        <f>Z202+IF(AND($E203&lt;&gt;"",$E203&lt;=Z$2,$F203&gt;=Z$2),1,0)</f>
        <v/>
      </c>
      <c r="AA203">
        <f>AA202+IF(AND($E203&lt;&gt;"",$E203&lt;=AA$2,$F203&gt;=AA$2),1,0)</f>
        <v/>
      </c>
      <c r="AB203">
        <f>AB202+IF(AND($E203&lt;&gt;"",$E203&lt;=AB$2,$F203&gt;=AB$2),1,0)</f>
        <v/>
      </c>
      <c r="AC203">
        <f>AC202+IF(AND($E203&lt;&gt;"",$E203&lt;=AC$2,$F203&gt;=AC$2),1,0)</f>
        <v/>
      </c>
      <c r="AD203">
        <f>AD202+IF(AND($E203&lt;&gt;"",$E203&lt;=AD$2,$F203&gt;=AD$2),1,0)</f>
        <v/>
      </c>
      <c r="AE203">
        <f>AE202+IF(AND($E203&lt;&gt;"",$E203&lt;=AE$2,$F203&gt;=AE$2),1,0)</f>
        <v/>
      </c>
      <c r="AF203">
        <f>AF202+IF(AND($E203&lt;&gt;"",$E203&lt;=AF$2,$F203&gt;=AF$2),1,0)</f>
        <v/>
      </c>
      <c r="AG203">
        <f>AG202+IF(AND($E203&lt;&gt;"",$E203&lt;=AG$2,$F203&gt;=AG$2),1,0)</f>
        <v/>
      </c>
      <c r="AH203">
        <f>AH202+IF(AND($E203&lt;&gt;"",$E203&lt;=AH$2,$F203&gt;=AH$2),1,0)</f>
        <v/>
      </c>
      <c r="AI203">
        <f>AI202+IF(AND($E203&lt;&gt;"",$E203&lt;=AI$2,$F203&gt;=AI$2),1,0)</f>
        <v/>
      </c>
      <c r="AJ203">
        <f>AJ202+IF(AND($E203&lt;&gt;"",$E203&lt;=AJ$2,$F203&gt;=AJ$2),1,0)</f>
        <v/>
      </c>
      <c r="AK203">
        <f>AK202+IF(AND($E203&lt;&gt;"",$E203&lt;=AK$2,$F203&gt;=AK$2),1,0)</f>
        <v/>
      </c>
      <c r="AL203">
        <f>AL202+IF(AND($E203&lt;&gt;"",$E203&lt;=AL$2,$F203&gt;=AL$2),1,0)</f>
        <v/>
      </c>
      <c r="AM203">
        <f>AM202+IF(AND($E203&lt;&gt;"",$E203&lt;=AM$2,$F203&gt;=AM$2),1,0)</f>
        <v/>
      </c>
      <c r="AN203">
        <f>AN202+IF(AND($E203&lt;&gt;"",$E203&lt;=AN$2,$F203&gt;=AN$2),1,0)</f>
        <v/>
      </c>
      <c r="AO203">
        <f>AO202+IF(AND($E203&lt;&gt;"",$E203&lt;=AO$2,$F203&gt;=AO$2),1,0)</f>
        <v/>
      </c>
      <c r="AP203">
        <f>AP202+IF(AND($E203&lt;&gt;"",$E203&lt;=AP$2,$F203&gt;=AP$2),1,0)</f>
        <v/>
      </c>
      <c r="AQ203">
        <f>AQ202+IF(AND($E203&lt;&gt;"",$E203&lt;=AQ$2,$F203&gt;=AQ$2),1,0)</f>
        <v/>
      </c>
      <c r="AR203">
        <f>AR202+IF(AND($E203&lt;&gt;"",$E203&lt;=AR$2,$F203&gt;=AR$2),1,0)</f>
        <v/>
      </c>
      <c r="AS203">
        <f>AS202+IF(AND($E203&lt;&gt;"",$E203&lt;=AS$2,$F203&gt;=AS$2),1,0)</f>
        <v/>
      </c>
      <c r="AT203">
        <f>AT202+IF(AND($E203&lt;&gt;"",$E203&lt;=AT$2,$F203&gt;=AT$2),1,0)</f>
        <v/>
      </c>
      <c r="AU203">
        <f>AU202+IF(AND($E203&lt;&gt;"",$E203&lt;=AU$2,$F203&gt;=AU$2),1,0)</f>
        <v/>
      </c>
      <c r="AV203">
        <f>AV202+IF(AND($E203&lt;&gt;"",$E203&lt;=AV$2,$F203&gt;=AV$2),1,0)</f>
        <v/>
      </c>
      <c r="AW203">
        <f>AW202+IF(AND($E203&lt;&gt;"",$E203&lt;=AW$2,$F203&gt;=AW$2),1,0)</f>
        <v/>
      </c>
    </row>
    <row r="204">
      <c r="A204">
        <f>IF(AND(ISNUMBER(Events!$A206),ISNUMBER(Events!$B206)),MAX(0,Events!$B206-Events!$A206),0)</f>
        <v/>
      </c>
      <c r="B204">
        <f>IF(ISNUMBER(Events!$A206),DATE(YEAR($B$1)-1,MONTH(Events!$A206),DAY(Events!$A206)),"")</f>
        <v/>
      </c>
      <c r="C204">
        <f>IF(ISNUMBER(Events!$A206),DATE(YEAR($B$1),MONTH(Events!$A206),DAY(Events!$A206)),"")</f>
        <v/>
      </c>
      <c r="D204">
        <f>IF(ISNUMBER(Events!$A206),DATE(YEAR($B$2),MONTH(Events!$A206),DAY(Events!$A206)),"")</f>
        <v/>
      </c>
      <c r="E204">
        <f>IF(OR(NOT(ISNUMBER(Events!$A206)),Events!$G206="No",Calendar!$H$4="None"),"",IF(OR(Calendar!$H$4="All events",Events!$D206=Calendar!$H$4),IF(Events!$E206="Yes",IF(AND(B204&gt;=Events!$A206,B204&lt;=$B$2,B204+$A204&gt;=$B$1),B204,IF(AND(C204&gt;=Events!$A206,C204&lt;=$B$2,C204+$A204&gt;=$B$1),C204,IF(AND(D204&gt;=Events!$A206,D204&lt;=$B$2,D204+$A204&gt;=$B$1),D204,""))),IF(AND(Events!$A206&lt;=$B$2,Events!$A206+$A204&gt;=$B$1),Events!$A206,"")),""))</f>
        <v/>
      </c>
      <c r="F204">
        <f>IF(E204="","",E204+A204)</f>
        <v/>
      </c>
      <c r="G204">
        <f>IF(E204="","",IF(AND(E204&lt;=EOMONTH(Calendar!$K$2,0),F204&gt;=Calendar!$K$2),E204+201/100000,""))</f>
        <v/>
      </c>
      <c r="H204">
        <f>H203+IF(AND($E204&lt;&gt;"",$E204&lt;=H$2,$F204&gt;=H$2),1,0)</f>
        <v/>
      </c>
      <c r="I204">
        <f>I203+IF(AND($E204&lt;&gt;"",$E204&lt;=I$2,$F204&gt;=I$2),1,0)</f>
        <v/>
      </c>
      <c r="J204">
        <f>J203+IF(AND($E204&lt;&gt;"",$E204&lt;=J$2,$F204&gt;=J$2),1,0)</f>
        <v/>
      </c>
      <c r="K204">
        <f>K203+IF(AND($E204&lt;&gt;"",$E204&lt;=K$2,$F204&gt;=K$2),1,0)</f>
        <v/>
      </c>
      <c r="L204">
        <f>L203+IF(AND($E204&lt;&gt;"",$E204&lt;=L$2,$F204&gt;=L$2),1,0)</f>
        <v/>
      </c>
      <c r="M204">
        <f>M203+IF(AND($E204&lt;&gt;"",$E204&lt;=M$2,$F204&gt;=M$2),1,0)</f>
        <v/>
      </c>
      <c r="N204">
        <f>N203+IF(AND($E204&lt;&gt;"",$E204&lt;=N$2,$F204&gt;=N$2),1,0)</f>
        <v/>
      </c>
      <c r="O204">
        <f>O203+IF(AND($E204&lt;&gt;"",$E204&lt;=O$2,$F204&gt;=O$2),1,0)</f>
        <v/>
      </c>
      <c r="P204">
        <f>P203+IF(AND($E204&lt;&gt;"",$E204&lt;=P$2,$F204&gt;=P$2),1,0)</f>
        <v/>
      </c>
      <c r="Q204">
        <f>Q203+IF(AND($E204&lt;&gt;"",$E204&lt;=Q$2,$F204&gt;=Q$2),1,0)</f>
        <v/>
      </c>
      <c r="R204">
        <f>R203+IF(AND($E204&lt;&gt;"",$E204&lt;=R$2,$F204&gt;=R$2),1,0)</f>
        <v/>
      </c>
      <c r="S204">
        <f>S203+IF(AND($E204&lt;&gt;"",$E204&lt;=S$2,$F204&gt;=S$2),1,0)</f>
        <v/>
      </c>
      <c r="T204">
        <f>T203+IF(AND($E204&lt;&gt;"",$E204&lt;=T$2,$F204&gt;=T$2),1,0)</f>
        <v/>
      </c>
      <c r="U204">
        <f>U203+IF(AND($E204&lt;&gt;"",$E204&lt;=U$2,$F204&gt;=U$2),1,0)</f>
        <v/>
      </c>
      <c r="V204">
        <f>V203+IF(AND($E204&lt;&gt;"",$E204&lt;=V$2,$F204&gt;=V$2),1,0)</f>
        <v/>
      </c>
      <c r="W204">
        <f>W203+IF(AND($E204&lt;&gt;"",$E204&lt;=W$2,$F204&gt;=W$2),1,0)</f>
        <v/>
      </c>
      <c r="X204">
        <f>X203+IF(AND($E204&lt;&gt;"",$E204&lt;=X$2,$F204&gt;=X$2),1,0)</f>
        <v/>
      </c>
      <c r="Y204">
        <f>Y203+IF(AND($E204&lt;&gt;"",$E204&lt;=Y$2,$F204&gt;=Y$2),1,0)</f>
        <v/>
      </c>
      <c r="Z204">
        <f>Z203+IF(AND($E204&lt;&gt;"",$E204&lt;=Z$2,$F204&gt;=Z$2),1,0)</f>
        <v/>
      </c>
      <c r="AA204">
        <f>AA203+IF(AND($E204&lt;&gt;"",$E204&lt;=AA$2,$F204&gt;=AA$2),1,0)</f>
        <v/>
      </c>
      <c r="AB204">
        <f>AB203+IF(AND($E204&lt;&gt;"",$E204&lt;=AB$2,$F204&gt;=AB$2),1,0)</f>
        <v/>
      </c>
      <c r="AC204">
        <f>AC203+IF(AND($E204&lt;&gt;"",$E204&lt;=AC$2,$F204&gt;=AC$2),1,0)</f>
        <v/>
      </c>
      <c r="AD204">
        <f>AD203+IF(AND($E204&lt;&gt;"",$E204&lt;=AD$2,$F204&gt;=AD$2),1,0)</f>
        <v/>
      </c>
      <c r="AE204">
        <f>AE203+IF(AND($E204&lt;&gt;"",$E204&lt;=AE$2,$F204&gt;=AE$2),1,0)</f>
        <v/>
      </c>
      <c r="AF204">
        <f>AF203+IF(AND($E204&lt;&gt;"",$E204&lt;=AF$2,$F204&gt;=AF$2),1,0)</f>
        <v/>
      </c>
      <c r="AG204">
        <f>AG203+IF(AND($E204&lt;&gt;"",$E204&lt;=AG$2,$F204&gt;=AG$2),1,0)</f>
        <v/>
      </c>
      <c r="AH204">
        <f>AH203+IF(AND($E204&lt;&gt;"",$E204&lt;=AH$2,$F204&gt;=AH$2),1,0)</f>
        <v/>
      </c>
      <c r="AI204">
        <f>AI203+IF(AND($E204&lt;&gt;"",$E204&lt;=AI$2,$F204&gt;=AI$2),1,0)</f>
        <v/>
      </c>
      <c r="AJ204">
        <f>AJ203+IF(AND($E204&lt;&gt;"",$E204&lt;=AJ$2,$F204&gt;=AJ$2),1,0)</f>
        <v/>
      </c>
      <c r="AK204">
        <f>AK203+IF(AND($E204&lt;&gt;"",$E204&lt;=AK$2,$F204&gt;=AK$2),1,0)</f>
        <v/>
      </c>
      <c r="AL204">
        <f>AL203+IF(AND($E204&lt;&gt;"",$E204&lt;=AL$2,$F204&gt;=AL$2),1,0)</f>
        <v/>
      </c>
      <c r="AM204">
        <f>AM203+IF(AND($E204&lt;&gt;"",$E204&lt;=AM$2,$F204&gt;=AM$2),1,0)</f>
        <v/>
      </c>
      <c r="AN204">
        <f>AN203+IF(AND($E204&lt;&gt;"",$E204&lt;=AN$2,$F204&gt;=AN$2),1,0)</f>
        <v/>
      </c>
      <c r="AO204">
        <f>AO203+IF(AND($E204&lt;&gt;"",$E204&lt;=AO$2,$F204&gt;=AO$2),1,0)</f>
        <v/>
      </c>
      <c r="AP204">
        <f>AP203+IF(AND($E204&lt;&gt;"",$E204&lt;=AP$2,$F204&gt;=AP$2),1,0)</f>
        <v/>
      </c>
      <c r="AQ204">
        <f>AQ203+IF(AND($E204&lt;&gt;"",$E204&lt;=AQ$2,$F204&gt;=AQ$2),1,0)</f>
        <v/>
      </c>
      <c r="AR204">
        <f>AR203+IF(AND($E204&lt;&gt;"",$E204&lt;=AR$2,$F204&gt;=AR$2),1,0)</f>
        <v/>
      </c>
      <c r="AS204">
        <f>AS203+IF(AND($E204&lt;&gt;"",$E204&lt;=AS$2,$F204&gt;=AS$2),1,0)</f>
        <v/>
      </c>
      <c r="AT204">
        <f>AT203+IF(AND($E204&lt;&gt;"",$E204&lt;=AT$2,$F204&gt;=AT$2),1,0)</f>
        <v/>
      </c>
      <c r="AU204">
        <f>AU203+IF(AND($E204&lt;&gt;"",$E204&lt;=AU$2,$F204&gt;=AU$2),1,0)</f>
        <v/>
      </c>
      <c r="AV204">
        <f>AV203+IF(AND($E204&lt;&gt;"",$E204&lt;=AV$2,$F204&gt;=AV$2),1,0)</f>
        <v/>
      </c>
      <c r="AW204">
        <f>AW203+IF(AND($E204&lt;&gt;"",$E204&lt;=AW$2,$F204&gt;=AW$2),1,0)</f>
        <v/>
      </c>
    </row>
    <row r="205">
      <c r="A205">
        <f>IF(AND(ISNUMBER(Events!$A207),ISNUMBER(Events!$B207)),MAX(0,Events!$B207-Events!$A207),0)</f>
        <v/>
      </c>
      <c r="B205">
        <f>IF(ISNUMBER(Events!$A207),DATE(YEAR($B$1)-1,MONTH(Events!$A207),DAY(Events!$A207)),"")</f>
        <v/>
      </c>
      <c r="C205">
        <f>IF(ISNUMBER(Events!$A207),DATE(YEAR($B$1),MONTH(Events!$A207),DAY(Events!$A207)),"")</f>
        <v/>
      </c>
      <c r="D205">
        <f>IF(ISNUMBER(Events!$A207),DATE(YEAR($B$2),MONTH(Events!$A207),DAY(Events!$A207)),"")</f>
        <v/>
      </c>
      <c r="E205">
        <f>IF(OR(NOT(ISNUMBER(Events!$A207)),Events!$G207="No",Calendar!$H$4="None"),"",IF(OR(Calendar!$H$4="All events",Events!$D207=Calendar!$H$4),IF(Events!$E207="Yes",IF(AND(B205&gt;=Events!$A207,B205&lt;=$B$2,B205+$A205&gt;=$B$1),B205,IF(AND(C205&gt;=Events!$A207,C205&lt;=$B$2,C205+$A205&gt;=$B$1),C205,IF(AND(D205&gt;=Events!$A207,D205&lt;=$B$2,D205+$A205&gt;=$B$1),D205,""))),IF(AND(Events!$A207&lt;=$B$2,Events!$A207+$A205&gt;=$B$1),Events!$A207,"")),""))</f>
        <v/>
      </c>
      <c r="F205">
        <f>IF(E205="","",E205+A205)</f>
        <v/>
      </c>
      <c r="G205">
        <f>IF(E205="","",IF(AND(E205&lt;=EOMONTH(Calendar!$K$2,0),F205&gt;=Calendar!$K$2),E205+202/100000,""))</f>
        <v/>
      </c>
      <c r="H205">
        <f>H204+IF(AND($E205&lt;&gt;"",$E205&lt;=H$2,$F205&gt;=H$2),1,0)</f>
        <v/>
      </c>
      <c r="I205">
        <f>I204+IF(AND($E205&lt;&gt;"",$E205&lt;=I$2,$F205&gt;=I$2),1,0)</f>
        <v/>
      </c>
      <c r="J205">
        <f>J204+IF(AND($E205&lt;&gt;"",$E205&lt;=J$2,$F205&gt;=J$2),1,0)</f>
        <v/>
      </c>
      <c r="K205">
        <f>K204+IF(AND($E205&lt;&gt;"",$E205&lt;=K$2,$F205&gt;=K$2),1,0)</f>
        <v/>
      </c>
      <c r="L205">
        <f>L204+IF(AND($E205&lt;&gt;"",$E205&lt;=L$2,$F205&gt;=L$2),1,0)</f>
        <v/>
      </c>
      <c r="M205">
        <f>M204+IF(AND($E205&lt;&gt;"",$E205&lt;=M$2,$F205&gt;=M$2),1,0)</f>
        <v/>
      </c>
      <c r="N205">
        <f>N204+IF(AND($E205&lt;&gt;"",$E205&lt;=N$2,$F205&gt;=N$2),1,0)</f>
        <v/>
      </c>
      <c r="O205">
        <f>O204+IF(AND($E205&lt;&gt;"",$E205&lt;=O$2,$F205&gt;=O$2),1,0)</f>
        <v/>
      </c>
      <c r="P205">
        <f>P204+IF(AND($E205&lt;&gt;"",$E205&lt;=P$2,$F205&gt;=P$2),1,0)</f>
        <v/>
      </c>
      <c r="Q205">
        <f>Q204+IF(AND($E205&lt;&gt;"",$E205&lt;=Q$2,$F205&gt;=Q$2),1,0)</f>
        <v/>
      </c>
      <c r="R205">
        <f>R204+IF(AND($E205&lt;&gt;"",$E205&lt;=R$2,$F205&gt;=R$2),1,0)</f>
        <v/>
      </c>
      <c r="S205">
        <f>S204+IF(AND($E205&lt;&gt;"",$E205&lt;=S$2,$F205&gt;=S$2),1,0)</f>
        <v/>
      </c>
      <c r="T205">
        <f>T204+IF(AND($E205&lt;&gt;"",$E205&lt;=T$2,$F205&gt;=T$2),1,0)</f>
        <v/>
      </c>
      <c r="U205">
        <f>U204+IF(AND($E205&lt;&gt;"",$E205&lt;=U$2,$F205&gt;=U$2),1,0)</f>
        <v/>
      </c>
      <c r="V205">
        <f>V204+IF(AND($E205&lt;&gt;"",$E205&lt;=V$2,$F205&gt;=V$2),1,0)</f>
        <v/>
      </c>
      <c r="W205">
        <f>W204+IF(AND($E205&lt;&gt;"",$E205&lt;=W$2,$F205&gt;=W$2),1,0)</f>
        <v/>
      </c>
      <c r="X205">
        <f>X204+IF(AND($E205&lt;&gt;"",$E205&lt;=X$2,$F205&gt;=X$2),1,0)</f>
        <v/>
      </c>
      <c r="Y205">
        <f>Y204+IF(AND($E205&lt;&gt;"",$E205&lt;=Y$2,$F205&gt;=Y$2),1,0)</f>
        <v/>
      </c>
      <c r="Z205">
        <f>Z204+IF(AND($E205&lt;&gt;"",$E205&lt;=Z$2,$F205&gt;=Z$2),1,0)</f>
        <v/>
      </c>
      <c r="AA205">
        <f>AA204+IF(AND($E205&lt;&gt;"",$E205&lt;=AA$2,$F205&gt;=AA$2),1,0)</f>
        <v/>
      </c>
      <c r="AB205">
        <f>AB204+IF(AND($E205&lt;&gt;"",$E205&lt;=AB$2,$F205&gt;=AB$2),1,0)</f>
        <v/>
      </c>
      <c r="AC205">
        <f>AC204+IF(AND($E205&lt;&gt;"",$E205&lt;=AC$2,$F205&gt;=AC$2),1,0)</f>
        <v/>
      </c>
      <c r="AD205">
        <f>AD204+IF(AND($E205&lt;&gt;"",$E205&lt;=AD$2,$F205&gt;=AD$2),1,0)</f>
        <v/>
      </c>
      <c r="AE205">
        <f>AE204+IF(AND($E205&lt;&gt;"",$E205&lt;=AE$2,$F205&gt;=AE$2),1,0)</f>
        <v/>
      </c>
      <c r="AF205">
        <f>AF204+IF(AND($E205&lt;&gt;"",$E205&lt;=AF$2,$F205&gt;=AF$2),1,0)</f>
        <v/>
      </c>
      <c r="AG205">
        <f>AG204+IF(AND($E205&lt;&gt;"",$E205&lt;=AG$2,$F205&gt;=AG$2),1,0)</f>
        <v/>
      </c>
      <c r="AH205">
        <f>AH204+IF(AND($E205&lt;&gt;"",$E205&lt;=AH$2,$F205&gt;=AH$2),1,0)</f>
        <v/>
      </c>
      <c r="AI205">
        <f>AI204+IF(AND($E205&lt;&gt;"",$E205&lt;=AI$2,$F205&gt;=AI$2),1,0)</f>
        <v/>
      </c>
      <c r="AJ205">
        <f>AJ204+IF(AND($E205&lt;&gt;"",$E205&lt;=AJ$2,$F205&gt;=AJ$2),1,0)</f>
        <v/>
      </c>
      <c r="AK205">
        <f>AK204+IF(AND($E205&lt;&gt;"",$E205&lt;=AK$2,$F205&gt;=AK$2),1,0)</f>
        <v/>
      </c>
      <c r="AL205">
        <f>AL204+IF(AND($E205&lt;&gt;"",$E205&lt;=AL$2,$F205&gt;=AL$2),1,0)</f>
        <v/>
      </c>
      <c r="AM205">
        <f>AM204+IF(AND($E205&lt;&gt;"",$E205&lt;=AM$2,$F205&gt;=AM$2),1,0)</f>
        <v/>
      </c>
      <c r="AN205">
        <f>AN204+IF(AND($E205&lt;&gt;"",$E205&lt;=AN$2,$F205&gt;=AN$2),1,0)</f>
        <v/>
      </c>
      <c r="AO205">
        <f>AO204+IF(AND($E205&lt;&gt;"",$E205&lt;=AO$2,$F205&gt;=AO$2),1,0)</f>
        <v/>
      </c>
      <c r="AP205">
        <f>AP204+IF(AND($E205&lt;&gt;"",$E205&lt;=AP$2,$F205&gt;=AP$2),1,0)</f>
        <v/>
      </c>
      <c r="AQ205">
        <f>AQ204+IF(AND($E205&lt;&gt;"",$E205&lt;=AQ$2,$F205&gt;=AQ$2),1,0)</f>
        <v/>
      </c>
      <c r="AR205">
        <f>AR204+IF(AND($E205&lt;&gt;"",$E205&lt;=AR$2,$F205&gt;=AR$2),1,0)</f>
        <v/>
      </c>
      <c r="AS205">
        <f>AS204+IF(AND($E205&lt;&gt;"",$E205&lt;=AS$2,$F205&gt;=AS$2),1,0)</f>
        <v/>
      </c>
      <c r="AT205">
        <f>AT204+IF(AND($E205&lt;&gt;"",$E205&lt;=AT$2,$F205&gt;=AT$2),1,0)</f>
        <v/>
      </c>
      <c r="AU205">
        <f>AU204+IF(AND($E205&lt;&gt;"",$E205&lt;=AU$2,$F205&gt;=AU$2),1,0)</f>
        <v/>
      </c>
      <c r="AV205">
        <f>AV204+IF(AND($E205&lt;&gt;"",$E205&lt;=AV$2,$F205&gt;=AV$2),1,0)</f>
        <v/>
      </c>
      <c r="AW205">
        <f>AW204+IF(AND($E205&lt;&gt;"",$E205&lt;=AW$2,$F205&gt;=AW$2),1,0)</f>
        <v/>
      </c>
    </row>
    <row r="206">
      <c r="A206">
        <f>IF(AND(ISNUMBER(Events!$A208),ISNUMBER(Events!$B208)),MAX(0,Events!$B208-Events!$A208),0)</f>
        <v/>
      </c>
      <c r="B206">
        <f>IF(ISNUMBER(Events!$A208),DATE(YEAR($B$1)-1,MONTH(Events!$A208),DAY(Events!$A208)),"")</f>
        <v/>
      </c>
      <c r="C206">
        <f>IF(ISNUMBER(Events!$A208),DATE(YEAR($B$1),MONTH(Events!$A208),DAY(Events!$A208)),"")</f>
        <v/>
      </c>
      <c r="D206">
        <f>IF(ISNUMBER(Events!$A208),DATE(YEAR($B$2),MONTH(Events!$A208),DAY(Events!$A208)),"")</f>
        <v/>
      </c>
      <c r="E206">
        <f>IF(OR(NOT(ISNUMBER(Events!$A208)),Events!$G208="No",Calendar!$H$4="None"),"",IF(OR(Calendar!$H$4="All events",Events!$D208=Calendar!$H$4),IF(Events!$E208="Yes",IF(AND(B206&gt;=Events!$A208,B206&lt;=$B$2,B206+$A206&gt;=$B$1),B206,IF(AND(C206&gt;=Events!$A208,C206&lt;=$B$2,C206+$A206&gt;=$B$1),C206,IF(AND(D206&gt;=Events!$A208,D206&lt;=$B$2,D206+$A206&gt;=$B$1),D206,""))),IF(AND(Events!$A208&lt;=$B$2,Events!$A208+$A206&gt;=$B$1),Events!$A208,"")),""))</f>
        <v/>
      </c>
      <c r="F206">
        <f>IF(E206="","",E206+A206)</f>
        <v/>
      </c>
      <c r="G206">
        <f>IF(E206="","",IF(AND(E206&lt;=EOMONTH(Calendar!$K$2,0),F206&gt;=Calendar!$K$2),E206+203/100000,""))</f>
        <v/>
      </c>
      <c r="H206">
        <f>H205+IF(AND($E206&lt;&gt;"",$E206&lt;=H$2,$F206&gt;=H$2),1,0)</f>
        <v/>
      </c>
      <c r="I206">
        <f>I205+IF(AND($E206&lt;&gt;"",$E206&lt;=I$2,$F206&gt;=I$2),1,0)</f>
        <v/>
      </c>
      <c r="J206">
        <f>J205+IF(AND($E206&lt;&gt;"",$E206&lt;=J$2,$F206&gt;=J$2),1,0)</f>
        <v/>
      </c>
      <c r="K206">
        <f>K205+IF(AND($E206&lt;&gt;"",$E206&lt;=K$2,$F206&gt;=K$2),1,0)</f>
        <v/>
      </c>
      <c r="L206">
        <f>L205+IF(AND($E206&lt;&gt;"",$E206&lt;=L$2,$F206&gt;=L$2),1,0)</f>
        <v/>
      </c>
      <c r="M206">
        <f>M205+IF(AND($E206&lt;&gt;"",$E206&lt;=M$2,$F206&gt;=M$2),1,0)</f>
        <v/>
      </c>
      <c r="N206">
        <f>N205+IF(AND($E206&lt;&gt;"",$E206&lt;=N$2,$F206&gt;=N$2),1,0)</f>
        <v/>
      </c>
      <c r="O206">
        <f>O205+IF(AND($E206&lt;&gt;"",$E206&lt;=O$2,$F206&gt;=O$2),1,0)</f>
        <v/>
      </c>
      <c r="P206">
        <f>P205+IF(AND($E206&lt;&gt;"",$E206&lt;=P$2,$F206&gt;=P$2),1,0)</f>
        <v/>
      </c>
      <c r="Q206">
        <f>Q205+IF(AND($E206&lt;&gt;"",$E206&lt;=Q$2,$F206&gt;=Q$2),1,0)</f>
        <v/>
      </c>
      <c r="R206">
        <f>R205+IF(AND($E206&lt;&gt;"",$E206&lt;=R$2,$F206&gt;=R$2),1,0)</f>
        <v/>
      </c>
      <c r="S206">
        <f>S205+IF(AND($E206&lt;&gt;"",$E206&lt;=S$2,$F206&gt;=S$2),1,0)</f>
        <v/>
      </c>
      <c r="T206">
        <f>T205+IF(AND($E206&lt;&gt;"",$E206&lt;=T$2,$F206&gt;=T$2),1,0)</f>
        <v/>
      </c>
      <c r="U206">
        <f>U205+IF(AND($E206&lt;&gt;"",$E206&lt;=U$2,$F206&gt;=U$2),1,0)</f>
        <v/>
      </c>
      <c r="V206">
        <f>V205+IF(AND($E206&lt;&gt;"",$E206&lt;=V$2,$F206&gt;=V$2),1,0)</f>
        <v/>
      </c>
      <c r="W206">
        <f>W205+IF(AND($E206&lt;&gt;"",$E206&lt;=W$2,$F206&gt;=W$2),1,0)</f>
        <v/>
      </c>
      <c r="X206">
        <f>X205+IF(AND($E206&lt;&gt;"",$E206&lt;=X$2,$F206&gt;=X$2),1,0)</f>
        <v/>
      </c>
      <c r="Y206">
        <f>Y205+IF(AND($E206&lt;&gt;"",$E206&lt;=Y$2,$F206&gt;=Y$2),1,0)</f>
        <v/>
      </c>
      <c r="Z206">
        <f>Z205+IF(AND($E206&lt;&gt;"",$E206&lt;=Z$2,$F206&gt;=Z$2),1,0)</f>
        <v/>
      </c>
      <c r="AA206">
        <f>AA205+IF(AND($E206&lt;&gt;"",$E206&lt;=AA$2,$F206&gt;=AA$2),1,0)</f>
        <v/>
      </c>
      <c r="AB206">
        <f>AB205+IF(AND($E206&lt;&gt;"",$E206&lt;=AB$2,$F206&gt;=AB$2),1,0)</f>
        <v/>
      </c>
      <c r="AC206">
        <f>AC205+IF(AND($E206&lt;&gt;"",$E206&lt;=AC$2,$F206&gt;=AC$2),1,0)</f>
        <v/>
      </c>
      <c r="AD206">
        <f>AD205+IF(AND($E206&lt;&gt;"",$E206&lt;=AD$2,$F206&gt;=AD$2),1,0)</f>
        <v/>
      </c>
      <c r="AE206">
        <f>AE205+IF(AND($E206&lt;&gt;"",$E206&lt;=AE$2,$F206&gt;=AE$2),1,0)</f>
        <v/>
      </c>
      <c r="AF206">
        <f>AF205+IF(AND($E206&lt;&gt;"",$E206&lt;=AF$2,$F206&gt;=AF$2),1,0)</f>
        <v/>
      </c>
      <c r="AG206">
        <f>AG205+IF(AND($E206&lt;&gt;"",$E206&lt;=AG$2,$F206&gt;=AG$2),1,0)</f>
        <v/>
      </c>
      <c r="AH206">
        <f>AH205+IF(AND($E206&lt;&gt;"",$E206&lt;=AH$2,$F206&gt;=AH$2),1,0)</f>
        <v/>
      </c>
      <c r="AI206">
        <f>AI205+IF(AND($E206&lt;&gt;"",$E206&lt;=AI$2,$F206&gt;=AI$2),1,0)</f>
        <v/>
      </c>
      <c r="AJ206">
        <f>AJ205+IF(AND($E206&lt;&gt;"",$E206&lt;=AJ$2,$F206&gt;=AJ$2),1,0)</f>
        <v/>
      </c>
      <c r="AK206">
        <f>AK205+IF(AND($E206&lt;&gt;"",$E206&lt;=AK$2,$F206&gt;=AK$2),1,0)</f>
        <v/>
      </c>
      <c r="AL206">
        <f>AL205+IF(AND($E206&lt;&gt;"",$E206&lt;=AL$2,$F206&gt;=AL$2),1,0)</f>
        <v/>
      </c>
      <c r="AM206">
        <f>AM205+IF(AND($E206&lt;&gt;"",$E206&lt;=AM$2,$F206&gt;=AM$2),1,0)</f>
        <v/>
      </c>
      <c r="AN206">
        <f>AN205+IF(AND($E206&lt;&gt;"",$E206&lt;=AN$2,$F206&gt;=AN$2),1,0)</f>
        <v/>
      </c>
      <c r="AO206">
        <f>AO205+IF(AND($E206&lt;&gt;"",$E206&lt;=AO$2,$F206&gt;=AO$2),1,0)</f>
        <v/>
      </c>
      <c r="AP206">
        <f>AP205+IF(AND($E206&lt;&gt;"",$E206&lt;=AP$2,$F206&gt;=AP$2),1,0)</f>
        <v/>
      </c>
      <c r="AQ206">
        <f>AQ205+IF(AND($E206&lt;&gt;"",$E206&lt;=AQ$2,$F206&gt;=AQ$2),1,0)</f>
        <v/>
      </c>
      <c r="AR206">
        <f>AR205+IF(AND($E206&lt;&gt;"",$E206&lt;=AR$2,$F206&gt;=AR$2),1,0)</f>
        <v/>
      </c>
      <c r="AS206">
        <f>AS205+IF(AND($E206&lt;&gt;"",$E206&lt;=AS$2,$F206&gt;=AS$2),1,0)</f>
        <v/>
      </c>
      <c r="AT206">
        <f>AT205+IF(AND($E206&lt;&gt;"",$E206&lt;=AT$2,$F206&gt;=AT$2),1,0)</f>
        <v/>
      </c>
      <c r="AU206">
        <f>AU205+IF(AND($E206&lt;&gt;"",$E206&lt;=AU$2,$F206&gt;=AU$2),1,0)</f>
        <v/>
      </c>
      <c r="AV206">
        <f>AV205+IF(AND($E206&lt;&gt;"",$E206&lt;=AV$2,$F206&gt;=AV$2),1,0)</f>
        <v/>
      </c>
      <c r="AW206">
        <f>AW205+IF(AND($E206&lt;&gt;"",$E206&lt;=AW$2,$F206&gt;=AW$2),1,0)</f>
        <v/>
      </c>
    </row>
    <row r="207">
      <c r="A207">
        <f>IF(AND(ISNUMBER(Events!$A209),ISNUMBER(Events!$B209)),MAX(0,Events!$B209-Events!$A209),0)</f>
        <v/>
      </c>
      <c r="B207">
        <f>IF(ISNUMBER(Events!$A209),DATE(YEAR($B$1)-1,MONTH(Events!$A209),DAY(Events!$A209)),"")</f>
        <v/>
      </c>
      <c r="C207">
        <f>IF(ISNUMBER(Events!$A209),DATE(YEAR($B$1),MONTH(Events!$A209),DAY(Events!$A209)),"")</f>
        <v/>
      </c>
      <c r="D207">
        <f>IF(ISNUMBER(Events!$A209),DATE(YEAR($B$2),MONTH(Events!$A209),DAY(Events!$A209)),"")</f>
        <v/>
      </c>
      <c r="E207">
        <f>IF(OR(NOT(ISNUMBER(Events!$A209)),Events!$G209="No",Calendar!$H$4="None"),"",IF(OR(Calendar!$H$4="All events",Events!$D209=Calendar!$H$4),IF(Events!$E209="Yes",IF(AND(B207&gt;=Events!$A209,B207&lt;=$B$2,B207+$A207&gt;=$B$1),B207,IF(AND(C207&gt;=Events!$A209,C207&lt;=$B$2,C207+$A207&gt;=$B$1),C207,IF(AND(D207&gt;=Events!$A209,D207&lt;=$B$2,D207+$A207&gt;=$B$1),D207,""))),IF(AND(Events!$A209&lt;=$B$2,Events!$A209+$A207&gt;=$B$1),Events!$A209,"")),""))</f>
        <v/>
      </c>
      <c r="F207">
        <f>IF(E207="","",E207+A207)</f>
        <v/>
      </c>
      <c r="G207">
        <f>IF(E207="","",IF(AND(E207&lt;=EOMONTH(Calendar!$K$2,0),F207&gt;=Calendar!$K$2),E207+204/100000,""))</f>
        <v/>
      </c>
      <c r="H207">
        <f>H206+IF(AND($E207&lt;&gt;"",$E207&lt;=H$2,$F207&gt;=H$2),1,0)</f>
        <v/>
      </c>
      <c r="I207">
        <f>I206+IF(AND($E207&lt;&gt;"",$E207&lt;=I$2,$F207&gt;=I$2),1,0)</f>
        <v/>
      </c>
      <c r="J207">
        <f>J206+IF(AND($E207&lt;&gt;"",$E207&lt;=J$2,$F207&gt;=J$2),1,0)</f>
        <v/>
      </c>
      <c r="K207">
        <f>K206+IF(AND($E207&lt;&gt;"",$E207&lt;=K$2,$F207&gt;=K$2),1,0)</f>
        <v/>
      </c>
      <c r="L207">
        <f>L206+IF(AND($E207&lt;&gt;"",$E207&lt;=L$2,$F207&gt;=L$2),1,0)</f>
        <v/>
      </c>
      <c r="M207">
        <f>M206+IF(AND($E207&lt;&gt;"",$E207&lt;=M$2,$F207&gt;=M$2),1,0)</f>
        <v/>
      </c>
      <c r="N207">
        <f>N206+IF(AND($E207&lt;&gt;"",$E207&lt;=N$2,$F207&gt;=N$2),1,0)</f>
        <v/>
      </c>
      <c r="O207">
        <f>O206+IF(AND($E207&lt;&gt;"",$E207&lt;=O$2,$F207&gt;=O$2),1,0)</f>
        <v/>
      </c>
      <c r="P207">
        <f>P206+IF(AND($E207&lt;&gt;"",$E207&lt;=P$2,$F207&gt;=P$2),1,0)</f>
        <v/>
      </c>
      <c r="Q207">
        <f>Q206+IF(AND($E207&lt;&gt;"",$E207&lt;=Q$2,$F207&gt;=Q$2),1,0)</f>
        <v/>
      </c>
      <c r="R207">
        <f>R206+IF(AND($E207&lt;&gt;"",$E207&lt;=R$2,$F207&gt;=R$2),1,0)</f>
        <v/>
      </c>
      <c r="S207">
        <f>S206+IF(AND($E207&lt;&gt;"",$E207&lt;=S$2,$F207&gt;=S$2),1,0)</f>
        <v/>
      </c>
      <c r="T207">
        <f>T206+IF(AND($E207&lt;&gt;"",$E207&lt;=T$2,$F207&gt;=T$2),1,0)</f>
        <v/>
      </c>
      <c r="U207">
        <f>U206+IF(AND($E207&lt;&gt;"",$E207&lt;=U$2,$F207&gt;=U$2),1,0)</f>
        <v/>
      </c>
      <c r="V207">
        <f>V206+IF(AND($E207&lt;&gt;"",$E207&lt;=V$2,$F207&gt;=V$2),1,0)</f>
        <v/>
      </c>
      <c r="W207">
        <f>W206+IF(AND($E207&lt;&gt;"",$E207&lt;=W$2,$F207&gt;=W$2),1,0)</f>
        <v/>
      </c>
      <c r="X207">
        <f>X206+IF(AND($E207&lt;&gt;"",$E207&lt;=X$2,$F207&gt;=X$2),1,0)</f>
        <v/>
      </c>
      <c r="Y207">
        <f>Y206+IF(AND($E207&lt;&gt;"",$E207&lt;=Y$2,$F207&gt;=Y$2),1,0)</f>
        <v/>
      </c>
      <c r="Z207">
        <f>Z206+IF(AND($E207&lt;&gt;"",$E207&lt;=Z$2,$F207&gt;=Z$2),1,0)</f>
        <v/>
      </c>
      <c r="AA207">
        <f>AA206+IF(AND($E207&lt;&gt;"",$E207&lt;=AA$2,$F207&gt;=AA$2),1,0)</f>
        <v/>
      </c>
      <c r="AB207">
        <f>AB206+IF(AND($E207&lt;&gt;"",$E207&lt;=AB$2,$F207&gt;=AB$2),1,0)</f>
        <v/>
      </c>
      <c r="AC207">
        <f>AC206+IF(AND($E207&lt;&gt;"",$E207&lt;=AC$2,$F207&gt;=AC$2),1,0)</f>
        <v/>
      </c>
      <c r="AD207">
        <f>AD206+IF(AND($E207&lt;&gt;"",$E207&lt;=AD$2,$F207&gt;=AD$2),1,0)</f>
        <v/>
      </c>
      <c r="AE207">
        <f>AE206+IF(AND($E207&lt;&gt;"",$E207&lt;=AE$2,$F207&gt;=AE$2),1,0)</f>
        <v/>
      </c>
      <c r="AF207">
        <f>AF206+IF(AND($E207&lt;&gt;"",$E207&lt;=AF$2,$F207&gt;=AF$2),1,0)</f>
        <v/>
      </c>
      <c r="AG207">
        <f>AG206+IF(AND($E207&lt;&gt;"",$E207&lt;=AG$2,$F207&gt;=AG$2),1,0)</f>
        <v/>
      </c>
      <c r="AH207">
        <f>AH206+IF(AND($E207&lt;&gt;"",$E207&lt;=AH$2,$F207&gt;=AH$2),1,0)</f>
        <v/>
      </c>
      <c r="AI207">
        <f>AI206+IF(AND($E207&lt;&gt;"",$E207&lt;=AI$2,$F207&gt;=AI$2),1,0)</f>
        <v/>
      </c>
      <c r="AJ207">
        <f>AJ206+IF(AND($E207&lt;&gt;"",$E207&lt;=AJ$2,$F207&gt;=AJ$2),1,0)</f>
        <v/>
      </c>
      <c r="AK207">
        <f>AK206+IF(AND($E207&lt;&gt;"",$E207&lt;=AK$2,$F207&gt;=AK$2),1,0)</f>
        <v/>
      </c>
      <c r="AL207">
        <f>AL206+IF(AND($E207&lt;&gt;"",$E207&lt;=AL$2,$F207&gt;=AL$2),1,0)</f>
        <v/>
      </c>
      <c r="AM207">
        <f>AM206+IF(AND($E207&lt;&gt;"",$E207&lt;=AM$2,$F207&gt;=AM$2),1,0)</f>
        <v/>
      </c>
      <c r="AN207">
        <f>AN206+IF(AND($E207&lt;&gt;"",$E207&lt;=AN$2,$F207&gt;=AN$2),1,0)</f>
        <v/>
      </c>
      <c r="AO207">
        <f>AO206+IF(AND($E207&lt;&gt;"",$E207&lt;=AO$2,$F207&gt;=AO$2),1,0)</f>
        <v/>
      </c>
      <c r="AP207">
        <f>AP206+IF(AND($E207&lt;&gt;"",$E207&lt;=AP$2,$F207&gt;=AP$2),1,0)</f>
        <v/>
      </c>
      <c r="AQ207">
        <f>AQ206+IF(AND($E207&lt;&gt;"",$E207&lt;=AQ$2,$F207&gt;=AQ$2),1,0)</f>
        <v/>
      </c>
      <c r="AR207">
        <f>AR206+IF(AND($E207&lt;&gt;"",$E207&lt;=AR$2,$F207&gt;=AR$2),1,0)</f>
        <v/>
      </c>
      <c r="AS207">
        <f>AS206+IF(AND($E207&lt;&gt;"",$E207&lt;=AS$2,$F207&gt;=AS$2),1,0)</f>
        <v/>
      </c>
      <c r="AT207">
        <f>AT206+IF(AND($E207&lt;&gt;"",$E207&lt;=AT$2,$F207&gt;=AT$2),1,0)</f>
        <v/>
      </c>
      <c r="AU207">
        <f>AU206+IF(AND($E207&lt;&gt;"",$E207&lt;=AU$2,$F207&gt;=AU$2),1,0)</f>
        <v/>
      </c>
      <c r="AV207">
        <f>AV206+IF(AND($E207&lt;&gt;"",$E207&lt;=AV$2,$F207&gt;=AV$2),1,0)</f>
        <v/>
      </c>
      <c r="AW207">
        <f>AW206+IF(AND($E207&lt;&gt;"",$E207&lt;=AW$2,$F207&gt;=AW$2),1,0)</f>
        <v/>
      </c>
    </row>
    <row r="208">
      <c r="A208">
        <f>IF(AND(ISNUMBER(Events!$A210),ISNUMBER(Events!$B210)),MAX(0,Events!$B210-Events!$A210),0)</f>
        <v/>
      </c>
      <c r="B208">
        <f>IF(ISNUMBER(Events!$A210),DATE(YEAR($B$1)-1,MONTH(Events!$A210),DAY(Events!$A210)),"")</f>
        <v/>
      </c>
      <c r="C208">
        <f>IF(ISNUMBER(Events!$A210),DATE(YEAR($B$1),MONTH(Events!$A210),DAY(Events!$A210)),"")</f>
        <v/>
      </c>
      <c r="D208">
        <f>IF(ISNUMBER(Events!$A210),DATE(YEAR($B$2),MONTH(Events!$A210),DAY(Events!$A210)),"")</f>
        <v/>
      </c>
      <c r="E208">
        <f>IF(OR(NOT(ISNUMBER(Events!$A210)),Events!$G210="No",Calendar!$H$4="None"),"",IF(OR(Calendar!$H$4="All events",Events!$D210=Calendar!$H$4),IF(Events!$E210="Yes",IF(AND(B208&gt;=Events!$A210,B208&lt;=$B$2,B208+$A208&gt;=$B$1),B208,IF(AND(C208&gt;=Events!$A210,C208&lt;=$B$2,C208+$A208&gt;=$B$1),C208,IF(AND(D208&gt;=Events!$A210,D208&lt;=$B$2,D208+$A208&gt;=$B$1),D208,""))),IF(AND(Events!$A210&lt;=$B$2,Events!$A210+$A208&gt;=$B$1),Events!$A210,"")),""))</f>
        <v/>
      </c>
      <c r="F208">
        <f>IF(E208="","",E208+A208)</f>
        <v/>
      </c>
      <c r="G208">
        <f>IF(E208="","",IF(AND(E208&lt;=EOMONTH(Calendar!$K$2,0),F208&gt;=Calendar!$K$2),E208+205/100000,""))</f>
        <v/>
      </c>
      <c r="H208">
        <f>H207+IF(AND($E208&lt;&gt;"",$E208&lt;=H$2,$F208&gt;=H$2),1,0)</f>
        <v/>
      </c>
      <c r="I208">
        <f>I207+IF(AND($E208&lt;&gt;"",$E208&lt;=I$2,$F208&gt;=I$2),1,0)</f>
        <v/>
      </c>
      <c r="J208">
        <f>J207+IF(AND($E208&lt;&gt;"",$E208&lt;=J$2,$F208&gt;=J$2),1,0)</f>
        <v/>
      </c>
      <c r="K208">
        <f>K207+IF(AND($E208&lt;&gt;"",$E208&lt;=K$2,$F208&gt;=K$2),1,0)</f>
        <v/>
      </c>
      <c r="L208">
        <f>L207+IF(AND($E208&lt;&gt;"",$E208&lt;=L$2,$F208&gt;=L$2),1,0)</f>
        <v/>
      </c>
      <c r="M208">
        <f>M207+IF(AND($E208&lt;&gt;"",$E208&lt;=M$2,$F208&gt;=M$2),1,0)</f>
        <v/>
      </c>
      <c r="N208">
        <f>N207+IF(AND($E208&lt;&gt;"",$E208&lt;=N$2,$F208&gt;=N$2),1,0)</f>
        <v/>
      </c>
      <c r="O208">
        <f>O207+IF(AND($E208&lt;&gt;"",$E208&lt;=O$2,$F208&gt;=O$2),1,0)</f>
        <v/>
      </c>
      <c r="P208">
        <f>P207+IF(AND($E208&lt;&gt;"",$E208&lt;=P$2,$F208&gt;=P$2),1,0)</f>
        <v/>
      </c>
      <c r="Q208">
        <f>Q207+IF(AND($E208&lt;&gt;"",$E208&lt;=Q$2,$F208&gt;=Q$2),1,0)</f>
        <v/>
      </c>
      <c r="R208">
        <f>R207+IF(AND($E208&lt;&gt;"",$E208&lt;=R$2,$F208&gt;=R$2),1,0)</f>
        <v/>
      </c>
      <c r="S208">
        <f>S207+IF(AND($E208&lt;&gt;"",$E208&lt;=S$2,$F208&gt;=S$2),1,0)</f>
        <v/>
      </c>
      <c r="T208">
        <f>T207+IF(AND($E208&lt;&gt;"",$E208&lt;=T$2,$F208&gt;=T$2),1,0)</f>
        <v/>
      </c>
      <c r="U208">
        <f>U207+IF(AND($E208&lt;&gt;"",$E208&lt;=U$2,$F208&gt;=U$2),1,0)</f>
        <v/>
      </c>
      <c r="V208">
        <f>V207+IF(AND($E208&lt;&gt;"",$E208&lt;=V$2,$F208&gt;=V$2),1,0)</f>
        <v/>
      </c>
      <c r="W208">
        <f>W207+IF(AND($E208&lt;&gt;"",$E208&lt;=W$2,$F208&gt;=W$2),1,0)</f>
        <v/>
      </c>
      <c r="X208">
        <f>X207+IF(AND($E208&lt;&gt;"",$E208&lt;=X$2,$F208&gt;=X$2),1,0)</f>
        <v/>
      </c>
      <c r="Y208">
        <f>Y207+IF(AND($E208&lt;&gt;"",$E208&lt;=Y$2,$F208&gt;=Y$2),1,0)</f>
        <v/>
      </c>
      <c r="Z208">
        <f>Z207+IF(AND($E208&lt;&gt;"",$E208&lt;=Z$2,$F208&gt;=Z$2),1,0)</f>
        <v/>
      </c>
      <c r="AA208">
        <f>AA207+IF(AND($E208&lt;&gt;"",$E208&lt;=AA$2,$F208&gt;=AA$2),1,0)</f>
        <v/>
      </c>
      <c r="AB208">
        <f>AB207+IF(AND($E208&lt;&gt;"",$E208&lt;=AB$2,$F208&gt;=AB$2),1,0)</f>
        <v/>
      </c>
      <c r="AC208">
        <f>AC207+IF(AND($E208&lt;&gt;"",$E208&lt;=AC$2,$F208&gt;=AC$2),1,0)</f>
        <v/>
      </c>
      <c r="AD208">
        <f>AD207+IF(AND($E208&lt;&gt;"",$E208&lt;=AD$2,$F208&gt;=AD$2),1,0)</f>
        <v/>
      </c>
      <c r="AE208">
        <f>AE207+IF(AND($E208&lt;&gt;"",$E208&lt;=AE$2,$F208&gt;=AE$2),1,0)</f>
        <v/>
      </c>
      <c r="AF208">
        <f>AF207+IF(AND($E208&lt;&gt;"",$E208&lt;=AF$2,$F208&gt;=AF$2),1,0)</f>
        <v/>
      </c>
      <c r="AG208">
        <f>AG207+IF(AND($E208&lt;&gt;"",$E208&lt;=AG$2,$F208&gt;=AG$2),1,0)</f>
        <v/>
      </c>
      <c r="AH208">
        <f>AH207+IF(AND($E208&lt;&gt;"",$E208&lt;=AH$2,$F208&gt;=AH$2),1,0)</f>
        <v/>
      </c>
      <c r="AI208">
        <f>AI207+IF(AND($E208&lt;&gt;"",$E208&lt;=AI$2,$F208&gt;=AI$2),1,0)</f>
        <v/>
      </c>
      <c r="AJ208">
        <f>AJ207+IF(AND($E208&lt;&gt;"",$E208&lt;=AJ$2,$F208&gt;=AJ$2),1,0)</f>
        <v/>
      </c>
      <c r="AK208">
        <f>AK207+IF(AND($E208&lt;&gt;"",$E208&lt;=AK$2,$F208&gt;=AK$2),1,0)</f>
        <v/>
      </c>
      <c r="AL208">
        <f>AL207+IF(AND($E208&lt;&gt;"",$E208&lt;=AL$2,$F208&gt;=AL$2),1,0)</f>
        <v/>
      </c>
      <c r="AM208">
        <f>AM207+IF(AND($E208&lt;&gt;"",$E208&lt;=AM$2,$F208&gt;=AM$2),1,0)</f>
        <v/>
      </c>
      <c r="AN208">
        <f>AN207+IF(AND($E208&lt;&gt;"",$E208&lt;=AN$2,$F208&gt;=AN$2),1,0)</f>
        <v/>
      </c>
      <c r="AO208">
        <f>AO207+IF(AND($E208&lt;&gt;"",$E208&lt;=AO$2,$F208&gt;=AO$2),1,0)</f>
        <v/>
      </c>
      <c r="AP208">
        <f>AP207+IF(AND($E208&lt;&gt;"",$E208&lt;=AP$2,$F208&gt;=AP$2),1,0)</f>
        <v/>
      </c>
      <c r="AQ208">
        <f>AQ207+IF(AND($E208&lt;&gt;"",$E208&lt;=AQ$2,$F208&gt;=AQ$2),1,0)</f>
        <v/>
      </c>
      <c r="AR208">
        <f>AR207+IF(AND($E208&lt;&gt;"",$E208&lt;=AR$2,$F208&gt;=AR$2),1,0)</f>
        <v/>
      </c>
      <c r="AS208">
        <f>AS207+IF(AND($E208&lt;&gt;"",$E208&lt;=AS$2,$F208&gt;=AS$2),1,0)</f>
        <v/>
      </c>
      <c r="AT208">
        <f>AT207+IF(AND($E208&lt;&gt;"",$E208&lt;=AT$2,$F208&gt;=AT$2),1,0)</f>
        <v/>
      </c>
      <c r="AU208">
        <f>AU207+IF(AND($E208&lt;&gt;"",$E208&lt;=AU$2,$F208&gt;=AU$2),1,0)</f>
        <v/>
      </c>
      <c r="AV208">
        <f>AV207+IF(AND($E208&lt;&gt;"",$E208&lt;=AV$2,$F208&gt;=AV$2),1,0)</f>
        <v/>
      </c>
      <c r="AW208">
        <f>AW207+IF(AND($E208&lt;&gt;"",$E208&lt;=AW$2,$F208&gt;=AW$2),1,0)</f>
        <v/>
      </c>
    </row>
    <row r="209">
      <c r="A209">
        <f>IF(AND(ISNUMBER(Events!$A211),ISNUMBER(Events!$B211)),MAX(0,Events!$B211-Events!$A211),0)</f>
        <v/>
      </c>
      <c r="B209">
        <f>IF(ISNUMBER(Events!$A211),DATE(YEAR($B$1)-1,MONTH(Events!$A211),DAY(Events!$A211)),"")</f>
        <v/>
      </c>
      <c r="C209">
        <f>IF(ISNUMBER(Events!$A211),DATE(YEAR($B$1),MONTH(Events!$A211),DAY(Events!$A211)),"")</f>
        <v/>
      </c>
      <c r="D209">
        <f>IF(ISNUMBER(Events!$A211),DATE(YEAR($B$2),MONTH(Events!$A211),DAY(Events!$A211)),"")</f>
        <v/>
      </c>
      <c r="E209">
        <f>IF(OR(NOT(ISNUMBER(Events!$A211)),Events!$G211="No",Calendar!$H$4="None"),"",IF(OR(Calendar!$H$4="All events",Events!$D211=Calendar!$H$4),IF(Events!$E211="Yes",IF(AND(B209&gt;=Events!$A211,B209&lt;=$B$2,B209+$A209&gt;=$B$1),B209,IF(AND(C209&gt;=Events!$A211,C209&lt;=$B$2,C209+$A209&gt;=$B$1),C209,IF(AND(D209&gt;=Events!$A211,D209&lt;=$B$2,D209+$A209&gt;=$B$1),D209,""))),IF(AND(Events!$A211&lt;=$B$2,Events!$A211+$A209&gt;=$B$1),Events!$A211,"")),""))</f>
        <v/>
      </c>
      <c r="F209">
        <f>IF(E209="","",E209+A209)</f>
        <v/>
      </c>
      <c r="G209">
        <f>IF(E209="","",IF(AND(E209&lt;=EOMONTH(Calendar!$K$2,0),F209&gt;=Calendar!$K$2),E209+206/100000,""))</f>
        <v/>
      </c>
      <c r="H209">
        <f>H208+IF(AND($E209&lt;&gt;"",$E209&lt;=H$2,$F209&gt;=H$2),1,0)</f>
        <v/>
      </c>
      <c r="I209">
        <f>I208+IF(AND($E209&lt;&gt;"",$E209&lt;=I$2,$F209&gt;=I$2),1,0)</f>
        <v/>
      </c>
      <c r="J209">
        <f>J208+IF(AND($E209&lt;&gt;"",$E209&lt;=J$2,$F209&gt;=J$2),1,0)</f>
        <v/>
      </c>
      <c r="K209">
        <f>K208+IF(AND($E209&lt;&gt;"",$E209&lt;=K$2,$F209&gt;=K$2),1,0)</f>
        <v/>
      </c>
      <c r="L209">
        <f>L208+IF(AND($E209&lt;&gt;"",$E209&lt;=L$2,$F209&gt;=L$2),1,0)</f>
        <v/>
      </c>
      <c r="M209">
        <f>M208+IF(AND($E209&lt;&gt;"",$E209&lt;=M$2,$F209&gt;=M$2),1,0)</f>
        <v/>
      </c>
      <c r="N209">
        <f>N208+IF(AND($E209&lt;&gt;"",$E209&lt;=N$2,$F209&gt;=N$2),1,0)</f>
        <v/>
      </c>
      <c r="O209">
        <f>O208+IF(AND($E209&lt;&gt;"",$E209&lt;=O$2,$F209&gt;=O$2),1,0)</f>
        <v/>
      </c>
      <c r="P209">
        <f>P208+IF(AND($E209&lt;&gt;"",$E209&lt;=P$2,$F209&gt;=P$2),1,0)</f>
        <v/>
      </c>
      <c r="Q209">
        <f>Q208+IF(AND($E209&lt;&gt;"",$E209&lt;=Q$2,$F209&gt;=Q$2),1,0)</f>
        <v/>
      </c>
      <c r="R209">
        <f>R208+IF(AND($E209&lt;&gt;"",$E209&lt;=R$2,$F209&gt;=R$2),1,0)</f>
        <v/>
      </c>
      <c r="S209">
        <f>S208+IF(AND($E209&lt;&gt;"",$E209&lt;=S$2,$F209&gt;=S$2),1,0)</f>
        <v/>
      </c>
      <c r="T209">
        <f>T208+IF(AND($E209&lt;&gt;"",$E209&lt;=T$2,$F209&gt;=T$2),1,0)</f>
        <v/>
      </c>
      <c r="U209">
        <f>U208+IF(AND($E209&lt;&gt;"",$E209&lt;=U$2,$F209&gt;=U$2),1,0)</f>
        <v/>
      </c>
      <c r="V209">
        <f>V208+IF(AND($E209&lt;&gt;"",$E209&lt;=V$2,$F209&gt;=V$2),1,0)</f>
        <v/>
      </c>
      <c r="W209">
        <f>W208+IF(AND($E209&lt;&gt;"",$E209&lt;=W$2,$F209&gt;=W$2),1,0)</f>
        <v/>
      </c>
      <c r="X209">
        <f>X208+IF(AND($E209&lt;&gt;"",$E209&lt;=X$2,$F209&gt;=X$2),1,0)</f>
        <v/>
      </c>
      <c r="Y209">
        <f>Y208+IF(AND($E209&lt;&gt;"",$E209&lt;=Y$2,$F209&gt;=Y$2),1,0)</f>
        <v/>
      </c>
      <c r="Z209">
        <f>Z208+IF(AND($E209&lt;&gt;"",$E209&lt;=Z$2,$F209&gt;=Z$2),1,0)</f>
        <v/>
      </c>
      <c r="AA209">
        <f>AA208+IF(AND($E209&lt;&gt;"",$E209&lt;=AA$2,$F209&gt;=AA$2),1,0)</f>
        <v/>
      </c>
      <c r="AB209">
        <f>AB208+IF(AND($E209&lt;&gt;"",$E209&lt;=AB$2,$F209&gt;=AB$2),1,0)</f>
        <v/>
      </c>
      <c r="AC209">
        <f>AC208+IF(AND($E209&lt;&gt;"",$E209&lt;=AC$2,$F209&gt;=AC$2),1,0)</f>
        <v/>
      </c>
      <c r="AD209">
        <f>AD208+IF(AND($E209&lt;&gt;"",$E209&lt;=AD$2,$F209&gt;=AD$2),1,0)</f>
        <v/>
      </c>
      <c r="AE209">
        <f>AE208+IF(AND($E209&lt;&gt;"",$E209&lt;=AE$2,$F209&gt;=AE$2),1,0)</f>
        <v/>
      </c>
      <c r="AF209">
        <f>AF208+IF(AND($E209&lt;&gt;"",$E209&lt;=AF$2,$F209&gt;=AF$2),1,0)</f>
        <v/>
      </c>
      <c r="AG209">
        <f>AG208+IF(AND($E209&lt;&gt;"",$E209&lt;=AG$2,$F209&gt;=AG$2),1,0)</f>
        <v/>
      </c>
      <c r="AH209">
        <f>AH208+IF(AND($E209&lt;&gt;"",$E209&lt;=AH$2,$F209&gt;=AH$2),1,0)</f>
        <v/>
      </c>
      <c r="AI209">
        <f>AI208+IF(AND($E209&lt;&gt;"",$E209&lt;=AI$2,$F209&gt;=AI$2),1,0)</f>
        <v/>
      </c>
      <c r="AJ209">
        <f>AJ208+IF(AND($E209&lt;&gt;"",$E209&lt;=AJ$2,$F209&gt;=AJ$2),1,0)</f>
        <v/>
      </c>
      <c r="AK209">
        <f>AK208+IF(AND($E209&lt;&gt;"",$E209&lt;=AK$2,$F209&gt;=AK$2),1,0)</f>
        <v/>
      </c>
      <c r="AL209">
        <f>AL208+IF(AND($E209&lt;&gt;"",$E209&lt;=AL$2,$F209&gt;=AL$2),1,0)</f>
        <v/>
      </c>
      <c r="AM209">
        <f>AM208+IF(AND($E209&lt;&gt;"",$E209&lt;=AM$2,$F209&gt;=AM$2),1,0)</f>
        <v/>
      </c>
      <c r="AN209">
        <f>AN208+IF(AND($E209&lt;&gt;"",$E209&lt;=AN$2,$F209&gt;=AN$2),1,0)</f>
        <v/>
      </c>
      <c r="AO209">
        <f>AO208+IF(AND($E209&lt;&gt;"",$E209&lt;=AO$2,$F209&gt;=AO$2),1,0)</f>
        <v/>
      </c>
      <c r="AP209">
        <f>AP208+IF(AND($E209&lt;&gt;"",$E209&lt;=AP$2,$F209&gt;=AP$2),1,0)</f>
        <v/>
      </c>
      <c r="AQ209">
        <f>AQ208+IF(AND($E209&lt;&gt;"",$E209&lt;=AQ$2,$F209&gt;=AQ$2),1,0)</f>
        <v/>
      </c>
      <c r="AR209">
        <f>AR208+IF(AND($E209&lt;&gt;"",$E209&lt;=AR$2,$F209&gt;=AR$2),1,0)</f>
        <v/>
      </c>
      <c r="AS209">
        <f>AS208+IF(AND($E209&lt;&gt;"",$E209&lt;=AS$2,$F209&gt;=AS$2),1,0)</f>
        <v/>
      </c>
      <c r="AT209">
        <f>AT208+IF(AND($E209&lt;&gt;"",$E209&lt;=AT$2,$F209&gt;=AT$2),1,0)</f>
        <v/>
      </c>
      <c r="AU209">
        <f>AU208+IF(AND($E209&lt;&gt;"",$E209&lt;=AU$2,$F209&gt;=AU$2),1,0)</f>
        <v/>
      </c>
      <c r="AV209">
        <f>AV208+IF(AND($E209&lt;&gt;"",$E209&lt;=AV$2,$F209&gt;=AV$2),1,0)</f>
        <v/>
      </c>
      <c r="AW209">
        <f>AW208+IF(AND($E209&lt;&gt;"",$E209&lt;=AW$2,$F209&gt;=AW$2),1,0)</f>
        <v/>
      </c>
    </row>
    <row r="210">
      <c r="A210">
        <f>IF(AND(ISNUMBER(Events!$A212),ISNUMBER(Events!$B212)),MAX(0,Events!$B212-Events!$A212),0)</f>
        <v/>
      </c>
      <c r="B210">
        <f>IF(ISNUMBER(Events!$A212),DATE(YEAR($B$1)-1,MONTH(Events!$A212),DAY(Events!$A212)),"")</f>
        <v/>
      </c>
      <c r="C210">
        <f>IF(ISNUMBER(Events!$A212),DATE(YEAR($B$1),MONTH(Events!$A212),DAY(Events!$A212)),"")</f>
        <v/>
      </c>
      <c r="D210">
        <f>IF(ISNUMBER(Events!$A212),DATE(YEAR($B$2),MONTH(Events!$A212),DAY(Events!$A212)),"")</f>
        <v/>
      </c>
      <c r="E210">
        <f>IF(OR(NOT(ISNUMBER(Events!$A212)),Events!$G212="No",Calendar!$H$4="None"),"",IF(OR(Calendar!$H$4="All events",Events!$D212=Calendar!$H$4),IF(Events!$E212="Yes",IF(AND(B210&gt;=Events!$A212,B210&lt;=$B$2,B210+$A210&gt;=$B$1),B210,IF(AND(C210&gt;=Events!$A212,C210&lt;=$B$2,C210+$A210&gt;=$B$1),C210,IF(AND(D210&gt;=Events!$A212,D210&lt;=$B$2,D210+$A210&gt;=$B$1),D210,""))),IF(AND(Events!$A212&lt;=$B$2,Events!$A212+$A210&gt;=$B$1),Events!$A212,"")),""))</f>
        <v/>
      </c>
      <c r="F210">
        <f>IF(E210="","",E210+A210)</f>
        <v/>
      </c>
      <c r="G210">
        <f>IF(E210="","",IF(AND(E210&lt;=EOMONTH(Calendar!$K$2,0),F210&gt;=Calendar!$K$2),E210+207/100000,""))</f>
        <v/>
      </c>
      <c r="H210">
        <f>H209+IF(AND($E210&lt;&gt;"",$E210&lt;=H$2,$F210&gt;=H$2),1,0)</f>
        <v/>
      </c>
      <c r="I210">
        <f>I209+IF(AND($E210&lt;&gt;"",$E210&lt;=I$2,$F210&gt;=I$2),1,0)</f>
        <v/>
      </c>
      <c r="J210">
        <f>J209+IF(AND($E210&lt;&gt;"",$E210&lt;=J$2,$F210&gt;=J$2),1,0)</f>
        <v/>
      </c>
      <c r="K210">
        <f>K209+IF(AND($E210&lt;&gt;"",$E210&lt;=K$2,$F210&gt;=K$2),1,0)</f>
        <v/>
      </c>
      <c r="L210">
        <f>L209+IF(AND($E210&lt;&gt;"",$E210&lt;=L$2,$F210&gt;=L$2),1,0)</f>
        <v/>
      </c>
      <c r="M210">
        <f>M209+IF(AND($E210&lt;&gt;"",$E210&lt;=M$2,$F210&gt;=M$2),1,0)</f>
        <v/>
      </c>
      <c r="N210">
        <f>N209+IF(AND($E210&lt;&gt;"",$E210&lt;=N$2,$F210&gt;=N$2),1,0)</f>
        <v/>
      </c>
      <c r="O210">
        <f>O209+IF(AND($E210&lt;&gt;"",$E210&lt;=O$2,$F210&gt;=O$2),1,0)</f>
        <v/>
      </c>
      <c r="P210">
        <f>P209+IF(AND($E210&lt;&gt;"",$E210&lt;=P$2,$F210&gt;=P$2),1,0)</f>
        <v/>
      </c>
      <c r="Q210">
        <f>Q209+IF(AND($E210&lt;&gt;"",$E210&lt;=Q$2,$F210&gt;=Q$2),1,0)</f>
        <v/>
      </c>
      <c r="R210">
        <f>R209+IF(AND($E210&lt;&gt;"",$E210&lt;=R$2,$F210&gt;=R$2),1,0)</f>
        <v/>
      </c>
      <c r="S210">
        <f>S209+IF(AND($E210&lt;&gt;"",$E210&lt;=S$2,$F210&gt;=S$2),1,0)</f>
        <v/>
      </c>
      <c r="T210">
        <f>T209+IF(AND($E210&lt;&gt;"",$E210&lt;=T$2,$F210&gt;=T$2),1,0)</f>
        <v/>
      </c>
      <c r="U210">
        <f>U209+IF(AND($E210&lt;&gt;"",$E210&lt;=U$2,$F210&gt;=U$2),1,0)</f>
        <v/>
      </c>
      <c r="V210">
        <f>V209+IF(AND($E210&lt;&gt;"",$E210&lt;=V$2,$F210&gt;=V$2),1,0)</f>
        <v/>
      </c>
      <c r="W210">
        <f>W209+IF(AND($E210&lt;&gt;"",$E210&lt;=W$2,$F210&gt;=W$2),1,0)</f>
        <v/>
      </c>
      <c r="X210">
        <f>X209+IF(AND($E210&lt;&gt;"",$E210&lt;=X$2,$F210&gt;=X$2),1,0)</f>
        <v/>
      </c>
      <c r="Y210">
        <f>Y209+IF(AND($E210&lt;&gt;"",$E210&lt;=Y$2,$F210&gt;=Y$2),1,0)</f>
        <v/>
      </c>
      <c r="Z210">
        <f>Z209+IF(AND($E210&lt;&gt;"",$E210&lt;=Z$2,$F210&gt;=Z$2),1,0)</f>
        <v/>
      </c>
      <c r="AA210">
        <f>AA209+IF(AND($E210&lt;&gt;"",$E210&lt;=AA$2,$F210&gt;=AA$2),1,0)</f>
        <v/>
      </c>
      <c r="AB210">
        <f>AB209+IF(AND($E210&lt;&gt;"",$E210&lt;=AB$2,$F210&gt;=AB$2),1,0)</f>
        <v/>
      </c>
      <c r="AC210">
        <f>AC209+IF(AND($E210&lt;&gt;"",$E210&lt;=AC$2,$F210&gt;=AC$2),1,0)</f>
        <v/>
      </c>
      <c r="AD210">
        <f>AD209+IF(AND($E210&lt;&gt;"",$E210&lt;=AD$2,$F210&gt;=AD$2),1,0)</f>
        <v/>
      </c>
      <c r="AE210">
        <f>AE209+IF(AND($E210&lt;&gt;"",$E210&lt;=AE$2,$F210&gt;=AE$2),1,0)</f>
        <v/>
      </c>
      <c r="AF210">
        <f>AF209+IF(AND($E210&lt;&gt;"",$E210&lt;=AF$2,$F210&gt;=AF$2),1,0)</f>
        <v/>
      </c>
      <c r="AG210">
        <f>AG209+IF(AND($E210&lt;&gt;"",$E210&lt;=AG$2,$F210&gt;=AG$2),1,0)</f>
        <v/>
      </c>
      <c r="AH210">
        <f>AH209+IF(AND($E210&lt;&gt;"",$E210&lt;=AH$2,$F210&gt;=AH$2),1,0)</f>
        <v/>
      </c>
      <c r="AI210">
        <f>AI209+IF(AND($E210&lt;&gt;"",$E210&lt;=AI$2,$F210&gt;=AI$2),1,0)</f>
        <v/>
      </c>
      <c r="AJ210">
        <f>AJ209+IF(AND($E210&lt;&gt;"",$E210&lt;=AJ$2,$F210&gt;=AJ$2),1,0)</f>
        <v/>
      </c>
      <c r="AK210">
        <f>AK209+IF(AND($E210&lt;&gt;"",$E210&lt;=AK$2,$F210&gt;=AK$2),1,0)</f>
        <v/>
      </c>
      <c r="AL210">
        <f>AL209+IF(AND($E210&lt;&gt;"",$E210&lt;=AL$2,$F210&gt;=AL$2),1,0)</f>
        <v/>
      </c>
      <c r="AM210">
        <f>AM209+IF(AND($E210&lt;&gt;"",$E210&lt;=AM$2,$F210&gt;=AM$2),1,0)</f>
        <v/>
      </c>
      <c r="AN210">
        <f>AN209+IF(AND($E210&lt;&gt;"",$E210&lt;=AN$2,$F210&gt;=AN$2),1,0)</f>
        <v/>
      </c>
      <c r="AO210">
        <f>AO209+IF(AND($E210&lt;&gt;"",$E210&lt;=AO$2,$F210&gt;=AO$2),1,0)</f>
        <v/>
      </c>
      <c r="AP210">
        <f>AP209+IF(AND($E210&lt;&gt;"",$E210&lt;=AP$2,$F210&gt;=AP$2),1,0)</f>
        <v/>
      </c>
      <c r="AQ210">
        <f>AQ209+IF(AND($E210&lt;&gt;"",$E210&lt;=AQ$2,$F210&gt;=AQ$2),1,0)</f>
        <v/>
      </c>
      <c r="AR210">
        <f>AR209+IF(AND($E210&lt;&gt;"",$E210&lt;=AR$2,$F210&gt;=AR$2),1,0)</f>
        <v/>
      </c>
      <c r="AS210">
        <f>AS209+IF(AND($E210&lt;&gt;"",$E210&lt;=AS$2,$F210&gt;=AS$2),1,0)</f>
        <v/>
      </c>
      <c r="AT210">
        <f>AT209+IF(AND($E210&lt;&gt;"",$E210&lt;=AT$2,$F210&gt;=AT$2),1,0)</f>
        <v/>
      </c>
      <c r="AU210">
        <f>AU209+IF(AND($E210&lt;&gt;"",$E210&lt;=AU$2,$F210&gt;=AU$2),1,0)</f>
        <v/>
      </c>
      <c r="AV210">
        <f>AV209+IF(AND($E210&lt;&gt;"",$E210&lt;=AV$2,$F210&gt;=AV$2),1,0)</f>
        <v/>
      </c>
      <c r="AW210">
        <f>AW209+IF(AND($E210&lt;&gt;"",$E210&lt;=AW$2,$F210&gt;=AW$2),1,0)</f>
        <v/>
      </c>
    </row>
    <row r="211">
      <c r="A211">
        <f>IF(AND(ISNUMBER(Events!$A213),ISNUMBER(Events!$B213)),MAX(0,Events!$B213-Events!$A213),0)</f>
        <v/>
      </c>
      <c r="B211">
        <f>IF(ISNUMBER(Events!$A213),DATE(YEAR($B$1)-1,MONTH(Events!$A213),DAY(Events!$A213)),"")</f>
        <v/>
      </c>
      <c r="C211">
        <f>IF(ISNUMBER(Events!$A213),DATE(YEAR($B$1),MONTH(Events!$A213),DAY(Events!$A213)),"")</f>
        <v/>
      </c>
      <c r="D211">
        <f>IF(ISNUMBER(Events!$A213),DATE(YEAR($B$2),MONTH(Events!$A213),DAY(Events!$A213)),"")</f>
        <v/>
      </c>
      <c r="E211">
        <f>IF(OR(NOT(ISNUMBER(Events!$A213)),Events!$G213="No",Calendar!$H$4="None"),"",IF(OR(Calendar!$H$4="All events",Events!$D213=Calendar!$H$4),IF(Events!$E213="Yes",IF(AND(B211&gt;=Events!$A213,B211&lt;=$B$2,B211+$A211&gt;=$B$1),B211,IF(AND(C211&gt;=Events!$A213,C211&lt;=$B$2,C211+$A211&gt;=$B$1),C211,IF(AND(D211&gt;=Events!$A213,D211&lt;=$B$2,D211+$A211&gt;=$B$1),D211,""))),IF(AND(Events!$A213&lt;=$B$2,Events!$A213+$A211&gt;=$B$1),Events!$A213,"")),""))</f>
        <v/>
      </c>
      <c r="F211">
        <f>IF(E211="","",E211+A211)</f>
        <v/>
      </c>
      <c r="G211">
        <f>IF(E211="","",IF(AND(E211&lt;=EOMONTH(Calendar!$K$2,0),F211&gt;=Calendar!$K$2),E211+208/100000,""))</f>
        <v/>
      </c>
      <c r="H211">
        <f>H210+IF(AND($E211&lt;&gt;"",$E211&lt;=H$2,$F211&gt;=H$2),1,0)</f>
        <v/>
      </c>
      <c r="I211">
        <f>I210+IF(AND($E211&lt;&gt;"",$E211&lt;=I$2,$F211&gt;=I$2),1,0)</f>
        <v/>
      </c>
      <c r="J211">
        <f>J210+IF(AND($E211&lt;&gt;"",$E211&lt;=J$2,$F211&gt;=J$2),1,0)</f>
        <v/>
      </c>
      <c r="K211">
        <f>K210+IF(AND($E211&lt;&gt;"",$E211&lt;=K$2,$F211&gt;=K$2),1,0)</f>
        <v/>
      </c>
      <c r="L211">
        <f>L210+IF(AND($E211&lt;&gt;"",$E211&lt;=L$2,$F211&gt;=L$2),1,0)</f>
        <v/>
      </c>
      <c r="M211">
        <f>M210+IF(AND($E211&lt;&gt;"",$E211&lt;=M$2,$F211&gt;=M$2),1,0)</f>
        <v/>
      </c>
      <c r="N211">
        <f>N210+IF(AND($E211&lt;&gt;"",$E211&lt;=N$2,$F211&gt;=N$2),1,0)</f>
        <v/>
      </c>
      <c r="O211">
        <f>O210+IF(AND($E211&lt;&gt;"",$E211&lt;=O$2,$F211&gt;=O$2),1,0)</f>
        <v/>
      </c>
      <c r="P211">
        <f>P210+IF(AND($E211&lt;&gt;"",$E211&lt;=P$2,$F211&gt;=P$2),1,0)</f>
        <v/>
      </c>
      <c r="Q211">
        <f>Q210+IF(AND($E211&lt;&gt;"",$E211&lt;=Q$2,$F211&gt;=Q$2),1,0)</f>
        <v/>
      </c>
      <c r="R211">
        <f>R210+IF(AND($E211&lt;&gt;"",$E211&lt;=R$2,$F211&gt;=R$2),1,0)</f>
        <v/>
      </c>
      <c r="S211">
        <f>S210+IF(AND($E211&lt;&gt;"",$E211&lt;=S$2,$F211&gt;=S$2),1,0)</f>
        <v/>
      </c>
      <c r="T211">
        <f>T210+IF(AND($E211&lt;&gt;"",$E211&lt;=T$2,$F211&gt;=T$2),1,0)</f>
        <v/>
      </c>
      <c r="U211">
        <f>U210+IF(AND($E211&lt;&gt;"",$E211&lt;=U$2,$F211&gt;=U$2),1,0)</f>
        <v/>
      </c>
      <c r="V211">
        <f>V210+IF(AND($E211&lt;&gt;"",$E211&lt;=V$2,$F211&gt;=V$2),1,0)</f>
        <v/>
      </c>
      <c r="W211">
        <f>W210+IF(AND($E211&lt;&gt;"",$E211&lt;=W$2,$F211&gt;=W$2),1,0)</f>
        <v/>
      </c>
      <c r="X211">
        <f>X210+IF(AND($E211&lt;&gt;"",$E211&lt;=X$2,$F211&gt;=X$2),1,0)</f>
        <v/>
      </c>
      <c r="Y211">
        <f>Y210+IF(AND($E211&lt;&gt;"",$E211&lt;=Y$2,$F211&gt;=Y$2),1,0)</f>
        <v/>
      </c>
      <c r="Z211">
        <f>Z210+IF(AND($E211&lt;&gt;"",$E211&lt;=Z$2,$F211&gt;=Z$2),1,0)</f>
        <v/>
      </c>
      <c r="AA211">
        <f>AA210+IF(AND($E211&lt;&gt;"",$E211&lt;=AA$2,$F211&gt;=AA$2),1,0)</f>
        <v/>
      </c>
      <c r="AB211">
        <f>AB210+IF(AND($E211&lt;&gt;"",$E211&lt;=AB$2,$F211&gt;=AB$2),1,0)</f>
        <v/>
      </c>
      <c r="AC211">
        <f>AC210+IF(AND($E211&lt;&gt;"",$E211&lt;=AC$2,$F211&gt;=AC$2),1,0)</f>
        <v/>
      </c>
      <c r="AD211">
        <f>AD210+IF(AND($E211&lt;&gt;"",$E211&lt;=AD$2,$F211&gt;=AD$2),1,0)</f>
        <v/>
      </c>
      <c r="AE211">
        <f>AE210+IF(AND($E211&lt;&gt;"",$E211&lt;=AE$2,$F211&gt;=AE$2),1,0)</f>
        <v/>
      </c>
      <c r="AF211">
        <f>AF210+IF(AND($E211&lt;&gt;"",$E211&lt;=AF$2,$F211&gt;=AF$2),1,0)</f>
        <v/>
      </c>
      <c r="AG211">
        <f>AG210+IF(AND($E211&lt;&gt;"",$E211&lt;=AG$2,$F211&gt;=AG$2),1,0)</f>
        <v/>
      </c>
      <c r="AH211">
        <f>AH210+IF(AND($E211&lt;&gt;"",$E211&lt;=AH$2,$F211&gt;=AH$2),1,0)</f>
        <v/>
      </c>
      <c r="AI211">
        <f>AI210+IF(AND($E211&lt;&gt;"",$E211&lt;=AI$2,$F211&gt;=AI$2),1,0)</f>
        <v/>
      </c>
      <c r="AJ211">
        <f>AJ210+IF(AND($E211&lt;&gt;"",$E211&lt;=AJ$2,$F211&gt;=AJ$2),1,0)</f>
        <v/>
      </c>
      <c r="AK211">
        <f>AK210+IF(AND($E211&lt;&gt;"",$E211&lt;=AK$2,$F211&gt;=AK$2),1,0)</f>
        <v/>
      </c>
      <c r="AL211">
        <f>AL210+IF(AND($E211&lt;&gt;"",$E211&lt;=AL$2,$F211&gt;=AL$2),1,0)</f>
        <v/>
      </c>
      <c r="AM211">
        <f>AM210+IF(AND($E211&lt;&gt;"",$E211&lt;=AM$2,$F211&gt;=AM$2),1,0)</f>
        <v/>
      </c>
      <c r="AN211">
        <f>AN210+IF(AND($E211&lt;&gt;"",$E211&lt;=AN$2,$F211&gt;=AN$2),1,0)</f>
        <v/>
      </c>
      <c r="AO211">
        <f>AO210+IF(AND($E211&lt;&gt;"",$E211&lt;=AO$2,$F211&gt;=AO$2),1,0)</f>
        <v/>
      </c>
      <c r="AP211">
        <f>AP210+IF(AND($E211&lt;&gt;"",$E211&lt;=AP$2,$F211&gt;=AP$2),1,0)</f>
        <v/>
      </c>
      <c r="AQ211">
        <f>AQ210+IF(AND($E211&lt;&gt;"",$E211&lt;=AQ$2,$F211&gt;=AQ$2),1,0)</f>
        <v/>
      </c>
      <c r="AR211">
        <f>AR210+IF(AND($E211&lt;&gt;"",$E211&lt;=AR$2,$F211&gt;=AR$2),1,0)</f>
        <v/>
      </c>
      <c r="AS211">
        <f>AS210+IF(AND($E211&lt;&gt;"",$E211&lt;=AS$2,$F211&gt;=AS$2),1,0)</f>
        <v/>
      </c>
      <c r="AT211">
        <f>AT210+IF(AND($E211&lt;&gt;"",$E211&lt;=AT$2,$F211&gt;=AT$2),1,0)</f>
        <v/>
      </c>
      <c r="AU211">
        <f>AU210+IF(AND($E211&lt;&gt;"",$E211&lt;=AU$2,$F211&gt;=AU$2),1,0)</f>
        <v/>
      </c>
      <c r="AV211">
        <f>AV210+IF(AND($E211&lt;&gt;"",$E211&lt;=AV$2,$F211&gt;=AV$2),1,0)</f>
        <v/>
      </c>
      <c r="AW211">
        <f>AW210+IF(AND($E211&lt;&gt;"",$E211&lt;=AW$2,$F211&gt;=AW$2),1,0)</f>
        <v/>
      </c>
    </row>
    <row r="212">
      <c r="A212">
        <f>IF(AND(ISNUMBER(Events!$A214),ISNUMBER(Events!$B214)),MAX(0,Events!$B214-Events!$A214),0)</f>
        <v/>
      </c>
      <c r="B212">
        <f>IF(ISNUMBER(Events!$A214),DATE(YEAR($B$1)-1,MONTH(Events!$A214),DAY(Events!$A214)),"")</f>
        <v/>
      </c>
      <c r="C212">
        <f>IF(ISNUMBER(Events!$A214),DATE(YEAR($B$1),MONTH(Events!$A214),DAY(Events!$A214)),"")</f>
        <v/>
      </c>
      <c r="D212">
        <f>IF(ISNUMBER(Events!$A214),DATE(YEAR($B$2),MONTH(Events!$A214),DAY(Events!$A214)),"")</f>
        <v/>
      </c>
      <c r="E212">
        <f>IF(OR(NOT(ISNUMBER(Events!$A214)),Events!$G214="No",Calendar!$H$4="None"),"",IF(OR(Calendar!$H$4="All events",Events!$D214=Calendar!$H$4),IF(Events!$E214="Yes",IF(AND(B212&gt;=Events!$A214,B212&lt;=$B$2,B212+$A212&gt;=$B$1),B212,IF(AND(C212&gt;=Events!$A214,C212&lt;=$B$2,C212+$A212&gt;=$B$1),C212,IF(AND(D212&gt;=Events!$A214,D212&lt;=$B$2,D212+$A212&gt;=$B$1),D212,""))),IF(AND(Events!$A214&lt;=$B$2,Events!$A214+$A212&gt;=$B$1),Events!$A214,"")),""))</f>
        <v/>
      </c>
      <c r="F212">
        <f>IF(E212="","",E212+A212)</f>
        <v/>
      </c>
      <c r="G212">
        <f>IF(E212="","",IF(AND(E212&lt;=EOMONTH(Calendar!$K$2,0),F212&gt;=Calendar!$K$2),E212+209/100000,""))</f>
        <v/>
      </c>
      <c r="H212">
        <f>H211+IF(AND($E212&lt;&gt;"",$E212&lt;=H$2,$F212&gt;=H$2),1,0)</f>
        <v/>
      </c>
      <c r="I212">
        <f>I211+IF(AND($E212&lt;&gt;"",$E212&lt;=I$2,$F212&gt;=I$2),1,0)</f>
        <v/>
      </c>
      <c r="J212">
        <f>J211+IF(AND($E212&lt;&gt;"",$E212&lt;=J$2,$F212&gt;=J$2),1,0)</f>
        <v/>
      </c>
      <c r="K212">
        <f>K211+IF(AND($E212&lt;&gt;"",$E212&lt;=K$2,$F212&gt;=K$2),1,0)</f>
        <v/>
      </c>
      <c r="L212">
        <f>L211+IF(AND($E212&lt;&gt;"",$E212&lt;=L$2,$F212&gt;=L$2),1,0)</f>
        <v/>
      </c>
      <c r="M212">
        <f>M211+IF(AND($E212&lt;&gt;"",$E212&lt;=M$2,$F212&gt;=M$2),1,0)</f>
        <v/>
      </c>
      <c r="N212">
        <f>N211+IF(AND($E212&lt;&gt;"",$E212&lt;=N$2,$F212&gt;=N$2),1,0)</f>
        <v/>
      </c>
      <c r="O212">
        <f>O211+IF(AND($E212&lt;&gt;"",$E212&lt;=O$2,$F212&gt;=O$2),1,0)</f>
        <v/>
      </c>
      <c r="P212">
        <f>P211+IF(AND($E212&lt;&gt;"",$E212&lt;=P$2,$F212&gt;=P$2),1,0)</f>
        <v/>
      </c>
      <c r="Q212">
        <f>Q211+IF(AND($E212&lt;&gt;"",$E212&lt;=Q$2,$F212&gt;=Q$2),1,0)</f>
        <v/>
      </c>
      <c r="R212">
        <f>R211+IF(AND($E212&lt;&gt;"",$E212&lt;=R$2,$F212&gt;=R$2),1,0)</f>
        <v/>
      </c>
      <c r="S212">
        <f>S211+IF(AND($E212&lt;&gt;"",$E212&lt;=S$2,$F212&gt;=S$2),1,0)</f>
        <v/>
      </c>
      <c r="T212">
        <f>T211+IF(AND($E212&lt;&gt;"",$E212&lt;=T$2,$F212&gt;=T$2),1,0)</f>
        <v/>
      </c>
      <c r="U212">
        <f>U211+IF(AND($E212&lt;&gt;"",$E212&lt;=U$2,$F212&gt;=U$2),1,0)</f>
        <v/>
      </c>
      <c r="V212">
        <f>V211+IF(AND($E212&lt;&gt;"",$E212&lt;=V$2,$F212&gt;=V$2),1,0)</f>
        <v/>
      </c>
      <c r="W212">
        <f>W211+IF(AND($E212&lt;&gt;"",$E212&lt;=W$2,$F212&gt;=W$2),1,0)</f>
        <v/>
      </c>
      <c r="X212">
        <f>X211+IF(AND($E212&lt;&gt;"",$E212&lt;=X$2,$F212&gt;=X$2),1,0)</f>
        <v/>
      </c>
      <c r="Y212">
        <f>Y211+IF(AND($E212&lt;&gt;"",$E212&lt;=Y$2,$F212&gt;=Y$2),1,0)</f>
        <v/>
      </c>
      <c r="Z212">
        <f>Z211+IF(AND($E212&lt;&gt;"",$E212&lt;=Z$2,$F212&gt;=Z$2),1,0)</f>
        <v/>
      </c>
      <c r="AA212">
        <f>AA211+IF(AND($E212&lt;&gt;"",$E212&lt;=AA$2,$F212&gt;=AA$2),1,0)</f>
        <v/>
      </c>
      <c r="AB212">
        <f>AB211+IF(AND($E212&lt;&gt;"",$E212&lt;=AB$2,$F212&gt;=AB$2),1,0)</f>
        <v/>
      </c>
      <c r="AC212">
        <f>AC211+IF(AND($E212&lt;&gt;"",$E212&lt;=AC$2,$F212&gt;=AC$2),1,0)</f>
        <v/>
      </c>
      <c r="AD212">
        <f>AD211+IF(AND($E212&lt;&gt;"",$E212&lt;=AD$2,$F212&gt;=AD$2),1,0)</f>
        <v/>
      </c>
      <c r="AE212">
        <f>AE211+IF(AND($E212&lt;&gt;"",$E212&lt;=AE$2,$F212&gt;=AE$2),1,0)</f>
        <v/>
      </c>
      <c r="AF212">
        <f>AF211+IF(AND($E212&lt;&gt;"",$E212&lt;=AF$2,$F212&gt;=AF$2),1,0)</f>
        <v/>
      </c>
      <c r="AG212">
        <f>AG211+IF(AND($E212&lt;&gt;"",$E212&lt;=AG$2,$F212&gt;=AG$2),1,0)</f>
        <v/>
      </c>
      <c r="AH212">
        <f>AH211+IF(AND($E212&lt;&gt;"",$E212&lt;=AH$2,$F212&gt;=AH$2),1,0)</f>
        <v/>
      </c>
      <c r="AI212">
        <f>AI211+IF(AND($E212&lt;&gt;"",$E212&lt;=AI$2,$F212&gt;=AI$2),1,0)</f>
        <v/>
      </c>
      <c r="AJ212">
        <f>AJ211+IF(AND($E212&lt;&gt;"",$E212&lt;=AJ$2,$F212&gt;=AJ$2),1,0)</f>
        <v/>
      </c>
      <c r="AK212">
        <f>AK211+IF(AND($E212&lt;&gt;"",$E212&lt;=AK$2,$F212&gt;=AK$2),1,0)</f>
        <v/>
      </c>
      <c r="AL212">
        <f>AL211+IF(AND($E212&lt;&gt;"",$E212&lt;=AL$2,$F212&gt;=AL$2),1,0)</f>
        <v/>
      </c>
      <c r="AM212">
        <f>AM211+IF(AND($E212&lt;&gt;"",$E212&lt;=AM$2,$F212&gt;=AM$2),1,0)</f>
        <v/>
      </c>
      <c r="AN212">
        <f>AN211+IF(AND($E212&lt;&gt;"",$E212&lt;=AN$2,$F212&gt;=AN$2),1,0)</f>
        <v/>
      </c>
      <c r="AO212">
        <f>AO211+IF(AND($E212&lt;&gt;"",$E212&lt;=AO$2,$F212&gt;=AO$2),1,0)</f>
        <v/>
      </c>
      <c r="AP212">
        <f>AP211+IF(AND($E212&lt;&gt;"",$E212&lt;=AP$2,$F212&gt;=AP$2),1,0)</f>
        <v/>
      </c>
      <c r="AQ212">
        <f>AQ211+IF(AND($E212&lt;&gt;"",$E212&lt;=AQ$2,$F212&gt;=AQ$2),1,0)</f>
        <v/>
      </c>
      <c r="AR212">
        <f>AR211+IF(AND($E212&lt;&gt;"",$E212&lt;=AR$2,$F212&gt;=AR$2),1,0)</f>
        <v/>
      </c>
      <c r="AS212">
        <f>AS211+IF(AND($E212&lt;&gt;"",$E212&lt;=AS$2,$F212&gt;=AS$2),1,0)</f>
        <v/>
      </c>
      <c r="AT212">
        <f>AT211+IF(AND($E212&lt;&gt;"",$E212&lt;=AT$2,$F212&gt;=AT$2),1,0)</f>
        <v/>
      </c>
      <c r="AU212">
        <f>AU211+IF(AND($E212&lt;&gt;"",$E212&lt;=AU$2,$F212&gt;=AU$2),1,0)</f>
        <v/>
      </c>
      <c r="AV212">
        <f>AV211+IF(AND($E212&lt;&gt;"",$E212&lt;=AV$2,$F212&gt;=AV$2),1,0)</f>
        <v/>
      </c>
      <c r="AW212">
        <f>AW211+IF(AND($E212&lt;&gt;"",$E212&lt;=AW$2,$F212&gt;=AW$2),1,0)</f>
        <v/>
      </c>
    </row>
    <row r="213">
      <c r="A213">
        <f>IF(AND(ISNUMBER(Events!$A215),ISNUMBER(Events!$B215)),MAX(0,Events!$B215-Events!$A215),0)</f>
        <v/>
      </c>
      <c r="B213">
        <f>IF(ISNUMBER(Events!$A215),DATE(YEAR($B$1)-1,MONTH(Events!$A215),DAY(Events!$A215)),"")</f>
        <v/>
      </c>
      <c r="C213">
        <f>IF(ISNUMBER(Events!$A215),DATE(YEAR($B$1),MONTH(Events!$A215),DAY(Events!$A215)),"")</f>
        <v/>
      </c>
      <c r="D213">
        <f>IF(ISNUMBER(Events!$A215),DATE(YEAR($B$2),MONTH(Events!$A215),DAY(Events!$A215)),"")</f>
        <v/>
      </c>
      <c r="E213">
        <f>IF(OR(NOT(ISNUMBER(Events!$A215)),Events!$G215="No",Calendar!$H$4="None"),"",IF(OR(Calendar!$H$4="All events",Events!$D215=Calendar!$H$4),IF(Events!$E215="Yes",IF(AND(B213&gt;=Events!$A215,B213&lt;=$B$2,B213+$A213&gt;=$B$1),B213,IF(AND(C213&gt;=Events!$A215,C213&lt;=$B$2,C213+$A213&gt;=$B$1),C213,IF(AND(D213&gt;=Events!$A215,D213&lt;=$B$2,D213+$A213&gt;=$B$1),D213,""))),IF(AND(Events!$A215&lt;=$B$2,Events!$A215+$A213&gt;=$B$1),Events!$A215,"")),""))</f>
        <v/>
      </c>
      <c r="F213">
        <f>IF(E213="","",E213+A213)</f>
        <v/>
      </c>
      <c r="G213">
        <f>IF(E213="","",IF(AND(E213&lt;=EOMONTH(Calendar!$K$2,0),F213&gt;=Calendar!$K$2),E213+210/100000,""))</f>
        <v/>
      </c>
      <c r="H213">
        <f>H212+IF(AND($E213&lt;&gt;"",$E213&lt;=H$2,$F213&gt;=H$2),1,0)</f>
        <v/>
      </c>
      <c r="I213">
        <f>I212+IF(AND($E213&lt;&gt;"",$E213&lt;=I$2,$F213&gt;=I$2),1,0)</f>
        <v/>
      </c>
      <c r="J213">
        <f>J212+IF(AND($E213&lt;&gt;"",$E213&lt;=J$2,$F213&gt;=J$2),1,0)</f>
        <v/>
      </c>
      <c r="K213">
        <f>K212+IF(AND($E213&lt;&gt;"",$E213&lt;=K$2,$F213&gt;=K$2),1,0)</f>
        <v/>
      </c>
      <c r="L213">
        <f>L212+IF(AND($E213&lt;&gt;"",$E213&lt;=L$2,$F213&gt;=L$2),1,0)</f>
        <v/>
      </c>
      <c r="M213">
        <f>M212+IF(AND($E213&lt;&gt;"",$E213&lt;=M$2,$F213&gt;=M$2),1,0)</f>
        <v/>
      </c>
      <c r="N213">
        <f>N212+IF(AND($E213&lt;&gt;"",$E213&lt;=N$2,$F213&gt;=N$2),1,0)</f>
        <v/>
      </c>
      <c r="O213">
        <f>O212+IF(AND($E213&lt;&gt;"",$E213&lt;=O$2,$F213&gt;=O$2),1,0)</f>
        <v/>
      </c>
      <c r="P213">
        <f>P212+IF(AND($E213&lt;&gt;"",$E213&lt;=P$2,$F213&gt;=P$2),1,0)</f>
        <v/>
      </c>
      <c r="Q213">
        <f>Q212+IF(AND($E213&lt;&gt;"",$E213&lt;=Q$2,$F213&gt;=Q$2),1,0)</f>
        <v/>
      </c>
      <c r="R213">
        <f>R212+IF(AND($E213&lt;&gt;"",$E213&lt;=R$2,$F213&gt;=R$2),1,0)</f>
        <v/>
      </c>
      <c r="S213">
        <f>S212+IF(AND($E213&lt;&gt;"",$E213&lt;=S$2,$F213&gt;=S$2),1,0)</f>
        <v/>
      </c>
      <c r="T213">
        <f>T212+IF(AND($E213&lt;&gt;"",$E213&lt;=T$2,$F213&gt;=T$2),1,0)</f>
        <v/>
      </c>
      <c r="U213">
        <f>U212+IF(AND($E213&lt;&gt;"",$E213&lt;=U$2,$F213&gt;=U$2),1,0)</f>
        <v/>
      </c>
      <c r="V213">
        <f>V212+IF(AND($E213&lt;&gt;"",$E213&lt;=V$2,$F213&gt;=V$2),1,0)</f>
        <v/>
      </c>
      <c r="W213">
        <f>W212+IF(AND($E213&lt;&gt;"",$E213&lt;=W$2,$F213&gt;=W$2),1,0)</f>
        <v/>
      </c>
      <c r="X213">
        <f>X212+IF(AND($E213&lt;&gt;"",$E213&lt;=X$2,$F213&gt;=X$2),1,0)</f>
        <v/>
      </c>
      <c r="Y213">
        <f>Y212+IF(AND($E213&lt;&gt;"",$E213&lt;=Y$2,$F213&gt;=Y$2),1,0)</f>
        <v/>
      </c>
      <c r="Z213">
        <f>Z212+IF(AND($E213&lt;&gt;"",$E213&lt;=Z$2,$F213&gt;=Z$2),1,0)</f>
        <v/>
      </c>
      <c r="AA213">
        <f>AA212+IF(AND($E213&lt;&gt;"",$E213&lt;=AA$2,$F213&gt;=AA$2),1,0)</f>
        <v/>
      </c>
      <c r="AB213">
        <f>AB212+IF(AND($E213&lt;&gt;"",$E213&lt;=AB$2,$F213&gt;=AB$2),1,0)</f>
        <v/>
      </c>
      <c r="AC213">
        <f>AC212+IF(AND($E213&lt;&gt;"",$E213&lt;=AC$2,$F213&gt;=AC$2),1,0)</f>
        <v/>
      </c>
      <c r="AD213">
        <f>AD212+IF(AND($E213&lt;&gt;"",$E213&lt;=AD$2,$F213&gt;=AD$2),1,0)</f>
        <v/>
      </c>
      <c r="AE213">
        <f>AE212+IF(AND($E213&lt;&gt;"",$E213&lt;=AE$2,$F213&gt;=AE$2),1,0)</f>
        <v/>
      </c>
      <c r="AF213">
        <f>AF212+IF(AND($E213&lt;&gt;"",$E213&lt;=AF$2,$F213&gt;=AF$2),1,0)</f>
        <v/>
      </c>
      <c r="AG213">
        <f>AG212+IF(AND($E213&lt;&gt;"",$E213&lt;=AG$2,$F213&gt;=AG$2),1,0)</f>
        <v/>
      </c>
      <c r="AH213">
        <f>AH212+IF(AND($E213&lt;&gt;"",$E213&lt;=AH$2,$F213&gt;=AH$2),1,0)</f>
        <v/>
      </c>
      <c r="AI213">
        <f>AI212+IF(AND($E213&lt;&gt;"",$E213&lt;=AI$2,$F213&gt;=AI$2),1,0)</f>
        <v/>
      </c>
      <c r="AJ213">
        <f>AJ212+IF(AND($E213&lt;&gt;"",$E213&lt;=AJ$2,$F213&gt;=AJ$2),1,0)</f>
        <v/>
      </c>
      <c r="AK213">
        <f>AK212+IF(AND($E213&lt;&gt;"",$E213&lt;=AK$2,$F213&gt;=AK$2),1,0)</f>
        <v/>
      </c>
      <c r="AL213">
        <f>AL212+IF(AND($E213&lt;&gt;"",$E213&lt;=AL$2,$F213&gt;=AL$2),1,0)</f>
        <v/>
      </c>
      <c r="AM213">
        <f>AM212+IF(AND($E213&lt;&gt;"",$E213&lt;=AM$2,$F213&gt;=AM$2),1,0)</f>
        <v/>
      </c>
      <c r="AN213">
        <f>AN212+IF(AND($E213&lt;&gt;"",$E213&lt;=AN$2,$F213&gt;=AN$2),1,0)</f>
        <v/>
      </c>
      <c r="AO213">
        <f>AO212+IF(AND($E213&lt;&gt;"",$E213&lt;=AO$2,$F213&gt;=AO$2),1,0)</f>
        <v/>
      </c>
      <c r="AP213">
        <f>AP212+IF(AND($E213&lt;&gt;"",$E213&lt;=AP$2,$F213&gt;=AP$2),1,0)</f>
        <v/>
      </c>
      <c r="AQ213">
        <f>AQ212+IF(AND($E213&lt;&gt;"",$E213&lt;=AQ$2,$F213&gt;=AQ$2),1,0)</f>
        <v/>
      </c>
      <c r="AR213">
        <f>AR212+IF(AND($E213&lt;&gt;"",$E213&lt;=AR$2,$F213&gt;=AR$2),1,0)</f>
        <v/>
      </c>
      <c r="AS213">
        <f>AS212+IF(AND($E213&lt;&gt;"",$E213&lt;=AS$2,$F213&gt;=AS$2),1,0)</f>
        <v/>
      </c>
      <c r="AT213">
        <f>AT212+IF(AND($E213&lt;&gt;"",$E213&lt;=AT$2,$F213&gt;=AT$2),1,0)</f>
        <v/>
      </c>
      <c r="AU213">
        <f>AU212+IF(AND($E213&lt;&gt;"",$E213&lt;=AU$2,$F213&gt;=AU$2),1,0)</f>
        <v/>
      </c>
      <c r="AV213">
        <f>AV212+IF(AND($E213&lt;&gt;"",$E213&lt;=AV$2,$F213&gt;=AV$2),1,0)</f>
        <v/>
      </c>
      <c r="AW213">
        <f>AW212+IF(AND($E213&lt;&gt;"",$E213&lt;=AW$2,$F213&gt;=AW$2),1,0)</f>
        <v/>
      </c>
    </row>
    <row r="214">
      <c r="A214">
        <f>IF(AND(ISNUMBER(Events!$A216),ISNUMBER(Events!$B216)),MAX(0,Events!$B216-Events!$A216),0)</f>
        <v/>
      </c>
      <c r="B214">
        <f>IF(ISNUMBER(Events!$A216),DATE(YEAR($B$1)-1,MONTH(Events!$A216),DAY(Events!$A216)),"")</f>
        <v/>
      </c>
      <c r="C214">
        <f>IF(ISNUMBER(Events!$A216),DATE(YEAR($B$1),MONTH(Events!$A216),DAY(Events!$A216)),"")</f>
        <v/>
      </c>
      <c r="D214">
        <f>IF(ISNUMBER(Events!$A216),DATE(YEAR($B$2),MONTH(Events!$A216),DAY(Events!$A216)),"")</f>
        <v/>
      </c>
      <c r="E214">
        <f>IF(OR(NOT(ISNUMBER(Events!$A216)),Events!$G216="No",Calendar!$H$4="None"),"",IF(OR(Calendar!$H$4="All events",Events!$D216=Calendar!$H$4),IF(Events!$E216="Yes",IF(AND(B214&gt;=Events!$A216,B214&lt;=$B$2,B214+$A214&gt;=$B$1),B214,IF(AND(C214&gt;=Events!$A216,C214&lt;=$B$2,C214+$A214&gt;=$B$1),C214,IF(AND(D214&gt;=Events!$A216,D214&lt;=$B$2,D214+$A214&gt;=$B$1),D214,""))),IF(AND(Events!$A216&lt;=$B$2,Events!$A216+$A214&gt;=$B$1),Events!$A216,"")),""))</f>
        <v/>
      </c>
      <c r="F214">
        <f>IF(E214="","",E214+A214)</f>
        <v/>
      </c>
      <c r="G214">
        <f>IF(E214="","",IF(AND(E214&lt;=EOMONTH(Calendar!$K$2,0),F214&gt;=Calendar!$K$2),E214+211/100000,""))</f>
        <v/>
      </c>
      <c r="H214">
        <f>H213+IF(AND($E214&lt;&gt;"",$E214&lt;=H$2,$F214&gt;=H$2),1,0)</f>
        <v/>
      </c>
      <c r="I214">
        <f>I213+IF(AND($E214&lt;&gt;"",$E214&lt;=I$2,$F214&gt;=I$2),1,0)</f>
        <v/>
      </c>
      <c r="J214">
        <f>J213+IF(AND($E214&lt;&gt;"",$E214&lt;=J$2,$F214&gt;=J$2),1,0)</f>
        <v/>
      </c>
      <c r="K214">
        <f>K213+IF(AND($E214&lt;&gt;"",$E214&lt;=K$2,$F214&gt;=K$2),1,0)</f>
        <v/>
      </c>
      <c r="L214">
        <f>L213+IF(AND($E214&lt;&gt;"",$E214&lt;=L$2,$F214&gt;=L$2),1,0)</f>
        <v/>
      </c>
      <c r="M214">
        <f>M213+IF(AND($E214&lt;&gt;"",$E214&lt;=M$2,$F214&gt;=M$2),1,0)</f>
        <v/>
      </c>
      <c r="N214">
        <f>N213+IF(AND($E214&lt;&gt;"",$E214&lt;=N$2,$F214&gt;=N$2),1,0)</f>
        <v/>
      </c>
      <c r="O214">
        <f>O213+IF(AND($E214&lt;&gt;"",$E214&lt;=O$2,$F214&gt;=O$2),1,0)</f>
        <v/>
      </c>
      <c r="P214">
        <f>P213+IF(AND($E214&lt;&gt;"",$E214&lt;=P$2,$F214&gt;=P$2),1,0)</f>
        <v/>
      </c>
      <c r="Q214">
        <f>Q213+IF(AND($E214&lt;&gt;"",$E214&lt;=Q$2,$F214&gt;=Q$2),1,0)</f>
        <v/>
      </c>
      <c r="R214">
        <f>R213+IF(AND($E214&lt;&gt;"",$E214&lt;=R$2,$F214&gt;=R$2),1,0)</f>
        <v/>
      </c>
      <c r="S214">
        <f>S213+IF(AND($E214&lt;&gt;"",$E214&lt;=S$2,$F214&gt;=S$2),1,0)</f>
        <v/>
      </c>
      <c r="T214">
        <f>T213+IF(AND($E214&lt;&gt;"",$E214&lt;=T$2,$F214&gt;=T$2),1,0)</f>
        <v/>
      </c>
      <c r="U214">
        <f>U213+IF(AND($E214&lt;&gt;"",$E214&lt;=U$2,$F214&gt;=U$2),1,0)</f>
        <v/>
      </c>
      <c r="V214">
        <f>V213+IF(AND($E214&lt;&gt;"",$E214&lt;=V$2,$F214&gt;=V$2),1,0)</f>
        <v/>
      </c>
      <c r="W214">
        <f>W213+IF(AND($E214&lt;&gt;"",$E214&lt;=W$2,$F214&gt;=W$2),1,0)</f>
        <v/>
      </c>
      <c r="X214">
        <f>X213+IF(AND($E214&lt;&gt;"",$E214&lt;=X$2,$F214&gt;=X$2),1,0)</f>
        <v/>
      </c>
      <c r="Y214">
        <f>Y213+IF(AND($E214&lt;&gt;"",$E214&lt;=Y$2,$F214&gt;=Y$2),1,0)</f>
        <v/>
      </c>
      <c r="Z214">
        <f>Z213+IF(AND($E214&lt;&gt;"",$E214&lt;=Z$2,$F214&gt;=Z$2),1,0)</f>
        <v/>
      </c>
      <c r="AA214">
        <f>AA213+IF(AND($E214&lt;&gt;"",$E214&lt;=AA$2,$F214&gt;=AA$2),1,0)</f>
        <v/>
      </c>
      <c r="AB214">
        <f>AB213+IF(AND($E214&lt;&gt;"",$E214&lt;=AB$2,$F214&gt;=AB$2),1,0)</f>
        <v/>
      </c>
      <c r="AC214">
        <f>AC213+IF(AND($E214&lt;&gt;"",$E214&lt;=AC$2,$F214&gt;=AC$2),1,0)</f>
        <v/>
      </c>
      <c r="AD214">
        <f>AD213+IF(AND($E214&lt;&gt;"",$E214&lt;=AD$2,$F214&gt;=AD$2),1,0)</f>
        <v/>
      </c>
      <c r="AE214">
        <f>AE213+IF(AND($E214&lt;&gt;"",$E214&lt;=AE$2,$F214&gt;=AE$2),1,0)</f>
        <v/>
      </c>
      <c r="AF214">
        <f>AF213+IF(AND($E214&lt;&gt;"",$E214&lt;=AF$2,$F214&gt;=AF$2),1,0)</f>
        <v/>
      </c>
      <c r="AG214">
        <f>AG213+IF(AND($E214&lt;&gt;"",$E214&lt;=AG$2,$F214&gt;=AG$2),1,0)</f>
        <v/>
      </c>
      <c r="AH214">
        <f>AH213+IF(AND($E214&lt;&gt;"",$E214&lt;=AH$2,$F214&gt;=AH$2),1,0)</f>
        <v/>
      </c>
      <c r="AI214">
        <f>AI213+IF(AND($E214&lt;&gt;"",$E214&lt;=AI$2,$F214&gt;=AI$2),1,0)</f>
        <v/>
      </c>
      <c r="AJ214">
        <f>AJ213+IF(AND($E214&lt;&gt;"",$E214&lt;=AJ$2,$F214&gt;=AJ$2),1,0)</f>
        <v/>
      </c>
      <c r="AK214">
        <f>AK213+IF(AND($E214&lt;&gt;"",$E214&lt;=AK$2,$F214&gt;=AK$2),1,0)</f>
        <v/>
      </c>
      <c r="AL214">
        <f>AL213+IF(AND($E214&lt;&gt;"",$E214&lt;=AL$2,$F214&gt;=AL$2),1,0)</f>
        <v/>
      </c>
      <c r="AM214">
        <f>AM213+IF(AND($E214&lt;&gt;"",$E214&lt;=AM$2,$F214&gt;=AM$2),1,0)</f>
        <v/>
      </c>
      <c r="AN214">
        <f>AN213+IF(AND($E214&lt;&gt;"",$E214&lt;=AN$2,$F214&gt;=AN$2),1,0)</f>
        <v/>
      </c>
      <c r="AO214">
        <f>AO213+IF(AND($E214&lt;&gt;"",$E214&lt;=AO$2,$F214&gt;=AO$2),1,0)</f>
        <v/>
      </c>
      <c r="AP214">
        <f>AP213+IF(AND($E214&lt;&gt;"",$E214&lt;=AP$2,$F214&gt;=AP$2),1,0)</f>
        <v/>
      </c>
      <c r="AQ214">
        <f>AQ213+IF(AND($E214&lt;&gt;"",$E214&lt;=AQ$2,$F214&gt;=AQ$2),1,0)</f>
        <v/>
      </c>
      <c r="AR214">
        <f>AR213+IF(AND($E214&lt;&gt;"",$E214&lt;=AR$2,$F214&gt;=AR$2),1,0)</f>
        <v/>
      </c>
      <c r="AS214">
        <f>AS213+IF(AND($E214&lt;&gt;"",$E214&lt;=AS$2,$F214&gt;=AS$2),1,0)</f>
        <v/>
      </c>
      <c r="AT214">
        <f>AT213+IF(AND($E214&lt;&gt;"",$E214&lt;=AT$2,$F214&gt;=AT$2),1,0)</f>
        <v/>
      </c>
      <c r="AU214">
        <f>AU213+IF(AND($E214&lt;&gt;"",$E214&lt;=AU$2,$F214&gt;=AU$2),1,0)</f>
        <v/>
      </c>
      <c r="AV214">
        <f>AV213+IF(AND($E214&lt;&gt;"",$E214&lt;=AV$2,$F214&gt;=AV$2),1,0)</f>
        <v/>
      </c>
      <c r="AW214">
        <f>AW213+IF(AND($E214&lt;&gt;"",$E214&lt;=AW$2,$F214&gt;=AW$2),1,0)</f>
        <v/>
      </c>
    </row>
    <row r="215">
      <c r="A215">
        <f>IF(AND(ISNUMBER(Events!$A217),ISNUMBER(Events!$B217)),MAX(0,Events!$B217-Events!$A217),0)</f>
        <v/>
      </c>
      <c r="B215">
        <f>IF(ISNUMBER(Events!$A217),DATE(YEAR($B$1)-1,MONTH(Events!$A217),DAY(Events!$A217)),"")</f>
        <v/>
      </c>
      <c r="C215">
        <f>IF(ISNUMBER(Events!$A217),DATE(YEAR($B$1),MONTH(Events!$A217),DAY(Events!$A217)),"")</f>
        <v/>
      </c>
      <c r="D215">
        <f>IF(ISNUMBER(Events!$A217),DATE(YEAR($B$2),MONTH(Events!$A217),DAY(Events!$A217)),"")</f>
        <v/>
      </c>
      <c r="E215">
        <f>IF(OR(NOT(ISNUMBER(Events!$A217)),Events!$G217="No",Calendar!$H$4="None"),"",IF(OR(Calendar!$H$4="All events",Events!$D217=Calendar!$H$4),IF(Events!$E217="Yes",IF(AND(B215&gt;=Events!$A217,B215&lt;=$B$2,B215+$A215&gt;=$B$1),B215,IF(AND(C215&gt;=Events!$A217,C215&lt;=$B$2,C215+$A215&gt;=$B$1),C215,IF(AND(D215&gt;=Events!$A217,D215&lt;=$B$2,D215+$A215&gt;=$B$1),D215,""))),IF(AND(Events!$A217&lt;=$B$2,Events!$A217+$A215&gt;=$B$1),Events!$A217,"")),""))</f>
        <v/>
      </c>
      <c r="F215">
        <f>IF(E215="","",E215+A215)</f>
        <v/>
      </c>
      <c r="G215">
        <f>IF(E215="","",IF(AND(E215&lt;=EOMONTH(Calendar!$K$2,0),F215&gt;=Calendar!$K$2),E215+212/100000,""))</f>
        <v/>
      </c>
      <c r="H215">
        <f>H214+IF(AND($E215&lt;&gt;"",$E215&lt;=H$2,$F215&gt;=H$2),1,0)</f>
        <v/>
      </c>
      <c r="I215">
        <f>I214+IF(AND($E215&lt;&gt;"",$E215&lt;=I$2,$F215&gt;=I$2),1,0)</f>
        <v/>
      </c>
      <c r="J215">
        <f>J214+IF(AND($E215&lt;&gt;"",$E215&lt;=J$2,$F215&gt;=J$2),1,0)</f>
        <v/>
      </c>
      <c r="K215">
        <f>K214+IF(AND($E215&lt;&gt;"",$E215&lt;=K$2,$F215&gt;=K$2),1,0)</f>
        <v/>
      </c>
      <c r="L215">
        <f>L214+IF(AND($E215&lt;&gt;"",$E215&lt;=L$2,$F215&gt;=L$2),1,0)</f>
        <v/>
      </c>
      <c r="M215">
        <f>M214+IF(AND($E215&lt;&gt;"",$E215&lt;=M$2,$F215&gt;=M$2),1,0)</f>
        <v/>
      </c>
      <c r="N215">
        <f>N214+IF(AND($E215&lt;&gt;"",$E215&lt;=N$2,$F215&gt;=N$2),1,0)</f>
        <v/>
      </c>
      <c r="O215">
        <f>O214+IF(AND($E215&lt;&gt;"",$E215&lt;=O$2,$F215&gt;=O$2),1,0)</f>
        <v/>
      </c>
      <c r="P215">
        <f>P214+IF(AND($E215&lt;&gt;"",$E215&lt;=P$2,$F215&gt;=P$2),1,0)</f>
        <v/>
      </c>
      <c r="Q215">
        <f>Q214+IF(AND($E215&lt;&gt;"",$E215&lt;=Q$2,$F215&gt;=Q$2),1,0)</f>
        <v/>
      </c>
      <c r="R215">
        <f>R214+IF(AND($E215&lt;&gt;"",$E215&lt;=R$2,$F215&gt;=R$2),1,0)</f>
        <v/>
      </c>
      <c r="S215">
        <f>S214+IF(AND($E215&lt;&gt;"",$E215&lt;=S$2,$F215&gt;=S$2),1,0)</f>
        <v/>
      </c>
      <c r="T215">
        <f>T214+IF(AND($E215&lt;&gt;"",$E215&lt;=T$2,$F215&gt;=T$2),1,0)</f>
        <v/>
      </c>
      <c r="U215">
        <f>U214+IF(AND($E215&lt;&gt;"",$E215&lt;=U$2,$F215&gt;=U$2),1,0)</f>
        <v/>
      </c>
      <c r="V215">
        <f>V214+IF(AND($E215&lt;&gt;"",$E215&lt;=V$2,$F215&gt;=V$2),1,0)</f>
        <v/>
      </c>
      <c r="W215">
        <f>W214+IF(AND($E215&lt;&gt;"",$E215&lt;=W$2,$F215&gt;=W$2),1,0)</f>
        <v/>
      </c>
      <c r="X215">
        <f>X214+IF(AND($E215&lt;&gt;"",$E215&lt;=X$2,$F215&gt;=X$2),1,0)</f>
        <v/>
      </c>
      <c r="Y215">
        <f>Y214+IF(AND($E215&lt;&gt;"",$E215&lt;=Y$2,$F215&gt;=Y$2),1,0)</f>
        <v/>
      </c>
      <c r="Z215">
        <f>Z214+IF(AND($E215&lt;&gt;"",$E215&lt;=Z$2,$F215&gt;=Z$2),1,0)</f>
        <v/>
      </c>
      <c r="AA215">
        <f>AA214+IF(AND($E215&lt;&gt;"",$E215&lt;=AA$2,$F215&gt;=AA$2),1,0)</f>
        <v/>
      </c>
      <c r="AB215">
        <f>AB214+IF(AND($E215&lt;&gt;"",$E215&lt;=AB$2,$F215&gt;=AB$2),1,0)</f>
        <v/>
      </c>
      <c r="AC215">
        <f>AC214+IF(AND($E215&lt;&gt;"",$E215&lt;=AC$2,$F215&gt;=AC$2),1,0)</f>
        <v/>
      </c>
      <c r="AD215">
        <f>AD214+IF(AND($E215&lt;&gt;"",$E215&lt;=AD$2,$F215&gt;=AD$2),1,0)</f>
        <v/>
      </c>
      <c r="AE215">
        <f>AE214+IF(AND($E215&lt;&gt;"",$E215&lt;=AE$2,$F215&gt;=AE$2),1,0)</f>
        <v/>
      </c>
      <c r="AF215">
        <f>AF214+IF(AND($E215&lt;&gt;"",$E215&lt;=AF$2,$F215&gt;=AF$2),1,0)</f>
        <v/>
      </c>
      <c r="AG215">
        <f>AG214+IF(AND($E215&lt;&gt;"",$E215&lt;=AG$2,$F215&gt;=AG$2),1,0)</f>
        <v/>
      </c>
      <c r="AH215">
        <f>AH214+IF(AND($E215&lt;&gt;"",$E215&lt;=AH$2,$F215&gt;=AH$2),1,0)</f>
        <v/>
      </c>
      <c r="AI215">
        <f>AI214+IF(AND($E215&lt;&gt;"",$E215&lt;=AI$2,$F215&gt;=AI$2),1,0)</f>
        <v/>
      </c>
      <c r="AJ215">
        <f>AJ214+IF(AND($E215&lt;&gt;"",$E215&lt;=AJ$2,$F215&gt;=AJ$2),1,0)</f>
        <v/>
      </c>
      <c r="AK215">
        <f>AK214+IF(AND($E215&lt;&gt;"",$E215&lt;=AK$2,$F215&gt;=AK$2),1,0)</f>
        <v/>
      </c>
      <c r="AL215">
        <f>AL214+IF(AND($E215&lt;&gt;"",$E215&lt;=AL$2,$F215&gt;=AL$2),1,0)</f>
        <v/>
      </c>
      <c r="AM215">
        <f>AM214+IF(AND($E215&lt;&gt;"",$E215&lt;=AM$2,$F215&gt;=AM$2),1,0)</f>
        <v/>
      </c>
      <c r="AN215">
        <f>AN214+IF(AND($E215&lt;&gt;"",$E215&lt;=AN$2,$F215&gt;=AN$2),1,0)</f>
        <v/>
      </c>
      <c r="AO215">
        <f>AO214+IF(AND($E215&lt;&gt;"",$E215&lt;=AO$2,$F215&gt;=AO$2),1,0)</f>
        <v/>
      </c>
      <c r="AP215">
        <f>AP214+IF(AND($E215&lt;&gt;"",$E215&lt;=AP$2,$F215&gt;=AP$2),1,0)</f>
        <v/>
      </c>
      <c r="AQ215">
        <f>AQ214+IF(AND($E215&lt;&gt;"",$E215&lt;=AQ$2,$F215&gt;=AQ$2),1,0)</f>
        <v/>
      </c>
      <c r="AR215">
        <f>AR214+IF(AND($E215&lt;&gt;"",$E215&lt;=AR$2,$F215&gt;=AR$2),1,0)</f>
        <v/>
      </c>
      <c r="AS215">
        <f>AS214+IF(AND($E215&lt;&gt;"",$E215&lt;=AS$2,$F215&gt;=AS$2),1,0)</f>
        <v/>
      </c>
      <c r="AT215">
        <f>AT214+IF(AND($E215&lt;&gt;"",$E215&lt;=AT$2,$F215&gt;=AT$2),1,0)</f>
        <v/>
      </c>
      <c r="AU215">
        <f>AU214+IF(AND($E215&lt;&gt;"",$E215&lt;=AU$2,$F215&gt;=AU$2),1,0)</f>
        <v/>
      </c>
      <c r="AV215">
        <f>AV214+IF(AND($E215&lt;&gt;"",$E215&lt;=AV$2,$F215&gt;=AV$2),1,0)</f>
        <v/>
      </c>
      <c r="AW215">
        <f>AW214+IF(AND($E215&lt;&gt;"",$E215&lt;=AW$2,$F215&gt;=AW$2),1,0)</f>
        <v/>
      </c>
    </row>
    <row r="216">
      <c r="A216">
        <f>IF(AND(ISNUMBER(Events!$A218),ISNUMBER(Events!$B218)),MAX(0,Events!$B218-Events!$A218),0)</f>
        <v/>
      </c>
      <c r="B216">
        <f>IF(ISNUMBER(Events!$A218),DATE(YEAR($B$1)-1,MONTH(Events!$A218),DAY(Events!$A218)),"")</f>
        <v/>
      </c>
      <c r="C216">
        <f>IF(ISNUMBER(Events!$A218),DATE(YEAR($B$1),MONTH(Events!$A218),DAY(Events!$A218)),"")</f>
        <v/>
      </c>
      <c r="D216">
        <f>IF(ISNUMBER(Events!$A218),DATE(YEAR($B$2),MONTH(Events!$A218),DAY(Events!$A218)),"")</f>
        <v/>
      </c>
      <c r="E216">
        <f>IF(OR(NOT(ISNUMBER(Events!$A218)),Events!$G218="No",Calendar!$H$4="None"),"",IF(OR(Calendar!$H$4="All events",Events!$D218=Calendar!$H$4),IF(Events!$E218="Yes",IF(AND(B216&gt;=Events!$A218,B216&lt;=$B$2,B216+$A216&gt;=$B$1),B216,IF(AND(C216&gt;=Events!$A218,C216&lt;=$B$2,C216+$A216&gt;=$B$1),C216,IF(AND(D216&gt;=Events!$A218,D216&lt;=$B$2,D216+$A216&gt;=$B$1),D216,""))),IF(AND(Events!$A218&lt;=$B$2,Events!$A218+$A216&gt;=$B$1),Events!$A218,"")),""))</f>
        <v/>
      </c>
      <c r="F216">
        <f>IF(E216="","",E216+A216)</f>
        <v/>
      </c>
      <c r="G216">
        <f>IF(E216="","",IF(AND(E216&lt;=EOMONTH(Calendar!$K$2,0),F216&gt;=Calendar!$K$2),E216+213/100000,""))</f>
        <v/>
      </c>
      <c r="H216">
        <f>H215+IF(AND($E216&lt;&gt;"",$E216&lt;=H$2,$F216&gt;=H$2),1,0)</f>
        <v/>
      </c>
      <c r="I216">
        <f>I215+IF(AND($E216&lt;&gt;"",$E216&lt;=I$2,$F216&gt;=I$2),1,0)</f>
        <v/>
      </c>
      <c r="J216">
        <f>J215+IF(AND($E216&lt;&gt;"",$E216&lt;=J$2,$F216&gt;=J$2),1,0)</f>
        <v/>
      </c>
      <c r="K216">
        <f>K215+IF(AND($E216&lt;&gt;"",$E216&lt;=K$2,$F216&gt;=K$2),1,0)</f>
        <v/>
      </c>
      <c r="L216">
        <f>L215+IF(AND($E216&lt;&gt;"",$E216&lt;=L$2,$F216&gt;=L$2),1,0)</f>
        <v/>
      </c>
      <c r="M216">
        <f>M215+IF(AND($E216&lt;&gt;"",$E216&lt;=M$2,$F216&gt;=M$2),1,0)</f>
        <v/>
      </c>
      <c r="N216">
        <f>N215+IF(AND($E216&lt;&gt;"",$E216&lt;=N$2,$F216&gt;=N$2),1,0)</f>
        <v/>
      </c>
      <c r="O216">
        <f>O215+IF(AND($E216&lt;&gt;"",$E216&lt;=O$2,$F216&gt;=O$2),1,0)</f>
        <v/>
      </c>
      <c r="P216">
        <f>P215+IF(AND($E216&lt;&gt;"",$E216&lt;=P$2,$F216&gt;=P$2),1,0)</f>
        <v/>
      </c>
      <c r="Q216">
        <f>Q215+IF(AND($E216&lt;&gt;"",$E216&lt;=Q$2,$F216&gt;=Q$2),1,0)</f>
        <v/>
      </c>
      <c r="R216">
        <f>R215+IF(AND($E216&lt;&gt;"",$E216&lt;=R$2,$F216&gt;=R$2),1,0)</f>
        <v/>
      </c>
      <c r="S216">
        <f>S215+IF(AND($E216&lt;&gt;"",$E216&lt;=S$2,$F216&gt;=S$2),1,0)</f>
        <v/>
      </c>
      <c r="T216">
        <f>T215+IF(AND($E216&lt;&gt;"",$E216&lt;=T$2,$F216&gt;=T$2),1,0)</f>
        <v/>
      </c>
      <c r="U216">
        <f>U215+IF(AND($E216&lt;&gt;"",$E216&lt;=U$2,$F216&gt;=U$2),1,0)</f>
        <v/>
      </c>
      <c r="V216">
        <f>V215+IF(AND($E216&lt;&gt;"",$E216&lt;=V$2,$F216&gt;=V$2),1,0)</f>
        <v/>
      </c>
      <c r="W216">
        <f>W215+IF(AND($E216&lt;&gt;"",$E216&lt;=W$2,$F216&gt;=W$2),1,0)</f>
        <v/>
      </c>
      <c r="X216">
        <f>X215+IF(AND($E216&lt;&gt;"",$E216&lt;=X$2,$F216&gt;=X$2),1,0)</f>
        <v/>
      </c>
      <c r="Y216">
        <f>Y215+IF(AND($E216&lt;&gt;"",$E216&lt;=Y$2,$F216&gt;=Y$2),1,0)</f>
        <v/>
      </c>
      <c r="Z216">
        <f>Z215+IF(AND($E216&lt;&gt;"",$E216&lt;=Z$2,$F216&gt;=Z$2),1,0)</f>
        <v/>
      </c>
      <c r="AA216">
        <f>AA215+IF(AND($E216&lt;&gt;"",$E216&lt;=AA$2,$F216&gt;=AA$2),1,0)</f>
        <v/>
      </c>
      <c r="AB216">
        <f>AB215+IF(AND($E216&lt;&gt;"",$E216&lt;=AB$2,$F216&gt;=AB$2),1,0)</f>
        <v/>
      </c>
      <c r="AC216">
        <f>AC215+IF(AND($E216&lt;&gt;"",$E216&lt;=AC$2,$F216&gt;=AC$2),1,0)</f>
        <v/>
      </c>
      <c r="AD216">
        <f>AD215+IF(AND($E216&lt;&gt;"",$E216&lt;=AD$2,$F216&gt;=AD$2),1,0)</f>
        <v/>
      </c>
      <c r="AE216">
        <f>AE215+IF(AND($E216&lt;&gt;"",$E216&lt;=AE$2,$F216&gt;=AE$2),1,0)</f>
        <v/>
      </c>
      <c r="AF216">
        <f>AF215+IF(AND($E216&lt;&gt;"",$E216&lt;=AF$2,$F216&gt;=AF$2),1,0)</f>
        <v/>
      </c>
      <c r="AG216">
        <f>AG215+IF(AND($E216&lt;&gt;"",$E216&lt;=AG$2,$F216&gt;=AG$2),1,0)</f>
        <v/>
      </c>
      <c r="AH216">
        <f>AH215+IF(AND($E216&lt;&gt;"",$E216&lt;=AH$2,$F216&gt;=AH$2),1,0)</f>
        <v/>
      </c>
      <c r="AI216">
        <f>AI215+IF(AND($E216&lt;&gt;"",$E216&lt;=AI$2,$F216&gt;=AI$2),1,0)</f>
        <v/>
      </c>
      <c r="AJ216">
        <f>AJ215+IF(AND($E216&lt;&gt;"",$E216&lt;=AJ$2,$F216&gt;=AJ$2),1,0)</f>
        <v/>
      </c>
      <c r="AK216">
        <f>AK215+IF(AND($E216&lt;&gt;"",$E216&lt;=AK$2,$F216&gt;=AK$2),1,0)</f>
        <v/>
      </c>
      <c r="AL216">
        <f>AL215+IF(AND($E216&lt;&gt;"",$E216&lt;=AL$2,$F216&gt;=AL$2),1,0)</f>
        <v/>
      </c>
      <c r="AM216">
        <f>AM215+IF(AND($E216&lt;&gt;"",$E216&lt;=AM$2,$F216&gt;=AM$2),1,0)</f>
        <v/>
      </c>
      <c r="AN216">
        <f>AN215+IF(AND($E216&lt;&gt;"",$E216&lt;=AN$2,$F216&gt;=AN$2),1,0)</f>
        <v/>
      </c>
      <c r="AO216">
        <f>AO215+IF(AND($E216&lt;&gt;"",$E216&lt;=AO$2,$F216&gt;=AO$2),1,0)</f>
        <v/>
      </c>
      <c r="AP216">
        <f>AP215+IF(AND($E216&lt;&gt;"",$E216&lt;=AP$2,$F216&gt;=AP$2),1,0)</f>
        <v/>
      </c>
      <c r="AQ216">
        <f>AQ215+IF(AND($E216&lt;&gt;"",$E216&lt;=AQ$2,$F216&gt;=AQ$2),1,0)</f>
        <v/>
      </c>
      <c r="AR216">
        <f>AR215+IF(AND($E216&lt;&gt;"",$E216&lt;=AR$2,$F216&gt;=AR$2),1,0)</f>
        <v/>
      </c>
      <c r="AS216">
        <f>AS215+IF(AND($E216&lt;&gt;"",$E216&lt;=AS$2,$F216&gt;=AS$2),1,0)</f>
        <v/>
      </c>
      <c r="AT216">
        <f>AT215+IF(AND($E216&lt;&gt;"",$E216&lt;=AT$2,$F216&gt;=AT$2),1,0)</f>
        <v/>
      </c>
      <c r="AU216">
        <f>AU215+IF(AND($E216&lt;&gt;"",$E216&lt;=AU$2,$F216&gt;=AU$2),1,0)</f>
        <v/>
      </c>
      <c r="AV216">
        <f>AV215+IF(AND($E216&lt;&gt;"",$E216&lt;=AV$2,$F216&gt;=AV$2),1,0)</f>
        <v/>
      </c>
      <c r="AW216">
        <f>AW215+IF(AND($E216&lt;&gt;"",$E216&lt;=AW$2,$F216&gt;=AW$2),1,0)</f>
        <v/>
      </c>
    </row>
    <row r="217">
      <c r="A217">
        <f>IF(AND(ISNUMBER(Events!$A219),ISNUMBER(Events!$B219)),MAX(0,Events!$B219-Events!$A219),0)</f>
        <v/>
      </c>
      <c r="B217">
        <f>IF(ISNUMBER(Events!$A219),DATE(YEAR($B$1)-1,MONTH(Events!$A219),DAY(Events!$A219)),"")</f>
        <v/>
      </c>
      <c r="C217">
        <f>IF(ISNUMBER(Events!$A219),DATE(YEAR($B$1),MONTH(Events!$A219),DAY(Events!$A219)),"")</f>
        <v/>
      </c>
      <c r="D217">
        <f>IF(ISNUMBER(Events!$A219),DATE(YEAR($B$2),MONTH(Events!$A219),DAY(Events!$A219)),"")</f>
        <v/>
      </c>
      <c r="E217">
        <f>IF(OR(NOT(ISNUMBER(Events!$A219)),Events!$G219="No",Calendar!$H$4="None"),"",IF(OR(Calendar!$H$4="All events",Events!$D219=Calendar!$H$4),IF(Events!$E219="Yes",IF(AND(B217&gt;=Events!$A219,B217&lt;=$B$2,B217+$A217&gt;=$B$1),B217,IF(AND(C217&gt;=Events!$A219,C217&lt;=$B$2,C217+$A217&gt;=$B$1),C217,IF(AND(D217&gt;=Events!$A219,D217&lt;=$B$2,D217+$A217&gt;=$B$1),D217,""))),IF(AND(Events!$A219&lt;=$B$2,Events!$A219+$A217&gt;=$B$1),Events!$A219,"")),""))</f>
        <v/>
      </c>
      <c r="F217">
        <f>IF(E217="","",E217+A217)</f>
        <v/>
      </c>
      <c r="G217">
        <f>IF(E217="","",IF(AND(E217&lt;=EOMONTH(Calendar!$K$2,0),F217&gt;=Calendar!$K$2),E217+214/100000,""))</f>
        <v/>
      </c>
      <c r="H217">
        <f>H216+IF(AND($E217&lt;&gt;"",$E217&lt;=H$2,$F217&gt;=H$2),1,0)</f>
        <v/>
      </c>
      <c r="I217">
        <f>I216+IF(AND($E217&lt;&gt;"",$E217&lt;=I$2,$F217&gt;=I$2),1,0)</f>
        <v/>
      </c>
      <c r="J217">
        <f>J216+IF(AND($E217&lt;&gt;"",$E217&lt;=J$2,$F217&gt;=J$2),1,0)</f>
        <v/>
      </c>
      <c r="K217">
        <f>K216+IF(AND($E217&lt;&gt;"",$E217&lt;=K$2,$F217&gt;=K$2),1,0)</f>
        <v/>
      </c>
      <c r="L217">
        <f>L216+IF(AND($E217&lt;&gt;"",$E217&lt;=L$2,$F217&gt;=L$2),1,0)</f>
        <v/>
      </c>
      <c r="M217">
        <f>M216+IF(AND($E217&lt;&gt;"",$E217&lt;=M$2,$F217&gt;=M$2),1,0)</f>
        <v/>
      </c>
      <c r="N217">
        <f>N216+IF(AND($E217&lt;&gt;"",$E217&lt;=N$2,$F217&gt;=N$2),1,0)</f>
        <v/>
      </c>
      <c r="O217">
        <f>O216+IF(AND($E217&lt;&gt;"",$E217&lt;=O$2,$F217&gt;=O$2),1,0)</f>
        <v/>
      </c>
      <c r="P217">
        <f>P216+IF(AND($E217&lt;&gt;"",$E217&lt;=P$2,$F217&gt;=P$2),1,0)</f>
        <v/>
      </c>
      <c r="Q217">
        <f>Q216+IF(AND($E217&lt;&gt;"",$E217&lt;=Q$2,$F217&gt;=Q$2),1,0)</f>
        <v/>
      </c>
      <c r="R217">
        <f>R216+IF(AND($E217&lt;&gt;"",$E217&lt;=R$2,$F217&gt;=R$2),1,0)</f>
        <v/>
      </c>
      <c r="S217">
        <f>S216+IF(AND($E217&lt;&gt;"",$E217&lt;=S$2,$F217&gt;=S$2),1,0)</f>
        <v/>
      </c>
      <c r="T217">
        <f>T216+IF(AND($E217&lt;&gt;"",$E217&lt;=T$2,$F217&gt;=T$2),1,0)</f>
        <v/>
      </c>
      <c r="U217">
        <f>U216+IF(AND($E217&lt;&gt;"",$E217&lt;=U$2,$F217&gt;=U$2),1,0)</f>
        <v/>
      </c>
      <c r="V217">
        <f>V216+IF(AND($E217&lt;&gt;"",$E217&lt;=V$2,$F217&gt;=V$2),1,0)</f>
        <v/>
      </c>
      <c r="W217">
        <f>W216+IF(AND($E217&lt;&gt;"",$E217&lt;=W$2,$F217&gt;=W$2),1,0)</f>
        <v/>
      </c>
      <c r="X217">
        <f>X216+IF(AND($E217&lt;&gt;"",$E217&lt;=X$2,$F217&gt;=X$2),1,0)</f>
        <v/>
      </c>
      <c r="Y217">
        <f>Y216+IF(AND($E217&lt;&gt;"",$E217&lt;=Y$2,$F217&gt;=Y$2),1,0)</f>
        <v/>
      </c>
      <c r="Z217">
        <f>Z216+IF(AND($E217&lt;&gt;"",$E217&lt;=Z$2,$F217&gt;=Z$2),1,0)</f>
        <v/>
      </c>
      <c r="AA217">
        <f>AA216+IF(AND($E217&lt;&gt;"",$E217&lt;=AA$2,$F217&gt;=AA$2),1,0)</f>
        <v/>
      </c>
      <c r="AB217">
        <f>AB216+IF(AND($E217&lt;&gt;"",$E217&lt;=AB$2,$F217&gt;=AB$2),1,0)</f>
        <v/>
      </c>
      <c r="AC217">
        <f>AC216+IF(AND($E217&lt;&gt;"",$E217&lt;=AC$2,$F217&gt;=AC$2),1,0)</f>
        <v/>
      </c>
      <c r="AD217">
        <f>AD216+IF(AND($E217&lt;&gt;"",$E217&lt;=AD$2,$F217&gt;=AD$2),1,0)</f>
        <v/>
      </c>
      <c r="AE217">
        <f>AE216+IF(AND($E217&lt;&gt;"",$E217&lt;=AE$2,$F217&gt;=AE$2),1,0)</f>
        <v/>
      </c>
      <c r="AF217">
        <f>AF216+IF(AND($E217&lt;&gt;"",$E217&lt;=AF$2,$F217&gt;=AF$2),1,0)</f>
        <v/>
      </c>
      <c r="AG217">
        <f>AG216+IF(AND($E217&lt;&gt;"",$E217&lt;=AG$2,$F217&gt;=AG$2),1,0)</f>
        <v/>
      </c>
      <c r="AH217">
        <f>AH216+IF(AND($E217&lt;&gt;"",$E217&lt;=AH$2,$F217&gt;=AH$2),1,0)</f>
        <v/>
      </c>
      <c r="AI217">
        <f>AI216+IF(AND($E217&lt;&gt;"",$E217&lt;=AI$2,$F217&gt;=AI$2),1,0)</f>
        <v/>
      </c>
      <c r="AJ217">
        <f>AJ216+IF(AND($E217&lt;&gt;"",$E217&lt;=AJ$2,$F217&gt;=AJ$2),1,0)</f>
        <v/>
      </c>
      <c r="AK217">
        <f>AK216+IF(AND($E217&lt;&gt;"",$E217&lt;=AK$2,$F217&gt;=AK$2),1,0)</f>
        <v/>
      </c>
      <c r="AL217">
        <f>AL216+IF(AND($E217&lt;&gt;"",$E217&lt;=AL$2,$F217&gt;=AL$2),1,0)</f>
        <v/>
      </c>
      <c r="AM217">
        <f>AM216+IF(AND($E217&lt;&gt;"",$E217&lt;=AM$2,$F217&gt;=AM$2),1,0)</f>
        <v/>
      </c>
      <c r="AN217">
        <f>AN216+IF(AND($E217&lt;&gt;"",$E217&lt;=AN$2,$F217&gt;=AN$2),1,0)</f>
        <v/>
      </c>
      <c r="AO217">
        <f>AO216+IF(AND($E217&lt;&gt;"",$E217&lt;=AO$2,$F217&gt;=AO$2),1,0)</f>
        <v/>
      </c>
      <c r="AP217">
        <f>AP216+IF(AND($E217&lt;&gt;"",$E217&lt;=AP$2,$F217&gt;=AP$2),1,0)</f>
        <v/>
      </c>
      <c r="AQ217">
        <f>AQ216+IF(AND($E217&lt;&gt;"",$E217&lt;=AQ$2,$F217&gt;=AQ$2),1,0)</f>
        <v/>
      </c>
      <c r="AR217">
        <f>AR216+IF(AND($E217&lt;&gt;"",$E217&lt;=AR$2,$F217&gt;=AR$2),1,0)</f>
        <v/>
      </c>
      <c r="AS217">
        <f>AS216+IF(AND($E217&lt;&gt;"",$E217&lt;=AS$2,$F217&gt;=AS$2),1,0)</f>
        <v/>
      </c>
      <c r="AT217">
        <f>AT216+IF(AND($E217&lt;&gt;"",$E217&lt;=AT$2,$F217&gt;=AT$2),1,0)</f>
        <v/>
      </c>
      <c r="AU217">
        <f>AU216+IF(AND($E217&lt;&gt;"",$E217&lt;=AU$2,$F217&gt;=AU$2),1,0)</f>
        <v/>
      </c>
      <c r="AV217">
        <f>AV216+IF(AND($E217&lt;&gt;"",$E217&lt;=AV$2,$F217&gt;=AV$2),1,0)</f>
        <v/>
      </c>
      <c r="AW217">
        <f>AW216+IF(AND($E217&lt;&gt;"",$E217&lt;=AW$2,$F217&gt;=AW$2),1,0)</f>
        <v/>
      </c>
    </row>
    <row r="218">
      <c r="A218">
        <f>IF(AND(ISNUMBER(Events!$A220),ISNUMBER(Events!$B220)),MAX(0,Events!$B220-Events!$A220),0)</f>
        <v/>
      </c>
      <c r="B218">
        <f>IF(ISNUMBER(Events!$A220),DATE(YEAR($B$1)-1,MONTH(Events!$A220),DAY(Events!$A220)),"")</f>
        <v/>
      </c>
      <c r="C218">
        <f>IF(ISNUMBER(Events!$A220),DATE(YEAR($B$1),MONTH(Events!$A220),DAY(Events!$A220)),"")</f>
        <v/>
      </c>
      <c r="D218">
        <f>IF(ISNUMBER(Events!$A220),DATE(YEAR($B$2),MONTH(Events!$A220),DAY(Events!$A220)),"")</f>
        <v/>
      </c>
      <c r="E218">
        <f>IF(OR(NOT(ISNUMBER(Events!$A220)),Events!$G220="No",Calendar!$H$4="None"),"",IF(OR(Calendar!$H$4="All events",Events!$D220=Calendar!$H$4),IF(Events!$E220="Yes",IF(AND(B218&gt;=Events!$A220,B218&lt;=$B$2,B218+$A218&gt;=$B$1),B218,IF(AND(C218&gt;=Events!$A220,C218&lt;=$B$2,C218+$A218&gt;=$B$1),C218,IF(AND(D218&gt;=Events!$A220,D218&lt;=$B$2,D218+$A218&gt;=$B$1),D218,""))),IF(AND(Events!$A220&lt;=$B$2,Events!$A220+$A218&gt;=$B$1),Events!$A220,"")),""))</f>
        <v/>
      </c>
      <c r="F218">
        <f>IF(E218="","",E218+A218)</f>
        <v/>
      </c>
      <c r="G218">
        <f>IF(E218="","",IF(AND(E218&lt;=EOMONTH(Calendar!$K$2,0),F218&gt;=Calendar!$K$2),E218+215/100000,""))</f>
        <v/>
      </c>
      <c r="H218">
        <f>H217+IF(AND($E218&lt;&gt;"",$E218&lt;=H$2,$F218&gt;=H$2),1,0)</f>
        <v/>
      </c>
      <c r="I218">
        <f>I217+IF(AND($E218&lt;&gt;"",$E218&lt;=I$2,$F218&gt;=I$2),1,0)</f>
        <v/>
      </c>
      <c r="J218">
        <f>J217+IF(AND($E218&lt;&gt;"",$E218&lt;=J$2,$F218&gt;=J$2),1,0)</f>
        <v/>
      </c>
      <c r="K218">
        <f>K217+IF(AND($E218&lt;&gt;"",$E218&lt;=K$2,$F218&gt;=K$2),1,0)</f>
        <v/>
      </c>
      <c r="L218">
        <f>L217+IF(AND($E218&lt;&gt;"",$E218&lt;=L$2,$F218&gt;=L$2),1,0)</f>
        <v/>
      </c>
      <c r="M218">
        <f>M217+IF(AND($E218&lt;&gt;"",$E218&lt;=M$2,$F218&gt;=M$2),1,0)</f>
        <v/>
      </c>
      <c r="N218">
        <f>N217+IF(AND($E218&lt;&gt;"",$E218&lt;=N$2,$F218&gt;=N$2),1,0)</f>
        <v/>
      </c>
      <c r="O218">
        <f>O217+IF(AND($E218&lt;&gt;"",$E218&lt;=O$2,$F218&gt;=O$2),1,0)</f>
        <v/>
      </c>
      <c r="P218">
        <f>P217+IF(AND($E218&lt;&gt;"",$E218&lt;=P$2,$F218&gt;=P$2),1,0)</f>
        <v/>
      </c>
      <c r="Q218">
        <f>Q217+IF(AND($E218&lt;&gt;"",$E218&lt;=Q$2,$F218&gt;=Q$2),1,0)</f>
        <v/>
      </c>
      <c r="R218">
        <f>R217+IF(AND($E218&lt;&gt;"",$E218&lt;=R$2,$F218&gt;=R$2),1,0)</f>
        <v/>
      </c>
      <c r="S218">
        <f>S217+IF(AND($E218&lt;&gt;"",$E218&lt;=S$2,$F218&gt;=S$2),1,0)</f>
        <v/>
      </c>
      <c r="T218">
        <f>T217+IF(AND($E218&lt;&gt;"",$E218&lt;=T$2,$F218&gt;=T$2),1,0)</f>
        <v/>
      </c>
      <c r="U218">
        <f>U217+IF(AND($E218&lt;&gt;"",$E218&lt;=U$2,$F218&gt;=U$2),1,0)</f>
        <v/>
      </c>
      <c r="V218">
        <f>V217+IF(AND($E218&lt;&gt;"",$E218&lt;=V$2,$F218&gt;=V$2),1,0)</f>
        <v/>
      </c>
      <c r="W218">
        <f>W217+IF(AND($E218&lt;&gt;"",$E218&lt;=W$2,$F218&gt;=W$2),1,0)</f>
        <v/>
      </c>
      <c r="X218">
        <f>X217+IF(AND($E218&lt;&gt;"",$E218&lt;=X$2,$F218&gt;=X$2),1,0)</f>
        <v/>
      </c>
      <c r="Y218">
        <f>Y217+IF(AND($E218&lt;&gt;"",$E218&lt;=Y$2,$F218&gt;=Y$2),1,0)</f>
        <v/>
      </c>
      <c r="Z218">
        <f>Z217+IF(AND($E218&lt;&gt;"",$E218&lt;=Z$2,$F218&gt;=Z$2),1,0)</f>
        <v/>
      </c>
      <c r="AA218">
        <f>AA217+IF(AND($E218&lt;&gt;"",$E218&lt;=AA$2,$F218&gt;=AA$2),1,0)</f>
        <v/>
      </c>
      <c r="AB218">
        <f>AB217+IF(AND($E218&lt;&gt;"",$E218&lt;=AB$2,$F218&gt;=AB$2),1,0)</f>
        <v/>
      </c>
      <c r="AC218">
        <f>AC217+IF(AND($E218&lt;&gt;"",$E218&lt;=AC$2,$F218&gt;=AC$2),1,0)</f>
        <v/>
      </c>
      <c r="AD218">
        <f>AD217+IF(AND($E218&lt;&gt;"",$E218&lt;=AD$2,$F218&gt;=AD$2),1,0)</f>
        <v/>
      </c>
      <c r="AE218">
        <f>AE217+IF(AND($E218&lt;&gt;"",$E218&lt;=AE$2,$F218&gt;=AE$2),1,0)</f>
        <v/>
      </c>
      <c r="AF218">
        <f>AF217+IF(AND($E218&lt;&gt;"",$E218&lt;=AF$2,$F218&gt;=AF$2),1,0)</f>
        <v/>
      </c>
      <c r="AG218">
        <f>AG217+IF(AND($E218&lt;&gt;"",$E218&lt;=AG$2,$F218&gt;=AG$2),1,0)</f>
        <v/>
      </c>
      <c r="AH218">
        <f>AH217+IF(AND($E218&lt;&gt;"",$E218&lt;=AH$2,$F218&gt;=AH$2),1,0)</f>
        <v/>
      </c>
      <c r="AI218">
        <f>AI217+IF(AND($E218&lt;&gt;"",$E218&lt;=AI$2,$F218&gt;=AI$2),1,0)</f>
        <v/>
      </c>
      <c r="AJ218">
        <f>AJ217+IF(AND($E218&lt;&gt;"",$E218&lt;=AJ$2,$F218&gt;=AJ$2),1,0)</f>
        <v/>
      </c>
      <c r="AK218">
        <f>AK217+IF(AND($E218&lt;&gt;"",$E218&lt;=AK$2,$F218&gt;=AK$2),1,0)</f>
        <v/>
      </c>
      <c r="AL218">
        <f>AL217+IF(AND($E218&lt;&gt;"",$E218&lt;=AL$2,$F218&gt;=AL$2),1,0)</f>
        <v/>
      </c>
      <c r="AM218">
        <f>AM217+IF(AND($E218&lt;&gt;"",$E218&lt;=AM$2,$F218&gt;=AM$2),1,0)</f>
        <v/>
      </c>
      <c r="AN218">
        <f>AN217+IF(AND($E218&lt;&gt;"",$E218&lt;=AN$2,$F218&gt;=AN$2),1,0)</f>
        <v/>
      </c>
      <c r="AO218">
        <f>AO217+IF(AND($E218&lt;&gt;"",$E218&lt;=AO$2,$F218&gt;=AO$2),1,0)</f>
        <v/>
      </c>
      <c r="AP218">
        <f>AP217+IF(AND($E218&lt;&gt;"",$E218&lt;=AP$2,$F218&gt;=AP$2),1,0)</f>
        <v/>
      </c>
      <c r="AQ218">
        <f>AQ217+IF(AND($E218&lt;&gt;"",$E218&lt;=AQ$2,$F218&gt;=AQ$2),1,0)</f>
        <v/>
      </c>
      <c r="AR218">
        <f>AR217+IF(AND($E218&lt;&gt;"",$E218&lt;=AR$2,$F218&gt;=AR$2),1,0)</f>
        <v/>
      </c>
      <c r="AS218">
        <f>AS217+IF(AND($E218&lt;&gt;"",$E218&lt;=AS$2,$F218&gt;=AS$2),1,0)</f>
        <v/>
      </c>
      <c r="AT218">
        <f>AT217+IF(AND($E218&lt;&gt;"",$E218&lt;=AT$2,$F218&gt;=AT$2),1,0)</f>
        <v/>
      </c>
      <c r="AU218">
        <f>AU217+IF(AND($E218&lt;&gt;"",$E218&lt;=AU$2,$F218&gt;=AU$2),1,0)</f>
        <v/>
      </c>
      <c r="AV218">
        <f>AV217+IF(AND($E218&lt;&gt;"",$E218&lt;=AV$2,$F218&gt;=AV$2),1,0)</f>
        <v/>
      </c>
      <c r="AW218">
        <f>AW217+IF(AND($E218&lt;&gt;"",$E218&lt;=AW$2,$F218&gt;=AW$2),1,0)</f>
        <v/>
      </c>
    </row>
    <row r="219">
      <c r="A219">
        <f>IF(AND(ISNUMBER(Events!$A221),ISNUMBER(Events!$B221)),MAX(0,Events!$B221-Events!$A221),0)</f>
        <v/>
      </c>
      <c r="B219">
        <f>IF(ISNUMBER(Events!$A221),DATE(YEAR($B$1)-1,MONTH(Events!$A221),DAY(Events!$A221)),"")</f>
        <v/>
      </c>
      <c r="C219">
        <f>IF(ISNUMBER(Events!$A221),DATE(YEAR($B$1),MONTH(Events!$A221),DAY(Events!$A221)),"")</f>
        <v/>
      </c>
      <c r="D219">
        <f>IF(ISNUMBER(Events!$A221),DATE(YEAR($B$2),MONTH(Events!$A221),DAY(Events!$A221)),"")</f>
        <v/>
      </c>
      <c r="E219">
        <f>IF(OR(NOT(ISNUMBER(Events!$A221)),Events!$G221="No",Calendar!$H$4="None"),"",IF(OR(Calendar!$H$4="All events",Events!$D221=Calendar!$H$4),IF(Events!$E221="Yes",IF(AND(B219&gt;=Events!$A221,B219&lt;=$B$2,B219+$A219&gt;=$B$1),B219,IF(AND(C219&gt;=Events!$A221,C219&lt;=$B$2,C219+$A219&gt;=$B$1),C219,IF(AND(D219&gt;=Events!$A221,D219&lt;=$B$2,D219+$A219&gt;=$B$1),D219,""))),IF(AND(Events!$A221&lt;=$B$2,Events!$A221+$A219&gt;=$B$1),Events!$A221,"")),""))</f>
        <v/>
      </c>
      <c r="F219">
        <f>IF(E219="","",E219+A219)</f>
        <v/>
      </c>
      <c r="G219">
        <f>IF(E219="","",IF(AND(E219&lt;=EOMONTH(Calendar!$K$2,0),F219&gt;=Calendar!$K$2),E219+216/100000,""))</f>
        <v/>
      </c>
      <c r="H219">
        <f>H218+IF(AND($E219&lt;&gt;"",$E219&lt;=H$2,$F219&gt;=H$2),1,0)</f>
        <v/>
      </c>
      <c r="I219">
        <f>I218+IF(AND($E219&lt;&gt;"",$E219&lt;=I$2,$F219&gt;=I$2),1,0)</f>
        <v/>
      </c>
      <c r="J219">
        <f>J218+IF(AND($E219&lt;&gt;"",$E219&lt;=J$2,$F219&gt;=J$2),1,0)</f>
        <v/>
      </c>
      <c r="K219">
        <f>K218+IF(AND($E219&lt;&gt;"",$E219&lt;=K$2,$F219&gt;=K$2),1,0)</f>
        <v/>
      </c>
      <c r="L219">
        <f>L218+IF(AND($E219&lt;&gt;"",$E219&lt;=L$2,$F219&gt;=L$2),1,0)</f>
        <v/>
      </c>
      <c r="M219">
        <f>M218+IF(AND($E219&lt;&gt;"",$E219&lt;=M$2,$F219&gt;=M$2),1,0)</f>
        <v/>
      </c>
      <c r="N219">
        <f>N218+IF(AND($E219&lt;&gt;"",$E219&lt;=N$2,$F219&gt;=N$2),1,0)</f>
        <v/>
      </c>
      <c r="O219">
        <f>O218+IF(AND($E219&lt;&gt;"",$E219&lt;=O$2,$F219&gt;=O$2),1,0)</f>
        <v/>
      </c>
      <c r="P219">
        <f>P218+IF(AND($E219&lt;&gt;"",$E219&lt;=P$2,$F219&gt;=P$2),1,0)</f>
        <v/>
      </c>
      <c r="Q219">
        <f>Q218+IF(AND($E219&lt;&gt;"",$E219&lt;=Q$2,$F219&gt;=Q$2),1,0)</f>
        <v/>
      </c>
      <c r="R219">
        <f>R218+IF(AND($E219&lt;&gt;"",$E219&lt;=R$2,$F219&gt;=R$2),1,0)</f>
        <v/>
      </c>
      <c r="S219">
        <f>S218+IF(AND($E219&lt;&gt;"",$E219&lt;=S$2,$F219&gt;=S$2),1,0)</f>
        <v/>
      </c>
      <c r="T219">
        <f>T218+IF(AND($E219&lt;&gt;"",$E219&lt;=T$2,$F219&gt;=T$2),1,0)</f>
        <v/>
      </c>
      <c r="U219">
        <f>U218+IF(AND($E219&lt;&gt;"",$E219&lt;=U$2,$F219&gt;=U$2),1,0)</f>
        <v/>
      </c>
      <c r="V219">
        <f>V218+IF(AND($E219&lt;&gt;"",$E219&lt;=V$2,$F219&gt;=V$2),1,0)</f>
        <v/>
      </c>
      <c r="W219">
        <f>W218+IF(AND($E219&lt;&gt;"",$E219&lt;=W$2,$F219&gt;=W$2),1,0)</f>
        <v/>
      </c>
      <c r="X219">
        <f>X218+IF(AND($E219&lt;&gt;"",$E219&lt;=X$2,$F219&gt;=X$2),1,0)</f>
        <v/>
      </c>
      <c r="Y219">
        <f>Y218+IF(AND($E219&lt;&gt;"",$E219&lt;=Y$2,$F219&gt;=Y$2),1,0)</f>
        <v/>
      </c>
      <c r="Z219">
        <f>Z218+IF(AND($E219&lt;&gt;"",$E219&lt;=Z$2,$F219&gt;=Z$2),1,0)</f>
        <v/>
      </c>
      <c r="AA219">
        <f>AA218+IF(AND($E219&lt;&gt;"",$E219&lt;=AA$2,$F219&gt;=AA$2),1,0)</f>
        <v/>
      </c>
      <c r="AB219">
        <f>AB218+IF(AND($E219&lt;&gt;"",$E219&lt;=AB$2,$F219&gt;=AB$2),1,0)</f>
        <v/>
      </c>
      <c r="AC219">
        <f>AC218+IF(AND($E219&lt;&gt;"",$E219&lt;=AC$2,$F219&gt;=AC$2),1,0)</f>
        <v/>
      </c>
      <c r="AD219">
        <f>AD218+IF(AND($E219&lt;&gt;"",$E219&lt;=AD$2,$F219&gt;=AD$2),1,0)</f>
        <v/>
      </c>
      <c r="AE219">
        <f>AE218+IF(AND($E219&lt;&gt;"",$E219&lt;=AE$2,$F219&gt;=AE$2),1,0)</f>
        <v/>
      </c>
      <c r="AF219">
        <f>AF218+IF(AND($E219&lt;&gt;"",$E219&lt;=AF$2,$F219&gt;=AF$2),1,0)</f>
        <v/>
      </c>
      <c r="AG219">
        <f>AG218+IF(AND($E219&lt;&gt;"",$E219&lt;=AG$2,$F219&gt;=AG$2),1,0)</f>
        <v/>
      </c>
      <c r="AH219">
        <f>AH218+IF(AND($E219&lt;&gt;"",$E219&lt;=AH$2,$F219&gt;=AH$2),1,0)</f>
        <v/>
      </c>
      <c r="AI219">
        <f>AI218+IF(AND($E219&lt;&gt;"",$E219&lt;=AI$2,$F219&gt;=AI$2),1,0)</f>
        <v/>
      </c>
      <c r="AJ219">
        <f>AJ218+IF(AND($E219&lt;&gt;"",$E219&lt;=AJ$2,$F219&gt;=AJ$2),1,0)</f>
        <v/>
      </c>
      <c r="AK219">
        <f>AK218+IF(AND($E219&lt;&gt;"",$E219&lt;=AK$2,$F219&gt;=AK$2),1,0)</f>
        <v/>
      </c>
      <c r="AL219">
        <f>AL218+IF(AND($E219&lt;&gt;"",$E219&lt;=AL$2,$F219&gt;=AL$2),1,0)</f>
        <v/>
      </c>
      <c r="AM219">
        <f>AM218+IF(AND($E219&lt;&gt;"",$E219&lt;=AM$2,$F219&gt;=AM$2),1,0)</f>
        <v/>
      </c>
      <c r="AN219">
        <f>AN218+IF(AND($E219&lt;&gt;"",$E219&lt;=AN$2,$F219&gt;=AN$2),1,0)</f>
        <v/>
      </c>
      <c r="AO219">
        <f>AO218+IF(AND($E219&lt;&gt;"",$E219&lt;=AO$2,$F219&gt;=AO$2),1,0)</f>
        <v/>
      </c>
      <c r="AP219">
        <f>AP218+IF(AND($E219&lt;&gt;"",$E219&lt;=AP$2,$F219&gt;=AP$2),1,0)</f>
        <v/>
      </c>
      <c r="AQ219">
        <f>AQ218+IF(AND($E219&lt;&gt;"",$E219&lt;=AQ$2,$F219&gt;=AQ$2),1,0)</f>
        <v/>
      </c>
      <c r="AR219">
        <f>AR218+IF(AND($E219&lt;&gt;"",$E219&lt;=AR$2,$F219&gt;=AR$2),1,0)</f>
        <v/>
      </c>
      <c r="AS219">
        <f>AS218+IF(AND($E219&lt;&gt;"",$E219&lt;=AS$2,$F219&gt;=AS$2),1,0)</f>
        <v/>
      </c>
      <c r="AT219">
        <f>AT218+IF(AND($E219&lt;&gt;"",$E219&lt;=AT$2,$F219&gt;=AT$2),1,0)</f>
        <v/>
      </c>
      <c r="AU219">
        <f>AU218+IF(AND($E219&lt;&gt;"",$E219&lt;=AU$2,$F219&gt;=AU$2),1,0)</f>
        <v/>
      </c>
      <c r="AV219">
        <f>AV218+IF(AND($E219&lt;&gt;"",$E219&lt;=AV$2,$F219&gt;=AV$2),1,0)</f>
        <v/>
      </c>
      <c r="AW219">
        <f>AW218+IF(AND($E219&lt;&gt;"",$E219&lt;=AW$2,$F219&gt;=AW$2),1,0)</f>
        <v/>
      </c>
    </row>
    <row r="220">
      <c r="A220">
        <f>IF(AND(ISNUMBER(Events!$A222),ISNUMBER(Events!$B222)),MAX(0,Events!$B222-Events!$A222),0)</f>
        <v/>
      </c>
      <c r="B220">
        <f>IF(ISNUMBER(Events!$A222),DATE(YEAR($B$1)-1,MONTH(Events!$A222),DAY(Events!$A222)),"")</f>
        <v/>
      </c>
      <c r="C220">
        <f>IF(ISNUMBER(Events!$A222),DATE(YEAR($B$1),MONTH(Events!$A222),DAY(Events!$A222)),"")</f>
        <v/>
      </c>
      <c r="D220">
        <f>IF(ISNUMBER(Events!$A222),DATE(YEAR($B$2),MONTH(Events!$A222),DAY(Events!$A222)),"")</f>
        <v/>
      </c>
      <c r="E220">
        <f>IF(OR(NOT(ISNUMBER(Events!$A222)),Events!$G222="No",Calendar!$H$4="None"),"",IF(OR(Calendar!$H$4="All events",Events!$D222=Calendar!$H$4),IF(Events!$E222="Yes",IF(AND(B220&gt;=Events!$A222,B220&lt;=$B$2,B220+$A220&gt;=$B$1),B220,IF(AND(C220&gt;=Events!$A222,C220&lt;=$B$2,C220+$A220&gt;=$B$1),C220,IF(AND(D220&gt;=Events!$A222,D220&lt;=$B$2,D220+$A220&gt;=$B$1),D220,""))),IF(AND(Events!$A222&lt;=$B$2,Events!$A222+$A220&gt;=$B$1),Events!$A222,"")),""))</f>
        <v/>
      </c>
      <c r="F220">
        <f>IF(E220="","",E220+A220)</f>
        <v/>
      </c>
      <c r="G220">
        <f>IF(E220="","",IF(AND(E220&lt;=EOMONTH(Calendar!$K$2,0),F220&gt;=Calendar!$K$2),E220+217/100000,""))</f>
        <v/>
      </c>
      <c r="H220">
        <f>H219+IF(AND($E220&lt;&gt;"",$E220&lt;=H$2,$F220&gt;=H$2),1,0)</f>
        <v/>
      </c>
      <c r="I220">
        <f>I219+IF(AND($E220&lt;&gt;"",$E220&lt;=I$2,$F220&gt;=I$2),1,0)</f>
        <v/>
      </c>
      <c r="J220">
        <f>J219+IF(AND($E220&lt;&gt;"",$E220&lt;=J$2,$F220&gt;=J$2),1,0)</f>
        <v/>
      </c>
      <c r="K220">
        <f>K219+IF(AND($E220&lt;&gt;"",$E220&lt;=K$2,$F220&gt;=K$2),1,0)</f>
        <v/>
      </c>
      <c r="L220">
        <f>L219+IF(AND($E220&lt;&gt;"",$E220&lt;=L$2,$F220&gt;=L$2),1,0)</f>
        <v/>
      </c>
      <c r="M220">
        <f>M219+IF(AND($E220&lt;&gt;"",$E220&lt;=M$2,$F220&gt;=M$2),1,0)</f>
        <v/>
      </c>
      <c r="N220">
        <f>N219+IF(AND($E220&lt;&gt;"",$E220&lt;=N$2,$F220&gt;=N$2),1,0)</f>
        <v/>
      </c>
      <c r="O220">
        <f>O219+IF(AND($E220&lt;&gt;"",$E220&lt;=O$2,$F220&gt;=O$2),1,0)</f>
        <v/>
      </c>
      <c r="P220">
        <f>P219+IF(AND($E220&lt;&gt;"",$E220&lt;=P$2,$F220&gt;=P$2),1,0)</f>
        <v/>
      </c>
      <c r="Q220">
        <f>Q219+IF(AND($E220&lt;&gt;"",$E220&lt;=Q$2,$F220&gt;=Q$2),1,0)</f>
        <v/>
      </c>
      <c r="R220">
        <f>R219+IF(AND($E220&lt;&gt;"",$E220&lt;=R$2,$F220&gt;=R$2),1,0)</f>
        <v/>
      </c>
      <c r="S220">
        <f>S219+IF(AND($E220&lt;&gt;"",$E220&lt;=S$2,$F220&gt;=S$2),1,0)</f>
        <v/>
      </c>
      <c r="T220">
        <f>T219+IF(AND($E220&lt;&gt;"",$E220&lt;=T$2,$F220&gt;=T$2),1,0)</f>
        <v/>
      </c>
      <c r="U220">
        <f>U219+IF(AND($E220&lt;&gt;"",$E220&lt;=U$2,$F220&gt;=U$2),1,0)</f>
        <v/>
      </c>
      <c r="V220">
        <f>V219+IF(AND($E220&lt;&gt;"",$E220&lt;=V$2,$F220&gt;=V$2),1,0)</f>
        <v/>
      </c>
      <c r="W220">
        <f>W219+IF(AND($E220&lt;&gt;"",$E220&lt;=W$2,$F220&gt;=W$2),1,0)</f>
        <v/>
      </c>
      <c r="X220">
        <f>X219+IF(AND($E220&lt;&gt;"",$E220&lt;=X$2,$F220&gt;=X$2),1,0)</f>
        <v/>
      </c>
      <c r="Y220">
        <f>Y219+IF(AND($E220&lt;&gt;"",$E220&lt;=Y$2,$F220&gt;=Y$2),1,0)</f>
        <v/>
      </c>
      <c r="Z220">
        <f>Z219+IF(AND($E220&lt;&gt;"",$E220&lt;=Z$2,$F220&gt;=Z$2),1,0)</f>
        <v/>
      </c>
      <c r="AA220">
        <f>AA219+IF(AND($E220&lt;&gt;"",$E220&lt;=AA$2,$F220&gt;=AA$2),1,0)</f>
        <v/>
      </c>
      <c r="AB220">
        <f>AB219+IF(AND($E220&lt;&gt;"",$E220&lt;=AB$2,$F220&gt;=AB$2),1,0)</f>
        <v/>
      </c>
      <c r="AC220">
        <f>AC219+IF(AND($E220&lt;&gt;"",$E220&lt;=AC$2,$F220&gt;=AC$2),1,0)</f>
        <v/>
      </c>
      <c r="AD220">
        <f>AD219+IF(AND($E220&lt;&gt;"",$E220&lt;=AD$2,$F220&gt;=AD$2),1,0)</f>
        <v/>
      </c>
      <c r="AE220">
        <f>AE219+IF(AND($E220&lt;&gt;"",$E220&lt;=AE$2,$F220&gt;=AE$2),1,0)</f>
        <v/>
      </c>
      <c r="AF220">
        <f>AF219+IF(AND($E220&lt;&gt;"",$E220&lt;=AF$2,$F220&gt;=AF$2),1,0)</f>
        <v/>
      </c>
      <c r="AG220">
        <f>AG219+IF(AND($E220&lt;&gt;"",$E220&lt;=AG$2,$F220&gt;=AG$2),1,0)</f>
        <v/>
      </c>
      <c r="AH220">
        <f>AH219+IF(AND($E220&lt;&gt;"",$E220&lt;=AH$2,$F220&gt;=AH$2),1,0)</f>
        <v/>
      </c>
      <c r="AI220">
        <f>AI219+IF(AND($E220&lt;&gt;"",$E220&lt;=AI$2,$F220&gt;=AI$2),1,0)</f>
        <v/>
      </c>
      <c r="AJ220">
        <f>AJ219+IF(AND($E220&lt;&gt;"",$E220&lt;=AJ$2,$F220&gt;=AJ$2),1,0)</f>
        <v/>
      </c>
      <c r="AK220">
        <f>AK219+IF(AND($E220&lt;&gt;"",$E220&lt;=AK$2,$F220&gt;=AK$2),1,0)</f>
        <v/>
      </c>
      <c r="AL220">
        <f>AL219+IF(AND($E220&lt;&gt;"",$E220&lt;=AL$2,$F220&gt;=AL$2),1,0)</f>
        <v/>
      </c>
      <c r="AM220">
        <f>AM219+IF(AND($E220&lt;&gt;"",$E220&lt;=AM$2,$F220&gt;=AM$2),1,0)</f>
        <v/>
      </c>
      <c r="AN220">
        <f>AN219+IF(AND($E220&lt;&gt;"",$E220&lt;=AN$2,$F220&gt;=AN$2),1,0)</f>
        <v/>
      </c>
      <c r="AO220">
        <f>AO219+IF(AND($E220&lt;&gt;"",$E220&lt;=AO$2,$F220&gt;=AO$2),1,0)</f>
        <v/>
      </c>
      <c r="AP220">
        <f>AP219+IF(AND($E220&lt;&gt;"",$E220&lt;=AP$2,$F220&gt;=AP$2),1,0)</f>
        <v/>
      </c>
      <c r="AQ220">
        <f>AQ219+IF(AND($E220&lt;&gt;"",$E220&lt;=AQ$2,$F220&gt;=AQ$2),1,0)</f>
        <v/>
      </c>
      <c r="AR220">
        <f>AR219+IF(AND($E220&lt;&gt;"",$E220&lt;=AR$2,$F220&gt;=AR$2),1,0)</f>
        <v/>
      </c>
      <c r="AS220">
        <f>AS219+IF(AND($E220&lt;&gt;"",$E220&lt;=AS$2,$F220&gt;=AS$2),1,0)</f>
        <v/>
      </c>
      <c r="AT220">
        <f>AT219+IF(AND($E220&lt;&gt;"",$E220&lt;=AT$2,$F220&gt;=AT$2),1,0)</f>
        <v/>
      </c>
      <c r="AU220">
        <f>AU219+IF(AND($E220&lt;&gt;"",$E220&lt;=AU$2,$F220&gt;=AU$2),1,0)</f>
        <v/>
      </c>
      <c r="AV220">
        <f>AV219+IF(AND($E220&lt;&gt;"",$E220&lt;=AV$2,$F220&gt;=AV$2),1,0)</f>
        <v/>
      </c>
      <c r="AW220">
        <f>AW219+IF(AND($E220&lt;&gt;"",$E220&lt;=AW$2,$F220&gt;=AW$2),1,0)</f>
        <v/>
      </c>
    </row>
    <row r="221">
      <c r="A221">
        <f>IF(AND(ISNUMBER(Events!$A223),ISNUMBER(Events!$B223)),MAX(0,Events!$B223-Events!$A223),0)</f>
        <v/>
      </c>
      <c r="B221">
        <f>IF(ISNUMBER(Events!$A223),DATE(YEAR($B$1)-1,MONTH(Events!$A223),DAY(Events!$A223)),"")</f>
        <v/>
      </c>
      <c r="C221">
        <f>IF(ISNUMBER(Events!$A223),DATE(YEAR($B$1),MONTH(Events!$A223),DAY(Events!$A223)),"")</f>
        <v/>
      </c>
      <c r="D221">
        <f>IF(ISNUMBER(Events!$A223),DATE(YEAR($B$2),MONTH(Events!$A223),DAY(Events!$A223)),"")</f>
        <v/>
      </c>
      <c r="E221">
        <f>IF(OR(NOT(ISNUMBER(Events!$A223)),Events!$G223="No",Calendar!$H$4="None"),"",IF(OR(Calendar!$H$4="All events",Events!$D223=Calendar!$H$4),IF(Events!$E223="Yes",IF(AND(B221&gt;=Events!$A223,B221&lt;=$B$2,B221+$A221&gt;=$B$1),B221,IF(AND(C221&gt;=Events!$A223,C221&lt;=$B$2,C221+$A221&gt;=$B$1),C221,IF(AND(D221&gt;=Events!$A223,D221&lt;=$B$2,D221+$A221&gt;=$B$1),D221,""))),IF(AND(Events!$A223&lt;=$B$2,Events!$A223+$A221&gt;=$B$1),Events!$A223,"")),""))</f>
        <v/>
      </c>
      <c r="F221">
        <f>IF(E221="","",E221+A221)</f>
        <v/>
      </c>
      <c r="G221">
        <f>IF(E221="","",IF(AND(E221&lt;=EOMONTH(Calendar!$K$2,0),F221&gt;=Calendar!$K$2),E221+218/100000,""))</f>
        <v/>
      </c>
      <c r="H221">
        <f>H220+IF(AND($E221&lt;&gt;"",$E221&lt;=H$2,$F221&gt;=H$2),1,0)</f>
        <v/>
      </c>
      <c r="I221">
        <f>I220+IF(AND($E221&lt;&gt;"",$E221&lt;=I$2,$F221&gt;=I$2),1,0)</f>
        <v/>
      </c>
      <c r="J221">
        <f>J220+IF(AND($E221&lt;&gt;"",$E221&lt;=J$2,$F221&gt;=J$2),1,0)</f>
        <v/>
      </c>
      <c r="K221">
        <f>K220+IF(AND($E221&lt;&gt;"",$E221&lt;=K$2,$F221&gt;=K$2),1,0)</f>
        <v/>
      </c>
      <c r="L221">
        <f>L220+IF(AND($E221&lt;&gt;"",$E221&lt;=L$2,$F221&gt;=L$2),1,0)</f>
        <v/>
      </c>
      <c r="M221">
        <f>M220+IF(AND($E221&lt;&gt;"",$E221&lt;=M$2,$F221&gt;=M$2),1,0)</f>
        <v/>
      </c>
      <c r="N221">
        <f>N220+IF(AND($E221&lt;&gt;"",$E221&lt;=N$2,$F221&gt;=N$2),1,0)</f>
        <v/>
      </c>
      <c r="O221">
        <f>O220+IF(AND($E221&lt;&gt;"",$E221&lt;=O$2,$F221&gt;=O$2),1,0)</f>
        <v/>
      </c>
      <c r="P221">
        <f>P220+IF(AND($E221&lt;&gt;"",$E221&lt;=P$2,$F221&gt;=P$2),1,0)</f>
        <v/>
      </c>
      <c r="Q221">
        <f>Q220+IF(AND($E221&lt;&gt;"",$E221&lt;=Q$2,$F221&gt;=Q$2),1,0)</f>
        <v/>
      </c>
      <c r="R221">
        <f>R220+IF(AND($E221&lt;&gt;"",$E221&lt;=R$2,$F221&gt;=R$2),1,0)</f>
        <v/>
      </c>
      <c r="S221">
        <f>S220+IF(AND($E221&lt;&gt;"",$E221&lt;=S$2,$F221&gt;=S$2),1,0)</f>
        <v/>
      </c>
      <c r="T221">
        <f>T220+IF(AND($E221&lt;&gt;"",$E221&lt;=T$2,$F221&gt;=T$2),1,0)</f>
        <v/>
      </c>
      <c r="U221">
        <f>U220+IF(AND($E221&lt;&gt;"",$E221&lt;=U$2,$F221&gt;=U$2),1,0)</f>
        <v/>
      </c>
      <c r="V221">
        <f>V220+IF(AND($E221&lt;&gt;"",$E221&lt;=V$2,$F221&gt;=V$2),1,0)</f>
        <v/>
      </c>
      <c r="W221">
        <f>W220+IF(AND($E221&lt;&gt;"",$E221&lt;=W$2,$F221&gt;=W$2),1,0)</f>
        <v/>
      </c>
      <c r="X221">
        <f>X220+IF(AND($E221&lt;&gt;"",$E221&lt;=X$2,$F221&gt;=X$2),1,0)</f>
        <v/>
      </c>
      <c r="Y221">
        <f>Y220+IF(AND($E221&lt;&gt;"",$E221&lt;=Y$2,$F221&gt;=Y$2),1,0)</f>
        <v/>
      </c>
      <c r="Z221">
        <f>Z220+IF(AND($E221&lt;&gt;"",$E221&lt;=Z$2,$F221&gt;=Z$2),1,0)</f>
        <v/>
      </c>
      <c r="AA221">
        <f>AA220+IF(AND($E221&lt;&gt;"",$E221&lt;=AA$2,$F221&gt;=AA$2),1,0)</f>
        <v/>
      </c>
      <c r="AB221">
        <f>AB220+IF(AND($E221&lt;&gt;"",$E221&lt;=AB$2,$F221&gt;=AB$2),1,0)</f>
        <v/>
      </c>
      <c r="AC221">
        <f>AC220+IF(AND($E221&lt;&gt;"",$E221&lt;=AC$2,$F221&gt;=AC$2),1,0)</f>
        <v/>
      </c>
      <c r="AD221">
        <f>AD220+IF(AND($E221&lt;&gt;"",$E221&lt;=AD$2,$F221&gt;=AD$2),1,0)</f>
        <v/>
      </c>
      <c r="AE221">
        <f>AE220+IF(AND($E221&lt;&gt;"",$E221&lt;=AE$2,$F221&gt;=AE$2),1,0)</f>
        <v/>
      </c>
      <c r="AF221">
        <f>AF220+IF(AND($E221&lt;&gt;"",$E221&lt;=AF$2,$F221&gt;=AF$2),1,0)</f>
        <v/>
      </c>
      <c r="AG221">
        <f>AG220+IF(AND($E221&lt;&gt;"",$E221&lt;=AG$2,$F221&gt;=AG$2),1,0)</f>
        <v/>
      </c>
      <c r="AH221">
        <f>AH220+IF(AND($E221&lt;&gt;"",$E221&lt;=AH$2,$F221&gt;=AH$2),1,0)</f>
        <v/>
      </c>
      <c r="AI221">
        <f>AI220+IF(AND($E221&lt;&gt;"",$E221&lt;=AI$2,$F221&gt;=AI$2),1,0)</f>
        <v/>
      </c>
      <c r="AJ221">
        <f>AJ220+IF(AND($E221&lt;&gt;"",$E221&lt;=AJ$2,$F221&gt;=AJ$2),1,0)</f>
        <v/>
      </c>
      <c r="AK221">
        <f>AK220+IF(AND($E221&lt;&gt;"",$E221&lt;=AK$2,$F221&gt;=AK$2),1,0)</f>
        <v/>
      </c>
      <c r="AL221">
        <f>AL220+IF(AND($E221&lt;&gt;"",$E221&lt;=AL$2,$F221&gt;=AL$2),1,0)</f>
        <v/>
      </c>
      <c r="AM221">
        <f>AM220+IF(AND($E221&lt;&gt;"",$E221&lt;=AM$2,$F221&gt;=AM$2),1,0)</f>
        <v/>
      </c>
      <c r="AN221">
        <f>AN220+IF(AND($E221&lt;&gt;"",$E221&lt;=AN$2,$F221&gt;=AN$2),1,0)</f>
        <v/>
      </c>
      <c r="AO221">
        <f>AO220+IF(AND($E221&lt;&gt;"",$E221&lt;=AO$2,$F221&gt;=AO$2),1,0)</f>
        <v/>
      </c>
      <c r="AP221">
        <f>AP220+IF(AND($E221&lt;&gt;"",$E221&lt;=AP$2,$F221&gt;=AP$2),1,0)</f>
        <v/>
      </c>
      <c r="AQ221">
        <f>AQ220+IF(AND($E221&lt;&gt;"",$E221&lt;=AQ$2,$F221&gt;=AQ$2),1,0)</f>
        <v/>
      </c>
      <c r="AR221">
        <f>AR220+IF(AND($E221&lt;&gt;"",$E221&lt;=AR$2,$F221&gt;=AR$2),1,0)</f>
        <v/>
      </c>
      <c r="AS221">
        <f>AS220+IF(AND($E221&lt;&gt;"",$E221&lt;=AS$2,$F221&gt;=AS$2),1,0)</f>
        <v/>
      </c>
      <c r="AT221">
        <f>AT220+IF(AND($E221&lt;&gt;"",$E221&lt;=AT$2,$F221&gt;=AT$2),1,0)</f>
        <v/>
      </c>
      <c r="AU221">
        <f>AU220+IF(AND($E221&lt;&gt;"",$E221&lt;=AU$2,$F221&gt;=AU$2),1,0)</f>
        <v/>
      </c>
      <c r="AV221">
        <f>AV220+IF(AND($E221&lt;&gt;"",$E221&lt;=AV$2,$F221&gt;=AV$2),1,0)</f>
        <v/>
      </c>
      <c r="AW221">
        <f>AW220+IF(AND($E221&lt;&gt;"",$E221&lt;=AW$2,$F221&gt;=AW$2),1,0)</f>
        <v/>
      </c>
    </row>
    <row r="222">
      <c r="A222">
        <f>IF(AND(ISNUMBER(Events!$A224),ISNUMBER(Events!$B224)),MAX(0,Events!$B224-Events!$A224),0)</f>
        <v/>
      </c>
      <c r="B222">
        <f>IF(ISNUMBER(Events!$A224),DATE(YEAR($B$1)-1,MONTH(Events!$A224),DAY(Events!$A224)),"")</f>
        <v/>
      </c>
      <c r="C222">
        <f>IF(ISNUMBER(Events!$A224),DATE(YEAR($B$1),MONTH(Events!$A224),DAY(Events!$A224)),"")</f>
        <v/>
      </c>
      <c r="D222">
        <f>IF(ISNUMBER(Events!$A224),DATE(YEAR($B$2),MONTH(Events!$A224),DAY(Events!$A224)),"")</f>
        <v/>
      </c>
      <c r="E222">
        <f>IF(OR(NOT(ISNUMBER(Events!$A224)),Events!$G224="No",Calendar!$H$4="None"),"",IF(OR(Calendar!$H$4="All events",Events!$D224=Calendar!$H$4),IF(Events!$E224="Yes",IF(AND(B222&gt;=Events!$A224,B222&lt;=$B$2,B222+$A222&gt;=$B$1),B222,IF(AND(C222&gt;=Events!$A224,C222&lt;=$B$2,C222+$A222&gt;=$B$1),C222,IF(AND(D222&gt;=Events!$A224,D222&lt;=$B$2,D222+$A222&gt;=$B$1),D222,""))),IF(AND(Events!$A224&lt;=$B$2,Events!$A224+$A222&gt;=$B$1),Events!$A224,"")),""))</f>
        <v/>
      </c>
      <c r="F222">
        <f>IF(E222="","",E222+A222)</f>
        <v/>
      </c>
      <c r="G222">
        <f>IF(E222="","",IF(AND(E222&lt;=EOMONTH(Calendar!$K$2,0),F222&gt;=Calendar!$K$2),E222+219/100000,""))</f>
        <v/>
      </c>
      <c r="H222">
        <f>H221+IF(AND($E222&lt;&gt;"",$E222&lt;=H$2,$F222&gt;=H$2),1,0)</f>
        <v/>
      </c>
      <c r="I222">
        <f>I221+IF(AND($E222&lt;&gt;"",$E222&lt;=I$2,$F222&gt;=I$2),1,0)</f>
        <v/>
      </c>
      <c r="J222">
        <f>J221+IF(AND($E222&lt;&gt;"",$E222&lt;=J$2,$F222&gt;=J$2),1,0)</f>
        <v/>
      </c>
      <c r="K222">
        <f>K221+IF(AND($E222&lt;&gt;"",$E222&lt;=K$2,$F222&gt;=K$2),1,0)</f>
        <v/>
      </c>
      <c r="L222">
        <f>L221+IF(AND($E222&lt;&gt;"",$E222&lt;=L$2,$F222&gt;=L$2),1,0)</f>
        <v/>
      </c>
      <c r="M222">
        <f>M221+IF(AND($E222&lt;&gt;"",$E222&lt;=M$2,$F222&gt;=M$2),1,0)</f>
        <v/>
      </c>
      <c r="N222">
        <f>N221+IF(AND($E222&lt;&gt;"",$E222&lt;=N$2,$F222&gt;=N$2),1,0)</f>
        <v/>
      </c>
      <c r="O222">
        <f>O221+IF(AND($E222&lt;&gt;"",$E222&lt;=O$2,$F222&gt;=O$2),1,0)</f>
        <v/>
      </c>
      <c r="P222">
        <f>P221+IF(AND($E222&lt;&gt;"",$E222&lt;=P$2,$F222&gt;=P$2),1,0)</f>
        <v/>
      </c>
      <c r="Q222">
        <f>Q221+IF(AND($E222&lt;&gt;"",$E222&lt;=Q$2,$F222&gt;=Q$2),1,0)</f>
        <v/>
      </c>
      <c r="R222">
        <f>R221+IF(AND($E222&lt;&gt;"",$E222&lt;=R$2,$F222&gt;=R$2),1,0)</f>
        <v/>
      </c>
      <c r="S222">
        <f>S221+IF(AND($E222&lt;&gt;"",$E222&lt;=S$2,$F222&gt;=S$2),1,0)</f>
        <v/>
      </c>
      <c r="T222">
        <f>T221+IF(AND($E222&lt;&gt;"",$E222&lt;=T$2,$F222&gt;=T$2),1,0)</f>
        <v/>
      </c>
      <c r="U222">
        <f>U221+IF(AND($E222&lt;&gt;"",$E222&lt;=U$2,$F222&gt;=U$2),1,0)</f>
        <v/>
      </c>
      <c r="V222">
        <f>V221+IF(AND($E222&lt;&gt;"",$E222&lt;=V$2,$F222&gt;=V$2),1,0)</f>
        <v/>
      </c>
      <c r="W222">
        <f>W221+IF(AND($E222&lt;&gt;"",$E222&lt;=W$2,$F222&gt;=W$2),1,0)</f>
        <v/>
      </c>
      <c r="X222">
        <f>X221+IF(AND($E222&lt;&gt;"",$E222&lt;=X$2,$F222&gt;=X$2),1,0)</f>
        <v/>
      </c>
      <c r="Y222">
        <f>Y221+IF(AND($E222&lt;&gt;"",$E222&lt;=Y$2,$F222&gt;=Y$2),1,0)</f>
        <v/>
      </c>
      <c r="Z222">
        <f>Z221+IF(AND($E222&lt;&gt;"",$E222&lt;=Z$2,$F222&gt;=Z$2),1,0)</f>
        <v/>
      </c>
      <c r="AA222">
        <f>AA221+IF(AND($E222&lt;&gt;"",$E222&lt;=AA$2,$F222&gt;=AA$2),1,0)</f>
        <v/>
      </c>
      <c r="AB222">
        <f>AB221+IF(AND($E222&lt;&gt;"",$E222&lt;=AB$2,$F222&gt;=AB$2),1,0)</f>
        <v/>
      </c>
      <c r="AC222">
        <f>AC221+IF(AND($E222&lt;&gt;"",$E222&lt;=AC$2,$F222&gt;=AC$2),1,0)</f>
        <v/>
      </c>
      <c r="AD222">
        <f>AD221+IF(AND($E222&lt;&gt;"",$E222&lt;=AD$2,$F222&gt;=AD$2),1,0)</f>
        <v/>
      </c>
      <c r="AE222">
        <f>AE221+IF(AND($E222&lt;&gt;"",$E222&lt;=AE$2,$F222&gt;=AE$2),1,0)</f>
        <v/>
      </c>
      <c r="AF222">
        <f>AF221+IF(AND($E222&lt;&gt;"",$E222&lt;=AF$2,$F222&gt;=AF$2),1,0)</f>
        <v/>
      </c>
      <c r="AG222">
        <f>AG221+IF(AND($E222&lt;&gt;"",$E222&lt;=AG$2,$F222&gt;=AG$2),1,0)</f>
        <v/>
      </c>
      <c r="AH222">
        <f>AH221+IF(AND($E222&lt;&gt;"",$E222&lt;=AH$2,$F222&gt;=AH$2),1,0)</f>
        <v/>
      </c>
      <c r="AI222">
        <f>AI221+IF(AND($E222&lt;&gt;"",$E222&lt;=AI$2,$F222&gt;=AI$2),1,0)</f>
        <v/>
      </c>
      <c r="AJ222">
        <f>AJ221+IF(AND($E222&lt;&gt;"",$E222&lt;=AJ$2,$F222&gt;=AJ$2),1,0)</f>
        <v/>
      </c>
      <c r="AK222">
        <f>AK221+IF(AND($E222&lt;&gt;"",$E222&lt;=AK$2,$F222&gt;=AK$2),1,0)</f>
        <v/>
      </c>
      <c r="AL222">
        <f>AL221+IF(AND($E222&lt;&gt;"",$E222&lt;=AL$2,$F222&gt;=AL$2),1,0)</f>
        <v/>
      </c>
      <c r="AM222">
        <f>AM221+IF(AND($E222&lt;&gt;"",$E222&lt;=AM$2,$F222&gt;=AM$2),1,0)</f>
        <v/>
      </c>
      <c r="AN222">
        <f>AN221+IF(AND($E222&lt;&gt;"",$E222&lt;=AN$2,$F222&gt;=AN$2),1,0)</f>
        <v/>
      </c>
      <c r="AO222">
        <f>AO221+IF(AND($E222&lt;&gt;"",$E222&lt;=AO$2,$F222&gt;=AO$2),1,0)</f>
        <v/>
      </c>
      <c r="AP222">
        <f>AP221+IF(AND($E222&lt;&gt;"",$E222&lt;=AP$2,$F222&gt;=AP$2),1,0)</f>
        <v/>
      </c>
      <c r="AQ222">
        <f>AQ221+IF(AND($E222&lt;&gt;"",$E222&lt;=AQ$2,$F222&gt;=AQ$2),1,0)</f>
        <v/>
      </c>
      <c r="AR222">
        <f>AR221+IF(AND($E222&lt;&gt;"",$E222&lt;=AR$2,$F222&gt;=AR$2),1,0)</f>
        <v/>
      </c>
      <c r="AS222">
        <f>AS221+IF(AND($E222&lt;&gt;"",$E222&lt;=AS$2,$F222&gt;=AS$2),1,0)</f>
        <v/>
      </c>
      <c r="AT222">
        <f>AT221+IF(AND($E222&lt;&gt;"",$E222&lt;=AT$2,$F222&gt;=AT$2),1,0)</f>
        <v/>
      </c>
      <c r="AU222">
        <f>AU221+IF(AND($E222&lt;&gt;"",$E222&lt;=AU$2,$F222&gt;=AU$2),1,0)</f>
        <v/>
      </c>
      <c r="AV222">
        <f>AV221+IF(AND($E222&lt;&gt;"",$E222&lt;=AV$2,$F222&gt;=AV$2),1,0)</f>
        <v/>
      </c>
      <c r="AW222">
        <f>AW221+IF(AND($E222&lt;&gt;"",$E222&lt;=AW$2,$F222&gt;=AW$2),1,0)</f>
        <v/>
      </c>
    </row>
    <row r="223">
      <c r="A223">
        <f>IF(AND(ISNUMBER(Events!$A225),ISNUMBER(Events!$B225)),MAX(0,Events!$B225-Events!$A225),0)</f>
        <v/>
      </c>
      <c r="B223">
        <f>IF(ISNUMBER(Events!$A225),DATE(YEAR($B$1)-1,MONTH(Events!$A225),DAY(Events!$A225)),"")</f>
        <v/>
      </c>
      <c r="C223">
        <f>IF(ISNUMBER(Events!$A225),DATE(YEAR($B$1),MONTH(Events!$A225),DAY(Events!$A225)),"")</f>
        <v/>
      </c>
      <c r="D223">
        <f>IF(ISNUMBER(Events!$A225),DATE(YEAR($B$2),MONTH(Events!$A225),DAY(Events!$A225)),"")</f>
        <v/>
      </c>
      <c r="E223">
        <f>IF(OR(NOT(ISNUMBER(Events!$A225)),Events!$G225="No",Calendar!$H$4="None"),"",IF(OR(Calendar!$H$4="All events",Events!$D225=Calendar!$H$4),IF(Events!$E225="Yes",IF(AND(B223&gt;=Events!$A225,B223&lt;=$B$2,B223+$A223&gt;=$B$1),B223,IF(AND(C223&gt;=Events!$A225,C223&lt;=$B$2,C223+$A223&gt;=$B$1),C223,IF(AND(D223&gt;=Events!$A225,D223&lt;=$B$2,D223+$A223&gt;=$B$1),D223,""))),IF(AND(Events!$A225&lt;=$B$2,Events!$A225+$A223&gt;=$B$1),Events!$A225,"")),""))</f>
        <v/>
      </c>
      <c r="F223">
        <f>IF(E223="","",E223+A223)</f>
        <v/>
      </c>
      <c r="G223">
        <f>IF(E223="","",IF(AND(E223&lt;=EOMONTH(Calendar!$K$2,0),F223&gt;=Calendar!$K$2),E223+220/100000,""))</f>
        <v/>
      </c>
      <c r="H223">
        <f>H222+IF(AND($E223&lt;&gt;"",$E223&lt;=H$2,$F223&gt;=H$2),1,0)</f>
        <v/>
      </c>
      <c r="I223">
        <f>I222+IF(AND($E223&lt;&gt;"",$E223&lt;=I$2,$F223&gt;=I$2),1,0)</f>
        <v/>
      </c>
      <c r="J223">
        <f>J222+IF(AND($E223&lt;&gt;"",$E223&lt;=J$2,$F223&gt;=J$2),1,0)</f>
        <v/>
      </c>
      <c r="K223">
        <f>K222+IF(AND($E223&lt;&gt;"",$E223&lt;=K$2,$F223&gt;=K$2),1,0)</f>
        <v/>
      </c>
      <c r="L223">
        <f>L222+IF(AND($E223&lt;&gt;"",$E223&lt;=L$2,$F223&gt;=L$2),1,0)</f>
        <v/>
      </c>
      <c r="M223">
        <f>M222+IF(AND($E223&lt;&gt;"",$E223&lt;=M$2,$F223&gt;=M$2),1,0)</f>
        <v/>
      </c>
      <c r="N223">
        <f>N222+IF(AND($E223&lt;&gt;"",$E223&lt;=N$2,$F223&gt;=N$2),1,0)</f>
        <v/>
      </c>
      <c r="O223">
        <f>O222+IF(AND($E223&lt;&gt;"",$E223&lt;=O$2,$F223&gt;=O$2),1,0)</f>
        <v/>
      </c>
      <c r="P223">
        <f>P222+IF(AND($E223&lt;&gt;"",$E223&lt;=P$2,$F223&gt;=P$2),1,0)</f>
        <v/>
      </c>
      <c r="Q223">
        <f>Q222+IF(AND($E223&lt;&gt;"",$E223&lt;=Q$2,$F223&gt;=Q$2),1,0)</f>
        <v/>
      </c>
      <c r="R223">
        <f>R222+IF(AND($E223&lt;&gt;"",$E223&lt;=R$2,$F223&gt;=R$2),1,0)</f>
        <v/>
      </c>
      <c r="S223">
        <f>S222+IF(AND($E223&lt;&gt;"",$E223&lt;=S$2,$F223&gt;=S$2),1,0)</f>
        <v/>
      </c>
      <c r="T223">
        <f>T222+IF(AND($E223&lt;&gt;"",$E223&lt;=T$2,$F223&gt;=T$2),1,0)</f>
        <v/>
      </c>
      <c r="U223">
        <f>U222+IF(AND($E223&lt;&gt;"",$E223&lt;=U$2,$F223&gt;=U$2),1,0)</f>
        <v/>
      </c>
      <c r="V223">
        <f>V222+IF(AND($E223&lt;&gt;"",$E223&lt;=V$2,$F223&gt;=V$2),1,0)</f>
        <v/>
      </c>
      <c r="W223">
        <f>W222+IF(AND($E223&lt;&gt;"",$E223&lt;=W$2,$F223&gt;=W$2),1,0)</f>
        <v/>
      </c>
      <c r="X223">
        <f>X222+IF(AND($E223&lt;&gt;"",$E223&lt;=X$2,$F223&gt;=X$2),1,0)</f>
        <v/>
      </c>
      <c r="Y223">
        <f>Y222+IF(AND($E223&lt;&gt;"",$E223&lt;=Y$2,$F223&gt;=Y$2),1,0)</f>
        <v/>
      </c>
      <c r="Z223">
        <f>Z222+IF(AND($E223&lt;&gt;"",$E223&lt;=Z$2,$F223&gt;=Z$2),1,0)</f>
        <v/>
      </c>
      <c r="AA223">
        <f>AA222+IF(AND($E223&lt;&gt;"",$E223&lt;=AA$2,$F223&gt;=AA$2),1,0)</f>
        <v/>
      </c>
      <c r="AB223">
        <f>AB222+IF(AND($E223&lt;&gt;"",$E223&lt;=AB$2,$F223&gt;=AB$2),1,0)</f>
        <v/>
      </c>
      <c r="AC223">
        <f>AC222+IF(AND($E223&lt;&gt;"",$E223&lt;=AC$2,$F223&gt;=AC$2),1,0)</f>
        <v/>
      </c>
      <c r="AD223">
        <f>AD222+IF(AND($E223&lt;&gt;"",$E223&lt;=AD$2,$F223&gt;=AD$2),1,0)</f>
        <v/>
      </c>
      <c r="AE223">
        <f>AE222+IF(AND($E223&lt;&gt;"",$E223&lt;=AE$2,$F223&gt;=AE$2),1,0)</f>
        <v/>
      </c>
      <c r="AF223">
        <f>AF222+IF(AND($E223&lt;&gt;"",$E223&lt;=AF$2,$F223&gt;=AF$2),1,0)</f>
        <v/>
      </c>
      <c r="AG223">
        <f>AG222+IF(AND($E223&lt;&gt;"",$E223&lt;=AG$2,$F223&gt;=AG$2),1,0)</f>
        <v/>
      </c>
      <c r="AH223">
        <f>AH222+IF(AND($E223&lt;&gt;"",$E223&lt;=AH$2,$F223&gt;=AH$2),1,0)</f>
        <v/>
      </c>
      <c r="AI223">
        <f>AI222+IF(AND($E223&lt;&gt;"",$E223&lt;=AI$2,$F223&gt;=AI$2),1,0)</f>
        <v/>
      </c>
      <c r="AJ223">
        <f>AJ222+IF(AND($E223&lt;&gt;"",$E223&lt;=AJ$2,$F223&gt;=AJ$2),1,0)</f>
        <v/>
      </c>
      <c r="AK223">
        <f>AK222+IF(AND($E223&lt;&gt;"",$E223&lt;=AK$2,$F223&gt;=AK$2),1,0)</f>
        <v/>
      </c>
      <c r="AL223">
        <f>AL222+IF(AND($E223&lt;&gt;"",$E223&lt;=AL$2,$F223&gt;=AL$2),1,0)</f>
        <v/>
      </c>
      <c r="AM223">
        <f>AM222+IF(AND($E223&lt;&gt;"",$E223&lt;=AM$2,$F223&gt;=AM$2),1,0)</f>
        <v/>
      </c>
      <c r="AN223">
        <f>AN222+IF(AND($E223&lt;&gt;"",$E223&lt;=AN$2,$F223&gt;=AN$2),1,0)</f>
        <v/>
      </c>
      <c r="AO223">
        <f>AO222+IF(AND($E223&lt;&gt;"",$E223&lt;=AO$2,$F223&gt;=AO$2),1,0)</f>
        <v/>
      </c>
      <c r="AP223">
        <f>AP222+IF(AND($E223&lt;&gt;"",$E223&lt;=AP$2,$F223&gt;=AP$2),1,0)</f>
        <v/>
      </c>
      <c r="AQ223">
        <f>AQ222+IF(AND($E223&lt;&gt;"",$E223&lt;=AQ$2,$F223&gt;=AQ$2),1,0)</f>
        <v/>
      </c>
      <c r="AR223">
        <f>AR222+IF(AND($E223&lt;&gt;"",$E223&lt;=AR$2,$F223&gt;=AR$2),1,0)</f>
        <v/>
      </c>
      <c r="AS223">
        <f>AS222+IF(AND($E223&lt;&gt;"",$E223&lt;=AS$2,$F223&gt;=AS$2),1,0)</f>
        <v/>
      </c>
      <c r="AT223">
        <f>AT222+IF(AND($E223&lt;&gt;"",$E223&lt;=AT$2,$F223&gt;=AT$2),1,0)</f>
        <v/>
      </c>
      <c r="AU223">
        <f>AU222+IF(AND($E223&lt;&gt;"",$E223&lt;=AU$2,$F223&gt;=AU$2),1,0)</f>
        <v/>
      </c>
      <c r="AV223">
        <f>AV222+IF(AND($E223&lt;&gt;"",$E223&lt;=AV$2,$F223&gt;=AV$2),1,0)</f>
        <v/>
      </c>
      <c r="AW223">
        <f>AW222+IF(AND($E223&lt;&gt;"",$E223&lt;=AW$2,$F223&gt;=AW$2),1,0)</f>
        <v/>
      </c>
    </row>
    <row r="224">
      <c r="A224">
        <f>IF(AND(ISNUMBER(Events!$A226),ISNUMBER(Events!$B226)),MAX(0,Events!$B226-Events!$A226),0)</f>
        <v/>
      </c>
      <c r="B224">
        <f>IF(ISNUMBER(Events!$A226),DATE(YEAR($B$1)-1,MONTH(Events!$A226),DAY(Events!$A226)),"")</f>
        <v/>
      </c>
      <c r="C224">
        <f>IF(ISNUMBER(Events!$A226),DATE(YEAR($B$1),MONTH(Events!$A226),DAY(Events!$A226)),"")</f>
        <v/>
      </c>
      <c r="D224">
        <f>IF(ISNUMBER(Events!$A226),DATE(YEAR($B$2),MONTH(Events!$A226),DAY(Events!$A226)),"")</f>
        <v/>
      </c>
      <c r="E224">
        <f>IF(OR(NOT(ISNUMBER(Events!$A226)),Events!$G226="No",Calendar!$H$4="None"),"",IF(OR(Calendar!$H$4="All events",Events!$D226=Calendar!$H$4),IF(Events!$E226="Yes",IF(AND(B224&gt;=Events!$A226,B224&lt;=$B$2,B224+$A224&gt;=$B$1),B224,IF(AND(C224&gt;=Events!$A226,C224&lt;=$B$2,C224+$A224&gt;=$B$1),C224,IF(AND(D224&gt;=Events!$A226,D224&lt;=$B$2,D224+$A224&gt;=$B$1),D224,""))),IF(AND(Events!$A226&lt;=$B$2,Events!$A226+$A224&gt;=$B$1),Events!$A226,"")),""))</f>
        <v/>
      </c>
      <c r="F224">
        <f>IF(E224="","",E224+A224)</f>
        <v/>
      </c>
      <c r="G224">
        <f>IF(E224="","",IF(AND(E224&lt;=EOMONTH(Calendar!$K$2,0),F224&gt;=Calendar!$K$2),E224+221/100000,""))</f>
        <v/>
      </c>
      <c r="H224">
        <f>H223+IF(AND($E224&lt;&gt;"",$E224&lt;=H$2,$F224&gt;=H$2),1,0)</f>
        <v/>
      </c>
      <c r="I224">
        <f>I223+IF(AND($E224&lt;&gt;"",$E224&lt;=I$2,$F224&gt;=I$2),1,0)</f>
        <v/>
      </c>
      <c r="J224">
        <f>J223+IF(AND($E224&lt;&gt;"",$E224&lt;=J$2,$F224&gt;=J$2),1,0)</f>
        <v/>
      </c>
      <c r="K224">
        <f>K223+IF(AND($E224&lt;&gt;"",$E224&lt;=K$2,$F224&gt;=K$2),1,0)</f>
        <v/>
      </c>
      <c r="L224">
        <f>L223+IF(AND($E224&lt;&gt;"",$E224&lt;=L$2,$F224&gt;=L$2),1,0)</f>
        <v/>
      </c>
      <c r="M224">
        <f>M223+IF(AND($E224&lt;&gt;"",$E224&lt;=M$2,$F224&gt;=M$2),1,0)</f>
        <v/>
      </c>
      <c r="N224">
        <f>N223+IF(AND($E224&lt;&gt;"",$E224&lt;=N$2,$F224&gt;=N$2),1,0)</f>
        <v/>
      </c>
      <c r="O224">
        <f>O223+IF(AND($E224&lt;&gt;"",$E224&lt;=O$2,$F224&gt;=O$2),1,0)</f>
        <v/>
      </c>
      <c r="P224">
        <f>P223+IF(AND($E224&lt;&gt;"",$E224&lt;=P$2,$F224&gt;=P$2),1,0)</f>
        <v/>
      </c>
      <c r="Q224">
        <f>Q223+IF(AND($E224&lt;&gt;"",$E224&lt;=Q$2,$F224&gt;=Q$2),1,0)</f>
        <v/>
      </c>
      <c r="R224">
        <f>R223+IF(AND($E224&lt;&gt;"",$E224&lt;=R$2,$F224&gt;=R$2),1,0)</f>
        <v/>
      </c>
      <c r="S224">
        <f>S223+IF(AND($E224&lt;&gt;"",$E224&lt;=S$2,$F224&gt;=S$2),1,0)</f>
        <v/>
      </c>
      <c r="T224">
        <f>T223+IF(AND($E224&lt;&gt;"",$E224&lt;=T$2,$F224&gt;=T$2),1,0)</f>
        <v/>
      </c>
      <c r="U224">
        <f>U223+IF(AND($E224&lt;&gt;"",$E224&lt;=U$2,$F224&gt;=U$2),1,0)</f>
        <v/>
      </c>
      <c r="V224">
        <f>V223+IF(AND($E224&lt;&gt;"",$E224&lt;=V$2,$F224&gt;=V$2),1,0)</f>
        <v/>
      </c>
      <c r="W224">
        <f>W223+IF(AND($E224&lt;&gt;"",$E224&lt;=W$2,$F224&gt;=W$2),1,0)</f>
        <v/>
      </c>
      <c r="X224">
        <f>X223+IF(AND($E224&lt;&gt;"",$E224&lt;=X$2,$F224&gt;=X$2),1,0)</f>
        <v/>
      </c>
      <c r="Y224">
        <f>Y223+IF(AND($E224&lt;&gt;"",$E224&lt;=Y$2,$F224&gt;=Y$2),1,0)</f>
        <v/>
      </c>
      <c r="Z224">
        <f>Z223+IF(AND($E224&lt;&gt;"",$E224&lt;=Z$2,$F224&gt;=Z$2),1,0)</f>
        <v/>
      </c>
      <c r="AA224">
        <f>AA223+IF(AND($E224&lt;&gt;"",$E224&lt;=AA$2,$F224&gt;=AA$2),1,0)</f>
        <v/>
      </c>
      <c r="AB224">
        <f>AB223+IF(AND($E224&lt;&gt;"",$E224&lt;=AB$2,$F224&gt;=AB$2),1,0)</f>
        <v/>
      </c>
      <c r="AC224">
        <f>AC223+IF(AND($E224&lt;&gt;"",$E224&lt;=AC$2,$F224&gt;=AC$2),1,0)</f>
        <v/>
      </c>
      <c r="AD224">
        <f>AD223+IF(AND($E224&lt;&gt;"",$E224&lt;=AD$2,$F224&gt;=AD$2),1,0)</f>
        <v/>
      </c>
      <c r="AE224">
        <f>AE223+IF(AND($E224&lt;&gt;"",$E224&lt;=AE$2,$F224&gt;=AE$2),1,0)</f>
        <v/>
      </c>
      <c r="AF224">
        <f>AF223+IF(AND($E224&lt;&gt;"",$E224&lt;=AF$2,$F224&gt;=AF$2),1,0)</f>
        <v/>
      </c>
      <c r="AG224">
        <f>AG223+IF(AND($E224&lt;&gt;"",$E224&lt;=AG$2,$F224&gt;=AG$2),1,0)</f>
        <v/>
      </c>
      <c r="AH224">
        <f>AH223+IF(AND($E224&lt;&gt;"",$E224&lt;=AH$2,$F224&gt;=AH$2),1,0)</f>
        <v/>
      </c>
      <c r="AI224">
        <f>AI223+IF(AND($E224&lt;&gt;"",$E224&lt;=AI$2,$F224&gt;=AI$2),1,0)</f>
        <v/>
      </c>
      <c r="AJ224">
        <f>AJ223+IF(AND($E224&lt;&gt;"",$E224&lt;=AJ$2,$F224&gt;=AJ$2),1,0)</f>
        <v/>
      </c>
      <c r="AK224">
        <f>AK223+IF(AND($E224&lt;&gt;"",$E224&lt;=AK$2,$F224&gt;=AK$2),1,0)</f>
        <v/>
      </c>
      <c r="AL224">
        <f>AL223+IF(AND($E224&lt;&gt;"",$E224&lt;=AL$2,$F224&gt;=AL$2),1,0)</f>
        <v/>
      </c>
      <c r="AM224">
        <f>AM223+IF(AND($E224&lt;&gt;"",$E224&lt;=AM$2,$F224&gt;=AM$2),1,0)</f>
        <v/>
      </c>
      <c r="AN224">
        <f>AN223+IF(AND($E224&lt;&gt;"",$E224&lt;=AN$2,$F224&gt;=AN$2),1,0)</f>
        <v/>
      </c>
      <c r="AO224">
        <f>AO223+IF(AND($E224&lt;&gt;"",$E224&lt;=AO$2,$F224&gt;=AO$2),1,0)</f>
        <v/>
      </c>
      <c r="AP224">
        <f>AP223+IF(AND($E224&lt;&gt;"",$E224&lt;=AP$2,$F224&gt;=AP$2),1,0)</f>
        <v/>
      </c>
      <c r="AQ224">
        <f>AQ223+IF(AND($E224&lt;&gt;"",$E224&lt;=AQ$2,$F224&gt;=AQ$2),1,0)</f>
        <v/>
      </c>
      <c r="AR224">
        <f>AR223+IF(AND($E224&lt;&gt;"",$E224&lt;=AR$2,$F224&gt;=AR$2),1,0)</f>
        <v/>
      </c>
      <c r="AS224">
        <f>AS223+IF(AND($E224&lt;&gt;"",$E224&lt;=AS$2,$F224&gt;=AS$2),1,0)</f>
        <v/>
      </c>
      <c r="AT224">
        <f>AT223+IF(AND($E224&lt;&gt;"",$E224&lt;=AT$2,$F224&gt;=AT$2),1,0)</f>
        <v/>
      </c>
      <c r="AU224">
        <f>AU223+IF(AND($E224&lt;&gt;"",$E224&lt;=AU$2,$F224&gt;=AU$2),1,0)</f>
        <v/>
      </c>
      <c r="AV224">
        <f>AV223+IF(AND($E224&lt;&gt;"",$E224&lt;=AV$2,$F224&gt;=AV$2),1,0)</f>
        <v/>
      </c>
      <c r="AW224">
        <f>AW223+IF(AND($E224&lt;&gt;"",$E224&lt;=AW$2,$F224&gt;=AW$2),1,0)</f>
        <v/>
      </c>
    </row>
    <row r="225">
      <c r="A225">
        <f>IF(AND(ISNUMBER(Events!$A227),ISNUMBER(Events!$B227)),MAX(0,Events!$B227-Events!$A227),0)</f>
        <v/>
      </c>
      <c r="B225">
        <f>IF(ISNUMBER(Events!$A227),DATE(YEAR($B$1)-1,MONTH(Events!$A227),DAY(Events!$A227)),"")</f>
        <v/>
      </c>
      <c r="C225">
        <f>IF(ISNUMBER(Events!$A227),DATE(YEAR($B$1),MONTH(Events!$A227),DAY(Events!$A227)),"")</f>
        <v/>
      </c>
      <c r="D225">
        <f>IF(ISNUMBER(Events!$A227),DATE(YEAR($B$2),MONTH(Events!$A227),DAY(Events!$A227)),"")</f>
        <v/>
      </c>
      <c r="E225">
        <f>IF(OR(NOT(ISNUMBER(Events!$A227)),Events!$G227="No",Calendar!$H$4="None"),"",IF(OR(Calendar!$H$4="All events",Events!$D227=Calendar!$H$4),IF(Events!$E227="Yes",IF(AND(B225&gt;=Events!$A227,B225&lt;=$B$2,B225+$A225&gt;=$B$1),B225,IF(AND(C225&gt;=Events!$A227,C225&lt;=$B$2,C225+$A225&gt;=$B$1),C225,IF(AND(D225&gt;=Events!$A227,D225&lt;=$B$2,D225+$A225&gt;=$B$1),D225,""))),IF(AND(Events!$A227&lt;=$B$2,Events!$A227+$A225&gt;=$B$1),Events!$A227,"")),""))</f>
        <v/>
      </c>
      <c r="F225">
        <f>IF(E225="","",E225+A225)</f>
        <v/>
      </c>
      <c r="G225">
        <f>IF(E225="","",IF(AND(E225&lt;=EOMONTH(Calendar!$K$2,0),F225&gt;=Calendar!$K$2),E225+222/100000,""))</f>
        <v/>
      </c>
      <c r="H225">
        <f>H224+IF(AND($E225&lt;&gt;"",$E225&lt;=H$2,$F225&gt;=H$2),1,0)</f>
        <v/>
      </c>
      <c r="I225">
        <f>I224+IF(AND($E225&lt;&gt;"",$E225&lt;=I$2,$F225&gt;=I$2),1,0)</f>
        <v/>
      </c>
      <c r="J225">
        <f>J224+IF(AND($E225&lt;&gt;"",$E225&lt;=J$2,$F225&gt;=J$2),1,0)</f>
        <v/>
      </c>
      <c r="K225">
        <f>K224+IF(AND($E225&lt;&gt;"",$E225&lt;=K$2,$F225&gt;=K$2),1,0)</f>
        <v/>
      </c>
      <c r="L225">
        <f>L224+IF(AND($E225&lt;&gt;"",$E225&lt;=L$2,$F225&gt;=L$2),1,0)</f>
        <v/>
      </c>
      <c r="M225">
        <f>M224+IF(AND($E225&lt;&gt;"",$E225&lt;=M$2,$F225&gt;=M$2),1,0)</f>
        <v/>
      </c>
      <c r="N225">
        <f>N224+IF(AND($E225&lt;&gt;"",$E225&lt;=N$2,$F225&gt;=N$2),1,0)</f>
        <v/>
      </c>
      <c r="O225">
        <f>O224+IF(AND($E225&lt;&gt;"",$E225&lt;=O$2,$F225&gt;=O$2),1,0)</f>
        <v/>
      </c>
      <c r="P225">
        <f>P224+IF(AND($E225&lt;&gt;"",$E225&lt;=P$2,$F225&gt;=P$2),1,0)</f>
        <v/>
      </c>
      <c r="Q225">
        <f>Q224+IF(AND($E225&lt;&gt;"",$E225&lt;=Q$2,$F225&gt;=Q$2),1,0)</f>
        <v/>
      </c>
      <c r="R225">
        <f>R224+IF(AND($E225&lt;&gt;"",$E225&lt;=R$2,$F225&gt;=R$2),1,0)</f>
        <v/>
      </c>
      <c r="S225">
        <f>S224+IF(AND($E225&lt;&gt;"",$E225&lt;=S$2,$F225&gt;=S$2),1,0)</f>
        <v/>
      </c>
      <c r="T225">
        <f>T224+IF(AND($E225&lt;&gt;"",$E225&lt;=T$2,$F225&gt;=T$2),1,0)</f>
        <v/>
      </c>
      <c r="U225">
        <f>U224+IF(AND($E225&lt;&gt;"",$E225&lt;=U$2,$F225&gt;=U$2),1,0)</f>
        <v/>
      </c>
      <c r="V225">
        <f>V224+IF(AND($E225&lt;&gt;"",$E225&lt;=V$2,$F225&gt;=V$2),1,0)</f>
        <v/>
      </c>
      <c r="W225">
        <f>W224+IF(AND($E225&lt;&gt;"",$E225&lt;=W$2,$F225&gt;=W$2),1,0)</f>
        <v/>
      </c>
      <c r="X225">
        <f>X224+IF(AND($E225&lt;&gt;"",$E225&lt;=X$2,$F225&gt;=X$2),1,0)</f>
        <v/>
      </c>
      <c r="Y225">
        <f>Y224+IF(AND($E225&lt;&gt;"",$E225&lt;=Y$2,$F225&gt;=Y$2),1,0)</f>
        <v/>
      </c>
      <c r="Z225">
        <f>Z224+IF(AND($E225&lt;&gt;"",$E225&lt;=Z$2,$F225&gt;=Z$2),1,0)</f>
        <v/>
      </c>
      <c r="AA225">
        <f>AA224+IF(AND($E225&lt;&gt;"",$E225&lt;=AA$2,$F225&gt;=AA$2),1,0)</f>
        <v/>
      </c>
      <c r="AB225">
        <f>AB224+IF(AND($E225&lt;&gt;"",$E225&lt;=AB$2,$F225&gt;=AB$2),1,0)</f>
        <v/>
      </c>
      <c r="AC225">
        <f>AC224+IF(AND($E225&lt;&gt;"",$E225&lt;=AC$2,$F225&gt;=AC$2),1,0)</f>
        <v/>
      </c>
      <c r="AD225">
        <f>AD224+IF(AND($E225&lt;&gt;"",$E225&lt;=AD$2,$F225&gt;=AD$2),1,0)</f>
        <v/>
      </c>
      <c r="AE225">
        <f>AE224+IF(AND($E225&lt;&gt;"",$E225&lt;=AE$2,$F225&gt;=AE$2),1,0)</f>
        <v/>
      </c>
      <c r="AF225">
        <f>AF224+IF(AND($E225&lt;&gt;"",$E225&lt;=AF$2,$F225&gt;=AF$2),1,0)</f>
        <v/>
      </c>
      <c r="AG225">
        <f>AG224+IF(AND($E225&lt;&gt;"",$E225&lt;=AG$2,$F225&gt;=AG$2),1,0)</f>
        <v/>
      </c>
      <c r="AH225">
        <f>AH224+IF(AND($E225&lt;&gt;"",$E225&lt;=AH$2,$F225&gt;=AH$2),1,0)</f>
        <v/>
      </c>
      <c r="AI225">
        <f>AI224+IF(AND($E225&lt;&gt;"",$E225&lt;=AI$2,$F225&gt;=AI$2),1,0)</f>
        <v/>
      </c>
      <c r="AJ225">
        <f>AJ224+IF(AND($E225&lt;&gt;"",$E225&lt;=AJ$2,$F225&gt;=AJ$2),1,0)</f>
        <v/>
      </c>
      <c r="AK225">
        <f>AK224+IF(AND($E225&lt;&gt;"",$E225&lt;=AK$2,$F225&gt;=AK$2),1,0)</f>
        <v/>
      </c>
      <c r="AL225">
        <f>AL224+IF(AND($E225&lt;&gt;"",$E225&lt;=AL$2,$F225&gt;=AL$2),1,0)</f>
        <v/>
      </c>
      <c r="AM225">
        <f>AM224+IF(AND($E225&lt;&gt;"",$E225&lt;=AM$2,$F225&gt;=AM$2),1,0)</f>
        <v/>
      </c>
      <c r="AN225">
        <f>AN224+IF(AND($E225&lt;&gt;"",$E225&lt;=AN$2,$F225&gt;=AN$2),1,0)</f>
        <v/>
      </c>
      <c r="AO225">
        <f>AO224+IF(AND($E225&lt;&gt;"",$E225&lt;=AO$2,$F225&gt;=AO$2),1,0)</f>
        <v/>
      </c>
      <c r="AP225">
        <f>AP224+IF(AND($E225&lt;&gt;"",$E225&lt;=AP$2,$F225&gt;=AP$2),1,0)</f>
        <v/>
      </c>
      <c r="AQ225">
        <f>AQ224+IF(AND($E225&lt;&gt;"",$E225&lt;=AQ$2,$F225&gt;=AQ$2),1,0)</f>
        <v/>
      </c>
      <c r="AR225">
        <f>AR224+IF(AND($E225&lt;&gt;"",$E225&lt;=AR$2,$F225&gt;=AR$2),1,0)</f>
        <v/>
      </c>
      <c r="AS225">
        <f>AS224+IF(AND($E225&lt;&gt;"",$E225&lt;=AS$2,$F225&gt;=AS$2),1,0)</f>
        <v/>
      </c>
      <c r="AT225">
        <f>AT224+IF(AND($E225&lt;&gt;"",$E225&lt;=AT$2,$F225&gt;=AT$2),1,0)</f>
        <v/>
      </c>
      <c r="AU225">
        <f>AU224+IF(AND($E225&lt;&gt;"",$E225&lt;=AU$2,$F225&gt;=AU$2),1,0)</f>
        <v/>
      </c>
      <c r="AV225">
        <f>AV224+IF(AND($E225&lt;&gt;"",$E225&lt;=AV$2,$F225&gt;=AV$2),1,0)</f>
        <v/>
      </c>
      <c r="AW225">
        <f>AW224+IF(AND($E225&lt;&gt;"",$E225&lt;=AW$2,$F225&gt;=AW$2),1,0)</f>
        <v/>
      </c>
    </row>
    <row r="226">
      <c r="A226">
        <f>IF(AND(ISNUMBER(Events!$A228),ISNUMBER(Events!$B228)),MAX(0,Events!$B228-Events!$A228),0)</f>
        <v/>
      </c>
      <c r="B226">
        <f>IF(ISNUMBER(Events!$A228),DATE(YEAR($B$1)-1,MONTH(Events!$A228),DAY(Events!$A228)),"")</f>
        <v/>
      </c>
      <c r="C226">
        <f>IF(ISNUMBER(Events!$A228),DATE(YEAR($B$1),MONTH(Events!$A228),DAY(Events!$A228)),"")</f>
        <v/>
      </c>
      <c r="D226">
        <f>IF(ISNUMBER(Events!$A228),DATE(YEAR($B$2),MONTH(Events!$A228),DAY(Events!$A228)),"")</f>
        <v/>
      </c>
      <c r="E226">
        <f>IF(OR(NOT(ISNUMBER(Events!$A228)),Events!$G228="No",Calendar!$H$4="None"),"",IF(OR(Calendar!$H$4="All events",Events!$D228=Calendar!$H$4),IF(Events!$E228="Yes",IF(AND(B226&gt;=Events!$A228,B226&lt;=$B$2,B226+$A226&gt;=$B$1),B226,IF(AND(C226&gt;=Events!$A228,C226&lt;=$B$2,C226+$A226&gt;=$B$1),C226,IF(AND(D226&gt;=Events!$A228,D226&lt;=$B$2,D226+$A226&gt;=$B$1),D226,""))),IF(AND(Events!$A228&lt;=$B$2,Events!$A228+$A226&gt;=$B$1),Events!$A228,"")),""))</f>
        <v/>
      </c>
      <c r="F226">
        <f>IF(E226="","",E226+A226)</f>
        <v/>
      </c>
      <c r="G226">
        <f>IF(E226="","",IF(AND(E226&lt;=EOMONTH(Calendar!$K$2,0),F226&gt;=Calendar!$K$2),E226+223/100000,""))</f>
        <v/>
      </c>
      <c r="H226">
        <f>H225+IF(AND($E226&lt;&gt;"",$E226&lt;=H$2,$F226&gt;=H$2),1,0)</f>
        <v/>
      </c>
      <c r="I226">
        <f>I225+IF(AND($E226&lt;&gt;"",$E226&lt;=I$2,$F226&gt;=I$2),1,0)</f>
        <v/>
      </c>
      <c r="J226">
        <f>J225+IF(AND($E226&lt;&gt;"",$E226&lt;=J$2,$F226&gt;=J$2),1,0)</f>
        <v/>
      </c>
      <c r="K226">
        <f>K225+IF(AND($E226&lt;&gt;"",$E226&lt;=K$2,$F226&gt;=K$2),1,0)</f>
        <v/>
      </c>
      <c r="L226">
        <f>L225+IF(AND($E226&lt;&gt;"",$E226&lt;=L$2,$F226&gt;=L$2),1,0)</f>
        <v/>
      </c>
      <c r="M226">
        <f>M225+IF(AND($E226&lt;&gt;"",$E226&lt;=M$2,$F226&gt;=M$2),1,0)</f>
        <v/>
      </c>
      <c r="N226">
        <f>N225+IF(AND($E226&lt;&gt;"",$E226&lt;=N$2,$F226&gt;=N$2),1,0)</f>
        <v/>
      </c>
      <c r="O226">
        <f>O225+IF(AND($E226&lt;&gt;"",$E226&lt;=O$2,$F226&gt;=O$2),1,0)</f>
        <v/>
      </c>
      <c r="P226">
        <f>P225+IF(AND($E226&lt;&gt;"",$E226&lt;=P$2,$F226&gt;=P$2),1,0)</f>
        <v/>
      </c>
      <c r="Q226">
        <f>Q225+IF(AND($E226&lt;&gt;"",$E226&lt;=Q$2,$F226&gt;=Q$2),1,0)</f>
        <v/>
      </c>
      <c r="R226">
        <f>R225+IF(AND($E226&lt;&gt;"",$E226&lt;=R$2,$F226&gt;=R$2),1,0)</f>
        <v/>
      </c>
      <c r="S226">
        <f>S225+IF(AND($E226&lt;&gt;"",$E226&lt;=S$2,$F226&gt;=S$2),1,0)</f>
        <v/>
      </c>
      <c r="T226">
        <f>T225+IF(AND($E226&lt;&gt;"",$E226&lt;=T$2,$F226&gt;=T$2),1,0)</f>
        <v/>
      </c>
      <c r="U226">
        <f>U225+IF(AND($E226&lt;&gt;"",$E226&lt;=U$2,$F226&gt;=U$2),1,0)</f>
        <v/>
      </c>
      <c r="V226">
        <f>V225+IF(AND($E226&lt;&gt;"",$E226&lt;=V$2,$F226&gt;=V$2),1,0)</f>
        <v/>
      </c>
      <c r="W226">
        <f>W225+IF(AND($E226&lt;&gt;"",$E226&lt;=W$2,$F226&gt;=W$2),1,0)</f>
        <v/>
      </c>
      <c r="X226">
        <f>X225+IF(AND($E226&lt;&gt;"",$E226&lt;=X$2,$F226&gt;=X$2),1,0)</f>
        <v/>
      </c>
      <c r="Y226">
        <f>Y225+IF(AND($E226&lt;&gt;"",$E226&lt;=Y$2,$F226&gt;=Y$2),1,0)</f>
        <v/>
      </c>
      <c r="Z226">
        <f>Z225+IF(AND($E226&lt;&gt;"",$E226&lt;=Z$2,$F226&gt;=Z$2),1,0)</f>
        <v/>
      </c>
      <c r="AA226">
        <f>AA225+IF(AND($E226&lt;&gt;"",$E226&lt;=AA$2,$F226&gt;=AA$2),1,0)</f>
        <v/>
      </c>
      <c r="AB226">
        <f>AB225+IF(AND($E226&lt;&gt;"",$E226&lt;=AB$2,$F226&gt;=AB$2),1,0)</f>
        <v/>
      </c>
      <c r="AC226">
        <f>AC225+IF(AND($E226&lt;&gt;"",$E226&lt;=AC$2,$F226&gt;=AC$2),1,0)</f>
        <v/>
      </c>
      <c r="AD226">
        <f>AD225+IF(AND($E226&lt;&gt;"",$E226&lt;=AD$2,$F226&gt;=AD$2),1,0)</f>
        <v/>
      </c>
      <c r="AE226">
        <f>AE225+IF(AND($E226&lt;&gt;"",$E226&lt;=AE$2,$F226&gt;=AE$2),1,0)</f>
        <v/>
      </c>
      <c r="AF226">
        <f>AF225+IF(AND($E226&lt;&gt;"",$E226&lt;=AF$2,$F226&gt;=AF$2),1,0)</f>
        <v/>
      </c>
      <c r="AG226">
        <f>AG225+IF(AND($E226&lt;&gt;"",$E226&lt;=AG$2,$F226&gt;=AG$2),1,0)</f>
        <v/>
      </c>
      <c r="AH226">
        <f>AH225+IF(AND($E226&lt;&gt;"",$E226&lt;=AH$2,$F226&gt;=AH$2),1,0)</f>
        <v/>
      </c>
      <c r="AI226">
        <f>AI225+IF(AND($E226&lt;&gt;"",$E226&lt;=AI$2,$F226&gt;=AI$2),1,0)</f>
        <v/>
      </c>
      <c r="AJ226">
        <f>AJ225+IF(AND($E226&lt;&gt;"",$E226&lt;=AJ$2,$F226&gt;=AJ$2),1,0)</f>
        <v/>
      </c>
      <c r="AK226">
        <f>AK225+IF(AND($E226&lt;&gt;"",$E226&lt;=AK$2,$F226&gt;=AK$2),1,0)</f>
        <v/>
      </c>
      <c r="AL226">
        <f>AL225+IF(AND($E226&lt;&gt;"",$E226&lt;=AL$2,$F226&gt;=AL$2),1,0)</f>
        <v/>
      </c>
      <c r="AM226">
        <f>AM225+IF(AND($E226&lt;&gt;"",$E226&lt;=AM$2,$F226&gt;=AM$2),1,0)</f>
        <v/>
      </c>
      <c r="AN226">
        <f>AN225+IF(AND($E226&lt;&gt;"",$E226&lt;=AN$2,$F226&gt;=AN$2),1,0)</f>
        <v/>
      </c>
      <c r="AO226">
        <f>AO225+IF(AND($E226&lt;&gt;"",$E226&lt;=AO$2,$F226&gt;=AO$2),1,0)</f>
        <v/>
      </c>
      <c r="AP226">
        <f>AP225+IF(AND($E226&lt;&gt;"",$E226&lt;=AP$2,$F226&gt;=AP$2),1,0)</f>
        <v/>
      </c>
      <c r="AQ226">
        <f>AQ225+IF(AND($E226&lt;&gt;"",$E226&lt;=AQ$2,$F226&gt;=AQ$2),1,0)</f>
        <v/>
      </c>
      <c r="AR226">
        <f>AR225+IF(AND($E226&lt;&gt;"",$E226&lt;=AR$2,$F226&gt;=AR$2),1,0)</f>
        <v/>
      </c>
      <c r="AS226">
        <f>AS225+IF(AND($E226&lt;&gt;"",$E226&lt;=AS$2,$F226&gt;=AS$2),1,0)</f>
        <v/>
      </c>
      <c r="AT226">
        <f>AT225+IF(AND($E226&lt;&gt;"",$E226&lt;=AT$2,$F226&gt;=AT$2),1,0)</f>
        <v/>
      </c>
      <c r="AU226">
        <f>AU225+IF(AND($E226&lt;&gt;"",$E226&lt;=AU$2,$F226&gt;=AU$2),1,0)</f>
        <v/>
      </c>
      <c r="AV226">
        <f>AV225+IF(AND($E226&lt;&gt;"",$E226&lt;=AV$2,$F226&gt;=AV$2),1,0)</f>
        <v/>
      </c>
      <c r="AW226">
        <f>AW225+IF(AND($E226&lt;&gt;"",$E226&lt;=AW$2,$F226&gt;=AW$2),1,0)</f>
        <v/>
      </c>
    </row>
    <row r="227">
      <c r="A227">
        <f>IF(AND(ISNUMBER(Events!$A229),ISNUMBER(Events!$B229)),MAX(0,Events!$B229-Events!$A229),0)</f>
        <v/>
      </c>
      <c r="B227">
        <f>IF(ISNUMBER(Events!$A229),DATE(YEAR($B$1)-1,MONTH(Events!$A229),DAY(Events!$A229)),"")</f>
        <v/>
      </c>
      <c r="C227">
        <f>IF(ISNUMBER(Events!$A229),DATE(YEAR($B$1),MONTH(Events!$A229),DAY(Events!$A229)),"")</f>
        <v/>
      </c>
      <c r="D227">
        <f>IF(ISNUMBER(Events!$A229),DATE(YEAR($B$2),MONTH(Events!$A229),DAY(Events!$A229)),"")</f>
        <v/>
      </c>
      <c r="E227">
        <f>IF(OR(NOT(ISNUMBER(Events!$A229)),Events!$G229="No",Calendar!$H$4="None"),"",IF(OR(Calendar!$H$4="All events",Events!$D229=Calendar!$H$4),IF(Events!$E229="Yes",IF(AND(B227&gt;=Events!$A229,B227&lt;=$B$2,B227+$A227&gt;=$B$1),B227,IF(AND(C227&gt;=Events!$A229,C227&lt;=$B$2,C227+$A227&gt;=$B$1),C227,IF(AND(D227&gt;=Events!$A229,D227&lt;=$B$2,D227+$A227&gt;=$B$1),D227,""))),IF(AND(Events!$A229&lt;=$B$2,Events!$A229+$A227&gt;=$B$1),Events!$A229,"")),""))</f>
        <v/>
      </c>
      <c r="F227">
        <f>IF(E227="","",E227+A227)</f>
        <v/>
      </c>
      <c r="G227">
        <f>IF(E227="","",IF(AND(E227&lt;=EOMONTH(Calendar!$K$2,0),F227&gt;=Calendar!$K$2),E227+224/100000,""))</f>
        <v/>
      </c>
      <c r="H227">
        <f>H226+IF(AND($E227&lt;&gt;"",$E227&lt;=H$2,$F227&gt;=H$2),1,0)</f>
        <v/>
      </c>
      <c r="I227">
        <f>I226+IF(AND($E227&lt;&gt;"",$E227&lt;=I$2,$F227&gt;=I$2),1,0)</f>
        <v/>
      </c>
      <c r="J227">
        <f>J226+IF(AND($E227&lt;&gt;"",$E227&lt;=J$2,$F227&gt;=J$2),1,0)</f>
        <v/>
      </c>
      <c r="K227">
        <f>K226+IF(AND($E227&lt;&gt;"",$E227&lt;=K$2,$F227&gt;=K$2),1,0)</f>
        <v/>
      </c>
      <c r="L227">
        <f>L226+IF(AND($E227&lt;&gt;"",$E227&lt;=L$2,$F227&gt;=L$2),1,0)</f>
        <v/>
      </c>
      <c r="M227">
        <f>M226+IF(AND($E227&lt;&gt;"",$E227&lt;=M$2,$F227&gt;=M$2),1,0)</f>
        <v/>
      </c>
      <c r="N227">
        <f>N226+IF(AND($E227&lt;&gt;"",$E227&lt;=N$2,$F227&gt;=N$2),1,0)</f>
        <v/>
      </c>
      <c r="O227">
        <f>O226+IF(AND($E227&lt;&gt;"",$E227&lt;=O$2,$F227&gt;=O$2),1,0)</f>
        <v/>
      </c>
      <c r="P227">
        <f>P226+IF(AND($E227&lt;&gt;"",$E227&lt;=P$2,$F227&gt;=P$2),1,0)</f>
        <v/>
      </c>
      <c r="Q227">
        <f>Q226+IF(AND($E227&lt;&gt;"",$E227&lt;=Q$2,$F227&gt;=Q$2),1,0)</f>
        <v/>
      </c>
      <c r="R227">
        <f>R226+IF(AND($E227&lt;&gt;"",$E227&lt;=R$2,$F227&gt;=R$2),1,0)</f>
        <v/>
      </c>
      <c r="S227">
        <f>S226+IF(AND($E227&lt;&gt;"",$E227&lt;=S$2,$F227&gt;=S$2),1,0)</f>
        <v/>
      </c>
      <c r="T227">
        <f>T226+IF(AND($E227&lt;&gt;"",$E227&lt;=T$2,$F227&gt;=T$2),1,0)</f>
        <v/>
      </c>
      <c r="U227">
        <f>U226+IF(AND($E227&lt;&gt;"",$E227&lt;=U$2,$F227&gt;=U$2),1,0)</f>
        <v/>
      </c>
      <c r="V227">
        <f>V226+IF(AND($E227&lt;&gt;"",$E227&lt;=V$2,$F227&gt;=V$2),1,0)</f>
        <v/>
      </c>
      <c r="W227">
        <f>W226+IF(AND($E227&lt;&gt;"",$E227&lt;=W$2,$F227&gt;=W$2),1,0)</f>
        <v/>
      </c>
      <c r="X227">
        <f>X226+IF(AND($E227&lt;&gt;"",$E227&lt;=X$2,$F227&gt;=X$2),1,0)</f>
        <v/>
      </c>
      <c r="Y227">
        <f>Y226+IF(AND($E227&lt;&gt;"",$E227&lt;=Y$2,$F227&gt;=Y$2),1,0)</f>
        <v/>
      </c>
      <c r="Z227">
        <f>Z226+IF(AND($E227&lt;&gt;"",$E227&lt;=Z$2,$F227&gt;=Z$2),1,0)</f>
        <v/>
      </c>
      <c r="AA227">
        <f>AA226+IF(AND($E227&lt;&gt;"",$E227&lt;=AA$2,$F227&gt;=AA$2),1,0)</f>
        <v/>
      </c>
      <c r="AB227">
        <f>AB226+IF(AND($E227&lt;&gt;"",$E227&lt;=AB$2,$F227&gt;=AB$2),1,0)</f>
        <v/>
      </c>
      <c r="AC227">
        <f>AC226+IF(AND($E227&lt;&gt;"",$E227&lt;=AC$2,$F227&gt;=AC$2),1,0)</f>
        <v/>
      </c>
      <c r="AD227">
        <f>AD226+IF(AND($E227&lt;&gt;"",$E227&lt;=AD$2,$F227&gt;=AD$2),1,0)</f>
        <v/>
      </c>
      <c r="AE227">
        <f>AE226+IF(AND($E227&lt;&gt;"",$E227&lt;=AE$2,$F227&gt;=AE$2),1,0)</f>
        <v/>
      </c>
      <c r="AF227">
        <f>AF226+IF(AND($E227&lt;&gt;"",$E227&lt;=AF$2,$F227&gt;=AF$2),1,0)</f>
        <v/>
      </c>
      <c r="AG227">
        <f>AG226+IF(AND($E227&lt;&gt;"",$E227&lt;=AG$2,$F227&gt;=AG$2),1,0)</f>
        <v/>
      </c>
      <c r="AH227">
        <f>AH226+IF(AND($E227&lt;&gt;"",$E227&lt;=AH$2,$F227&gt;=AH$2),1,0)</f>
        <v/>
      </c>
      <c r="AI227">
        <f>AI226+IF(AND($E227&lt;&gt;"",$E227&lt;=AI$2,$F227&gt;=AI$2),1,0)</f>
        <v/>
      </c>
      <c r="AJ227">
        <f>AJ226+IF(AND($E227&lt;&gt;"",$E227&lt;=AJ$2,$F227&gt;=AJ$2),1,0)</f>
        <v/>
      </c>
      <c r="AK227">
        <f>AK226+IF(AND($E227&lt;&gt;"",$E227&lt;=AK$2,$F227&gt;=AK$2),1,0)</f>
        <v/>
      </c>
      <c r="AL227">
        <f>AL226+IF(AND($E227&lt;&gt;"",$E227&lt;=AL$2,$F227&gt;=AL$2),1,0)</f>
        <v/>
      </c>
      <c r="AM227">
        <f>AM226+IF(AND($E227&lt;&gt;"",$E227&lt;=AM$2,$F227&gt;=AM$2),1,0)</f>
        <v/>
      </c>
      <c r="AN227">
        <f>AN226+IF(AND($E227&lt;&gt;"",$E227&lt;=AN$2,$F227&gt;=AN$2),1,0)</f>
        <v/>
      </c>
      <c r="AO227">
        <f>AO226+IF(AND($E227&lt;&gt;"",$E227&lt;=AO$2,$F227&gt;=AO$2),1,0)</f>
        <v/>
      </c>
      <c r="AP227">
        <f>AP226+IF(AND($E227&lt;&gt;"",$E227&lt;=AP$2,$F227&gt;=AP$2),1,0)</f>
        <v/>
      </c>
      <c r="AQ227">
        <f>AQ226+IF(AND($E227&lt;&gt;"",$E227&lt;=AQ$2,$F227&gt;=AQ$2),1,0)</f>
        <v/>
      </c>
      <c r="AR227">
        <f>AR226+IF(AND($E227&lt;&gt;"",$E227&lt;=AR$2,$F227&gt;=AR$2),1,0)</f>
        <v/>
      </c>
      <c r="AS227">
        <f>AS226+IF(AND($E227&lt;&gt;"",$E227&lt;=AS$2,$F227&gt;=AS$2),1,0)</f>
        <v/>
      </c>
      <c r="AT227">
        <f>AT226+IF(AND($E227&lt;&gt;"",$E227&lt;=AT$2,$F227&gt;=AT$2),1,0)</f>
        <v/>
      </c>
      <c r="AU227">
        <f>AU226+IF(AND($E227&lt;&gt;"",$E227&lt;=AU$2,$F227&gt;=AU$2),1,0)</f>
        <v/>
      </c>
      <c r="AV227">
        <f>AV226+IF(AND($E227&lt;&gt;"",$E227&lt;=AV$2,$F227&gt;=AV$2),1,0)</f>
        <v/>
      </c>
      <c r="AW227">
        <f>AW226+IF(AND($E227&lt;&gt;"",$E227&lt;=AW$2,$F227&gt;=AW$2),1,0)</f>
        <v/>
      </c>
    </row>
    <row r="228">
      <c r="A228">
        <f>IF(AND(ISNUMBER(Events!$A230),ISNUMBER(Events!$B230)),MAX(0,Events!$B230-Events!$A230),0)</f>
        <v/>
      </c>
      <c r="B228">
        <f>IF(ISNUMBER(Events!$A230),DATE(YEAR($B$1)-1,MONTH(Events!$A230),DAY(Events!$A230)),"")</f>
        <v/>
      </c>
      <c r="C228">
        <f>IF(ISNUMBER(Events!$A230),DATE(YEAR($B$1),MONTH(Events!$A230),DAY(Events!$A230)),"")</f>
        <v/>
      </c>
      <c r="D228">
        <f>IF(ISNUMBER(Events!$A230),DATE(YEAR($B$2),MONTH(Events!$A230),DAY(Events!$A230)),"")</f>
        <v/>
      </c>
      <c r="E228">
        <f>IF(OR(NOT(ISNUMBER(Events!$A230)),Events!$G230="No",Calendar!$H$4="None"),"",IF(OR(Calendar!$H$4="All events",Events!$D230=Calendar!$H$4),IF(Events!$E230="Yes",IF(AND(B228&gt;=Events!$A230,B228&lt;=$B$2,B228+$A228&gt;=$B$1),B228,IF(AND(C228&gt;=Events!$A230,C228&lt;=$B$2,C228+$A228&gt;=$B$1),C228,IF(AND(D228&gt;=Events!$A230,D228&lt;=$B$2,D228+$A228&gt;=$B$1),D228,""))),IF(AND(Events!$A230&lt;=$B$2,Events!$A230+$A228&gt;=$B$1),Events!$A230,"")),""))</f>
        <v/>
      </c>
      <c r="F228">
        <f>IF(E228="","",E228+A228)</f>
        <v/>
      </c>
      <c r="G228">
        <f>IF(E228="","",IF(AND(E228&lt;=EOMONTH(Calendar!$K$2,0),F228&gt;=Calendar!$K$2),E228+225/100000,""))</f>
        <v/>
      </c>
      <c r="H228">
        <f>H227+IF(AND($E228&lt;&gt;"",$E228&lt;=H$2,$F228&gt;=H$2),1,0)</f>
        <v/>
      </c>
      <c r="I228">
        <f>I227+IF(AND($E228&lt;&gt;"",$E228&lt;=I$2,$F228&gt;=I$2),1,0)</f>
        <v/>
      </c>
      <c r="J228">
        <f>J227+IF(AND($E228&lt;&gt;"",$E228&lt;=J$2,$F228&gt;=J$2),1,0)</f>
        <v/>
      </c>
      <c r="K228">
        <f>K227+IF(AND($E228&lt;&gt;"",$E228&lt;=K$2,$F228&gt;=K$2),1,0)</f>
        <v/>
      </c>
      <c r="L228">
        <f>L227+IF(AND($E228&lt;&gt;"",$E228&lt;=L$2,$F228&gt;=L$2),1,0)</f>
        <v/>
      </c>
      <c r="M228">
        <f>M227+IF(AND($E228&lt;&gt;"",$E228&lt;=M$2,$F228&gt;=M$2),1,0)</f>
        <v/>
      </c>
      <c r="N228">
        <f>N227+IF(AND($E228&lt;&gt;"",$E228&lt;=N$2,$F228&gt;=N$2),1,0)</f>
        <v/>
      </c>
      <c r="O228">
        <f>O227+IF(AND($E228&lt;&gt;"",$E228&lt;=O$2,$F228&gt;=O$2),1,0)</f>
        <v/>
      </c>
      <c r="P228">
        <f>P227+IF(AND($E228&lt;&gt;"",$E228&lt;=P$2,$F228&gt;=P$2),1,0)</f>
        <v/>
      </c>
      <c r="Q228">
        <f>Q227+IF(AND($E228&lt;&gt;"",$E228&lt;=Q$2,$F228&gt;=Q$2),1,0)</f>
        <v/>
      </c>
      <c r="R228">
        <f>R227+IF(AND($E228&lt;&gt;"",$E228&lt;=R$2,$F228&gt;=R$2),1,0)</f>
        <v/>
      </c>
      <c r="S228">
        <f>S227+IF(AND($E228&lt;&gt;"",$E228&lt;=S$2,$F228&gt;=S$2),1,0)</f>
        <v/>
      </c>
      <c r="T228">
        <f>T227+IF(AND($E228&lt;&gt;"",$E228&lt;=T$2,$F228&gt;=T$2),1,0)</f>
        <v/>
      </c>
      <c r="U228">
        <f>U227+IF(AND($E228&lt;&gt;"",$E228&lt;=U$2,$F228&gt;=U$2),1,0)</f>
        <v/>
      </c>
      <c r="V228">
        <f>V227+IF(AND($E228&lt;&gt;"",$E228&lt;=V$2,$F228&gt;=V$2),1,0)</f>
        <v/>
      </c>
      <c r="W228">
        <f>W227+IF(AND($E228&lt;&gt;"",$E228&lt;=W$2,$F228&gt;=W$2),1,0)</f>
        <v/>
      </c>
      <c r="X228">
        <f>X227+IF(AND($E228&lt;&gt;"",$E228&lt;=X$2,$F228&gt;=X$2),1,0)</f>
        <v/>
      </c>
      <c r="Y228">
        <f>Y227+IF(AND($E228&lt;&gt;"",$E228&lt;=Y$2,$F228&gt;=Y$2),1,0)</f>
        <v/>
      </c>
      <c r="Z228">
        <f>Z227+IF(AND($E228&lt;&gt;"",$E228&lt;=Z$2,$F228&gt;=Z$2),1,0)</f>
        <v/>
      </c>
      <c r="AA228">
        <f>AA227+IF(AND($E228&lt;&gt;"",$E228&lt;=AA$2,$F228&gt;=AA$2),1,0)</f>
        <v/>
      </c>
      <c r="AB228">
        <f>AB227+IF(AND($E228&lt;&gt;"",$E228&lt;=AB$2,$F228&gt;=AB$2),1,0)</f>
        <v/>
      </c>
      <c r="AC228">
        <f>AC227+IF(AND($E228&lt;&gt;"",$E228&lt;=AC$2,$F228&gt;=AC$2),1,0)</f>
        <v/>
      </c>
      <c r="AD228">
        <f>AD227+IF(AND($E228&lt;&gt;"",$E228&lt;=AD$2,$F228&gt;=AD$2),1,0)</f>
        <v/>
      </c>
      <c r="AE228">
        <f>AE227+IF(AND($E228&lt;&gt;"",$E228&lt;=AE$2,$F228&gt;=AE$2),1,0)</f>
        <v/>
      </c>
      <c r="AF228">
        <f>AF227+IF(AND($E228&lt;&gt;"",$E228&lt;=AF$2,$F228&gt;=AF$2),1,0)</f>
        <v/>
      </c>
      <c r="AG228">
        <f>AG227+IF(AND($E228&lt;&gt;"",$E228&lt;=AG$2,$F228&gt;=AG$2),1,0)</f>
        <v/>
      </c>
      <c r="AH228">
        <f>AH227+IF(AND($E228&lt;&gt;"",$E228&lt;=AH$2,$F228&gt;=AH$2),1,0)</f>
        <v/>
      </c>
      <c r="AI228">
        <f>AI227+IF(AND($E228&lt;&gt;"",$E228&lt;=AI$2,$F228&gt;=AI$2),1,0)</f>
        <v/>
      </c>
      <c r="AJ228">
        <f>AJ227+IF(AND($E228&lt;&gt;"",$E228&lt;=AJ$2,$F228&gt;=AJ$2),1,0)</f>
        <v/>
      </c>
      <c r="AK228">
        <f>AK227+IF(AND($E228&lt;&gt;"",$E228&lt;=AK$2,$F228&gt;=AK$2),1,0)</f>
        <v/>
      </c>
      <c r="AL228">
        <f>AL227+IF(AND($E228&lt;&gt;"",$E228&lt;=AL$2,$F228&gt;=AL$2),1,0)</f>
        <v/>
      </c>
      <c r="AM228">
        <f>AM227+IF(AND($E228&lt;&gt;"",$E228&lt;=AM$2,$F228&gt;=AM$2),1,0)</f>
        <v/>
      </c>
      <c r="AN228">
        <f>AN227+IF(AND($E228&lt;&gt;"",$E228&lt;=AN$2,$F228&gt;=AN$2),1,0)</f>
        <v/>
      </c>
      <c r="AO228">
        <f>AO227+IF(AND($E228&lt;&gt;"",$E228&lt;=AO$2,$F228&gt;=AO$2),1,0)</f>
        <v/>
      </c>
      <c r="AP228">
        <f>AP227+IF(AND($E228&lt;&gt;"",$E228&lt;=AP$2,$F228&gt;=AP$2),1,0)</f>
        <v/>
      </c>
      <c r="AQ228">
        <f>AQ227+IF(AND($E228&lt;&gt;"",$E228&lt;=AQ$2,$F228&gt;=AQ$2),1,0)</f>
        <v/>
      </c>
      <c r="AR228">
        <f>AR227+IF(AND($E228&lt;&gt;"",$E228&lt;=AR$2,$F228&gt;=AR$2),1,0)</f>
        <v/>
      </c>
      <c r="AS228">
        <f>AS227+IF(AND($E228&lt;&gt;"",$E228&lt;=AS$2,$F228&gt;=AS$2),1,0)</f>
        <v/>
      </c>
      <c r="AT228">
        <f>AT227+IF(AND($E228&lt;&gt;"",$E228&lt;=AT$2,$F228&gt;=AT$2),1,0)</f>
        <v/>
      </c>
      <c r="AU228">
        <f>AU227+IF(AND($E228&lt;&gt;"",$E228&lt;=AU$2,$F228&gt;=AU$2),1,0)</f>
        <v/>
      </c>
      <c r="AV228">
        <f>AV227+IF(AND($E228&lt;&gt;"",$E228&lt;=AV$2,$F228&gt;=AV$2),1,0)</f>
        <v/>
      </c>
      <c r="AW228">
        <f>AW227+IF(AND($E228&lt;&gt;"",$E228&lt;=AW$2,$F228&gt;=AW$2),1,0)</f>
        <v/>
      </c>
    </row>
    <row r="229">
      <c r="A229">
        <f>IF(AND(ISNUMBER(Events!$A231),ISNUMBER(Events!$B231)),MAX(0,Events!$B231-Events!$A231),0)</f>
        <v/>
      </c>
      <c r="B229">
        <f>IF(ISNUMBER(Events!$A231),DATE(YEAR($B$1)-1,MONTH(Events!$A231),DAY(Events!$A231)),"")</f>
        <v/>
      </c>
      <c r="C229">
        <f>IF(ISNUMBER(Events!$A231),DATE(YEAR($B$1),MONTH(Events!$A231),DAY(Events!$A231)),"")</f>
        <v/>
      </c>
      <c r="D229">
        <f>IF(ISNUMBER(Events!$A231),DATE(YEAR($B$2),MONTH(Events!$A231),DAY(Events!$A231)),"")</f>
        <v/>
      </c>
      <c r="E229">
        <f>IF(OR(NOT(ISNUMBER(Events!$A231)),Events!$G231="No",Calendar!$H$4="None"),"",IF(OR(Calendar!$H$4="All events",Events!$D231=Calendar!$H$4),IF(Events!$E231="Yes",IF(AND(B229&gt;=Events!$A231,B229&lt;=$B$2,B229+$A229&gt;=$B$1),B229,IF(AND(C229&gt;=Events!$A231,C229&lt;=$B$2,C229+$A229&gt;=$B$1),C229,IF(AND(D229&gt;=Events!$A231,D229&lt;=$B$2,D229+$A229&gt;=$B$1),D229,""))),IF(AND(Events!$A231&lt;=$B$2,Events!$A231+$A229&gt;=$B$1),Events!$A231,"")),""))</f>
        <v/>
      </c>
      <c r="F229">
        <f>IF(E229="","",E229+A229)</f>
        <v/>
      </c>
      <c r="G229">
        <f>IF(E229="","",IF(AND(E229&lt;=EOMONTH(Calendar!$K$2,0),F229&gt;=Calendar!$K$2),E229+226/100000,""))</f>
        <v/>
      </c>
      <c r="H229">
        <f>H228+IF(AND($E229&lt;&gt;"",$E229&lt;=H$2,$F229&gt;=H$2),1,0)</f>
        <v/>
      </c>
      <c r="I229">
        <f>I228+IF(AND($E229&lt;&gt;"",$E229&lt;=I$2,$F229&gt;=I$2),1,0)</f>
        <v/>
      </c>
      <c r="J229">
        <f>J228+IF(AND($E229&lt;&gt;"",$E229&lt;=J$2,$F229&gt;=J$2),1,0)</f>
        <v/>
      </c>
      <c r="K229">
        <f>K228+IF(AND($E229&lt;&gt;"",$E229&lt;=K$2,$F229&gt;=K$2),1,0)</f>
        <v/>
      </c>
      <c r="L229">
        <f>L228+IF(AND($E229&lt;&gt;"",$E229&lt;=L$2,$F229&gt;=L$2),1,0)</f>
        <v/>
      </c>
      <c r="M229">
        <f>M228+IF(AND($E229&lt;&gt;"",$E229&lt;=M$2,$F229&gt;=M$2),1,0)</f>
        <v/>
      </c>
      <c r="N229">
        <f>N228+IF(AND($E229&lt;&gt;"",$E229&lt;=N$2,$F229&gt;=N$2),1,0)</f>
        <v/>
      </c>
      <c r="O229">
        <f>O228+IF(AND($E229&lt;&gt;"",$E229&lt;=O$2,$F229&gt;=O$2),1,0)</f>
        <v/>
      </c>
      <c r="P229">
        <f>P228+IF(AND($E229&lt;&gt;"",$E229&lt;=P$2,$F229&gt;=P$2),1,0)</f>
        <v/>
      </c>
      <c r="Q229">
        <f>Q228+IF(AND($E229&lt;&gt;"",$E229&lt;=Q$2,$F229&gt;=Q$2),1,0)</f>
        <v/>
      </c>
      <c r="R229">
        <f>R228+IF(AND($E229&lt;&gt;"",$E229&lt;=R$2,$F229&gt;=R$2),1,0)</f>
        <v/>
      </c>
      <c r="S229">
        <f>S228+IF(AND($E229&lt;&gt;"",$E229&lt;=S$2,$F229&gt;=S$2),1,0)</f>
        <v/>
      </c>
      <c r="T229">
        <f>T228+IF(AND($E229&lt;&gt;"",$E229&lt;=T$2,$F229&gt;=T$2),1,0)</f>
        <v/>
      </c>
      <c r="U229">
        <f>U228+IF(AND($E229&lt;&gt;"",$E229&lt;=U$2,$F229&gt;=U$2),1,0)</f>
        <v/>
      </c>
      <c r="V229">
        <f>V228+IF(AND($E229&lt;&gt;"",$E229&lt;=V$2,$F229&gt;=V$2),1,0)</f>
        <v/>
      </c>
      <c r="W229">
        <f>W228+IF(AND($E229&lt;&gt;"",$E229&lt;=W$2,$F229&gt;=W$2),1,0)</f>
        <v/>
      </c>
      <c r="X229">
        <f>X228+IF(AND($E229&lt;&gt;"",$E229&lt;=X$2,$F229&gt;=X$2),1,0)</f>
        <v/>
      </c>
      <c r="Y229">
        <f>Y228+IF(AND($E229&lt;&gt;"",$E229&lt;=Y$2,$F229&gt;=Y$2),1,0)</f>
        <v/>
      </c>
      <c r="Z229">
        <f>Z228+IF(AND($E229&lt;&gt;"",$E229&lt;=Z$2,$F229&gt;=Z$2),1,0)</f>
        <v/>
      </c>
      <c r="AA229">
        <f>AA228+IF(AND($E229&lt;&gt;"",$E229&lt;=AA$2,$F229&gt;=AA$2),1,0)</f>
        <v/>
      </c>
      <c r="AB229">
        <f>AB228+IF(AND($E229&lt;&gt;"",$E229&lt;=AB$2,$F229&gt;=AB$2),1,0)</f>
        <v/>
      </c>
      <c r="AC229">
        <f>AC228+IF(AND($E229&lt;&gt;"",$E229&lt;=AC$2,$F229&gt;=AC$2),1,0)</f>
        <v/>
      </c>
      <c r="AD229">
        <f>AD228+IF(AND($E229&lt;&gt;"",$E229&lt;=AD$2,$F229&gt;=AD$2),1,0)</f>
        <v/>
      </c>
      <c r="AE229">
        <f>AE228+IF(AND($E229&lt;&gt;"",$E229&lt;=AE$2,$F229&gt;=AE$2),1,0)</f>
        <v/>
      </c>
      <c r="AF229">
        <f>AF228+IF(AND($E229&lt;&gt;"",$E229&lt;=AF$2,$F229&gt;=AF$2),1,0)</f>
        <v/>
      </c>
      <c r="AG229">
        <f>AG228+IF(AND($E229&lt;&gt;"",$E229&lt;=AG$2,$F229&gt;=AG$2),1,0)</f>
        <v/>
      </c>
      <c r="AH229">
        <f>AH228+IF(AND($E229&lt;&gt;"",$E229&lt;=AH$2,$F229&gt;=AH$2),1,0)</f>
        <v/>
      </c>
      <c r="AI229">
        <f>AI228+IF(AND($E229&lt;&gt;"",$E229&lt;=AI$2,$F229&gt;=AI$2),1,0)</f>
        <v/>
      </c>
      <c r="AJ229">
        <f>AJ228+IF(AND($E229&lt;&gt;"",$E229&lt;=AJ$2,$F229&gt;=AJ$2),1,0)</f>
        <v/>
      </c>
      <c r="AK229">
        <f>AK228+IF(AND($E229&lt;&gt;"",$E229&lt;=AK$2,$F229&gt;=AK$2),1,0)</f>
        <v/>
      </c>
      <c r="AL229">
        <f>AL228+IF(AND($E229&lt;&gt;"",$E229&lt;=AL$2,$F229&gt;=AL$2),1,0)</f>
        <v/>
      </c>
      <c r="AM229">
        <f>AM228+IF(AND($E229&lt;&gt;"",$E229&lt;=AM$2,$F229&gt;=AM$2),1,0)</f>
        <v/>
      </c>
      <c r="AN229">
        <f>AN228+IF(AND($E229&lt;&gt;"",$E229&lt;=AN$2,$F229&gt;=AN$2),1,0)</f>
        <v/>
      </c>
      <c r="AO229">
        <f>AO228+IF(AND($E229&lt;&gt;"",$E229&lt;=AO$2,$F229&gt;=AO$2),1,0)</f>
        <v/>
      </c>
      <c r="AP229">
        <f>AP228+IF(AND($E229&lt;&gt;"",$E229&lt;=AP$2,$F229&gt;=AP$2),1,0)</f>
        <v/>
      </c>
      <c r="AQ229">
        <f>AQ228+IF(AND($E229&lt;&gt;"",$E229&lt;=AQ$2,$F229&gt;=AQ$2),1,0)</f>
        <v/>
      </c>
      <c r="AR229">
        <f>AR228+IF(AND($E229&lt;&gt;"",$E229&lt;=AR$2,$F229&gt;=AR$2),1,0)</f>
        <v/>
      </c>
      <c r="AS229">
        <f>AS228+IF(AND($E229&lt;&gt;"",$E229&lt;=AS$2,$F229&gt;=AS$2),1,0)</f>
        <v/>
      </c>
      <c r="AT229">
        <f>AT228+IF(AND($E229&lt;&gt;"",$E229&lt;=AT$2,$F229&gt;=AT$2),1,0)</f>
        <v/>
      </c>
      <c r="AU229">
        <f>AU228+IF(AND($E229&lt;&gt;"",$E229&lt;=AU$2,$F229&gt;=AU$2),1,0)</f>
        <v/>
      </c>
      <c r="AV229">
        <f>AV228+IF(AND($E229&lt;&gt;"",$E229&lt;=AV$2,$F229&gt;=AV$2),1,0)</f>
        <v/>
      </c>
      <c r="AW229">
        <f>AW228+IF(AND($E229&lt;&gt;"",$E229&lt;=AW$2,$F229&gt;=AW$2),1,0)</f>
        <v/>
      </c>
    </row>
    <row r="230">
      <c r="A230">
        <f>IF(AND(ISNUMBER(Events!$A232),ISNUMBER(Events!$B232)),MAX(0,Events!$B232-Events!$A232),0)</f>
        <v/>
      </c>
      <c r="B230">
        <f>IF(ISNUMBER(Events!$A232),DATE(YEAR($B$1)-1,MONTH(Events!$A232),DAY(Events!$A232)),"")</f>
        <v/>
      </c>
      <c r="C230">
        <f>IF(ISNUMBER(Events!$A232),DATE(YEAR($B$1),MONTH(Events!$A232),DAY(Events!$A232)),"")</f>
        <v/>
      </c>
      <c r="D230">
        <f>IF(ISNUMBER(Events!$A232),DATE(YEAR($B$2),MONTH(Events!$A232),DAY(Events!$A232)),"")</f>
        <v/>
      </c>
      <c r="E230">
        <f>IF(OR(NOT(ISNUMBER(Events!$A232)),Events!$G232="No",Calendar!$H$4="None"),"",IF(OR(Calendar!$H$4="All events",Events!$D232=Calendar!$H$4),IF(Events!$E232="Yes",IF(AND(B230&gt;=Events!$A232,B230&lt;=$B$2,B230+$A230&gt;=$B$1),B230,IF(AND(C230&gt;=Events!$A232,C230&lt;=$B$2,C230+$A230&gt;=$B$1),C230,IF(AND(D230&gt;=Events!$A232,D230&lt;=$B$2,D230+$A230&gt;=$B$1),D230,""))),IF(AND(Events!$A232&lt;=$B$2,Events!$A232+$A230&gt;=$B$1),Events!$A232,"")),""))</f>
        <v/>
      </c>
      <c r="F230">
        <f>IF(E230="","",E230+A230)</f>
        <v/>
      </c>
      <c r="G230">
        <f>IF(E230="","",IF(AND(E230&lt;=EOMONTH(Calendar!$K$2,0),F230&gt;=Calendar!$K$2),E230+227/100000,""))</f>
        <v/>
      </c>
      <c r="H230">
        <f>H229+IF(AND($E230&lt;&gt;"",$E230&lt;=H$2,$F230&gt;=H$2),1,0)</f>
        <v/>
      </c>
      <c r="I230">
        <f>I229+IF(AND($E230&lt;&gt;"",$E230&lt;=I$2,$F230&gt;=I$2),1,0)</f>
        <v/>
      </c>
      <c r="J230">
        <f>J229+IF(AND($E230&lt;&gt;"",$E230&lt;=J$2,$F230&gt;=J$2),1,0)</f>
        <v/>
      </c>
      <c r="K230">
        <f>K229+IF(AND($E230&lt;&gt;"",$E230&lt;=K$2,$F230&gt;=K$2),1,0)</f>
        <v/>
      </c>
      <c r="L230">
        <f>L229+IF(AND($E230&lt;&gt;"",$E230&lt;=L$2,$F230&gt;=L$2),1,0)</f>
        <v/>
      </c>
      <c r="M230">
        <f>M229+IF(AND($E230&lt;&gt;"",$E230&lt;=M$2,$F230&gt;=M$2),1,0)</f>
        <v/>
      </c>
      <c r="N230">
        <f>N229+IF(AND($E230&lt;&gt;"",$E230&lt;=N$2,$F230&gt;=N$2),1,0)</f>
        <v/>
      </c>
      <c r="O230">
        <f>O229+IF(AND($E230&lt;&gt;"",$E230&lt;=O$2,$F230&gt;=O$2),1,0)</f>
        <v/>
      </c>
      <c r="P230">
        <f>P229+IF(AND($E230&lt;&gt;"",$E230&lt;=P$2,$F230&gt;=P$2),1,0)</f>
        <v/>
      </c>
      <c r="Q230">
        <f>Q229+IF(AND($E230&lt;&gt;"",$E230&lt;=Q$2,$F230&gt;=Q$2),1,0)</f>
        <v/>
      </c>
      <c r="R230">
        <f>R229+IF(AND($E230&lt;&gt;"",$E230&lt;=R$2,$F230&gt;=R$2),1,0)</f>
        <v/>
      </c>
      <c r="S230">
        <f>S229+IF(AND($E230&lt;&gt;"",$E230&lt;=S$2,$F230&gt;=S$2),1,0)</f>
        <v/>
      </c>
      <c r="T230">
        <f>T229+IF(AND($E230&lt;&gt;"",$E230&lt;=T$2,$F230&gt;=T$2),1,0)</f>
        <v/>
      </c>
      <c r="U230">
        <f>U229+IF(AND($E230&lt;&gt;"",$E230&lt;=U$2,$F230&gt;=U$2),1,0)</f>
        <v/>
      </c>
      <c r="V230">
        <f>V229+IF(AND($E230&lt;&gt;"",$E230&lt;=V$2,$F230&gt;=V$2),1,0)</f>
        <v/>
      </c>
      <c r="W230">
        <f>W229+IF(AND($E230&lt;&gt;"",$E230&lt;=W$2,$F230&gt;=W$2),1,0)</f>
        <v/>
      </c>
      <c r="X230">
        <f>X229+IF(AND($E230&lt;&gt;"",$E230&lt;=X$2,$F230&gt;=X$2),1,0)</f>
        <v/>
      </c>
      <c r="Y230">
        <f>Y229+IF(AND($E230&lt;&gt;"",$E230&lt;=Y$2,$F230&gt;=Y$2),1,0)</f>
        <v/>
      </c>
      <c r="Z230">
        <f>Z229+IF(AND($E230&lt;&gt;"",$E230&lt;=Z$2,$F230&gt;=Z$2),1,0)</f>
        <v/>
      </c>
      <c r="AA230">
        <f>AA229+IF(AND($E230&lt;&gt;"",$E230&lt;=AA$2,$F230&gt;=AA$2),1,0)</f>
        <v/>
      </c>
      <c r="AB230">
        <f>AB229+IF(AND($E230&lt;&gt;"",$E230&lt;=AB$2,$F230&gt;=AB$2),1,0)</f>
        <v/>
      </c>
      <c r="AC230">
        <f>AC229+IF(AND($E230&lt;&gt;"",$E230&lt;=AC$2,$F230&gt;=AC$2),1,0)</f>
        <v/>
      </c>
      <c r="AD230">
        <f>AD229+IF(AND($E230&lt;&gt;"",$E230&lt;=AD$2,$F230&gt;=AD$2),1,0)</f>
        <v/>
      </c>
      <c r="AE230">
        <f>AE229+IF(AND($E230&lt;&gt;"",$E230&lt;=AE$2,$F230&gt;=AE$2),1,0)</f>
        <v/>
      </c>
      <c r="AF230">
        <f>AF229+IF(AND($E230&lt;&gt;"",$E230&lt;=AF$2,$F230&gt;=AF$2),1,0)</f>
        <v/>
      </c>
      <c r="AG230">
        <f>AG229+IF(AND($E230&lt;&gt;"",$E230&lt;=AG$2,$F230&gt;=AG$2),1,0)</f>
        <v/>
      </c>
      <c r="AH230">
        <f>AH229+IF(AND($E230&lt;&gt;"",$E230&lt;=AH$2,$F230&gt;=AH$2),1,0)</f>
        <v/>
      </c>
      <c r="AI230">
        <f>AI229+IF(AND($E230&lt;&gt;"",$E230&lt;=AI$2,$F230&gt;=AI$2),1,0)</f>
        <v/>
      </c>
      <c r="AJ230">
        <f>AJ229+IF(AND($E230&lt;&gt;"",$E230&lt;=AJ$2,$F230&gt;=AJ$2),1,0)</f>
        <v/>
      </c>
      <c r="AK230">
        <f>AK229+IF(AND($E230&lt;&gt;"",$E230&lt;=AK$2,$F230&gt;=AK$2),1,0)</f>
        <v/>
      </c>
      <c r="AL230">
        <f>AL229+IF(AND($E230&lt;&gt;"",$E230&lt;=AL$2,$F230&gt;=AL$2),1,0)</f>
        <v/>
      </c>
      <c r="AM230">
        <f>AM229+IF(AND($E230&lt;&gt;"",$E230&lt;=AM$2,$F230&gt;=AM$2),1,0)</f>
        <v/>
      </c>
      <c r="AN230">
        <f>AN229+IF(AND($E230&lt;&gt;"",$E230&lt;=AN$2,$F230&gt;=AN$2),1,0)</f>
        <v/>
      </c>
      <c r="AO230">
        <f>AO229+IF(AND($E230&lt;&gt;"",$E230&lt;=AO$2,$F230&gt;=AO$2),1,0)</f>
        <v/>
      </c>
      <c r="AP230">
        <f>AP229+IF(AND($E230&lt;&gt;"",$E230&lt;=AP$2,$F230&gt;=AP$2),1,0)</f>
        <v/>
      </c>
      <c r="AQ230">
        <f>AQ229+IF(AND($E230&lt;&gt;"",$E230&lt;=AQ$2,$F230&gt;=AQ$2),1,0)</f>
        <v/>
      </c>
      <c r="AR230">
        <f>AR229+IF(AND($E230&lt;&gt;"",$E230&lt;=AR$2,$F230&gt;=AR$2),1,0)</f>
        <v/>
      </c>
      <c r="AS230">
        <f>AS229+IF(AND($E230&lt;&gt;"",$E230&lt;=AS$2,$F230&gt;=AS$2),1,0)</f>
        <v/>
      </c>
      <c r="AT230">
        <f>AT229+IF(AND($E230&lt;&gt;"",$E230&lt;=AT$2,$F230&gt;=AT$2),1,0)</f>
        <v/>
      </c>
      <c r="AU230">
        <f>AU229+IF(AND($E230&lt;&gt;"",$E230&lt;=AU$2,$F230&gt;=AU$2),1,0)</f>
        <v/>
      </c>
      <c r="AV230">
        <f>AV229+IF(AND($E230&lt;&gt;"",$E230&lt;=AV$2,$F230&gt;=AV$2),1,0)</f>
        <v/>
      </c>
      <c r="AW230">
        <f>AW229+IF(AND($E230&lt;&gt;"",$E230&lt;=AW$2,$F230&gt;=AW$2),1,0)</f>
        <v/>
      </c>
    </row>
    <row r="231">
      <c r="A231">
        <f>IF(AND(ISNUMBER(Events!$A233),ISNUMBER(Events!$B233)),MAX(0,Events!$B233-Events!$A233),0)</f>
        <v/>
      </c>
      <c r="B231">
        <f>IF(ISNUMBER(Events!$A233),DATE(YEAR($B$1)-1,MONTH(Events!$A233),DAY(Events!$A233)),"")</f>
        <v/>
      </c>
      <c r="C231">
        <f>IF(ISNUMBER(Events!$A233),DATE(YEAR($B$1),MONTH(Events!$A233),DAY(Events!$A233)),"")</f>
        <v/>
      </c>
      <c r="D231">
        <f>IF(ISNUMBER(Events!$A233),DATE(YEAR($B$2),MONTH(Events!$A233),DAY(Events!$A233)),"")</f>
        <v/>
      </c>
      <c r="E231">
        <f>IF(OR(NOT(ISNUMBER(Events!$A233)),Events!$G233="No",Calendar!$H$4="None"),"",IF(OR(Calendar!$H$4="All events",Events!$D233=Calendar!$H$4),IF(Events!$E233="Yes",IF(AND(B231&gt;=Events!$A233,B231&lt;=$B$2,B231+$A231&gt;=$B$1),B231,IF(AND(C231&gt;=Events!$A233,C231&lt;=$B$2,C231+$A231&gt;=$B$1),C231,IF(AND(D231&gt;=Events!$A233,D231&lt;=$B$2,D231+$A231&gt;=$B$1),D231,""))),IF(AND(Events!$A233&lt;=$B$2,Events!$A233+$A231&gt;=$B$1),Events!$A233,"")),""))</f>
        <v/>
      </c>
      <c r="F231">
        <f>IF(E231="","",E231+A231)</f>
        <v/>
      </c>
      <c r="G231">
        <f>IF(E231="","",IF(AND(E231&lt;=EOMONTH(Calendar!$K$2,0),F231&gt;=Calendar!$K$2),E231+228/100000,""))</f>
        <v/>
      </c>
      <c r="H231">
        <f>H230+IF(AND($E231&lt;&gt;"",$E231&lt;=H$2,$F231&gt;=H$2),1,0)</f>
        <v/>
      </c>
      <c r="I231">
        <f>I230+IF(AND($E231&lt;&gt;"",$E231&lt;=I$2,$F231&gt;=I$2),1,0)</f>
        <v/>
      </c>
      <c r="J231">
        <f>J230+IF(AND($E231&lt;&gt;"",$E231&lt;=J$2,$F231&gt;=J$2),1,0)</f>
        <v/>
      </c>
      <c r="K231">
        <f>K230+IF(AND($E231&lt;&gt;"",$E231&lt;=K$2,$F231&gt;=K$2),1,0)</f>
        <v/>
      </c>
      <c r="L231">
        <f>L230+IF(AND($E231&lt;&gt;"",$E231&lt;=L$2,$F231&gt;=L$2),1,0)</f>
        <v/>
      </c>
      <c r="M231">
        <f>M230+IF(AND($E231&lt;&gt;"",$E231&lt;=M$2,$F231&gt;=M$2),1,0)</f>
        <v/>
      </c>
      <c r="N231">
        <f>N230+IF(AND($E231&lt;&gt;"",$E231&lt;=N$2,$F231&gt;=N$2),1,0)</f>
        <v/>
      </c>
      <c r="O231">
        <f>O230+IF(AND($E231&lt;&gt;"",$E231&lt;=O$2,$F231&gt;=O$2),1,0)</f>
        <v/>
      </c>
      <c r="P231">
        <f>P230+IF(AND($E231&lt;&gt;"",$E231&lt;=P$2,$F231&gt;=P$2),1,0)</f>
        <v/>
      </c>
      <c r="Q231">
        <f>Q230+IF(AND($E231&lt;&gt;"",$E231&lt;=Q$2,$F231&gt;=Q$2),1,0)</f>
        <v/>
      </c>
      <c r="R231">
        <f>R230+IF(AND($E231&lt;&gt;"",$E231&lt;=R$2,$F231&gt;=R$2),1,0)</f>
        <v/>
      </c>
      <c r="S231">
        <f>S230+IF(AND($E231&lt;&gt;"",$E231&lt;=S$2,$F231&gt;=S$2),1,0)</f>
        <v/>
      </c>
      <c r="T231">
        <f>T230+IF(AND($E231&lt;&gt;"",$E231&lt;=T$2,$F231&gt;=T$2),1,0)</f>
        <v/>
      </c>
      <c r="U231">
        <f>U230+IF(AND($E231&lt;&gt;"",$E231&lt;=U$2,$F231&gt;=U$2),1,0)</f>
        <v/>
      </c>
      <c r="V231">
        <f>V230+IF(AND($E231&lt;&gt;"",$E231&lt;=V$2,$F231&gt;=V$2),1,0)</f>
        <v/>
      </c>
      <c r="W231">
        <f>W230+IF(AND($E231&lt;&gt;"",$E231&lt;=W$2,$F231&gt;=W$2),1,0)</f>
        <v/>
      </c>
      <c r="X231">
        <f>X230+IF(AND($E231&lt;&gt;"",$E231&lt;=X$2,$F231&gt;=X$2),1,0)</f>
        <v/>
      </c>
      <c r="Y231">
        <f>Y230+IF(AND($E231&lt;&gt;"",$E231&lt;=Y$2,$F231&gt;=Y$2),1,0)</f>
        <v/>
      </c>
      <c r="Z231">
        <f>Z230+IF(AND($E231&lt;&gt;"",$E231&lt;=Z$2,$F231&gt;=Z$2),1,0)</f>
        <v/>
      </c>
      <c r="AA231">
        <f>AA230+IF(AND($E231&lt;&gt;"",$E231&lt;=AA$2,$F231&gt;=AA$2),1,0)</f>
        <v/>
      </c>
      <c r="AB231">
        <f>AB230+IF(AND($E231&lt;&gt;"",$E231&lt;=AB$2,$F231&gt;=AB$2),1,0)</f>
        <v/>
      </c>
      <c r="AC231">
        <f>AC230+IF(AND($E231&lt;&gt;"",$E231&lt;=AC$2,$F231&gt;=AC$2),1,0)</f>
        <v/>
      </c>
      <c r="AD231">
        <f>AD230+IF(AND($E231&lt;&gt;"",$E231&lt;=AD$2,$F231&gt;=AD$2),1,0)</f>
        <v/>
      </c>
      <c r="AE231">
        <f>AE230+IF(AND($E231&lt;&gt;"",$E231&lt;=AE$2,$F231&gt;=AE$2),1,0)</f>
        <v/>
      </c>
      <c r="AF231">
        <f>AF230+IF(AND($E231&lt;&gt;"",$E231&lt;=AF$2,$F231&gt;=AF$2),1,0)</f>
        <v/>
      </c>
      <c r="AG231">
        <f>AG230+IF(AND($E231&lt;&gt;"",$E231&lt;=AG$2,$F231&gt;=AG$2),1,0)</f>
        <v/>
      </c>
      <c r="AH231">
        <f>AH230+IF(AND($E231&lt;&gt;"",$E231&lt;=AH$2,$F231&gt;=AH$2),1,0)</f>
        <v/>
      </c>
      <c r="AI231">
        <f>AI230+IF(AND($E231&lt;&gt;"",$E231&lt;=AI$2,$F231&gt;=AI$2),1,0)</f>
        <v/>
      </c>
      <c r="AJ231">
        <f>AJ230+IF(AND($E231&lt;&gt;"",$E231&lt;=AJ$2,$F231&gt;=AJ$2),1,0)</f>
        <v/>
      </c>
      <c r="AK231">
        <f>AK230+IF(AND($E231&lt;&gt;"",$E231&lt;=AK$2,$F231&gt;=AK$2),1,0)</f>
        <v/>
      </c>
      <c r="AL231">
        <f>AL230+IF(AND($E231&lt;&gt;"",$E231&lt;=AL$2,$F231&gt;=AL$2),1,0)</f>
        <v/>
      </c>
      <c r="AM231">
        <f>AM230+IF(AND($E231&lt;&gt;"",$E231&lt;=AM$2,$F231&gt;=AM$2),1,0)</f>
        <v/>
      </c>
      <c r="AN231">
        <f>AN230+IF(AND($E231&lt;&gt;"",$E231&lt;=AN$2,$F231&gt;=AN$2),1,0)</f>
        <v/>
      </c>
      <c r="AO231">
        <f>AO230+IF(AND($E231&lt;&gt;"",$E231&lt;=AO$2,$F231&gt;=AO$2),1,0)</f>
        <v/>
      </c>
      <c r="AP231">
        <f>AP230+IF(AND($E231&lt;&gt;"",$E231&lt;=AP$2,$F231&gt;=AP$2),1,0)</f>
        <v/>
      </c>
      <c r="AQ231">
        <f>AQ230+IF(AND($E231&lt;&gt;"",$E231&lt;=AQ$2,$F231&gt;=AQ$2),1,0)</f>
        <v/>
      </c>
      <c r="AR231">
        <f>AR230+IF(AND($E231&lt;&gt;"",$E231&lt;=AR$2,$F231&gt;=AR$2),1,0)</f>
        <v/>
      </c>
      <c r="AS231">
        <f>AS230+IF(AND($E231&lt;&gt;"",$E231&lt;=AS$2,$F231&gt;=AS$2),1,0)</f>
        <v/>
      </c>
      <c r="AT231">
        <f>AT230+IF(AND($E231&lt;&gt;"",$E231&lt;=AT$2,$F231&gt;=AT$2),1,0)</f>
        <v/>
      </c>
      <c r="AU231">
        <f>AU230+IF(AND($E231&lt;&gt;"",$E231&lt;=AU$2,$F231&gt;=AU$2),1,0)</f>
        <v/>
      </c>
      <c r="AV231">
        <f>AV230+IF(AND($E231&lt;&gt;"",$E231&lt;=AV$2,$F231&gt;=AV$2),1,0)</f>
        <v/>
      </c>
      <c r="AW231">
        <f>AW230+IF(AND($E231&lt;&gt;"",$E231&lt;=AW$2,$F231&gt;=AW$2),1,0)</f>
        <v/>
      </c>
    </row>
    <row r="232">
      <c r="A232">
        <f>IF(AND(ISNUMBER(Events!$A234),ISNUMBER(Events!$B234)),MAX(0,Events!$B234-Events!$A234),0)</f>
        <v/>
      </c>
      <c r="B232">
        <f>IF(ISNUMBER(Events!$A234),DATE(YEAR($B$1)-1,MONTH(Events!$A234),DAY(Events!$A234)),"")</f>
        <v/>
      </c>
      <c r="C232">
        <f>IF(ISNUMBER(Events!$A234),DATE(YEAR($B$1),MONTH(Events!$A234),DAY(Events!$A234)),"")</f>
        <v/>
      </c>
      <c r="D232">
        <f>IF(ISNUMBER(Events!$A234),DATE(YEAR($B$2),MONTH(Events!$A234),DAY(Events!$A234)),"")</f>
        <v/>
      </c>
      <c r="E232">
        <f>IF(OR(NOT(ISNUMBER(Events!$A234)),Events!$G234="No",Calendar!$H$4="None"),"",IF(OR(Calendar!$H$4="All events",Events!$D234=Calendar!$H$4),IF(Events!$E234="Yes",IF(AND(B232&gt;=Events!$A234,B232&lt;=$B$2,B232+$A232&gt;=$B$1),B232,IF(AND(C232&gt;=Events!$A234,C232&lt;=$B$2,C232+$A232&gt;=$B$1),C232,IF(AND(D232&gt;=Events!$A234,D232&lt;=$B$2,D232+$A232&gt;=$B$1),D232,""))),IF(AND(Events!$A234&lt;=$B$2,Events!$A234+$A232&gt;=$B$1),Events!$A234,"")),""))</f>
        <v/>
      </c>
      <c r="F232">
        <f>IF(E232="","",E232+A232)</f>
        <v/>
      </c>
      <c r="G232">
        <f>IF(E232="","",IF(AND(E232&lt;=EOMONTH(Calendar!$K$2,0),F232&gt;=Calendar!$K$2),E232+229/100000,""))</f>
        <v/>
      </c>
      <c r="H232">
        <f>H231+IF(AND($E232&lt;&gt;"",$E232&lt;=H$2,$F232&gt;=H$2),1,0)</f>
        <v/>
      </c>
      <c r="I232">
        <f>I231+IF(AND($E232&lt;&gt;"",$E232&lt;=I$2,$F232&gt;=I$2),1,0)</f>
        <v/>
      </c>
      <c r="J232">
        <f>J231+IF(AND($E232&lt;&gt;"",$E232&lt;=J$2,$F232&gt;=J$2),1,0)</f>
        <v/>
      </c>
      <c r="K232">
        <f>K231+IF(AND($E232&lt;&gt;"",$E232&lt;=K$2,$F232&gt;=K$2),1,0)</f>
        <v/>
      </c>
      <c r="L232">
        <f>L231+IF(AND($E232&lt;&gt;"",$E232&lt;=L$2,$F232&gt;=L$2),1,0)</f>
        <v/>
      </c>
      <c r="M232">
        <f>M231+IF(AND($E232&lt;&gt;"",$E232&lt;=M$2,$F232&gt;=M$2),1,0)</f>
        <v/>
      </c>
      <c r="N232">
        <f>N231+IF(AND($E232&lt;&gt;"",$E232&lt;=N$2,$F232&gt;=N$2),1,0)</f>
        <v/>
      </c>
      <c r="O232">
        <f>O231+IF(AND($E232&lt;&gt;"",$E232&lt;=O$2,$F232&gt;=O$2),1,0)</f>
        <v/>
      </c>
      <c r="P232">
        <f>P231+IF(AND($E232&lt;&gt;"",$E232&lt;=P$2,$F232&gt;=P$2),1,0)</f>
        <v/>
      </c>
      <c r="Q232">
        <f>Q231+IF(AND($E232&lt;&gt;"",$E232&lt;=Q$2,$F232&gt;=Q$2),1,0)</f>
        <v/>
      </c>
      <c r="R232">
        <f>R231+IF(AND($E232&lt;&gt;"",$E232&lt;=R$2,$F232&gt;=R$2),1,0)</f>
        <v/>
      </c>
      <c r="S232">
        <f>S231+IF(AND($E232&lt;&gt;"",$E232&lt;=S$2,$F232&gt;=S$2),1,0)</f>
        <v/>
      </c>
      <c r="T232">
        <f>T231+IF(AND($E232&lt;&gt;"",$E232&lt;=T$2,$F232&gt;=T$2),1,0)</f>
        <v/>
      </c>
      <c r="U232">
        <f>U231+IF(AND($E232&lt;&gt;"",$E232&lt;=U$2,$F232&gt;=U$2),1,0)</f>
        <v/>
      </c>
      <c r="V232">
        <f>V231+IF(AND($E232&lt;&gt;"",$E232&lt;=V$2,$F232&gt;=V$2),1,0)</f>
        <v/>
      </c>
      <c r="W232">
        <f>W231+IF(AND($E232&lt;&gt;"",$E232&lt;=W$2,$F232&gt;=W$2),1,0)</f>
        <v/>
      </c>
      <c r="X232">
        <f>X231+IF(AND($E232&lt;&gt;"",$E232&lt;=X$2,$F232&gt;=X$2),1,0)</f>
        <v/>
      </c>
      <c r="Y232">
        <f>Y231+IF(AND($E232&lt;&gt;"",$E232&lt;=Y$2,$F232&gt;=Y$2),1,0)</f>
        <v/>
      </c>
      <c r="Z232">
        <f>Z231+IF(AND($E232&lt;&gt;"",$E232&lt;=Z$2,$F232&gt;=Z$2),1,0)</f>
        <v/>
      </c>
      <c r="AA232">
        <f>AA231+IF(AND($E232&lt;&gt;"",$E232&lt;=AA$2,$F232&gt;=AA$2),1,0)</f>
        <v/>
      </c>
      <c r="AB232">
        <f>AB231+IF(AND($E232&lt;&gt;"",$E232&lt;=AB$2,$F232&gt;=AB$2),1,0)</f>
        <v/>
      </c>
      <c r="AC232">
        <f>AC231+IF(AND($E232&lt;&gt;"",$E232&lt;=AC$2,$F232&gt;=AC$2),1,0)</f>
        <v/>
      </c>
      <c r="AD232">
        <f>AD231+IF(AND($E232&lt;&gt;"",$E232&lt;=AD$2,$F232&gt;=AD$2),1,0)</f>
        <v/>
      </c>
      <c r="AE232">
        <f>AE231+IF(AND($E232&lt;&gt;"",$E232&lt;=AE$2,$F232&gt;=AE$2),1,0)</f>
        <v/>
      </c>
      <c r="AF232">
        <f>AF231+IF(AND($E232&lt;&gt;"",$E232&lt;=AF$2,$F232&gt;=AF$2),1,0)</f>
        <v/>
      </c>
      <c r="AG232">
        <f>AG231+IF(AND($E232&lt;&gt;"",$E232&lt;=AG$2,$F232&gt;=AG$2),1,0)</f>
        <v/>
      </c>
      <c r="AH232">
        <f>AH231+IF(AND($E232&lt;&gt;"",$E232&lt;=AH$2,$F232&gt;=AH$2),1,0)</f>
        <v/>
      </c>
      <c r="AI232">
        <f>AI231+IF(AND($E232&lt;&gt;"",$E232&lt;=AI$2,$F232&gt;=AI$2),1,0)</f>
        <v/>
      </c>
      <c r="AJ232">
        <f>AJ231+IF(AND($E232&lt;&gt;"",$E232&lt;=AJ$2,$F232&gt;=AJ$2),1,0)</f>
        <v/>
      </c>
      <c r="AK232">
        <f>AK231+IF(AND($E232&lt;&gt;"",$E232&lt;=AK$2,$F232&gt;=AK$2),1,0)</f>
        <v/>
      </c>
      <c r="AL232">
        <f>AL231+IF(AND($E232&lt;&gt;"",$E232&lt;=AL$2,$F232&gt;=AL$2),1,0)</f>
        <v/>
      </c>
      <c r="AM232">
        <f>AM231+IF(AND($E232&lt;&gt;"",$E232&lt;=AM$2,$F232&gt;=AM$2),1,0)</f>
        <v/>
      </c>
      <c r="AN232">
        <f>AN231+IF(AND($E232&lt;&gt;"",$E232&lt;=AN$2,$F232&gt;=AN$2),1,0)</f>
        <v/>
      </c>
      <c r="AO232">
        <f>AO231+IF(AND($E232&lt;&gt;"",$E232&lt;=AO$2,$F232&gt;=AO$2),1,0)</f>
        <v/>
      </c>
      <c r="AP232">
        <f>AP231+IF(AND($E232&lt;&gt;"",$E232&lt;=AP$2,$F232&gt;=AP$2),1,0)</f>
        <v/>
      </c>
      <c r="AQ232">
        <f>AQ231+IF(AND($E232&lt;&gt;"",$E232&lt;=AQ$2,$F232&gt;=AQ$2),1,0)</f>
        <v/>
      </c>
      <c r="AR232">
        <f>AR231+IF(AND($E232&lt;&gt;"",$E232&lt;=AR$2,$F232&gt;=AR$2),1,0)</f>
        <v/>
      </c>
      <c r="AS232">
        <f>AS231+IF(AND($E232&lt;&gt;"",$E232&lt;=AS$2,$F232&gt;=AS$2),1,0)</f>
        <v/>
      </c>
      <c r="AT232">
        <f>AT231+IF(AND($E232&lt;&gt;"",$E232&lt;=AT$2,$F232&gt;=AT$2),1,0)</f>
        <v/>
      </c>
      <c r="AU232">
        <f>AU231+IF(AND($E232&lt;&gt;"",$E232&lt;=AU$2,$F232&gt;=AU$2),1,0)</f>
        <v/>
      </c>
      <c r="AV232">
        <f>AV231+IF(AND($E232&lt;&gt;"",$E232&lt;=AV$2,$F232&gt;=AV$2),1,0)</f>
        <v/>
      </c>
      <c r="AW232">
        <f>AW231+IF(AND($E232&lt;&gt;"",$E232&lt;=AW$2,$F232&gt;=AW$2),1,0)</f>
        <v/>
      </c>
    </row>
    <row r="233">
      <c r="A233">
        <f>IF(AND(ISNUMBER(Events!$A235),ISNUMBER(Events!$B235)),MAX(0,Events!$B235-Events!$A235),0)</f>
        <v/>
      </c>
      <c r="B233">
        <f>IF(ISNUMBER(Events!$A235),DATE(YEAR($B$1)-1,MONTH(Events!$A235),DAY(Events!$A235)),"")</f>
        <v/>
      </c>
      <c r="C233">
        <f>IF(ISNUMBER(Events!$A235),DATE(YEAR($B$1),MONTH(Events!$A235),DAY(Events!$A235)),"")</f>
        <v/>
      </c>
      <c r="D233">
        <f>IF(ISNUMBER(Events!$A235),DATE(YEAR($B$2),MONTH(Events!$A235),DAY(Events!$A235)),"")</f>
        <v/>
      </c>
      <c r="E233">
        <f>IF(OR(NOT(ISNUMBER(Events!$A235)),Events!$G235="No",Calendar!$H$4="None"),"",IF(OR(Calendar!$H$4="All events",Events!$D235=Calendar!$H$4),IF(Events!$E235="Yes",IF(AND(B233&gt;=Events!$A235,B233&lt;=$B$2,B233+$A233&gt;=$B$1),B233,IF(AND(C233&gt;=Events!$A235,C233&lt;=$B$2,C233+$A233&gt;=$B$1),C233,IF(AND(D233&gt;=Events!$A235,D233&lt;=$B$2,D233+$A233&gt;=$B$1),D233,""))),IF(AND(Events!$A235&lt;=$B$2,Events!$A235+$A233&gt;=$B$1),Events!$A235,"")),""))</f>
        <v/>
      </c>
      <c r="F233">
        <f>IF(E233="","",E233+A233)</f>
        <v/>
      </c>
      <c r="G233">
        <f>IF(E233="","",IF(AND(E233&lt;=EOMONTH(Calendar!$K$2,0),F233&gt;=Calendar!$K$2),E233+230/100000,""))</f>
        <v/>
      </c>
      <c r="H233">
        <f>H232+IF(AND($E233&lt;&gt;"",$E233&lt;=H$2,$F233&gt;=H$2),1,0)</f>
        <v/>
      </c>
      <c r="I233">
        <f>I232+IF(AND($E233&lt;&gt;"",$E233&lt;=I$2,$F233&gt;=I$2),1,0)</f>
        <v/>
      </c>
      <c r="J233">
        <f>J232+IF(AND($E233&lt;&gt;"",$E233&lt;=J$2,$F233&gt;=J$2),1,0)</f>
        <v/>
      </c>
      <c r="K233">
        <f>K232+IF(AND($E233&lt;&gt;"",$E233&lt;=K$2,$F233&gt;=K$2),1,0)</f>
        <v/>
      </c>
      <c r="L233">
        <f>L232+IF(AND($E233&lt;&gt;"",$E233&lt;=L$2,$F233&gt;=L$2),1,0)</f>
        <v/>
      </c>
      <c r="M233">
        <f>M232+IF(AND($E233&lt;&gt;"",$E233&lt;=M$2,$F233&gt;=M$2),1,0)</f>
        <v/>
      </c>
      <c r="N233">
        <f>N232+IF(AND($E233&lt;&gt;"",$E233&lt;=N$2,$F233&gt;=N$2),1,0)</f>
        <v/>
      </c>
      <c r="O233">
        <f>O232+IF(AND($E233&lt;&gt;"",$E233&lt;=O$2,$F233&gt;=O$2),1,0)</f>
        <v/>
      </c>
      <c r="P233">
        <f>P232+IF(AND($E233&lt;&gt;"",$E233&lt;=P$2,$F233&gt;=P$2),1,0)</f>
        <v/>
      </c>
      <c r="Q233">
        <f>Q232+IF(AND($E233&lt;&gt;"",$E233&lt;=Q$2,$F233&gt;=Q$2),1,0)</f>
        <v/>
      </c>
      <c r="R233">
        <f>R232+IF(AND($E233&lt;&gt;"",$E233&lt;=R$2,$F233&gt;=R$2),1,0)</f>
        <v/>
      </c>
      <c r="S233">
        <f>S232+IF(AND($E233&lt;&gt;"",$E233&lt;=S$2,$F233&gt;=S$2),1,0)</f>
        <v/>
      </c>
      <c r="T233">
        <f>T232+IF(AND($E233&lt;&gt;"",$E233&lt;=T$2,$F233&gt;=T$2),1,0)</f>
        <v/>
      </c>
      <c r="U233">
        <f>U232+IF(AND($E233&lt;&gt;"",$E233&lt;=U$2,$F233&gt;=U$2),1,0)</f>
        <v/>
      </c>
      <c r="V233">
        <f>V232+IF(AND($E233&lt;&gt;"",$E233&lt;=V$2,$F233&gt;=V$2),1,0)</f>
        <v/>
      </c>
      <c r="W233">
        <f>W232+IF(AND($E233&lt;&gt;"",$E233&lt;=W$2,$F233&gt;=W$2),1,0)</f>
        <v/>
      </c>
      <c r="X233">
        <f>X232+IF(AND($E233&lt;&gt;"",$E233&lt;=X$2,$F233&gt;=X$2),1,0)</f>
        <v/>
      </c>
      <c r="Y233">
        <f>Y232+IF(AND($E233&lt;&gt;"",$E233&lt;=Y$2,$F233&gt;=Y$2),1,0)</f>
        <v/>
      </c>
      <c r="Z233">
        <f>Z232+IF(AND($E233&lt;&gt;"",$E233&lt;=Z$2,$F233&gt;=Z$2),1,0)</f>
        <v/>
      </c>
      <c r="AA233">
        <f>AA232+IF(AND($E233&lt;&gt;"",$E233&lt;=AA$2,$F233&gt;=AA$2),1,0)</f>
        <v/>
      </c>
      <c r="AB233">
        <f>AB232+IF(AND($E233&lt;&gt;"",$E233&lt;=AB$2,$F233&gt;=AB$2),1,0)</f>
        <v/>
      </c>
      <c r="AC233">
        <f>AC232+IF(AND($E233&lt;&gt;"",$E233&lt;=AC$2,$F233&gt;=AC$2),1,0)</f>
        <v/>
      </c>
      <c r="AD233">
        <f>AD232+IF(AND($E233&lt;&gt;"",$E233&lt;=AD$2,$F233&gt;=AD$2),1,0)</f>
        <v/>
      </c>
      <c r="AE233">
        <f>AE232+IF(AND($E233&lt;&gt;"",$E233&lt;=AE$2,$F233&gt;=AE$2),1,0)</f>
        <v/>
      </c>
      <c r="AF233">
        <f>AF232+IF(AND($E233&lt;&gt;"",$E233&lt;=AF$2,$F233&gt;=AF$2),1,0)</f>
        <v/>
      </c>
      <c r="AG233">
        <f>AG232+IF(AND($E233&lt;&gt;"",$E233&lt;=AG$2,$F233&gt;=AG$2),1,0)</f>
        <v/>
      </c>
      <c r="AH233">
        <f>AH232+IF(AND($E233&lt;&gt;"",$E233&lt;=AH$2,$F233&gt;=AH$2),1,0)</f>
        <v/>
      </c>
      <c r="AI233">
        <f>AI232+IF(AND($E233&lt;&gt;"",$E233&lt;=AI$2,$F233&gt;=AI$2),1,0)</f>
        <v/>
      </c>
      <c r="AJ233">
        <f>AJ232+IF(AND($E233&lt;&gt;"",$E233&lt;=AJ$2,$F233&gt;=AJ$2),1,0)</f>
        <v/>
      </c>
      <c r="AK233">
        <f>AK232+IF(AND($E233&lt;&gt;"",$E233&lt;=AK$2,$F233&gt;=AK$2),1,0)</f>
        <v/>
      </c>
      <c r="AL233">
        <f>AL232+IF(AND($E233&lt;&gt;"",$E233&lt;=AL$2,$F233&gt;=AL$2),1,0)</f>
        <v/>
      </c>
      <c r="AM233">
        <f>AM232+IF(AND($E233&lt;&gt;"",$E233&lt;=AM$2,$F233&gt;=AM$2),1,0)</f>
        <v/>
      </c>
      <c r="AN233">
        <f>AN232+IF(AND($E233&lt;&gt;"",$E233&lt;=AN$2,$F233&gt;=AN$2),1,0)</f>
        <v/>
      </c>
      <c r="AO233">
        <f>AO232+IF(AND($E233&lt;&gt;"",$E233&lt;=AO$2,$F233&gt;=AO$2),1,0)</f>
        <v/>
      </c>
      <c r="AP233">
        <f>AP232+IF(AND($E233&lt;&gt;"",$E233&lt;=AP$2,$F233&gt;=AP$2),1,0)</f>
        <v/>
      </c>
      <c r="AQ233">
        <f>AQ232+IF(AND($E233&lt;&gt;"",$E233&lt;=AQ$2,$F233&gt;=AQ$2),1,0)</f>
        <v/>
      </c>
      <c r="AR233">
        <f>AR232+IF(AND($E233&lt;&gt;"",$E233&lt;=AR$2,$F233&gt;=AR$2),1,0)</f>
        <v/>
      </c>
      <c r="AS233">
        <f>AS232+IF(AND($E233&lt;&gt;"",$E233&lt;=AS$2,$F233&gt;=AS$2),1,0)</f>
        <v/>
      </c>
      <c r="AT233">
        <f>AT232+IF(AND($E233&lt;&gt;"",$E233&lt;=AT$2,$F233&gt;=AT$2),1,0)</f>
        <v/>
      </c>
      <c r="AU233">
        <f>AU232+IF(AND($E233&lt;&gt;"",$E233&lt;=AU$2,$F233&gt;=AU$2),1,0)</f>
        <v/>
      </c>
      <c r="AV233">
        <f>AV232+IF(AND($E233&lt;&gt;"",$E233&lt;=AV$2,$F233&gt;=AV$2),1,0)</f>
        <v/>
      </c>
      <c r="AW233">
        <f>AW232+IF(AND($E233&lt;&gt;"",$E233&lt;=AW$2,$F233&gt;=AW$2),1,0)</f>
        <v/>
      </c>
    </row>
    <row r="234">
      <c r="A234">
        <f>IF(AND(ISNUMBER(Events!$A236),ISNUMBER(Events!$B236)),MAX(0,Events!$B236-Events!$A236),0)</f>
        <v/>
      </c>
      <c r="B234">
        <f>IF(ISNUMBER(Events!$A236),DATE(YEAR($B$1)-1,MONTH(Events!$A236),DAY(Events!$A236)),"")</f>
        <v/>
      </c>
      <c r="C234">
        <f>IF(ISNUMBER(Events!$A236),DATE(YEAR($B$1),MONTH(Events!$A236),DAY(Events!$A236)),"")</f>
        <v/>
      </c>
      <c r="D234">
        <f>IF(ISNUMBER(Events!$A236),DATE(YEAR($B$2),MONTH(Events!$A236),DAY(Events!$A236)),"")</f>
        <v/>
      </c>
      <c r="E234">
        <f>IF(OR(NOT(ISNUMBER(Events!$A236)),Events!$G236="No",Calendar!$H$4="None"),"",IF(OR(Calendar!$H$4="All events",Events!$D236=Calendar!$H$4),IF(Events!$E236="Yes",IF(AND(B234&gt;=Events!$A236,B234&lt;=$B$2,B234+$A234&gt;=$B$1),B234,IF(AND(C234&gt;=Events!$A236,C234&lt;=$B$2,C234+$A234&gt;=$B$1),C234,IF(AND(D234&gt;=Events!$A236,D234&lt;=$B$2,D234+$A234&gt;=$B$1),D234,""))),IF(AND(Events!$A236&lt;=$B$2,Events!$A236+$A234&gt;=$B$1),Events!$A236,"")),""))</f>
        <v/>
      </c>
      <c r="F234">
        <f>IF(E234="","",E234+A234)</f>
        <v/>
      </c>
      <c r="G234">
        <f>IF(E234="","",IF(AND(E234&lt;=EOMONTH(Calendar!$K$2,0),F234&gt;=Calendar!$K$2),E234+231/100000,""))</f>
        <v/>
      </c>
      <c r="H234">
        <f>H233+IF(AND($E234&lt;&gt;"",$E234&lt;=H$2,$F234&gt;=H$2),1,0)</f>
        <v/>
      </c>
      <c r="I234">
        <f>I233+IF(AND($E234&lt;&gt;"",$E234&lt;=I$2,$F234&gt;=I$2),1,0)</f>
        <v/>
      </c>
      <c r="J234">
        <f>J233+IF(AND($E234&lt;&gt;"",$E234&lt;=J$2,$F234&gt;=J$2),1,0)</f>
        <v/>
      </c>
      <c r="K234">
        <f>K233+IF(AND($E234&lt;&gt;"",$E234&lt;=K$2,$F234&gt;=K$2),1,0)</f>
        <v/>
      </c>
      <c r="L234">
        <f>L233+IF(AND($E234&lt;&gt;"",$E234&lt;=L$2,$F234&gt;=L$2),1,0)</f>
        <v/>
      </c>
      <c r="M234">
        <f>M233+IF(AND($E234&lt;&gt;"",$E234&lt;=M$2,$F234&gt;=M$2),1,0)</f>
        <v/>
      </c>
      <c r="N234">
        <f>N233+IF(AND($E234&lt;&gt;"",$E234&lt;=N$2,$F234&gt;=N$2),1,0)</f>
        <v/>
      </c>
      <c r="O234">
        <f>O233+IF(AND($E234&lt;&gt;"",$E234&lt;=O$2,$F234&gt;=O$2),1,0)</f>
        <v/>
      </c>
      <c r="P234">
        <f>P233+IF(AND($E234&lt;&gt;"",$E234&lt;=P$2,$F234&gt;=P$2),1,0)</f>
        <v/>
      </c>
      <c r="Q234">
        <f>Q233+IF(AND($E234&lt;&gt;"",$E234&lt;=Q$2,$F234&gt;=Q$2),1,0)</f>
        <v/>
      </c>
      <c r="R234">
        <f>R233+IF(AND($E234&lt;&gt;"",$E234&lt;=R$2,$F234&gt;=R$2),1,0)</f>
        <v/>
      </c>
      <c r="S234">
        <f>S233+IF(AND($E234&lt;&gt;"",$E234&lt;=S$2,$F234&gt;=S$2),1,0)</f>
        <v/>
      </c>
      <c r="T234">
        <f>T233+IF(AND($E234&lt;&gt;"",$E234&lt;=T$2,$F234&gt;=T$2),1,0)</f>
        <v/>
      </c>
      <c r="U234">
        <f>U233+IF(AND($E234&lt;&gt;"",$E234&lt;=U$2,$F234&gt;=U$2),1,0)</f>
        <v/>
      </c>
      <c r="V234">
        <f>V233+IF(AND($E234&lt;&gt;"",$E234&lt;=V$2,$F234&gt;=V$2),1,0)</f>
        <v/>
      </c>
      <c r="W234">
        <f>W233+IF(AND($E234&lt;&gt;"",$E234&lt;=W$2,$F234&gt;=W$2),1,0)</f>
        <v/>
      </c>
      <c r="X234">
        <f>X233+IF(AND($E234&lt;&gt;"",$E234&lt;=X$2,$F234&gt;=X$2),1,0)</f>
        <v/>
      </c>
      <c r="Y234">
        <f>Y233+IF(AND($E234&lt;&gt;"",$E234&lt;=Y$2,$F234&gt;=Y$2),1,0)</f>
        <v/>
      </c>
      <c r="Z234">
        <f>Z233+IF(AND($E234&lt;&gt;"",$E234&lt;=Z$2,$F234&gt;=Z$2),1,0)</f>
        <v/>
      </c>
      <c r="AA234">
        <f>AA233+IF(AND($E234&lt;&gt;"",$E234&lt;=AA$2,$F234&gt;=AA$2),1,0)</f>
        <v/>
      </c>
      <c r="AB234">
        <f>AB233+IF(AND($E234&lt;&gt;"",$E234&lt;=AB$2,$F234&gt;=AB$2),1,0)</f>
        <v/>
      </c>
      <c r="AC234">
        <f>AC233+IF(AND($E234&lt;&gt;"",$E234&lt;=AC$2,$F234&gt;=AC$2),1,0)</f>
        <v/>
      </c>
      <c r="AD234">
        <f>AD233+IF(AND($E234&lt;&gt;"",$E234&lt;=AD$2,$F234&gt;=AD$2),1,0)</f>
        <v/>
      </c>
      <c r="AE234">
        <f>AE233+IF(AND($E234&lt;&gt;"",$E234&lt;=AE$2,$F234&gt;=AE$2),1,0)</f>
        <v/>
      </c>
      <c r="AF234">
        <f>AF233+IF(AND($E234&lt;&gt;"",$E234&lt;=AF$2,$F234&gt;=AF$2),1,0)</f>
        <v/>
      </c>
      <c r="AG234">
        <f>AG233+IF(AND($E234&lt;&gt;"",$E234&lt;=AG$2,$F234&gt;=AG$2),1,0)</f>
        <v/>
      </c>
      <c r="AH234">
        <f>AH233+IF(AND($E234&lt;&gt;"",$E234&lt;=AH$2,$F234&gt;=AH$2),1,0)</f>
        <v/>
      </c>
      <c r="AI234">
        <f>AI233+IF(AND($E234&lt;&gt;"",$E234&lt;=AI$2,$F234&gt;=AI$2),1,0)</f>
        <v/>
      </c>
      <c r="AJ234">
        <f>AJ233+IF(AND($E234&lt;&gt;"",$E234&lt;=AJ$2,$F234&gt;=AJ$2),1,0)</f>
        <v/>
      </c>
      <c r="AK234">
        <f>AK233+IF(AND($E234&lt;&gt;"",$E234&lt;=AK$2,$F234&gt;=AK$2),1,0)</f>
        <v/>
      </c>
      <c r="AL234">
        <f>AL233+IF(AND($E234&lt;&gt;"",$E234&lt;=AL$2,$F234&gt;=AL$2),1,0)</f>
        <v/>
      </c>
      <c r="AM234">
        <f>AM233+IF(AND($E234&lt;&gt;"",$E234&lt;=AM$2,$F234&gt;=AM$2),1,0)</f>
        <v/>
      </c>
      <c r="AN234">
        <f>AN233+IF(AND($E234&lt;&gt;"",$E234&lt;=AN$2,$F234&gt;=AN$2),1,0)</f>
        <v/>
      </c>
      <c r="AO234">
        <f>AO233+IF(AND($E234&lt;&gt;"",$E234&lt;=AO$2,$F234&gt;=AO$2),1,0)</f>
        <v/>
      </c>
      <c r="AP234">
        <f>AP233+IF(AND($E234&lt;&gt;"",$E234&lt;=AP$2,$F234&gt;=AP$2),1,0)</f>
        <v/>
      </c>
      <c r="AQ234">
        <f>AQ233+IF(AND($E234&lt;&gt;"",$E234&lt;=AQ$2,$F234&gt;=AQ$2),1,0)</f>
        <v/>
      </c>
      <c r="AR234">
        <f>AR233+IF(AND($E234&lt;&gt;"",$E234&lt;=AR$2,$F234&gt;=AR$2),1,0)</f>
        <v/>
      </c>
      <c r="AS234">
        <f>AS233+IF(AND($E234&lt;&gt;"",$E234&lt;=AS$2,$F234&gt;=AS$2),1,0)</f>
        <v/>
      </c>
      <c r="AT234">
        <f>AT233+IF(AND($E234&lt;&gt;"",$E234&lt;=AT$2,$F234&gt;=AT$2),1,0)</f>
        <v/>
      </c>
      <c r="AU234">
        <f>AU233+IF(AND($E234&lt;&gt;"",$E234&lt;=AU$2,$F234&gt;=AU$2),1,0)</f>
        <v/>
      </c>
      <c r="AV234">
        <f>AV233+IF(AND($E234&lt;&gt;"",$E234&lt;=AV$2,$F234&gt;=AV$2),1,0)</f>
        <v/>
      </c>
      <c r="AW234">
        <f>AW233+IF(AND($E234&lt;&gt;"",$E234&lt;=AW$2,$F234&gt;=AW$2),1,0)</f>
        <v/>
      </c>
    </row>
    <row r="235">
      <c r="A235">
        <f>IF(AND(ISNUMBER(Events!$A237),ISNUMBER(Events!$B237)),MAX(0,Events!$B237-Events!$A237),0)</f>
        <v/>
      </c>
      <c r="B235">
        <f>IF(ISNUMBER(Events!$A237),DATE(YEAR($B$1)-1,MONTH(Events!$A237),DAY(Events!$A237)),"")</f>
        <v/>
      </c>
      <c r="C235">
        <f>IF(ISNUMBER(Events!$A237),DATE(YEAR($B$1),MONTH(Events!$A237),DAY(Events!$A237)),"")</f>
        <v/>
      </c>
      <c r="D235">
        <f>IF(ISNUMBER(Events!$A237),DATE(YEAR($B$2),MONTH(Events!$A237),DAY(Events!$A237)),"")</f>
        <v/>
      </c>
      <c r="E235">
        <f>IF(OR(NOT(ISNUMBER(Events!$A237)),Events!$G237="No",Calendar!$H$4="None"),"",IF(OR(Calendar!$H$4="All events",Events!$D237=Calendar!$H$4),IF(Events!$E237="Yes",IF(AND(B235&gt;=Events!$A237,B235&lt;=$B$2,B235+$A235&gt;=$B$1),B235,IF(AND(C235&gt;=Events!$A237,C235&lt;=$B$2,C235+$A235&gt;=$B$1),C235,IF(AND(D235&gt;=Events!$A237,D235&lt;=$B$2,D235+$A235&gt;=$B$1),D235,""))),IF(AND(Events!$A237&lt;=$B$2,Events!$A237+$A235&gt;=$B$1),Events!$A237,"")),""))</f>
        <v/>
      </c>
      <c r="F235">
        <f>IF(E235="","",E235+A235)</f>
        <v/>
      </c>
      <c r="G235">
        <f>IF(E235="","",IF(AND(E235&lt;=EOMONTH(Calendar!$K$2,0),F235&gt;=Calendar!$K$2),E235+232/100000,""))</f>
        <v/>
      </c>
      <c r="H235">
        <f>H234+IF(AND($E235&lt;&gt;"",$E235&lt;=H$2,$F235&gt;=H$2),1,0)</f>
        <v/>
      </c>
      <c r="I235">
        <f>I234+IF(AND($E235&lt;&gt;"",$E235&lt;=I$2,$F235&gt;=I$2),1,0)</f>
        <v/>
      </c>
      <c r="J235">
        <f>J234+IF(AND($E235&lt;&gt;"",$E235&lt;=J$2,$F235&gt;=J$2),1,0)</f>
        <v/>
      </c>
      <c r="K235">
        <f>K234+IF(AND($E235&lt;&gt;"",$E235&lt;=K$2,$F235&gt;=K$2),1,0)</f>
        <v/>
      </c>
      <c r="L235">
        <f>L234+IF(AND($E235&lt;&gt;"",$E235&lt;=L$2,$F235&gt;=L$2),1,0)</f>
        <v/>
      </c>
      <c r="M235">
        <f>M234+IF(AND($E235&lt;&gt;"",$E235&lt;=M$2,$F235&gt;=M$2),1,0)</f>
        <v/>
      </c>
      <c r="N235">
        <f>N234+IF(AND($E235&lt;&gt;"",$E235&lt;=N$2,$F235&gt;=N$2),1,0)</f>
        <v/>
      </c>
      <c r="O235">
        <f>O234+IF(AND($E235&lt;&gt;"",$E235&lt;=O$2,$F235&gt;=O$2),1,0)</f>
        <v/>
      </c>
      <c r="P235">
        <f>P234+IF(AND($E235&lt;&gt;"",$E235&lt;=P$2,$F235&gt;=P$2),1,0)</f>
        <v/>
      </c>
      <c r="Q235">
        <f>Q234+IF(AND($E235&lt;&gt;"",$E235&lt;=Q$2,$F235&gt;=Q$2),1,0)</f>
        <v/>
      </c>
      <c r="R235">
        <f>R234+IF(AND($E235&lt;&gt;"",$E235&lt;=R$2,$F235&gt;=R$2),1,0)</f>
        <v/>
      </c>
      <c r="S235">
        <f>S234+IF(AND($E235&lt;&gt;"",$E235&lt;=S$2,$F235&gt;=S$2),1,0)</f>
        <v/>
      </c>
      <c r="T235">
        <f>T234+IF(AND($E235&lt;&gt;"",$E235&lt;=T$2,$F235&gt;=T$2),1,0)</f>
        <v/>
      </c>
      <c r="U235">
        <f>U234+IF(AND($E235&lt;&gt;"",$E235&lt;=U$2,$F235&gt;=U$2),1,0)</f>
        <v/>
      </c>
      <c r="V235">
        <f>V234+IF(AND($E235&lt;&gt;"",$E235&lt;=V$2,$F235&gt;=V$2),1,0)</f>
        <v/>
      </c>
      <c r="W235">
        <f>W234+IF(AND($E235&lt;&gt;"",$E235&lt;=W$2,$F235&gt;=W$2),1,0)</f>
        <v/>
      </c>
      <c r="X235">
        <f>X234+IF(AND($E235&lt;&gt;"",$E235&lt;=X$2,$F235&gt;=X$2),1,0)</f>
        <v/>
      </c>
      <c r="Y235">
        <f>Y234+IF(AND($E235&lt;&gt;"",$E235&lt;=Y$2,$F235&gt;=Y$2),1,0)</f>
        <v/>
      </c>
      <c r="Z235">
        <f>Z234+IF(AND($E235&lt;&gt;"",$E235&lt;=Z$2,$F235&gt;=Z$2),1,0)</f>
        <v/>
      </c>
      <c r="AA235">
        <f>AA234+IF(AND($E235&lt;&gt;"",$E235&lt;=AA$2,$F235&gt;=AA$2),1,0)</f>
        <v/>
      </c>
      <c r="AB235">
        <f>AB234+IF(AND($E235&lt;&gt;"",$E235&lt;=AB$2,$F235&gt;=AB$2),1,0)</f>
        <v/>
      </c>
      <c r="AC235">
        <f>AC234+IF(AND($E235&lt;&gt;"",$E235&lt;=AC$2,$F235&gt;=AC$2),1,0)</f>
        <v/>
      </c>
      <c r="AD235">
        <f>AD234+IF(AND($E235&lt;&gt;"",$E235&lt;=AD$2,$F235&gt;=AD$2),1,0)</f>
        <v/>
      </c>
      <c r="AE235">
        <f>AE234+IF(AND($E235&lt;&gt;"",$E235&lt;=AE$2,$F235&gt;=AE$2),1,0)</f>
        <v/>
      </c>
      <c r="AF235">
        <f>AF234+IF(AND($E235&lt;&gt;"",$E235&lt;=AF$2,$F235&gt;=AF$2),1,0)</f>
        <v/>
      </c>
      <c r="AG235">
        <f>AG234+IF(AND($E235&lt;&gt;"",$E235&lt;=AG$2,$F235&gt;=AG$2),1,0)</f>
        <v/>
      </c>
      <c r="AH235">
        <f>AH234+IF(AND($E235&lt;&gt;"",$E235&lt;=AH$2,$F235&gt;=AH$2),1,0)</f>
        <v/>
      </c>
      <c r="AI235">
        <f>AI234+IF(AND($E235&lt;&gt;"",$E235&lt;=AI$2,$F235&gt;=AI$2),1,0)</f>
        <v/>
      </c>
      <c r="AJ235">
        <f>AJ234+IF(AND($E235&lt;&gt;"",$E235&lt;=AJ$2,$F235&gt;=AJ$2),1,0)</f>
        <v/>
      </c>
      <c r="AK235">
        <f>AK234+IF(AND($E235&lt;&gt;"",$E235&lt;=AK$2,$F235&gt;=AK$2),1,0)</f>
        <v/>
      </c>
      <c r="AL235">
        <f>AL234+IF(AND($E235&lt;&gt;"",$E235&lt;=AL$2,$F235&gt;=AL$2),1,0)</f>
        <v/>
      </c>
      <c r="AM235">
        <f>AM234+IF(AND($E235&lt;&gt;"",$E235&lt;=AM$2,$F235&gt;=AM$2),1,0)</f>
        <v/>
      </c>
      <c r="AN235">
        <f>AN234+IF(AND($E235&lt;&gt;"",$E235&lt;=AN$2,$F235&gt;=AN$2),1,0)</f>
        <v/>
      </c>
      <c r="AO235">
        <f>AO234+IF(AND($E235&lt;&gt;"",$E235&lt;=AO$2,$F235&gt;=AO$2),1,0)</f>
        <v/>
      </c>
      <c r="AP235">
        <f>AP234+IF(AND($E235&lt;&gt;"",$E235&lt;=AP$2,$F235&gt;=AP$2),1,0)</f>
        <v/>
      </c>
      <c r="AQ235">
        <f>AQ234+IF(AND($E235&lt;&gt;"",$E235&lt;=AQ$2,$F235&gt;=AQ$2),1,0)</f>
        <v/>
      </c>
      <c r="AR235">
        <f>AR234+IF(AND($E235&lt;&gt;"",$E235&lt;=AR$2,$F235&gt;=AR$2),1,0)</f>
        <v/>
      </c>
      <c r="AS235">
        <f>AS234+IF(AND($E235&lt;&gt;"",$E235&lt;=AS$2,$F235&gt;=AS$2),1,0)</f>
        <v/>
      </c>
      <c r="AT235">
        <f>AT234+IF(AND($E235&lt;&gt;"",$E235&lt;=AT$2,$F235&gt;=AT$2),1,0)</f>
        <v/>
      </c>
      <c r="AU235">
        <f>AU234+IF(AND($E235&lt;&gt;"",$E235&lt;=AU$2,$F235&gt;=AU$2),1,0)</f>
        <v/>
      </c>
      <c r="AV235">
        <f>AV234+IF(AND($E235&lt;&gt;"",$E235&lt;=AV$2,$F235&gt;=AV$2),1,0)</f>
        <v/>
      </c>
      <c r="AW235">
        <f>AW234+IF(AND($E235&lt;&gt;"",$E235&lt;=AW$2,$F235&gt;=AW$2),1,0)</f>
        <v/>
      </c>
    </row>
    <row r="236">
      <c r="A236">
        <f>IF(AND(ISNUMBER(Events!$A238),ISNUMBER(Events!$B238)),MAX(0,Events!$B238-Events!$A238),0)</f>
        <v/>
      </c>
      <c r="B236">
        <f>IF(ISNUMBER(Events!$A238),DATE(YEAR($B$1)-1,MONTH(Events!$A238),DAY(Events!$A238)),"")</f>
        <v/>
      </c>
      <c r="C236">
        <f>IF(ISNUMBER(Events!$A238),DATE(YEAR($B$1),MONTH(Events!$A238),DAY(Events!$A238)),"")</f>
        <v/>
      </c>
      <c r="D236">
        <f>IF(ISNUMBER(Events!$A238),DATE(YEAR($B$2),MONTH(Events!$A238),DAY(Events!$A238)),"")</f>
        <v/>
      </c>
      <c r="E236">
        <f>IF(OR(NOT(ISNUMBER(Events!$A238)),Events!$G238="No",Calendar!$H$4="None"),"",IF(OR(Calendar!$H$4="All events",Events!$D238=Calendar!$H$4),IF(Events!$E238="Yes",IF(AND(B236&gt;=Events!$A238,B236&lt;=$B$2,B236+$A236&gt;=$B$1),B236,IF(AND(C236&gt;=Events!$A238,C236&lt;=$B$2,C236+$A236&gt;=$B$1),C236,IF(AND(D236&gt;=Events!$A238,D236&lt;=$B$2,D236+$A236&gt;=$B$1),D236,""))),IF(AND(Events!$A238&lt;=$B$2,Events!$A238+$A236&gt;=$B$1),Events!$A238,"")),""))</f>
        <v/>
      </c>
      <c r="F236">
        <f>IF(E236="","",E236+A236)</f>
        <v/>
      </c>
      <c r="G236">
        <f>IF(E236="","",IF(AND(E236&lt;=EOMONTH(Calendar!$K$2,0),F236&gt;=Calendar!$K$2),E236+233/100000,""))</f>
        <v/>
      </c>
      <c r="H236">
        <f>H235+IF(AND($E236&lt;&gt;"",$E236&lt;=H$2,$F236&gt;=H$2),1,0)</f>
        <v/>
      </c>
      <c r="I236">
        <f>I235+IF(AND($E236&lt;&gt;"",$E236&lt;=I$2,$F236&gt;=I$2),1,0)</f>
        <v/>
      </c>
      <c r="J236">
        <f>J235+IF(AND($E236&lt;&gt;"",$E236&lt;=J$2,$F236&gt;=J$2),1,0)</f>
        <v/>
      </c>
      <c r="K236">
        <f>K235+IF(AND($E236&lt;&gt;"",$E236&lt;=K$2,$F236&gt;=K$2),1,0)</f>
        <v/>
      </c>
      <c r="L236">
        <f>L235+IF(AND($E236&lt;&gt;"",$E236&lt;=L$2,$F236&gt;=L$2),1,0)</f>
        <v/>
      </c>
      <c r="M236">
        <f>M235+IF(AND($E236&lt;&gt;"",$E236&lt;=M$2,$F236&gt;=M$2),1,0)</f>
        <v/>
      </c>
      <c r="N236">
        <f>N235+IF(AND($E236&lt;&gt;"",$E236&lt;=N$2,$F236&gt;=N$2),1,0)</f>
        <v/>
      </c>
      <c r="O236">
        <f>O235+IF(AND($E236&lt;&gt;"",$E236&lt;=O$2,$F236&gt;=O$2),1,0)</f>
        <v/>
      </c>
      <c r="P236">
        <f>P235+IF(AND($E236&lt;&gt;"",$E236&lt;=P$2,$F236&gt;=P$2),1,0)</f>
        <v/>
      </c>
      <c r="Q236">
        <f>Q235+IF(AND($E236&lt;&gt;"",$E236&lt;=Q$2,$F236&gt;=Q$2),1,0)</f>
        <v/>
      </c>
      <c r="R236">
        <f>R235+IF(AND($E236&lt;&gt;"",$E236&lt;=R$2,$F236&gt;=R$2),1,0)</f>
        <v/>
      </c>
      <c r="S236">
        <f>S235+IF(AND($E236&lt;&gt;"",$E236&lt;=S$2,$F236&gt;=S$2),1,0)</f>
        <v/>
      </c>
      <c r="T236">
        <f>T235+IF(AND($E236&lt;&gt;"",$E236&lt;=T$2,$F236&gt;=T$2),1,0)</f>
        <v/>
      </c>
      <c r="U236">
        <f>U235+IF(AND($E236&lt;&gt;"",$E236&lt;=U$2,$F236&gt;=U$2),1,0)</f>
        <v/>
      </c>
      <c r="V236">
        <f>V235+IF(AND($E236&lt;&gt;"",$E236&lt;=V$2,$F236&gt;=V$2),1,0)</f>
        <v/>
      </c>
      <c r="W236">
        <f>W235+IF(AND($E236&lt;&gt;"",$E236&lt;=W$2,$F236&gt;=W$2),1,0)</f>
        <v/>
      </c>
      <c r="X236">
        <f>X235+IF(AND($E236&lt;&gt;"",$E236&lt;=X$2,$F236&gt;=X$2),1,0)</f>
        <v/>
      </c>
      <c r="Y236">
        <f>Y235+IF(AND($E236&lt;&gt;"",$E236&lt;=Y$2,$F236&gt;=Y$2),1,0)</f>
        <v/>
      </c>
      <c r="Z236">
        <f>Z235+IF(AND($E236&lt;&gt;"",$E236&lt;=Z$2,$F236&gt;=Z$2),1,0)</f>
        <v/>
      </c>
      <c r="AA236">
        <f>AA235+IF(AND($E236&lt;&gt;"",$E236&lt;=AA$2,$F236&gt;=AA$2),1,0)</f>
        <v/>
      </c>
      <c r="AB236">
        <f>AB235+IF(AND($E236&lt;&gt;"",$E236&lt;=AB$2,$F236&gt;=AB$2),1,0)</f>
        <v/>
      </c>
      <c r="AC236">
        <f>AC235+IF(AND($E236&lt;&gt;"",$E236&lt;=AC$2,$F236&gt;=AC$2),1,0)</f>
        <v/>
      </c>
      <c r="AD236">
        <f>AD235+IF(AND($E236&lt;&gt;"",$E236&lt;=AD$2,$F236&gt;=AD$2),1,0)</f>
        <v/>
      </c>
      <c r="AE236">
        <f>AE235+IF(AND($E236&lt;&gt;"",$E236&lt;=AE$2,$F236&gt;=AE$2),1,0)</f>
        <v/>
      </c>
      <c r="AF236">
        <f>AF235+IF(AND($E236&lt;&gt;"",$E236&lt;=AF$2,$F236&gt;=AF$2),1,0)</f>
        <v/>
      </c>
      <c r="AG236">
        <f>AG235+IF(AND($E236&lt;&gt;"",$E236&lt;=AG$2,$F236&gt;=AG$2),1,0)</f>
        <v/>
      </c>
      <c r="AH236">
        <f>AH235+IF(AND($E236&lt;&gt;"",$E236&lt;=AH$2,$F236&gt;=AH$2),1,0)</f>
        <v/>
      </c>
      <c r="AI236">
        <f>AI235+IF(AND($E236&lt;&gt;"",$E236&lt;=AI$2,$F236&gt;=AI$2),1,0)</f>
        <v/>
      </c>
      <c r="AJ236">
        <f>AJ235+IF(AND($E236&lt;&gt;"",$E236&lt;=AJ$2,$F236&gt;=AJ$2),1,0)</f>
        <v/>
      </c>
      <c r="AK236">
        <f>AK235+IF(AND($E236&lt;&gt;"",$E236&lt;=AK$2,$F236&gt;=AK$2),1,0)</f>
        <v/>
      </c>
      <c r="AL236">
        <f>AL235+IF(AND($E236&lt;&gt;"",$E236&lt;=AL$2,$F236&gt;=AL$2),1,0)</f>
        <v/>
      </c>
      <c r="AM236">
        <f>AM235+IF(AND($E236&lt;&gt;"",$E236&lt;=AM$2,$F236&gt;=AM$2),1,0)</f>
        <v/>
      </c>
      <c r="AN236">
        <f>AN235+IF(AND($E236&lt;&gt;"",$E236&lt;=AN$2,$F236&gt;=AN$2),1,0)</f>
        <v/>
      </c>
      <c r="AO236">
        <f>AO235+IF(AND($E236&lt;&gt;"",$E236&lt;=AO$2,$F236&gt;=AO$2),1,0)</f>
        <v/>
      </c>
      <c r="AP236">
        <f>AP235+IF(AND($E236&lt;&gt;"",$E236&lt;=AP$2,$F236&gt;=AP$2),1,0)</f>
        <v/>
      </c>
      <c r="AQ236">
        <f>AQ235+IF(AND($E236&lt;&gt;"",$E236&lt;=AQ$2,$F236&gt;=AQ$2),1,0)</f>
        <v/>
      </c>
      <c r="AR236">
        <f>AR235+IF(AND($E236&lt;&gt;"",$E236&lt;=AR$2,$F236&gt;=AR$2),1,0)</f>
        <v/>
      </c>
      <c r="AS236">
        <f>AS235+IF(AND($E236&lt;&gt;"",$E236&lt;=AS$2,$F236&gt;=AS$2),1,0)</f>
        <v/>
      </c>
      <c r="AT236">
        <f>AT235+IF(AND($E236&lt;&gt;"",$E236&lt;=AT$2,$F236&gt;=AT$2),1,0)</f>
        <v/>
      </c>
      <c r="AU236">
        <f>AU235+IF(AND($E236&lt;&gt;"",$E236&lt;=AU$2,$F236&gt;=AU$2),1,0)</f>
        <v/>
      </c>
      <c r="AV236">
        <f>AV235+IF(AND($E236&lt;&gt;"",$E236&lt;=AV$2,$F236&gt;=AV$2),1,0)</f>
        <v/>
      </c>
      <c r="AW236">
        <f>AW235+IF(AND($E236&lt;&gt;"",$E236&lt;=AW$2,$F236&gt;=AW$2),1,0)</f>
        <v/>
      </c>
    </row>
    <row r="237">
      <c r="A237">
        <f>IF(AND(ISNUMBER(Events!$A239),ISNUMBER(Events!$B239)),MAX(0,Events!$B239-Events!$A239),0)</f>
        <v/>
      </c>
      <c r="B237">
        <f>IF(ISNUMBER(Events!$A239),DATE(YEAR($B$1)-1,MONTH(Events!$A239),DAY(Events!$A239)),"")</f>
        <v/>
      </c>
      <c r="C237">
        <f>IF(ISNUMBER(Events!$A239),DATE(YEAR($B$1),MONTH(Events!$A239),DAY(Events!$A239)),"")</f>
        <v/>
      </c>
      <c r="D237">
        <f>IF(ISNUMBER(Events!$A239),DATE(YEAR($B$2),MONTH(Events!$A239),DAY(Events!$A239)),"")</f>
        <v/>
      </c>
      <c r="E237">
        <f>IF(OR(NOT(ISNUMBER(Events!$A239)),Events!$G239="No",Calendar!$H$4="None"),"",IF(OR(Calendar!$H$4="All events",Events!$D239=Calendar!$H$4),IF(Events!$E239="Yes",IF(AND(B237&gt;=Events!$A239,B237&lt;=$B$2,B237+$A237&gt;=$B$1),B237,IF(AND(C237&gt;=Events!$A239,C237&lt;=$B$2,C237+$A237&gt;=$B$1),C237,IF(AND(D237&gt;=Events!$A239,D237&lt;=$B$2,D237+$A237&gt;=$B$1),D237,""))),IF(AND(Events!$A239&lt;=$B$2,Events!$A239+$A237&gt;=$B$1),Events!$A239,"")),""))</f>
        <v/>
      </c>
      <c r="F237">
        <f>IF(E237="","",E237+A237)</f>
        <v/>
      </c>
      <c r="G237">
        <f>IF(E237="","",IF(AND(E237&lt;=EOMONTH(Calendar!$K$2,0),F237&gt;=Calendar!$K$2),E237+234/100000,""))</f>
        <v/>
      </c>
      <c r="H237">
        <f>H236+IF(AND($E237&lt;&gt;"",$E237&lt;=H$2,$F237&gt;=H$2),1,0)</f>
        <v/>
      </c>
      <c r="I237">
        <f>I236+IF(AND($E237&lt;&gt;"",$E237&lt;=I$2,$F237&gt;=I$2),1,0)</f>
        <v/>
      </c>
      <c r="J237">
        <f>J236+IF(AND($E237&lt;&gt;"",$E237&lt;=J$2,$F237&gt;=J$2),1,0)</f>
        <v/>
      </c>
      <c r="K237">
        <f>K236+IF(AND($E237&lt;&gt;"",$E237&lt;=K$2,$F237&gt;=K$2),1,0)</f>
        <v/>
      </c>
      <c r="L237">
        <f>L236+IF(AND($E237&lt;&gt;"",$E237&lt;=L$2,$F237&gt;=L$2),1,0)</f>
        <v/>
      </c>
      <c r="M237">
        <f>M236+IF(AND($E237&lt;&gt;"",$E237&lt;=M$2,$F237&gt;=M$2),1,0)</f>
        <v/>
      </c>
      <c r="N237">
        <f>N236+IF(AND($E237&lt;&gt;"",$E237&lt;=N$2,$F237&gt;=N$2),1,0)</f>
        <v/>
      </c>
      <c r="O237">
        <f>O236+IF(AND($E237&lt;&gt;"",$E237&lt;=O$2,$F237&gt;=O$2),1,0)</f>
        <v/>
      </c>
      <c r="P237">
        <f>P236+IF(AND($E237&lt;&gt;"",$E237&lt;=P$2,$F237&gt;=P$2),1,0)</f>
        <v/>
      </c>
      <c r="Q237">
        <f>Q236+IF(AND($E237&lt;&gt;"",$E237&lt;=Q$2,$F237&gt;=Q$2),1,0)</f>
        <v/>
      </c>
      <c r="R237">
        <f>R236+IF(AND($E237&lt;&gt;"",$E237&lt;=R$2,$F237&gt;=R$2),1,0)</f>
        <v/>
      </c>
      <c r="S237">
        <f>S236+IF(AND($E237&lt;&gt;"",$E237&lt;=S$2,$F237&gt;=S$2),1,0)</f>
        <v/>
      </c>
      <c r="T237">
        <f>T236+IF(AND($E237&lt;&gt;"",$E237&lt;=T$2,$F237&gt;=T$2),1,0)</f>
        <v/>
      </c>
      <c r="U237">
        <f>U236+IF(AND($E237&lt;&gt;"",$E237&lt;=U$2,$F237&gt;=U$2),1,0)</f>
        <v/>
      </c>
      <c r="V237">
        <f>V236+IF(AND($E237&lt;&gt;"",$E237&lt;=V$2,$F237&gt;=V$2),1,0)</f>
        <v/>
      </c>
      <c r="W237">
        <f>W236+IF(AND($E237&lt;&gt;"",$E237&lt;=W$2,$F237&gt;=W$2),1,0)</f>
        <v/>
      </c>
      <c r="X237">
        <f>X236+IF(AND($E237&lt;&gt;"",$E237&lt;=X$2,$F237&gt;=X$2),1,0)</f>
        <v/>
      </c>
      <c r="Y237">
        <f>Y236+IF(AND($E237&lt;&gt;"",$E237&lt;=Y$2,$F237&gt;=Y$2),1,0)</f>
        <v/>
      </c>
      <c r="Z237">
        <f>Z236+IF(AND($E237&lt;&gt;"",$E237&lt;=Z$2,$F237&gt;=Z$2),1,0)</f>
        <v/>
      </c>
      <c r="AA237">
        <f>AA236+IF(AND($E237&lt;&gt;"",$E237&lt;=AA$2,$F237&gt;=AA$2),1,0)</f>
        <v/>
      </c>
      <c r="AB237">
        <f>AB236+IF(AND($E237&lt;&gt;"",$E237&lt;=AB$2,$F237&gt;=AB$2),1,0)</f>
        <v/>
      </c>
      <c r="AC237">
        <f>AC236+IF(AND($E237&lt;&gt;"",$E237&lt;=AC$2,$F237&gt;=AC$2),1,0)</f>
        <v/>
      </c>
      <c r="AD237">
        <f>AD236+IF(AND($E237&lt;&gt;"",$E237&lt;=AD$2,$F237&gt;=AD$2),1,0)</f>
        <v/>
      </c>
      <c r="AE237">
        <f>AE236+IF(AND($E237&lt;&gt;"",$E237&lt;=AE$2,$F237&gt;=AE$2),1,0)</f>
        <v/>
      </c>
      <c r="AF237">
        <f>AF236+IF(AND($E237&lt;&gt;"",$E237&lt;=AF$2,$F237&gt;=AF$2),1,0)</f>
        <v/>
      </c>
      <c r="AG237">
        <f>AG236+IF(AND($E237&lt;&gt;"",$E237&lt;=AG$2,$F237&gt;=AG$2),1,0)</f>
        <v/>
      </c>
      <c r="AH237">
        <f>AH236+IF(AND($E237&lt;&gt;"",$E237&lt;=AH$2,$F237&gt;=AH$2),1,0)</f>
        <v/>
      </c>
      <c r="AI237">
        <f>AI236+IF(AND($E237&lt;&gt;"",$E237&lt;=AI$2,$F237&gt;=AI$2),1,0)</f>
        <v/>
      </c>
      <c r="AJ237">
        <f>AJ236+IF(AND($E237&lt;&gt;"",$E237&lt;=AJ$2,$F237&gt;=AJ$2),1,0)</f>
        <v/>
      </c>
      <c r="AK237">
        <f>AK236+IF(AND($E237&lt;&gt;"",$E237&lt;=AK$2,$F237&gt;=AK$2),1,0)</f>
        <v/>
      </c>
      <c r="AL237">
        <f>AL236+IF(AND($E237&lt;&gt;"",$E237&lt;=AL$2,$F237&gt;=AL$2),1,0)</f>
        <v/>
      </c>
      <c r="AM237">
        <f>AM236+IF(AND($E237&lt;&gt;"",$E237&lt;=AM$2,$F237&gt;=AM$2),1,0)</f>
        <v/>
      </c>
      <c r="AN237">
        <f>AN236+IF(AND($E237&lt;&gt;"",$E237&lt;=AN$2,$F237&gt;=AN$2),1,0)</f>
        <v/>
      </c>
      <c r="AO237">
        <f>AO236+IF(AND($E237&lt;&gt;"",$E237&lt;=AO$2,$F237&gt;=AO$2),1,0)</f>
        <v/>
      </c>
      <c r="AP237">
        <f>AP236+IF(AND($E237&lt;&gt;"",$E237&lt;=AP$2,$F237&gt;=AP$2),1,0)</f>
        <v/>
      </c>
      <c r="AQ237">
        <f>AQ236+IF(AND($E237&lt;&gt;"",$E237&lt;=AQ$2,$F237&gt;=AQ$2),1,0)</f>
        <v/>
      </c>
      <c r="AR237">
        <f>AR236+IF(AND($E237&lt;&gt;"",$E237&lt;=AR$2,$F237&gt;=AR$2),1,0)</f>
        <v/>
      </c>
      <c r="AS237">
        <f>AS236+IF(AND($E237&lt;&gt;"",$E237&lt;=AS$2,$F237&gt;=AS$2),1,0)</f>
        <v/>
      </c>
      <c r="AT237">
        <f>AT236+IF(AND($E237&lt;&gt;"",$E237&lt;=AT$2,$F237&gt;=AT$2),1,0)</f>
        <v/>
      </c>
      <c r="AU237">
        <f>AU236+IF(AND($E237&lt;&gt;"",$E237&lt;=AU$2,$F237&gt;=AU$2),1,0)</f>
        <v/>
      </c>
      <c r="AV237">
        <f>AV236+IF(AND($E237&lt;&gt;"",$E237&lt;=AV$2,$F237&gt;=AV$2),1,0)</f>
        <v/>
      </c>
      <c r="AW237">
        <f>AW236+IF(AND($E237&lt;&gt;"",$E237&lt;=AW$2,$F237&gt;=AW$2),1,0)</f>
        <v/>
      </c>
    </row>
    <row r="238">
      <c r="A238">
        <f>IF(AND(ISNUMBER(Events!$A240),ISNUMBER(Events!$B240)),MAX(0,Events!$B240-Events!$A240),0)</f>
        <v/>
      </c>
      <c r="B238">
        <f>IF(ISNUMBER(Events!$A240),DATE(YEAR($B$1)-1,MONTH(Events!$A240),DAY(Events!$A240)),"")</f>
        <v/>
      </c>
      <c r="C238">
        <f>IF(ISNUMBER(Events!$A240),DATE(YEAR($B$1),MONTH(Events!$A240),DAY(Events!$A240)),"")</f>
        <v/>
      </c>
      <c r="D238">
        <f>IF(ISNUMBER(Events!$A240),DATE(YEAR($B$2),MONTH(Events!$A240),DAY(Events!$A240)),"")</f>
        <v/>
      </c>
      <c r="E238">
        <f>IF(OR(NOT(ISNUMBER(Events!$A240)),Events!$G240="No",Calendar!$H$4="None"),"",IF(OR(Calendar!$H$4="All events",Events!$D240=Calendar!$H$4),IF(Events!$E240="Yes",IF(AND(B238&gt;=Events!$A240,B238&lt;=$B$2,B238+$A238&gt;=$B$1),B238,IF(AND(C238&gt;=Events!$A240,C238&lt;=$B$2,C238+$A238&gt;=$B$1),C238,IF(AND(D238&gt;=Events!$A240,D238&lt;=$B$2,D238+$A238&gt;=$B$1),D238,""))),IF(AND(Events!$A240&lt;=$B$2,Events!$A240+$A238&gt;=$B$1),Events!$A240,"")),""))</f>
        <v/>
      </c>
      <c r="F238">
        <f>IF(E238="","",E238+A238)</f>
        <v/>
      </c>
      <c r="G238">
        <f>IF(E238="","",IF(AND(E238&lt;=EOMONTH(Calendar!$K$2,0),F238&gt;=Calendar!$K$2),E238+235/100000,""))</f>
        <v/>
      </c>
      <c r="H238">
        <f>H237+IF(AND($E238&lt;&gt;"",$E238&lt;=H$2,$F238&gt;=H$2),1,0)</f>
        <v/>
      </c>
      <c r="I238">
        <f>I237+IF(AND($E238&lt;&gt;"",$E238&lt;=I$2,$F238&gt;=I$2),1,0)</f>
        <v/>
      </c>
      <c r="J238">
        <f>J237+IF(AND($E238&lt;&gt;"",$E238&lt;=J$2,$F238&gt;=J$2),1,0)</f>
        <v/>
      </c>
      <c r="K238">
        <f>K237+IF(AND($E238&lt;&gt;"",$E238&lt;=K$2,$F238&gt;=K$2),1,0)</f>
        <v/>
      </c>
      <c r="L238">
        <f>L237+IF(AND($E238&lt;&gt;"",$E238&lt;=L$2,$F238&gt;=L$2),1,0)</f>
        <v/>
      </c>
      <c r="M238">
        <f>M237+IF(AND($E238&lt;&gt;"",$E238&lt;=M$2,$F238&gt;=M$2),1,0)</f>
        <v/>
      </c>
      <c r="N238">
        <f>N237+IF(AND($E238&lt;&gt;"",$E238&lt;=N$2,$F238&gt;=N$2),1,0)</f>
        <v/>
      </c>
      <c r="O238">
        <f>O237+IF(AND($E238&lt;&gt;"",$E238&lt;=O$2,$F238&gt;=O$2),1,0)</f>
        <v/>
      </c>
      <c r="P238">
        <f>P237+IF(AND($E238&lt;&gt;"",$E238&lt;=P$2,$F238&gt;=P$2),1,0)</f>
        <v/>
      </c>
      <c r="Q238">
        <f>Q237+IF(AND($E238&lt;&gt;"",$E238&lt;=Q$2,$F238&gt;=Q$2),1,0)</f>
        <v/>
      </c>
      <c r="R238">
        <f>R237+IF(AND($E238&lt;&gt;"",$E238&lt;=R$2,$F238&gt;=R$2),1,0)</f>
        <v/>
      </c>
      <c r="S238">
        <f>S237+IF(AND($E238&lt;&gt;"",$E238&lt;=S$2,$F238&gt;=S$2),1,0)</f>
        <v/>
      </c>
      <c r="T238">
        <f>T237+IF(AND($E238&lt;&gt;"",$E238&lt;=T$2,$F238&gt;=T$2),1,0)</f>
        <v/>
      </c>
      <c r="U238">
        <f>U237+IF(AND($E238&lt;&gt;"",$E238&lt;=U$2,$F238&gt;=U$2),1,0)</f>
        <v/>
      </c>
      <c r="V238">
        <f>V237+IF(AND($E238&lt;&gt;"",$E238&lt;=V$2,$F238&gt;=V$2),1,0)</f>
        <v/>
      </c>
      <c r="W238">
        <f>W237+IF(AND($E238&lt;&gt;"",$E238&lt;=W$2,$F238&gt;=W$2),1,0)</f>
        <v/>
      </c>
      <c r="X238">
        <f>X237+IF(AND($E238&lt;&gt;"",$E238&lt;=X$2,$F238&gt;=X$2),1,0)</f>
        <v/>
      </c>
      <c r="Y238">
        <f>Y237+IF(AND($E238&lt;&gt;"",$E238&lt;=Y$2,$F238&gt;=Y$2),1,0)</f>
        <v/>
      </c>
      <c r="Z238">
        <f>Z237+IF(AND($E238&lt;&gt;"",$E238&lt;=Z$2,$F238&gt;=Z$2),1,0)</f>
        <v/>
      </c>
      <c r="AA238">
        <f>AA237+IF(AND($E238&lt;&gt;"",$E238&lt;=AA$2,$F238&gt;=AA$2),1,0)</f>
        <v/>
      </c>
      <c r="AB238">
        <f>AB237+IF(AND($E238&lt;&gt;"",$E238&lt;=AB$2,$F238&gt;=AB$2),1,0)</f>
        <v/>
      </c>
      <c r="AC238">
        <f>AC237+IF(AND($E238&lt;&gt;"",$E238&lt;=AC$2,$F238&gt;=AC$2),1,0)</f>
        <v/>
      </c>
      <c r="AD238">
        <f>AD237+IF(AND($E238&lt;&gt;"",$E238&lt;=AD$2,$F238&gt;=AD$2),1,0)</f>
        <v/>
      </c>
      <c r="AE238">
        <f>AE237+IF(AND($E238&lt;&gt;"",$E238&lt;=AE$2,$F238&gt;=AE$2),1,0)</f>
        <v/>
      </c>
      <c r="AF238">
        <f>AF237+IF(AND($E238&lt;&gt;"",$E238&lt;=AF$2,$F238&gt;=AF$2),1,0)</f>
        <v/>
      </c>
      <c r="AG238">
        <f>AG237+IF(AND($E238&lt;&gt;"",$E238&lt;=AG$2,$F238&gt;=AG$2),1,0)</f>
        <v/>
      </c>
      <c r="AH238">
        <f>AH237+IF(AND($E238&lt;&gt;"",$E238&lt;=AH$2,$F238&gt;=AH$2),1,0)</f>
        <v/>
      </c>
      <c r="AI238">
        <f>AI237+IF(AND($E238&lt;&gt;"",$E238&lt;=AI$2,$F238&gt;=AI$2),1,0)</f>
        <v/>
      </c>
      <c r="AJ238">
        <f>AJ237+IF(AND($E238&lt;&gt;"",$E238&lt;=AJ$2,$F238&gt;=AJ$2),1,0)</f>
        <v/>
      </c>
      <c r="AK238">
        <f>AK237+IF(AND($E238&lt;&gt;"",$E238&lt;=AK$2,$F238&gt;=AK$2),1,0)</f>
        <v/>
      </c>
      <c r="AL238">
        <f>AL237+IF(AND($E238&lt;&gt;"",$E238&lt;=AL$2,$F238&gt;=AL$2),1,0)</f>
        <v/>
      </c>
      <c r="AM238">
        <f>AM237+IF(AND($E238&lt;&gt;"",$E238&lt;=AM$2,$F238&gt;=AM$2),1,0)</f>
        <v/>
      </c>
      <c r="AN238">
        <f>AN237+IF(AND($E238&lt;&gt;"",$E238&lt;=AN$2,$F238&gt;=AN$2),1,0)</f>
        <v/>
      </c>
      <c r="AO238">
        <f>AO237+IF(AND($E238&lt;&gt;"",$E238&lt;=AO$2,$F238&gt;=AO$2),1,0)</f>
        <v/>
      </c>
      <c r="AP238">
        <f>AP237+IF(AND($E238&lt;&gt;"",$E238&lt;=AP$2,$F238&gt;=AP$2),1,0)</f>
        <v/>
      </c>
      <c r="AQ238">
        <f>AQ237+IF(AND($E238&lt;&gt;"",$E238&lt;=AQ$2,$F238&gt;=AQ$2),1,0)</f>
        <v/>
      </c>
      <c r="AR238">
        <f>AR237+IF(AND($E238&lt;&gt;"",$E238&lt;=AR$2,$F238&gt;=AR$2),1,0)</f>
        <v/>
      </c>
      <c r="AS238">
        <f>AS237+IF(AND($E238&lt;&gt;"",$E238&lt;=AS$2,$F238&gt;=AS$2),1,0)</f>
        <v/>
      </c>
      <c r="AT238">
        <f>AT237+IF(AND($E238&lt;&gt;"",$E238&lt;=AT$2,$F238&gt;=AT$2),1,0)</f>
        <v/>
      </c>
      <c r="AU238">
        <f>AU237+IF(AND($E238&lt;&gt;"",$E238&lt;=AU$2,$F238&gt;=AU$2),1,0)</f>
        <v/>
      </c>
      <c r="AV238">
        <f>AV237+IF(AND($E238&lt;&gt;"",$E238&lt;=AV$2,$F238&gt;=AV$2),1,0)</f>
        <v/>
      </c>
      <c r="AW238">
        <f>AW237+IF(AND($E238&lt;&gt;"",$E238&lt;=AW$2,$F238&gt;=AW$2),1,0)</f>
        <v/>
      </c>
    </row>
    <row r="239">
      <c r="A239">
        <f>IF(AND(ISNUMBER(Events!$A241),ISNUMBER(Events!$B241)),MAX(0,Events!$B241-Events!$A241),0)</f>
        <v/>
      </c>
      <c r="B239">
        <f>IF(ISNUMBER(Events!$A241),DATE(YEAR($B$1)-1,MONTH(Events!$A241),DAY(Events!$A241)),"")</f>
        <v/>
      </c>
      <c r="C239">
        <f>IF(ISNUMBER(Events!$A241),DATE(YEAR($B$1),MONTH(Events!$A241),DAY(Events!$A241)),"")</f>
        <v/>
      </c>
      <c r="D239">
        <f>IF(ISNUMBER(Events!$A241),DATE(YEAR($B$2),MONTH(Events!$A241),DAY(Events!$A241)),"")</f>
        <v/>
      </c>
      <c r="E239">
        <f>IF(OR(NOT(ISNUMBER(Events!$A241)),Events!$G241="No",Calendar!$H$4="None"),"",IF(OR(Calendar!$H$4="All events",Events!$D241=Calendar!$H$4),IF(Events!$E241="Yes",IF(AND(B239&gt;=Events!$A241,B239&lt;=$B$2,B239+$A239&gt;=$B$1),B239,IF(AND(C239&gt;=Events!$A241,C239&lt;=$B$2,C239+$A239&gt;=$B$1),C239,IF(AND(D239&gt;=Events!$A241,D239&lt;=$B$2,D239+$A239&gt;=$B$1),D239,""))),IF(AND(Events!$A241&lt;=$B$2,Events!$A241+$A239&gt;=$B$1),Events!$A241,"")),""))</f>
        <v/>
      </c>
      <c r="F239">
        <f>IF(E239="","",E239+A239)</f>
        <v/>
      </c>
      <c r="G239">
        <f>IF(E239="","",IF(AND(E239&lt;=EOMONTH(Calendar!$K$2,0),F239&gt;=Calendar!$K$2),E239+236/100000,""))</f>
        <v/>
      </c>
      <c r="H239">
        <f>H238+IF(AND($E239&lt;&gt;"",$E239&lt;=H$2,$F239&gt;=H$2),1,0)</f>
        <v/>
      </c>
      <c r="I239">
        <f>I238+IF(AND($E239&lt;&gt;"",$E239&lt;=I$2,$F239&gt;=I$2),1,0)</f>
        <v/>
      </c>
      <c r="J239">
        <f>J238+IF(AND($E239&lt;&gt;"",$E239&lt;=J$2,$F239&gt;=J$2),1,0)</f>
        <v/>
      </c>
      <c r="K239">
        <f>K238+IF(AND($E239&lt;&gt;"",$E239&lt;=K$2,$F239&gt;=K$2),1,0)</f>
        <v/>
      </c>
      <c r="L239">
        <f>L238+IF(AND($E239&lt;&gt;"",$E239&lt;=L$2,$F239&gt;=L$2),1,0)</f>
        <v/>
      </c>
      <c r="M239">
        <f>M238+IF(AND($E239&lt;&gt;"",$E239&lt;=M$2,$F239&gt;=M$2),1,0)</f>
        <v/>
      </c>
      <c r="N239">
        <f>N238+IF(AND($E239&lt;&gt;"",$E239&lt;=N$2,$F239&gt;=N$2),1,0)</f>
        <v/>
      </c>
      <c r="O239">
        <f>O238+IF(AND($E239&lt;&gt;"",$E239&lt;=O$2,$F239&gt;=O$2),1,0)</f>
        <v/>
      </c>
      <c r="P239">
        <f>P238+IF(AND($E239&lt;&gt;"",$E239&lt;=P$2,$F239&gt;=P$2),1,0)</f>
        <v/>
      </c>
      <c r="Q239">
        <f>Q238+IF(AND($E239&lt;&gt;"",$E239&lt;=Q$2,$F239&gt;=Q$2),1,0)</f>
        <v/>
      </c>
      <c r="R239">
        <f>R238+IF(AND($E239&lt;&gt;"",$E239&lt;=R$2,$F239&gt;=R$2),1,0)</f>
        <v/>
      </c>
      <c r="S239">
        <f>S238+IF(AND($E239&lt;&gt;"",$E239&lt;=S$2,$F239&gt;=S$2),1,0)</f>
        <v/>
      </c>
      <c r="T239">
        <f>T238+IF(AND($E239&lt;&gt;"",$E239&lt;=T$2,$F239&gt;=T$2),1,0)</f>
        <v/>
      </c>
      <c r="U239">
        <f>U238+IF(AND($E239&lt;&gt;"",$E239&lt;=U$2,$F239&gt;=U$2),1,0)</f>
        <v/>
      </c>
      <c r="V239">
        <f>V238+IF(AND($E239&lt;&gt;"",$E239&lt;=V$2,$F239&gt;=V$2),1,0)</f>
        <v/>
      </c>
      <c r="W239">
        <f>W238+IF(AND($E239&lt;&gt;"",$E239&lt;=W$2,$F239&gt;=W$2),1,0)</f>
        <v/>
      </c>
      <c r="X239">
        <f>X238+IF(AND($E239&lt;&gt;"",$E239&lt;=X$2,$F239&gt;=X$2),1,0)</f>
        <v/>
      </c>
      <c r="Y239">
        <f>Y238+IF(AND($E239&lt;&gt;"",$E239&lt;=Y$2,$F239&gt;=Y$2),1,0)</f>
        <v/>
      </c>
      <c r="Z239">
        <f>Z238+IF(AND($E239&lt;&gt;"",$E239&lt;=Z$2,$F239&gt;=Z$2),1,0)</f>
        <v/>
      </c>
      <c r="AA239">
        <f>AA238+IF(AND($E239&lt;&gt;"",$E239&lt;=AA$2,$F239&gt;=AA$2),1,0)</f>
        <v/>
      </c>
      <c r="AB239">
        <f>AB238+IF(AND($E239&lt;&gt;"",$E239&lt;=AB$2,$F239&gt;=AB$2),1,0)</f>
        <v/>
      </c>
      <c r="AC239">
        <f>AC238+IF(AND($E239&lt;&gt;"",$E239&lt;=AC$2,$F239&gt;=AC$2),1,0)</f>
        <v/>
      </c>
      <c r="AD239">
        <f>AD238+IF(AND($E239&lt;&gt;"",$E239&lt;=AD$2,$F239&gt;=AD$2),1,0)</f>
        <v/>
      </c>
      <c r="AE239">
        <f>AE238+IF(AND($E239&lt;&gt;"",$E239&lt;=AE$2,$F239&gt;=AE$2),1,0)</f>
        <v/>
      </c>
      <c r="AF239">
        <f>AF238+IF(AND($E239&lt;&gt;"",$E239&lt;=AF$2,$F239&gt;=AF$2),1,0)</f>
        <v/>
      </c>
      <c r="AG239">
        <f>AG238+IF(AND($E239&lt;&gt;"",$E239&lt;=AG$2,$F239&gt;=AG$2),1,0)</f>
        <v/>
      </c>
      <c r="AH239">
        <f>AH238+IF(AND($E239&lt;&gt;"",$E239&lt;=AH$2,$F239&gt;=AH$2),1,0)</f>
        <v/>
      </c>
      <c r="AI239">
        <f>AI238+IF(AND($E239&lt;&gt;"",$E239&lt;=AI$2,$F239&gt;=AI$2),1,0)</f>
        <v/>
      </c>
      <c r="AJ239">
        <f>AJ238+IF(AND($E239&lt;&gt;"",$E239&lt;=AJ$2,$F239&gt;=AJ$2),1,0)</f>
        <v/>
      </c>
      <c r="AK239">
        <f>AK238+IF(AND($E239&lt;&gt;"",$E239&lt;=AK$2,$F239&gt;=AK$2),1,0)</f>
        <v/>
      </c>
      <c r="AL239">
        <f>AL238+IF(AND($E239&lt;&gt;"",$E239&lt;=AL$2,$F239&gt;=AL$2),1,0)</f>
        <v/>
      </c>
      <c r="AM239">
        <f>AM238+IF(AND($E239&lt;&gt;"",$E239&lt;=AM$2,$F239&gt;=AM$2),1,0)</f>
        <v/>
      </c>
      <c r="AN239">
        <f>AN238+IF(AND($E239&lt;&gt;"",$E239&lt;=AN$2,$F239&gt;=AN$2),1,0)</f>
        <v/>
      </c>
      <c r="AO239">
        <f>AO238+IF(AND($E239&lt;&gt;"",$E239&lt;=AO$2,$F239&gt;=AO$2),1,0)</f>
        <v/>
      </c>
      <c r="AP239">
        <f>AP238+IF(AND($E239&lt;&gt;"",$E239&lt;=AP$2,$F239&gt;=AP$2),1,0)</f>
        <v/>
      </c>
      <c r="AQ239">
        <f>AQ238+IF(AND($E239&lt;&gt;"",$E239&lt;=AQ$2,$F239&gt;=AQ$2),1,0)</f>
        <v/>
      </c>
      <c r="AR239">
        <f>AR238+IF(AND($E239&lt;&gt;"",$E239&lt;=AR$2,$F239&gt;=AR$2),1,0)</f>
        <v/>
      </c>
      <c r="AS239">
        <f>AS238+IF(AND($E239&lt;&gt;"",$E239&lt;=AS$2,$F239&gt;=AS$2),1,0)</f>
        <v/>
      </c>
      <c r="AT239">
        <f>AT238+IF(AND($E239&lt;&gt;"",$E239&lt;=AT$2,$F239&gt;=AT$2),1,0)</f>
        <v/>
      </c>
      <c r="AU239">
        <f>AU238+IF(AND($E239&lt;&gt;"",$E239&lt;=AU$2,$F239&gt;=AU$2),1,0)</f>
        <v/>
      </c>
      <c r="AV239">
        <f>AV238+IF(AND($E239&lt;&gt;"",$E239&lt;=AV$2,$F239&gt;=AV$2),1,0)</f>
        <v/>
      </c>
      <c r="AW239">
        <f>AW238+IF(AND($E239&lt;&gt;"",$E239&lt;=AW$2,$F239&gt;=AW$2),1,0)</f>
        <v/>
      </c>
    </row>
    <row r="240">
      <c r="A240">
        <f>IF(AND(ISNUMBER(Events!$A242),ISNUMBER(Events!$B242)),MAX(0,Events!$B242-Events!$A242),0)</f>
        <v/>
      </c>
      <c r="B240">
        <f>IF(ISNUMBER(Events!$A242),DATE(YEAR($B$1)-1,MONTH(Events!$A242),DAY(Events!$A242)),"")</f>
        <v/>
      </c>
      <c r="C240">
        <f>IF(ISNUMBER(Events!$A242),DATE(YEAR($B$1),MONTH(Events!$A242),DAY(Events!$A242)),"")</f>
        <v/>
      </c>
      <c r="D240">
        <f>IF(ISNUMBER(Events!$A242),DATE(YEAR($B$2),MONTH(Events!$A242),DAY(Events!$A242)),"")</f>
        <v/>
      </c>
      <c r="E240">
        <f>IF(OR(NOT(ISNUMBER(Events!$A242)),Events!$G242="No",Calendar!$H$4="None"),"",IF(OR(Calendar!$H$4="All events",Events!$D242=Calendar!$H$4),IF(Events!$E242="Yes",IF(AND(B240&gt;=Events!$A242,B240&lt;=$B$2,B240+$A240&gt;=$B$1),B240,IF(AND(C240&gt;=Events!$A242,C240&lt;=$B$2,C240+$A240&gt;=$B$1),C240,IF(AND(D240&gt;=Events!$A242,D240&lt;=$B$2,D240+$A240&gt;=$B$1),D240,""))),IF(AND(Events!$A242&lt;=$B$2,Events!$A242+$A240&gt;=$B$1),Events!$A242,"")),""))</f>
        <v/>
      </c>
      <c r="F240">
        <f>IF(E240="","",E240+A240)</f>
        <v/>
      </c>
      <c r="G240">
        <f>IF(E240="","",IF(AND(E240&lt;=EOMONTH(Calendar!$K$2,0),F240&gt;=Calendar!$K$2),E240+237/100000,""))</f>
        <v/>
      </c>
      <c r="H240">
        <f>H239+IF(AND($E240&lt;&gt;"",$E240&lt;=H$2,$F240&gt;=H$2),1,0)</f>
        <v/>
      </c>
      <c r="I240">
        <f>I239+IF(AND($E240&lt;&gt;"",$E240&lt;=I$2,$F240&gt;=I$2),1,0)</f>
        <v/>
      </c>
      <c r="J240">
        <f>J239+IF(AND($E240&lt;&gt;"",$E240&lt;=J$2,$F240&gt;=J$2),1,0)</f>
        <v/>
      </c>
      <c r="K240">
        <f>K239+IF(AND($E240&lt;&gt;"",$E240&lt;=K$2,$F240&gt;=K$2),1,0)</f>
        <v/>
      </c>
      <c r="L240">
        <f>L239+IF(AND($E240&lt;&gt;"",$E240&lt;=L$2,$F240&gt;=L$2),1,0)</f>
        <v/>
      </c>
      <c r="M240">
        <f>M239+IF(AND($E240&lt;&gt;"",$E240&lt;=M$2,$F240&gt;=M$2),1,0)</f>
        <v/>
      </c>
      <c r="N240">
        <f>N239+IF(AND($E240&lt;&gt;"",$E240&lt;=N$2,$F240&gt;=N$2),1,0)</f>
        <v/>
      </c>
      <c r="O240">
        <f>O239+IF(AND($E240&lt;&gt;"",$E240&lt;=O$2,$F240&gt;=O$2),1,0)</f>
        <v/>
      </c>
      <c r="P240">
        <f>P239+IF(AND($E240&lt;&gt;"",$E240&lt;=P$2,$F240&gt;=P$2),1,0)</f>
        <v/>
      </c>
      <c r="Q240">
        <f>Q239+IF(AND($E240&lt;&gt;"",$E240&lt;=Q$2,$F240&gt;=Q$2),1,0)</f>
        <v/>
      </c>
      <c r="R240">
        <f>R239+IF(AND($E240&lt;&gt;"",$E240&lt;=R$2,$F240&gt;=R$2),1,0)</f>
        <v/>
      </c>
      <c r="S240">
        <f>S239+IF(AND($E240&lt;&gt;"",$E240&lt;=S$2,$F240&gt;=S$2),1,0)</f>
        <v/>
      </c>
      <c r="T240">
        <f>T239+IF(AND($E240&lt;&gt;"",$E240&lt;=T$2,$F240&gt;=T$2),1,0)</f>
        <v/>
      </c>
      <c r="U240">
        <f>U239+IF(AND($E240&lt;&gt;"",$E240&lt;=U$2,$F240&gt;=U$2),1,0)</f>
        <v/>
      </c>
      <c r="V240">
        <f>V239+IF(AND($E240&lt;&gt;"",$E240&lt;=V$2,$F240&gt;=V$2),1,0)</f>
        <v/>
      </c>
      <c r="W240">
        <f>W239+IF(AND($E240&lt;&gt;"",$E240&lt;=W$2,$F240&gt;=W$2),1,0)</f>
        <v/>
      </c>
      <c r="X240">
        <f>X239+IF(AND($E240&lt;&gt;"",$E240&lt;=X$2,$F240&gt;=X$2),1,0)</f>
        <v/>
      </c>
      <c r="Y240">
        <f>Y239+IF(AND($E240&lt;&gt;"",$E240&lt;=Y$2,$F240&gt;=Y$2),1,0)</f>
        <v/>
      </c>
      <c r="Z240">
        <f>Z239+IF(AND($E240&lt;&gt;"",$E240&lt;=Z$2,$F240&gt;=Z$2),1,0)</f>
        <v/>
      </c>
      <c r="AA240">
        <f>AA239+IF(AND($E240&lt;&gt;"",$E240&lt;=AA$2,$F240&gt;=AA$2),1,0)</f>
        <v/>
      </c>
      <c r="AB240">
        <f>AB239+IF(AND($E240&lt;&gt;"",$E240&lt;=AB$2,$F240&gt;=AB$2),1,0)</f>
        <v/>
      </c>
      <c r="AC240">
        <f>AC239+IF(AND($E240&lt;&gt;"",$E240&lt;=AC$2,$F240&gt;=AC$2),1,0)</f>
        <v/>
      </c>
      <c r="AD240">
        <f>AD239+IF(AND($E240&lt;&gt;"",$E240&lt;=AD$2,$F240&gt;=AD$2),1,0)</f>
        <v/>
      </c>
      <c r="AE240">
        <f>AE239+IF(AND($E240&lt;&gt;"",$E240&lt;=AE$2,$F240&gt;=AE$2),1,0)</f>
        <v/>
      </c>
      <c r="AF240">
        <f>AF239+IF(AND($E240&lt;&gt;"",$E240&lt;=AF$2,$F240&gt;=AF$2),1,0)</f>
        <v/>
      </c>
      <c r="AG240">
        <f>AG239+IF(AND($E240&lt;&gt;"",$E240&lt;=AG$2,$F240&gt;=AG$2),1,0)</f>
        <v/>
      </c>
      <c r="AH240">
        <f>AH239+IF(AND($E240&lt;&gt;"",$E240&lt;=AH$2,$F240&gt;=AH$2),1,0)</f>
        <v/>
      </c>
      <c r="AI240">
        <f>AI239+IF(AND($E240&lt;&gt;"",$E240&lt;=AI$2,$F240&gt;=AI$2),1,0)</f>
        <v/>
      </c>
      <c r="AJ240">
        <f>AJ239+IF(AND($E240&lt;&gt;"",$E240&lt;=AJ$2,$F240&gt;=AJ$2),1,0)</f>
        <v/>
      </c>
      <c r="AK240">
        <f>AK239+IF(AND($E240&lt;&gt;"",$E240&lt;=AK$2,$F240&gt;=AK$2),1,0)</f>
        <v/>
      </c>
      <c r="AL240">
        <f>AL239+IF(AND($E240&lt;&gt;"",$E240&lt;=AL$2,$F240&gt;=AL$2),1,0)</f>
        <v/>
      </c>
      <c r="AM240">
        <f>AM239+IF(AND($E240&lt;&gt;"",$E240&lt;=AM$2,$F240&gt;=AM$2),1,0)</f>
        <v/>
      </c>
      <c r="AN240">
        <f>AN239+IF(AND($E240&lt;&gt;"",$E240&lt;=AN$2,$F240&gt;=AN$2),1,0)</f>
        <v/>
      </c>
      <c r="AO240">
        <f>AO239+IF(AND($E240&lt;&gt;"",$E240&lt;=AO$2,$F240&gt;=AO$2),1,0)</f>
        <v/>
      </c>
      <c r="AP240">
        <f>AP239+IF(AND($E240&lt;&gt;"",$E240&lt;=AP$2,$F240&gt;=AP$2),1,0)</f>
        <v/>
      </c>
      <c r="AQ240">
        <f>AQ239+IF(AND($E240&lt;&gt;"",$E240&lt;=AQ$2,$F240&gt;=AQ$2),1,0)</f>
        <v/>
      </c>
      <c r="AR240">
        <f>AR239+IF(AND($E240&lt;&gt;"",$E240&lt;=AR$2,$F240&gt;=AR$2),1,0)</f>
        <v/>
      </c>
      <c r="AS240">
        <f>AS239+IF(AND($E240&lt;&gt;"",$E240&lt;=AS$2,$F240&gt;=AS$2),1,0)</f>
        <v/>
      </c>
      <c r="AT240">
        <f>AT239+IF(AND($E240&lt;&gt;"",$E240&lt;=AT$2,$F240&gt;=AT$2),1,0)</f>
        <v/>
      </c>
      <c r="AU240">
        <f>AU239+IF(AND($E240&lt;&gt;"",$E240&lt;=AU$2,$F240&gt;=AU$2),1,0)</f>
        <v/>
      </c>
      <c r="AV240">
        <f>AV239+IF(AND($E240&lt;&gt;"",$E240&lt;=AV$2,$F240&gt;=AV$2),1,0)</f>
        <v/>
      </c>
      <c r="AW240">
        <f>AW239+IF(AND($E240&lt;&gt;"",$E240&lt;=AW$2,$F240&gt;=AW$2),1,0)</f>
        <v/>
      </c>
    </row>
    <row r="241">
      <c r="A241">
        <f>IF(AND(ISNUMBER(Events!$A243),ISNUMBER(Events!$B243)),MAX(0,Events!$B243-Events!$A243),0)</f>
        <v/>
      </c>
      <c r="B241">
        <f>IF(ISNUMBER(Events!$A243),DATE(YEAR($B$1)-1,MONTH(Events!$A243),DAY(Events!$A243)),"")</f>
        <v/>
      </c>
      <c r="C241">
        <f>IF(ISNUMBER(Events!$A243),DATE(YEAR($B$1),MONTH(Events!$A243),DAY(Events!$A243)),"")</f>
        <v/>
      </c>
      <c r="D241">
        <f>IF(ISNUMBER(Events!$A243),DATE(YEAR($B$2),MONTH(Events!$A243),DAY(Events!$A243)),"")</f>
        <v/>
      </c>
      <c r="E241">
        <f>IF(OR(NOT(ISNUMBER(Events!$A243)),Events!$G243="No",Calendar!$H$4="None"),"",IF(OR(Calendar!$H$4="All events",Events!$D243=Calendar!$H$4),IF(Events!$E243="Yes",IF(AND(B241&gt;=Events!$A243,B241&lt;=$B$2,B241+$A241&gt;=$B$1),B241,IF(AND(C241&gt;=Events!$A243,C241&lt;=$B$2,C241+$A241&gt;=$B$1),C241,IF(AND(D241&gt;=Events!$A243,D241&lt;=$B$2,D241+$A241&gt;=$B$1),D241,""))),IF(AND(Events!$A243&lt;=$B$2,Events!$A243+$A241&gt;=$B$1),Events!$A243,"")),""))</f>
        <v/>
      </c>
      <c r="F241">
        <f>IF(E241="","",E241+A241)</f>
        <v/>
      </c>
      <c r="G241">
        <f>IF(E241="","",IF(AND(E241&lt;=EOMONTH(Calendar!$K$2,0),F241&gt;=Calendar!$K$2),E241+238/100000,""))</f>
        <v/>
      </c>
      <c r="H241">
        <f>H240+IF(AND($E241&lt;&gt;"",$E241&lt;=H$2,$F241&gt;=H$2),1,0)</f>
        <v/>
      </c>
      <c r="I241">
        <f>I240+IF(AND($E241&lt;&gt;"",$E241&lt;=I$2,$F241&gt;=I$2),1,0)</f>
        <v/>
      </c>
      <c r="J241">
        <f>J240+IF(AND($E241&lt;&gt;"",$E241&lt;=J$2,$F241&gt;=J$2),1,0)</f>
        <v/>
      </c>
      <c r="K241">
        <f>K240+IF(AND($E241&lt;&gt;"",$E241&lt;=K$2,$F241&gt;=K$2),1,0)</f>
        <v/>
      </c>
      <c r="L241">
        <f>L240+IF(AND($E241&lt;&gt;"",$E241&lt;=L$2,$F241&gt;=L$2),1,0)</f>
        <v/>
      </c>
      <c r="M241">
        <f>M240+IF(AND($E241&lt;&gt;"",$E241&lt;=M$2,$F241&gt;=M$2),1,0)</f>
        <v/>
      </c>
      <c r="N241">
        <f>N240+IF(AND($E241&lt;&gt;"",$E241&lt;=N$2,$F241&gt;=N$2),1,0)</f>
        <v/>
      </c>
      <c r="O241">
        <f>O240+IF(AND($E241&lt;&gt;"",$E241&lt;=O$2,$F241&gt;=O$2),1,0)</f>
        <v/>
      </c>
      <c r="P241">
        <f>P240+IF(AND($E241&lt;&gt;"",$E241&lt;=P$2,$F241&gt;=P$2),1,0)</f>
        <v/>
      </c>
      <c r="Q241">
        <f>Q240+IF(AND($E241&lt;&gt;"",$E241&lt;=Q$2,$F241&gt;=Q$2),1,0)</f>
        <v/>
      </c>
      <c r="R241">
        <f>R240+IF(AND($E241&lt;&gt;"",$E241&lt;=R$2,$F241&gt;=R$2),1,0)</f>
        <v/>
      </c>
      <c r="S241">
        <f>S240+IF(AND($E241&lt;&gt;"",$E241&lt;=S$2,$F241&gt;=S$2),1,0)</f>
        <v/>
      </c>
      <c r="T241">
        <f>T240+IF(AND($E241&lt;&gt;"",$E241&lt;=T$2,$F241&gt;=T$2),1,0)</f>
        <v/>
      </c>
      <c r="U241">
        <f>U240+IF(AND($E241&lt;&gt;"",$E241&lt;=U$2,$F241&gt;=U$2),1,0)</f>
        <v/>
      </c>
      <c r="V241">
        <f>V240+IF(AND($E241&lt;&gt;"",$E241&lt;=V$2,$F241&gt;=V$2),1,0)</f>
        <v/>
      </c>
      <c r="W241">
        <f>W240+IF(AND($E241&lt;&gt;"",$E241&lt;=W$2,$F241&gt;=W$2),1,0)</f>
        <v/>
      </c>
      <c r="X241">
        <f>X240+IF(AND($E241&lt;&gt;"",$E241&lt;=X$2,$F241&gt;=X$2),1,0)</f>
        <v/>
      </c>
      <c r="Y241">
        <f>Y240+IF(AND($E241&lt;&gt;"",$E241&lt;=Y$2,$F241&gt;=Y$2),1,0)</f>
        <v/>
      </c>
      <c r="Z241">
        <f>Z240+IF(AND($E241&lt;&gt;"",$E241&lt;=Z$2,$F241&gt;=Z$2),1,0)</f>
        <v/>
      </c>
      <c r="AA241">
        <f>AA240+IF(AND($E241&lt;&gt;"",$E241&lt;=AA$2,$F241&gt;=AA$2),1,0)</f>
        <v/>
      </c>
      <c r="AB241">
        <f>AB240+IF(AND($E241&lt;&gt;"",$E241&lt;=AB$2,$F241&gt;=AB$2),1,0)</f>
        <v/>
      </c>
      <c r="AC241">
        <f>AC240+IF(AND($E241&lt;&gt;"",$E241&lt;=AC$2,$F241&gt;=AC$2),1,0)</f>
        <v/>
      </c>
      <c r="AD241">
        <f>AD240+IF(AND($E241&lt;&gt;"",$E241&lt;=AD$2,$F241&gt;=AD$2),1,0)</f>
        <v/>
      </c>
      <c r="AE241">
        <f>AE240+IF(AND($E241&lt;&gt;"",$E241&lt;=AE$2,$F241&gt;=AE$2),1,0)</f>
        <v/>
      </c>
      <c r="AF241">
        <f>AF240+IF(AND($E241&lt;&gt;"",$E241&lt;=AF$2,$F241&gt;=AF$2),1,0)</f>
        <v/>
      </c>
      <c r="AG241">
        <f>AG240+IF(AND($E241&lt;&gt;"",$E241&lt;=AG$2,$F241&gt;=AG$2),1,0)</f>
        <v/>
      </c>
      <c r="AH241">
        <f>AH240+IF(AND($E241&lt;&gt;"",$E241&lt;=AH$2,$F241&gt;=AH$2),1,0)</f>
        <v/>
      </c>
      <c r="AI241">
        <f>AI240+IF(AND($E241&lt;&gt;"",$E241&lt;=AI$2,$F241&gt;=AI$2),1,0)</f>
        <v/>
      </c>
      <c r="AJ241">
        <f>AJ240+IF(AND($E241&lt;&gt;"",$E241&lt;=AJ$2,$F241&gt;=AJ$2),1,0)</f>
        <v/>
      </c>
      <c r="AK241">
        <f>AK240+IF(AND($E241&lt;&gt;"",$E241&lt;=AK$2,$F241&gt;=AK$2),1,0)</f>
        <v/>
      </c>
      <c r="AL241">
        <f>AL240+IF(AND($E241&lt;&gt;"",$E241&lt;=AL$2,$F241&gt;=AL$2),1,0)</f>
        <v/>
      </c>
      <c r="AM241">
        <f>AM240+IF(AND($E241&lt;&gt;"",$E241&lt;=AM$2,$F241&gt;=AM$2),1,0)</f>
        <v/>
      </c>
      <c r="AN241">
        <f>AN240+IF(AND($E241&lt;&gt;"",$E241&lt;=AN$2,$F241&gt;=AN$2),1,0)</f>
        <v/>
      </c>
      <c r="AO241">
        <f>AO240+IF(AND($E241&lt;&gt;"",$E241&lt;=AO$2,$F241&gt;=AO$2),1,0)</f>
        <v/>
      </c>
      <c r="AP241">
        <f>AP240+IF(AND($E241&lt;&gt;"",$E241&lt;=AP$2,$F241&gt;=AP$2),1,0)</f>
        <v/>
      </c>
      <c r="AQ241">
        <f>AQ240+IF(AND($E241&lt;&gt;"",$E241&lt;=AQ$2,$F241&gt;=AQ$2),1,0)</f>
        <v/>
      </c>
      <c r="AR241">
        <f>AR240+IF(AND($E241&lt;&gt;"",$E241&lt;=AR$2,$F241&gt;=AR$2),1,0)</f>
        <v/>
      </c>
      <c r="AS241">
        <f>AS240+IF(AND($E241&lt;&gt;"",$E241&lt;=AS$2,$F241&gt;=AS$2),1,0)</f>
        <v/>
      </c>
      <c r="AT241">
        <f>AT240+IF(AND($E241&lt;&gt;"",$E241&lt;=AT$2,$F241&gt;=AT$2),1,0)</f>
        <v/>
      </c>
      <c r="AU241">
        <f>AU240+IF(AND($E241&lt;&gt;"",$E241&lt;=AU$2,$F241&gt;=AU$2),1,0)</f>
        <v/>
      </c>
      <c r="AV241">
        <f>AV240+IF(AND($E241&lt;&gt;"",$E241&lt;=AV$2,$F241&gt;=AV$2),1,0)</f>
        <v/>
      </c>
      <c r="AW241">
        <f>AW240+IF(AND($E241&lt;&gt;"",$E241&lt;=AW$2,$F241&gt;=AW$2),1,0)</f>
        <v/>
      </c>
    </row>
    <row r="242">
      <c r="A242">
        <f>IF(AND(ISNUMBER(Events!$A244),ISNUMBER(Events!$B244)),MAX(0,Events!$B244-Events!$A244),0)</f>
        <v/>
      </c>
      <c r="B242">
        <f>IF(ISNUMBER(Events!$A244),DATE(YEAR($B$1)-1,MONTH(Events!$A244),DAY(Events!$A244)),"")</f>
        <v/>
      </c>
      <c r="C242">
        <f>IF(ISNUMBER(Events!$A244),DATE(YEAR($B$1),MONTH(Events!$A244),DAY(Events!$A244)),"")</f>
        <v/>
      </c>
      <c r="D242">
        <f>IF(ISNUMBER(Events!$A244),DATE(YEAR($B$2),MONTH(Events!$A244),DAY(Events!$A244)),"")</f>
        <v/>
      </c>
      <c r="E242">
        <f>IF(OR(NOT(ISNUMBER(Events!$A244)),Events!$G244="No",Calendar!$H$4="None"),"",IF(OR(Calendar!$H$4="All events",Events!$D244=Calendar!$H$4),IF(Events!$E244="Yes",IF(AND(B242&gt;=Events!$A244,B242&lt;=$B$2,B242+$A242&gt;=$B$1),B242,IF(AND(C242&gt;=Events!$A244,C242&lt;=$B$2,C242+$A242&gt;=$B$1),C242,IF(AND(D242&gt;=Events!$A244,D242&lt;=$B$2,D242+$A242&gt;=$B$1),D242,""))),IF(AND(Events!$A244&lt;=$B$2,Events!$A244+$A242&gt;=$B$1),Events!$A244,"")),""))</f>
        <v/>
      </c>
      <c r="F242">
        <f>IF(E242="","",E242+A242)</f>
        <v/>
      </c>
      <c r="G242">
        <f>IF(E242="","",IF(AND(E242&lt;=EOMONTH(Calendar!$K$2,0),F242&gt;=Calendar!$K$2),E242+239/100000,""))</f>
        <v/>
      </c>
      <c r="H242">
        <f>H241+IF(AND($E242&lt;&gt;"",$E242&lt;=H$2,$F242&gt;=H$2),1,0)</f>
        <v/>
      </c>
      <c r="I242">
        <f>I241+IF(AND($E242&lt;&gt;"",$E242&lt;=I$2,$F242&gt;=I$2),1,0)</f>
        <v/>
      </c>
      <c r="J242">
        <f>J241+IF(AND($E242&lt;&gt;"",$E242&lt;=J$2,$F242&gt;=J$2),1,0)</f>
        <v/>
      </c>
      <c r="K242">
        <f>K241+IF(AND($E242&lt;&gt;"",$E242&lt;=K$2,$F242&gt;=K$2),1,0)</f>
        <v/>
      </c>
      <c r="L242">
        <f>L241+IF(AND($E242&lt;&gt;"",$E242&lt;=L$2,$F242&gt;=L$2),1,0)</f>
        <v/>
      </c>
      <c r="M242">
        <f>M241+IF(AND($E242&lt;&gt;"",$E242&lt;=M$2,$F242&gt;=M$2),1,0)</f>
        <v/>
      </c>
      <c r="N242">
        <f>N241+IF(AND($E242&lt;&gt;"",$E242&lt;=N$2,$F242&gt;=N$2),1,0)</f>
        <v/>
      </c>
      <c r="O242">
        <f>O241+IF(AND($E242&lt;&gt;"",$E242&lt;=O$2,$F242&gt;=O$2),1,0)</f>
        <v/>
      </c>
      <c r="P242">
        <f>P241+IF(AND($E242&lt;&gt;"",$E242&lt;=P$2,$F242&gt;=P$2),1,0)</f>
        <v/>
      </c>
      <c r="Q242">
        <f>Q241+IF(AND($E242&lt;&gt;"",$E242&lt;=Q$2,$F242&gt;=Q$2),1,0)</f>
        <v/>
      </c>
      <c r="R242">
        <f>R241+IF(AND($E242&lt;&gt;"",$E242&lt;=R$2,$F242&gt;=R$2),1,0)</f>
        <v/>
      </c>
      <c r="S242">
        <f>S241+IF(AND($E242&lt;&gt;"",$E242&lt;=S$2,$F242&gt;=S$2),1,0)</f>
        <v/>
      </c>
      <c r="T242">
        <f>T241+IF(AND($E242&lt;&gt;"",$E242&lt;=T$2,$F242&gt;=T$2),1,0)</f>
        <v/>
      </c>
      <c r="U242">
        <f>U241+IF(AND($E242&lt;&gt;"",$E242&lt;=U$2,$F242&gt;=U$2),1,0)</f>
        <v/>
      </c>
      <c r="V242">
        <f>V241+IF(AND($E242&lt;&gt;"",$E242&lt;=V$2,$F242&gt;=V$2),1,0)</f>
        <v/>
      </c>
      <c r="W242">
        <f>W241+IF(AND($E242&lt;&gt;"",$E242&lt;=W$2,$F242&gt;=W$2),1,0)</f>
        <v/>
      </c>
      <c r="X242">
        <f>X241+IF(AND($E242&lt;&gt;"",$E242&lt;=X$2,$F242&gt;=X$2),1,0)</f>
        <v/>
      </c>
      <c r="Y242">
        <f>Y241+IF(AND($E242&lt;&gt;"",$E242&lt;=Y$2,$F242&gt;=Y$2),1,0)</f>
        <v/>
      </c>
      <c r="Z242">
        <f>Z241+IF(AND($E242&lt;&gt;"",$E242&lt;=Z$2,$F242&gt;=Z$2),1,0)</f>
        <v/>
      </c>
      <c r="AA242">
        <f>AA241+IF(AND($E242&lt;&gt;"",$E242&lt;=AA$2,$F242&gt;=AA$2),1,0)</f>
        <v/>
      </c>
      <c r="AB242">
        <f>AB241+IF(AND($E242&lt;&gt;"",$E242&lt;=AB$2,$F242&gt;=AB$2),1,0)</f>
        <v/>
      </c>
      <c r="AC242">
        <f>AC241+IF(AND($E242&lt;&gt;"",$E242&lt;=AC$2,$F242&gt;=AC$2),1,0)</f>
        <v/>
      </c>
      <c r="AD242">
        <f>AD241+IF(AND($E242&lt;&gt;"",$E242&lt;=AD$2,$F242&gt;=AD$2),1,0)</f>
        <v/>
      </c>
      <c r="AE242">
        <f>AE241+IF(AND($E242&lt;&gt;"",$E242&lt;=AE$2,$F242&gt;=AE$2),1,0)</f>
        <v/>
      </c>
      <c r="AF242">
        <f>AF241+IF(AND($E242&lt;&gt;"",$E242&lt;=AF$2,$F242&gt;=AF$2),1,0)</f>
        <v/>
      </c>
      <c r="AG242">
        <f>AG241+IF(AND($E242&lt;&gt;"",$E242&lt;=AG$2,$F242&gt;=AG$2),1,0)</f>
        <v/>
      </c>
      <c r="AH242">
        <f>AH241+IF(AND($E242&lt;&gt;"",$E242&lt;=AH$2,$F242&gt;=AH$2),1,0)</f>
        <v/>
      </c>
      <c r="AI242">
        <f>AI241+IF(AND($E242&lt;&gt;"",$E242&lt;=AI$2,$F242&gt;=AI$2),1,0)</f>
        <v/>
      </c>
      <c r="AJ242">
        <f>AJ241+IF(AND($E242&lt;&gt;"",$E242&lt;=AJ$2,$F242&gt;=AJ$2),1,0)</f>
        <v/>
      </c>
      <c r="AK242">
        <f>AK241+IF(AND($E242&lt;&gt;"",$E242&lt;=AK$2,$F242&gt;=AK$2),1,0)</f>
        <v/>
      </c>
      <c r="AL242">
        <f>AL241+IF(AND($E242&lt;&gt;"",$E242&lt;=AL$2,$F242&gt;=AL$2),1,0)</f>
        <v/>
      </c>
      <c r="AM242">
        <f>AM241+IF(AND($E242&lt;&gt;"",$E242&lt;=AM$2,$F242&gt;=AM$2),1,0)</f>
        <v/>
      </c>
      <c r="AN242">
        <f>AN241+IF(AND($E242&lt;&gt;"",$E242&lt;=AN$2,$F242&gt;=AN$2),1,0)</f>
        <v/>
      </c>
      <c r="AO242">
        <f>AO241+IF(AND($E242&lt;&gt;"",$E242&lt;=AO$2,$F242&gt;=AO$2),1,0)</f>
        <v/>
      </c>
      <c r="AP242">
        <f>AP241+IF(AND($E242&lt;&gt;"",$E242&lt;=AP$2,$F242&gt;=AP$2),1,0)</f>
        <v/>
      </c>
      <c r="AQ242">
        <f>AQ241+IF(AND($E242&lt;&gt;"",$E242&lt;=AQ$2,$F242&gt;=AQ$2),1,0)</f>
        <v/>
      </c>
      <c r="AR242">
        <f>AR241+IF(AND($E242&lt;&gt;"",$E242&lt;=AR$2,$F242&gt;=AR$2),1,0)</f>
        <v/>
      </c>
      <c r="AS242">
        <f>AS241+IF(AND($E242&lt;&gt;"",$E242&lt;=AS$2,$F242&gt;=AS$2),1,0)</f>
        <v/>
      </c>
      <c r="AT242">
        <f>AT241+IF(AND($E242&lt;&gt;"",$E242&lt;=AT$2,$F242&gt;=AT$2),1,0)</f>
        <v/>
      </c>
      <c r="AU242">
        <f>AU241+IF(AND($E242&lt;&gt;"",$E242&lt;=AU$2,$F242&gt;=AU$2),1,0)</f>
        <v/>
      </c>
      <c r="AV242">
        <f>AV241+IF(AND($E242&lt;&gt;"",$E242&lt;=AV$2,$F242&gt;=AV$2),1,0)</f>
        <v/>
      </c>
      <c r="AW242">
        <f>AW241+IF(AND($E242&lt;&gt;"",$E242&lt;=AW$2,$F242&gt;=AW$2),1,0)</f>
        <v/>
      </c>
    </row>
    <row r="243">
      <c r="A243">
        <f>IF(AND(ISNUMBER(Events!$A245),ISNUMBER(Events!$B245)),MAX(0,Events!$B245-Events!$A245),0)</f>
        <v/>
      </c>
      <c r="B243">
        <f>IF(ISNUMBER(Events!$A245),DATE(YEAR($B$1)-1,MONTH(Events!$A245),DAY(Events!$A245)),"")</f>
        <v/>
      </c>
      <c r="C243">
        <f>IF(ISNUMBER(Events!$A245),DATE(YEAR($B$1),MONTH(Events!$A245),DAY(Events!$A245)),"")</f>
        <v/>
      </c>
      <c r="D243">
        <f>IF(ISNUMBER(Events!$A245),DATE(YEAR($B$2),MONTH(Events!$A245),DAY(Events!$A245)),"")</f>
        <v/>
      </c>
      <c r="E243">
        <f>IF(OR(NOT(ISNUMBER(Events!$A245)),Events!$G245="No",Calendar!$H$4="None"),"",IF(OR(Calendar!$H$4="All events",Events!$D245=Calendar!$H$4),IF(Events!$E245="Yes",IF(AND(B243&gt;=Events!$A245,B243&lt;=$B$2,B243+$A243&gt;=$B$1),B243,IF(AND(C243&gt;=Events!$A245,C243&lt;=$B$2,C243+$A243&gt;=$B$1),C243,IF(AND(D243&gt;=Events!$A245,D243&lt;=$B$2,D243+$A243&gt;=$B$1),D243,""))),IF(AND(Events!$A245&lt;=$B$2,Events!$A245+$A243&gt;=$B$1),Events!$A245,"")),""))</f>
        <v/>
      </c>
      <c r="F243">
        <f>IF(E243="","",E243+A243)</f>
        <v/>
      </c>
      <c r="G243">
        <f>IF(E243="","",IF(AND(E243&lt;=EOMONTH(Calendar!$K$2,0),F243&gt;=Calendar!$K$2),E243+240/100000,""))</f>
        <v/>
      </c>
      <c r="H243">
        <f>H242+IF(AND($E243&lt;&gt;"",$E243&lt;=H$2,$F243&gt;=H$2),1,0)</f>
        <v/>
      </c>
      <c r="I243">
        <f>I242+IF(AND($E243&lt;&gt;"",$E243&lt;=I$2,$F243&gt;=I$2),1,0)</f>
        <v/>
      </c>
      <c r="J243">
        <f>J242+IF(AND($E243&lt;&gt;"",$E243&lt;=J$2,$F243&gt;=J$2),1,0)</f>
        <v/>
      </c>
      <c r="K243">
        <f>K242+IF(AND($E243&lt;&gt;"",$E243&lt;=K$2,$F243&gt;=K$2),1,0)</f>
        <v/>
      </c>
      <c r="L243">
        <f>L242+IF(AND($E243&lt;&gt;"",$E243&lt;=L$2,$F243&gt;=L$2),1,0)</f>
        <v/>
      </c>
      <c r="M243">
        <f>M242+IF(AND($E243&lt;&gt;"",$E243&lt;=M$2,$F243&gt;=M$2),1,0)</f>
        <v/>
      </c>
      <c r="N243">
        <f>N242+IF(AND($E243&lt;&gt;"",$E243&lt;=N$2,$F243&gt;=N$2),1,0)</f>
        <v/>
      </c>
      <c r="O243">
        <f>O242+IF(AND($E243&lt;&gt;"",$E243&lt;=O$2,$F243&gt;=O$2),1,0)</f>
        <v/>
      </c>
      <c r="P243">
        <f>P242+IF(AND($E243&lt;&gt;"",$E243&lt;=P$2,$F243&gt;=P$2),1,0)</f>
        <v/>
      </c>
      <c r="Q243">
        <f>Q242+IF(AND($E243&lt;&gt;"",$E243&lt;=Q$2,$F243&gt;=Q$2),1,0)</f>
        <v/>
      </c>
      <c r="R243">
        <f>R242+IF(AND($E243&lt;&gt;"",$E243&lt;=R$2,$F243&gt;=R$2),1,0)</f>
        <v/>
      </c>
      <c r="S243">
        <f>S242+IF(AND($E243&lt;&gt;"",$E243&lt;=S$2,$F243&gt;=S$2),1,0)</f>
        <v/>
      </c>
      <c r="T243">
        <f>T242+IF(AND($E243&lt;&gt;"",$E243&lt;=T$2,$F243&gt;=T$2),1,0)</f>
        <v/>
      </c>
      <c r="U243">
        <f>U242+IF(AND($E243&lt;&gt;"",$E243&lt;=U$2,$F243&gt;=U$2),1,0)</f>
        <v/>
      </c>
      <c r="V243">
        <f>V242+IF(AND($E243&lt;&gt;"",$E243&lt;=V$2,$F243&gt;=V$2),1,0)</f>
        <v/>
      </c>
      <c r="W243">
        <f>W242+IF(AND($E243&lt;&gt;"",$E243&lt;=W$2,$F243&gt;=W$2),1,0)</f>
        <v/>
      </c>
      <c r="X243">
        <f>X242+IF(AND($E243&lt;&gt;"",$E243&lt;=X$2,$F243&gt;=X$2),1,0)</f>
        <v/>
      </c>
      <c r="Y243">
        <f>Y242+IF(AND($E243&lt;&gt;"",$E243&lt;=Y$2,$F243&gt;=Y$2),1,0)</f>
        <v/>
      </c>
      <c r="Z243">
        <f>Z242+IF(AND($E243&lt;&gt;"",$E243&lt;=Z$2,$F243&gt;=Z$2),1,0)</f>
        <v/>
      </c>
      <c r="AA243">
        <f>AA242+IF(AND($E243&lt;&gt;"",$E243&lt;=AA$2,$F243&gt;=AA$2),1,0)</f>
        <v/>
      </c>
      <c r="AB243">
        <f>AB242+IF(AND($E243&lt;&gt;"",$E243&lt;=AB$2,$F243&gt;=AB$2),1,0)</f>
        <v/>
      </c>
      <c r="AC243">
        <f>AC242+IF(AND($E243&lt;&gt;"",$E243&lt;=AC$2,$F243&gt;=AC$2),1,0)</f>
        <v/>
      </c>
      <c r="AD243">
        <f>AD242+IF(AND($E243&lt;&gt;"",$E243&lt;=AD$2,$F243&gt;=AD$2),1,0)</f>
        <v/>
      </c>
      <c r="AE243">
        <f>AE242+IF(AND($E243&lt;&gt;"",$E243&lt;=AE$2,$F243&gt;=AE$2),1,0)</f>
        <v/>
      </c>
      <c r="AF243">
        <f>AF242+IF(AND($E243&lt;&gt;"",$E243&lt;=AF$2,$F243&gt;=AF$2),1,0)</f>
        <v/>
      </c>
      <c r="AG243">
        <f>AG242+IF(AND($E243&lt;&gt;"",$E243&lt;=AG$2,$F243&gt;=AG$2),1,0)</f>
        <v/>
      </c>
      <c r="AH243">
        <f>AH242+IF(AND($E243&lt;&gt;"",$E243&lt;=AH$2,$F243&gt;=AH$2),1,0)</f>
        <v/>
      </c>
      <c r="AI243">
        <f>AI242+IF(AND($E243&lt;&gt;"",$E243&lt;=AI$2,$F243&gt;=AI$2),1,0)</f>
        <v/>
      </c>
      <c r="AJ243">
        <f>AJ242+IF(AND($E243&lt;&gt;"",$E243&lt;=AJ$2,$F243&gt;=AJ$2),1,0)</f>
        <v/>
      </c>
      <c r="AK243">
        <f>AK242+IF(AND($E243&lt;&gt;"",$E243&lt;=AK$2,$F243&gt;=AK$2),1,0)</f>
        <v/>
      </c>
      <c r="AL243">
        <f>AL242+IF(AND($E243&lt;&gt;"",$E243&lt;=AL$2,$F243&gt;=AL$2),1,0)</f>
        <v/>
      </c>
      <c r="AM243">
        <f>AM242+IF(AND($E243&lt;&gt;"",$E243&lt;=AM$2,$F243&gt;=AM$2),1,0)</f>
        <v/>
      </c>
      <c r="AN243">
        <f>AN242+IF(AND($E243&lt;&gt;"",$E243&lt;=AN$2,$F243&gt;=AN$2),1,0)</f>
        <v/>
      </c>
      <c r="AO243">
        <f>AO242+IF(AND($E243&lt;&gt;"",$E243&lt;=AO$2,$F243&gt;=AO$2),1,0)</f>
        <v/>
      </c>
      <c r="AP243">
        <f>AP242+IF(AND($E243&lt;&gt;"",$E243&lt;=AP$2,$F243&gt;=AP$2),1,0)</f>
        <v/>
      </c>
      <c r="AQ243">
        <f>AQ242+IF(AND($E243&lt;&gt;"",$E243&lt;=AQ$2,$F243&gt;=AQ$2),1,0)</f>
        <v/>
      </c>
      <c r="AR243">
        <f>AR242+IF(AND($E243&lt;&gt;"",$E243&lt;=AR$2,$F243&gt;=AR$2),1,0)</f>
        <v/>
      </c>
      <c r="AS243">
        <f>AS242+IF(AND($E243&lt;&gt;"",$E243&lt;=AS$2,$F243&gt;=AS$2),1,0)</f>
        <v/>
      </c>
      <c r="AT243">
        <f>AT242+IF(AND($E243&lt;&gt;"",$E243&lt;=AT$2,$F243&gt;=AT$2),1,0)</f>
        <v/>
      </c>
      <c r="AU243">
        <f>AU242+IF(AND($E243&lt;&gt;"",$E243&lt;=AU$2,$F243&gt;=AU$2),1,0)</f>
        <v/>
      </c>
      <c r="AV243">
        <f>AV242+IF(AND($E243&lt;&gt;"",$E243&lt;=AV$2,$F243&gt;=AV$2),1,0)</f>
        <v/>
      </c>
      <c r="AW243">
        <f>AW242+IF(AND($E243&lt;&gt;"",$E243&lt;=AW$2,$F243&gt;=AW$2),1,0)</f>
        <v/>
      </c>
    </row>
    <row r="244">
      <c r="A244">
        <f>IF(AND(ISNUMBER(Events!$A246),ISNUMBER(Events!$B246)),MAX(0,Events!$B246-Events!$A246),0)</f>
        <v/>
      </c>
      <c r="B244">
        <f>IF(ISNUMBER(Events!$A246),DATE(YEAR($B$1)-1,MONTH(Events!$A246),DAY(Events!$A246)),"")</f>
        <v/>
      </c>
      <c r="C244">
        <f>IF(ISNUMBER(Events!$A246),DATE(YEAR($B$1),MONTH(Events!$A246),DAY(Events!$A246)),"")</f>
        <v/>
      </c>
      <c r="D244">
        <f>IF(ISNUMBER(Events!$A246),DATE(YEAR($B$2),MONTH(Events!$A246),DAY(Events!$A246)),"")</f>
        <v/>
      </c>
      <c r="E244">
        <f>IF(OR(NOT(ISNUMBER(Events!$A246)),Events!$G246="No",Calendar!$H$4="None"),"",IF(OR(Calendar!$H$4="All events",Events!$D246=Calendar!$H$4),IF(Events!$E246="Yes",IF(AND(B244&gt;=Events!$A246,B244&lt;=$B$2,B244+$A244&gt;=$B$1),B244,IF(AND(C244&gt;=Events!$A246,C244&lt;=$B$2,C244+$A244&gt;=$B$1),C244,IF(AND(D244&gt;=Events!$A246,D244&lt;=$B$2,D244+$A244&gt;=$B$1),D244,""))),IF(AND(Events!$A246&lt;=$B$2,Events!$A246+$A244&gt;=$B$1),Events!$A246,"")),""))</f>
        <v/>
      </c>
      <c r="F244">
        <f>IF(E244="","",E244+A244)</f>
        <v/>
      </c>
      <c r="G244">
        <f>IF(E244="","",IF(AND(E244&lt;=EOMONTH(Calendar!$K$2,0),F244&gt;=Calendar!$K$2),E244+241/100000,""))</f>
        <v/>
      </c>
      <c r="H244">
        <f>H243+IF(AND($E244&lt;&gt;"",$E244&lt;=H$2,$F244&gt;=H$2),1,0)</f>
        <v/>
      </c>
      <c r="I244">
        <f>I243+IF(AND($E244&lt;&gt;"",$E244&lt;=I$2,$F244&gt;=I$2),1,0)</f>
        <v/>
      </c>
      <c r="J244">
        <f>J243+IF(AND($E244&lt;&gt;"",$E244&lt;=J$2,$F244&gt;=J$2),1,0)</f>
        <v/>
      </c>
      <c r="K244">
        <f>K243+IF(AND($E244&lt;&gt;"",$E244&lt;=K$2,$F244&gt;=K$2),1,0)</f>
        <v/>
      </c>
      <c r="L244">
        <f>L243+IF(AND($E244&lt;&gt;"",$E244&lt;=L$2,$F244&gt;=L$2),1,0)</f>
        <v/>
      </c>
      <c r="M244">
        <f>M243+IF(AND($E244&lt;&gt;"",$E244&lt;=M$2,$F244&gt;=M$2),1,0)</f>
        <v/>
      </c>
      <c r="N244">
        <f>N243+IF(AND($E244&lt;&gt;"",$E244&lt;=N$2,$F244&gt;=N$2),1,0)</f>
        <v/>
      </c>
      <c r="O244">
        <f>O243+IF(AND($E244&lt;&gt;"",$E244&lt;=O$2,$F244&gt;=O$2),1,0)</f>
        <v/>
      </c>
      <c r="P244">
        <f>P243+IF(AND($E244&lt;&gt;"",$E244&lt;=P$2,$F244&gt;=P$2),1,0)</f>
        <v/>
      </c>
      <c r="Q244">
        <f>Q243+IF(AND($E244&lt;&gt;"",$E244&lt;=Q$2,$F244&gt;=Q$2),1,0)</f>
        <v/>
      </c>
      <c r="R244">
        <f>R243+IF(AND($E244&lt;&gt;"",$E244&lt;=R$2,$F244&gt;=R$2),1,0)</f>
        <v/>
      </c>
      <c r="S244">
        <f>S243+IF(AND($E244&lt;&gt;"",$E244&lt;=S$2,$F244&gt;=S$2),1,0)</f>
        <v/>
      </c>
      <c r="T244">
        <f>T243+IF(AND($E244&lt;&gt;"",$E244&lt;=T$2,$F244&gt;=T$2),1,0)</f>
        <v/>
      </c>
      <c r="U244">
        <f>U243+IF(AND($E244&lt;&gt;"",$E244&lt;=U$2,$F244&gt;=U$2),1,0)</f>
        <v/>
      </c>
      <c r="V244">
        <f>V243+IF(AND($E244&lt;&gt;"",$E244&lt;=V$2,$F244&gt;=V$2),1,0)</f>
        <v/>
      </c>
      <c r="W244">
        <f>W243+IF(AND($E244&lt;&gt;"",$E244&lt;=W$2,$F244&gt;=W$2),1,0)</f>
        <v/>
      </c>
      <c r="X244">
        <f>X243+IF(AND($E244&lt;&gt;"",$E244&lt;=X$2,$F244&gt;=X$2),1,0)</f>
        <v/>
      </c>
      <c r="Y244">
        <f>Y243+IF(AND($E244&lt;&gt;"",$E244&lt;=Y$2,$F244&gt;=Y$2),1,0)</f>
        <v/>
      </c>
      <c r="Z244">
        <f>Z243+IF(AND($E244&lt;&gt;"",$E244&lt;=Z$2,$F244&gt;=Z$2),1,0)</f>
        <v/>
      </c>
      <c r="AA244">
        <f>AA243+IF(AND($E244&lt;&gt;"",$E244&lt;=AA$2,$F244&gt;=AA$2),1,0)</f>
        <v/>
      </c>
      <c r="AB244">
        <f>AB243+IF(AND($E244&lt;&gt;"",$E244&lt;=AB$2,$F244&gt;=AB$2),1,0)</f>
        <v/>
      </c>
      <c r="AC244">
        <f>AC243+IF(AND($E244&lt;&gt;"",$E244&lt;=AC$2,$F244&gt;=AC$2),1,0)</f>
        <v/>
      </c>
      <c r="AD244">
        <f>AD243+IF(AND($E244&lt;&gt;"",$E244&lt;=AD$2,$F244&gt;=AD$2),1,0)</f>
        <v/>
      </c>
      <c r="AE244">
        <f>AE243+IF(AND($E244&lt;&gt;"",$E244&lt;=AE$2,$F244&gt;=AE$2),1,0)</f>
        <v/>
      </c>
      <c r="AF244">
        <f>AF243+IF(AND($E244&lt;&gt;"",$E244&lt;=AF$2,$F244&gt;=AF$2),1,0)</f>
        <v/>
      </c>
      <c r="AG244">
        <f>AG243+IF(AND($E244&lt;&gt;"",$E244&lt;=AG$2,$F244&gt;=AG$2),1,0)</f>
        <v/>
      </c>
      <c r="AH244">
        <f>AH243+IF(AND($E244&lt;&gt;"",$E244&lt;=AH$2,$F244&gt;=AH$2),1,0)</f>
        <v/>
      </c>
      <c r="AI244">
        <f>AI243+IF(AND($E244&lt;&gt;"",$E244&lt;=AI$2,$F244&gt;=AI$2),1,0)</f>
        <v/>
      </c>
      <c r="AJ244">
        <f>AJ243+IF(AND($E244&lt;&gt;"",$E244&lt;=AJ$2,$F244&gt;=AJ$2),1,0)</f>
        <v/>
      </c>
      <c r="AK244">
        <f>AK243+IF(AND($E244&lt;&gt;"",$E244&lt;=AK$2,$F244&gt;=AK$2),1,0)</f>
        <v/>
      </c>
      <c r="AL244">
        <f>AL243+IF(AND($E244&lt;&gt;"",$E244&lt;=AL$2,$F244&gt;=AL$2),1,0)</f>
        <v/>
      </c>
      <c r="AM244">
        <f>AM243+IF(AND($E244&lt;&gt;"",$E244&lt;=AM$2,$F244&gt;=AM$2),1,0)</f>
        <v/>
      </c>
      <c r="AN244">
        <f>AN243+IF(AND($E244&lt;&gt;"",$E244&lt;=AN$2,$F244&gt;=AN$2),1,0)</f>
        <v/>
      </c>
      <c r="AO244">
        <f>AO243+IF(AND($E244&lt;&gt;"",$E244&lt;=AO$2,$F244&gt;=AO$2),1,0)</f>
        <v/>
      </c>
      <c r="AP244">
        <f>AP243+IF(AND($E244&lt;&gt;"",$E244&lt;=AP$2,$F244&gt;=AP$2),1,0)</f>
        <v/>
      </c>
      <c r="AQ244">
        <f>AQ243+IF(AND($E244&lt;&gt;"",$E244&lt;=AQ$2,$F244&gt;=AQ$2),1,0)</f>
        <v/>
      </c>
      <c r="AR244">
        <f>AR243+IF(AND($E244&lt;&gt;"",$E244&lt;=AR$2,$F244&gt;=AR$2),1,0)</f>
        <v/>
      </c>
      <c r="AS244">
        <f>AS243+IF(AND($E244&lt;&gt;"",$E244&lt;=AS$2,$F244&gt;=AS$2),1,0)</f>
        <v/>
      </c>
      <c r="AT244">
        <f>AT243+IF(AND($E244&lt;&gt;"",$E244&lt;=AT$2,$F244&gt;=AT$2),1,0)</f>
        <v/>
      </c>
      <c r="AU244">
        <f>AU243+IF(AND($E244&lt;&gt;"",$E244&lt;=AU$2,$F244&gt;=AU$2),1,0)</f>
        <v/>
      </c>
      <c r="AV244">
        <f>AV243+IF(AND($E244&lt;&gt;"",$E244&lt;=AV$2,$F244&gt;=AV$2),1,0)</f>
        <v/>
      </c>
      <c r="AW244">
        <f>AW243+IF(AND($E244&lt;&gt;"",$E244&lt;=AW$2,$F244&gt;=AW$2),1,0)</f>
        <v/>
      </c>
    </row>
    <row r="245">
      <c r="A245">
        <f>IF(AND(ISNUMBER(Events!$A247),ISNUMBER(Events!$B247)),MAX(0,Events!$B247-Events!$A247),0)</f>
        <v/>
      </c>
      <c r="B245">
        <f>IF(ISNUMBER(Events!$A247),DATE(YEAR($B$1)-1,MONTH(Events!$A247),DAY(Events!$A247)),"")</f>
        <v/>
      </c>
      <c r="C245">
        <f>IF(ISNUMBER(Events!$A247),DATE(YEAR($B$1),MONTH(Events!$A247),DAY(Events!$A247)),"")</f>
        <v/>
      </c>
      <c r="D245">
        <f>IF(ISNUMBER(Events!$A247),DATE(YEAR($B$2),MONTH(Events!$A247),DAY(Events!$A247)),"")</f>
        <v/>
      </c>
      <c r="E245">
        <f>IF(OR(NOT(ISNUMBER(Events!$A247)),Events!$G247="No",Calendar!$H$4="None"),"",IF(OR(Calendar!$H$4="All events",Events!$D247=Calendar!$H$4),IF(Events!$E247="Yes",IF(AND(B245&gt;=Events!$A247,B245&lt;=$B$2,B245+$A245&gt;=$B$1),B245,IF(AND(C245&gt;=Events!$A247,C245&lt;=$B$2,C245+$A245&gt;=$B$1),C245,IF(AND(D245&gt;=Events!$A247,D245&lt;=$B$2,D245+$A245&gt;=$B$1),D245,""))),IF(AND(Events!$A247&lt;=$B$2,Events!$A247+$A245&gt;=$B$1),Events!$A247,"")),""))</f>
        <v/>
      </c>
      <c r="F245">
        <f>IF(E245="","",E245+A245)</f>
        <v/>
      </c>
      <c r="G245">
        <f>IF(E245="","",IF(AND(E245&lt;=EOMONTH(Calendar!$K$2,0),F245&gt;=Calendar!$K$2),E245+242/100000,""))</f>
        <v/>
      </c>
      <c r="H245">
        <f>H244+IF(AND($E245&lt;&gt;"",$E245&lt;=H$2,$F245&gt;=H$2),1,0)</f>
        <v/>
      </c>
      <c r="I245">
        <f>I244+IF(AND($E245&lt;&gt;"",$E245&lt;=I$2,$F245&gt;=I$2),1,0)</f>
        <v/>
      </c>
      <c r="J245">
        <f>J244+IF(AND($E245&lt;&gt;"",$E245&lt;=J$2,$F245&gt;=J$2),1,0)</f>
        <v/>
      </c>
      <c r="K245">
        <f>K244+IF(AND($E245&lt;&gt;"",$E245&lt;=K$2,$F245&gt;=K$2),1,0)</f>
        <v/>
      </c>
      <c r="L245">
        <f>L244+IF(AND($E245&lt;&gt;"",$E245&lt;=L$2,$F245&gt;=L$2),1,0)</f>
        <v/>
      </c>
      <c r="M245">
        <f>M244+IF(AND($E245&lt;&gt;"",$E245&lt;=M$2,$F245&gt;=M$2),1,0)</f>
        <v/>
      </c>
      <c r="N245">
        <f>N244+IF(AND($E245&lt;&gt;"",$E245&lt;=N$2,$F245&gt;=N$2),1,0)</f>
        <v/>
      </c>
      <c r="O245">
        <f>O244+IF(AND($E245&lt;&gt;"",$E245&lt;=O$2,$F245&gt;=O$2),1,0)</f>
        <v/>
      </c>
      <c r="P245">
        <f>P244+IF(AND($E245&lt;&gt;"",$E245&lt;=P$2,$F245&gt;=P$2),1,0)</f>
        <v/>
      </c>
      <c r="Q245">
        <f>Q244+IF(AND($E245&lt;&gt;"",$E245&lt;=Q$2,$F245&gt;=Q$2),1,0)</f>
        <v/>
      </c>
      <c r="R245">
        <f>R244+IF(AND($E245&lt;&gt;"",$E245&lt;=R$2,$F245&gt;=R$2),1,0)</f>
        <v/>
      </c>
      <c r="S245">
        <f>S244+IF(AND($E245&lt;&gt;"",$E245&lt;=S$2,$F245&gt;=S$2),1,0)</f>
        <v/>
      </c>
      <c r="T245">
        <f>T244+IF(AND($E245&lt;&gt;"",$E245&lt;=T$2,$F245&gt;=T$2),1,0)</f>
        <v/>
      </c>
      <c r="U245">
        <f>U244+IF(AND($E245&lt;&gt;"",$E245&lt;=U$2,$F245&gt;=U$2),1,0)</f>
        <v/>
      </c>
      <c r="V245">
        <f>V244+IF(AND($E245&lt;&gt;"",$E245&lt;=V$2,$F245&gt;=V$2),1,0)</f>
        <v/>
      </c>
      <c r="W245">
        <f>W244+IF(AND($E245&lt;&gt;"",$E245&lt;=W$2,$F245&gt;=W$2),1,0)</f>
        <v/>
      </c>
      <c r="X245">
        <f>X244+IF(AND($E245&lt;&gt;"",$E245&lt;=X$2,$F245&gt;=X$2),1,0)</f>
        <v/>
      </c>
      <c r="Y245">
        <f>Y244+IF(AND($E245&lt;&gt;"",$E245&lt;=Y$2,$F245&gt;=Y$2),1,0)</f>
        <v/>
      </c>
      <c r="Z245">
        <f>Z244+IF(AND($E245&lt;&gt;"",$E245&lt;=Z$2,$F245&gt;=Z$2),1,0)</f>
        <v/>
      </c>
      <c r="AA245">
        <f>AA244+IF(AND($E245&lt;&gt;"",$E245&lt;=AA$2,$F245&gt;=AA$2),1,0)</f>
        <v/>
      </c>
      <c r="AB245">
        <f>AB244+IF(AND($E245&lt;&gt;"",$E245&lt;=AB$2,$F245&gt;=AB$2),1,0)</f>
        <v/>
      </c>
      <c r="AC245">
        <f>AC244+IF(AND($E245&lt;&gt;"",$E245&lt;=AC$2,$F245&gt;=AC$2),1,0)</f>
        <v/>
      </c>
      <c r="AD245">
        <f>AD244+IF(AND($E245&lt;&gt;"",$E245&lt;=AD$2,$F245&gt;=AD$2),1,0)</f>
        <v/>
      </c>
      <c r="AE245">
        <f>AE244+IF(AND($E245&lt;&gt;"",$E245&lt;=AE$2,$F245&gt;=AE$2),1,0)</f>
        <v/>
      </c>
      <c r="AF245">
        <f>AF244+IF(AND($E245&lt;&gt;"",$E245&lt;=AF$2,$F245&gt;=AF$2),1,0)</f>
        <v/>
      </c>
      <c r="AG245">
        <f>AG244+IF(AND($E245&lt;&gt;"",$E245&lt;=AG$2,$F245&gt;=AG$2),1,0)</f>
        <v/>
      </c>
      <c r="AH245">
        <f>AH244+IF(AND($E245&lt;&gt;"",$E245&lt;=AH$2,$F245&gt;=AH$2),1,0)</f>
        <v/>
      </c>
      <c r="AI245">
        <f>AI244+IF(AND($E245&lt;&gt;"",$E245&lt;=AI$2,$F245&gt;=AI$2),1,0)</f>
        <v/>
      </c>
      <c r="AJ245">
        <f>AJ244+IF(AND($E245&lt;&gt;"",$E245&lt;=AJ$2,$F245&gt;=AJ$2),1,0)</f>
        <v/>
      </c>
      <c r="AK245">
        <f>AK244+IF(AND($E245&lt;&gt;"",$E245&lt;=AK$2,$F245&gt;=AK$2),1,0)</f>
        <v/>
      </c>
      <c r="AL245">
        <f>AL244+IF(AND($E245&lt;&gt;"",$E245&lt;=AL$2,$F245&gt;=AL$2),1,0)</f>
        <v/>
      </c>
      <c r="AM245">
        <f>AM244+IF(AND($E245&lt;&gt;"",$E245&lt;=AM$2,$F245&gt;=AM$2),1,0)</f>
        <v/>
      </c>
      <c r="AN245">
        <f>AN244+IF(AND($E245&lt;&gt;"",$E245&lt;=AN$2,$F245&gt;=AN$2),1,0)</f>
        <v/>
      </c>
      <c r="AO245">
        <f>AO244+IF(AND($E245&lt;&gt;"",$E245&lt;=AO$2,$F245&gt;=AO$2),1,0)</f>
        <v/>
      </c>
      <c r="AP245">
        <f>AP244+IF(AND($E245&lt;&gt;"",$E245&lt;=AP$2,$F245&gt;=AP$2),1,0)</f>
        <v/>
      </c>
      <c r="AQ245">
        <f>AQ244+IF(AND($E245&lt;&gt;"",$E245&lt;=AQ$2,$F245&gt;=AQ$2),1,0)</f>
        <v/>
      </c>
      <c r="AR245">
        <f>AR244+IF(AND($E245&lt;&gt;"",$E245&lt;=AR$2,$F245&gt;=AR$2),1,0)</f>
        <v/>
      </c>
      <c r="AS245">
        <f>AS244+IF(AND($E245&lt;&gt;"",$E245&lt;=AS$2,$F245&gt;=AS$2),1,0)</f>
        <v/>
      </c>
      <c r="AT245">
        <f>AT244+IF(AND($E245&lt;&gt;"",$E245&lt;=AT$2,$F245&gt;=AT$2),1,0)</f>
        <v/>
      </c>
      <c r="AU245">
        <f>AU244+IF(AND($E245&lt;&gt;"",$E245&lt;=AU$2,$F245&gt;=AU$2),1,0)</f>
        <v/>
      </c>
      <c r="AV245">
        <f>AV244+IF(AND($E245&lt;&gt;"",$E245&lt;=AV$2,$F245&gt;=AV$2),1,0)</f>
        <v/>
      </c>
      <c r="AW245">
        <f>AW244+IF(AND($E245&lt;&gt;"",$E245&lt;=AW$2,$F245&gt;=AW$2),1,0)</f>
        <v/>
      </c>
    </row>
    <row r="246">
      <c r="A246">
        <f>IF(AND(ISNUMBER(Events!$A248),ISNUMBER(Events!$B248)),MAX(0,Events!$B248-Events!$A248),0)</f>
        <v/>
      </c>
      <c r="B246">
        <f>IF(ISNUMBER(Events!$A248),DATE(YEAR($B$1)-1,MONTH(Events!$A248),DAY(Events!$A248)),"")</f>
        <v/>
      </c>
      <c r="C246">
        <f>IF(ISNUMBER(Events!$A248),DATE(YEAR($B$1),MONTH(Events!$A248),DAY(Events!$A248)),"")</f>
        <v/>
      </c>
      <c r="D246">
        <f>IF(ISNUMBER(Events!$A248),DATE(YEAR($B$2),MONTH(Events!$A248),DAY(Events!$A248)),"")</f>
        <v/>
      </c>
      <c r="E246">
        <f>IF(OR(NOT(ISNUMBER(Events!$A248)),Events!$G248="No",Calendar!$H$4="None"),"",IF(OR(Calendar!$H$4="All events",Events!$D248=Calendar!$H$4),IF(Events!$E248="Yes",IF(AND(B246&gt;=Events!$A248,B246&lt;=$B$2,B246+$A246&gt;=$B$1),B246,IF(AND(C246&gt;=Events!$A248,C246&lt;=$B$2,C246+$A246&gt;=$B$1),C246,IF(AND(D246&gt;=Events!$A248,D246&lt;=$B$2,D246+$A246&gt;=$B$1),D246,""))),IF(AND(Events!$A248&lt;=$B$2,Events!$A248+$A246&gt;=$B$1),Events!$A248,"")),""))</f>
        <v/>
      </c>
      <c r="F246">
        <f>IF(E246="","",E246+A246)</f>
        <v/>
      </c>
      <c r="G246">
        <f>IF(E246="","",IF(AND(E246&lt;=EOMONTH(Calendar!$K$2,0),F246&gt;=Calendar!$K$2),E246+243/100000,""))</f>
        <v/>
      </c>
      <c r="H246">
        <f>H245+IF(AND($E246&lt;&gt;"",$E246&lt;=H$2,$F246&gt;=H$2),1,0)</f>
        <v/>
      </c>
      <c r="I246">
        <f>I245+IF(AND($E246&lt;&gt;"",$E246&lt;=I$2,$F246&gt;=I$2),1,0)</f>
        <v/>
      </c>
      <c r="J246">
        <f>J245+IF(AND($E246&lt;&gt;"",$E246&lt;=J$2,$F246&gt;=J$2),1,0)</f>
        <v/>
      </c>
      <c r="K246">
        <f>K245+IF(AND($E246&lt;&gt;"",$E246&lt;=K$2,$F246&gt;=K$2),1,0)</f>
        <v/>
      </c>
      <c r="L246">
        <f>L245+IF(AND($E246&lt;&gt;"",$E246&lt;=L$2,$F246&gt;=L$2),1,0)</f>
        <v/>
      </c>
      <c r="M246">
        <f>M245+IF(AND($E246&lt;&gt;"",$E246&lt;=M$2,$F246&gt;=M$2),1,0)</f>
        <v/>
      </c>
      <c r="N246">
        <f>N245+IF(AND($E246&lt;&gt;"",$E246&lt;=N$2,$F246&gt;=N$2),1,0)</f>
        <v/>
      </c>
      <c r="O246">
        <f>O245+IF(AND($E246&lt;&gt;"",$E246&lt;=O$2,$F246&gt;=O$2),1,0)</f>
        <v/>
      </c>
      <c r="P246">
        <f>P245+IF(AND($E246&lt;&gt;"",$E246&lt;=P$2,$F246&gt;=P$2),1,0)</f>
        <v/>
      </c>
      <c r="Q246">
        <f>Q245+IF(AND($E246&lt;&gt;"",$E246&lt;=Q$2,$F246&gt;=Q$2),1,0)</f>
        <v/>
      </c>
      <c r="R246">
        <f>R245+IF(AND($E246&lt;&gt;"",$E246&lt;=R$2,$F246&gt;=R$2),1,0)</f>
        <v/>
      </c>
      <c r="S246">
        <f>S245+IF(AND($E246&lt;&gt;"",$E246&lt;=S$2,$F246&gt;=S$2),1,0)</f>
        <v/>
      </c>
      <c r="T246">
        <f>T245+IF(AND($E246&lt;&gt;"",$E246&lt;=T$2,$F246&gt;=T$2),1,0)</f>
        <v/>
      </c>
      <c r="U246">
        <f>U245+IF(AND($E246&lt;&gt;"",$E246&lt;=U$2,$F246&gt;=U$2),1,0)</f>
        <v/>
      </c>
      <c r="V246">
        <f>V245+IF(AND($E246&lt;&gt;"",$E246&lt;=V$2,$F246&gt;=V$2),1,0)</f>
        <v/>
      </c>
      <c r="W246">
        <f>W245+IF(AND($E246&lt;&gt;"",$E246&lt;=W$2,$F246&gt;=W$2),1,0)</f>
        <v/>
      </c>
      <c r="X246">
        <f>X245+IF(AND($E246&lt;&gt;"",$E246&lt;=X$2,$F246&gt;=X$2),1,0)</f>
        <v/>
      </c>
      <c r="Y246">
        <f>Y245+IF(AND($E246&lt;&gt;"",$E246&lt;=Y$2,$F246&gt;=Y$2),1,0)</f>
        <v/>
      </c>
      <c r="Z246">
        <f>Z245+IF(AND($E246&lt;&gt;"",$E246&lt;=Z$2,$F246&gt;=Z$2),1,0)</f>
        <v/>
      </c>
      <c r="AA246">
        <f>AA245+IF(AND($E246&lt;&gt;"",$E246&lt;=AA$2,$F246&gt;=AA$2),1,0)</f>
        <v/>
      </c>
      <c r="AB246">
        <f>AB245+IF(AND($E246&lt;&gt;"",$E246&lt;=AB$2,$F246&gt;=AB$2),1,0)</f>
        <v/>
      </c>
      <c r="AC246">
        <f>AC245+IF(AND($E246&lt;&gt;"",$E246&lt;=AC$2,$F246&gt;=AC$2),1,0)</f>
        <v/>
      </c>
      <c r="AD246">
        <f>AD245+IF(AND($E246&lt;&gt;"",$E246&lt;=AD$2,$F246&gt;=AD$2),1,0)</f>
        <v/>
      </c>
      <c r="AE246">
        <f>AE245+IF(AND($E246&lt;&gt;"",$E246&lt;=AE$2,$F246&gt;=AE$2),1,0)</f>
        <v/>
      </c>
      <c r="AF246">
        <f>AF245+IF(AND($E246&lt;&gt;"",$E246&lt;=AF$2,$F246&gt;=AF$2),1,0)</f>
        <v/>
      </c>
      <c r="AG246">
        <f>AG245+IF(AND($E246&lt;&gt;"",$E246&lt;=AG$2,$F246&gt;=AG$2),1,0)</f>
        <v/>
      </c>
      <c r="AH246">
        <f>AH245+IF(AND($E246&lt;&gt;"",$E246&lt;=AH$2,$F246&gt;=AH$2),1,0)</f>
        <v/>
      </c>
      <c r="AI246">
        <f>AI245+IF(AND($E246&lt;&gt;"",$E246&lt;=AI$2,$F246&gt;=AI$2),1,0)</f>
        <v/>
      </c>
      <c r="AJ246">
        <f>AJ245+IF(AND($E246&lt;&gt;"",$E246&lt;=AJ$2,$F246&gt;=AJ$2),1,0)</f>
        <v/>
      </c>
      <c r="AK246">
        <f>AK245+IF(AND($E246&lt;&gt;"",$E246&lt;=AK$2,$F246&gt;=AK$2),1,0)</f>
        <v/>
      </c>
      <c r="AL246">
        <f>AL245+IF(AND($E246&lt;&gt;"",$E246&lt;=AL$2,$F246&gt;=AL$2),1,0)</f>
        <v/>
      </c>
      <c r="AM246">
        <f>AM245+IF(AND($E246&lt;&gt;"",$E246&lt;=AM$2,$F246&gt;=AM$2),1,0)</f>
        <v/>
      </c>
      <c r="AN246">
        <f>AN245+IF(AND($E246&lt;&gt;"",$E246&lt;=AN$2,$F246&gt;=AN$2),1,0)</f>
        <v/>
      </c>
      <c r="AO246">
        <f>AO245+IF(AND($E246&lt;&gt;"",$E246&lt;=AO$2,$F246&gt;=AO$2),1,0)</f>
        <v/>
      </c>
      <c r="AP246">
        <f>AP245+IF(AND($E246&lt;&gt;"",$E246&lt;=AP$2,$F246&gt;=AP$2),1,0)</f>
        <v/>
      </c>
      <c r="AQ246">
        <f>AQ245+IF(AND($E246&lt;&gt;"",$E246&lt;=AQ$2,$F246&gt;=AQ$2),1,0)</f>
        <v/>
      </c>
      <c r="AR246">
        <f>AR245+IF(AND($E246&lt;&gt;"",$E246&lt;=AR$2,$F246&gt;=AR$2),1,0)</f>
        <v/>
      </c>
      <c r="AS246">
        <f>AS245+IF(AND($E246&lt;&gt;"",$E246&lt;=AS$2,$F246&gt;=AS$2),1,0)</f>
        <v/>
      </c>
      <c r="AT246">
        <f>AT245+IF(AND($E246&lt;&gt;"",$E246&lt;=AT$2,$F246&gt;=AT$2),1,0)</f>
        <v/>
      </c>
      <c r="AU246">
        <f>AU245+IF(AND($E246&lt;&gt;"",$E246&lt;=AU$2,$F246&gt;=AU$2),1,0)</f>
        <v/>
      </c>
      <c r="AV246">
        <f>AV245+IF(AND($E246&lt;&gt;"",$E246&lt;=AV$2,$F246&gt;=AV$2),1,0)</f>
        <v/>
      </c>
      <c r="AW246">
        <f>AW245+IF(AND($E246&lt;&gt;"",$E246&lt;=AW$2,$F246&gt;=AW$2),1,0)</f>
        <v/>
      </c>
    </row>
    <row r="247">
      <c r="A247">
        <f>IF(AND(ISNUMBER(Events!$A249),ISNUMBER(Events!$B249)),MAX(0,Events!$B249-Events!$A249),0)</f>
        <v/>
      </c>
      <c r="B247">
        <f>IF(ISNUMBER(Events!$A249),DATE(YEAR($B$1)-1,MONTH(Events!$A249),DAY(Events!$A249)),"")</f>
        <v/>
      </c>
      <c r="C247">
        <f>IF(ISNUMBER(Events!$A249),DATE(YEAR($B$1),MONTH(Events!$A249),DAY(Events!$A249)),"")</f>
        <v/>
      </c>
      <c r="D247">
        <f>IF(ISNUMBER(Events!$A249),DATE(YEAR($B$2),MONTH(Events!$A249),DAY(Events!$A249)),"")</f>
        <v/>
      </c>
      <c r="E247">
        <f>IF(OR(NOT(ISNUMBER(Events!$A249)),Events!$G249="No",Calendar!$H$4="None"),"",IF(OR(Calendar!$H$4="All events",Events!$D249=Calendar!$H$4),IF(Events!$E249="Yes",IF(AND(B247&gt;=Events!$A249,B247&lt;=$B$2,B247+$A247&gt;=$B$1),B247,IF(AND(C247&gt;=Events!$A249,C247&lt;=$B$2,C247+$A247&gt;=$B$1),C247,IF(AND(D247&gt;=Events!$A249,D247&lt;=$B$2,D247+$A247&gt;=$B$1),D247,""))),IF(AND(Events!$A249&lt;=$B$2,Events!$A249+$A247&gt;=$B$1),Events!$A249,"")),""))</f>
        <v/>
      </c>
      <c r="F247">
        <f>IF(E247="","",E247+A247)</f>
        <v/>
      </c>
      <c r="G247">
        <f>IF(E247="","",IF(AND(E247&lt;=EOMONTH(Calendar!$K$2,0),F247&gt;=Calendar!$K$2),E247+244/100000,""))</f>
        <v/>
      </c>
      <c r="H247">
        <f>H246+IF(AND($E247&lt;&gt;"",$E247&lt;=H$2,$F247&gt;=H$2),1,0)</f>
        <v/>
      </c>
      <c r="I247">
        <f>I246+IF(AND($E247&lt;&gt;"",$E247&lt;=I$2,$F247&gt;=I$2),1,0)</f>
        <v/>
      </c>
      <c r="J247">
        <f>J246+IF(AND($E247&lt;&gt;"",$E247&lt;=J$2,$F247&gt;=J$2),1,0)</f>
        <v/>
      </c>
      <c r="K247">
        <f>K246+IF(AND($E247&lt;&gt;"",$E247&lt;=K$2,$F247&gt;=K$2),1,0)</f>
        <v/>
      </c>
      <c r="L247">
        <f>L246+IF(AND($E247&lt;&gt;"",$E247&lt;=L$2,$F247&gt;=L$2),1,0)</f>
        <v/>
      </c>
      <c r="M247">
        <f>M246+IF(AND($E247&lt;&gt;"",$E247&lt;=M$2,$F247&gt;=M$2),1,0)</f>
        <v/>
      </c>
      <c r="N247">
        <f>N246+IF(AND($E247&lt;&gt;"",$E247&lt;=N$2,$F247&gt;=N$2),1,0)</f>
        <v/>
      </c>
      <c r="O247">
        <f>O246+IF(AND($E247&lt;&gt;"",$E247&lt;=O$2,$F247&gt;=O$2),1,0)</f>
        <v/>
      </c>
      <c r="P247">
        <f>P246+IF(AND($E247&lt;&gt;"",$E247&lt;=P$2,$F247&gt;=P$2),1,0)</f>
        <v/>
      </c>
      <c r="Q247">
        <f>Q246+IF(AND($E247&lt;&gt;"",$E247&lt;=Q$2,$F247&gt;=Q$2),1,0)</f>
        <v/>
      </c>
      <c r="R247">
        <f>R246+IF(AND($E247&lt;&gt;"",$E247&lt;=R$2,$F247&gt;=R$2),1,0)</f>
        <v/>
      </c>
      <c r="S247">
        <f>S246+IF(AND($E247&lt;&gt;"",$E247&lt;=S$2,$F247&gt;=S$2),1,0)</f>
        <v/>
      </c>
      <c r="T247">
        <f>T246+IF(AND($E247&lt;&gt;"",$E247&lt;=T$2,$F247&gt;=T$2),1,0)</f>
        <v/>
      </c>
      <c r="U247">
        <f>U246+IF(AND($E247&lt;&gt;"",$E247&lt;=U$2,$F247&gt;=U$2),1,0)</f>
        <v/>
      </c>
      <c r="V247">
        <f>V246+IF(AND($E247&lt;&gt;"",$E247&lt;=V$2,$F247&gt;=V$2),1,0)</f>
        <v/>
      </c>
      <c r="W247">
        <f>W246+IF(AND($E247&lt;&gt;"",$E247&lt;=W$2,$F247&gt;=W$2),1,0)</f>
        <v/>
      </c>
      <c r="X247">
        <f>X246+IF(AND($E247&lt;&gt;"",$E247&lt;=X$2,$F247&gt;=X$2),1,0)</f>
        <v/>
      </c>
      <c r="Y247">
        <f>Y246+IF(AND($E247&lt;&gt;"",$E247&lt;=Y$2,$F247&gt;=Y$2),1,0)</f>
        <v/>
      </c>
      <c r="Z247">
        <f>Z246+IF(AND($E247&lt;&gt;"",$E247&lt;=Z$2,$F247&gt;=Z$2),1,0)</f>
        <v/>
      </c>
      <c r="AA247">
        <f>AA246+IF(AND($E247&lt;&gt;"",$E247&lt;=AA$2,$F247&gt;=AA$2),1,0)</f>
        <v/>
      </c>
      <c r="AB247">
        <f>AB246+IF(AND($E247&lt;&gt;"",$E247&lt;=AB$2,$F247&gt;=AB$2),1,0)</f>
        <v/>
      </c>
      <c r="AC247">
        <f>AC246+IF(AND($E247&lt;&gt;"",$E247&lt;=AC$2,$F247&gt;=AC$2),1,0)</f>
        <v/>
      </c>
      <c r="AD247">
        <f>AD246+IF(AND($E247&lt;&gt;"",$E247&lt;=AD$2,$F247&gt;=AD$2),1,0)</f>
        <v/>
      </c>
      <c r="AE247">
        <f>AE246+IF(AND($E247&lt;&gt;"",$E247&lt;=AE$2,$F247&gt;=AE$2),1,0)</f>
        <v/>
      </c>
      <c r="AF247">
        <f>AF246+IF(AND($E247&lt;&gt;"",$E247&lt;=AF$2,$F247&gt;=AF$2),1,0)</f>
        <v/>
      </c>
      <c r="AG247">
        <f>AG246+IF(AND($E247&lt;&gt;"",$E247&lt;=AG$2,$F247&gt;=AG$2),1,0)</f>
        <v/>
      </c>
      <c r="AH247">
        <f>AH246+IF(AND($E247&lt;&gt;"",$E247&lt;=AH$2,$F247&gt;=AH$2),1,0)</f>
        <v/>
      </c>
      <c r="AI247">
        <f>AI246+IF(AND($E247&lt;&gt;"",$E247&lt;=AI$2,$F247&gt;=AI$2),1,0)</f>
        <v/>
      </c>
      <c r="AJ247">
        <f>AJ246+IF(AND($E247&lt;&gt;"",$E247&lt;=AJ$2,$F247&gt;=AJ$2),1,0)</f>
        <v/>
      </c>
      <c r="AK247">
        <f>AK246+IF(AND($E247&lt;&gt;"",$E247&lt;=AK$2,$F247&gt;=AK$2),1,0)</f>
        <v/>
      </c>
      <c r="AL247">
        <f>AL246+IF(AND($E247&lt;&gt;"",$E247&lt;=AL$2,$F247&gt;=AL$2),1,0)</f>
        <v/>
      </c>
      <c r="AM247">
        <f>AM246+IF(AND($E247&lt;&gt;"",$E247&lt;=AM$2,$F247&gt;=AM$2),1,0)</f>
        <v/>
      </c>
      <c r="AN247">
        <f>AN246+IF(AND($E247&lt;&gt;"",$E247&lt;=AN$2,$F247&gt;=AN$2),1,0)</f>
        <v/>
      </c>
      <c r="AO247">
        <f>AO246+IF(AND($E247&lt;&gt;"",$E247&lt;=AO$2,$F247&gt;=AO$2),1,0)</f>
        <v/>
      </c>
      <c r="AP247">
        <f>AP246+IF(AND($E247&lt;&gt;"",$E247&lt;=AP$2,$F247&gt;=AP$2),1,0)</f>
        <v/>
      </c>
      <c r="AQ247">
        <f>AQ246+IF(AND($E247&lt;&gt;"",$E247&lt;=AQ$2,$F247&gt;=AQ$2),1,0)</f>
        <v/>
      </c>
      <c r="AR247">
        <f>AR246+IF(AND($E247&lt;&gt;"",$E247&lt;=AR$2,$F247&gt;=AR$2),1,0)</f>
        <v/>
      </c>
      <c r="AS247">
        <f>AS246+IF(AND($E247&lt;&gt;"",$E247&lt;=AS$2,$F247&gt;=AS$2),1,0)</f>
        <v/>
      </c>
      <c r="AT247">
        <f>AT246+IF(AND($E247&lt;&gt;"",$E247&lt;=AT$2,$F247&gt;=AT$2),1,0)</f>
        <v/>
      </c>
      <c r="AU247">
        <f>AU246+IF(AND($E247&lt;&gt;"",$E247&lt;=AU$2,$F247&gt;=AU$2),1,0)</f>
        <v/>
      </c>
      <c r="AV247">
        <f>AV246+IF(AND($E247&lt;&gt;"",$E247&lt;=AV$2,$F247&gt;=AV$2),1,0)</f>
        <v/>
      </c>
      <c r="AW247">
        <f>AW246+IF(AND($E247&lt;&gt;"",$E247&lt;=AW$2,$F247&gt;=AW$2),1,0)</f>
        <v/>
      </c>
    </row>
    <row r="248">
      <c r="A248">
        <f>IF(AND(ISNUMBER(Events!$A250),ISNUMBER(Events!$B250)),MAX(0,Events!$B250-Events!$A250),0)</f>
        <v/>
      </c>
      <c r="B248">
        <f>IF(ISNUMBER(Events!$A250),DATE(YEAR($B$1)-1,MONTH(Events!$A250),DAY(Events!$A250)),"")</f>
        <v/>
      </c>
      <c r="C248">
        <f>IF(ISNUMBER(Events!$A250),DATE(YEAR($B$1),MONTH(Events!$A250),DAY(Events!$A250)),"")</f>
        <v/>
      </c>
      <c r="D248">
        <f>IF(ISNUMBER(Events!$A250),DATE(YEAR($B$2),MONTH(Events!$A250),DAY(Events!$A250)),"")</f>
        <v/>
      </c>
      <c r="E248">
        <f>IF(OR(NOT(ISNUMBER(Events!$A250)),Events!$G250="No",Calendar!$H$4="None"),"",IF(OR(Calendar!$H$4="All events",Events!$D250=Calendar!$H$4),IF(Events!$E250="Yes",IF(AND(B248&gt;=Events!$A250,B248&lt;=$B$2,B248+$A248&gt;=$B$1),B248,IF(AND(C248&gt;=Events!$A250,C248&lt;=$B$2,C248+$A248&gt;=$B$1),C248,IF(AND(D248&gt;=Events!$A250,D248&lt;=$B$2,D248+$A248&gt;=$B$1),D248,""))),IF(AND(Events!$A250&lt;=$B$2,Events!$A250+$A248&gt;=$B$1),Events!$A250,"")),""))</f>
        <v/>
      </c>
      <c r="F248">
        <f>IF(E248="","",E248+A248)</f>
        <v/>
      </c>
      <c r="G248">
        <f>IF(E248="","",IF(AND(E248&lt;=EOMONTH(Calendar!$K$2,0),F248&gt;=Calendar!$K$2),E248+245/100000,""))</f>
        <v/>
      </c>
      <c r="H248">
        <f>H247+IF(AND($E248&lt;&gt;"",$E248&lt;=H$2,$F248&gt;=H$2),1,0)</f>
        <v/>
      </c>
      <c r="I248">
        <f>I247+IF(AND($E248&lt;&gt;"",$E248&lt;=I$2,$F248&gt;=I$2),1,0)</f>
        <v/>
      </c>
      <c r="J248">
        <f>J247+IF(AND($E248&lt;&gt;"",$E248&lt;=J$2,$F248&gt;=J$2),1,0)</f>
        <v/>
      </c>
      <c r="K248">
        <f>K247+IF(AND($E248&lt;&gt;"",$E248&lt;=K$2,$F248&gt;=K$2),1,0)</f>
        <v/>
      </c>
      <c r="L248">
        <f>L247+IF(AND($E248&lt;&gt;"",$E248&lt;=L$2,$F248&gt;=L$2),1,0)</f>
        <v/>
      </c>
      <c r="M248">
        <f>M247+IF(AND($E248&lt;&gt;"",$E248&lt;=M$2,$F248&gt;=M$2),1,0)</f>
        <v/>
      </c>
      <c r="N248">
        <f>N247+IF(AND($E248&lt;&gt;"",$E248&lt;=N$2,$F248&gt;=N$2),1,0)</f>
        <v/>
      </c>
      <c r="O248">
        <f>O247+IF(AND($E248&lt;&gt;"",$E248&lt;=O$2,$F248&gt;=O$2),1,0)</f>
        <v/>
      </c>
      <c r="P248">
        <f>P247+IF(AND($E248&lt;&gt;"",$E248&lt;=P$2,$F248&gt;=P$2),1,0)</f>
        <v/>
      </c>
      <c r="Q248">
        <f>Q247+IF(AND($E248&lt;&gt;"",$E248&lt;=Q$2,$F248&gt;=Q$2),1,0)</f>
        <v/>
      </c>
      <c r="R248">
        <f>R247+IF(AND($E248&lt;&gt;"",$E248&lt;=R$2,$F248&gt;=R$2),1,0)</f>
        <v/>
      </c>
      <c r="S248">
        <f>S247+IF(AND($E248&lt;&gt;"",$E248&lt;=S$2,$F248&gt;=S$2),1,0)</f>
        <v/>
      </c>
      <c r="T248">
        <f>T247+IF(AND($E248&lt;&gt;"",$E248&lt;=T$2,$F248&gt;=T$2),1,0)</f>
        <v/>
      </c>
      <c r="U248">
        <f>U247+IF(AND($E248&lt;&gt;"",$E248&lt;=U$2,$F248&gt;=U$2),1,0)</f>
        <v/>
      </c>
      <c r="V248">
        <f>V247+IF(AND($E248&lt;&gt;"",$E248&lt;=V$2,$F248&gt;=V$2),1,0)</f>
        <v/>
      </c>
      <c r="W248">
        <f>W247+IF(AND($E248&lt;&gt;"",$E248&lt;=W$2,$F248&gt;=W$2),1,0)</f>
        <v/>
      </c>
      <c r="X248">
        <f>X247+IF(AND($E248&lt;&gt;"",$E248&lt;=X$2,$F248&gt;=X$2),1,0)</f>
        <v/>
      </c>
      <c r="Y248">
        <f>Y247+IF(AND($E248&lt;&gt;"",$E248&lt;=Y$2,$F248&gt;=Y$2),1,0)</f>
        <v/>
      </c>
      <c r="Z248">
        <f>Z247+IF(AND($E248&lt;&gt;"",$E248&lt;=Z$2,$F248&gt;=Z$2),1,0)</f>
        <v/>
      </c>
      <c r="AA248">
        <f>AA247+IF(AND($E248&lt;&gt;"",$E248&lt;=AA$2,$F248&gt;=AA$2),1,0)</f>
        <v/>
      </c>
      <c r="AB248">
        <f>AB247+IF(AND($E248&lt;&gt;"",$E248&lt;=AB$2,$F248&gt;=AB$2),1,0)</f>
        <v/>
      </c>
      <c r="AC248">
        <f>AC247+IF(AND($E248&lt;&gt;"",$E248&lt;=AC$2,$F248&gt;=AC$2),1,0)</f>
        <v/>
      </c>
      <c r="AD248">
        <f>AD247+IF(AND($E248&lt;&gt;"",$E248&lt;=AD$2,$F248&gt;=AD$2),1,0)</f>
        <v/>
      </c>
      <c r="AE248">
        <f>AE247+IF(AND($E248&lt;&gt;"",$E248&lt;=AE$2,$F248&gt;=AE$2),1,0)</f>
        <v/>
      </c>
      <c r="AF248">
        <f>AF247+IF(AND($E248&lt;&gt;"",$E248&lt;=AF$2,$F248&gt;=AF$2),1,0)</f>
        <v/>
      </c>
      <c r="AG248">
        <f>AG247+IF(AND($E248&lt;&gt;"",$E248&lt;=AG$2,$F248&gt;=AG$2),1,0)</f>
        <v/>
      </c>
      <c r="AH248">
        <f>AH247+IF(AND($E248&lt;&gt;"",$E248&lt;=AH$2,$F248&gt;=AH$2),1,0)</f>
        <v/>
      </c>
      <c r="AI248">
        <f>AI247+IF(AND($E248&lt;&gt;"",$E248&lt;=AI$2,$F248&gt;=AI$2),1,0)</f>
        <v/>
      </c>
      <c r="AJ248">
        <f>AJ247+IF(AND($E248&lt;&gt;"",$E248&lt;=AJ$2,$F248&gt;=AJ$2),1,0)</f>
        <v/>
      </c>
      <c r="AK248">
        <f>AK247+IF(AND($E248&lt;&gt;"",$E248&lt;=AK$2,$F248&gt;=AK$2),1,0)</f>
        <v/>
      </c>
      <c r="AL248">
        <f>AL247+IF(AND($E248&lt;&gt;"",$E248&lt;=AL$2,$F248&gt;=AL$2),1,0)</f>
        <v/>
      </c>
      <c r="AM248">
        <f>AM247+IF(AND($E248&lt;&gt;"",$E248&lt;=AM$2,$F248&gt;=AM$2),1,0)</f>
        <v/>
      </c>
      <c r="AN248">
        <f>AN247+IF(AND($E248&lt;&gt;"",$E248&lt;=AN$2,$F248&gt;=AN$2),1,0)</f>
        <v/>
      </c>
      <c r="AO248">
        <f>AO247+IF(AND($E248&lt;&gt;"",$E248&lt;=AO$2,$F248&gt;=AO$2),1,0)</f>
        <v/>
      </c>
      <c r="AP248">
        <f>AP247+IF(AND($E248&lt;&gt;"",$E248&lt;=AP$2,$F248&gt;=AP$2),1,0)</f>
        <v/>
      </c>
      <c r="AQ248">
        <f>AQ247+IF(AND($E248&lt;&gt;"",$E248&lt;=AQ$2,$F248&gt;=AQ$2),1,0)</f>
        <v/>
      </c>
      <c r="AR248">
        <f>AR247+IF(AND($E248&lt;&gt;"",$E248&lt;=AR$2,$F248&gt;=AR$2),1,0)</f>
        <v/>
      </c>
      <c r="AS248">
        <f>AS247+IF(AND($E248&lt;&gt;"",$E248&lt;=AS$2,$F248&gt;=AS$2),1,0)</f>
        <v/>
      </c>
      <c r="AT248">
        <f>AT247+IF(AND($E248&lt;&gt;"",$E248&lt;=AT$2,$F248&gt;=AT$2),1,0)</f>
        <v/>
      </c>
      <c r="AU248">
        <f>AU247+IF(AND($E248&lt;&gt;"",$E248&lt;=AU$2,$F248&gt;=AU$2),1,0)</f>
        <v/>
      </c>
      <c r="AV248">
        <f>AV247+IF(AND($E248&lt;&gt;"",$E248&lt;=AV$2,$F248&gt;=AV$2),1,0)</f>
        <v/>
      </c>
      <c r="AW248">
        <f>AW247+IF(AND($E248&lt;&gt;"",$E248&lt;=AW$2,$F248&gt;=AW$2),1,0)</f>
        <v/>
      </c>
    </row>
    <row r="249">
      <c r="A249">
        <f>IF(AND(ISNUMBER(Events!$A251),ISNUMBER(Events!$B251)),MAX(0,Events!$B251-Events!$A251),0)</f>
        <v/>
      </c>
      <c r="B249">
        <f>IF(ISNUMBER(Events!$A251),DATE(YEAR($B$1)-1,MONTH(Events!$A251),DAY(Events!$A251)),"")</f>
        <v/>
      </c>
      <c r="C249">
        <f>IF(ISNUMBER(Events!$A251),DATE(YEAR($B$1),MONTH(Events!$A251),DAY(Events!$A251)),"")</f>
        <v/>
      </c>
      <c r="D249">
        <f>IF(ISNUMBER(Events!$A251),DATE(YEAR($B$2),MONTH(Events!$A251),DAY(Events!$A251)),"")</f>
        <v/>
      </c>
      <c r="E249">
        <f>IF(OR(NOT(ISNUMBER(Events!$A251)),Events!$G251="No",Calendar!$H$4="None"),"",IF(OR(Calendar!$H$4="All events",Events!$D251=Calendar!$H$4),IF(Events!$E251="Yes",IF(AND(B249&gt;=Events!$A251,B249&lt;=$B$2,B249+$A249&gt;=$B$1),B249,IF(AND(C249&gt;=Events!$A251,C249&lt;=$B$2,C249+$A249&gt;=$B$1),C249,IF(AND(D249&gt;=Events!$A251,D249&lt;=$B$2,D249+$A249&gt;=$B$1),D249,""))),IF(AND(Events!$A251&lt;=$B$2,Events!$A251+$A249&gt;=$B$1),Events!$A251,"")),""))</f>
        <v/>
      </c>
      <c r="F249">
        <f>IF(E249="","",E249+A249)</f>
        <v/>
      </c>
      <c r="G249">
        <f>IF(E249="","",IF(AND(E249&lt;=EOMONTH(Calendar!$K$2,0),F249&gt;=Calendar!$K$2),E249+246/100000,""))</f>
        <v/>
      </c>
      <c r="H249">
        <f>H248+IF(AND($E249&lt;&gt;"",$E249&lt;=H$2,$F249&gt;=H$2),1,0)</f>
        <v/>
      </c>
      <c r="I249">
        <f>I248+IF(AND($E249&lt;&gt;"",$E249&lt;=I$2,$F249&gt;=I$2),1,0)</f>
        <v/>
      </c>
      <c r="J249">
        <f>J248+IF(AND($E249&lt;&gt;"",$E249&lt;=J$2,$F249&gt;=J$2),1,0)</f>
        <v/>
      </c>
      <c r="K249">
        <f>K248+IF(AND($E249&lt;&gt;"",$E249&lt;=K$2,$F249&gt;=K$2),1,0)</f>
        <v/>
      </c>
      <c r="L249">
        <f>L248+IF(AND($E249&lt;&gt;"",$E249&lt;=L$2,$F249&gt;=L$2),1,0)</f>
        <v/>
      </c>
      <c r="M249">
        <f>M248+IF(AND($E249&lt;&gt;"",$E249&lt;=M$2,$F249&gt;=M$2),1,0)</f>
        <v/>
      </c>
      <c r="N249">
        <f>N248+IF(AND($E249&lt;&gt;"",$E249&lt;=N$2,$F249&gt;=N$2),1,0)</f>
        <v/>
      </c>
      <c r="O249">
        <f>O248+IF(AND($E249&lt;&gt;"",$E249&lt;=O$2,$F249&gt;=O$2),1,0)</f>
        <v/>
      </c>
      <c r="P249">
        <f>P248+IF(AND($E249&lt;&gt;"",$E249&lt;=P$2,$F249&gt;=P$2),1,0)</f>
        <v/>
      </c>
      <c r="Q249">
        <f>Q248+IF(AND($E249&lt;&gt;"",$E249&lt;=Q$2,$F249&gt;=Q$2),1,0)</f>
        <v/>
      </c>
      <c r="R249">
        <f>R248+IF(AND($E249&lt;&gt;"",$E249&lt;=R$2,$F249&gt;=R$2),1,0)</f>
        <v/>
      </c>
      <c r="S249">
        <f>S248+IF(AND($E249&lt;&gt;"",$E249&lt;=S$2,$F249&gt;=S$2),1,0)</f>
        <v/>
      </c>
      <c r="T249">
        <f>T248+IF(AND($E249&lt;&gt;"",$E249&lt;=T$2,$F249&gt;=T$2),1,0)</f>
        <v/>
      </c>
      <c r="U249">
        <f>U248+IF(AND($E249&lt;&gt;"",$E249&lt;=U$2,$F249&gt;=U$2),1,0)</f>
        <v/>
      </c>
      <c r="V249">
        <f>V248+IF(AND($E249&lt;&gt;"",$E249&lt;=V$2,$F249&gt;=V$2),1,0)</f>
        <v/>
      </c>
      <c r="W249">
        <f>W248+IF(AND($E249&lt;&gt;"",$E249&lt;=W$2,$F249&gt;=W$2),1,0)</f>
        <v/>
      </c>
      <c r="X249">
        <f>X248+IF(AND($E249&lt;&gt;"",$E249&lt;=X$2,$F249&gt;=X$2),1,0)</f>
        <v/>
      </c>
      <c r="Y249">
        <f>Y248+IF(AND($E249&lt;&gt;"",$E249&lt;=Y$2,$F249&gt;=Y$2),1,0)</f>
        <v/>
      </c>
      <c r="Z249">
        <f>Z248+IF(AND($E249&lt;&gt;"",$E249&lt;=Z$2,$F249&gt;=Z$2),1,0)</f>
        <v/>
      </c>
      <c r="AA249">
        <f>AA248+IF(AND($E249&lt;&gt;"",$E249&lt;=AA$2,$F249&gt;=AA$2),1,0)</f>
        <v/>
      </c>
      <c r="AB249">
        <f>AB248+IF(AND($E249&lt;&gt;"",$E249&lt;=AB$2,$F249&gt;=AB$2),1,0)</f>
        <v/>
      </c>
      <c r="AC249">
        <f>AC248+IF(AND($E249&lt;&gt;"",$E249&lt;=AC$2,$F249&gt;=AC$2),1,0)</f>
        <v/>
      </c>
      <c r="AD249">
        <f>AD248+IF(AND($E249&lt;&gt;"",$E249&lt;=AD$2,$F249&gt;=AD$2),1,0)</f>
        <v/>
      </c>
      <c r="AE249">
        <f>AE248+IF(AND($E249&lt;&gt;"",$E249&lt;=AE$2,$F249&gt;=AE$2),1,0)</f>
        <v/>
      </c>
      <c r="AF249">
        <f>AF248+IF(AND($E249&lt;&gt;"",$E249&lt;=AF$2,$F249&gt;=AF$2),1,0)</f>
        <v/>
      </c>
      <c r="AG249">
        <f>AG248+IF(AND($E249&lt;&gt;"",$E249&lt;=AG$2,$F249&gt;=AG$2),1,0)</f>
        <v/>
      </c>
      <c r="AH249">
        <f>AH248+IF(AND($E249&lt;&gt;"",$E249&lt;=AH$2,$F249&gt;=AH$2),1,0)</f>
        <v/>
      </c>
      <c r="AI249">
        <f>AI248+IF(AND($E249&lt;&gt;"",$E249&lt;=AI$2,$F249&gt;=AI$2),1,0)</f>
        <v/>
      </c>
      <c r="AJ249">
        <f>AJ248+IF(AND($E249&lt;&gt;"",$E249&lt;=AJ$2,$F249&gt;=AJ$2),1,0)</f>
        <v/>
      </c>
      <c r="AK249">
        <f>AK248+IF(AND($E249&lt;&gt;"",$E249&lt;=AK$2,$F249&gt;=AK$2),1,0)</f>
        <v/>
      </c>
      <c r="AL249">
        <f>AL248+IF(AND($E249&lt;&gt;"",$E249&lt;=AL$2,$F249&gt;=AL$2),1,0)</f>
        <v/>
      </c>
      <c r="AM249">
        <f>AM248+IF(AND($E249&lt;&gt;"",$E249&lt;=AM$2,$F249&gt;=AM$2),1,0)</f>
        <v/>
      </c>
      <c r="AN249">
        <f>AN248+IF(AND($E249&lt;&gt;"",$E249&lt;=AN$2,$F249&gt;=AN$2),1,0)</f>
        <v/>
      </c>
      <c r="AO249">
        <f>AO248+IF(AND($E249&lt;&gt;"",$E249&lt;=AO$2,$F249&gt;=AO$2),1,0)</f>
        <v/>
      </c>
      <c r="AP249">
        <f>AP248+IF(AND($E249&lt;&gt;"",$E249&lt;=AP$2,$F249&gt;=AP$2),1,0)</f>
        <v/>
      </c>
      <c r="AQ249">
        <f>AQ248+IF(AND($E249&lt;&gt;"",$E249&lt;=AQ$2,$F249&gt;=AQ$2),1,0)</f>
        <v/>
      </c>
      <c r="AR249">
        <f>AR248+IF(AND($E249&lt;&gt;"",$E249&lt;=AR$2,$F249&gt;=AR$2),1,0)</f>
        <v/>
      </c>
      <c r="AS249">
        <f>AS248+IF(AND($E249&lt;&gt;"",$E249&lt;=AS$2,$F249&gt;=AS$2),1,0)</f>
        <v/>
      </c>
      <c r="AT249">
        <f>AT248+IF(AND($E249&lt;&gt;"",$E249&lt;=AT$2,$F249&gt;=AT$2),1,0)</f>
        <v/>
      </c>
      <c r="AU249">
        <f>AU248+IF(AND($E249&lt;&gt;"",$E249&lt;=AU$2,$F249&gt;=AU$2),1,0)</f>
        <v/>
      </c>
      <c r="AV249">
        <f>AV248+IF(AND($E249&lt;&gt;"",$E249&lt;=AV$2,$F249&gt;=AV$2),1,0)</f>
        <v/>
      </c>
      <c r="AW249">
        <f>AW248+IF(AND($E249&lt;&gt;"",$E249&lt;=AW$2,$F249&gt;=AW$2),1,0)</f>
        <v/>
      </c>
    </row>
    <row r="250">
      <c r="A250">
        <f>IF(AND(ISNUMBER(Events!$A252),ISNUMBER(Events!$B252)),MAX(0,Events!$B252-Events!$A252),0)</f>
        <v/>
      </c>
      <c r="B250">
        <f>IF(ISNUMBER(Events!$A252),DATE(YEAR($B$1)-1,MONTH(Events!$A252),DAY(Events!$A252)),"")</f>
        <v/>
      </c>
      <c r="C250">
        <f>IF(ISNUMBER(Events!$A252),DATE(YEAR($B$1),MONTH(Events!$A252),DAY(Events!$A252)),"")</f>
        <v/>
      </c>
      <c r="D250">
        <f>IF(ISNUMBER(Events!$A252),DATE(YEAR($B$2),MONTH(Events!$A252),DAY(Events!$A252)),"")</f>
        <v/>
      </c>
      <c r="E250">
        <f>IF(OR(NOT(ISNUMBER(Events!$A252)),Events!$G252="No",Calendar!$H$4="None"),"",IF(OR(Calendar!$H$4="All events",Events!$D252=Calendar!$H$4),IF(Events!$E252="Yes",IF(AND(B250&gt;=Events!$A252,B250&lt;=$B$2,B250+$A250&gt;=$B$1),B250,IF(AND(C250&gt;=Events!$A252,C250&lt;=$B$2,C250+$A250&gt;=$B$1),C250,IF(AND(D250&gt;=Events!$A252,D250&lt;=$B$2,D250+$A250&gt;=$B$1),D250,""))),IF(AND(Events!$A252&lt;=$B$2,Events!$A252+$A250&gt;=$B$1),Events!$A252,"")),""))</f>
        <v/>
      </c>
      <c r="F250">
        <f>IF(E250="","",E250+A250)</f>
        <v/>
      </c>
      <c r="G250">
        <f>IF(E250="","",IF(AND(E250&lt;=EOMONTH(Calendar!$K$2,0),F250&gt;=Calendar!$K$2),E250+247/100000,""))</f>
        <v/>
      </c>
      <c r="H250">
        <f>H249+IF(AND($E250&lt;&gt;"",$E250&lt;=H$2,$F250&gt;=H$2),1,0)</f>
        <v/>
      </c>
      <c r="I250">
        <f>I249+IF(AND($E250&lt;&gt;"",$E250&lt;=I$2,$F250&gt;=I$2),1,0)</f>
        <v/>
      </c>
      <c r="J250">
        <f>J249+IF(AND($E250&lt;&gt;"",$E250&lt;=J$2,$F250&gt;=J$2),1,0)</f>
        <v/>
      </c>
      <c r="K250">
        <f>K249+IF(AND($E250&lt;&gt;"",$E250&lt;=K$2,$F250&gt;=K$2),1,0)</f>
        <v/>
      </c>
      <c r="L250">
        <f>L249+IF(AND($E250&lt;&gt;"",$E250&lt;=L$2,$F250&gt;=L$2),1,0)</f>
        <v/>
      </c>
      <c r="M250">
        <f>M249+IF(AND($E250&lt;&gt;"",$E250&lt;=M$2,$F250&gt;=M$2),1,0)</f>
        <v/>
      </c>
      <c r="N250">
        <f>N249+IF(AND($E250&lt;&gt;"",$E250&lt;=N$2,$F250&gt;=N$2),1,0)</f>
        <v/>
      </c>
      <c r="O250">
        <f>O249+IF(AND($E250&lt;&gt;"",$E250&lt;=O$2,$F250&gt;=O$2),1,0)</f>
        <v/>
      </c>
      <c r="P250">
        <f>P249+IF(AND($E250&lt;&gt;"",$E250&lt;=P$2,$F250&gt;=P$2),1,0)</f>
        <v/>
      </c>
      <c r="Q250">
        <f>Q249+IF(AND($E250&lt;&gt;"",$E250&lt;=Q$2,$F250&gt;=Q$2),1,0)</f>
        <v/>
      </c>
      <c r="R250">
        <f>R249+IF(AND($E250&lt;&gt;"",$E250&lt;=R$2,$F250&gt;=R$2),1,0)</f>
        <v/>
      </c>
      <c r="S250">
        <f>S249+IF(AND($E250&lt;&gt;"",$E250&lt;=S$2,$F250&gt;=S$2),1,0)</f>
        <v/>
      </c>
      <c r="T250">
        <f>T249+IF(AND($E250&lt;&gt;"",$E250&lt;=T$2,$F250&gt;=T$2),1,0)</f>
        <v/>
      </c>
      <c r="U250">
        <f>U249+IF(AND($E250&lt;&gt;"",$E250&lt;=U$2,$F250&gt;=U$2),1,0)</f>
        <v/>
      </c>
      <c r="V250">
        <f>V249+IF(AND($E250&lt;&gt;"",$E250&lt;=V$2,$F250&gt;=V$2),1,0)</f>
        <v/>
      </c>
      <c r="W250">
        <f>W249+IF(AND($E250&lt;&gt;"",$E250&lt;=W$2,$F250&gt;=W$2),1,0)</f>
        <v/>
      </c>
      <c r="X250">
        <f>X249+IF(AND($E250&lt;&gt;"",$E250&lt;=X$2,$F250&gt;=X$2),1,0)</f>
        <v/>
      </c>
      <c r="Y250">
        <f>Y249+IF(AND($E250&lt;&gt;"",$E250&lt;=Y$2,$F250&gt;=Y$2),1,0)</f>
        <v/>
      </c>
      <c r="Z250">
        <f>Z249+IF(AND($E250&lt;&gt;"",$E250&lt;=Z$2,$F250&gt;=Z$2),1,0)</f>
        <v/>
      </c>
      <c r="AA250">
        <f>AA249+IF(AND($E250&lt;&gt;"",$E250&lt;=AA$2,$F250&gt;=AA$2),1,0)</f>
        <v/>
      </c>
      <c r="AB250">
        <f>AB249+IF(AND($E250&lt;&gt;"",$E250&lt;=AB$2,$F250&gt;=AB$2),1,0)</f>
        <v/>
      </c>
      <c r="AC250">
        <f>AC249+IF(AND($E250&lt;&gt;"",$E250&lt;=AC$2,$F250&gt;=AC$2),1,0)</f>
        <v/>
      </c>
      <c r="AD250">
        <f>AD249+IF(AND($E250&lt;&gt;"",$E250&lt;=AD$2,$F250&gt;=AD$2),1,0)</f>
        <v/>
      </c>
      <c r="AE250">
        <f>AE249+IF(AND($E250&lt;&gt;"",$E250&lt;=AE$2,$F250&gt;=AE$2),1,0)</f>
        <v/>
      </c>
      <c r="AF250">
        <f>AF249+IF(AND($E250&lt;&gt;"",$E250&lt;=AF$2,$F250&gt;=AF$2),1,0)</f>
        <v/>
      </c>
      <c r="AG250">
        <f>AG249+IF(AND($E250&lt;&gt;"",$E250&lt;=AG$2,$F250&gt;=AG$2),1,0)</f>
        <v/>
      </c>
      <c r="AH250">
        <f>AH249+IF(AND($E250&lt;&gt;"",$E250&lt;=AH$2,$F250&gt;=AH$2),1,0)</f>
        <v/>
      </c>
      <c r="AI250">
        <f>AI249+IF(AND($E250&lt;&gt;"",$E250&lt;=AI$2,$F250&gt;=AI$2),1,0)</f>
        <v/>
      </c>
      <c r="AJ250">
        <f>AJ249+IF(AND($E250&lt;&gt;"",$E250&lt;=AJ$2,$F250&gt;=AJ$2),1,0)</f>
        <v/>
      </c>
      <c r="AK250">
        <f>AK249+IF(AND($E250&lt;&gt;"",$E250&lt;=AK$2,$F250&gt;=AK$2),1,0)</f>
        <v/>
      </c>
      <c r="AL250">
        <f>AL249+IF(AND($E250&lt;&gt;"",$E250&lt;=AL$2,$F250&gt;=AL$2),1,0)</f>
        <v/>
      </c>
      <c r="AM250">
        <f>AM249+IF(AND($E250&lt;&gt;"",$E250&lt;=AM$2,$F250&gt;=AM$2),1,0)</f>
        <v/>
      </c>
      <c r="AN250">
        <f>AN249+IF(AND($E250&lt;&gt;"",$E250&lt;=AN$2,$F250&gt;=AN$2),1,0)</f>
        <v/>
      </c>
      <c r="AO250">
        <f>AO249+IF(AND($E250&lt;&gt;"",$E250&lt;=AO$2,$F250&gt;=AO$2),1,0)</f>
        <v/>
      </c>
      <c r="AP250">
        <f>AP249+IF(AND($E250&lt;&gt;"",$E250&lt;=AP$2,$F250&gt;=AP$2),1,0)</f>
        <v/>
      </c>
      <c r="AQ250">
        <f>AQ249+IF(AND($E250&lt;&gt;"",$E250&lt;=AQ$2,$F250&gt;=AQ$2),1,0)</f>
        <v/>
      </c>
      <c r="AR250">
        <f>AR249+IF(AND($E250&lt;&gt;"",$E250&lt;=AR$2,$F250&gt;=AR$2),1,0)</f>
        <v/>
      </c>
      <c r="AS250">
        <f>AS249+IF(AND($E250&lt;&gt;"",$E250&lt;=AS$2,$F250&gt;=AS$2),1,0)</f>
        <v/>
      </c>
      <c r="AT250">
        <f>AT249+IF(AND($E250&lt;&gt;"",$E250&lt;=AT$2,$F250&gt;=AT$2),1,0)</f>
        <v/>
      </c>
      <c r="AU250">
        <f>AU249+IF(AND($E250&lt;&gt;"",$E250&lt;=AU$2,$F250&gt;=AU$2),1,0)</f>
        <v/>
      </c>
      <c r="AV250">
        <f>AV249+IF(AND($E250&lt;&gt;"",$E250&lt;=AV$2,$F250&gt;=AV$2),1,0)</f>
        <v/>
      </c>
      <c r="AW250">
        <f>AW249+IF(AND($E250&lt;&gt;"",$E250&lt;=AW$2,$F250&gt;=AW$2),1,0)</f>
        <v/>
      </c>
    </row>
    <row r="251">
      <c r="A251">
        <f>IF(AND(ISNUMBER(Events!$A253),ISNUMBER(Events!$B253)),MAX(0,Events!$B253-Events!$A253),0)</f>
        <v/>
      </c>
      <c r="B251">
        <f>IF(ISNUMBER(Events!$A253),DATE(YEAR($B$1)-1,MONTH(Events!$A253),DAY(Events!$A253)),"")</f>
        <v/>
      </c>
      <c r="C251">
        <f>IF(ISNUMBER(Events!$A253),DATE(YEAR($B$1),MONTH(Events!$A253),DAY(Events!$A253)),"")</f>
        <v/>
      </c>
      <c r="D251">
        <f>IF(ISNUMBER(Events!$A253),DATE(YEAR($B$2),MONTH(Events!$A253),DAY(Events!$A253)),"")</f>
        <v/>
      </c>
      <c r="E251">
        <f>IF(OR(NOT(ISNUMBER(Events!$A253)),Events!$G253="No",Calendar!$H$4="None"),"",IF(OR(Calendar!$H$4="All events",Events!$D253=Calendar!$H$4),IF(Events!$E253="Yes",IF(AND(B251&gt;=Events!$A253,B251&lt;=$B$2,B251+$A251&gt;=$B$1),B251,IF(AND(C251&gt;=Events!$A253,C251&lt;=$B$2,C251+$A251&gt;=$B$1),C251,IF(AND(D251&gt;=Events!$A253,D251&lt;=$B$2,D251+$A251&gt;=$B$1),D251,""))),IF(AND(Events!$A253&lt;=$B$2,Events!$A253+$A251&gt;=$B$1),Events!$A253,"")),""))</f>
        <v/>
      </c>
      <c r="F251">
        <f>IF(E251="","",E251+A251)</f>
        <v/>
      </c>
      <c r="G251">
        <f>IF(E251="","",IF(AND(E251&lt;=EOMONTH(Calendar!$K$2,0),F251&gt;=Calendar!$K$2),E251+248/100000,""))</f>
        <v/>
      </c>
      <c r="H251">
        <f>H250+IF(AND($E251&lt;&gt;"",$E251&lt;=H$2,$F251&gt;=H$2),1,0)</f>
        <v/>
      </c>
      <c r="I251">
        <f>I250+IF(AND($E251&lt;&gt;"",$E251&lt;=I$2,$F251&gt;=I$2),1,0)</f>
        <v/>
      </c>
      <c r="J251">
        <f>J250+IF(AND($E251&lt;&gt;"",$E251&lt;=J$2,$F251&gt;=J$2),1,0)</f>
        <v/>
      </c>
      <c r="K251">
        <f>K250+IF(AND($E251&lt;&gt;"",$E251&lt;=K$2,$F251&gt;=K$2),1,0)</f>
        <v/>
      </c>
      <c r="L251">
        <f>L250+IF(AND($E251&lt;&gt;"",$E251&lt;=L$2,$F251&gt;=L$2),1,0)</f>
        <v/>
      </c>
      <c r="M251">
        <f>M250+IF(AND($E251&lt;&gt;"",$E251&lt;=M$2,$F251&gt;=M$2),1,0)</f>
        <v/>
      </c>
      <c r="N251">
        <f>N250+IF(AND($E251&lt;&gt;"",$E251&lt;=N$2,$F251&gt;=N$2),1,0)</f>
        <v/>
      </c>
      <c r="O251">
        <f>O250+IF(AND($E251&lt;&gt;"",$E251&lt;=O$2,$F251&gt;=O$2),1,0)</f>
        <v/>
      </c>
      <c r="P251">
        <f>P250+IF(AND($E251&lt;&gt;"",$E251&lt;=P$2,$F251&gt;=P$2),1,0)</f>
        <v/>
      </c>
      <c r="Q251">
        <f>Q250+IF(AND($E251&lt;&gt;"",$E251&lt;=Q$2,$F251&gt;=Q$2),1,0)</f>
        <v/>
      </c>
      <c r="R251">
        <f>R250+IF(AND($E251&lt;&gt;"",$E251&lt;=R$2,$F251&gt;=R$2),1,0)</f>
        <v/>
      </c>
      <c r="S251">
        <f>S250+IF(AND($E251&lt;&gt;"",$E251&lt;=S$2,$F251&gt;=S$2),1,0)</f>
        <v/>
      </c>
      <c r="T251">
        <f>T250+IF(AND($E251&lt;&gt;"",$E251&lt;=T$2,$F251&gt;=T$2),1,0)</f>
        <v/>
      </c>
      <c r="U251">
        <f>U250+IF(AND($E251&lt;&gt;"",$E251&lt;=U$2,$F251&gt;=U$2),1,0)</f>
        <v/>
      </c>
      <c r="V251">
        <f>V250+IF(AND($E251&lt;&gt;"",$E251&lt;=V$2,$F251&gt;=V$2),1,0)</f>
        <v/>
      </c>
      <c r="W251">
        <f>W250+IF(AND($E251&lt;&gt;"",$E251&lt;=W$2,$F251&gt;=W$2),1,0)</f>
        <v/>
      </c>
      <c r="X251">
        <f>X250+IF(AND($E251&lt;&gt;"",$E251&lt;=X$2,$F251&gt;=X$2),1,0)</f>
        <v/>
      </c>
      <c r="Y251">
        <f>Y250+IF(AND($E251&lt;&gt;"",$E251&lt;=Y$2,$F251&gt;=Y$2),1,0)</f>
        <v/>
      </c>
      <c r="Z251">
        <f>Z250+IF(AND($E251&lt;&gt;"",$E251&lt;=Z$2,$F251&gt;=Z$2),1,0)</f>
        <v/>
      </c>
      <c r="AA251">
        <f>AA250+IF(AND($E251&lt;&gt;"",$E251&lt;=AA$2,$F251&gt;=AA$2),1,0)</f>
        <v/>
      </c>
      <c r="AB251">
        <f>AB250+IF(AND($E251&lt;&gt;"",$E251&lt;=AB$2,$F251&gt;=AB$2),1,0)</f>
        <v/>
      </c>
      <c r="AC251">
        <f>AC250+IF(AND($E251&lt;&gt;"",$E251&lt;=AC$2,$F251&gt;=AC$2),1,0)</f>
        <v/>
      </c>
      <c r="AD251">
        <f>AD250+IF(AND($E251&lt;&gt;"",$E251&lt;=AD$2,$F251&gt;=AD$2),1,0)</f>
        <v/>
      </c>
      <c r="AE251">
        <f>AE250+IF(AND($E251&lt;&gt;"",$E251&lt;=AE$2,$F251&gt;=AE$2),1,0)</f>
        <v/>
      </c>
      <c r="AF251">
        <f>AF250+IF(AND($E251&lt;&gt;"",$E251&lt;=AF$2,$F251&gt;=AF$2),1,0)</f>
        <v/>
      </c>
      <c r="AG251">
        <f>AG250+IF(AND($E251&lt;&gt;"",$E251&lt;=AG$2,$F251&gt;=AG$2),1,0)</f>
        <v/>
      </c>
      <c r="AH251">
        <f>AH250+IF(AND($E251&lt;&gt;"",$E251&lt;=AH$2,$F251&gt;=AH$2),1,0)</f>
        <v/>
      </c>
      <c r="AI251">
        <f>AI250+IF(AND($E251&lt;&gt;"",$E251&lt;=AI$2,$F251&gt;=AI$2),1,0)</f>
        <v/>
      </c>
      <c r="AJ251">
        <f>AJ250+IF(AND($E251&lt;&gt;"",$E251&lt;=AJ$2,$F251&gt;=AJ$2),1,0)</f>
        <v/>
      </c>
      <c r="AK251">
        <f>AK250+IF(AND($E251&lt;&gt;"",$E251&lt;=AK$2,$F251&gt;=AK$2),1,0)</f>
        <v/>
      </c>
      <c r="AL251">
        <f>AL250+IF(AND($E251&lt;&gt;"",$E251&lt;=AL$2,$F251&gt;=AL$2),1,0)</f>
        <v/>
      </c>
      <c r="AM251">
        <f>AM250+IF(AND($E251&lt;&gt;"",$E251&lt;=AM$2,$F251&gt;=AM$2),1,0)</f>
        <v/>
      </c>
      <c r="AN251">
        <f>AN250+IF(AND($E251&lt;&gt;"",$E251&lt;=AN$2,$F251&gt;=AN$2),1,0)</f>
        <v/>
      </c>
      <c r="AO251">
        <f>AO250+IF(AND($E251&lt;&gt;"",$E251&lt;=AO$2,$F251&gt;=AO$2),1,0)</f>
        <v/>
      </c>
      <c r="AP251">
        <f>AP250+IF(AND($E251&lt;&gt;"",$E251&lt;=AP$2,$F251&gt;=AP$2),1,0)</f>
        <v/>
      </c>
      <c r="AQ251">
        <f>AQ250+IF(AND($E251&lt;&gt;"",$E251&lt;=AQ$2,$F251&gt;=AQ$2),1,0)</f>
        <v/>
      </c>
      <c r="AR251">
        <f>AR250+IF(AND($E251&lt;&gt;"",$E251&lt;=AR$2,$F251&gt;=AR$2),1,0)</f>
        <v/>
      </c>
      <c r="AS251">
        <f>AS250+IF(AND($E251&lt;&gt;"",$E251&lt;=AS$2,$F251&gt;=AS$2),1,0)</f>
        <v/>
      </c>
      <c r="AT251">
        <f>AT250+IF(AND($E251&lt;&gt;"",$E251&lt;=AT$2,$F251&gt;=AT$2),1,0)</f>
        <v/>
      </c>
      <c r="AU251">
        <f>AU250+IF(AND($E251&lt;&gt;"",$E251&lt;=AU$2,$F251&gt;=AU$2),1,0)</f>
        <v/>
      </c>
      <c r="AV251">
        <f>AV250+IF(AND($E251&lt;&gt;"",$E251&lt;=AV$2,$F251&gt;=AV$2),1,0)</f>
        <v/>
      </c>
      <c r="AW251">
        <f>AW250+IF(AND($E251&lt;&gt;"",$E251&lt;=AW$2,$F251&gt;=AW$2),1,0)</f>
        <v/>
      </c>
    </row>
    <row r="252">
      <c r="A252">
        <f>IF(AND(ISNUMBER(Events!$A254),ISNUMBER(Events!$B254)),MAX(0,Events!$B254-Events!$A254),0)</f>
        <v/>
      </c>
      <c r="B252">
        <f>IF(ISNUMBER(Events!$A254),DATE(YEAR($B$1)-1,MONTH(Events!$A254),DAY(Events!$A254)),"")</f>
        <v/>
      </c>
      <c r="C252">
        <f>IF(ISNUMBER(Events!$A254),DATE(YEAR($B$1),MONTH(Events!$A254),DAY(Events!$A254)),"")</f>
        <v/>
      </c>
      <c r="D252">
        <f>IF(ISNUMBER(Events!$A254),DATE(YEAR($B$2),MONTH(Events!$A254),DAY(Events!$A254)),"")</f>
        <v/>
      </c>
      <c r="E252">
        <f>IF(OR(NOT(ISNUMBER(Events!$A254)),Events!$G254="No",Calendar!$H$4="None"),"",IF(OR(Calendar!$H$4="All events",Events!$D254=Calendar!$H$4),IF(Events!$E254="Yes",IF(AND(B252&gt;=Events!$A254,B252&lt;=$B$2,B252+$A252&gt;=$B$1),B252,IF(AND(C252&gt;=Events!$A254,C252&lt;=$B$2,C252+$A252&gt;=$B$1),C252,IF(AND(D252&gt;=Events!$A254,D252&lt;=$B$2,D252+$A252&gt;=$B$1),D252,""))),IF(AND(Events!$A254&lt;=$B$2,Events!$A254+$A252&gt;=$B$1),Events!$A254,"")),""))</f>
        <v/>
      </c>
      <c r="F252">
        <f>IF(E252="","",E252+A252)</f>
        <v/>
      </c>
      <c r="G252">
        <f>IF(E252="","",IF(AND(E252&lt;=EOMONTH(Calendar!$K$2,0),F252&gt;=Calendar!$K$2),E252+249/100000,""))</f>
        <v/>
      </c>
      <c r="H252">
        <f>H251+IF(AND($E252&lt;&gt;"",$E252&lt;=H$2,$F252&gt;=H$2),1,0)</f>
        <v/>
      </c>
      <c r="I252">
        <f>I251+IF(AND($E252&lt;&gt;"",$E252&lt;=I$2,$F252&gt;=I$2),1,0)</f>
        <v/>
      </c>
      <c r="J252">
        <f>J251+IF(AND($E252&lt;&gt;"",$E252&lt;=J$2,$F252&gt;=J$2),1,0)</f>
        <v/>
      </c>
      <c r="K252">
        <f>K251+IF(AND($E252&lt;&gt;"",$E252&lt;=K$2,$F252&gt;=K$2),1,0)</f>
        <v/>
      </c>
      <c r="L252">
        <f>L251+IF(AND($E252&lt;&gt;"",$E252&lt;=L$2,$F252&gt;=L$2),1,0)</f>
        <v/>
      </c>
      <c r="M252">
        <f>M251+IF(AND($E252&lt;&gt;"",$E252&lt;=M$2,$F252&gt;=M$2),1,0)</f>
        <v/>
      </c>
      <c r="N252">
        <f>N251+IF(AND($E252&lt;&gt;"",$E252&lt;=N$2,$F252&gt;=N$2),1,0)</f>
        <v/>
      </c>
      <c r="O252">
        <f>O251+IF(AND($E252&lt;&gt;"",$E252&lt;=O$2,$F252&gt;=O$2),1,0)</f>
        <v/>
      </c>
      <c r="P252">
        <f>P251+IF(AND($E252&lt;&gt;"",$E252&lt;=P$2,$F252&gt;=P$2),1,0)</f>
        <v/>
      </c>
      <c r="Q252">
        <f>Q251+IF(AND($E252&lt;&gt;"",$E252&lt;=Q$2,$F252&gt;=Q$2),1,0)</f>
        <v/>
      </c>
      <c r="R252">
        <f>R251+IF(AND($E252&lt;&gt;"",$E252&lt;=R$2,$F252&gt;=R$2),1,0)</f>
        <v/>
      </c>
      <c r="S252">
        <f>S251+IF(AND($E252&lt;&gt;"",$E252&lt;=S$2,$F252&gt;=S$2),1,0)</f>
        <v/>
      </c>
      <c r="T252">
        <f>T251+IF(AND($E252&lt;&gt;"",$E252&lt;=T$2,$F252&gt;=T$2),1,0)</f>
        <v/>
      </c>
      <c r="U252">
        <f>U251+IF(AND($E252&lt;&gt;"",$E252&lt;=U$2,$F252&gt;=U$2),1,0)</f>
        <v/>
      </c>
      <c r="V252">
        <f>V251+IF(AND($E252&lt;&gt;"",$E252&lt;=V$2,$F252&gt;=V$2),1,0)</f>
        <v/>
      </c>
      <c r="W252">
        <f>W251+IF(AND($E252&lt;&gt;"",$E252&lt;=W$2,$F252&gt;=W$2),1,0)</f>
        <v/>
      </c>
      <c r="X252">
        <f>X251+IF(AND($E252&lt;&gt;"",$E252&lt;=X$2,$F252&gt;=X$2),1,0)</f>
        <v/>
      </c>
      <c r="Y252">
        <f>Y251+IF(AND($E252&lt;&gt;"",$E252&lt;=Y$2,$F252&gt;=Y$2),1,0)</f>
        <v/>
      </c>
      <c r="Z252">
        <f>Z251+IF(AND($E252&lt;&gt;"",$E252&lt;=Z$2,$F252&gt;=Z$2),1,0)</f>
        <v/>
      </c>
      <c r="AA252">
        <f>AA251+IF(AND($E252&lt;&gt;"",$E252&lt;=AA$2,$F252&gt;=AA$2),1,0)</f>
        <v/>
      </c>
      <c r="AB252">
        <f>AB251+IF(AND($E252&lt;&gt;"",$E252&lt;=AB$2,$F252&gt;=AB$2),1,0)</f>
        <v/>
      </c>
      <c r="AC252">
        <f>AC251+IF(AND($E252&lt;&gt;"",$E252&lt;=AC$2,$F252&gt;=AC$2),1,0)</f>
        <v/>
      </c>
      <c r="AD252">
        <f>AD251+IF(AND($E252&lt;&gt;"",$E252&lt;=AD$2,$F252&gt;=AD$2),1,0)</f>
        <v/>
      </c>
      <c r="AE252">
        <f>AE251+IF(AND($E252&lt;&gt;"",$E252&lt;=AE$2,$F252&gt;=AE$2),1,0)</f>
        <v/>
      </c>
      <c r="AF252">
        <f>AF251+IF(AND($E252&lt;&gt;"",$E252&lt;=AF$2,$F252&gt;=AF$2),1,0)</f>
        <v/>
      </c>
      <c r="AG252">
        <f>AG251+IF(AND($E252&lt;&gt;"",$E252&lt;=AG$2,$F252&gt;=AG$2),1,0)</f>
        <v/>
      </c>
      <c r="AH252">
        <f>AH251+IF(AND($E252&lt;&gt;"",$E252&lt;=AH$2,$F252&gt;=AH$2),1,0)</f>
        <v/>
      </c>
      <c r="AI252">
        <f>AI251+IF(AND($E252&lt;&gt;"",$E252&lt;=AI$2,$F252&gt;=AI$2),1,0)</f>
        <v/>
      </c>
      <c r="AJ252">
        <f>AJ251+IF(AND($E252&lt;&gt;"",$E252&lt;=AJ$2,$F252&gt;=AJ$2),1,0)</f>
        <v/>
      </c>
      <c r="AK252">
        <f>AK251+IF(AND($E252&lt;&gt;"",$E252&lt;=AK$2,$F252&gt;=AK$2),1,0)</f>
        <v/>
      </c>
      <c r="AL252">
        <f>AL251+IF(AND($E252&lt;&gt;"",$E252&lt;=AL$2,$F252&gt;=AL$2),1,0)</f>
        <v/>
      </c>
      <c r="AM252">
        <f>AM251+IF(AND($E252&lt;&gt;"",$E252&lt;=AM$2,$F252&gt;=AM$2),1,0)</f>
        <v/>
      </c>
      <c r="AN252">
        <f>AN251+IF(AND($E252&lt;&gt;"",$E252&lt;=AN$2,$F252&gt;=AN$2),1,0)</f>
        <v/>
      </c>
      <c r="AO252">
        <f>AO251+IF(AND($E252&lt;&gt;"",$E252&lt;=AO$2,$F252&gt;=AO$2),1,0)</f>
        <v/>
      </c>
      <c r="AP252">
        <f>AP251+IF(AND($E252&lt;&gt;"",$E252&lt;=AP$2,$F252&gt;=AP$2),1,0)</f>
        <v/>
      </c>
      <c r="AQ252">
        <f>AQ251+IF(AND($E252&lt;&gt;"",$E252&lt;=AQ$2,$F252&gt;=AQ$2),1,0)</f>
        <v/>
      </c>
      <c r="AR252">
        <f>AR251+IF(AND($E252&lt;&gt;"",$E252&lt;=AR$2,$F252&gt;=AR$2),1,0)</f>
        <v/>
      </c>
      <c r="AS252">
        <f>AS251+IF(AND($E252&lt;&gt;"",$E252&lt;=AS$2,$F252&gt;=AS$2),1,0)</f>
        <v/>
      </c>
      <c r="AT252">
        <f>AT251+IF(AND($E252&lt;&gt;"",$E252&lt;=AT$2,$F252&gt;=AT$2),1,0)</f>
        <v/>
      </c>
      <c r="AU252">
        <f>AU251+IF(AND($E252&lt;&gt;"",$E252&lt;=AU$2,$F252&gt;=AU$2),1,0)</f>
        <v/>
      </c>
      <c r="AV252">
        <f>AV251+IF(AND($E252&lt;&gt;"",$E252&lt;=AV$2,$F252&gt;=AV$2),1,0)</f>
        <v/>
      </c>
      <c r="AW252">
        <f>AW251+IF(AND($E252&lt;&gt;"",$E252&lt;=AW$2,$F252&gt;=AW$2),1,0)</f>
        <v/>
      </c>
    </row>
    <row r="253">
      <c r="A253">
        <f>IF(AND(ISNUMBER(Events!$A255),ISNUMBER(Events!$B255)),MAX(0,Events!$B255-Events!$A255),0)</f>
        <v/>
      </c>
      <c r="B253">
        <f>IF(ISNUMBER(Events!$A255),DATE(YEAR($B$1)-1,MONTH(Events!$A255),DAY(Events!$A255)),"")</f>
        <v/>
      </c>
      <c r="C253">
        <f>IF(ISNUMBER(Events!$A255),DATE(YEAR($B$1),MONTH(Events!$A255),DAY(Events!$A255)),"")</f>
        <v/>
      </c>
      <c r="D253">
        <f>IF(ISNUMBER(Events!$A255),DATE(YEAR($B$2),MONTH(Events!$A255),DAY(Events!$A255)),"")</f>
        <v/>
      </c>
      <c r="E253">
        <f>IF(OR(NOT(ISNUMBER(Events!$A255)),Events!$G255="No",Calendar!$H$4="None"),"",IF(OR(Calendar!$H$4="All events",Events!$D255=Calendar!$H$4),IF(Events!$E255="Yes",IF(AND(B253&gt;=Events!$A255,B253&lt;=$B$2,B253+$A253&gt;=$B$1),B253,IF(AND(C253&gt;=Events!$A255,C253&lt;=$B$2,C253+$A253&gt;=$B$1),C253,IF(AND(D253&gt;=Events!$A255,D253&lt;=$B$2,D253+$A253&gt;=$B$1),D253,""))),IF(AND(Events!$A255&lt;=$B$2,Events!$A255+$A253&gt;=$B$1),Events!$A255,"")),""))</f>
        <v/>
      </c>
      <c r="F253">
        <f>IF(E253="","",E253+A253)</f>
        <v/>
      </c>
      <c r="G253">
        <f>IF(E253="","",IF(AND(E253&lt;=EOMONTH(Calendar!$K$2,0),F253&gt;=Calendar!$K$2),E253+250/100000,""))</f>
        <v/>
      </c>
      <c r="H253">
        <f>H252+IF(AND($E253&lt;&gt;"",$E253&lt;=H$2,$F253&gt;=H$2),1,0)</f>
        <v/>
      </c>
      <c r="I253">
        <f>I252+IF(AND($E253&lt;&gt;"",$E253&lt;=I$2,$F253&gt;=I$2),1,0)</f>
        <v/>
      </c>
      <c r="J253">
        <f>J252+IF(AND($E253&lt;&gt;"",$E253&lt;=J$2,$F253&gt;=J$2),1,0)</f>
        <v/>
      </c>
      <c r="K253">
        <f>K252+IF(AND($E253&lt;&gt;"",$E253&lt;=K$2,$F253&gt;=K$2),1,0)</f>
        <v/>
      </c>
      <c r="L253">
        <f>L252+IF(AND($E253&lt;&gt;"",$E253&lt;=L$2,$F253&gt;=L$2),1,0)</f>
        <v/>
      </c>
      <c r="M253">
        <f>M252+IF(AND($E253&lt;&gt;"",$E253&lt;=M$2,$F253&gt;=M$2),1,0)</f>
        <v/>
      </c>
      <c r="N253">
        <f>N252+IF(AND($E253&lt;&gt;"",$E253&lt;=N$2,$F253&gt;=N$2),1,0)</f>
        <v/>
      </c>
      <c r="O253">
        <f>O252+IF(AND($E253&lt;&gt;"",$E253&lt;=O$2,$F253&gt;=O$2),1,0)</f>
        <v/>
      </c>
      <c r="P253">
        <f>P252+IF(AND($E253&lt;&gt;"",$E253&lt;=P$2,$F253&gt;=P$2),1,0)</f>
        <v/>
      </c>
      <c r="Q253">
        <f>Q252+IF(AND($E253&lt;&gt;"",$E253&lt;=Q$2,$F253&gt;=Q$2),1,0)</f>
        <v/>
      </c>
      <c r="R253">
        <f>R252+IF(AND($E253&lt;&gt;"",$E253&lt;=R$2,$F253&gt;=R$2),1,0)</f>
        <v/>
      </c>
      <c r="S253">
        <f>S252+IF(AND($E253&lt;&gt;"",$E253&lt;=S$2,$F253&gt;=S$2),1,0)</f>
        <v/>
      </c>
      <c r="T253">
        <f>T252+IF(AND($E253&lt;&gt;"",$E253&lt;=T$2,$F253&gt;=T$2),1,0)</f>
        <v/>
      </c>
      <c r="U253">
        <f>U252+IF(AND($E253&lt;&gt;"",$E253&lt;=U$2,$F253&gt;=U$2),1,0)</f>
        <v/>
      </c>
      <c r="V253">
        <f>V252+IF(AND($E253&lt;&gt;"",$E253&lt;=V$2,$F253&gt;=V$2),1,0)</f>
        <v/>
      </c>
      <c r="W253">
        <f>W252+IF(AND($E253&lt;&gt;"",$E253&lt;=W$2,$F253&gt;=W$2),1,0)</f>
        <v/>
      </c>
      <c r="X253">
        <f>X252+IF(AND($E253&lt;&gt;"",$E253&lt;=X$2,$F253&gt;=X$2),1,0)</f>
        <v/>
      </c>
      <c r="Y253">
        <f>Y252+IF(AND($E253&lt;&gt;"",$E253&lt;=Y$2,$F253&gt;=Y$2),1,0)</f>
        <v/>
      </c>
      <c r="Z253">
        <f>Z252+IF(AND($E253&lt;&gt;"",$E253&lt;=Z$2,$F253&gt;=Z$2),1,0)</f>
        <v/>
      </c>
      <c r="AA253">
        <f>AA252+IF(AND($E253&lt;&gt;"",$E253&lt;=AA$2,$F253&gt;=AA$2),1,0)</f>
        <v/>
      </c>
      <c r="AB253">
        <f>AB252+IF(AND($E253&lt;&gt;"",$E253&lt;=AB$2,$F253&gt;=AB$2),1,0)</f>
        <v/>
      </c>
      <c r="AC253">
        <f>AC252+IF(AND($E253&lt;&gt;"",$E253&lt;=AC$2,$F253&gt;=AC$2),1,0)</f>
        <v/>
      </c>
      <c r="AD253">
        <f>AD252+IF(AND($E253&lt;&gt;"",$E253&lt;=AD$2,$F253&gt;=AD$2),1,0)</f>
        <v/>
      </c>
      <c r="AE253">
        <f>AE252+IF(AND($E253&lt;&gt;"",$E253&lt;=AE$2,$F253&gt;=AE$2),1,0)</f>
        <v/>
      </c>
      <c r="AF253">
        <f>AF252+IF(AND($E253&lt;&gt;"",$E253&lt;=AF$2,$F253&gt;=AF$2),1,0)</f>
        <v/>
      </c>
      <c r="AG253">
        <f>AG252+IF(AND($E253&lt;&gt;"",$E253&lt;=AG$2,$F253&gt;=AG$2),1,0)</f>
        <v/>
      </c>
      <c r="AH253">
        <f>AH252+IF(AND($E253&lt;&gt;"",$E253&lt;=AH$2,$F253&gt;=AH$2),1,0)</f>
        <v/>
      </c>
      <c r="AI253">
        <f>AI252+IF(AND($E253&lt;&gt;"",$E253&lt;=AI$2,$F253&gt;=AI$2),1,0)</f>
        <v/>
      </c>
      <c r="AJ253">
        <f>AJ252+IF(AND($E253&lt;&gt;"",$E253&lt;=AJ$2,$F253&gt;=AJ$2),1,0)</f>
        <v/>
      </c>
      <c r="AK253">
        <f>AK252+IF(AND($E253&lt;&gt;"",$E253&lt;=AK$2,$F253&gt;=AK$2),1,0)</f>
        <v/>
      </c>
      <c r="AL253">
        <f>AL252+IF(AND($E253&lt;&gt;"",$E253&lt;=AL$2,$F253&gt;=AL$2),1,0)</f>
        <v/>
      </c>
      <c r="AM253">
        <f>AM252+IF(AND($E253&lt;&gt;"",$E253&lt;=AM$2,$F253&gt;=AM$2),1,0)</f>
        <v/>
      </c>
      <c r="AN253">
        <f>AN252+IF(AND($E253&lt;&gt;"",$E253&lt;=AN$2,$F253&gt;=AN$2),1,0)</f>
        <v/>
      </c>
      <c r="AO253">
        <f>AO252+IF(AND($E253&lt;&gt;"",$E253&lt;=AO$2,$F253&gt;=AO$2),1,0)</f>
        <v/>
      </c>
      <c r="AP253">
        <f>AP252+IF(AND($E253&lt;&gt;"",$E253&lt;=AP$2,$F253&gt;=AP$2),1,0)</f>
        <v/>
      </c>
      <c r="AQ253">
        <f>AQ252+IF(AND($E253&lt;&gt;"",$E253&lt;=AQ$2,$F253&gt;=AQ$2),1,0)</f>
        <v/>
      </c>
      <c r="AR253">
        <f>AR252+IF(AND($E253&lt;&gt;"",$E253&lt;=AR$2,$F253&gt;=AR$2),1,0)</f>
        <v/>
      </c>
      <c r="AS253">
        <f>AS252+IF(AND($E253&lt;&gt;"",$E253&lt;=AS$2,$F253&gt;=AS$2),1,0)</f>
        <v/>
      </c>
      <c r="AT253">
        <f>AT252+IF(AND($E253&lt;&gt;"",$E253&lt;=AT$2,$F253&gt;=AT$2),1,0)</f>
        <v/>
      </c>
      <c r="AU253">
        <f>AU252+IF(AND($E253&lt;&gt;"",$E253&lt;=AU$2,$F253&gt;=AU$2),1,0)</f>
        <v/>
      </c>
      <c r="AV253">
        <f>AV252+IF(AND($E253&lt;&gt;"",$E253&lt;=AV$2,$F253&gt;=AV$2),1,0)</f>
        <v/>
      </c>
      <c r="AW253">
        <f>AW252+IF(AND($E253&lt;&gt;"",$E253&lt;=AW$2,$F253&gt;=AW$2),1,0)</f>
        <v/>
      </c>
    </row>
    <row r="254">
      <c r="A254">
        <f>IF(AND(ISNUMBER(Events!$A256),ISNUMBER(Events!$B256)),MAX(0,Events!$B256-Events!$A256),0)</f>
        <v/>
      </c>
      <c r="B254">
        <f>IF(ISNUMBER(Events!$A256),DATE(YEAR($B$1)-1,MONTH(Events!$A256),DAY(Events!$A256)),"")</f>
        <v/>
      </c>
      <c r="C254">
        <f>IF(ISNUMBER(Events!$A256),DATE(YEAR($B$1),MONTH(Events!$A256),DAY(Events!$A256)),"")</f>
        <v/>
      </c>
      <c r="D254">
        <f>IF(ISNUMBER(Events!$A256),DATE(YEAR($B$2),MONTH(Events!$A256),DAY(Events!$A256)),"")</f>
        <v/>
      </c>
      <c r="E254">
        <f>IF(OR(NOT(ISNUMBER(Events!$A256)),Events!$G256="No",Calendar!$H$4="None"),"",IF(OR(Calendar!$H$4="All events",Events!$D256=Calendar!$H$4),IF(Events!$E256="Yes",IF(AND(B254&gt;=Events!$A256,B254&lt;=$B$2,B254+$A254&gt;=$B$1),B254,IF(AND(C254&gt;=Events!$A256,C254&lt;=$B$2,C254+$A254&gt;=$B$1),C254,IF(AND(D254&gt;=Events!$A256,D254&lt;=$B$2,D254+$A254&gt;=$B$1),D254,""))),IF(AND(Events!$A256&lt;=$B$2,Events!$A256+$A254&gt;=$B$1),Events!$A256,"")),""))</f>
        <v/>
      </c>
      <c r="F254">
        <f>IF(E254="","",E254+A254)</f>
        <v/>
      </c>
      <c r="G254">
        <f>IF(E254="","",IF(AND(E254&lt;=EOMONTH(Calendar!$K$2,0),F254&gt;=Calendar!$K$2),E254+251/100000,""))</f>
        <v/>
      </c>
      <c r="H254">
        <f>H253+IF(AND($E254&lt;&gt;"",$E254&lt;=H$2,$F254&gt;=H$2),1,0)</f>
        <v/>
      </c>
      <c r="I254">
        <f>I253+IF(AND($E254&lt;&gt;"",$E254&lt;=I$2,$F254&gt;=I$2),1,0)</f>
        <v/>
      </c>
      <c r="J254">
        <f>J253+IF(AND($E254&lt;&gt;"",$E254&lt;=J$2,$F254&gt;=J$2),1,0)</f>
        <v/>
      </c>
      <c r="K254">
        <f>K253+IF(AND($E254&lt;&gt;"",$E254&lt;=K$2,$F254&gt;=K$2),1,0)</f>
        <v/>
      </c>
      <c r="L254">
        <f>L253+IF(AND($E254&lt;&gt;"",$E254&lt;=L$2,$F254&gt;=L$2),1,0)</f>
        <v/>
      </c>
      <c r="M254">
        <f>M253+IF(AND($E254&lt;&gt;"",$E254&lt;=M$2,$F254&gt;=M$2),1,0)</f>
        <v/>
      </c>
      <c r="N254">
        <f>N253+IF(AND($E254&lt;&gt;"",$E254&lt;=N$2,$F254&gt;=N$2),1,0)</f>
        <v/>
      </c>
      <c r="O254">
        <f>O253+IF(AND($E254&lt;&gt;"",$E254&lt;=O$2,$F254&gt;=O$2),1,0)</f>
        <v/>
      </c>
      <c r="P254">
        <f>P253+IF(AND($E254&lt;&gt;"",$E254&lt;=P$2,$F254&gt;=P$2),1,0)</f>
        <v/>
      </c>
      <c r="Q254">
        <f>Q253+IF(AND($E254&lt;&gt;"",$E254&lt;=Q$2,$F254&gt;=Q$2),1,0)</f>
        <v/>
      </c>
      <c r="R254">
        <f>R253+IF(AND($E254&lt;&gt;"",$E254&lt;=R$2,$F254&gt;=R$2),1,0)</f>
        <v/>
      </c>
      <c r="S254">
        <f>S253+IF(AND($E254&lt;&gt;"",$E254&lt;=S$2,$F254&gt;=S$2),1,0)</f>
        <v/>
      </c>
      <c r="T254">
        <f>T253+IF(AND($E254&lt;&gt;"",$E254&lt;=T$2,$F254&gt;=T$2),1,0)</f>
        <v/>
      </c>
      <c r="U254">
        <f>U253+IF(AND($E254&lt;&gt;"",$E254&lt;=U$2,$F254&gt;=U$2),1,0)</f>
        <v/>
      </c>
      <c r="V254">
        <f>V253+IF(AND($E254&lt;&gt;"",$E254&lt;=V$2,$F254&gt;=V$2),1,0)</f>
        <v/>
      </c>
      <c r="W254">
        <f>W253+IF(AND($E254&lt;&gt;"",$E254&lt;=W$2,$F254&gt;=W$2),1,0)</f>
        <v/>
      </c>
      <c r="X254">
        <f>X253+IF(AND($E254&lt;&gt;"",$E254&lt;=X$2,$F254&gt;=X$2),1,0)</f>
        <v/>
      </c>
      <c r="Y254">
        <f>Y253+IF(AND($E254&lt;&gt;"",$E254&lt;=Y$2,$F254&gt;=Y$2),1,0)</f>
        <v/>
      </c>
      <c r="Z254">
        <f>Z253+IF(AND($E254&lt;&gt;"",$E254&lt;=Z$2,$F254&gt;=Z$2),1,0)</f>
        <v/>
      </c>
      <c r="AA254">
        <f>AA253+IF(AND($E254&lt;&gt;"",$E254&lt;=AA$2,$F254&gt;=AA$2),1,0)</f>
        <v/>
      </c>
      <c r="AB254">
        <f>AB253+IF(AND($E254&lt;&gt;"",$E254&lt;=AB$2,$F254&gt;=AB$2),1,0)</f>
        <v/>
      </c>
      <c r="AC254">
        <f>AC253+IF(AND($E254&lt;&gt;"",$E254&lt;=AC$2,$F254&gt;=AC$2),1,0)</f>
        <v/>
      </c>
      <c r="AD254">
        <f>AD253+IF(AND($E254&lt;&gt;"",$E254&lt;=AD$2,$F254&gt;=AD$2),1,0)</f>
        <v/>
      </c>
      <c r="AE254">
        <f>AE253+IF(AND($E254&lt;&gt;"",$E254&lt;=AE$2,$F254&gt;=AE$2),1,0)</f>
        <v/>
      </c>
      <c r="AF254">
        <f>AF253+IF(AND($E254&lt;&gt;"",$E254&lt;=AF$2,$F254&gt;=AF$2),1,0)</f>
        <v/>
      </c>
      <c r="AG254">
        <f>AG253+IF(AND($E254&lt;&gt;"",$E254&lt;=AG$2,$F254&gt;=AG$2),1,0)</f>
        <v/>
      </c>
      <c r="AH254">
        <f>AH253+IF(AND($E254&lt;&gt;"",$E254&lt;=AH$2,$F254&gt;=AH$2),1,0)</f>
        <v/>
      </c>
      <c r="AI254">
        <f>AI253+IF(AND($E254&lt;&gt;"",$E254&lt;=AI$2,$F254&gt;=AI$2),1,0)</f>
        <v/>
      </c>
      <c r="AJ254">
        <f>AJ253+IF(AND($E254&lt;&gt;"",$E254&lt;=AJ$2,$F254&gt;=AJ$2),1,0)</f>
        <v/>
      </c>
      <c r="AK254">
        <f>AK253+IF(AND($E254&lt;&gt;"",$E254&lt;=AK$2,$F254&gt;=AK$2),1,0)</f>
        <v/>
      </c>
      <c r="AL254">
        <f>AL253+IF(AND($E254&lt;&gt;"",$E254&lt;=AL$2,$F254&gt;=AL$2),1,0)</f>
        <v/>
      </c>
      <c r="AM254">
        <f>AM253+IF(AND($E254&lt;&gt;"",$E254&lt;=AM$2,$F254&gt;=AM$2),1,0)</f>
        <v/>
      </c>
      <c r="AN254">
        <f>AN253+IF(AND($E254&lt;&gt;"",$E254&lt;=AN$2,$F254&gt;=AN$2),1,0)</f>
        <v/>
      </c>
      <c r="AO254">
        <f>AO253+IF(AND($E254&lt;&gt;"",$E254&lt;=AO$2,$F254&gt;=AO$2),1,0)</f>
        <v/>
      </c>
      <c r="AP254">
        <f>AP253+IF(AND($E254&lt;&gt;"",$E254&lt;=AP$2,$F254&gt;=AP$2),1,0)</f>
        <v/>
      </c>
      <c r="AQ254">
        <f>AQ253+IF(AND($E254&lt;&gt;"",$E254&lt;=AQ$2,$F254&gt;=AQ$2),1,0)</f>
        <v/>
      </c>
      <c r="AR254">
        <f>AR253+IF(AND($E254&lt;&gt;"",$E254&lt;=AR$2,$F254&gt;=AR$2),1,0)</f>
        <v/>
      </c>
      <c r="AS254">
        <f>AS253+IF(AND($E254&lt;&gt;"",$E254&lt;=AS$2,$F254&gt;=AS$2),1,0)</f>
        <v/>
      </c>
      <c r="AT254">
        <f>AT253+IF(AND($E254&lt;&gt;"",$E254&lt;=AT$2,$F254&gt;=AT$2),1,0)</f>
        <v/>
      </c>
      <c r="AU254">
        <f>AU253+IF(AND($E254&lt;&gt;"",$E254&lt;=AU$2,$F254&gt;=AU$2),1,0)</f>
        <v/>
      </c>
      <c r="AV254">
        <f>AV253+IF(AND($E254&lt;&gt;"",$E254&lt;=AV$2,$F254&gt;=AV$2),1,0)</f>
        <v/>
      </c>
      <c r="AW254">
        <f>AW253+IF(AND($E254&lt;&gt;"",$E254&lt;=AW$2,$F254&gt;=AW$2),1,0)</f>
        <v/>
      </c>
    </row>
    <row r="255">
      <c r="A255">
        <f>IF(AND(ISNUMBER(Events!$A257),ISNUMBER(Events!$B257)),MAX(0,Events!$B257-Events!$A257),0)</f>
        <v/>
      </c>
      <c r="B255">
        <f>IF(ISNUMBER(Events!$A257),DATE(YEAR($B$1)-1,MONTH(Events!$A257),DAY(Events!$A257)),"")</f>
        <v/>
      </c>
      <c r="C255">
        <f>IF(ISNUMBER(Events!$A257),DATE(YEAR($B$1),MONTH(Events!$A257),DAY(Events!$A257)),"")</f>
        <v/>
      </c>
      <c r="D255">
        <f>IF(ISNUMBER(Events!$A257),DATE(YEAR($B$2),MONTH(Events!$A257),DAY(Events!$A257)),"")</f>
        <v/>
      </c>
      <c r="E255">
        <f>IF(OR(NOT(ISNUMBER(Events!$A257)),Events!$G257="No",Calendar!$H$4="None"),"",IF(OR(Calendar!$H$4="All events",Events!$D257=Calendar!$H$4),IF(Events!$E257="Yes",IF(AND(B255&gt;=Events!$A257,B255&lt;=$B$2,B255+$A255&gt;=$B$1),B255,IF(AND(C255&gt;=Events!$A257,C255&lt;=$B$2,C255+$A255&gt;=$B$1),C255,IF(AND(D255&gt;=Events!$A257,D255&lt;=$B$2,D255+$A255&gt;=$B$1),D255,""))),IF(AND(Events!$A257&lt;=$B$2,Events!$A257+$A255&gt;=$B$1),Events!$A257,"")),""))</f>
        <v/>
      </c>
      <c r="F255">
        <f>IF(E255="","",E255+A255)</f>
        <v/>
      </c>
      <c r="G255">
        <f>IF(E255="","",IF(AND(E255&lt;=EOMONTH(Calendar!$K$2,0),F255&gt;=Calendar!$K$2),E255+252/100000,""))</f>
        <v/>
      </c>
      <c r="H255">
        <f>H254+IF(AND($E255&lt;&gt;"",$E255&lt;=H$2,$F255&gt;=H$2),1,0)</f>
        <v/>
      </c>
      <c r="I255">
        <f>I254+IF(AND($E255&lt;&gt;"",$E255&lt;=I$2,$F255&gt;=I$2),1,0)</f>
        <v/>
      </c>
      <c r="J255">
        <f>J254+IF(AND($E255&lt;&gt;"",$E255&lt;=J$2,$F255&gt;=J$2),1,0)</f>
        <v/>
      </c>
      <c r="K255">
        <f>K254+IF(AND($E255&lt;&gt;"",$E255&lt;=K$2,$F255&gt;=K$2),1,0)</f>
        <v/>
      </c>
      <c r="L255">
        <f>L254+IF(AND($E255&lt;&gt;"",$E255&lt;=L$2,$F255&gt;=L$2),1,0)</f>
        <v/>
      </c>
      <c r="M255">
        <f>M254+IF(AND($E255&lt;&gt;"",$E255&lt;=M$2,$F255&gt;=M$2),1,0)</f>
        <v/>
      </c>
      <c r="N255">
        <f>N254+IF(AND($E255&lt;&gt;"",$E255&lt;=N$2,$F255&gt;=N$2),1,0)</f>
        <v/>
      </c>
      <c r="O255">
        <f>O254+IF(AND($E255&lt;&gt;"",$E255&lt;=O$2,$F255&gt;=O$2),1,0)</f>
        <v/>
      </c>
      <c r="P255">
        <f>P254+IF(AND($E255&lt;&gt;"",$E255&lt;=P$2,$F255&gt;=P$2),1,0)</f>
        <v/>
      </c>
      <c r="Q255">
        <f>Q254+IF(AND($E255&lt;&gt;"",$E255&lt;=Q$2,$F255&gt;=Q$2),1,0)</f>
        <v/>
      </c>
      <c r="R255">
        <f>R254+IF(AND($E255&lt;&gt;"",$E255&lt;=R$2,$F255&gt;=R$2),1,0)</f>
        <v/>
      </c>
      <c r="S255">
        <f>S254+IF(AND($E255&lt;&gt;"",$E255&lt;=S$2,$F255&gt;=S$2),1,0)</f>
        <v/>
      </c>
      <c r="T255">
        <f>T254+IF(AND($E255&lt;&gt;"",$E255&lt;=T$2,$F255&gt;=T$2),1,0)</f>
        <v/>
      </c>
      <c r="U255">
        <f>U254+IF(AND($E255&lt;&gt;"",$E255&lt;=U$2,$F255&gt;=U$2),1,0)</f>
        <v/>
      </c>
      <c r="V255">
        <f>V254+IF(AND($E255&lt;&gt;"",$E255&lt;=V$2,$F255&gt;=V$2),1,0)</f>
        <v/>
      </c>
      <c r="W255">
        <f>W254+IF(AND($E255&lt;&gt;"",$E255&lt;=W$2,$F255&gt;=W$2),1,0)</f>
        <v/>
      </c>
      <c r="X255">
        <f>X254+IF(AND($E255&lt;&gt;"",$E255&lt;=X$2,$F255&gt;=X$2),1,0)</f>
        <v/>
      </c>
      <c r="Y255">
        <f>Y254+IF(AND($E255&lt;&gt;"",$E255&lt;=Y$2,$F255&gt;=Y$2),1,0)</f>
        <v/>
      </c>
      <c r="Z255">
        <f>Z254+IF(AND($E255&lt;&gt;"",$E255&lt;=Z$2,$F255&gt;=Z$2),1,0)</f>
        <v/>
      </c>
      <c r="AA255">
        <f>AA254+IF(AND($E255&lt;&gt;"",$E255&lt;=AA$2,$F255&gt;=AA$2),1,0)</f>
        <v/>
      </c>
      <c r="AB255">
        <f>AB254+IF(AND($E255&lt;&gt;"",$E255&lt;=AB$2,$F255&gt;=AB$2),1,0)</f>
        <v/>
      </c>
      <c r="AC255">
        <f>AC254+IF(AND($E255&lt;&gt;"",$E255&lt;=AC$2,$F255&gt;=AC$2),1,0)</f>
        <v/>
      </c>
      <c r="AD255">
        <f>AD254+IF(AND($E255&lt;&gt;"",$E255&lt;=AD$2,$F255&gt;=AD$2),1,0)</f>
        <v/>
      </c>
      <c r="AE255">
        <f>AE254+IF(AND($E255&lt;&gt;"",$E255&lt;=AE$2,$F255&gt;=AE$2),1,0)</f>
        <v/>
      </c>
      <c r="AF255">
        <f>AF254+IF(AND($E255&lt;&gt;"",$E255&lt;=AF$2,$F255&gt;=AF$2),1,0)</f>
        <v/>
      </c>
      <c r="AG255">
        <f>AG254+IF(AND($E255&lt;&gt;"",$E255&lt;=AG$2,$F255&gt;=AG$2),1,0)</f>
        <v/>
      </c>
      <c r="AH255">
        <f>AH254+IF(AND($E255&lt;&gt;"",$E255&lt;=AH$2,$F255&gt;=AH$2),1,0)</f>
        <v/>
      </c>
      <c r="AI255">
        <f>AI254+IF(AND($E255&lt;&gt;"",$E255&lt;=AI$2,$F255&gt;=AI$2),1,0)</f>
        <v/>
      </c>
      <c r="AJ255">
        <f>AJ254+IF(AND($E255&lt;&gt;"",$E255&lt;=AJ$2,$F255&gt;=AJ$2),1,0)</f>
        <v/>
      </c>
      <c r="AK255">
        <f>AK254+IF(AND($E255&lt;&gt;"",$E255&lt;=AK$2,$F255&gt;=AK$2),1,0)</f>
        <v/>
      </c>
      <c r="AL255">
        <f>AL254+IF(AND($E255&lt;&gt;"",$E255&lt;=AL$2,$F255&gt;=AL$2),1,0)</f>
        <v/>
      </c>
      <c r="AM255">
        <f>AM254+IF(AND($E255&lt;&gt;"",$E255&lt;=AM$2,$F255&gt;=AM$2),1,0)</f>
        <v/>
      </c>
      <c r="AN255">
        <f>AN254+IF(AND($E255&lt;&gt;"",$E255&lt;=AN$2,$F255&gt;=AN$2),1,0)</f>
        <v/>
      </c>
      <c r="AO255">
        <f>AO254+IF(AND($E255&lt;&gt;"",$E255&lt;=AO$2,$F255&gt;=AO$2),1,0)</f>
        <v/>
      </c>
      <c r="AP255">
        <f>AP254+IF(AND($E255&lt;&gt;"",$E255&lt;=AP$2,$F255&gt;=AP$2),1,0)</f>
        <v/>
      </c>
      <c r="AQ255">
        <f>AQ254+IF(AND($E255&lt;&gt;"",$E255&lt;=AQ$2,$F255&gt;=AQ$2),1,0)</f>
        <v/>
      </c>
      <c r="AR255">
        <f>AR254+IF(AND($E255&lt;&gt;"",$E255&lt;=AR$2,$F255&gt;=AR$2),1,0)</f>
        <v/>
      </c>
      <c r="AS255">
        <f>AS254+IF(AND($E255&lt;&gt;"",$E255&lt;=AS$2,$F255&gt;=AS$2),1,0)</f>
        <v/>
      </c>
      <c r="AT255">
        <f>AT254+IF(AND($E255&lt;&gt;"",$E255&lt;=AT$2,$F255&gt;=AT$2),1,0)</f>
        <v/>
      </c>
      <c r="AU255">
        <f>AU254+IF(AND($E255&lt;&gt;"",$E255&lt;=AU$2,$F255&gt;=AU$2),1,0)</f>
        <v/>
      </c>
      <c r="AV255">
        <f>AV254+IF(AND($E255&lt;&gt;"",$E255&lt;=AV$2,$F255&gt;=AV$2),1,0)</f>
        <v/>
      </c>
      <c r="AW255">
        <f>AW254+IF(AND($E255&lt;&gt;"",$E255&lt;=AW$2,$F255&gt;=AW$2),1,0)</f>
        <v/>
      </c>
    </row>
    <row r="256">
      <c r="A256">
        <f>IF(AND(ISNUMBER(Events!$A258),ISNUMBER(Events!$B258)),MAX(0,Events!$B258-Events!$A258),0)</f>
        <v/>
      </c>
      <c r="B256">
        <f>IF(ISNUMBER(Events!$A258),DATE(YEAR($B$1)-1,MONTH(Events!$A258),DAY(Events!$A258)),"")</f>
        <v/>
      </c>
      <c r="C256">
        <f>IF(ISNUMBER(Events!$A258),DATE(YEAR($B$1),MONTH(Events!$A258),DAY(Events!$A258)),"")</f>
        <v/>
      </c>
      <c r="D256">
        <f>IF(ISNUMBER(Events!$A258),DATE(YEAR($B$2),MONTH(Events!$A258),DAY(Events!$A258)),"")</f>
        <v/>
      </c>
      <c r="E256">
        <f>IF(OR(NOT(ISNUMBER(Events!$A258)),Events!$G258="No",Calendar!$H$4="None"),"",IF(OR(Calendar!$H$4="All events",Events!$D258=Calendar!$H$4),IF(Events!$E258="Yes",IF(AND(B256&gt;=Events!$A258,B256&lt;=$B$2,B256+$A256&gt;=$B$1),B256,IF(AND(C256&gt;=Events!$A258,C256&lt;=$B$2,C256+$A256&gt;=$B$1),C256,IF(AND(D256&gt;=Events!$A258,D256&lt;=$B$2,D256+$A256&gt;=$B$1),D256,""))),IF(AND(Events!$A258&lt;=$B$2,Events!$A258+$A256&gt;=$B$1),Events!$A258,"")),""))</f>
        <v/>
      </c>
      <c r="F256">
        <f>IF(E256="","",E256+A256)</f>
        <v/>
      </c>
      <c r="G256">
        <f>IF(E256="","",IF(AND(E256&lt;=EOMONTH(Calendar!$K$2,0),F256&gt;=Calendar!$K$2),E256+253/100000,""))</f>
        <v/>
      </c>
      <c r="H256">
        <f>H255+IF(AND($E256&lt;&gt;"",$E256&lt;=H$2,$F256&gt;=H$2),1,0)</f>
        <v/>
      </c>
      <c r="I256">
        <f>I255+IF(AND($E256&lt;&gt;"",$E256&lt;=I$2,$F256&gt;=I$2),1,0)</f>
        <v/>
      </c>
      <c r="J256">
        <f>J255+IF(AND($E256&lt;&gt;"",$E256&lt;=J$2,$F256&gt;=J$2),1,0)</f>
        <v/>
      </c>
      <c r="K256">
        <f>K255+IF(AND($E256&lt;&gt;"",$E256&lt;=K$2,$F256&gt;=K$2),1,0)</f>
        <v/>
      </c>
      <c r="L256">
        <f>L255+IF(AND($E256&lt;&gt;"",$E256&lt;=L$2,$F256&gt;=L$2),1,0)</f>
        <v/>
      </c>
      <c r="M256">
        <f>M255+IF(AND($E256&lt;&gt;"",$E256&lt;=M$2,$F256&gt;=M$2),1,0)</f>
        <v/>
      </c>
      <c r="N256">
        <f>N255+IF(AND($E256&lt;&gt;"",$E256&lt;=N$2,$F256&gt;=N$2),1,0)</f>
        <v/>
      </c>
      <c r="O256">
        <f>O255+IF(AND($E256&lt;&gt;"",$E256&lt;=O$2,$F256&gt;=O$2),1,0)</f>
        <v/>
      </c>
      <c r="P256">
        <f>P255+IF(AND($E256&lt;&gt;"",$E256&lt;=P$2,$F256&gt;=P$2),1,0)</f>
        <v/>
      </c>
      <c r="Q256">
        <f>Q255+IF(AND($E256&lt;&gt;"",$E256&lt;=Q$2,$F256&gt;=Q$2),1,0)</f>
        <v/>
      </c>
      <c r="R256">
        <f>R255+IF(AND($E256&lt;&gt;"",$E256&lt;=R$2,$F256&gt;=R$2),1,0)</f>
        <v/>
      </c>
      <c r="S256">
        <f>S255+IF(AND($E256&lt;&gt;"",$E256&lt;=S$2,$F256&gt;=S$2),1,0)</f>
        <v/>
      </c>
      <c r="T256">
        <f>T255+IF(AND($E256&lt;&gt;"",$E256&lt;=T$2,$F256&gt;=T$2),1,0)</f>
        <v/>
      </c>
      <c r="U256">
        <f>U255+IF(AND($E256&lt;&gt;"",$E256&lt;=U$2,$F256&gt;=U$2),1,0)</f>
        <v/>
      </c>
      <c r="V256">
        <f>V255+IF(AND($E256&lt;&gt;"",$E256&lt;=V$2,$F256&gt;=V$2),1,0)</f>
        <v/>
      </c>
      <c r="W256">
        <f>W255+IF(AND($E256&lt;&gt;"",$E256&lt;=W$2,$F256&gt;=W$2),1,0)</f>
        <v/>
      </c>
      <c r="X256">
        <f>X255+IF(AND($E256&lt;&gt;"",$E256&lt;=X$2,$F256&gt;=X$2),1,0)</f>
        <v/>
      </c>
      <c r="Y256">
        <f>Y255+IF(AND($E256&lt;&gt;"",$E256&lt;=Y$2,$F256&gt;=Y$2),1,0)</f>
        <v/>
      </c>
      <c r="Z256">
        <f>Z255+IF(AND($E256&lt;&gt;"",$E256&lt;=Z$2,$F256&gt;=Z$2),1,0)</f>
        <v/>
      </c>
      <c r="AA256">
        <f>AA255+IF(AND($E256&lt;&gt;"",$E256&lt;=AA$2,$F256&gt;=AA$2),1,0)</f>
        <v/>
      </c>
      <c r="AB256">
        <f>AB255+IF(AND($E256&lt;&gt;"",$E256&lt;=AB$2,$F256&gt;=AB$2),1,0)</f>
        <v/>
      </c>
      <c r="AC256">
        <f>AC255+IF(AND($E256&lt;&gt;"",$E256&lt;=AC$2,$F256&gt;=AC$2),1,0)</f>
        <v/>
      </c>
      <c r="AD256">
        <f>AD255+IF(AND($E256&lt;&gt;"",$E256&lt;=AD$2,$F256&gt;=AD$2),1,0)</f>
        <v/>
      </c>
      <c r="AE256">
        <f>AE255+IF(AND($E256&lt;&gt;"",$E256&lt;=AE$2,$F256&gt;=AE$2),1,0)</f>
        <v/>
      </c>
      <c r="AF256">
        <f>AF255+IF(AND($E256&lt;&gt;"",$E256&lt;=AF$2,$F256&gt;=AF$2),1,0)</f>
        <v/>
      </c>
      <c r="AG256">
        <f>AG255+IF(AND($E256&lt;&gt;"",$E256&lt;=AG$2,$F256&gt;=AG$2),1,0)</f>
        <v/>
      </c>
      <c r="AH256">
        <f>AH255+IF(AND($E256&lt;&gt;"",$E256&lt;=AH$2,$F256&gt;=AH$2),1,0)</f>
        <v/>
      </c>
      <c r="AI256">
        <f>AI255+IF(AND($E256&lt;&gt;"",$E256&lt;=AI$2,$F256&gt;=AI$2),1,0)</f>
        <v/>
      </c>
      <c r="AJ256">
        <f>AJ255+IF(AND($E256&lt;&gt;"",$E256&lt;=AJ$2,$F256&gt;=AJ$2),1,0)</f>
        <v/>
      </c>
      <c r="AK256">
        <f>AK255+IF(AND($E256&lt;&gt;"",$E256&lt;=AK$2,$F256&gt;=AK$2),1,0)</f>
        <v/>
      </c>
      <c r="AL256">
        <f>AL255+IF(AND($E256&lt;&gt;"",$E256&lt;=AL$2,$F256&gt;=AL$2),1,0)</f>
        <v/>
      </c>
      <c r="AM256">
        <f>AM255+IF(AND($E256&lt;&gt;"",$E256&lt;=AM$2,$F256&gt;=AM$2),1,0)</f>
        <v/>
      </c>
      <c r="AN256">
        <f>AN255+IF(AND($E256&lt;&gt;"",$E256&lt;=AN$2,$F256&gt;=AN$2),1,0)</f>
        <v/>
      </c>
      <c r="AO256">
        <f>AO255+IF(AND($E256&lt;&gt;"",$E256&lt;=AO$2,$F256&gt;=AO$2),1,0)</f>
        <v/>
      </c>
      <c r="AP256">
        <f>AP255+IF(AND($E256&lt;&gt;"",$E256&lt;=AP$2,$F256&gt;=AP$2),1,0)</f>
        <v/>
      </c>
      <c r="AQ256">
        <f>AQ255+IF(AND($E256&lt;&gt;"",$E256&lt;=AQ$2,$F256&gt;=AQ$2),1,0)</f>
        <v/>
      </c>
      <c r="AR256">
        <f>AR255+IF(AND($E256&lt;&gt;"",$E256&lt;=AR$2,$F256&gt;=AR$2),1,0)</f>
        <v/>
      </c>
      <c r="AS256">
        <f>AS255+IF(AND($E256&lt;&gt;"",$E256&lt;=AS$2,$F256&gt;=AS$2),1,0)</f>
        <v/>
      </c>
      <c r="AT256">
        <f>AT255+IF(AND($E256&lt;&gt;"",$E256&lt;=AT$2,$F256&gt;=AT$2),1,0)</f>
        <v/>
      </c>
      <c r="AU256">
        <f>AU255+IF(AND($E256&lt;&gt;"",$E256&lt;=AU$2,$F256&gt;=AU$2),1,0)</f>
        <v/>
      </c>
      <c r="AV256">
        <f>AV255+IF(AND($E256&lt;&gt;"",$E256&lt;=AV$2,$F256&gt;=AV$2),1,0)</f>
        <v/>
      </c>
      <c r="AW256">
        <f>AW255+IF(AND($E256&lt;&gt;"",$E256&lt;=AW$2,$F256&gt;=AW$2),1,0)</f>
        <v/>
      </c>
    </row>
    <row r="257">
      <c r="A257">
        <f>IF(AND(ISNUMBER(Events!$A259),ISNUMBER(Events!$B259)),MAX(0,Events!$B259-Events!$A259),0)</f>
        <v/>
      </c>
      <c r="B257">
        <f>IF(ISNUMBER(Events!$A259),DATE(YEAR($B$1)-1,MONTH(Events!$A259),DAY(Events!$A259)),"")</f>
        <v/>
      </c>
      <c r="C257">
        <f>IF(ISNUMBER(Events!$A259),DATE(YEAR($B$1),MONTH(Events!$A259),DAY(Events!$A259)),"")</f>
        <v/>
      </c>
      <c r="D257">
        <f>IF(ISNUMBER(Events!$A259),DATE(YEAR($B$2),MONTH(Events!$A259),DAY(Events!$A259)),"")</f>
        <v/>
      </c>
      <c r="E257">
        <f>IF(OR(NOT(ISNUMBER(Events!$A259)),Events!$G259="No",Calendar!$H$4="None"),"",IF(OR(Calendar!$H$4="All events",Events!$D259=Calendar!$H$4),IF(Events!$E259="Yes",IF(AND(B257&gt;=Events!$A259,B257&lt;=$B$2,B257+$A257&gt;=$B$1),B257,IF(AND(C257&gt;=Events!$A259,C257&lt;=$B$2,C257+$A257&gt;=$B$1),C257,IF(AND(D257&gt;=Events!$A259,D257&lt;=$B$2,D257+$A257&gt;=$B$1),D257,""))),IF(AND(Events!$A259&lt;=$B$2,Events!$A259+$A257&gt;=$B$1),Events!$A259,"")),""))</f>
        <v/>
      </c>
      <c r="F257">
        <f>IF(E257="","",E257+A257)</f>
        <v/>
      </c>
      <c r="G257">
        <f>IF(E257="","",IF(AND(E257&lt;=EOMONTH(Calendar!$K$2,0),F257&gt;=Calendar!$K$2),E257+254/100000,""))</f>
        <v/>
      </c>
      <c r="H257">
        <f>H256+IF(AND($E257&lt;&gt;"",$E257&lt;=H$2,$F257&gt;=H$2),1,0)</f>
        <v/>
      </c>
      <c r="I257">
        <f>I256+IF(AND($E257&lt;&gt;"",$E257&lt;=I$2,$F257&gt;=I$2),1,0)</f>
        <v/>
      </c>
      <c r="J257">
        <f>J256+IF(AND($E257&lt;&gt;"",$E257&lt;=J$2,$F257&gt;=J$2),1,0)</f>
        <v/>
      </c>
      <c r="K257">
        <f>K256+IF(AND($E257&lt;&gt;"",$E257&lt;=K$2,$F257&gt;=K$2),1,0)</f>
        <v/>
      </c>
      <c r="L257">
        <f>L256+IF(AND($E257&lt;&gt;"",$E257&lt;=L$2,$F257&gt;=L$2),1,0)</f>
        <v/>
      </c>
      <c r="M257">
        <f>M256+IF(AND($E257&lt;&gt;"",$E257&lt;=M$2,$F257&gt;=M$2),1,0)</f>
        <v/>
      </c>
      <c r="N257">
        <f>N256+IF(AND($E257&lt;&gt;"",$E257&lt;=N$2,$F257&gt;=N$2),1,0)</f>
        <v/>
      </c>
      <c r="O257">
        <f>O256+IF(AND($E257&lt;&gt;"",$E257&lt;=O$2,$F257&gt;=O$2),1,0)</f>
        <v/>
      </c>
      <c r="P257">
        <f>P256+IF(AND($E257&lt;&gt;"",$E257&lt;=P$2,$F257&gt;=P$2),1,0)</f>
        <v/>
      </c>
      <c r="Q257">
        <f>Q256+IF(AND($E257&lt;&gt;"",$E257&lt;=Q$2,$F257&gt;=Q$2),1,0)</f>
        <v/>
      </c>
      <c r="R257">
        <f>R256+IF(AND($E257&lt;&gt;"",$E257&lt;=R$2,$F257&gt;=R$2),1,0)</f>
        <v/>
      </c>
      <c r="S257">
        <f>S256+IF(AND($E257&lt;&gt;"",$E257&lt;=S$2,$F257&gt;=S$2),1,0)</f>
        <v/>
      </c>
      <c r="T257">
        <f>T256+IF(AND($E257&lt;&gt;"",$E257&lt;=T$2,$F257&gt;=T$2),1,0)</f>
        <v/>
      </c>
      <c r="U257">
        <f>U256+IF(AND($E257&lt;&gt;"",$E257&lt;=U$2,$F257&gt;=U$2),1,0)</f>
        <v/>
      </c>
      <c r="V257">
        <f>V256+IF(AND($E257&lt;&gt;"",$E257&lt;=V$2,$F257&gt;=V$2),1,0)</f>
        <v/>
      </c>
      <c r="W257">
        <f>W256+IF(AND($E257&lt;&gt;"",$E257&lt;=W$2,$F257&gt;=W$2),1,0)</f>
        <v/>
      </c>
      <c r="X257">
        <f>X256+IF(AND($E257&lt;&gt;"",$E257&lt;=X$2,$F257&gt;=X$2),1,0)</f>
        <v/>
      </c>
      <c r="Y257">
        <f>Y256+IF(AND($E257&lt;&gt;"",$E257&lt;=Y$2,$F257&gt;=Y$2),1,0)</f>
        <v/>
      </c>
      <c r="Z257">
        <f>Z256+IF(AND($E257&lt;&gt;"",$E257&lt;=Z$2,$F257&gt;=Z$2),1,0)</f>
        <v/>
      </c>
      <c r="AA257">
        <f>AA256+IF(AND($E257&lt;&gt;"",$E257&lt;=AA$2,$F257&gt;=AA$2),1,0)</f>
        <v/>
      </c>
      <c r="AB257">
        <f>AB256+IF(AND($E257&lt;&gt;"",$E257&lt;=AB$2,$F257&gt;=AB$2),1,0)</f>
        <v/>
      </c>
      <c r="AC257">
        <f>AC256+IF(AND($E257&lt;&gt;"",$E257&lt;=AC$2,$F257&gt;=AC$2),1,0)</f>
        <v/>
      </c>
      <c r="AD257">
        <f>AD256+IF(AND($E257&lt;&gt;"",$E257&lt;=AD$2,$F257&gt;=AD$2),1,0)</f>
        <v/>
      </c>
      <c r="AE257">
        <f>AE256+IF(AND($E257&lt;&gt;"",$E257&lt;=AE$2,$F257&gt;=AE$2),1,0)</f>
        <v/>
      </c>
      <c r="AF257">
        <f>AF256+IF(AND($E257&lt;&gt;"",$E257&lt;=AF$2,$F257&gt;=AF$2),1,0)</f>
        <v/>
      </c>
      <c r="AG257">
        <f>AG256+IF(AND($E257&lt;&gt;"",$E257&lt;=AG$2,$F257&gt;=AG$2),1,0)</f>
        <v/>
      </c>
      <c r="AH257">
        <f>AH256+IF(AND($E257&lt;&gt;"",$E257&lt;=AH$2,$F257&gt;=AH$2),1,0)</f>
        <v/>
      </c>
      <c r="AI257">
        <f>AI256+IF(AND($E257&lt;&gt;"",$E257&lt;=AI$2,$F257&gt;=AI$2),1,0)</f>
        <v/>
      </c>
      <c r="AJ257">
        <f>AJ256+IF(AND($E257&lt;&gt;"",$E257&lt;=AJ$2,$F257&gt;=AJ$2),1,0)</f>
        <v/>
      </c>
      <c r="AK257">
        <f>AK256+IF(AND($E257&lt;&gt;"",$E257&lt;=AK$2,$F257&gt;=AK$2),1,0)</f>
        <v/>
      </c>
      <c r="AL257">
        <f>AL256+IF(AND($E257&lt;&gt;"",$E257&lt;=AL$2,$F257&gt;=AL$2),1,0)</f>
        <v/>
      </c>
      <c r="AM257">
        <f>AM256+IF(AND($E257&lt;&gt;"",$E257&lt;=AM$2,$F257&gt;=AM$2),1,0)</f>
        <v/>
      </c>
      <c r="AN257">
        <f>AN256+IF(AND($E257&lt;&gt;"",$E257&lt;=AN$2,$F257&gt;=AN$2),1,0)</f>
        <v/>
      </c>
      <c r="AO257">
        <f>AO256+IF(AND($E257&lt;&gt;"",$E257&lt;=AO$2,$F257&gt;=AO$2),1,0)</f>
        <v/>
      </c>
      <c r="AP257">
        <f>AP256+IF(AND($E257&lt;&gt;"",$E257&lt;=AP$2,$F257&gt;=AP$2),1,0)</f>
        <v/>
      </c>
      <c r="AQ257">
        <f>AQ256+IF(AND($E257&lt;&gt;"",$E257&lt;=AQ$2,$F257&gt;=AQ$2),1,0)</f>
        <v/>
      </c>
      <c r="AR257">
        <f>AR256+IF(AND($E257&lt;&gt;"",$E257&lt;=AR$2,$F257&gt;=AR$2),1,0)</f>
        <v/>
      </c>
      <c r="AS257">
        <f>AS256+IF(AND($E257&lt;&gt;"",$E257&lt;=AS$2,$F257&gt;=AS$2),1,0)</f>
        <v/>
      </c>
      <c r="AT257">
        <f>AT256+IF(AND($E257&lt;&gt;"",$E257&lt;=AT$2,$F257&gt;=AT$2),1,0)</f>
        <v/>
      </c>
      <c r="AU257">
        <f>AU256+IF(AND($E257&lt;&gt;"",$E257&lt;=AU$2,$F257&gt;=AU$2),1,0)</f>
        <v/>
      </c>
      <c r="AV257">
        <f>AV256+IF(AND($E257&lt;&gt;"",$E257&lt;=AV$2,$F257&gt;=AV$2),1,0)</f>
        <v/>
      </c>
      <c r="AW257">
        <f>AW256+IF(AND($E257&lt;&gt;"",$E257&lt;=AW$2,$F257&gt;=AW$2),1,0)</f>
        <v/>
      </c>
    </row>
    <row r="258">
      <c r="A258">
        <f>IF(AND(ISNUMBER(Events!$A260),ISNUMBER(Events!$B260)),MAX(0,Events!$B260-Events!$A260),0)</f>
        <v/>
      </c>
      <c r="B258">
        <f>IF(ISNUMBER(Events!$A260),DATE(YEAR($B$1)-1,MONTH(Events!$A260),DAY(Events!$A260)),"")</f>
        <v/>
      </c>
      <c r="C258">
        <f>IF(ISNUMBER(Events!$A260),DATE(YEAR($B$1),MONTH(Events!$A260),DAY(Events!$A260)),"")</f>
        <v/>
      </c>
      <c r="D258">
        <f>IF(ISNUMBER(Events!$A260),DATE(YEAR($B$2),MONTH(Events!$A260),DAY(Events!$A260)),"")</f>
        <v/>
      </c>
      <c r="E258">
        <f>IF(OR(NOT(ISNUMBER(Events!$A260)),Events!$G260="No",Calendar!$H$4="None"),"",IF(OR(Calendar!$H$4="All events",Events!$D260=Calendar!$H$4),IF(Events!$E260="Yes",IF(AND(B258&gt;=Events!$A260,B258&lt;=$B$2,B258+$A258&gt;=$B$1),B258,IF(AND(C258&gt;=Events!$A260,C258&lt;=$B$2,C258+$A258&gt;=$B$1),C258,IF(AND(D258&gt;=Events!$A260,D258&lt;=$B$2,D258+$A258&gt;=$B$1),D258,""))),IF(AND(Events!$A260&lt;=$B$2,Events!$A260+$A258&gt;=$B$1),Events!$A260,"")),""))</f>
        <v/>
      </c>
      <c r="F258">
        <f>IF(E258="","",E258+A258)</f>
        <v/>
      </c>
      <c r="G258">
        <f>IF(E258="","",IF(AND(E258&lt;=EOMONTH(Calendar!$K$2,0),F258&gt;=Calendar!$K$2),E258+255/100000,""))</f>
        <v/>
      </c>
      <c r="H258">
        <f>H257+IF(AND($E258&lt;&gt;"",$E258&lt;=H$2,$F258&gt;=H$2),1,0)</f>
        <v/>
      </c>
      <c r="I258">
        <f>I257+IF(AND($E258&lt;&gt;"",$E258&lt;=I$2,$F258&gt;=I$2),1,0)</f>
        <v/>
      </c>
      <c r="J258">
        <f>J257+IF(AND($E258&lt;&gt;"",$E258&lt;=J$2,$F258&gt;=J$2),1,0)</f>
        <v/>
      </c>
      <c r="K258">
        <f>K257+IF(AND($E258&lt;&gt;"",$E258&lt;=K$2,$F258&gt;=K$2),1,0)</f>
        <v/>
      </c>
      <c r="L258">
        <f>L257+IF(AND($E258&lt;&gt;"",$E258&lt;=L$2,$F258&gt;=L$2),1,0)</f>
        <v/>
      </c>
      <c r="M258">
        <f>M257+IF(AND($E258&lt;&gt;"",$E258&lt;=M$2,$F258&gt;=M$2),1,0)</f>
        <v/>
      </c>
      <c r="N258">
        <f>N257+IF(AND($E258&lt;&gt;"",$E258&lt;=N$2,$F258&gt;=N$2),1,0)</f>
        <v/>
      </c>
      <c r="O258">
        <f>O257+IF(AND($E258&lt;&gt;"",$E258&lt;=O$2,$F258&gt;=O$2),1,0)</f>
        <v/>
      </c>
      <c r="P258">
        <f>P257+IF(AND($E258&lt;&gt;"",$E258&lt;=P$2,$F258&gt;=P$2),1,0)</f>
        <v/>
      </c>
      <c r="Q258">
        <f>Q257+IF(AND($E258&lt;&gt;"",$E258&lt;=Q$2,$F258&gt;=Q$2),1,0)</f>
        <v/>
      </c>
      <c r="R258">
        <f>R257+IF(AND($E258&lt;&gt;"",$E258&lt;=R$2,$F258&gt;=R$2),1,0)</f>
        <v/>
      </c>
      <c r="S258">
        <f>S257+IF(AND($E258&lt;&gt;"",$E258&lt;=S$2,$F258&gt;=S$2),1,0)</f>
        <v/>
      </c>
      <c r="T258">
        <f>T257+IF(AND($E258&lt;&gt;"",$E258&lt;=T$2,$F258&gt;=T$2),1,0)</f>
        <v/>
      </c>
      <c r="U258">
        <f>U257+IF(AND($E258&lt;&gt;"",$E258&lt;=U$2,$F258&gt;=U$2),1,0)</f>
        <v/>
      </c>
      <c r="V258">
        <f>V257+IF(AND($E258&lt;&gt;"",$E258&lt;=V$2,$F258&gt;=V$2),1,0)</f>
        <v/>
      </c>
      <c r="W258">
        <f>W257+IF(AND($E258&lt;&gt;"",$E258&lt;=W$2,$F258&gt;=W$2),1,0)</f>
        <v/>
      </c>
      <c r="X258">
        <f>X257+IF(AND($E258&lt;&gt;"",$E258&lt;=X$2,$F258&gt;=X$2),1,0)</f>
        <v/>
      </c>
      <c r="Y258">
        <f>Y257+IF(AND($E258&lt;&gt;"",$E258&lt;=Y$2,$F258&gt;=Y$2),1,0)</f>
        <v/>
      </c>
      <c r="Z258">
        <f>Z257+IF(AND($E258&lt;&gt;"",$E258&lt;=Z$2,$F258&gt;=Z$2),1,0)</f>
        <v/>
      </c>
      <c r="AA258">
        <f>AA257+IF(AND($E258&lt;&gt;"",$E258&lt;=AA$2,$F258&gt;=AA$2),1,0)</f>
        <v/>
      </c>
      <c r="AB258">
        <f>AB257+IF(AND($E258&lt;&gt;"",$E258&lt;=AB$2,$F258&gt;=AB$2),1,0)</f>
        <v/>
      </c>
      <c r="AC258">
        <f>AC257+IF(AND($E258&lt;&gt;"",$E258&lt;=AC$2,$F258&gt;=AC$2),1,0)</f>
        <v/>
      </c>
      <c r="AD258">
        <f>AD257+IF(AND($E258&lt;&gt;"",$E258&lt;=AD$2,$F258&gt;=AD$2),1,0)</f>
        <v/>
      </c>
      <c r="AE258">
        <f>AE257+IF(AND($E258&lt;&gt;"",$E258&lt;=AE$2,$F258&gt;=AE$2),1,0)</f>
        <v/>
      </c>
      <c r="AF258">
        <f>AF257+IF(AND($E258&lt;&gt;"",$E258&lt;=AF$2,$F258&gt;=AF$2),1,0)</f>
        <v/>
      </c>
      <c r="AG258">
        <f>AG257+IF(AND($E258&lt;&gt;"",$E258&lt;=AG$2,$F258&gt;=AG$2),1,0)</f>
        <v/>
      </c>
      <c r="AH258">
        <f>AH257+IF(AND($E258&lt;&gt;"",$E258&lt;=AH$2,$F258&gt;=AH$2),1,0)</f>
        <v/>
      </c>
      <c r="AI258">
        <f>AI257+IF(AND($E258&lt;&gt;"",$E258&lt;=AI$2,$F258&gt;=AI$2),1,0)</f>
        <v/>
      </c>
      <c r="AJ258">
        <f>AJ257+IF(AND($E258&lt;&gt;"",$E258&lt;=AJ$2,$F258&gt;=AJ$2),1,0)</f>
        <v/>
      </c>
      <c r="AK258">
        <f>AK257+IF(AND($E258&lt;&gt;"",$E258&lt;=AK$2,$F258&gt;=AK$2),1,0)</f>
        <v/>
      </c>
      <c r="AL258">
        <f>AL257+IF(AND($E258&lt;&gt;"",$E258&lt;=AL$2,$F258&gt;=AL$2),1,0)</f>
        <v/>
      </c>
      <c r="AM258">
        <f>AM257+IF(AND($E258&lt;&gt;"",$E258&lt;=AM$2,$F258&gt;=AM$2),1,0)</f>
        <v/>
      </c>
      <c r="AN258">
        <f>AN257+IF(AND($E258&lt;&gt;"",$E258&lt;=AN$2,$F258&gt;=AN$2),1,0)</f>
        <v/>
      </c>
      <c r="AO258">
        <f>AO257+IF(AND($E258&lt;&gt;"",$E258&lt;=AO$2,$F258&gt;=AO$2),1,0)</f>
        <v/>
      </c>
      <c r="AP258">
        <f>AP257+IF(AND($E258&lt;&gt;"",$E258&lt;=AP$2,$F258&gt;=AP$2),1,0)</f>
        <v/>
      </c>
      <c r="AQ258">
        <f>AQ257+IF(AND($E258&lt;&gt;"",$E258&lt;=AQ$2,$F258&gt;=AQ$2),1,0)</f>
        <v/>
      </c>
      <c r="AR258">
        <f>AR257+IF(AND($E258&lt;&gt;"",$E258&lt;=AR$2,$F258&gt;=AR$2),1,0)</f>
        <v/>
      </c>
      <c r="AS258">
        <f>AS257+IF(AND($E258&lt;&gt;"",$E258&lt;=AS$2,$F258&gt;=AS$2),1,0)</f>
        <v/>
      </c>
      <c r="AT258">
        <f>AT257+IF(AND($E258&lt;&gt;"",$E258&lt;=AT$2,$F258&gt;=AT$2),1,0)</f>
        <v/>
      </c>
      <c r="AU258">
        <f>AU257+IF(AND($E258&lt;&gt;"",$E258&lt;=AU$2,$F258&gt;=AU$2),1,0)</f>
        <v/>
      </c>
      <c r="AV258">
        <f>AV257+IF(AND($E258&lt;&gt;"",$E258&lt;=AV$2,$F258&gt;=AV$2),1,0)</f>
        <v/>
      </c>
      <c r="AW258">
        <f>AW257+IF(AND($E258&lt;&gt;"",$E258&lt;=AW$2,$F258&gt;=AW$2),1,0)</f>
        <v/>
      </c>
    </row>
    <row r="259">
      <c r="A259">
        <f>IF(AND(ISNUMBER(Events!$A261),ISNUMBER(Events!$B261)),MAX(0,Events!$B261-Events!$A261),0)</f>
        <v/>
      </c>
      <c r="B259">
        <f>IF(ISNUMBER(Events!$A261),DATE(YEAR($B$1)-1,MONTH(Events!$A261),DAY(Events!$A261)),"")</f>
        <v/>
      </c>
      <c r="C259">
        <f>IF(ISNUMBER(Events!$A261),DATE(YEAR($B$1),MONTH(Events!$A261),DAY(Events!$A261)),"")</f>
        <v/>
      </c>
      <c r="D259">
        <f>IF(ISNUMBER(Events!$A261),DATE(YEAR($B$2),MONTH(Events!$A261),DAY(Events!$A261)),"")</f>
        <v/>
      </c>
      <c r="E259">
        <f>IF(OR(NOT(ISNUMBER(Events!$A261)),Events!$G261="No",Calendar!$H$4="None"),"",IF(OR(Calendar!$H$4="All events",Events!$D261=Calendar!$H$4),IF(Events!$E261="Yes",IF(AND(B259&gt;=Events!$A261,B259&lt;=$B$2,B259+$A259&gt;=$B$1),B259,IF(AND(C259&gt;=Events!$A261,C259&lt;=$B$2,C259+$A259&gt;=$B$1),C259,IF(AND(D259&gt;=Events!$A261,D259&lt;=$B$2,D259+$A259&gt;=$B$1),D259,""))),IF(AND(Events!$A261&lt;=$B$2,Events!$A261+$A259&gt;=$B$1),Events!$A261,"")),""))</f>
        <v/>
      </c>
      <c r="F259">
        <f>IF(E259="","",E259+A259)</f>
        <v/>
      </c>
      <c r="G259">
        <f>IF(E259="","",IF(AND(E259&lt;=EOMONTH(Calendar!$K$2,0),F259&gt;=Calendar!$K$2),E259+256/100000,""))</f>
        <v/>
      </c>
      <c r="H259">
        <f>H258+IF(AND($E259&lt;&gt;"",$E259&lt;=H$2,$F259&gt;=H$2),1,0)</f>
        <v/>
      </c>
      <c r="I259">
        <f>I258+IF(AND($E259&lt;&gt;"",$E259&lt;=I$2,$F259&gt;=I$2),1,0)</f>
        <v/>
      </c>
      <c r="J259">
        <f>J258+IF(AND($E259&lt;&gt;"",$E259&lt;=J$2,$F259&gt;=J$2),1,0)</f>
        <v/>
      </c>
      <c r="K259">
        <f>K258+IF(AND($E259&lt;&gt;"",$E259&lt;=K$2,$F259&gt;=K$2),1,0)</f>
        <v/>
      </c>
      <c r="L259">
        <f>L258+IF(AND($E259&lt;&gt;"",$E259&lt;=L$2,$F259&gt;=L$2),1,0)</f>
        <v/>
      </c>
      <c r="M259">
        <f>M258+IF(AND($E259&lt;&gt;"",$E259&lt;=M$2,$F259&gt;=M$2),1,0)</f>
        <v/>
      </c>
      <c r="N259">
        <f>N258+IF(AND($E259&lt;&gt;"",$E259&lt;=N$2,$F259&gt;=N$2),1,0)</f>
        <v/>
      </c>
      <c r="O259">
        <f>O258+IF(AND($E259&lt;&gt;"",$E259&lt;=O$2,$F259&gt;=O$2),1,0)</f>
        <v/>
      </c>
      <c r="P259">
        <f>P258+IF(AND($E259&lt;&gt;"",$E259&lt;=P$2,$F259&gt;=P$2),1,0)</f>
        <v/>
      </c>
      <c r="Q259">
        <f>Q258+IF(AND($E259&lt;&gt;"",$E259&lt;=Q$2,$F259&gt;=Q$2),1,0)</f>
        <v/>
      </c>
      <c r="R259">
        <f>R258+IF(AND($E259&lt;&gt;"",$E259&lt;=R$2,$F259&gt;=R$2),1,0)</f>
        <v/>
      </c>
      <c r="S259">
        <f>S258+IF(AND($E259&lt;&gt;"",$E259&lt;=S$2,$F259&gt;=S$2),1,0)</f>
        <v/>
      </c>
      <c r="T259">
        <f>T258+IF(AND($E259&lt;&gt;"",$E259&lt;=T$2,$F259&gt;=T$2),1,0)</f>
        <v/>
      </c>
      <c r="U259">
        <f>U258+IF(AND($E259&lt;&gt;"",$E259&lt;=U$2,$F259&gt;=U$2),1,0)</f>
        <v/>
      </c>
      <c r="V259">
        <f>V258+IF(AND($E259&lt;&gt;"",$E259&lt;=V$2,$F259&gt;=V$2),1,0)</f>
        <v/>
      </c>
      <c r="W259">
        <f>W258+IF(AND($E259&lt;&gt;"",$E259&lt;=W$2,$F259&gt;=W$2),1,0)</f>
        <v/>
      </c>
      <c r="X259">
        <f>X258+IF(AND($E259&lt;&gt;"",$E259&lt;=X$2,$F259&gt;=X$2),1,0)</f>
        <v/>
      </c>
      <c r="Y259">
        <f>Y258+IF(AND($E259&lt;&gt;"",$E259&lt;=Y$2,$F259&gt;=Y$2),1,0)</f>
        <v/>
      </c>
      <c r="Z259">
        <f>Z258+IF(AND($E259&lt;&gt;"",$E259&lt;=Z$2,$F259&gt;=Z$2),1,0)</f>
        <v/>
      </c>
      <c r="AA259">
        <f>AA258+IF(AND($E259&lt;&gt;"",$E259&lt;=AA$2,$F259&gt;=AA$2),1,0)</f>
        <v/>
      </c>
      <c r="AB259">
        <f>AB258+IF(AND($E259&lt;&gt;"",$E259&lt;=AB$2,$F259&gt;=AB$2),1,0)</f>
        <v/>
      </c>
      <c r="AC259">
        <f>AC258+IF(AND($E259&lt;&gt;"",$E259&lt;=AC$2,$F259&gt;=AC$2),1,0)</f>
        <v/>
      </c>
      <c r="AD259">
        <f>AD258+IF(AND($E259&lt;&gt;"",$E259&lt;=AD$2,$F259&gt;=AD$2),1,0)</f>
        <v/>
      </c>
      <c r="AE259">
        <f>AE258+IF(AND($E259&lt;&gt;"",$E259&lt;=AE$2,$F259&gt;=AE$2),1,0)</f>
        <v/>
      </c>
      <c r="AF259">
        <f>AF258+IF(AND($E259&lt;&gt;"",$E259&lt;=AF$2,$F259&gt;=AF$2),1,0)</f>
        <v/>
      </c>
      <c r="AG259">
        <f>AG258+IF(AND($E259&lt;&gt;"",$E259&lt;=AG$2,$F259&gt;=AG$2),1,0)</f>
        <v/>
      </c>
      <c r="AH259">
        <f>AH258+IF(AND($E259&lt;&gt;"",$E259&lt;=AH$2,$F259&gt;=AH$2),1,0)</f>
        <v/>
      </c>
      <c r="AI259">
        <f>AI258+IF(AND($E259&lt;&gt;"",$E259&lt;=AI$2,$F259&gt;=AI$2),1,0)</f>
        <v/>
      </c>
      <c r="AJ259">
        <f>AJ258+IF(AND($E259&lt;&gt;"",$E259&lt;=AJ$2,$F259&gt;=AJ$2),1,0)</f>
        <v/>
      </c>
      <c r="AK259">
        <f>AK258+IF(AND($E259&lt;&gt;"",$E259&lt;=AK$2,$F259&gt;=AK$2),1,0)</f>
        <v/>
      </c>
      <c r="AL259">
        <f>AL258+IF(AND($E259&lt;&gt;"",$E259&lt;=AL$2,$F259&gt;=AL$2),1,0)</f>
        <v/>
      </c>
      <c r="AM259">
        <f>AM258+IF(AND($E259&lt;&gt;"",$E259&lt;=AM$2,$F259&gt;=AM$2),1,0)</f>
        <v/>
      </c>
      <c r="AN259">
        <f>AN258+IF(AND($E259&lt;&gt;"",$E259&lt;=AN$2,$F259&gt;=AN$2),1,0)</f>
        <v/>
      </c>
      <c r="AO259">
        <f>AO258+IF(AND($E259&lt;&gt;"",$E259&lt;=AO$2,$F259&gt;=AO$2),1,0)</f>
        <v/>
      </c>
      <c r="AP259">
        <f>AP258+IF(AND($E259&lt;&gt;"",$E259&lt;=AP$2,$F259&gt;=AP$2),1,0)</f>
        <v/>
      </c>
      <c r="AQ259">
        <f>AQ258+IF(AND($E259&lt;&gt;"",$E259&lt;=AQ$2,$F259&gt;=AQ$2),1,0)</f>
        <v/>
      </c>
      <c r="AR259">
        <f>AR258+IF(AND($E259&lt;&gt;"",$E259&lt;=AR$2,$F259&gt;=AR$2),1,0)</f>
        <v/>
      </c>
      <c r="AS259">
        <f>AS258+IF(AND($E259&lt;&gt;"",$E259&lt;=AS$2,$F259&gt;=AS$2),1,0)</f>
        <v/>
      </c>
      <c r="AT259">
        <f>AT258+IF(AND($E259&lt;&gt;"",$E259&lt;=AT$2,$F259&gt;=AT$2),1,0)</f>
        <v/>
      </c>
      <c r="AU259">
        <f>AU258+IF(AND($E259&lt;&gt;"",$E259&lt;=AU$2,$F259&gt;=AU$2),1,0)</f>
        <v/>
      </c>
      <c r="AV259">
        <f>AV258+IF(AND($E259&lt;&gt;"",$E259&lt;=AV$2,$F259&gt;=AV$2),1,0)</f>
        <v/>
      </c>
      <c r="AW259">
        <f>AW258+IF(AND($E259&lt;&gt;"",$E259&lt;=AW$2,$F259&gt;=AW$2),1,0)</f>
        <v/>
      </c>
    </row>
    <row r="260">
      <c r="A260">
        <f>IF(AND(ISNUMBER(Events!$A262),ISNUMBER(Events!$B262)),MAX(0,Events!$B262-Events!$A262),0)</f>
        <v/>
      </c>
      <c r="B260">
        <f>IF(ISNUMBER(Events!$A262),DATE(YEAR($B$1)-1,MONTH(Events!$A262),DAY(Events!$A262)),"")</f>
        <v/>
      </c>
      <c r="C260">
        <f>IF(ISNUMBER(Events!$A262),DATE(YEAR($B$1),MONTH(Events!$A262),DAY(Events!$A262)),"")</f>
        <v/>
      </c>
      <c r="D260">
        <f>IF(ISNUMBER(Events!$A262),DATE(YEAR($B$2),MONTH(Events!$A262),DAY(Events!$A262)),"")</f>
        <v/>
      </c>
      <c r="E260">
        <f>IF(OR(NOT(ISNUMBER(Events!$A262)),Events!$G262="No",Calendar!$H$4="None"),"",IF(OR(Calendar!$H$4="All events",Events!$D262=Calendar!$H$4),IF(Events!$E262="Yes",IF(AND(B260&gt;=Events!$A262,B260&lt;=$B$2,B260+$A260&gt;=$B$1),B260,IF(AND(C260&gt;=Events!$A262,C260&lt;=$B$2,C260+$A260&gt;=$B$1),C260,IF(AND(D260&gt;=Events!$A262,D260&lt;=$B$2,D260+$A260&gt;=$B$1),D260,""))),IF(AND(Events!$A262&lt;=$B$2,Events!$A262+$A260&gt;=$B$1),Events!$A262,"")),""))</f>
        <v/>
      </c>
      <c r="F260">
        <f>IF(E260="","",E260+A260)</f>
        <v/>
      </c>
      <c r="G260">
        <f>IF(E260="","",IF(AND(E260&lt;=EOMONTH(Calendar!$K$2,0),F260&gt;=Calendar!$K$2),E260+257/100000,""))</f>
        <v/>
      </c>
      <c r="H260">
        <f>H259+IF(AND($E260&lt;&gt;"",$E260&lt;=H$2,$F260&gt;=H$2),1,0)</f>
        <v/>
      </c>
      <c r="I260">
        <f>I259+IF(AND($E260&lt;&gt;"",$E260&lt;=I$2,$F260&gt;=I$2),1,0)</f>
        <v/>
      </c>
      <c r="J260">
        <f>J259+IF(AND($E260&lt;&gt;"",$E260&lt;=J$2,$F260&gt;=J$2),1,0)</f>
        <v/>
      </c>
      <c r="K260">
        <f>K259+IF(AND($E260&lt;&gt;"",$E260&lt;=K$2,$F260&gt;=K$2),1,0)</f>
        <v/>
      </c>
      <c r="L260">
        <f>L259+IF(AND($E260&lt;&gt;"",$E260&lt;=L$2,$F260&gt;=L$2),1,0)</f>
        <v/>
      </c>
      <c r="M260">
        <f>M259+IF(AND($E260&lt;&gt;"",$E260&lt;=M$2,$F260&gt;=M$2),1,0)</f>
        <v/>
      </c>
      <c r="N260">
        <f>N259+IF(AND($E260&lt;&gt;"",$E260&lt;=N$2,$F260&gt;=N$2),1,0)</f>
        <v/>
      </c>
      <c r="O260">
        <f>O259+IF(AND($E260&lt;&gt;"",$E260&lt;=O$2,$F260&gt;=O$2),1,0)</f>
        <v/>
      </c>
      <c r="P260">
        <f>P259+IF(AND($E260&lt;&gt;"",$E260&lt;=P$2,$F260&gt;=P$2),1,0)</f>
        <v/>
      </c>
      <c r="Q260">
        <f>Q259+IF(AND($E260&lt;&gt;"",$E260&lt;=Q$2,$F260&gt;=Q$2),1,0)</f>
        <v/>
      </c>
      <c r="R260">
        <f>R259+IF(AND($E260&lt;&gt;"",$E260&lt;=R$2,$F260&gt;=R$2),1,0)</f>
        <v/>
      </c>
      <c r="S260">
        <f>S259+IF(AND($E260&lt;&gt;"",$E260&lt;=S$2,$F260&gt;=S$2),1,0)</f>
        <v/>
      </c>
      <c r="T260">
        <f>T259+IF(AND($E260&lt;&gt;"",$E260&lt;=T$2,$F260&gt;=T$2),1,0)</f>
        <v/>
      </c>
      <c r="U260">
        <f>U259+IF(AND($E260&lt;&gt;"",$E260&lt;=U$2,$F260&gt;=U$2),1,0)</f>
        <v/>
      </c>
      <c r="V260">
        <f>V259+IF(AND($E260&lt;&gt;"",$E260&lt;=V$2,$F260&gt;=V$2),1,0)</f>
        <v/>
      </c>
      <c r="W260">
        <f>W259+IF(AND($E260&lt;&gt;"",$E260&lt;=W$2,$F260&gt;=W$2),1,0)</f>
        <v/>
      </c>
      <c r="X260">
        <f>X259+IF(AND($E260&lt;&gt;"",$E260&lt;=X$2,$F260&gt;=X$2),1,0)</f>
        <v/>
      </c>
      <c r="Y260">
        <f>Y259+IF(AND($E260&lt;&gt;"",$E260&lt;=Y$2,$F260&gt;=Y$2),1,0)</f>
        <v/>
      </c>
      <c r="Z260">
        <f>Z259+IF(AND($E260&lt;&gt;"",$E260&lt;=Z$2,$F260&gt;=Z$2),1,0)</f>
        <v/>
      </c>
      <c r="AA260">
        <f>AA259+IF(AND($E260&lt;&gt;"",$E260&lt;=AA$2,$F260&gt;=AA$2),1,0)</f>
        <v/>
      </c>
      <c r="AB260">
        <f>AB259+IF(AND($E260&lt;&gt;"",$E260&lt;=AB$2,$F260&gt;=AB$2),1,0)</f>
        <v/>
      </c>
      <c r="AC260">
        <f>AC259+IF(AND($E260&lt;&gt;"",$E260&lt;=AC$2,$F260&gt;=AC$2),1,0)</f>
        <v/>
      </c>
      <c r="AD260">
        <f>AD259+IF(AND($E260&lt;&gt;"",$E260&lt;=AD$2,$F260&gt;=AD$2),1,0)</f>
        <v/>
      </c>
      <c r="AE260">
        <f>AE259+IF(AND($E260&lt;&gt;"",$E260&lt;=AE$2,$F260&gt;=AE$2),1,0)</f>
        <v/>
      </c>
      <c r="AF260">
        <f>AF259+IF(AND($E260&lt;&gt;"",$E260&lt;=AF$2,$F260&gt;=AF$2),1,0)</f>
        <v/>
      </c>
      <c r="AG260">
        <f>AG259+IF(AND($E260&lt;&gt;"",$E260&lt;=AG$2,$F260&gt;=AG$2),1,0)</f>
        <v/>
      </c>
      <c r="AH260">
        <f>AH259+IF(AND($E260&lt;&gt;"",$E260&lt;=AH$2,$F260&gt;=AH$2),1,0)</f>
        <v/>
      </c>
      <c r="AI260">
        <f>AI259+IF(AND($E260&lt;&gt;"",$E260&lt;=AI$2,$F260&gt;=AI$2),1,0)</f>
        <v/>
      </c>
      <c r="AJ260">
        <f>AJ259+IF(AND($E260&lt;&gt;"",$E260&lt;=AJ$2,$F260&gt;=AJ$2),1,0)</f>
        <v/>
      </c>
      <c r="AK260">
        <f>AK259+IF(AND($E260&lt;&gt;"",$E260&lt;=AK$2,$F260&gt;=AK$2),1,0)</f>
        <v/>
      </c>
      <c r="AL260">
        <f>AL259+IF(AND($E260&lt;&gt;"",$E260&lt;=AL$2,$F260&gt;=AL$2),1,0)</f>
        <v/>
      </c>
      <c r="AM260">
        <f>AM259+IF(AND($E260&lt;&gt;"",$E260&lt;=AM$2,$F260&gt;=AM$2),1,0)</f>
        <v/>
      </c>
      <c r="AN260">
        <f>AN259+IF(AND($E260&lt;&gt;"",$E260&lt;=AN$2,$F260&gt;=AN$2),1,0)</f>
        <v/>
      </c>
      <c r="AO260">
        <f>AO259+IF(AND($E260&lt;&gt;"",$E260&lt;=AO$2,$F260&gt;=AO$2),1,0)</f>
        <v/>
      </c>
      <c r="AP260">
        <f>AP259+IF(AND($E260&lt;&gt;"",$E260&lt;=AP$2,$F260&gt;=AP$2),1,0)</f>
        <v/>
      </c>
      <c r="AQ260">
        <f>AQ259+IF(AND($E260&lt;&gt;"",$E260&lt;=AQ$2,$F260&gt;=AQ$2),1,0)</f>
        <v/>
      </c>
      <c r="AR260">
        <f>AR259+IF(AND($E260&lt;&gt;"",$E260&lt;=AR$2,$F260&gt;=AR$2),1,0)</f>
        <v/>
      </c>
      <c r="AS260">
        <f>AS259+IF(AND($E260&lt;&gt;"",$E260&lt;=AS$2,$F260&gt;=AS$2),1,0)</f>
        <v/>
      </c>
      <c r="AT260">
        <f>AT259+IF(AND($E260&lt;&gt;"",$E260&lt;=AT$2,$F260&gt;=AT$2),1,0)</f>
        <v/>
      </c>
      <c r="AU260">
        <f>AU259+IF(AND($E260&lt;&gt;"",$E260&lt;=AU$2,$F260&gt;=AU$2),1,0)</f>
        <v/>
      </c>
      <c r="AV260">
        <f>AV259+IF(AND($E260&lt;&gt;"",$E260&lt;=AV$2,$F260&gt;=AV$2),1,0)</f>
        <v/>
      </c>
      <c r="AW260">
        <f>AW259+IF(AND($E260&lt;&gt;"",$E260&lt;=AW$2,$F260&gt;=AW$2),1,0)</f>
        <v/>
      </c>
    </row>
    <row r="261">
      <c r="A261">
        <f>IF(AND(ISNUMBER(Events!$A263),ISNUMBER(Events!$B263)),MAX(0,Events!$B263-Events!$A263),0)</f>
        <v/>
      </c>
      <c r="B261">
        <f>IF(ISNUMBER(Events!$A263),DATE(YEAR($B$1)-1,MONTH(Events!$A263),DAY(Events!$A263)),"")</f>
        <v/>
      </c>
      <c r="C261">
        <f>IF(ISNUMBER(Events!$A263),DATE(YEAR($B$1),MONTH(Events!$A263),DAY(Events!$A263)),"")</f>
        <v/>
      </c>
      <c r="D261">
        <f>IF(ISNUMBER(Events!$A263),DATE(YEAR($B$2),MONTH(Events!$A263),DAY(Events!$A263)),"")</f>
        <v/>
      </c>
      <c r="E261">
        <f>IF(OR(NOT(ISNUMBER(Events!$A263)),Events!$G263="No",Calendar!$H$4="None"),"",IF(OR(Calendar!$H$4="All events",Events!$D263=Calendar!$H$4),IF(Events!$E263="Yes",IF(AND(B261&gt;=Events!$A263,B261&lt;=$B$2,B261+$A261&gt;=$B$1),B261,IF(AND(C261&gt;=Events!$A263,C261&lt;=$B$2,C261+$A261&gt;=$B$1),C261,IF(AND(D261&gt;=Events!$A263,D261&lt;=$B$2,D261+$A261&gt;=$B$1),D261,""))),IF(AND(Events!$A263&lt;=$B$2,Events!$A263+$A261&gt;=$B$1),Events!$A263,"")),""))</f>
        <v/>
      </c>
      <c r="F261">
        <f>IF(E261="","",E261+A261)</f>
        <v/>
      </c>
      <c r="G261">
        <f>IF(E261="","",IF(AND(E261&lt;=EOMONTH(Calendar!$K$2,0),F261&gt;=Calendar!$K$2),E261+258/100000,""))</f>
        <v/>
      </c>
      <c r="H261">
        <f>H260+IF(AND($E261&lt;&gt;"",$E261&lt;=H$2,$F261&gt;=H$2),1,0)</f>
        <v/>
      </c>
      <c r="I261">
        <f>I260+IF(AND($E261&lt;&gt;"",$E261&lt;=I$2,$F261&gt;=I$2),1,0)</f>
        <v/>
      </c>
      <c r="J261">
        <f>J260+IF(AND($E261&lt;&gt;"",$E261&lt;=J$2,$F261&gt;=J$2),1,0)</f>
        <v/>
      </c>
      <c r="K261">
        <f>K260+IF(AND($E261&lt;&gt;"",$E261&lt;=K$2,$F261&gt;=K$2),1,0)</f>
        <v/>
      </c>
      <c r="L261">
        <f>L260+IF(AND($E261&lt;&gt;"",$E261&lt;=L$2,$F261&gt;=L$2),1,0)</f>
        <v/>
      </c>
      <c r="M261">
        <f>M260+IF(AND($E261&lt;&gt;"",$E261&lt;=M$2,$F261&gt;=M$2),1,0)</f>
        <v/>
      </c>
      <c r="N261">
        <f>N260+IF(AND($E261&lt;&gt;"",$E261&lt;=N$2,$F261&gt;=N$2),1,0)</f>
        <v/>
      </c>
      <c r="O261">
        <f>O260+IF(AND($E261&lt;&gt;"",$E261&lt;=O$2,$F261&gt;=O$2),1,0)</f>
        <v/>
      </c>
      <c r="P261">
        <f>P260+IF(AND($E261&lt;&gt;"",$E261&lt;=P$2,$F261&gt;=P$2),1,0)</f>
        <v/>
      </c>
      <c r="Q261">
        <f>Q260+IF(AND($E261&lt;&gt;"",$E261&lt;=Q$2,$F261&gt;=Q$2),1,0)</f>
        <v/>
      </c>
      <c r="R261">
        <f>R260+IF(AND($E261&lt;&gt;"",$E261&lt;=R$2,$F261&gt;=R$2),1,0)</f>
        <v/>
      </c>
      <c r="S261">
        <f>S260+IF(AND($E261&lt;&gt;"",$E261&lt;=S$2,$F261&gt;=S$2),1,0)</f>
        <v/>
      </c>
      <c r="T261">
        <f>T260+IF(AND($E261&lt;&gt;"",$E261&lt;=T$2,$F261&gt;=T$2),1,0)</f>
        <v/>
      </c>
      <c r="U261">
        <f>U260+IF(AND($E261&lt;&gt;"",$E261&lt;=U$2,$F261&gt;=U$2),1,0)</f>
        <v/>
      </c>
      <c r="V261">
        <f>V260+IF(AND($E261&lt;&gt;"",$E261&lt;=V$2,$F261&gt;=V$2),1,0)</f>
        <v/>
      </c>
      <c r="W261">
        <f>W260+IF(AND($E261&lt;&gt;"",$E261&lt;=W$2,$F261&gt;=W$2),1,0)</f>
        <v/>
      </c>
      <c r="X261">
        <f>X260+IF(AND($E261&lt;&gt;"",$E261&lt;=X$2,$F261&gt;=X$2),1,0)</f>
        <v/>
      </c>
      <c r="Y261">
        <f>Y260+IF(AND($E261&lt;&gt;"",$E261&lt;=Y$2,$F261&gt;=Y$2),1,0)</f>
        <v/>
      </c>
      <c r="Z261">
        <f>Z260+IF(AND($E261&lt;&gt;"",$E261&lt;=Z$2,$F261&gt;=Z$2),1,0)</f>
        <v/>
      </c>
      <c r="AA261">
        <f>AA260+IF(AND($E261&lt;&gt;"",$E261&lt;=AA$2,$F261&gt;=AA$2),1,0)</f>
        <v/>
      </c>
      <c r="AB261">
        <f>AB260+IF(AND($E261&lt;&gt;"",$E261&lt;=AB$2,$F261&gt;=AB$2),1,0)</f>
        <v/>
      </c>
      <c r="AC261">
        <f>AC260+IF(AND($E261&lt;&gt;"",$E261&lt;=AC$2,$F261&gt;=AC$2),1,0)</f>
        <v/>
      </c>
      <c r="AD261">
        <f>AD260+IF(AND($E261&lt;&gt;"",$E261&lt;=AD$2,$F261&gt;=AD$2),1,0)</f>
        <v/>
      </c>
      <c r="AE261">
        <f>AE260+IF(AND($E261&lt;&gt;"",$E261&lt;=AE$2,$F261&gt;=AE$2),1,0)</f>
        <v/>
      </c>
      <c r="AF261">
        <f>AF260+IF(AND($E261&lt;&gt;"",$E261&lt;=AF$2,$F261&gt;=AF$2),1,0)</f>
        <v/>
      </c>
      <c r="AG261">
        <f>AG260+IF(AND($E261&lt;&gt;"",$E261&lt;=AG$2,$F261&gt;=AG$2),1,0)</f>
        <v/>
      </c>
      <c r="AH261">
        <f>AH260+IF(AND($E261&lt;&gt;"",$E261&lt;=AH$2,$F261&gt;=AH$2),1,0)</f>
        <v/>
      </c>
      <c r="AI261">
        <f>AI260+IF(AND($E261&lt;&gt;"",$E261&lt;=AI$2,$F261&gt;=AI$2),1,0)</f>
        <v/>
      </c>
      <c r="AJ261">
        <f>AJ260+IF(AND($E261&lt;&gt;"",$E261&lt;=AJ$2,$F261&gt;=AJ$2),1,0)</f>
        <v/>
      </c>
      <c r="AK261">
        <f>AK260+IF(AND($E261&lt;&gt;"",$E261&lt;=AK$2,$F261&gt;=AK$2),1,0)</f>
        <v/>
      </c>
      <c r="AL261">
        <f>AL260+IF(AND($E261&lt;&gt;"",$E261&lt;=AL$2,$F261&gt;=AL$2),1,0)</f>
        <v/>
      </c>
      <c r="AM261">
        <f>AM260+IF(AND($E261&lt;&gt;"",$E261&lt;=AM$2,$F261&gt;=AM$2),1,0)</f>
        <v/>
      </c>
      <c r="AN261">
        <f>AN260+IF(AND($E261&lt;&gt;"",$E261&lt;=AN$2,$F261&gt;=AN$2),1,0)</f>
        <v/>
      </c>
      <c r="AO261">
        <f>AO260+IF(AND($E261&lt;&gt;"",$E261&lt;=AO$2,$F261&gt;=AO$2),1,0)</f>
        <v/>
      </c>
      <c r="AP261">
        <f>AP260+IF(AND($E261&lt;&gt;"",$E261&lt;=AP$2,$F261&gt;=AP$2),1,0)</f>
        <v/>
      </c>
      <c r="AQ261">
        <f>AQ260+IF(AND($E261&lt;&gt;"",$E261&lt;=AQ$2,$F261&gt;=AQ$2),1,0)</f>
        <v/>
      </c>
      <c r="AR261">
        <f>AR260+IF(AND($E261&lt;&gt;"",$E261&lt;=AR$2,$F261&gt;=AR$2),1,0)</f>
        <v/>
      </c>
      <c r="AS261">
        <f>AS260+IF(AND($E261&lt;&gt;"",$E261&lt;=AS$2,$F261&gt;=AS$2),1,0)</f>
        <v/>
      </c>
      <c r="AT261">
        <f>AT260+IF(AND($E261&lt;&gt;"",$E261&lt;=AT$2,$F261&gt;=AT$2),1,0)</f>
        <v/>
      </c>
      <c r="AU261">
        <f>AU260+IF(AND($E261&lt;&gt;"",$E261&lt;=AU$2,$F261&gt;=AU$2),1,0)</f>
        <v/>
      </c>
      <c r="AV261">
        <f>AV260+IF(AND($E261&lt;&gt;"",$E261&lt;=AV$2,$F261&gt;=AV$2),1,0)</f>
        <v/>
      </c>
      <c r="AW261">
        <f>AW260+IF(AND($E261&lt;&gt;"",$E261&lt;=AW$2,$F261&gt;=AW$2),1,0)</f>
        <v/>
      </c>
    </row>
    <row r="262">
      <c r="A262">
        <f>IF(AND(ISNUMBER(Events!$A264),ISNUMBER(Events!$B264)),MAX(0,Events!$B264-Events!$A264),0)</f>
        <v/>
      </c>
      <c r="B262">
        <f>IF(ISNUMBER(Events!$A264),DATE(YEAR($B$1)-1,MONTH(Events!$A264),DAY(Events!$A264)),"")</f>
        <v/>
      </c>
      <c r="C262">
        <f>IF(ISNUMBER(Events!$A264),DATE(YEAR($B$1),MONTH(Events!$A264),DAY(Events!$A264)),"")</f>
        <v/>
      </c>
      <c r="D262">
        <f>IF(ISNUMBER(Events!$A264),DATE(YEAR($B$2),MONTH(Events!$A264),DAY(Events!$A264)),"")</f>
        <v/>
      </c>
      <c r="E262">
        <f>IF(OR(NOT(ISNUMBER(Events!$A264)),Events!$G264="No",Calendar!$H$4="None"),"",IF(OR(Calendar!$H$4="All events",Events!$D264=Calendar!$H$4),IF(Events!$E264="Yes",IF(AND(B262&gt;=Events!$A264,B262&lt;=$B$2,B262+$A262&gt;=$B$1),B262,IF(AND(C262&gt;=Events!$A264,C262&lt;=$B$2,C262+$A262&gt;=$B$1),C262,IF(AND(D262&gt;=Events!$A264,D262&lt;=$B$2,D262+$A262&gt;=$B$1),D262,""))),IF(AND(Events!$A264&lt;=$B$2,Events!$A264+$A262&gt;=$B$1),Events!$A264,"")),""))</f>
        <v/>
      </c>
      <c r="F262">
        <f>IF(E262="","",E262+A262)</f>
        <v/>
      </c>
      <c r="G262">
        <f>IF(E262="","",IF(AND(E262&lt;=EOMONTH(Calendar!$K$2,0),F262&gt;=Calendar!$K$2),E262+259/100000,""))</f>
        <v/>
      </c>
      <c r="H262">
        <f>H261+IF(AND($E262&lt;&gt;"",$E262&lt;=H$2,$F262&gt;=H$2),1,0)</f>
        <v/>
      </c>
      <c r="I262">
        <f>I261+IF(AND($E262&lt;&gt;"",$E262&lt;=I$2,$F262&gt;=I$2),1,0)</f>
        <v/>
      </c>
      <c r="J262">
        <f>J261+IF(AND($E262&lt;&gt;"",$E262&lt;=J$2,$F262&gt;=J$2),1,0)</f>
        <v/>
      </c>
      <c r="K262">
        <f>K261+IF(AND($E262&lt;&gt;"",$E262&lt;=K$2,$F262&gt;=K$2),1,0)</f>
        <v/>
      </c>
      <c r="L262">
        <f>L261+IF(AND($E262&lt;&gt;"",$E262&lt;=L$2,$F262&gt;=L$2),1,0)</f>
        <v/>
      </c>
      <c r="M262">
        <f>M261+IF(AND($E262&lt;&gt;"",$E262&lt;=M$2,$F262&gt;=M$2),1,0)</f>
        <v/>
      </c>
      <c r="N262">
        <f>N261+IF(AND($E262&lt;&gt;"",$E262&lt;=N$2,$F262&gt;=N$2),1,0)</f>
        <v/>
      </c>
      <c r="O262">
        <f>O261+IF(AND($E262&lt;&gt;"",$E262&lt;=O$2,$F262&gt;=O$2),1,0)</f>
        <v/>
      </c>
      <c r="P262">
        <f>P261+IF(AND($E262&lt;&gt;"",$E262&lt;=P$2,$F262&gt;=P$2),1,0)</f>
        <v/>
      </c>
      <c r="Q262">
        <f>Q261+IF(AND($E262&lt;&gt;"",$E262&lt;=Q$2,$F262&gt;=Q$2),1,0)</f>
        <v/>
      </c>
      <c r="R262">
        <f>R261+IF(AND($E262&lt;&gt;"",$E262&lt;=R$2,$F262&gt;=R$2),1,0)</f>
        <v/>
      </c>
      <c r="S262">
        <f>S261+IF(AND($E262&lt;&gt;"",$E262&lt;=S$2,$F262&gt;=S$2),1,0)</f>
        <v/>
      </c>
      <c r="T262">
        <f>T261+IF(AND($E262&lt;&gt;"",$E262&lt;=T$2,$F262&gt;=T$2),1,0)</f>
        <v/>
      </c>
      <c r="U262">
        <f>U261+IF(AND($E262&lt;&gt;"",$E262&lt;=U$2,$F262&gt;=U$2),1,0)</f>
        <v/>
      </c>
      <c r="V262">
        <f>V261+IF(AND($E262&lt;&gt;"",$E262&lt;=V$2,$F262&gt;=V$2),1,0)</f>
        <v/>
      </c>
      <c r="W262">
        <f>W261+IF(AND($E262&lt;&gt;"",$E262&lt;=W$2,$F262&gt;=W$2),1,0)</f>
        <v/>
      </c>
      <c r="X262">
        <f>X261+IF(AND($E262&lt;&gt;"",$E262&lt;=X$2,$F262&gt;=X$2),1,0)</f>
        <v/>
      </c>
      <c r="Y262">
        <f>Y261+IF(AND($E262&lt;&gt;"",$E262&lt;=Y$2,$F262&gt;=Y$2),1,0)</f>
        <v/>
      </c>
      <c r="Z262">
        <f>Z261+IF(AND($E262&lt;&gt;"",$E262&lt;=Z$2,$F262&gt;=Z$2),1,0)</f>
        <v/>
      </c>
      <c r="AA262">
        <f>AA261+IF(AND($E262&lt;&gt;"",$E262&lt;=AA$2,$F262&gt;=AA$2),1,0)</f>
        <v/>
      </c>
      <c r="AB262">
        <f>AB261+IF(AND($E262&lt;&gt;"",$E262&lt;=AB$2,$F262&gt;=AB$2),1,0)</f>
        <v/>
      </c>
      <c r="AC262">
        <f>AC261+IF(AND($E262&lt;&gt;"",$E262&lt;=AC$2,$F262&gt;=AC$2),1,0)</f>
        <v/>
      </c>
      <c r="AD262">
        <f>AD261+IF(AND($E262&lt;&gt;"",$E262&lt;=AD$2,$F262&gt;=AD$2),1,0)</f>
        <v/>
      </c>
      <c r="AE262">
        <f>AE261+IF(AND($E262&lt;&gt;"",$E262&lt;=AE$2,$F262&gt;=AE$2),1,0)</f>
        <v/>
      </c>
      <c r="AF262">
        <f>AF261+IF(AND($E262&lt;&gt;"",$E262&lt;=AF$2,$F262&gt;=AF$2),1,0)</f>
        <v/>
      </c>
      <c r="AG262">
        <f>AG261+IF(AND($E262&lt;&gt;"",$E262&lt;=AG$2,$F262&gt;=AG$2),1,0)</f>
        <v/>
      </c>
      <c r="AH262">
        <f>AH261+IF(AND($E262&lt;&gt;"",$E262&lt;=AH$2,$F262&gt;=AH$2),1,0)</f>
        <v/>
      </c>
      <c r="AI262">
        <f>AI261+IF(AND($E262&lt;&gt;"",$E262&lt;=AI$2,$F262&gt;=AI$2),1,0)</f>
        <v/>
      </c>
      <c r="AJ262">
        <f>AJ261+IF(AND($E262&lt;&gt;"",$E262&lt;=AJ$2,$F262&gt;=AJ$2),1,0)</f>
        <v/>
      </c>
      <c r="AK262">
        <f>AK261+IF(AND($E262&lt;&gt;"",$E262&lt;=AK$2,$F262&gt;=AK$2),1,0)</f>
        <v/>
      </c>
      <c r="AL262">
        <f>AL261+IF(AND($E262&lt;&gt;"",$E262&lt;=AL$2,$F262&gt;=AL$2),1,0)</f>
        <v/>
      </c>
      <c r="AM262">
        <f>AM261+IF(AND($E262&lt;&gt;"",$E262&lt;=AM$2,$F262&gt;=AM$2),1,0)</f>
        <v/>
      </c>
      <c r="AN262">
        <f>AN261+IF(AND($E262&lt;&gt;"",$E262&lt;=AN$2,$F262&gt;=AN$2),1,0)</f>
        <v/>
      </c>
      <c r="AO262">
        <f>AO261+IF(AND($E262&lt;&gt;"",$E262&lt;=AO$2,$F262&gt;=AO$2),1,0)</f>
        <v/>
      </c>
      <c r="AP262">
        <f>AP261+IF(AND($E262&lt;&gt;"",$E262&lt;=AP$2,$F262&gt;=AP$2),1,0)</f>
        <v/>
      </c>
      <c r="AQ262">
        <f>AQ261+IF(AND($E262&lt;&gt;"",$E262&lt;=AQ$2,$F262&gt;=AQ$2),1,0)</f>
        <v/>
      </c>
      <c r="AR262">
        <f>AR261+IF(AND($E262&lt;&gt;"",$E262&lt;=AR$2,$F262&gt;=AR$2),1,0)</f>
        <v/>
      </c>
      <c r="AS262">
        <f>AS261+IF(AND($E262&lt;&gt;"",$E262&lt;=AS$2,$F262&gt;=AS$2),1,0)</f>
        <v/>
      </c>
      <c r="AT262">
        <f>AT261+IF(AND($E262&lt;&gt;"",$E262&lt;=AT$2,$F262&gt;=AT$2),1,0)</f>
        <v/>
      </c>
      <c r="AU262">
        <f>AU261+IF(AND($E262&lt;&gt;"",$E262&lt;=AU$2,$F262&gt;=AU$2),1,0)</f>
        <v/>
      </c>
      <c r="AV262">
        <f>AV261+IF(AND($E262&lt;&gt;"",$E262&lt;=AV$2,$F262&gt;=AV$2),1,0)</f>
        <v/>
      </c>
      <c r="AW262">
        <f>AW261+IF(AND($E262&lt;&gt;"",$E262&lt;=AW$2,$F262&gt;=AW$2),1,0)</f>
        <v/>
      </c>
    </row>
    <row r="263">
      <c r="A263">
        <f>IF(AND(ISNUMBER(Events!$A265),ISNUMBER(Events!$B265)),MAX(0,Events!$B265-Events!$A265),0)</f>
        <v/>
      </c>
      <c r="B263">
        <f>IF(ISNUMBER(Events!$A265),DATE(YEAR($B$1)-1,MONTH(Events!$A265),DAY(Events!$A265)),"")</f>
        <v/>
      </c>
      <c r="C263">
        <f>IF(ISNUMBER(Events!$A265),DATE(YEAR($B$1),MONTH(Events!$A265),DAY(Events!$A265)),"")</f>
        <v/>
      </c>
      <c r="D263">
        <f>IF(ISNUMBER(Events!$A265),DATE(YEAR($B$2),MONTH(Events!$A265),DAY(Events!$A265)),"")</f>
        <v/>
      </c>
      <c r="E263">
        <f>IF(OR(NOT(ISNUMBER(Events!$A265)),Events!$G265="No",Calendar!$H$4="None"),"",IF(OR(Calendar!$H$4="All events",Events!$D265=Calendar!$H$4),IF(Events!$E265="Yes",IF(AND(B263&gt;=Events!$A265,B263&lt;=$B$2,B263+$A263&gt;=$B$1),B263,IF(AND(C263&gt;=Events!$A265,C263&lt;=$B$2,C263+$A263&gt;=$B$1),C263,IF(AND(D263&gt;=Events!$A265,D263&lt;=$B$2,D263+$A263&gt;=$B$1),D263,""))),IF(AND(Events!$A265&lt;=$B$2,Events!$A265+$A263&gt;=$B$1),Events!$A265,"")),""))</f>
        <v/>
      </c>
      <c r="F263">
        <f>IF(E263="","",E263+A263)</f>
        <v/>
      </c>
      <c r="G263">
        <f>IF(E263="","",IF(AND(E263&lt;=EOMONTH(Calendar!$K$2,0),F263&gt;=Calendar!$K$2),E263+260/100000,""))</f>
        <v/>
      </c>
      <c r="H263">
        <f>H262+IF(AND($E263&lt;&gt;"",$E263&lt;=H$2,$F263&gt;=H$2),1,0)</f>
        <v/>
      </c>
      <c r="I263">
        <f>I262+IF(AND($E263&lt;&gt;"",$E263&lt;=I$2,$F263&gt;=I$2),1,0)</f>
        <v/>
      </c>
      <c r="J263">
        <f>J262+IF(AND($E263&lt;&gt;"",$E263&lt;=J$2,$F263&gt;=J$2),1,0)</f>
        <v/>
      </c>
      <c r="K263">
        <f>K262+IF(AND($E263&lt;&gt;"",$E263&lt;=K$2,$F263&gt;=K$2),1,0)</f>
        <v/>
      </c>
      <c r="L263">
        <f>L262+IF(AND($E263&lt;&gt;"",$E263&lt;=L$2,$F263&gt;=L$2),1,0)</f>
        <v/>
      </c>
      <c r="M263">
        <f>M262+IF(AND($E263&lt;&gt;"",$E263&lt;=M$2,$F263&gt;=M$2),1,0)</f>
        <v/>
      </c>
      <c r="N263">
        <f>N262+IF(AND($E263&lt;&gt;"",$E263&lt;=N$2,$F263&gt;=N$2),1,0)</f>
        <v/>
      </c>
      <c r="O263">
        <f>O262+IF(AND($E263&lt;&gt;"",$E263&lt;=O$2,$F263&gt;=O$2),1,0)</f>
        <v/>
      </c>
      <c r="P263">
        <f>P262+IF(AND($E263&lt;&gt;"",$E263&lt;=P$2,$F263&gt;=P$2),1,0)</f>
        <v/>
      </c>
      <c r="Q263">
        <f>Q262+IF(AND($E263&lt;&gt;"",$E263&lt;=Q$2,$F263&gt;=Q$2),1,0)</f>
        <v/>
      </c>
      <c r="R263">
        <f>R262+IF(AND($E263&lt;&gt;"",$E263&lt;=R$2,$F263&gt;=R$2),1,0)</f>
        <v/>
      </c>
      <c r="S263">
        <f>S262+IF(AND($E263&lt;&gt;"",$E263&lt;=S$2,$F263&gt;=S$2),1,0)</f>
        <v/>
      </c>
      <c r="T263">
        <f>T262+IF(AND($E263&lt;&gt;"",$E263&lt;=T$2,$F263&gt;=T$2),1,0)</f>
        <v/>
      </c>
      <c r="U263">
        <f>U262+IF(AND($E263&lt;&gt;"",$E263&lt;=U$2,$F263&gt;=U$2),1,0)</f>
        <v/>
      </c>
      <c r="V263">
        <f>V262+IF(AND($E263&lt;&gt;"",$E263&lt;=V$2,$F263&gt;=V$2),1,0)</f>
        <v/>
      </c>
      <c r="W263">
        <f>W262+IF(AND($E263&lt;&gt;"",$E263&lt;=W$2,$F263&gt;=W$2),1,0)</f>
        <v/>
      </c>
      <c r="X263">
        <f>X262+IF(AND($E263&lt;&gt;"",$E263&lt;=X$2,$F263&gt;=X$2),1,0)</f>
        <v/>
      </c>
      <c r="Y263">
        <f>Y262+IF(AND($E263&lt;&gt;"",$E263&lt;=Y$2,$F263&gt;=Y$2),1,0)</f>
        <v/>
      </c>
      <c r="Z263">
        <f>Z262+IF(AND($E263&lt;&gt;"",$E263&lt;=Z$2,$F263&gt;=Z$2),1,0)</f>
        <v/>
      </c>
      <c r="AA263">
        <f>AA262+IF(AND($E263&lt;&gt;"",$E263&lt;=AA$2,$F263&gt;=AA$2),1,0)</f>
        <v/>
      </c>
      <c r="AB263">
        <f>AB262+IF(AND($E263&lt;&gt;"",$E263&lt;=AB$2,$F263&gt;=AB$2),1,0)</f>
        <v/>
      </c>
      <c r="AC263">
        <f>AC262+IF(AND($E263&lt;&gt;"",$E263&lt;=AC$2,$F263&gt;=AC$2),1,0)</f>
        <v/>
      </c>
      <c r="AD263">
        <f>AD262+IF(AND($E263&lt;&gt;"",$E263&lt;=AD$2,$F263&gt;=AD$2),1,0)</f>
        <v/>
      </c>
      <c r="AE263">
        <f>AE262+IF(AND($E263&lt;&gt;"",$E263&lt;=AE$2,$F263&gt;=AE$2),1,0)</f>
        <v/>
      </c>
      <c r="AF263">
        <f>AF262+IF(AND($E263&lt;&gt;"",$E263&lt;=AF$2,$F263&gt;=AF$2),1,0)</f>
        <v/>
      </c>
      <c r="AG263">
        <f>AG262+IF(AND($E263&lt;&gt;"",$E263&lt;=AG$2,$F263&gt;=AG$2),1,0)</f>
        <v/>
      </c>
      <c r="AH263">
        <f>AH262+IF(AND($E263&lt;&gt;"",$E263&lt;=AH$2,$F263&gt;=AH$2),1,0)</f>
        <v/>
      </c>
      <c r="AI263">
        <f>AI262+IF(AND($E263&lt;&gt;"",$E263&lt;=AI$2,$F263&gt;=AI$2),1,0)</f>
        <v/>
      </c>
      <c r="AJ263">
        <f>AJ262+IF(AND($E263&lt;&gt;"",$E263&lt;=AJ$2,$F263&gt;=AJ$2),1,0)</f>
        <v/>
      </c>
      <c r="AK263">
        <f>AK262+IF(AND($E263&lt;&gt;"",$E263&lt;=AK$2,$F263&gt;=AK$2),1,0)</f>
        <v/>
      </c>
      <c r="AL263">
        <f>AL262+IF(AND($E263&lt;&gt;"",$E263&lt;=AL$2,$F263&gt;=AL$2),1,0)</f>
        <v/>
      </c>
      <c r="AM263">
        <f>AM262+IF(AND($E263&lt;&gt;"",$E263&lt;=AM$2,$F263&gt;=AM$2),1,0)</f>
        <v/>
      </c>
      <c r="AN263">
        <f>AN262+IF(AND($E263&lt;&gt;"",$E263&lt;=AN$2,$F263&gt;=AN$2),1,0)</f>
        <v/>
      </c>
      <c r="AO263">
        <f>AO262+IF(AND($E263&lt;&gt;"",$E263&lt;=AO$2,$F263&gt;=AO$2),1,0)</f>
        <v/>
      </c>
      <c r="AP263">
        <f>AP262+IF(AND($E263&lt;&gt;"",$E263&lt;=AP$2,$F263&gt;=AP$2),1,0)</f>
        <v/>
      </c>
      <c r="AQ263">
        <f>AQ262+IF(AND($E263&lt;&gt;"",$E263&lt;=AQ$2,$F263&gt;=AQ$2),1,0)</f>
        <v/>
      </c>
      <c r="AR263">
        <f>AR262+IF(AND($E263&lt;&gt;"",$E263&lt;=AR$2,$F263&gt;=AR$2),1,0)</f>
        <v/>
      </c>
      <c r="AS263">
        <f>AS262+IF(AND($E263&lt;&gt;"",$E263&lt;=AS$2,$F263&gt;=AS$2),1,0)</f>
        <v/>
      </c>
      <c r="AT263">
        <f>AT262+IF(AND($E263&lt;&gt;"",$E263&lt;=AT$2,$F263&gt;=AT$2),1,0)</f>
        <v/>
      </c>
      <c r="AU263">
        <f>AU262+IF(AND($E263&lt;&gt;"",$E263&lt;=AU$2,$F263&gt;=AU$2),1,0)</f>
        <v/>
      </c>
      <c r="AV263">
        <f>AV262+IF(AND($E263&lt;&gt;"",$E263&lt;=AV$2,$F263&gt;=AV$2),1,0)</f>
        <v/>
      </c>
      <c r="AW263">
        <f>AW262+IF(AND($E263&lt;&gt;"",$E263&lt;=AW$2,$F263&gt;=AW$2),1,0)</f>
        <v/>
      </c>
    </row>
    <row r="264">
      <c r="A264">
        <f>IF(AND(ISNUMBER(Events!$A266),ISNUMBER(Events!$B266)),MAX(0,Events!$B266-Events!$A266),0)</f>
        <v/>
      </c>
      <c r="B264">
        <f>IF(ISNUMBER(Events!$A266),DATE(YEAR($B$1)-1,MONTH(Events!$A266),DAY(Events!$A266)),"")</f>
        <v/>
      </c>
      <c r="C264">
        <f>IF(ISNUMBER(Events!$A266),DATE(YEAR($B$1),MONTH(Events!$A266),DAY(Events!$A266)),"")</f>
        <v/>
      </c>
      <c r="D264">
        <f>IF(ISNUMBER(Events!$A266),DATE(YEAR($B$2),MONTH(Events!$A266),DAY(Events!$A266)),"")</f>
        <v/>
      </c>
      <c r="E264">
        <f>IF(OR(NOT(ISNUMBER(Events!$A266)),Events!$G266="No",Calendar!$H$4="None"),"",IF(OR(Calendar!$H$4="All events",Events!$D266=Calendar!$H$4),IF(Events!$E266="Yes",IF(AND(B264&gt;=Events!$A266,B264&lt;=$B$2,B264+$A264&gt;=$B$1),B264,IF(AND(C264&gt;=Events!$A266,C264&lt;=$B$2,C264+$A264&gt;=$B$1),C264,IF(AND(D264&gt;=Events!$A266,D264&lt;=$B$2,D264+$A264&gt;=$B$1),D264,""))),IF(AND(Events!$A266&lt;=$B$2,Events!$A266+$A264&gt;=$B$1),Events!$A266,"")),""))</f>
        <v/>
      </c>
      <c r="F264">
        <f>IF(E264="","",E264+A264)</f>
        <v/>
      </c>
      <c r="G264">
        <f>IF(E264="","",IF(AND(E264&lt;=EOMONTH(Calendar!$K$2,0),F264&gt;=Calendar!$K$2),E264+261/100000,""))</f>
        <v/>
      </c>
      <c r="H264">
        <f>H263+IF(AND($E264&lt;&gt;"",$E264&lt;=H$2,$F264&gt;=H$2),1,0)</f>
        <v/>
      </c>
      <c r="I264">
        <f>I263+IF(AND($E264&lt;&gt;"",$E264&lt;=I$2,$F264&gt;=I$2),1,0)</f>
        <v/>
      </c>
      <c r="J264">
        <f>J263+IF(AND($E264&lt;&gt;"",$E264&lt;=J$2,$F264&gt;=J$2),1,0)</f>
        <v/>
      </c>
      <c r="K264">
        <f>K263+IF(AND($E264&lt;&gt;"",$E264&lt;=K$2,$F264&gt;=K$2),1,0)</f>
        <v/>
      </c>
      <c r="L264">
        <f>L263+IF(AND($E264&lt;&gt;"",$E264&lt;=L$2,$F264&gt;=L$2),1,0)</f>
        <v/>
      </c>
      <c r="M264">
        <f>M263+IF(AND($E264&lt;&gt;"",$E264&lt;=M$2,$F264&gt;=M$2),1,0)</f>
        <v/>
      </c>
      <c r="N264">
        <f>N263+IF(AND($E264&lt;&gt;"",$E264&lt;=N$2,$F264&gt;=N$2),1,0)</f>
        <v/>
      </c>
      <c r="O264">
        <f>O263+IF(AND($E264&lt;&gt;"",$E264&lt;=O$2,$F264&gt;=O$2),1,0)</f>
        <v/>
      </c>
      <c r="P264">
        <f>P263+IF(AND($E264&lt;&gt;"",$E264&lt;=P$2,$F264&gt;=P$2),1,0)</f>
        <v/>
      </c>
      <c r="Q264">
        <f>Q263+IF(AND($E264&lt;&gt;"",$E264&lt;=Q$2,$F264&gt;=Q$2),1,0)</f>
        <v/>
      </c>
      <c r="R264">
        <f>R263+IF(AND($E264&lt;&gt;"",$E264&lt;=R$2,$F264&gt;=R$2),1,0)</f>
        <v/>
      </c>
      <c r="S264">
        <f>S263+IF(AND($E264&lt;&gt;"",$E264&lt;=S$2,$F264&gt;=S$2),1,0)</f>
        <v/>
      </c>
      <c r="T264">
        <f>T263+IF(AND($E264&lt;&gt;"",$E264&lt;=T$2,$F264&gt;=T$2),1,0)</f>
        <v/>
      </c>
      <c r="U264">
        <f>U263+IF(AND($E264&lt;&gt;"",$E264&lt;=U$2,$F264&gt;=U$2),1,0)</f>
        <v/>
      </c>
      <c r="V264">
        <f>V263+IF(AND($E264&lt;&gt;"",$E264&lt;=V$2,$F264&gt;=V$2),1,0)</f>
        <v/>
      </c>
      <c r="W264">
        <f>W263+IF(AND($E264&lt;&gt;"",$E264&lt;=W$2,$F264&gt;=W$2),1,0)</f>
        <v/>
      </c>
      <c r="X264">
        <f>X263+IF(AND($E264&lt;&gt;"",$E264&lt;=X$2,$F264&gt;=X$2),1,0)</f>
        <v/>
      </c>
      <c r="Y264">
        <f>Y263+IF(AND($E264&lt;&gt;"",$E264&lt;=Y$2,$F264&gt;=Y$2),1,0)</f>
        <v/>
      </c>
      <c r="Z264">
        <f>Z263+IF(AND($E264&lt;&gt;"",$E264&lt;=Z$2,$F264&gt;=Z$2),1,0)</f>
        <v/>
      </c>
      <c r="AA264">
        <f>AA263+IF(AND($E264&lt;&gt;"",$E264&lt;=AA$2,$F264&gt;=AA$2),1,0)</f>
        <v/>
      </c>
      <c r="AB264">
        <f>AB263+IF(AND($E264&lt;&gt;"",$E264&lt;=AB$2,$F264&gt;=AB$2),1,0)</f>
        <v/>
      </c>
      <c r="AC264">
        <f>AC263+IF(AND($E264&lt;&gt;"",$E264&lt;=AC$2,$F264&gt;=AC$2),1,0)</f>
        <v/>
      </c>
      <c r="AD264">
        <f>AD263+IF(AND($E264&lt;&gt;"",$E264&lt;=AD$2,$F264&gt;=AD$2),1,0)</f>
        <v/>
      </c>
      <c r="AE264">
        <f>AE263+IF(AND($E264&lt;&gt;"",$E264&lt;=AE$2,$F264&gt;=AE$2),1,0)</f>
        <v/>
      </c>
      <c r="AF264">
        <f>AF263+IF(AND($E264&lt;&gt;"",$E264&lt;=AF$2,$F264&gt;=AF$2),1,0)</f>
        <v/>
      </c>
      <c r="AG264">
        <f>AG263+IF(AND($E264&lt;&gt;"",$E264&lt;=AG$2,$F264&gt;=AG$2),1,0)</f>
        <v/>
      </c>
      <c r="AH264">
        <f>AH263+IF(AND($E264&lt;&gt;"",$E264&lt;=AH$2,$F264&gt;=AH$2),1,0)</f>
        <v/>
      </c>
      <c r="AI264">
        <f>AI263+IF(AND($E264&lt;&gt;"",$E264&lt;=AI$2,$F264&gt;=AI$2),1,0)</f>
        <v/>
      </c>
      <c r="AJ264">
        <f>AJ263+IF(AND($E264&lt;&gt;"",$E264&lt;=AJ$2,$F264&gt;=AJ$2),1,0)</f>
        <v/>
      </c>
      <c r="AK264">
        <f>AK263+IF(AND($E264&lt;&gt;"",$E264&lt;=AK$2,$F264&gt;=AK$2),1,0)</f>
        <v/>
      </c>
      <c r="AL264">
        <f>AL263+IF(AND($E264&lt;&gt;"",$E264&lt;=AL$2,$F264&gt;=AL$2),1,0)</f>
        <v/>
      </c>
      <c r="AM264">
        <f>AM263+IF(AND($E264&lt;&gt;"",$E264&lt;=AM$2,$F264&gt;=AM$2),1,0)</f>
        <v/>
      </c>
      <c r="AN264">
        <f>AN263+IF(AND($E264&lt;&gt;"",$E264&lt;=AN$2,$F264&gt;=AN$2),1,0)</f>
        <v/>
      </c>
      <c r="AO264">
        <f>AO263+IF(AND($E264&lt;&gt;"",$E264&lt;=AO$2,$F264&gt;=AO$2),1,0)</f>
        <v/>
      </c>
      <c r="AP264">
        <f>AP263+IF(AND($E264&lt;&gt;"",$E264&lt;=AP$2,$F264&gt;=AP$2),1,0)</f>
        <v/>
      </c>
      <c r="AQ264">
        <f>AQ263+IF(AND($E264&lt;&gt;"",$E264&lt;=AQ$2,$F264&gt;=AQ$2),1,0)</f>
        <v/>
      </c>
      <c r="AR264">
        <f>AR263+IF(AND($E264&lt;&gt;"",$E264&lt;=AR$2,$F264&gt;=AR$2),1,0)</f>
        <v/>
      </c>
      <c r="AS264">
        <f>AS263+IF(AND($E264&lt;&gt;"",$E264&lt;=AS$2,$F264&gt;=AS$2),1,0)</f>
        <v/>
      </c>
      <c r="AT264">
        <f>AT263+IF(AND($E264&lt;&gt;"",$E264&lt;=AT$2,$F264&gt;=AT$2),1,0)</f>
        <v/>
      </c>
      <c r="AU264">
        <f>AU263+IF(AND($E264&lt;&gt;"",$E264&lt;=AU$2,$F264&gt;=AU$2),1,0)</f>
        <v/>
      </c>
      <c r="AV264">
        <f>AV263+IF(AND($E264&lt;&gt;"",$E264&lt;=AV$2,$F264&gt;=AV$2),1,0)</f>
        <v/>
      </c>
      <c r="AW264">
        <f>AW263+IF(AND($E264&lt;&gt;"",$E264&lt;=AW$2,$F264&gt;=AW$2),1,0)</f>
        <v/>
      </c>
    </row>
    <row r="265">
      <c r="A265">
        <f>IF(AND(ISNUMBER(Events!$A267),ISNUMBER(Events!$B267)),MAX(0,Events!$B267-Events!$A267),0)</f>
        <v/>
      </c>
      <c r="B265">
        <f>IF(ISNUMBER(Events!$A267),DATE(YEAR($B$1)-1,MONTH(Events!$A267),DAY(Events!$A267)),"")</f>
        <v/>
      </c>
      <c r="C265">
        <f>IF(ISNUMBER(Events!$A267),DATE(YEAR($B$1),MONTH(Events!$A267),DAY(Events!$A267)),"")</f>
        <v/>
      </c>
      <c r="D265">
        <f>IF(ISNUMBER(Events!$A267),DATE(YEAR($B$2),MONTH(Events!$A267),DAY(Events!$A267)),"")</f>
        <v/>
      </c>
      <c r="E265">
        <f>IF(OR(NOT(ISNUMBER(Events!$A267)),Events!$G267="No",Calendar!$H$4="None"),"",IF(OR(Calendar!$H$4="All events",Events!$D267=Calendar!$H$4),IF(Events!$E267="Yes",IF(AND(B265&gt;=Events!$A267,B265&lt;=$B$2,B265+$A265&gt;=$B$1),B265,IF(AND(C265&gt;=Events!$A267,C265&lt;=$B$2,C265+$A265&gt;=$B$1),C265,IF(AND(D265&gt;=Events!$A267,D265&lt;=$B$2,D265+$A265&gt;=$B$1),D265,""))),IF(AND(Events!$A267&lt;=$B$2,Events!$A267+$A265&gt;=$B$1),Events!$A267,"")),""))</f>
        <v/>
      </c>
      <c r="F265">
        <f>IF(E265="","",E265+A265)</f>
        <v/>
      </c>
      <c r="G265">
        <f>IF(E265="","",IF(AND(E265&lt;=EOMONTH(Calendar!$K$2,0),F265&gt;=Calendar!$K$2),E265+262/100000,""))</f>
        <v/>
      </c>
      <c r="H265">
        <f>H264+IF(AND($E265&lt;&gt;"",$E265&lt;=H$2,$F265&gt;=H$2),1,0)</f>
        <v/>
      </c>
      <c r="I265">
        <f>I264+IF(AND($E265&lt;&gt;"",$E265&lt;=I$2,$F265&gt;=I$2),1,0)</f>
        <v/>
      </c>
      <c r="J265">
        <f>J264+IF(AND($E265&lt;&gt;"",$E265&lt;=J$2,$F265&gt;=J$2),1,0)</f>
        <v/>
      </c>
      <c r="K265">
        <f>K264+IF(AND($E265&lt;&gt;"",$E265&lt;=K$2,$F265&gt;=K$2),1,0)</f>
        <v/>
      </c>
      <c r="L265">
        <f>L264+IF(AND($E265&lt;&gt;"",$E265&lt;=L$2,$F265&gt;=L$2),1,0)</f>
        <v/>
      </c>
      <c r="M265">
        <f>M264+IF(AND($E265&lt;&gt;"",$E265&lt;=M$2,$F265&gt;=M$2),1,0)</f>
        <v/>
      </c>
      <c r="N265">
        <f>N264+IF(AND($E265&lt;&gt;"",$E265&lt;=N$2,$F265&gt;=N$2),1,0)</f>
        <v/>
      </c>
      <c r="O265">
        <f>O264+IF(AND($E265&lt;&gt;"",$E265&lt;=O$2,$F265&gt;=O$2),1,0)</f>
        <v/>
      </c>
      <c r="P265">
        <f>P264+IF(AND($E265&lt;&gt;"",$E265&lt;=P$2,$F265&gt;=P$2),1,0)</f>
        <v/>
      </c>
      <c r="Q265">
        <f>Q264+IF(AND($E265&lt;&gt;"",$E265&lt;=Q$2,$F265&gt;=Q$2),1,0)</f>
        <v/>
      </c>
      <c r="R265">
        <f>R264+IF(AND($E265&lt;&gt;"",$E265&lt;=R$2,$F265&gt;=R$2),1,0)</f>
        <v/>
      </c>
      <c r="S265">
        <f>S264+IF(AND($E265&lt;&gt;"",$E265&lt;=S$2,$F265&gt;=S$2),1,0)</f>
        <v/>
      </c>
      <c r="T265">
        <f>T264+IF(AND($E265&lt;&gt;"",$E265&lt;=T$2,$F265&gt;=T$2),1,0)</f>
        <v/>
      </c>
      <c r="U265">
        <f>U264+IF(AND($E265&lt;&gt;"",$E265&lt;=U$2,$F265&gt;=U$2),1,0)</f>
        <v/>
      </c>
      <c r="V265">
        <f>V264+IF(AND($E265&lt;&gt;"",$E265&lt;=V$2,$F265&gt;=V$2),1,0)</f>
        <v/>
      </c>
      <c r="W265">
        <f>W264+IF(AND($E265&lt;&gt;"",$E265&lt;=W$2,$F265&gt;=W$2),1,0)</f>
        <v/>
      </c>
      <c r="X265">
        <f>X264+IF(AND($E265&lt;&gt;"",$E265&lt;=X$2,$F265&gt;=X$2),1,0)</f>
        <v/>
      </c>
      <c r="Y265">
        <f>Y264+IF(AND($E265&lt;&gt;"",$E265&lt;=Y$2,$F265&gt;=Y$2),1,0)</f>
        <v/>
      </c>
      <c r="Z265">
        <f>Z264+IF(AND($E265&lt;&gt;"",$E265&lt;=Z$2,$F265&gt;=Z$2),1,0)</f>
        <v/>
      </c>
      <c r="AA265">
        <f>AA264+IF(AND($E265&lt;&gt;"",$E265&lt;=AA$2,$F265&gt;=AA$2),1,0)</f>
        <v/>
      </c>
      <c r="AB265">
        <f>AB264+IF(AND($E265&lt;&gt;"",$E265&lt;=AB$2,$F265&gt;=AB$2),1,0)</f>
        <v/>
      </c>
      <c r="AC265">
        <f>AC264+IF(AND($E265&lt;&gt;"",$E265&lt;=AC$2,$F265&gt;=AC$2),1,0)</f>
        <v/>
      </c>
      <c r="AD265">
        <f>AD264+IF(AND($E265&lt;&gt;"",$E265&lt;=AD$2,$F265&gt;=AD$2),1,0)</f>
        <v/>
      </c>
      <c r="AE265">
        <f>AE264+IF(AND($E265&lt;&gt;"",$E265&lt;=AE$2,$F265&gt;=AE$2),1,0)</f>
        <v/>
      </c>
      <c r="AF265">
        <f>AF264+IF(AND($E265&lt;&gt;"",$E265&lt;=AF$2,$F265&gt;=AF$2),1,0)</f>
        <v/>
      </c>
      <c r="AG265">
        <f>AG264+IF(AND($E265&lt;&gt;"",$E265&lt;=AG$2,$F265&gt;=AG$2),1,0)</f>
        <v/>
      </c>
      <c r="AH265">
        <f>AH264+IF(AND($E265&lt;&gt;"",$E265&lt;=AH$2,$F265&gt;=AH$2),1,0)</f>
        <v/>
      </c>
      <c r="AI265">
        <f>AI264+IF(AND($E265&lt;&gt;"",$E265&lt;=AI$2,$F265&gt;=AI$2),1,0)</f>
        <v/>
      </c>
      <c r="AJ265">
        <f>AJ264+IF(AND($E265&lt;&gt;"",$E265&lt;=AJ$2,$F265&gt;=AJ$2),1,0)</f>
        <v/>
      </c>
      <c r="AK265">
        <f>AK264+IF(AND($E265&lt;&gt;"",$E265&lt;=AK$2,$F265&gt;=AK$2),1,0)</f>
        <v/>
      </c>
      <c r="AL265">
        <f>AL264+IF(AND($E265&lt;&gt;"",$E265&lt;=AL$2,$F265&gt;=AL$2),1,0)</f>
        <v/>
      </c>
      <c r="AM265">
        <f>AM264+IF(AND($E265&lt;&gt;"",$E265&lt;=AM$2,$F265&gt;=AM$2),1,0)</f>
        <v/>
      </c>
      <c r="AN265">
        <f>AN264+IF(AND($E265&lt;&gt;"",$E265&lt;=AN$2,$F265&gt;=AN$2),1,0)</f>
        <v/>
      </c>
      <c r="AO265">
        <f>AO264+IF(AND($E265&lt;&gt;"",$E265&lt;=AO$2,$F265&gt;=AO$2),1,0)</f>
        <v/>
      </c>
      <c r="AP265">
        <f>AP264+IF(AND($E265&lt;&gt;"",$E265&lt;=AP$2,$F265&gt;=AP$2),1,0)</f>
        <v/>
      </c>
      <c r="AQ265">
        <f>AQ264+IF(AND($E265&lt;&gt;"",$E265&lt;=AQ$2,$F265&gt;=AQ$2),1,0)</f>
        <v/>
      </c>
      <c r="AR265">
        <f>AR264+IF(AND($E265&lt;&gt;"",$E265&lt;=AR$2,$F265&gt;=AR$2),1,0)</f>
        <v/>
      </c>
      <c r="AS265">
        <f>AS264+IF(AND($E265&lt;&gt;"",$E265&lt;=AS$2,$F265&gt;=AS$2),1,0)</f>
        <v/>
      </c>
      <c r="AT265">
        <f>AT264+IF(AND($E265&lt;&gt;"",$E265&lt;=AT$2,$F265&gt;=AT$2),1,0)</f>
        <v/>
      </c>
      <c r="AU265">
        <f>AU264+IF(AND($E265&lt;&gt;"",$E265&lt;=AU$2,$F265&gt;=AU$2),1,0)</f>
        <v/>
      </c>
      <c r="AV265">
        <f>AV264+IF(AND($E265&lt;&gt;"",$E265&lt;=AV$2,$F265&gt;=AV$2),1,0)</f>
        <v/>
      </c>
      <c r="AW265">
        <f>AW264+IF(AND($E265&lt;&gt;"",$E265&lt;=AW$2,$F265&gt;=AW$2),1,0)</f>
        <v/>
      </c>
    </row>
    <row r="266">
      <c r="A266">
        <f>IF(AND(ISNUMBER(Events!$A268),ISNUMBER(Events!$B268)),MAX(0,Events!$B268-Events!$A268),0)</f>
        <v/>
      </c>
      <c r="B266">
        <f>IF(ISNUMBER(Events!$A268),DATE(YEAR($B$1)-1,MONTH(Events!$A268),DAY(Events!$A268)),"")</f>
        <v/>
      </c>
      <c r="C266">
        <f>IF(ISNUMBER(Events!$A268),DATE(YEAR($B$1),MONTH(Events!$A268),DAY(Events!$A268)),"")</f>
        <v/>
      </c>
      <c r="D266">
        <f>IF(ISNUMBER(Events!$A268),DATE(YEAR($B$2),MONTH(Events!$A268),DAY(Events!$A268)),"")</f>
        <v/>
      </c>
      <c r="E266">
        <f>IF(OR(NOT(ISNUMBER(Events!$A268)),Events!$G268="No",Calendar!$H$4="None"),"",IF(OR(Calendar!$H$4="All events",Events!$D268=Calendar!$H$4),IF(Events!$E268="Yes",IF(AND(B266&gt;=Events!$A268,B266&lt;=$B$2,B266+$A266&gt;=$B$1),B266,IF(AND(C266&gt;=Events!$A268,C266&lt;=$B$2,C266+$A266&gt;=$B$1),C266,IF(AND(D266&gt;=Events!$A268,D266&lt;=$B$2,D266+$A266&gt;=$B$1),D266,""))),IF(AND(Events!$A268&lt;=$B$2,Events!$A268+$A266&gt;=$B$1),Events!$A268,"")),""))</f>
        <v/>
      </c>
      <c r="F266">
        <f>IF(E266="","",E266+A266)</f>
        <v/>
      </c>
      <c r="G266">
        <f>IF(E266="","",IF(AND(E266&lt;=EOMONTH(Calendar!$K$2,0),F266&gt;=Calendar!$K$2),E266+263/100000,""))</f>
        <v/>
      </c>
      <c r="H266">
        <f>H265+IF(AND($E266&lt;&gt;"",$E266&lt;=H$2,$F266&gt;=H$2),1,0)</f>
        <v/>
      </c>
      <c r="I266">
        <f>I265+IF(AND($E266&lt;&gt;"",$E266&lt;=I$2,$F266&gt;=I$2),1,0)</f>
        <v/>
      </c>
      <c r="J266">
        <f>J265+IF(AND($E266&lt;&gt;"",$E266&lt;=J$2,$F266&gt;=J$2),1,0)</f>
        <v/>
      </c>
      <c r="K266">
        <f>K265+IF(AND($E266&lt;&gt;"",$E266&lt;=K$2,$F266&gt;=K$2),1,0)</f>
        <v/>
      </c>
      <c r="L266">
        <f>L265+IF(AND($E266&lt;&gt;"",$E266&lt;=L$2,$F266&gt;=L$2),1,0)</f>
        <v/>
      </c>
      <c r="M266">
        <f>M265+IF(AND($E266&lt;&gt;"",$E266&lt;=M$2,$F266&gt;=M$2),1,0)</f>
        <v/>
      </c>
      <c r="N266">
        <f>N265+IF(AND($E266&lt;&gt;"",$E266&lt;=N$2,$F266&gt;=N$2),1,0)</f>
        <v/>
      </c>
      <c r="O266">
        <f>O265+IF(AND($E266&lt;&gt;"",$E266&lt;=O$2,$F266&gt;=O$2),1,0)</f>
        <v/>
      </c>
      <c r="P266">
        <f>P265+IF(AND($E266&lt;&gt;"",$E266&lt;=P$2,$F266&gt;=P$2),1,0)</f>
        <v/>
      </c>
      <c r="Q266">
        <f>Q265+IF(AND($E266&lt;&gt;"",$E266&lt;=Q$2,$F266&gt;=Q$2),1,0)</f>
        <v/>
      </c>
      <c r="R266">
        <f>R265+IF(AND($E266&lt;&gt;"",$E266&lt;=R$2,$F266&gt;=R$2),1,0)</f>
        <v/>
      </c>
      <c r="S266">
        <f>S265+IF(AND($E266&lt;&gt;"",$E266&lt;=S$2,$F266&gt;=S$2),1,0)</f>
        <v/>
      </c>
      <c r="T266">
        <f>T265+IF(AND($E266&lt;&gt;"",$E266&lt;=T$2,$F266&gt;=T$2),1,0)</f>
        <v/>
      </c>
      <c r="U266">
        <f>U265+IF(AND($E266&lt;&gt;"",$E266&lt;=U$2,$F266&gt;=U$2),1,0)</f>
        <v/>
      </c>
      <c r="V266">
        <f>V265+IF(AND($E266&lt;&gt;"",$E266&lt;=V$2,$F266&gt;=V$2),1,0)</f>
        <v/>
      </c>
      <c r="W266">
        <f>W265+IF(AND($E266&lt;&gt;"",$E266&lt;=W$2,$F266&gt;=W$2),1,0)</f>
        <v/>
      </c>
      <c r="X266">
        <f>X265+IF(AND($E266&lt;&gt;"",$E266&lt;=X$2,$F266&gt;=X$2),1,0)</f>
        <v/>
      </c>
      <c r="Y266">
        <f>Y265+IF(AND($E266&lt;&gt;"",$E266&lt;=Y$2,$F266&gt;=Y$2),1,0)</f>
        <v/>
      </c>
      <c r="Z266">
        <f>Z265+IF(AND($E266&lt;&gt;"",$E266&lt;=Z$2,$F266&gt;=Z$2),1,0)</f>
        <v/>
      </c>
      <c r="AA266">
        <f>AA265+IF(AND($E266&lt;&gt;"",$E266&lt;=AA$2,$F266&gt;=AA$2),1,0)</f>
        <v/>
      </c>
      <c r="AB266">
        <f>AB265+IF(AND($E266&lt;&gt;"",$E266&lt;=AB$2,$F266&gt;=AB$2),1,0)</f>
        <v/>
      </c>
      <c r="AC266">
        <f>AC265+IF(AND($E266&lt;&gt;"",$E266&lt;=AC$2,$F266&gt;=AC$2),1,0)</f>
        <v/>
      </c>
      <c r="AD266">
        <f>AD265+IF(AND($E266&lt;&gt;"",$E266&lt;=AD$2,$F266&gt;=AD$2),1,0)</f>
        <v/>
      </c>
      <c r="AE266">
        <f>AE265+IF(AND($E266&lt;&gt;"",$E266&lt;=AE$2,$F266&gt;=AE$2),1,0)</f>
        <v/>
      </c>
      <c r="AF266">
        <f>AF265+IF(AND($E266&lt;&gt;"",$E266&lt;=AF$2,$F266&gt;=AF$2),1,0)</f>
        <v/>
      </c>
      <c r="AG266">
        <f>AG265+IF(AND($E266&lt;&gt;"",$E266&lt;=AG$2,$F266&gt;=AG$2),1,0)</f>
        <v/>
      </c>
      <c r="AH266">
        <f>AH265+IF(AND($E266&lt;&gt;"",$E266&lt;=AH$2,$F266&gt;=AH$2),1,0)</f>
        <v/>
      </c>
      <c r="AI266">
        <f>AI265+IF(AND($E266&lt;&gt;"",$E266&lt;=AI$2,$F266&gt;=AI$2),1,0)</f>
        <v/>
      </c>
      <c r="AJ266">
        <f>AJ265+IF(AND($E266&lt;&gt;"",$E266&lt;=AJ$2,$F266&gt;=AJ$2),1,0)</f>
        <v/>
      </c>
      <c r="AK266">
        <f>AK265+IF(AND($E266&lt;&gt;"",$E266&lt;=AK$2,$F266&gt;=AK$2),1,0)</f>
        <v/>
      </c>
      <c r="AL266">
        <f>AL265+IF(AND($E266&lt;&gt;"",$E266&lt;=AL$2,$F266&gt;=AL$2),1,0)</f>
        <v/>
      </c>
      <c r="AM266">
        <f>AM265+IF(AND($E266&lt;&gt;"",$E266&lt;=AM$2,$F266&gt;=AM$2),1,0)</f>
        <v/>
      </c>
      <c r="AN266">
        <f>AN265+IF(AND($E266&lt;&gt;"",$E266&lt;=AN$2,$F266&gt;=AN$2),1,0)</f>
        <v/>
      </c>
      <c r="AO266">
        <f>AO265+IF(AND($E266&lt;&gt;"",$E266&lt;=AO$2,$F266&gt;=AO$2),1,0)</f>
        <v/>
      </c>
      <c r="AP266">
        <f>AP265+IF(AND($E266&lt;&gt;"",$E266&lt;=AP$2,$F266&gt;=AP$2),1,0)</f>
        <v/>
      </c>
      <c r="AQ266">
        <f>AQ265+IF(AND($E266&lt;&gt;"",$E266&lt;=AQ$2,$F266&gt;=AQ$2),1,0)</f>
        <v/>
      </c>
      <c r="AR266">
        <f>AR265+IF(AND($E266&lt;&gt;"",$E266&lt;=AR$2,$F266&gt;=AR$2),1,0)</f>
        <v/>
      </c>
      <c r="AS266">
        <f>AS265+IF(AND($E266&lt;&gt;"",$E266&lt;=AS$2,$F266&gt;=AS$2),1,0)</f>
        <v/>
      </c>
      <c r="AT266">
        <f>AT265+IF(AND($E266&lt;&gt;"",$E266&lt;=AT$2,$F266&gt;=AT$2),1,0)</f>
        <v/>
      </c>
      <c r="AU266">
        <f>AU265+IF(AND($E266&lt;&gt;"",$E266&lt;=AU$2,$F266&gt;=AU$2),1,0)</f>
        <v/>
      </c>
      <c r="AV266">
        <f>AV265+IF(AND($E266&lt;&gt;"",$E266&lt;=AV$2,$F266&gt;=AV$2),1,0)</f>
        <v/>
      </c>
      <c r="AW266">
        <f>AW265+IF(AND($E266&lt;&gt;"",$E266&lt;=AW$2,$F266&gt;=AW$2),1,0)</f>
        <v/>
      </c>
    </row>
    <row r="267">
      <c r="A267">
        <f>IF(AND(ISNUMBER(Events!$A269),ISNUMBER(Events!$B269)),MAX(0,Events!$B269-Events!$A269),0)</f>
        <v/>
      </c>
      <c r="B267">
        <f>IF(ISNUMBER(Events!$A269),DATE(YEAR($B$1)-1,MONTH(Events!$A269),DAY(Events!$A269)),"")</f>
        <v/>
      </c>
      <c r="C267">
        <f>IF(ISNUMBER(Events!$A269),DATE(YEAR($B$1),MONTH(Events!$A269),DAY(Events!$A269)),"")</f>
        <v/>
      </c>
      <c r="D267">
        <f>IF(ISNUMBER(Events!$A269),DATE(YEAR($B$2),MONTH(Events!$A269),DAY(Events!$A269)),"")</f>
        <v/>
      </c>
      <c r="E267">
        <f>IF(OR(NOT(ISNUMBER(Events!$A269)),Events!$G269="No",Calendar!$H$4="None"),"",IF(OR(Calendar!$H$4="All events",Events!$D269=Calendar!$H$4),IF(Events!$E269="Yes",IF(AND(B267&gt;=Events!$A269,B267&lt;=$B$2,B267+$A267&gt;=$B$1),B267,IF(AND(C267&gt;=Events!$A269,C267&lt;=$B$2,C267+$A267&gt;=$B$1),C267,IF(AND(D267&gt;=Events!$A269,D267&lt;=$B$2,D267+$A267&gt;=$B$1),D267,""))),IF(AND(Events!$A269&lt;=$B$2,Events!$A269+$A267&gt;=$B$1),Events!$A269,"")),""))</f>
        <v/>
      </c>
      <c r="F267">
        <f>IF(E267="","",E267+A267)</f>
        <v/>
      </c>
      <c r="G267">
        <f>IF(E267="","",IF(AND(E267&lt;=EOMONTH(Calendar!$K$2,0),F267&gt;=Calendar!$K$2),E267+264/100000,""))</f>
        <v/>
      </c>
      <c r="H267">
        <f>H266+IF(AND($E267&lt;&gt;"",$E267&lt;=H$2,$F267&gt;=H$2),1,0)</f>
        <v/>
      </c>
      <c r="I267">
        <f>I266+IF(AND($E267&lt;&gt;"",$E267&lt;=I$2,$F267&gt;=I$2),1,0)</f>
        <v/>
      </c>
      <c r="J267">
        <f>J266+IF(AND($E267&lt;&gt;"",$E267&lt;=J$2,$F267&gt;=J$2),1,0)</f>
        <v/>
      </c>
      <c r="K267">
        <f>K266+IF(AND($E267&lt;&gt;"",$E267&lt;=K$2,$F267&gt;=K$2),1,0)</f>
        <v/>
      </c>
      <c r="L267">
        <f>L266+IF(AND($E267&lt;&gt;"",$E267&lt;=L$2,$F267&gt;=L$2),1,0)</f>
        <v/>
      </c>
      <c r="M267">
        <f>M266+IF(AND($E267&lt;&gt;"",$E267&lt;=M$2,$F267&gt;=M$2),1,0)</f>
        <v/>
      </c>
      <c r="N267">
        <f>N266+IF(AND($E267&lt;&gt;"",$E267&lt;=N$2,$F267&gt;=N$2),1,0)</f>
        <v/>
      </c>
      <c r="O267">
        <f>O266+IF(AND($E267&lt;&gt;"",$E267&lt;=O$2,$F267&gt;=O$2),1,0)</f>
        <v/>
      </c>
      <c r="P267">
        <f>P266+IF(AND($E267&lt;&gt;"",$E267&lt;=P$2,$F267&gt;=P$2),1,0)</f>
        <v/>
      </c>
      <c r="Q267">
        <f>Q266+IF(AND($E267&lt;&gt;"",$E267&lt;=Q$2,$F267&gt;=Q$2),1,0)</f>
        <v/>
      </c>
      <c r="R267">
        <f>R266+IF(AND($E267&lt;&gt;"",$E267&lt;=R$2,$F267&gt;=R$2),1,0)</f>
        <v/>
      </c>
      <c r="S267">
        <f>S266+IF(AND($E267&lt;&gt;"",$E267&lt;=S$2,$F267&gt;=S$2),1,0)</f>
        <v/>
      </c>
      <c r="T267">
        <f>T266+IF(AND($E267&lt;&gt;"",$E267&lt;=T$2,$F267&gt;=T$2),1,0)</f>
        <v/>
      </c>
      <c r="U267">
        <f>U266+IF(AND($E267&lt;&gt;"",$E267&lt;=U$2,$F267&gt;=U$2),1,0)</f>
        <v/>
      </c>
      <c r="V267">
        <f>V266+IF(AND($E267&lt;&gt;"",$E267&lt;=V$2,$F267&gt;=V$2),1,0)</f>
        <v/>
      </c>
      <c r="W267">
        <f>W266+IF(AND($E267&lt;&gt;"",$E267&lt;=W$2,$F267&gt;=W$2),1,0)</f>
        <v/>
      </c>
      <c r="X267">
        <f>X266+IF(AND($E267&lt;&gt;"",$E267&lt;=X$2,$F267&gt;=X$2),1,0)</f>
        <v/>
      </c>
      <c r="Y267">
        <f>Y266+IF(AND($E267&lt;&gt;"",$E267&lt;=Y$2,$F267&gt;=Y$2),1,0)</f>
        <v/>
      </c>
      <c r="Z267">
        <f>Z266+IF(AND($E267&lt;&gt;"",$E267&lt;=Z$2,$F267&gt;=Z$2),1,0)</f>
        <v/>
      </c>
      <c r="AA267">
        <f>AA266+IF(AND($E267&lt;&gt;"",$E267&lt;=AA$2,$F267&gt;=AA$2),1,0)</f>
        <v/>
      </c>
      <c r="AB267">
        <f>AB266+IF(AND($E267&lt;&gt;"",$E267&lt;=AB$2,$F267&gt;=AB$2),1,0)</f>
        <v/>
      </c>
      <c r="AC267">
        <f>AC266+IF(AND($E267&lt;&gt;"",$E267&lt;=AC$2,$F267&gt;=AC$2),1,0)</f>
        <v/>
      </c>
      <c r="AD267">
        <f>AD266+IF(AND($E267&lt;&gt;"",$E267&lt;=AD$2,$F267&gt;=AD$2),1,0)</f>
        <v/>
      </c>
      <c r="AE267">
        <f>AE266+IF(AND($E267&lt;&gt;"",$E267&lt;=AE$2,$F267&gt;=AE$2),1,0)</f>
        <v/>
      </c>
      <c r="AF267">
        <f>AF266+IF(AND($E267&lt;&gt;"",$E267&lt;=AF$2,$F267&gt;=AF$2),1,0)</f>
        <v/>
      </c>
      <c r="AG267">
        <f>AG266+IF(AND($E267&lt;&gt;"",$E267&lt;=AG$2,$F267&gt;=AG$2),1,0)</f>
        <v/>
      </c>
      <c r="AH267">
        <f>AH266+IF(AND($E267&lt;&gt;"",$E267&lt;=AH$2,$F267&gt;=AH$2),1,0)</f>
        <v/>
      </c>
      <c r="AI267">
        <f>AI266+IF(AND($E267&lt;&gt;"",$E267&lt;=AI$2,$F267&gt;=AI$2),1,0)</f>
        <v/>
      </c>
      <c r="AJ267">
        <f>AJ266+IF(AND($E267&lt;&gt;"",$E267&lt;=AJ$2,$F267&gt;=AJ$2),1,0)</f>
        <v/>
      </c>
      <c r="AK267">
        <f>AK266+IF(AND($E267&lt;&gt;"",$E267&lt;=AK$2,$F267&gt;=AK$2),1,0)</f>
        <v/>
      </c>
      <c r="AL267">
        <f>AL266+IF(AND($E267&lt;&gt;"",$E267&lt;=AL$2,$F267&gt;=AL$2),1,0)</f>
        <v/>
      </c>
      <c r="AM267">
        <f>AM266+IF(AND($E267&lt;&gt;"",$E267&lt;=AM$2,$F267&gt;=AM$2),1,0)</f>
        <v/>
      </c>
      <c r="AN267">
        <f>AN266+IF(AND($E267&lt;&gt;"",$E267&lt;=AN$2,$F267&gt;=AN$2),1,0)</f>
        <v/>
      </c>
      <c r="AO267">
        <f>AO266+IF(AND($E267&lt;&gt;"",$E267&lt;=AO$2,$F267&gt;=AO$2),1,0)</f>
        <v/>
      </c>
      <c r="AP267">
        <f>AP266+IF(AND($E267&lt;&gt;"",$E267&lt;=AP$2,$F267&gt;=AP$2),1,0)</f>
        <v/>
      </c>
      <c r="AQ267">
        <f>AQ266+IF(AND($E267&lt;&gt;"",$E267&lt;=AQ$2,$F267&gt;=AQ$2),1,0)</f>
        <v/>
      </c>
      <c r="AR267">
        <f>AR266+IF(AND($E267&lt;&gt;"",$E267&lt;=AR$2,$F267&gt;=AR$2),1,0)</f>
        <v/>
      </c>
      <c r="AS267">
        <f>AS266+IF(AND($E267&lt;&gt;"",$E267&lt;=AS$2,$F267&gt;=AS$2),1,0)</f>
        <v/>
      </c>
      <c r="AT267">
        <f>AT266+IF(AND($E267&lt;&gt;"",$E267&lt;=AT$2,$F267&gt;=AT$2),1,0)</f>
        <v/>
      </c>
      <c r="AU267">
        <f>AU266+IF(AND($E267&lt;&gt;"",$E267&lt;=AU$2,$F267&gt;=AU$2),1,0)</f>
        <v/>
      </c>
      <c r="AV267">
        <f>AV266+IF(AND($E267&lt;&gt;"",$E267&lt;=AV$2,$F267&gt;=AV$2),1,0)</f>
        <v/>
      </c>
      <c r="AW267">
        <f>AW266+IF(AND($E267&lt;&gt;"",$E267&lt;=AW$2,$F267&gt;=AW$2),1,0)</f>
        <v/>
      </c>
    </row>
    <row r="268">
      <c r="A268">
        <f>IF(AND(ISNUMBER(Events!$A270),ISNUMBER(Events!$B270)),MAX(0,Events!$B270-Events!$A270),0)</f>
        <v/>
      </c>
      <c r="B268">
        <f>IF(ISNUMBER(Events!$A270),DATE(YEAR($B$1)-1,MONTH(Events!$A270),DAY(Events!$A270)),"")</f>
        <v/>
      </c>
      <c r="C268">
        <f>IF(ISNUMBER(Events!$A270),DATE(YEAR($B$1),MONTH(Events!$A270),DAY(Events!$A270)),"")</f>
        <v/>
      </c>
      <c r="D268">
        <f>IF(ISNUMBER(Events!$A270),DATE(YEAR($B$2),MONTH(Events!$A270),DAY(Events!$A270)),"")</f>
        <v/>
      </c>
      <c r="E268">
        <f>IF(OR(NOT(ISNUMBER(Events!$A270)),Events!$G270="No",Calendar!$H$4="None"),"",IF(OR(Calendar!$H$4="All events",Events!$D270=Calendar!$H$4),IF(Events!$E270="Yes",IF(AND(B268&gt;=Events!$A270,B268&lt;=$B$2,B268+$A268&gt;=$B$1),B268,IF(AND(C268&gt;=Events!$A270,C268&lt;=$B$2,C268+$A268&gt;=$B$1),C268,IF(AND(D268&gt;=Events!$A270,D268&lt;=$B$2,D268+$A268&gt;=$B$1),D268,""))),IF(AND(Events!$A270&lt;=$B$2,Events!$A270+$A268&gt;=$B$1),Events!$A270,"")),""))</f>
        <v/>
      </c>
      <c r="F268">
        <f>IF(E268="","",E268+A268)</f>
        <v/>
      </c>
      <c r="G268">
        <f>IF(E268="","",IF(AND(E268&lt;=EOMONTH(Calendar!$K$2,0),F268&gt;=Calendar!$K$2),E268+265/100000,""))</f>
        <v/>
      </c>
      <c r="H268">
        <f>H267+IF(AND($E268&lt;&gt;"",$E268&lt;=H$2,$F268&gt;=H$2),1,0)</f>
        <v/>
      </c>
      <c r="I268">
        <f>I267+IF(AND($E268&lt;&gt;"",$E268&lt;=I$2,$F268&gt;=I$2),1,0)</f>
        <v/>
      </c>
      <c r="J268">
        <f>J267+IF(AND($E268&lt;&gt;"",$E268&lt;=J$2,$F268&gt;=J$2),1,0)</f>
        <v/>
      </c>
      <c r="K268">
        <f>K267+IF(AND($E268&lt;&gt;"",$E268&lt;=K$2,$F268&gt;=K$2),1,0)</f>
        <v/>
      </c>
      <c r="L268">
        <f>L267+IF(AND($E268&lt;&gt;"",$E268&lt;=L$2,$F268&gt;=L$2),1,0)</f>
        <v/>
      </c>
      <c r="M268">
        <f>M267+IF(AND($E268&lt;&gt;"",$E268&lt;=M$2,$F268&gt;=M$2),1,0)</f>
        <v/>
      </c>
      <c r="N268">
        <f>N267+IF(AND($E268&lt;&gt;"",$E268&lt;=N$2,$F268&gt;=N$2),1,0)</f>
        <v/>
      </c>
      <c r="O268">
        <f>O267+IF(AND($E268&lt;&gt;"",$E268&lt;=O$2,$F268&gt;=O$2),1,0)</f>
        <v/>
      </c>
      <c r="P268">
        <f>P267+IF(AND($E268&lt;&gt;"",$E268&lt;=P$2,$F268&gt;=P$2),1,0)</f>
        <v/>
      </c>
      <c r="Q268">
        <f>Q267+IF(AND($E268&lt;&gt;"",$E268&lt;=Q$2,$F268&gt;=Q$2),1,0)</f>
        <v/>
      </c>
      <c r="R268">
        <f>R267+IF(AND($E268&lt;&gt;"",$E268&lt;=R$2,$F268&gt;=R$2),1,0)</f>
        <v/>
      </c>
      <c r="S268">
        <f>S267+IF(AND($E268&lt;&gt;"",$E268&lt;=S$2,$F268&gt;=S$2),1,0)</f>
        <v/>
      </c>
      <c r="T268">
        <f>T267+IF(AND($E268&lt;&gt;"",$E268&lt;=T$2,$F268&gt;=T$2),1,0)</f>
        <v/>
      </c>
      <c r="U268">
        <f>U267+IF(AND($E268&lt;&gt;"",$E268&lt;=U$2,$F268&gt;=U$2),1,0)</f>
        <v/>
      </c>
      <c r="V268">
        <f>V267+IF(AND($E268&lt;&gt;"",$E268&lt;=V$2,$F268&gt;=V$2),1,0)</f>
        <v/>
      </c>
      <c r="W268">
        <f>W267+IF(AND($E268&lt;&gt;"",$E268&lt;=W$2,$F268&gt;=W$2),1,0)</f>
        <v/>
      </c>
      <c r="X268">
        <f>X267+IF(AND($E268&lt;&gt;"",$E268&lt;=X$2,$F268&gt;=X$2),1,0)</f>
        <v/>
      </c>
      <c r="Y268">
        <f>Y267+IF(AND($E268&lt;&gt;"",$E268&lt;=Y$2,$F268&gt;=Y$2),1,0)</f>
        <v/>
      </c>
      <c r="Z268">
        <f>Z267+IF(AND($E268&lt;&gt;"",$E268&lt;=Z$2,$F268&gt;=Z$2),1,0)</f>
        <v/>
      </c>
      <c r="AA268">
        <f>AA267+IF(AND($E268&lt;&gt;"",$E268&lt;=AA$2,$F268&gt;=AA$2),1,0)</f>
        <v/>
      </c>
      <c r="AB268">
        <f>AB267+IF(AND($E268&lt;&gt;"",$E268&lt;=AB$2,$F268&gt;=AB$2),1,0)</f>
        <v/>
      </c>
      <c r="AC268">
        <f>AC267+IF(AND($E268&lt;&gt;"",$E268&lt;=AC$2,$F268&gt;=AC$2),1,0)</f>
        <v/>
      </c>
      <c r="AD268">
        <f>AD267+IF(AND($E268&lt;&gt;"",$E268&lt;=AD$2,$F268&gt;=AD$2),1,0)</f>
        <v/>
      </c>
      <c r="AE268">
        <f>AE267+IF(AND($E268&lt;&gt;"",$E268&lt;=AE$2,$F268&gt;=AE$2),1,0)</f>
        <v/>
      </c>
      <c r="AF268">
        <f>AF267+IF(AND($E268&lt;&gt;"",$E268&lt;=AF$2,$F268&gt;=AF$2),1,0)</f>
        <v/>
      </c>
      <c r="AG268">
        <f>AG267+IF(AND($E268&lt;&gt;"",$E268&lt;=AG$2,$F268&gt;=AG$2),1,0)</f>
        <v/>
      </c>
      <c r="AH268">
        <f>AH267+IF(AND($E268&lt;&gt;"",$E268&lt;=AH$2,$F268&gt;=AH$2),1,0)</f>
        <v/>
      </c>
      <c r="AI268">
        <f>AI267+IF(AND($E268&lt;&gt;"",$E268&lt;=AI$2,$F268&gt;=AI$2),1,0)</f>
        <v/>
      </c>
      <c r="AJ268">
        <f>AJ267+IF(AND($E268&lt;&gt;"",$E268&lt;=AJ$2,$F268&gt;=AJ$2),1,0)</f>
        <v/>
      </c>
      <c r="AK268">
        <f>AK267+IF(AND($E268&lt;&gt;"",$E268&lt;=AK$2,$F268&gt;=AK$2),1,0)</f>
        <v/>
      </c>
      <c r="AL268">
        <f>AL267+IF(AND($E268&lt;&gt;"",$E268&lt;=AL$2,$F268&gt;=AL$2),1,0)</f>
        <v/>
      </c>
      <c r="AM268">
        <f>AM267+IF(AND($E268&lt;&gt;"",$E268&lt;=AM$2,$F268&gt;=AM$2),1,0)</f>
        <v/>
      </c>
      <c r="AN268">
        <f>AN267+IF(AND($E268&lt;&gt;"",$E268&lt;=AN$2,$F268&gt;=AN$2),1,0)</f>
        <v/>
      </c>
      <c r="AO268">
        <f>AO267+IF(AND($E268&lt;&gt;"",$E268&lt;=AO$2,$F268&gt;=AO$2),1,0)</f>
        <v/>
      </c>
      <c r="AP268">
        <f>AP267+IF(AND($E268&lt;&gt;"",$E268&lt;=AP$2,$F268&gt;=AP$2),1,0)</f>
        <v/>
      </c>
      <c r="AQ268">
        <f>AQ267+IF(AND($E268&lt;&gt;"",$E268&lt;=AQ$2,$F268&gt;=AQ$2),1,0)</f>
        <v/>
      </c>
      <c r="AR268">
        <f>AR267+IF(AND($E268&lt;&gt;"",$E268&lt;=AR$2,$F268&gt;=AR$2),1,0)</f>
        <v/>
      </c>
      <c r="AS268">
        <f>AS267+IF(AND($E268&lt;&gt;"",$E268&lt;=AS$2,$F268&gt;=AS$2),1,0)</f>
        <v/>
      </c>
      <c r="AT268">
        <f>AT267+IF(AND($E268&lt;&gt;"",$E268&lt;=AT$2,$F268&gt;=AT$2),1,0)</f>
        <v/>
      </c>
      <c r="AU268">
        <f>AU267+IF(AND($E268&lt;&gt;"",$E268&lt;=AU$2,$F268&gt;=AU$2),1,0)</f>
        <v/>
      </c>
      <c r="AV268">
        <f>AV267+IF(AND($E268&lt;&gt;"",$E268&lt;=AV$2,$F268&gt;=AV$2),1,0)</f>
        <v/>
      </c>
      <c r="AW268">
        <f>AW267+IF(AND($E268&lt;&gt;"",$E268&lt;=AW$2,$F268&gt;=AW$2),1,0)</f>
        <v/>
      </c>
    </row>
    <row r="269">
      <c r="A269">
        <f>IF(AND(ISNUMBER(Events!$A271),ISNUMBER(Events!$B271)),MAX(0,Events!$B271-Events!$A271),0)</f>
        <v/>
      </c>
      <c r="B269">
        <f>IF(ISNUMBER(Events!$A271),DATE(YEAR($B$1)-1,MONTH(Events!$A271),DAY(Events!$A271)),"")</f>
        <v/>
      </c>
      <c r="C269">
        <f>IF(ISNUMBER(Events!$A271),DATE(YEAR($B$1),MONTH(Events!$A271),DAY(Events!$A271)),"")</f>
        <v/>
      </c>
      <c r="D269">
        <f>IF(ISNUMBER(Events!$A271),DATE(YEAR($B$2),MONTH(Events!$A271),DAY(Events!$A271)),"")</f>
        <v/>
      </c>
      <c r="E269">
        <f>IF(OR(NOT(ISNUMBER(Events!$A271)),Events!$G271="No",Calendar!$H$4="None"),"",IF(OR(Calendar!$H$4="All events",Events!$D271=Calendar!$H$4),IF(Events!$E271="Yes",IF(AND(B269&gt;=Events!$A271,B269&lt;=$B$2,B269+$A269&gt;=$B$1),B269,IF(AND(C269&gt;=Events!$A271,C269&lt;=$B$2,C269+$A269&gt;=$B$1),C269,IF(AND(D269&gt;=Events!$A271,D269&lt;=$B$2,D269+$A269&gt;=$B$1),D269,""))),IF(AND(Events!$A271&lt;=$B$2,Events!$A271+$A269&gt;=$B$1),Events!$A271,"")),""))</f>
        <v/>
      </c>
      <c r="F269">
        <f>IF(E269="","",E269+A269)</f>
        <v/>
      </c>
      <c r="G269">
        <f>IF(E269="","",IF(AND(E269&lt;=EOMONTH(Calendar!$K$2,0),F269&gt;=Calendar!$K$2),E269+266/100000,""))</f>
        <v/>
      </c>
      <c r="H269">
        <f>H268+IF(AND($E269&lt;&gt;"",$E269&lt;=H$2,$F269&gt;=H$2),1,0)</f>
        <v/>
      </c>
      <c r="I269">
        <f>I268+IF(AND($E269&lt;&gt;"",$E269&lt;=I$2,$F269&gt;=I$2),1,0)</f>
        <v/>
      </c>
      <c r="J269">
        <f>J268+IF(AND($E269&lt;&gt;"",$E269&lt;=J$2,$F269&gt;=J$2),1,0)</f>
        <v/>
      </c>
      <c r="K269">
        <f>K268+IF(AND($E269&lt;&gt;"",$E269&lt;=K$2,$F269&gt;=K$2),1,0)</f>
        <v/>
      </c>
      <c r="L269">
        <f>L268+IF(AND($E269&lt;&gt;"",$E269&lt;=L$2,$F269&gt;=L$2),1,0)</f>
        <v/>
      </c>
      <c r="M269">
        <f>M268+IF(AND($E269&lt;&gt;"",$E269&lt;=M$2,$F269&gt;=M$2),1,0)</f>
        <v/>
      </c>
      <c r="N269">
        <f>N268+IF(AND($E269&lt;&gt;"",$E269&lt;=N$2,$F269&gt;=N$2),1,0)</f>
        <v/>
      </c>
      <c r="O269">
        <f>O268+IF(AND($E269&lt;&gt;"",$E269&lt;=O$2,$F269&gt;=O$2),1,0)</f>
        <v/>
      </c>
      <c r="P269">
        <f>P268+IF(AND($E269&lt;&gt;"",$E269&lt;=P$2,$F269&gt;=P$2),1,0)</f>
        <v/>
      </c>
      <c r="Q269">
        <f>Q268+IF(AND($E269&lt;&gt;"",$E269&lt;=Q$2,$F269&gt;=Q$2),1,0)</f>
        <v/>
      </c>
      <c r="R269">
        <f>R268+IF(AND($E269&lt;&gt;"",$E269&lt;=R$2,$F269&gt;=R$2),1,0)</f>
        <v/>
      </c>
      <c r="S269">
        <f>S268+IF(AND($E269&lt;&gt;"",$E269&lt;=S$2,$F269&gt;=S$2),1,0)</f>
        <v/>
      </c>
      <c r="T269">
        <f>T268+IF(AND($E269&lt;&gt;"",$E269&lt;=T$2,$F269&gt;=T$2),1,0)</f>
        <v/>
      </c>
      <c r="U269">
        <f>U268+IF(AND($E269&lt;&gt;"",$E269&lt;=U$2,$F269&gt;=U$2),1,0)</f>
        <v/>
      </c>
      <c r="V269">
        <f>V268+IF(AND($E269&lt;&gt;"",$E269&lt;=V$2,$F269&gt;=V$2),1,0)</f>
        <v/>
      </c>
      <c r="W269">
        <f>W268+IF(AND($E269&lt;&gt;"",$E269&lt;=W$2,$F269&gt;=W$2),1,0)</f>
        <v/>
      </c>
      <c r="X269">
        <f>X268+IF(AND($E269&lt;&gt;"",$E269&lt;=X$2,$F269&gt;=X$2),1,0)</f>
        <v/>
      </c>
      <c r="Y269">
        <f>Y268+IF(AND($E269&lt;&gt;"",$E269&lt;=Y$2,$F269&gt;=Y$2),1,0)</f>
        <v/>
      </c>
      <c r="Z269">
        <f>Z268+IF(AND($E269&lt;&gt;"",$E269&lt;=Z$2,$F269&gt;=Z$2),1,0)</f>
        <v/>
      </c>
      <c r="AA269">
        <f>AA268+IF(AND($E269&lt;&gt;"",$E269&lt;=AA$2,$F269&gt;=AA$2),1,0)</f>
        <v/>
      </c>
      <c r="AB269">
        <f>AB268+IF(AND($E269&lt;&gt;"",$E269&lt;=AB$2,$F269&gt;=AB$2),1,0)</f>
        <v/>
      </c>
      <c r="AC269">
        <f>AC268+IF(AND($E269&lt;&gt;"",$E269&lt;=AC$2,$F269&gt;=AC$2),1,0)</f>
        <v/>
      </c>
      <c r="AD269">
        <f>AD268+IF(AND($E269&lt;&gt;"",$E269&lt;=AD$2,$F269&gt;=AD$2),1,0)</f>
        <v/>
      </c>
      <c r="AE269">
        <f>AE268+IF(AND($E269&lt;&gt;"",$E269&lt;=AE$2,$F269&gt;=AE$2),1,0)</f>
        <v/>
      </c>
      <c r="AF269">
        <f>AF268+IF(AND($E269&lt;&gt;"",$E269&lt;=AF$2,$F269&gt;=AF$2),1,0)</f>
        <v/>
      </c>
      <c r="AG269">
        <f>AG268+IF(AND($E269&lt;&gt;"",$E269&lt;=AG$2,$F269&gt;=AG$2),1,0)</f>
        <v/>
      </c>
      <c r="AH269">
        <f>AH268+IF(AND($E269&lt;&gt;"",$E269&lt;=AH$2,$F269&gt;=AH$2),1,0)</f>
        <v/>
      </c>
      <c r="AI269">
        <f>AI268+IF(AND($E269&lt;&gt;"",$E269&lt;=AI$2,$F269&gt;=AI$2),1,0)</f>
        <v/>
      </c>
      <c r="AJ269">
        <f>AJ268+IF(AND($E269&lt;&gt;"",$E269&lt;=AJ$2,$F269&gt;=AJ$2),1,0)</f>
        <v/>
      </c>
      <c r="AK269">
        <f>AK268+IF(AND($E269&lt;&gt;"",$E269&lt;=AK$2,$F269&gt;=AK$2),1,0)</f>
        <v/>
      </c>
      <c r="AL269">
        <f>AL268+IF(AND($E269&lt;&gt;"",$E269&lt;=AL$2,$F269&gt;=AL$2),1,0)</f>
        <v/>
      </c>
      <c r="AM269">
        <f>AM268+IF(AND($E269&lt;&gt;"",$E269&lt;=AM$2,$F269&gt;=AM$2),1,0)</f>
        <v/>
      </c>
      <c r="AN269">
        <f>AN268+IF(AND($E269&lt;&gt;"",$E269&lt;=AN$2,$F269&gt;=AN$2),1,0)</f>
        <v/>
      </c>
      <c r="AO269">
        <f>AO268+IF(AND($E269&lt;&gt;"",$E269&lt;=AO$2,$F269&gt;=AO$2),1,0)</f>
        <v/>
      </c>
      <c r="AP269">
        <f>AP268+IF(AND($E269&lt;&gt;"",$E269&lt;=AP$2,$F269&gt;=AP$2),1,0)</f>
        <v/>
      </c>
      <c r="AQ269">
        <f>AQ268+IF(AND($E269&lt;&gt;"",$E269&lt;=AQ$2,$F269&gt;=AQ$2),1,0)</f>
        <v/>
      </c>
      <c r="AR269">
        <f>AR268+IF(AND($E269&lt;&gt;"",$E269&lt;=AR$2,$F269&gt;=AR$2),1,0)</f>
        <v/>
      </c>
      <c r="AS269">
        <f>AS268+IF(AND($E269&lt;&gt;"",$E269&lt;=AS$2,$F269&gt;=AS$2),1,0)</f>
        <v/>
      </c>
      <c r="AT269">
        <f>AT268+IF(AND($E269&lt;&gt;"",$E269&lt;=AT$2,$F269&gt;=AT$2),1,0)</f>
        <v/>
      </c>
      <c r="AU269">
        <f>AU268+IF(AND($E269&lt;&gt;"",$E269&lt;=AU$2,$F269&gt;=AU$2),1,0)</f>
        <v/>
      </c>
      <c r="AV269">
        <f>AV268+IF(AND($E269&lt;&gt;"",$E269&lt;=AV$2,$F269&gt;=AV$2),1,0)</f>
        <v/>
      </c>
      <c r="AW269">
        <f>AW268+IF(AND($E269&lt;&gt;"",$E269&lt;=AW$2,$F269&gt;=AW$2),1,0)</f>
        <v/>
      </c>
    </row>
    <row r="270">
      <c r="A270">
        <f>IF(AND(ISNUMBER(Events!$A272),ISNUMBER(Events!$B272)),MAX(0,Events!$B272-Events!$A272),0)</f>
        <v/>
      </c>
      <c r="B270">
        <f>IF(ISNUMBER(Events!$A272),DATE(YEAR($B$1)-1,MONTH(Events!$A272),DAY(Events!$A272)),"")</f>
        <v/>
      </c>
      <c r="C270">
        <f>IF(ISNUMBER(Events!$A272),DATE(YEAR($B$1),MONTH(Events!$A272),DAY(Events!$A272)),"")</f>
        <v/>
      </c>
      <c r="D270">
        <f>IF(ISNUMBER(Events!$A272),DATE(YEAR($B$2),MONTH(Events!$A272),DAY(Events!$A272)),"")</f>
        <v/>
      </c>
      <c r="E270">
        <f>IF(OR(NOT(ISNUMBER(Events!$A272)),Events!$G272="No",Calendar!$H$4="None"),"",IF(OR(Calendar!$H$4="All events",Events!$D272=Calendar!$H$4),IF(Events!$E272="Yes",IF(AND(B270&gt;=Events!$A272,B270&lt;=$B$2,B270+$A270&gt;=$B$1),B270,IF(AND(C270&gt;=Events!$A272,C270&lt;=$B$2,C270+$A270&gt;=$B$1),C270,IF(AND(D270&gt;=Events!$A272,D270&lt;=$B$2,D270+$A270&gt;=$B$1),D270,""))),IF(AND(Events!$A272&lt;=$B$2,Events!$A272+$A270&gt;=$B$1),Events!$A272,"")),""))</f>
        <v/>
      </c>
      <c r="F270">
        <f>IF(E270="","",E270+A270)</f>
        <v/>
      </c>
      <c r="G270">
        <f>IF(E270="","",IF(AND(E270&lt;=EOMONTH(Calendar!$K$2,0),F270&gt;=Calendar!$K$2),E270+267/100000,""))</f>
        <v/>
      </c>
      <c r="H270">
        <f>H269+IF(AND($E270&lt;&gt;"",$E270&lt;=H$2,$F270&gt;=H$2),1,0)</f>
        <v/>
      </c>
      <c r="I270">
        <f>I269+IF(AND($E270&lt;&gt;"",$E270&lt;=I$2,$F270&gt;=I$2),1,0)</f>
        <v/>
      </c>
      <c r="J270">
        <f>J269+IF(AND($E270&lt;&gt;"",$E270&lt;=J$2,$F270&gt;=J$2),1,0)</f>
        <v/>
      </c>
      <c r="K270">
        <f>K269+IF(AND($E270&lt;&gt;"",$E270&lt;=K$2,$F270&gt;=K$2),1,0)</f>
        <v/>
      </c>
      <c r="L270">
        <f>L269+IF(AND($E270&lt;&gt;"",$E270&lt;=L$2,$F270&gt;=L$2),1,0)</f>
        <v/>
      </c>
      <c r="M270">
        <f>M269+IF(AND($E270&lt;&gt;"",$E270&lt;=M$2,$F270&gt;=M$2),1,0)</f>
        <v/>
      </c>
      <c r="N270">
        <f>N269+IF(AND($E270&lt;&gt;"",$E270&lt;=N$2,$F270&gt;=N$2),1,0)</f>
        <v/>
      </c>
      <c r="O270">
        <f>O269+IF(AND($E270&lt;&gt;"",$E270&lt;=O$2,$F270&gt;=O$2),1,0)</f>
        <v/>
      </c>
      <c r="P270">
        <f>P269+IF(AND($E270&lt;&gt;"",$E270&lt;=P$2,$F270&gt;=P$2),1,0)</f>
        <v/>
      </c>
      <c r="Q270">
        <f>Q269+IF(AND($E270&lt;&gt;"",$E270&lt;=Q$2,$F270&gt;=Q$2),1,0)</f>
        <v/>
      </c>
      <c r="R270">
        <f>R269+IF(AND($E270&lt;&gt;"",$E270&lt;=R$2,$F270&gt;=R$2),1,0)</f>
        <v/>
      </c>
      <c r="S270">
        <f>S269+IF(AND($E270&lt;&gt;"",$E270&lt;=S$2,$F270&gt;=S$2),1,0)</f>
        <v/>
      </c>
      <c r="T270">
        <f>T269+IF(AND($E270&lt;&gt;"",$E270&lt;=T$2,$F270&gt;=T$2),1,0)</f>
        <v/>
      </c>
      <c r="U270">
        <f>U269+IF(AND($E270&lt;&gt;"",$E270&lt;=U$2,$F270&gt;=U$2),1,0)</f>
        <v/>
      </c>
      <c r="V270">
        <f>V269+IF(AND($E270&lt;&gt;"",$E270&lt;=V$2,$F270&gt;=V$2),1,0)</f>
        <v/>
      </c>
      <c r="W270">
        <f>W269+IF(AND($E270&lt;&gt;"",$E270&lt;=W$2,$F270&gt;=W$2),1,0)</f>
        <v/>
      </c>
      <c r="X270">
        <f>X269+IF(AND($E270&lt;&gt;"",$E270&lt;=X$2,$F270&gt;=X$2),1,0)</f>
        <v/>
      </c>
      <c r="Y270">
        <f>Y269+IF(AND($E270&lt;&gt;"",$E270&lt;=Y$2,$F270&gt;=Y$2),1,0)</f>
        <v/>
      </c>
      <c r="Z270">
        <f>Z269+IF(AND($E270&lt;&gt;"",$E270&lt;=Z$2,$F270&gt;=Z$2),1,0)</f>
        <v/>
      </c>
      <c r="AA270">
        <f>AA269+IF(AND($E270&lt;&gt;"",$E270&lt;=AA$2,$F270&gt;=AA$2),1,0)</f>
        <v/>
      </c>
      <c r="AB270">
        <f>AB269+IF(AND($E270&lt;&gt;"",$E270&lt;=AB$2,$F270&gt;=AB$2),1,0)</f>
        <v/>
      </c>
      <c r="AC270">
        <f>AC269+IF(AND($E270&lt;&gt;"",$E270&lt;=AC$2,$F270&gt;=AC$2),1,0)</f>
        <v/>
      </c>
      <c r="AD270">
        <f>AD269+IF(AND($E270&lt;&gt;"",$E270&lt;=AD$2,$F270&gt;=AD$2),1,0)</f>
        <v/>
      </c>
      <c r="AE270">
        <f>AE269+IF(AND($E270&lt;&gt;"",$E270&lt;=AE$2,$F270&gt;=AE$2),1,0)</f>
        <v/>
      </c>
      <c r="AF270">
        <f>AF269+IF(AND($E270&lt;&gt;"",$E270&lt;=AF$2,$F270&gt;=AF$2),1,0)</f>
        <v/>
      </c>
      <c r="AG270">
        <f>AG269+IF(AND($E270&lt;&gt;"",$E270&lt;=AG$2,$F270&gt;=AG$2),1,0)</f>
        <v/>
      </c>
      <c r="AH270">
        <f>AH269+IF(AND($E270&lt;&gt;"",$E270&lt;=AH$2,$F270&gt;=AH$2),1,0)</f>
        <v/>
      </c>
      <c r="AI270">
        <f>AI269+IF(AND($E270&lt;&gt;"",$E270&lt;=AI$2,$F270&gt;=AI$2),1,0)</f>
        <v/>
      </c>
      <c r="AJ270">
        <f>AJ269+IF(AND($E270&lt;&gt;"",$E270&lt;=AJ$2,$F270&gt;=AJ$2),1,0)</f>
        <v/>
      </c>
      <c r="AK270">
        <f>AK269+IF(AND($E270&lt;&gt;"",$E270&lt;=AK$2,$F270&gt;=AK$2),1,0)</f>
        <v/>
      </c>
      <c r="AL270">
        <f>AL269+IF(AND($E270&lt;&gt;"",$E270&lt;=AL$2,$F270&gt;=AL$2),1,0)</f>
        <v/>
      </c>
      <c r="AM270">
        <f>AM269+IF(AND($E270&lt;&gt;"",$E270&lt;=AM$2,$F270&gt;=AM$2),1,0)</f>
        <v/>
      </c>
      <c r="AN270">
        <f>AN269+IF(AND($E270&lt;&gt;"",$E270&lt;=AN$2,$F270&gt;=AN$2),1,0)</f>
        <v/>
      </c>
      <c r="AO270">
        <f>AO269+IF(AND($E270&lt;&gt;"",$E270&lt;=AO$2,$F270&gt;=AO$2),1,0)</f>
        <v/>
      </c>
      <c r="AP270">
        <f>AP269+IF(AND($E270&lt;&gt;"",$E270&lt;=AP$2,$F270&gt;=AP$2),1,0)</f>
        <v/>
      </c>
      <c r="AQ270">
        <f>AQ269+IF(AND($E270&lt;&gt;"",$E270&lt;=AQ$2,$F270&gt;=AQ$2),1,0)</f>
        <v/>
      </c>
      <c r="AR270">
        <f>AR269+IF(AND($E270&lt;&gt;"",$E270&lt;=AR$2,$F270&gt;=AR$2),1,0)</f>
        <v/>
      </c>
      <c r="AS270">
        <f>AS269+IF(AND($E270&lt;&gt;"",$E270&lt;=AS$2,$F270&gt;=AS$2),1,0)</f>
        <v/>
      </c>
      <c r="AT270">
        <f>AT269+IF(AND($E270&lt;&gt;"",$E270&lt;=AT$2,$F270&gt;=AT$2),1,0)</f>
        <v/>
      </c>
      <c r="AU270">
        <f>AU269+IF(AND($E270&lt;&gt;"",$E270&lt;=AU$2,$F270&gt;=AU$2),1,0)</f>
        <v/>
      </c>
      <c r="AV270">
        <f>AV269+IF(AND($E270&lt;&gt;"",$E270&lt;=AV$2,$F270&gt;=AV$2),1,0)</f>
        <v/>
      </c>
      <c r="AW270">
        <f>AW269+IF(AND($E270&lt;&gt;"",$E270&lt;=AW$2,$F270&gt;=AW$2),1,0)</f>
        <v/>
      </c>
    </row>
    <row r="271">
      <c r="A271">
        <f>IF(AND(ISNUMBER(Events!$A273),ISNUMBER(Events!$B273)),MAX(0,Events!$B273-Events!$A273),0)</f>
        <v/>
      </c>
      <c r="B271">
        <f>IF(ISNUMBER(Events!$A273),DATE(YEAR($B$1)-1,MONTH(Events!$A273),DAY(Events!$A273)),"")</f>
        <v/>
      </c>
      <c r="C271">
        <f>IF(ISNUMBER(Events!$A273),DATE(YEAR($B$1),MONTH(Events!$A273),DAY(Events!$A273)),"")</f>
        <v/>
      </c>
      <c r="D271">
        <f>IF(ISNUMBER(Events!$A273),DATE(YEAR($B$2),MONTH(Events!$A273),DAY(Events!$A273)),"")</f>
        <v/>
      </c>
      <c r="E271">
        <f>IF(OR(NOT(ISNUMBER(Events!$A273)),Events!$G273="No",Calendar!$H$4="None"),"",IF(OR(Calendar!$H$4="All events",Events!$D273=Calendar!$H$4),IF(Events!$E273="Yes",IF(AND(B271&gt;=Events!$A273,B271&lt;=$B$2,B271+$A271&gt;=$B$1),B271,IF(AND(C271&gt;=Events!$A273,C271&lt;=$B$2,C271+$A271&gt;=$B$1),C271,IF(AND(D271&gt;=Events!$A273,D271&lt;=$B$2,D271+$A271&gt;=$B$1),D271,""))),IF(AND(Events!$A273&lt;=$B$2,Events!$A273+$A271&gt;=$B$1),Events!$A273,"")),""))</f>
        <v/>
      </c>
      <c r="F271">
        <f>IF(E271="","",E271+A271)</f>
        <v/>
      </c>
      <c r="G271">
        <f>IF(E271="","",IF(AND(E271&lt;=EOMONTH(Calendar!$K$2,0),F271&gt;=Calendar!$K$2),E271+268/100000,""))</f>
        <v/>
      </c>
      <c r="H271">
        <f>H270+IF(AND($E271&lt;&gt;"",$E271&lt;=H$2,$F271&gt;=H$2),1,0)</f>
        <v/>
      </c>
      <c r="I271">
        <f>I270+IF(AND($E271&lt;&gt;"",$E271&lt;=I$2,$F271&gt;=I$2),1,0)</f>
        <v/>
      </c>
      <c r="J271">
        <f>J270+IF(AND($E271&lt;&gt;"",$E271&lt;=J$2,$F271&gt;=J$2),1,0)</f>
        <v/>
      </c>
      <c r="K271">
        <f>K270+IF(AND($E271&lt;&gt;"",$E271&lt;=K$2,$F271&gt;=K$2),1,0)</f>
        <v/>
      </c>
      <c r="L271">
        <f>L270+IF(AND($E271&lt;&gt;"",$E271&lt;=L$2,$F271&gt;=L$2),1,0)</f>
        <v/>
      </c>
      <c r="M271">
        <f>M270+IF(AND($E271&lt;&gt;"",$E271&lt;=M$2,$F271&gt;=M$2),1,0)</f>
        <v/>
      </c>
      <c r="N271">
        <f>N270+IF(AND($E271&lt;&gt;"",$E271&lt;=N$2,$F271&gt;=N$2),1,0)</f>
        <v/>
      </c>
      <c r="O271">
        <f>O270+IF(AND($E271&lt;&gt;"",$E271&lt;=O$2,$F271&gt;=O$2),1,0)</f>
        <v/>
      </c>
      <c r="P271">
        <f>P270+IF(AND($E271&lt;&gt;"",$E271&lt;=P$2,$F271&gt;=P$2),1,0)</f>
        <v/>
      </c>
      <c r="Q271">
        <f>Q270+IF(AND($E271&lt;&gt;"",$E271&lt;=Q$2,$F271&gt;=Q$2),1,0)</f>
        <v/>
      </c>
      <c r="R271">
        <f>R270+IF(AND($E271&lt;&gt;"",$E271&lt;=R$2,$F271&gt;=R$2),1,0)</f>
        <v/>
      </c>
      <c r="S271">
        <f>S270+IF(AND($E271&lt;&gt;"",$E271&lt;=S$2,$F271&gt;=S$2),1,0)</f>
        <v/>
      </c>
      <c r="T271">
        <f>T270+IF(AND($E271&lt;&gt;"",$E271&lt;=T$2,$F271&gt;=T$2),1,0)</f>
        <v/>
      </c>
      <c r="U271">
        <f>U270+IF(AND($E271&lt;&gt;"",$E271&lt;=U$2,$F271&gt;=U$2),1,0)</f>
        <v/>
      </c>
      <c r="V271">
        <f>V270+IF(AND($E271&lt;&gt;"",$E271&lt;=V$2,$F271&gt;=V$2),1,0)</f>
        <v/>
      </c>
      <c r="W271">
        <f>W270+IF(AND($E271&lt;&gt;"",$E271&lt;=W$2,$F271&gt;=W$2),1,0)</f>
        <v/>
      </c>
      <c r="X271">
        <f>X270+IF(AND($E271&lt;&gt;"",$E271&lt;=X$2,$F271&gt;=X$2),1,0)</f>
        <v/>
      </c>
      <c r="Y271">
        <f>Y270+IF(AND($E271&lt;&gt;"",$E271&lt;=Y$2,$F271&gt;=Y$2),1,0)</f>
        <v/>
      </c>
      <c r="Z271">
        <f>Z270+IF(AND($E271&lt;&gt;"",$E271&lt;=Z$2,$F271&gt;=Z$2),1,0)</f>
        <v/>
      </c>
      <c r="AA271">
        <f>AA270+IF(AND($E271&lt;&gt;"",$E271&lt;=AA$2,$F271&gt;=AA$2),1,0)</f>
        <v/>
      </c>
      <c r="AB271">
        <f>AB270+IF(AND($E271&lt;&gt;"",$E271&lt;=AB$2,$F271&gt;=AB$2),1,0)</f>
        <v/>
      </c>
      <c r="AC271">
        <f>AC270+IF(AND($E271&lt;&gt;"",$E271&lt;=AC$2,$F271&gt;=AC$2),1,0)</f>
        <v/>
      </c>
      <c r="AD271">
        <f>AD270+IF(AND($E271&lt;&gt;"",$E271&lt;=AD$2,$F271&gt;=AD$2),1,0)</f>
        <v/>
      </c>
      <c r="AE271">
        <f>AE270+IF(AND($E271&lt;&gt;"",$E271&lt;=AE$2,$F271&gt;=AE$2),1,0)</f>
        <v/>
      </c>
      <c r="AF271">
        <f>AF270+IF(AND($E271&lt;&gt;"",$E271&lt;=AF$2,$F271&gt;=AF$2),1,0)</f>
        <v/>
      </c>
      <c r="AG271">
        <f>AG270+IF(AND($E271&lt;&gt;"",$E271&lt;=AG$2,$F271&gt;=AG$2),1,0)</f>
        <v/>
      </c>
      <c r="AH271">
        <f>AH270+IF(AND($E271&lt;&gt;"",$E271&lt;=AH$2,$F271&gt;=AH$2),1,0)</f>
        <v/>
      </c>
      <c r="AI271">
        <f>AI270+IF(AND($E271&lt;&gt;"",$E271&lt;=AI$2,$F271&gt;=AI$2),1,0)</f>
        <v/>
      </c>
      <c r="AJ271">
        <f>AJ270+IF(AND($E271&lt;&gt;"",$E271&lt;=AJ$2,$F271&gt;=AJ$2),1,0)</f>
        <v/>
      </c>
      <c r="AK271">
        <f>AK270+IF(AND($E271&lt;&gt;"",$E271&lt;=AK$2,$F271&gt;=AK$2),1,0)</f>
        <v/>
      </c>
      <c r="AL271">
        <f>AL270+IF(AND($E271&lt;&gt;"",$E271&lt;=AL$2,$F271&gt;=AL$2),1,0)</f>
        <v/>
      </c>
      <c r="AM271">
        <f>AM270+IF(AND($E271&lt;&gt;"",$E271&lt;=AM$2,$F271&gt;=AM$2),1,0)</f>
        <v/>
      </c>
      <c r="AN271">
        <f>AN270+IF(AND($E271&lt;&gt;"",$E271&lt;=AN$2,$F271&gt;=AN$2),1,0)</f>
        <v/>
      </c>
      <c r="AO271">
        <f>AO270+IF(AND($E271&lt;&gt;"",$E271&lt;=AO$2,$F271&gt;=AO$2),1,0)</f>
        <v/>
      </c>
      <c r="AP271">
        <f>AP270+IF(AND($E271&lt;&gt;"",$E271&lt;=AP$2,$F271&gt;=AP$2),1,0)</f>
        <v/>
      </c>
      <c r="AQ271">
        <f>AQ270+IF(AND($E271&lt;&gt;"",$E271&lt;=AQ$2,$F271&gt;=AQ$2),1,0)</f>
        <v/>
      </c>
      <c r="AR271">
        <f>AR270+IF(AND($E271&lt;&gt;"",$E271&lt;=AR$2,$F271&gt;=AR$2),1,0)</f>
        <v/>
      </c>
      <c r="AS271">
        <f>AS270+IF(AND($E271&lt;&gt;"",$E271&lt;=AS$2,$F271&gt;=AS$2),1,0)</f>
        <v/>
      </c>
      <c r="AT271">
        <f>AT270+IF(AND($E271&lt;&gt;"",$E271&lt;=AT$2,$F271&gt;=AT$2),1,0)</f>
        <v/>
      </c>
      <c r="AU271">
        <f>AU270+IF(AND($E271&lt;&gt;"",$E271&lt;=AU$2,$F271&gt;=AU$2),1,0)</f>
        <v/>
      </c>
      <c r="AV271">
        <f>AV270+IF(AND($E271&lt;&gt;"",$E271&lt;=AV$2,$F271&gt;=AV$2),1,0)</f>
        <v/>
      </c>
      <c r="AW271">
        <f>AW270+IF(AND($E271&lt;&gt;"",$E271&lt;=AW$2,$F271&gt;=AW$2),1,0)</f>
        <v/>
      </c>
    </row>
    <row r="272">
      <c r="A272">
        <f>IF(AND(ISNUMBER(Events!$A274),ISNUMBER(Events!$B274)),MAX(0,Events!$B274-Events!$A274),0)</f>
        <v/>
      </c>
      <c r="B272">
        <f>IF(ISNUMBER(Events!$A274),DATE(YEAR($B$1)-1,MONTH(Events!$A274),DAY(Events!$A274)),"")</f>
        <v/>
      </c>
      <c r="C272">
        <f>IF(ISNUMBER(Events!$A274),DATE(YEAR($B$1),MONTH(Events!$A274),DAY(Events!$A274)),"")</f>
        <v/>
      </c>
      <c r="D272">
        <f>IF(ISNUMBER(Events!$A274),DATE(YEAR($B$2),MONTH(Events!$A274),DAY(Events!$A274)),"")</f>
        <v/>
      </c>
      <c r="E272">
        <f>IF(OR(NOT(ISNUMBER(Events!$A274)),Events!$G274="No",Calendar!$H$4="None"),"",IF(OR(Calendar!$H$4="All events",Events!$D274=Calendar!$H$4),IF(Events!$E274="Yes",IF(AND(B272&gt;=Events!$A274,B272&lt;=$B$2,B272+$A272&gt;=$B$1),B272,IF(AND(C272&gt;=Events!$A274,C272&lt;=$B$2,C272+$A272&gt;=$B$1),C272,IF(AND(D272&gt;=Events!$A274,D272&lt;=$B$2,D272+$A272&gt;=$B$1),D272,""))),IF(AND(Events!$A274&lt;=$B$2,Events!$A274+$A272&gt;=$B$1),Events!$A274,"")),""))</f>
        <v/>
      </c>
      <c r="F272">
        <f>IF(E272="","",E272+A272)</f>
        <v/>
      </c>
      <c r="G272">
        <f>IF(E272="","",IF(AND(E272&lt;=EOMONTH(Calendar!$K$2,0),F272&gt;=Calendar!$K$2),E272+269/100000,""))</f>
        <v/>
      </c>
      <c r="H272">
        <f>H271+IF(AND($E272&lt;&gt;"",$E272&lt;=H$2,$F272&gt;=H$2),1,0)</f>
        <v/>
      </c>
      <c r="I272">
        <f>I271+IF(AND($E272&lt;&gt;"",$E272&lt;=I$2,$F272&gt;=I$2),1,0)</f>
        <v/>
      </c>
      <c r="J272">
        <f>J271+IF(AND($E272&lt;&gt;"",$E272&lt;=J$2,$F272&gt;=J$2),1,0)</f>
        <v/>
      </c>
      <c r="K272">
        <f>K271+IF(AND($E272&lt;&gt;"",$E272&lt;=K$2,$F272&gt;=K$2),1,0)</f>
        <v/>
      </c>
      <c r="L272">
        <f>L271+IF(AND($E272&lt;&gt;"",$E272&lt;=L$2,$F272&gt;=L$2),1,0)</f>
        <v/>
      </c>
      <c r="M272">
        <f>M271+IF(AND($E272&lt;&gt;"",$E272&lt;=M$2,$F272&gt;=M$2),1,0)</f>
        <v/>
      </c>
      <c r="N272">
        <f>N271+IF(AND($E272&lt;&gt;"",$E272&lt;=N$2,$F272&gt;=N$2),1,0)</f>
        <v/>
      </c>
      <c r="O272">
        <f>O271+IF(AND($E272&lt;&gt;"",$E272&lt;=O$2,$F272&gt;=O$2),1,0)</f>
        <v/>
      </c>
      <c r="P272">
        <f>P271+IF(AND($E272&lt;&gt;"",$E272&lt;=P$2,$F272&gt;=P$2),1,0)</f>
        <v/>
      </c>
      <c r="Q272">
        <f>Q271+IF(AND($E272&lt;&gt;"",$E272&lt;=Q$2,$F272&gt;=Q$2),1,0)</f>
        <v/>
      </c>
      <c r="R272">
        <f>R271+IF(AND($E272&lt;&gt;"",$E272&lt;=R$2,$F272&gt;=R$2),1,0)</f>
        <v/>
      </c>
      <c r="S272">
        <f>S271+IF(AND($E272&lt;&gt;"",$E272&lt;=S$2,$F272&gt;=S$2),1,0)</f>
        <v/>
      </c>
      <c r="T272">
        <f>T271+IF(AND($E272&lt;&gt;"",$E272&lt;=T$2,$F272&gt;=T$2),1,0)</f>
        <v/>
      </c>
      <c r="U272">
        <f>U271+IF(AND($E272&lt;&gt;"",$E272&lt;=U$2,$F272&gt;=U$2),1,0)</f>
        <v/>
      </c>
      <c r="V272">
        <f>V271+IF(AND($E272&lt;&gt;"",$E272&lt;=V$2,$F272&gt;=V$2),1,0)</f>
        <v/>
      </c>
      <c r="W272">
        <f>W271+IF(AND($E272&lt;&gt;"",$E272&lt;=W$2,$F272&gt;=W$2),1,0)</f>
        <v/>
      </c>
      <c r="X272">
        <f>X271+IF(AND($E272&lt;&gt;"",$E272&lt;=X$2,$F272&gt;=X$2),1,0)</f>
        <v/>
      </c>
      <c r="Y272">
        <f>Y271+IF(AND($E272&lt;&gt;"",$E272&lt;=Y$2,$F272&gt;=Y$2),1,0)</f>
        <v/>
      </c>
      <c r="Z272">
        <f>Z271+IF(AND($E272&lt;&gt;"",$E272&lt;=Z$2,$F272&gt;=Z$2),1,0)</f>
        <v/>
      </c>
      <c r="AA272">
        <f>AA271+IF(AND($E272&lt;&gt;"",$E272&lt;=AA$2,$F272&gt;=AA$2),1,0)</f>
        <v/>
      </c>
      <c r="AB272">
        <f>AB271+IF(AND($E272&lt;&gt;"",$E272&lt;=AB$2,$F272&gt;=AB$2),1,0)</f>
        <v/>
      </c>
      <c r="AC272">
        <f>AC271+IF(AND($E272&lt;&gt;"",$E272&lt;=AC$2,$F272&gt;=AC$2),1,0)</f>
        <v/>
      </c>
      <c r="AD272">
        <f>AD271+IF(AND($E272&lt;&gt;"",$E272&lt;=AD$2,$F272&gt;=AD$2),1,0)</f>
        <v/>
      </c>
      <c r="AE272">
        <f>AE271+IF(AND($E272&lt;&gt;"",$E272&lt;=AE$2,$F272&gt;=AE$2),1,0)</f>
        <v/>
      </c>
      <c r="AF272">
        <f>AF271+IF(AND($E272&lt;&gt;"",$E272&lt;=AF$2,$F272&gt;=AF$2),1,0)</f>
        <v/>
      </c>
      <c r="AG272">
        <f>AG271+IF(AND($E272&lt;&gt;"",$E272&lt;=AG$2,$F272&gt;=AG$2),1,0)</f>
        <v/>
      </c>
      <c r="AH272">
        <f>AH271+IF(AND($E272&lt;&gt;"",$E272&lt;=AH$2,$F272&gt;=AH$2),1,0)</f>
        <v/>
      </c>
      <c r="AI272">
        <f>AI271+IF(AND($E272&lt;&gt;"",$E272&lt;=AI$2,$F272&gt;=AI$2),1,0)</f>
        <v/>
      </c>
      <c r="AJ272">
        <f>AJ271+IF(AND($E272&lt;&gt;"",$E272&lt;=AJ$2,$F272&gt;=AJ$2),1,0)</f>
        <v/>
      </c>
      <c r="AK272">
        <f>AK271+IF(AND($E272&lt;&gt;"",$E272&lt;=AK$2,$F272&gt;=AK$2),1,0)</f>
        <v/>
      </c>
      <c r="AL272">
        <f>AL271+IF(AND($E272&lt;&gt;"",$E272&lt;=AL$2,$F272&gt;=AL$2),1,0)</f>
        <v/>
      </c>
      <c r="AM272">
        <f>AM271+IF(AND($E272&lt;&gt;"",$E272&lt;=AM$2,$F272&gt;=AM$2),1,0)</f>
        <v/>
      </c>
      <c r="AN272">
        <f>AN271+IF(AND($E272&lt;&gt;"",$E272&lt;=AN$2,$F272&gt;=AN$2),1,0)</f>
        <v/>
      </c>
      <c r="AO272">
        <f>AO271+IF(AND($E272&lt;&gt;"",$E272&lt;=AO$2,$F272&gt;=AO$2),1,0)</f>
        <v/>
      </c>
      <c r="AP272">
        <f>AP271+IF(AND($E272&lt;&gt;"",$E272&lt;=AP$2,$F272&gt;=AP$2),1,0)</f>
        <v/>
      </c>
      <c r="AQ272">
        <f>AQ271+IF(AND($E272&lt;&gt;"",$E272&lt;=AQ$2,$F272&gt;=AQ$2),1,0)</f>
        <v/>
      </c>
      <c r="AR272">
        <f>AR271+IF(AND($E272&lt;&gt;"",$E272&lt;=AR$2,$F272&gt;=AR$2),1,0)</f>
        <v/>
      </c>
      <c r="AS272">
        <f>AS271+IF(AND($E272&lt;&gt;"",$E272&lt;=AS$2,$F272&gt;=AS$2),1,0)</f>
        <v/>
      </c>
      <c r="AT272">
        <f>AT271+IF(AND($E272&lt;&gt;"",$E272&lt;=AT$2,$F272&gt;=AT$2),1,0)</f>
        <v/>
      </c>
      <c r="AU272">
        <f>AU271+IF(AND($E272&lt;&gt;"",$E272&lt;=AU$2,$F272&gt;=AU$2),1,0)</f>
        <v/>
      </c>
      <c r="AV272">
        <f>AV271+IF(AND($E272&lt;&gt;"",$E272&lt;=AV$2,$F272&gt;=AV$2),1,0)</f>
        <v/>
      </c>
      <c r="AW272">
        <f>AW271+IF(AND($E272&lt;&gt;"",$E272&lt;=AW$2,$F272&gt;=AW$2),1,0)</f>
        <v/>
      </c>
    </row>
    <row r="273">
      <c r="A273">
        <f>IF(AND(ISNUMBER(Events!$A275),ISNUMBER(Events!$B275)),MAX(0,Events!$B275-Events!$A275),0)</f>
        <v/>
      </c>
      <c r="B273">
        <f>IF(ISNUMBER(Events!$A275),DATE(YEAR($B$1)-1,MONTH(Events!$A275),DAY(Events!$A275)),"")</f>
        <v/>
      </c>
      <c r="C273">
        <f>IF(ISNUMBER(Events!$A275),DATE(YEAR($B$1),MONTH(Events!$A275),DAY(Events!$A275)),"")</f>
        <v/>
      </c>
      <c r="D273">
        <f>IF(ISNUMBER(Events!$A275),DATE(YEAR($B$2),MONTH(Events!$A275),DAY(Events!$A275)),"")</f>
        <v/>
      </c>
      <c r="E273">
        <f>IF(OR(NOT(ISNUMBER(Events!$A275)),Events!$G275="No",Calendar!$H$4="None"),"",IF(OR(Calendar!$H$4="All events",Events!$D275=Calendar!$H$4),IF(Events!$E275="Yes",IF(AND(B273&gt;=Events!$A275,B273&lt;=$B$2,B273+$A273&gt;=$B$1),B273,IF(AND(C273&gt;=Events!$A275,C273&lt;=$B$2,C273+$A273&gt;=$B$1),C273,IF(AND(D273&gt;=Events!$A275,D273&lt;=$B$2,D273+$A273&gt;=$B$1),D273,""))),IF(AND(Events!$A275&lt;=$B$2,Events!$A275+$A273&gt;=$B$1),Events!$A275,"")),""))</f>
        <v/>
      </c>
      <c r="F273">
        <f>IF(E273="","",E273+A273)</f>
        <v/>
      </c>
      <c r="G273">
        <f>IF(E273="","",IF(AND(E273&lt;=EOMONTH(Calendar!$K$2,0),F273&gt;=Calendar!$K$2),E273+270/100000,""))</f>
        <v/>
      </c>
      <c r="H273">
        <f>H272+IF(AND($E273&lt;&gt;"",$E273&lt;=H$2,$F273&gt;=H$2),1,0)</f>
        <v/>
      </c>
      <c r="I273">
        <f>I272+IF(AND($E273&lt;&gt;"",$E273&lt;=I$2,$F273&gt;=I$2),1,0)</f>
        <v/>
      </c>
      <c r="J273">
        <f>J272+IF(AND($E273&lt;&gt;"",$E273&lt;=J$2,$F273&gt;=J$2),1,0)</f>
        <v/>
      </c>
      <c r="K273">
        <f>K272+IF(AND($E273&lt;&gt;"",$E273&lt;=K$2,$F273&gt;=K$2),1,0)</f>
        <v/>
      </c>
      <c r="L273">
        <f>L272+IF(AND($E273&lt;&gt;"",$E273&lt;=L$2,$F273&gt;=L$2),1,0)</f>
        <v/>
      </c>
      <c r="M273">
        <f>M272+IF(AND($E273&lt;&gt;"",$E273&lt;=M$2,$F273&gt;=M$2),1,0)</f>
        <v/>
      </c>
      <c r="N273">
        <f>N272+IF(AND($E273&lt;&gt;"",$E273&lt;=N$2,$F273&gt;=N$2),1,0)</f>
        <v/>
      </c>
      <c r="O273">
        <f>O272+IF(AND($E273&lt;&gt;"",$E273&lt;=O$2,$F273&gt;=O$2),1,0)</f>
        <v/>
      </c>
      <c r="P273">
        <f>P272+IF(AND($E273&lt;&gt;"",$E273&lt;=P$2,$F273&gt;=P$2),1,0)</f>
        <v/>
      </c>
      <c r="Q273">
        <f>Q272+IF(AND($E273&lt;&gt;"",$E273&lt;=Q$2,$F273&gt;=Q$2),1,0)</f>
        <v/>
      </c>
      <c r="R273">
        <f>R272+IF(AND($E273&lt;&gt;"",$E273&lt;=R$2,$F273&gt;=R$2),1,0)</f>
        <v/>
      </c>
      <c r="S273">
        <f>S272+IF(AND($E273&lt;&gt;"",$E273&lt;=S$2,$F273&gt;=S$2),1,0)</f>
        <v/>
      </c>
      <c r="T273">
        <f>T272+IF(AND($E273&lt;&gt;"",$E273&lt;=T$2,$F273&gt;=T$2),1,0)</f>
        <v/>
      </c>
      <c r="U273">
        <f>U272+IF(AND($E273&lt;&gt;"",$E273&lt;=U$2,$F273&gt;=U$2),1,0)</f>
        <v/>
      </c>
      <c r="V273">
        <f>V272+IF(AND($E273&lt;&gt;"",$E273&lt;=V$2,$F273&gt;=V$2),1,0)</f>
        <v/>
      </c>
      <c r="W273">
        <f>W272+IF(AND($E273&lt;&gt;"",$E273&lt;=W$2,$F273&gt;=W$2),1,0)</f>
        <v/>
      </c>
      <c r="X273">
        <f>X272+IF(AND($E273&lt;&gt;"",$E273&lt;=X$2,$F273&gt;=X$2),1,0)</f>
        <v/>
      </c>
      <c r="Y273">
        <f>Y272+IF(AND($E273&lt;&gt;"",$E273&lt;=Y$2,$F273&gt;=Y$2),1,0)</f>
        <v/>
      </c>
      <c r="Z273">
        <f>Z272+IF(AND($E273&lt;&gt;"",$E273&lt;=Z$2,$F273&gt;=Z$2),1,0)</f>
        <v/>
      </c>
      <c r="AA273">
        <f>AA272+IF(AND($E273&lt;&gt;"",$E273&lt;=AA$2,$F273&gt;=AA$2),1,0)</f>
        <v/>
      </c>
      <c r="AB273">
        <f>AB272+IF(AND($E273&lt;&gt;"",$E273&lt;=AB$2,$F273&gt;=AB$2),1,0)</f>
        <v/>
      </c>
      <c r="AC273">
        <f>AC272+IF(AND($E273&lt;&gt;"",$E273&lt;=AC$2,$F273&gt;=AC$2),1,0)</f>
        <v/>
      </c>
      <c r="AD273">
        <f>AD272+IF(AND($E273&lt;&gt;"",$E273&lt;=AD$2,$F273&gt;=AD$2),1,0)</f>
        <v/>
      </c>
      <c r="AE273">
        <f>AE272+IF(AND($E273&lt;&gt;"",$E273&lt;=AE$2,$F273&gt;=AE$2),1,0)</f>
        <v/>
      </c>
      <c r="AF273">
        <f>AF272+IF(AND($E273&lt;&gt;"",$E273&lt;=AF$2,$F273&gt;=AF$2),1,0)</f>
        <v/>
      </c>
      <c r="AG273">
        <f>AG272+IF(AND($E273&lt;&gt;"",$E273&lt;=AG$2,$F273&gt;=AG$2),1,0)</f>
        <v/>
      </c>
      <c r="AH273">
        <f>AH272+IF(AND($E273&lt;&gt;"",$E273&lt;=AH$2,$F273&gt;=AH$2),1,0)</f>
        <v/>
      </c>
      <c r="AI273">
        <f>AI272+IF(AND($E273&lt;&gt;"",$E273&lt;=AI$2,$F273&gt;=AI$2),1,0)</f>
        <v/>
      </c>
      <c r="AJ273">
        <f>AJ272+IF(AND($E273&lt;&gt;"",$E273&lt;=AJ$2,$F273&gt;=AJ$2),1,0)</f>
        <v/>
      </c>
      <c r="AK273">
        <f>AK272+IF(AND($E273&lt;&gt;"",$E273&lt;=AK$2,$F273&gt;=AK$2),1,0)</f>
        <v/>
      </c>
      <c r="AL273">
        <f>AL272+IF(AND($E273&lt;&gt;"",$E273&lt;=AL$2,$F273&gt;=AL$2),1,0)</f>
        <v/>
      </c>
      <c r="AM273">
        <f>AM272+IF(AND($E273&lt;&gt;"",$E273&lt;=AM$2,$F273&gt;=AM$2),1,0)</f>
        <v/>
      </c>
      <c r="AN273">
        <f>AN272+IF(AND($E273&lt;&gt;"",$E273&lt;=AN$2,$F273&gt;=AN$2),1,0)</f>
        <v/>
      </c>
      <c r="AO273">
        <f>AO272+IF(AND($E273&lt;&gt;"",$E273&lt;=AO$2,$F273&gt;=AO$2),1,0)</f>
        <v/>
      </c>
      <c r="AP273">
        <f>AP272+IF(AND($E273&lt;&gt;"",$E273&lt;=AP$2,$F273&gt;=AP$2),1,0)</f>
        <v/>
      </c>
      <c r="AQ273">
        <f>AQ272+IF(AND($E273&lt;&gt;"",$E273&lt;=AQ$2,$F273&gt;=AQ$2),1,0)</f>
        <v/>
      </c>
      <c r="AR273">
        <f>AR272+IF(AND($E273&lt;&gt;"",$E273&lt;=AR$2,$F273&gt;=AR$2),1,0)</f>
        <v/>
      </c>
      <c r="AS273">
        <f>AS272+IF(AND($E273&lt;&gt;"",$E273&lt;=AS$2,$F273&gt;=AS$2),1,0)</f>
        <v/>
      </c>
      <c r="AT273">
        <f>AT272+IF(AND($E273&lt;&gt;"",$E273&lt;=AT$2,$F273&gt;=AT$2),1,0)</f>
        <v/>
      </c>
      <c r="AU273">
        <f>AU272+IF(AND($E273&lt;&gt;"",$E273&lt;=AU$2,$F273&gt;=AU$2),1,0)</f>
        <v/>
      </c>
      <c r="AV273">
        <f>AV272+IF(AND($E273&lt;&gt;"",$E273&lt;=AV$2,$F273&gt;=AV$2),1,0)</f>
        <v/>
      </c>
      <c r="AW273">
        <f>AW272+IF(AND($E273&lt;&gt;"",$E273&lt;=AW$2,$F273&gt;=AW$2),1,0)</f>
        <v/>
      </c>
    </row>
    <row r="274">
      <c r="A274">
        <f>IF(AND(ISNUMBER(Events!$A276),ISNUMBER(Events!$B276)),MAX(0,Events!$B276-Events!$A276),0)</f>
        <v/>
      </c>
      <c r="B274">
        <f>IF(ISNUMBER(Events!$A276),DATE(YEAR($B$1)-1,MONTH(Events!$A276),DAY(Events!$A276)),"")</f>
        <v/>
      </c>
      <c r="C274">
        <f>IF(ISNUMBER(Events!$A276),DATE(YEAR($B$1),MONTH(Events!$A276),DAY(Events!$A276)),"")</f>
        <v/>
      </c>
      <c r="D274">
        <f>IF(ISNUMBER(Events!$A276),DATE(YEAR($B$2),MONTH(Events!$A276),DAY(Events!$A276)),"")</f>
        <v/>
      </c>
      <c r="E274">
        <f>IF(OR(NOT(ISNUMBER(Events!$A276)),Events!$G276="No",Calendar!$H$4="None"),"",IF(OR(Calendar!$H$4="All events",Events!$D276=Calendar!$H$4),IF(Events!$E276="Yes",IF(AND(B274&gt;=Events!$A276,B274&lt;=$B$2,B274+$A274&gt;=$B$1),B274,IF(AND(C274&gt;=Events!$A276,C274&lt;=$B$2,C274+$A274&gt;=$B$1),C274,IF(AND(D274&gt;=Events!$A276,D274&lt;=$B$2,D274+$A274&gt;=$B$1),D274,""))),IF(AND(Events!$A276&lt;=$B$2,Events!$A276+$A274&gt;=$B$1),Events!$A276,"")),""))</f>
        <v/>
      </c>
      <c r="F274">
        <f>IF(E274="","",E274+A274)</f>
        <v/>
      </c>
      <c r="G274">
        <f>IF(E274="","",IF(AND(E274&lt;=EOMONTH(Calendar!$K$2,0),F274&gt;=Calendar!$K$2),E274+271/100000,""))</f>
        <v/>
      </c>
      <c r="H274">
        <f>H273+IF(AND($E274&lt;&gt;"",$E274&lt;=H$2,$F274&gt;=H$2),1,0)</f>
        <v/>
      </c>
      <c r="I274">
        <f>I273+IF(AND($E274&lt;&gt;"",$E274&lt;=I$2,$F274&gt;=I$2),1,0)</f>
        <v/>
      </c>
      <c r="J274">
        <f>J273+IF(AND($E274&lt;&gt;"",$E274&lt;=J$2,$F274&gt;=J$2),1,0)</f>
        <v/>
      </c>
      <c r="K274">
        <f>K273+IF(AND($E274&lt;&gt;"",$E274&lt;=K$2,$F274&gt;=K$2),1,0)</f>
        <v/>
      </c>
      <c r="L274">
        <f>L273+IF(AND($E274&lt;&gt;"",$E274&lt;=L$2,$F274&gt;=L$2),1,0)</f>
        <v/>
      </c>
      <c r="M274">
        <f>M273+IF(AND($E274&lt;&gt;"",$E274&lt;=M$2,$F274&gt;=M$2),1,0)</f>
        <v/>
      </c>
      <c r="N274">
        <f>N273+IF(AND($E274&lt;&gt;"",$E274&lt;=N$2,$F274&gt;=N$2),1,0)</f>
        <v/>
      </c>
      <c r="O274">
        <f>O273+IF(AND($E274&lt;&gt;"",$E274&lt;=O$2,$F274&gt;=O$2),1,0)</f>
        <v/>
      </c>
      <c r="P274">
        <f>P273+IF(AND($E274&lt;&gt;"",$E274&lt;=P$2,$F274&gt;=P$2),1,0)</f>
        <v/>
      </c>
      <c r="Q274">
        <f>Q273+IF(AND($E274&lt;&gt;"",$E274&lt;=Q$2,$F274&gt;=Q$2),1,0)</f>
        <v/>
      </c>
      <c r="R274">
        <f>R273+IF(AND($E274&lt;&gt;"",$E274&lt;=R$2,$F274&gt;=R$2),1,0)</f>
        <v/>
      </c>
      <c r="S274">
        <f>S273+IF(AND($E274&lt;&gt;"",$E274&lt;=S$2,$F274&gt;=S$2),1,0)</f>
        <v/>
      </c>
      <c r="T274">
        <f>T273+IF(AND($E274&lt;&gt;"",$E274&lt;=T$2,$F274&gt;=T$2),1,0)</f>
        <v/>
      </c>
      <c r="U274">
        <f>U273+IF(AND($E274&lt;&gt;"",$E274&lt;=U$2,$F274&gt;=U$2),1,0)</f>
        <v/>
      </c>
      <c r="V274">
        <f>V273+IF(AND($E274&lt;&gt;"",$E274&lt;=V$2,$F274&gt;=V$2),1,0)</f>
        <v/>
      </c>
      <c r="W274">
        <f>W273+IF(AND($E274&lt;&gt;"",$E274&lt;=W$2,$F274&gt;=W$2),1,0)</f>
        <v/>
      </c>
      <c r="X274">
        <f>X273+IF(AND($E274&lt;&gt;"",$E274&lt;=X$2,$F274&gt;=X$2),1,0)</f>
        <v/>
      </c>
      <c r="Y274">
        <f>Y273+IF(AND($E274&lt;&gt;"",$E274&lt;=Y$2,$F274&gt;=Y$2),1,0)</f>
        <v/>
      </c>
      <c r="Z274">
        <f>Z273+IF(AND($E274&lt;&gt;"",$E274&lt;=Z$2,$F274&gt;=Z$2),1,0)</f>
        <v/>
      </c>
      <c r="AA274">
        <f>AA273+IF(AND($E274&lt;&gt;"",$E274&lt;=AA$2,$F274&gt;=AA$2),1,0)</f>
        <v/>
      </c>
      <c r="AB274">
        <f>AB273+IF(AND($E274&lt;&gt;"",$E274&lt;=AB$2,$F274&gt;=AB$2),1,0)</f>
        <v/>
      </c>
      <c r="AC274">
        <f>AC273+IF(AND($E274&lt;&gt;"",$E274&lt;=AC$2,$F274&gt;=AC$2),1,0)</f>
        <v/>
      </c>
      <c r="AD274">
        <f>AD273+IF(AND($E274&lt;&gt;"",$E274&lt;=AD$2,$F274&gt;=AD$2),1,0)</f>
        <v/>
      </c>
      <c r="AE274">
        <f>AE273+IF(AND($E274&lt;&gt;"",$E274&lt;=AE$2,$F274&gt;=AE$2),1,0)</f>
        <v/>
      </c>
      <c r="AF274">
        <f>AF273+IF(AND($E274&lt;&gt;"",$E274&lt;=AF$2,$F274&gt;=AF$2),1,0)</f>
        <v/>
      </c>
      <c r="AG274">
        <f>AG273+IF(AND($E274&lt;&gt;"",$E274&lt;=AG$2,$F274&gt;=AG$2),1,0)</f>
        <v/>
      </c>
      <c r="AH274">
        <f>AH273+IF(AND($E274&lt;&gt;"",$E274&lt;=AH$2,$F274&gt;=AH$2),1,0)</f>
        <v/>
      </c>
      <c r="AI274">
        <f>AI273+IF(AND($E274&lt;&gt;"",$E274&lt;=AI$2,$F274&gt;=AI$2),1,0)</f>
        <v/>
      </c>
      <c r="AJ274">
        <f>AJ273+IF(AND($E274&lt;&gt;"",$E274&lt;=AJ$2,$F274&gt;=AJ$2),1,0)</f>
        <v/>
      </c>
      <c r="AK274">
        <f>AK273+IF(AND($E274&lt;&gt;"",$E274&lt;=AK$2,$F274&gt;=AK$2),1,0)</f>
        <v/>
      </c>
      <c r="AL274">
        <f>AL273+IF(AND($E274&lt;&gt;"",$E274&lt;=AL$2,$F274&gt;=AL$2),1,0)</f>
        <v/>
      </c>
      <c r="AM274">
        <f>AM273+IF(AND($E274&lt;&gt;"",$E274&lt;=AM$2,$F274&gt;=AM$2),1,0)</f>
        <v/>
      </c>
      <c r="AN274">
        <f>AN273+IF(AND($E274&lt;&gt;"",$E274&lt;=AN$2,$F274&gt;=AN$2),1,0)</f>
        <v/>
      </c>
      <c r="AO274">
        <f>AO273+IF(AND($E274&lt;&gt;"",$E274&lt;=AO$2,$F274&gt;=AO$2),1,0)</f>
        <v/>
      </c>
      <c r="AP274">
        <f>AP273+IF(AND($E274&lt;&gt;"",$E274&lt;=AP$2,$F274&gt;=AP$2),1,0)</f>
        <v/>
      </c>
      <c r="AQ274">
        <f>AQ273+IF(AND($E274&lt;&gt;"",$E274&lt;=AQ$2,$F274&gt;=AQ$2),1,0)</f>
        <v/>
      </c>
      <c r="AR274">
        <f>AR273+IF(AND($E274&lt;&gt;"",$E274&lt;=AR$2,$F274&gt;=AR$2),1,0)</f>
        <v/>
      </c>
      <c r="AS274">
        <f>AS273+IF(AND($E274&lt;&gt;"",$E274&lt;=AS$2,$F274&gt;=AS$2),1,0)</f>
        <v/>
      </c>
      <c r="AT274">
        <f>AT273+IF(AND($E274&lt;&gt;"",$E274&lt;=AT$2,$F274&gt;=AT$2),1,0)</f>
        <v/>
      </c>
      <c r="AU274">
        <f>AU273+IF(AND($E274&lt;&gt;"",$E274&lt;=AU$2,$F274&gt;=AU$2),1,0)</f>
        <v/>
      </c>
      <c r="AV274">
        <f>AV273+IF(AND($E274&lt;&gt;"",$E274&lt;=AV$2,$F274&gt;=AV$2),1,0)</f>
        <v/>
      </c>
      <c r="AW274">
        <f>AW273+IF(AND($E274&lt;&gt;"",$E274&lt;=AW$2,$F274&gt;=AW$2),1,0)</f>
        <v/>
      </c>
    </row>
    <row r="275">
      <c r="A275">
        <f>IF(AND(ISNUMBER(Events!$A277),ISNUMBER(Events!$B277)),MAX(0,Events!$B277-Events!$A277),0)</f>
        <v/>
      </c>
      <c r="B275">
        <f>IF(ISNUMBER(Events!$A277),DATE(YEAR($B$1)-1,MONTH(Events!$A277),DAY(Events!$A277)),"")</f>
        <v/>
      </c>
      <c r="C275">
        <f>IF(ISNUMBER(Events!$A277),DATE(YEAR($B$1),MONTH(Events!$A277),DAY(Events!$A277)),"")</f>
        <v/>
      </c>
      <c r="D275">
        <f>IF(ISNUMBER(Events!$A277),DATE(YEAR($B$2),MONTH(Events!$A277),DAY(Events!$A277)),"")</f>
        <v/>
      </c>
      <c r="E275">
        <f>IF(OR(NOT(ISNUMBER(Events!$A277)),Events!$G277="No",Calendar!$H$4="None"),"",IF(OR(Calendar!$H$4="All events",Events!$D277=Calendar!$H$4),IF(Events!$E277="Yes",IF(AND(B275&gt;=Events!$A277,B275&lt;=$B$2,B275+$A275&gt;=$B$1),B275,IF(AND(C275&gt;=Events!$A277,C275&lt;=$B$2,C275+$A275&gt;=$B$1),C275,IF(AND(D275&gt;=Events!$A277,D275&lt;=$B$2,D275+$A275&gt;=$B$1),D275,""))),IF(AND(Events!$A277&lt;=$B$2,Events!$A277+$A275&gt;=$B$1),Events!$A277,"")),""))</f>
        <v/>
      </c>
      <c r="F275">
        <f>IF(E275="","",E275+A275)</f>
        <v/>
      </c>
      <c r="G275">
        <f>IF(E275="","",IF(AND(E275&lt;=EOMONTH(Calendar!$K$2,0),F275&gt;=Calendar!$K$2),E275+272/100000,""))</f>
        <v/>
      </c>
      <c r="H275">
        <f>H274+IF(AND($E275&lt;&gt;"",$E275&lt;=H$2,$F275&gt;=H$2),1,0)</f>
        <v/>
      </c>
      <c r="I275">
        <f>I274+IF(AND($E275&lt;&gt;"",$E275&lt;=I$2,$F275&gt;=I$2),1,0)</f>
        <v/>
      </c>
      <c r="J275">
        <f>J274+IF(AND($E275&lt;&gt;"",$E275&lt;=J$2,$F275&gt;=J$2),1,0)</f>
        <v/>
      </c>
      <c r="K275">
        <f>K274+IF(AND($E275&lt;&gt;"",$E275&lt;=K$2,$F275&gt;=K$2),1,0)</f>
        <v/>
      </c>
      <c r="L275">
        <f>L274+IF(AND($E275&lt;&gt;"",$E275&lt;=L$2,$F275&gt;=L$2),1,0)</f>
        <v/>
      </c>
      <c r="M275">
        <f>M274+IF(AND($E275&lt;&gt;"",$E275&lt;=M$2,$F275&gt;=M$2),1,0)</f>
        <v/>
      </c>
      <c r="N275">
        <f>N274+IF(AND($E275&lt;&gt;"",$E275&lt;=N$2,$F275&gt;=N$2),1,0)</f>
        <v/>
      </c>
      <c r="O275">
        <f>O274+IF(AND($E275&lt;&gt;"",$E275&lt;=O$2,$F275&gt;=O$2),1,0)</f>
        <v/>
      </c>
      <c r="P275">
        <f>P274+IF(AND($E275&lt;&gt;"",$E275&lt;=P$2,$F275&gt;=P$2),1,0)</f>
        <v/>
      </c>
      <c r="Q275">
        <f>Q274+IF(AND($E275&lt;&gt;"",$E275&lt;=Q$2,$F275&gt;=Q$2),1,0)</f>
        <v/>
      </c>
      <c r="R275">
        <f>R274+IF(AND($E275&lt;&gt;"",$E275&lt;=R$2,$F275&gt;=R$2),1,0)</f>
        <v/>
      </c>
      <c r="S275">
        <f>S274+IF(AND($E275&lt;&gt;"",$E275&lt;=S$2,$F275&gt;=S$2),1,0)</f>
        <v/>
      </c>
      <c r="T275">
        <f>T274+IF(AND($E275&lt;&gt;"",$E275&lt;=T$2,$F275&gt;=T$2),1,0)</f>
        <v/>
      </c>
      <c r="U275">
        <f>U274+IF(AND($E275&lt;&gt;"",$E275&lt;=U$2,$F275&gt;=U$2),1,0)</f>
        <v/>
      </c>
      <c r="V275">
        <f>V274+IF(AND($E275&lt;&gt;"",$E275&lt;=V$2,$F275&gt;=V$2),1,0)</f>
        <v/>
      </c>
      <c r="W275">
        <f>W274+IF(AND($E275&lt;&gt;"",$E275&lt;=W$2,$F275&gt;=W$2),1,0)</f>
        <v/>
      </c>
      <c r="X275">
        <f>X274+IF(AND($E275&lt;&gt;"",$E275&lt;=X$2,$F275&gt;=X$2),1,0)</f>
        <v/>
      </c>
      <c r="Y275">
        <f>Y274+IF(AND($E275&lt;&gt;"",$E275&lt;=Y$2,$F275&gt;=Y$2),1,0)</f>
        <v/>
      </c>
      <c r="Z275">
        <f>Z274+IF(AND($E275&lt;&gt;"",$E275&lt;=Z$2,$F275&gt;=Z$2),1,0)</f>
        <v/>
      </c>
      <c r="AA275">
        <f>AA274+IF(AND($E275&lt;&gt;"",$E275&lt;=AA$2,$F275&gt;=AA$2),1,0)</f>
        <v/>
      </c>
      <c r="AB275">
        <f>AB274+IF(AND($E275&lt;&gt;"",$E275&lt;=AB$2,$F275&gt;=AB$2),1,0)</f>
        <v/>
      </c>
      <c r="AC275">
        <f>AC274+IF(AND($E275&lt;&gt;"",$E275&lt;=AC$2,$F275&gt;=AC$2),1,0)</f>
        <v/>
      </c>
      <c r="AD275">
        <f>AD274+IF(AND($E275&lt;&gt;"",$E275&lt;=AD$2,$F275&gt;=AD$2),1,0)</f>
        <v/>
      </c>
      <c r="AE275">
        <f>AE274+IF(AND($E275&lt;&gt;"",$E275&lt;=AE$2,$F275&gt;=AE$2),1,0)</f>
        <v/>
      </c>
      <c r="AF275">
        <f>AF274+IF(AND($E275&lt;&gt;"",$E275&lt;=AF$2,$F275&gt;=AF$2),1,0)</f>
        <v/>
      </c>
      <c r="AG275">
        <f>AG274+IF(AND($E275&lt;&gt;"",$E275&lt;=AG$2,$F275&gt;=AG$2),1,0)</f>
        <v/>
      </c>
      <c r="AH275">
        <f>AH274+IF(AND($E275&lt;&gt;"",$E275&lt;=AH$2,$F275&gt;=AH$2),1,0)</f>
        <v/>
      </c>
      <c r="AI275">
        <f>AI274+IF(AND($E275&lt;&gt;"",$E275&lt;=AI$2,$F275&gt;=AI$2),1,0)</f>
        <v/>
      </c>
      <c r="AJ275">
        <f>AJ274+IF(AND($E275&lt;&gt;"",$E275&lt;=AJ$2,$F275&gt;=AJ$2),1,0)</f>
        <v/>
      </c>
      <c r="AK275">
        <f>AK274+IF(AND($E275&lt;&gt;"",$E275&lt;=AK$2,$F275&gt;=AK$2),1,0)</f>
        <v/>
      </c>
      <c r="AL275">
        <f>AL274+IF(AND($E275&lt;&gt;"",$E275&lt;=AL$2,$F275&gt;=AL$2),1,0)</f>
        <v/>
      </c>
      <c r="AM275">
        <f>AM274+IF(AND($E275&lt;&gt;"",$E275&lt;=AM$2,$F275&gt;=AM$2),1,0)</f>
        <v/>
      </c>
      <c r="AN275">
        <f>AN274+IF(AND($E275&lt;&gt;"",$E275&lt;=AN$2,$F275&gt;=AN$2),1,0)</f>
        <v/>
      </c>
      <c r="AO275">
        <f>AO274+IF(AND($E275&lt;&gt;"",$E275&lt;=AO$2,$F275&gt;=AO$2),1,0)</f>
        <v/>
      </c>
      <c r="AP275">
        <f>AP274+IF(AND($E275&lt;&gt;"",$E275&lt;=AP$2,$F275&gt;=AP$2),1,0)</f>
        <v/>
      </c>
      <c r="AQ275">
        <f>AQ274+IF(AND($E275&lt;&gt;"",$E275&lt;=AQ$2,$F275&gt;=AQ$2),1,0)</f>
        <v/>
      </c>
      <c r="AR275">
        <f>AR274+IF(AND($E275&lt;&gt;"",$E275&lt;=AR$2,$F275&gt;=AR$2),1,0)</f>
        <v/>
      </c>
      <c r="AS275">
        <f>AS274+IF(AND($E275&lt;&gt;"",$E275&lt;=AS$2,$F275&gt;=AS$2),1,0)</f>
        <v/>
      </c>
      <c r="AT275">
        <f>AT274+IF(AND($E275&lt;&gt;"",$E275&lt;=AT$2,$F275&gt;=AT$2),1,0)</f>
        <v/>
      </c>
      <c r="AU275">
        <f>AU274+IF(AND($E275&lt;&gt;"",$E275&lt;=AU$2,$F275&gt;=AU$2),1,0)</f>
        <v/>
      </c>
      <c r="AV275">
        <f>AV274+IF(AND($E275&lt;&gt;"",$E275&lt;=AV$2,$F275&gt;=AV$2),1,0)</f>
        <v/>
      </c>
      <c r="AW275">
        <f>AW274+IF(AND($E275&lt;&gt;"",$E275&lt;=AW$2,$F275&gt;=AW$2),1,0)</f>
        <v/>
      </c>
    </row>
    <row r="276">
      <c r="A276">
        <f>IF(AND(ISNUMBER(Events!$A278),ISNUMBER(Events!$B278)),MAX(0,Events!$B278-Events!$A278),0)</f>
        <v/>
      </c>
      <c r="B276">
        <f>IF(ISNUMBER(Events!$A278),DATE(YEAR($B$1)-1,MONTH(Events!$A278),DAY(Events!$A278)),"")</f>
        <v/>
      </c>
      <c r="C276">
        <f>IF(ISNUMBER(Events!$A278),DATE(YEAR($B$1),MONTH(Events!$A278),DAY(Events!$A278)),"")</f>
        <v/>
      </c>
      <c r="D276">
        <f>IF(ISNUMBER(Events!$A278),DATE(YEAR($B$2),MONTH(Events!$A278),DAY(Events!$A278)),"")</f>
        <v/>
      </c>
      <c r="E276">
        <f>IF(OR(NOT(ISNUMBER(Events!$A278)),Events!$G278="No",Calendar!$H$4="None"),"",IF(OR(Calendar!$H$4="All events",Events!$D278=Calendar!$H$4),IF(Events!$E278="Yes",IF(AND(B276&gt;=Events!$A278,B276&lt;=$B$2,B276+$A276&gt;=$B$1),B276,IF(AND(C276&gt;=Events!$A278,C276&lt;=$B$2,C276+$A276&gt;=$B$1),C276,IF(AND(D276&gt;=Events!$A278,D276&lt;=$B$2,D276+$A276&gt;=$B$1),D276,""))),IF(AND(Events!$A278&lt;=$B$2,Events!$A278+$A276&gt;=$B$1),Events!$A278,"")),""))</f>
        <v/>
      </c>
      <c r="F276">
        <f>IF(E276="","",E276+A276)</f>
        <v/>
      </c>
      <c r="G276">
        <f>IF(E276="","",IF(AND(E276&lt;=EOMONTH(Calendar!$K$2,0),F276&gt;=Calendar!$K$2),E276+273/100000,""))</f>
        <v/>
      </c>
      <c r="H276">
        <f>H275+IF(AND($E276&lt;&gt;"",$E276&lt;=H$2,$F276&gt;=H$2),1,0)</f>
        <v/>
      </c>
      <c r="I276">
        <f>I275+IF(AND($E276&lt;&gt;"",$E276&lt;=I$2,$F276&gt;=I$2),1,0)</f>
        <v/>
      </c>
      <c r="J276">
        <f>J275+IF(AND($E276&lt;&gt;"",$E276&lt;=J$2,$F276&gt;=J$2),1,0)</f>
        <v/>
      </c>
      <c r="K276">
        <f>K275+IF(AND($E276&lt;&gt;"",$E276&lt;=K$2,$F276&gt;=K$2),1,0)</f>
        <v/>
      </c>
      <c r="L276">
        <f>L275+IF(AND($E276&lt;&gt;"",$E276&lt;=L$2,$F276&gt;=L$2),1,0)</f>
        <v/>
      </c>
      <c r="M276">
        <f>M275+IF(AND($E276&lt;&gt;"",$E276&lt;=M$2,$F276&gt;=M$2),1,0)</f>
        <v/>
      </c>
      <c r="N276">
        <f>N275+IF(AND($E276&lt;&gt;"",$E276&lt;=N$2,$F276&gt;=N$2),1,0)</f>
        <v/>
      </c>
      <c r="O276">
        <f>O275+IF(AND($E276&lt;&gt;"",$E276&lt;=O$2,$F276&gt;=O$2),1,0)</f>
        <v/>
      </c>
      <c r="P276">
        <f>P275+IF(AND($E276&lt;&gt;"",$E276&lt;=P$2,$F276&gt;=P$2),1,0)</f>
        <v/>
      </c>
      <c r="Q276">
        <f>Q275+IF(AND($E276&lt;&gt;"",$E276&lt;=Q$2,$F276&gt;=Q$2),1,0)</f>
        <v/>
      </c>
      <c r="R276">
        <f>R275+IF(AND($E276&lt;&gt;"",$E276&lt;=R$2,$F276&gt;=R$2),1,0)</f>
        <v/>
      </c>
      <c r="S276">
        <f>S275+IF(AND($E276&lt;&gt;"",$E276&lt;=S$2,$F276&gt;=S$2),1,0)</f>
        <v/>
      </c>
      <c r="T276">
        <f>T275+IF(AND($E276&lt;&gt;"",$E276&lt;=T$2,$F276&gt;=T$2),1,0)</f>
        <v/>
      </c>
      <c r="U276">
        <f>U275+IF(AND($E276&lt;&gt;"",$E276&lt;=U$2,$F276&gt;=U$2),1,0)</f>
        <v/>
      </c>
      <c r="V276">
        <f>V275+IF(AND($E276&lt;&gt;"",$E276&lt;=V$2,$F276&gt;=V$2),1,0)</f>
        <v/>
      </c>
      <c r="W276">
        <f>W275+IF(AND($E276&lt;&gt;"",$E276&lt;=W$2,$F276&gt;=W$2),1,0)</f>
        <v/>
      </c>
      <c r="X276">
        <f>X275+IF(AND($E276&lt;&gt;"",$E276&lt;=X$2,$F276&gt;=X$2),1,0)</f>
        <v/>
      </c>
      <c r="Y276">
        <f>Y275+IF(AND($E276&lt;&gt;"",$E276&lt;=Y$2,$F276&gt;=Y$2),1,0)</f>
        <v/>
      </c>
      <c r="Z276">
        <f>Z275+IF(AND($E276&lt;&gt;"",$E276&lt;=Z$2,$F276&gt;=Z$2),1,0)</f>
        <v/>
      </c>
      <c r="AA276">
        <f>AA275+IF(AND($E276&lt;&gt;"",$E276&lt;=AA$2,$F276&gt;=AA$2),1,0)</f>
        <v/>
      </c>
      <c r="AB276">
        <f>AB275+IF(AND($E276&lt;&gt;"",$E276&lt;=AB$2,$F276&gt;=AB$2),1,0)</f>
        <v/>
      </c>
      <c r="AC276">
        <f>AC275+IF(AND($E276&lt;&gt;"",$E276&lt;=AC$2,$F276&gt;=AC$2),1,0)</f>
        <v/>
      </c>
      <c r="AD276">
        <f>AD275+IF(AND($E276&lt;&gt;"",$E276&lt;=AD$2,$F276&gt;=AD$2),1,0)</f>
        <v/>
      </c>
      <c r="AE276">
        <f>AE275+IF(AND($E276&lt;&gt;"",$E276&lt;=AE$2,$F276&gt;=AE$2),1,0)</f>
        <v/>
      </c>
      <c r="AF276">
        <f>AF275+IF(AND($E276&lt;&gt;"",$E276&lt;=AF$2,$F276&gt;=AF$2),1,0)</f>
        <v/>
      </c>
      <c r="AG276">
        <f>AG275+IF(AND($E276&lt;&gt;"",$E276&lt;=AG$2,$F276&gt;=AG$2),1,0)</f>
        <v/>
      </c>
      <c r="AH276">
        <f>AH275+IF(AND($E276&lt;&gt;"",$E276&lt;=AH$2,$F276&gt;=AH$2),1,0)</f>
        <v/>
      </c>
      <c r="AI276">
        <f>AI275+IF(AND($E276&lt;&gt;"",$E276&lt;=AI$2,$F276&gt;=AI$2),1,0)</f>
        <v/>
      </c>
      <c r="AJ276">
        <f>AJ275+IF(AND($E276&lt;&gt;"",$E276&lt;=AJ$2,$F276&gt;=AJ$2),1,0)</f>
        <v/>
      </c>
      <c r="AK276">
        <f>AK275+IF(AND($E276&lt;&gt;"",$E276&lt;=AK$2,$F276&gt;=AK$2),1,0)</f>
        <v/>
      </c>
      <c r="AL276">
        <f>AL275+IF(AND($E276&lt;&gt;"",$E276&lt;=AL$2,$F276&gt;=AL$2),1,0)</f>
        <v/>
      </c>
      <c r="AM276">
        <f>AM275+IF(AND($E276&lt;&gt;"",$E276&lt;=AM$2,$F276&gt;=AM$2),1,0)</f>
        <v/>
      </c>
      <c r="AN276">
        <f>AN275+IF(AND($E276&lt;&gt;"",$E276&lt;=AN$2,$F276&gt;=AN$2),1,0)</f>
        <v/>
      </c>
      <c r="AO276">
        <f>AO275+IF(AND($E276&lt;&gt;"",$E276&lt;=AO$2,$F276&gt;=AO$2),1,0)</f>
        <v/>
      </c>
      <c r="AP276">
        <f>AP275+IF(AND($E276&lt;&gt;"",$E276&lt;=AP$2,$F276&gt;=AP$2),1,0)</f>
        <v/>
      </c>
      <c r="AQ276">
        <f>AQ275+IF(AND($E276&lt;&gt;"",$E276&lt;=AQ$2,$F276&gt;=AQ$2),1,0)</f>
        <v/>
      </c>
      <c r="AR276">
        <f>AR275+IF(AND($E276&lt;&gt;"",$E276&lt;=AR$2,$F276&gt;=AR$2),1,0)</f>
        <v/>
      </c>
      <c r="AS276">
        <f>AS275+IF(AND($E276&lt;&gt;"",$E276&lt;=AS$2,$F276&gt;=AS$2),1,0)</f>
        <v/>
      </c>
      <c r="AT276">
        <f>AT275+IF(AND($E276&lt;&gt;"",$E276&lt;=AT$2,$F276&gt;=AT$2),1,0)</f>
        <v/>
      </c>
      <c r="AU276">
        <f>AU275+IF(AND($E276&lt;&gt;"",$E276&lt;=AU$2,$F276&gt;=AU$2),1,0)</f>
        <v/>
      </c>
      <c r="AV276">
        <f>AV275+IF(AND($E276&lt;&gt;"",$E276&lt;=AV$2,$F276&gt;=AV$2),1,0)</f>
        <v/>
      </c>
      <c r="AW276">
        <f>AW275+IF(AND($E276&lt;&gt;"",$E276&lt;=AW$2,$F276&gt;=AW$2),1,0)</f>
        <v/>
      </c>
    </row>
    <row r="277">
      <c r="A277">
        <f>IF(AND(ISNUMBER(Events!$A279),ISNUMBER(Events!$B279)),MAX(0,Events!$B279-Events!$A279),0)</f>
        <v/>
      </c>
      <c r="B277">
        <f>IF(ISNUMBER(Events!$A279),DATE(YEAR($B$1)-1,MONTH(Events!$A279),DAY(Events!$A279)),"")</f>
        <v/>
      </c>
      <c r="C277">
        <f>IF(ISNUMBER(Events!$A279),DATE(YEAR($B$1),MONTH(Events!$A279),DAY(Events!$A279)),"")</f>
        <v/>
      </c>
      <c r="D277">
        <f>IF(ISNUMBER(Events!$A279),DATE(YEAR($B$2),MONTH(Events!$A279),DAY(Events!$A279)),"")</f>
        <v/>
      </c>
      <c r="E277">
        <f>IF(OR(NOT(ISNUMBER(Events!$A279)),Events!$G279="No",Calendar!$H$4="None"),"",IF(OR(Calendar!$H$4="All events",Events!$D279=Calendar!$H$4),IF(Events!$E279="Yes",IF(AND(B277&gt;=Events!$A279,B277&lt;=$B$2,B277+$A277&gt;=$B$1),B277,IF(AND(C277&gt;=Events!$A279,C277&lt;=$B$2,C277+$A277&gt;=$B$1),C277,IF(AND(D277&gt;=Events!$A279,D277&lt;=$B$2,D277+$A277&gt;=$B$1),D277,""))),IF(AND(Events!$A279&lt;=$B$2,Events!$A279+$A277&gt;=$B$1),Events!$A279,"")),""))</f>
        <v/>
      </c>
      <c r="F277">
        <f>IF(E277="","",E277+A277)</f>
        <v/>
      </c>
      <c r="G277">
        <f>IF(E277="","",IF(AND(E277&lt;=EOMONTH(Calendar!$K$2,0),F277&gt;=Calendar!$K$2),E277+274/100000,""))</f>
        <v/>
      </c>
      <c r="H277">
        <f>H276+IF(AND($E277&lt;&gt;"",$E277&lt;=H$2,$F277&gt;=H$2),1,0)</f>
        <v/>
      </c>
      <c r="I277">
        <f>I276+IF(AND($E277&lt;&gt;"",$E277&lt;=I$2,$F277&gt;=I$2),1,0)</f>
        <v/>
      </c>
      <c r="J277">
        <f>J276+IF(AND($E277&lt;&gt;"",$E277&lt;=J$2,$F277&gt;=J$2),1,0)</f>
        <v/>
      </c>
      <c r="K277">
        <f>K276+IF(AND($E277&lt;&gt;"",$E277&lt;=K$2,$F277&gt;=K$2),1,0)</f>
        <v/>
      </c>
      <c r="L277">
        <f>L276+IF(AND($E277&lt;&gt;"",$E277&lt;=L$2,$F277&gt;=L$2),1,0)</f>
        <v/>
      </c>
      <c r="M277">
        <f>M276+IF(AND($E277&lt;&gt;"",$E277&lt;=M$2,$F277&gt;=M$2),1,0)</f>
        <v/>
      </c>
      <c r="N277">
        <f>N276+IF(AND($E277&lt;&gt;"",$E277&lt;=N$2,$F277&gt;=N$2),1,0)</f>
        <v/>
      </c>
      <c r="O277">
        <f>O276+IF(AND($E277&lt;&gt;"",$E277&lt;=O$2,$F277&gt;=O$2),1,0)</f>
        <v/>
      </c>
      <c r="P277">
        <f>P276+IF(AND($E277&lt;&gt;"",$E277&lt;=P$2,$F277&gt;=P$2),1,0)</f>
        <v/>
      </c>
      <c r="Q277">
        <f>Q276+IF(AND($E277&lt;&gt;"",$E277&lt;=Q$2,$F277&gt;=Q$2),1,0)</f>
        <v/>
      </c>
      <c r="R277">
        <f>R276+IF(AND($E277&lt;&gt;"",$E277&lt;=R$2,$F277&gt;=R$2),1,0)</f>
        <v/>
      </c>
      <c r="S277">
        <f>S276+IF(AND($E277&lt;&gt;"",$E277&lt;=S$2,$F277&gt;=S$2),1,0)</f>
        <v/>
      </c>
      <c r="T277">
        <f>T276+IF(AND($E277&lt;&gt;"",$E277&lt;=T$2,$F277&gt;=T$2),1,0)</f>
        <v/>
      </c>
      <c r="U277">
        <f>U276+IF(AND($E277&lt;&gt;"",$E277&lt;=U$2,$F277&gt;=U$2),1,0)</f>
        <v/>
      </c>
      <c r="V277">
        <f>V276+IF(AND($E277&lt;&gt;"",$E277&lt;=V$2,$F277&gt;=V$2),1,0)</f>
        <v/>
      </c>
      <c r="W277">
        <f>W276+IF(AND($E277&lt;&gt;"",$E277&lt;=W$2,$F277&gt;=W$2),1,0)</f>
        <v/>
      </c>
      <c r="X277">
        <f>X276+IF(AND($E277&lt;&gt;"",$E277&lt;=X$2,$F277&gt;=X$2),1,0)</f>
        <v/>
      </c>
      <c r="Y277">
        <f>Y276+IF(AND($E277&lt;&gt;"",$E277&lt;=Y$2,$F277&gt;=Y$2),1,0)</f>
        <v/>
      </c>
      <c r="Z277">
        <f>Z276+IF(AND($E277&lt;&gt;"",$E277&lt;=Z$2,$F277&gt;=Z$2),1,0)</f>
        <v/>
      </c>
      <c r="AA277">
        <f>AA276+IF(AND($E277&lt;&gt;"",$E277&lt;=AA$2,$F277&gt;=AA$2),1,0)</f>
        <v/>
      </c>
      <c r="AB277">
        <f>AB276+IF(AND($E277&lt;&gt;"",$E277&lt;=AB$2,$F277&gt;=AB$2),1,0)</f>
        <v/>
      </c>
      <c r="AC277">
        <f>AC276+IF(AND($E277&lt;&gt;"",$E277&lt;=AC$2,$F277&gt;=AC$2),1,0)</f>
        <v/>
      </c>
      <c r="AD277">
        <f>AD276+IF(AND($E277&lt;&gt;"",$E277&lt;=AD$2,$F277&gt;=AD$2),1,0)</f>
        <v/>
      </c>
      <c r="AE277">
        <f>AE276+IF(AND($E277&lt;&gt;"",$E277&lt;=AE$2,$F277&gt;=AE$2),1,0)</f>
        <v/>
      </c>
      <c r="AF277">
        <f>AF276+IF(AND($E277&lt;&gt;"",$E277&lt;=AF$2,$F277&gt;=AF$2),1,0)</f>
        <v/>
      </c>
      <c r="AG277">
        <f>AG276+IF(AND($E277&lt;&gt;"",$E277&lt;=AG$2,$F277&gt;=AG$2),1,0)</f>
        <v/>
      </c>
      <c r="AH277">
        <f>AH276+IF(AND($E277&lt;&gt;"",$E277&lt;=AH$2,$F277&gt;=AH$2),1,0)</f>
        <v/>
      </c>
      <c r="AI277">
        <f>AI276+IF(AND($E277&lt;&gt;"",$E277&lt;=AI$2,$F277&gt;=AI$2),1,0)</f>
        <v/>
      </c>
      <c r="AJ277">
        <f>AJ276+IF(AND($E277&lt;&gt;"",$E277&lt;=AJ$2,$F277&gt;=AJ$2),1,0)</f>
        <v/>
      </c>
      <c r="AK277">
        <f>AK276+IF(AND($E277&lt;&gt;"",$E277&lt;=AK$2,$F277&gt;=AK$2),1,0)</f>
        <v/>
      </c>
      <c r="AL277">
        <f>AL276+IF(AND($E277&lt;&gt;"",$E277&lt;=AL$2,$F277&gt;=AL$2),1,0)</f>
        <v/>
      </c>
      <c r="AM277">
        <f>AM276+IF(AND($E277&lt;&gt;"",$E277&lt;=AM$2,$F277&gt;=AM$2),1,0)</f>
        <v/>
      </c>
      <c r="AN277">
        <f>AN276+IF(AND($E277&lt;&gt;"",$E277&lt;=AN$2,$F277&gt;=AN$2),1,0)</f>
        <v/>
      </c>
      <c r="AO277">
        <f>AO276+IF(AND($E277&lt;&gt;"",$E277&lt;=AO$2,$F277&gt;=AO$2),1,0)</f>
        <v/>
      </c>
      <c r="AP277">
        <f>AP276+IF(AND($E277&lt;&gt;"",$E277&lt;=AP$2,$F277&gt;=AP$2),1,0)</f>
        <v/>
      </c>
      <c r="AQ277">
        <f>AQ276+IF(AND($E277&lt;&gt;"",$E277&lt;=AQ$2,$F277&gt;=AQ$2),1,0)</f>
        <v/>
      </c>
      <c r="AR277">
        <f>AR276+IF(AND($E277&lt;&gt;"",$E277&lt;=AR$2,$F277&gt;=AR$2),1,0)</f>
        <v/>
      </c>
      <c r="AS277">
        <f>AS276+IF(AND($E277&lt;&gt;"",$E277&lt;=AS$2,$F277&gt;=AS$2),1,0)</f>
        <v/>
      </c>
      <c r="AT277">
        <f>AT276+IF(AND($E277&lt;&gt;"",$E277&lt;=AT$2,$F277&gt;=AT$2),1,0)</f>
        <v/>
      </c>
      <c r="AU277">
        <f>AU276+IF(AND($E277&lt;&gt;"",$E277&lt;=AU$2,$F277&gt;=AU$2),1,0)</f>
        <v/>
      </c>
      <c r="AV277">
        <f>AV276+IF(AND($E277&lt;&gt;"",$E277&lt;=AV$2,$F277&gt;=AV$2),1,0)</f>
        <v/>
      </c>
      <c r="AW277">
        <f>AW276+IF(AND($E277&lt;&gt;"",$E277&lt;=AW$2,$F277&gt;=AW$2),1,0)</f>
        <v/>
      </c>
    </row>
    <row r="278">
      <c r="A278">
        <f>IF(AND(ISNUMBER(Events!$A280),ISNUMBER(Events!$B280)),MAX(0,Events!$B280-Events!$A280),0)</f>
        <v/>
      </c>
      <c r="B278">
        <f>IF(ISNUMBER(Events!$A280),DATE(YEAR($B$1)-1,MONTH(Events!$A280),DAY(Events!$A280)),"")</f>
        <v/>
      </c>
      <c r="C278">
        <f>IF(ISNUMBER(Events!$A280),DATE(YEAR($B$1),MONTH(Events!$A280),DAY(Events!$A280)),"")</f>
        <v/>
      </c>
      <c r="D278">
        <f>IF(ISNUMBER(Events!$A280),DATE(YEAR($B$2),MONTH(Events!$A280),DAY(Events!$A280)),"")</f>
        <v/>
      </c>
      <c r="E278">
        <f>IF(OR(NOT(ISNUMBER(Events!$A280)),Events!$G280="No",Calendar!$H$4="None"),"",IF(OR(Calendar!$H$4="All events",Events!$D280=Calendar!$H$4),IF(Events!$E280="Yes",IF(AND(B278&gt;=Events!$A280,B278&lt;=$B$2,B278+$A278&gt;=$B$1),B278,IF(AND(C278&gt;=Events!$A280,C278&lt;=$B$2,C278+$A278&gt;=$B$1),C278,IF(AND(D278&gt;=Events!$A280,D278&lt;=$B$2,D278+$A278&gt;=$B$1),D278,""))),IF(AND(Events!$A280&lt;=$B$2,Events!$A280+$A278&gt;=$B$1),Events!$A280,"")),""))</f>
        <v/>
      </c>
      <c r="F278">
        <f>IF(E278="","",E278+A278)</f>
        <v/>
      </c>
      <c r="G278">
        <f>IF(E278="","",IF(AND(E278&lt;=EOMONTH(Calendar!$K$2,0),F278&gt;=Calendar!$K$2),E278+275/100000,""))</f>
        <v/>
      </c>
      <c r="H278">
        <f>H277+IF(AND($E278&lt;&gt;"",$E278&lt;=H$2,$F278&gt;=H$2),1,0)</f>
        <v/>
      </c>
      <c r="I278">
        <f>I277+IF(AND($E278&lt;&gt;"",$E278&lt;=I$2,$F278&gt;=I$2),1,0)</f>
        <v/>
      </c>
      <c r="J278">
        <f>J277+IF(AND($E278&lt;&gt;"",$E278&lt;=J$2,$F278&gt;=J$2),1,0)</f>
        <v/>
      </c>
      <c r="K278">
        <f>K277+IF(AND($E278&lt;&gt;"",$E278&lt;=K$2,$F278&gt;=K$2),1,0)</f>
        <v/>
      </c>
      <c r="L278">
        <f>L277+IF(AND($E278&lt;&gt;"",$E278&lt;=L$2,$F278&gt;=L$2),1,0)</f>
        <v/>
      </c>
      <c r="M278">
        <f>M277+IF(AND($E278&lt;&gt;"",$E278&lt;=M$2,$F278&gt;=M$2),1,0)</f>
        <v/>
      </c>
      <c r="N278">
        <f>N277+IF(AND($E278&lt;&gt;"",$E278&lt;=N$2,$F278&gt;=N$2),1,0)</f>
        <v/>
      </c>
      <c r="O278">
        <f>O277+IF(AND($E278&lt;&gt;"",$E278&lt;=O$2,$F278&gt;=O$2),1,0)</f>
        <v/>
      </c>
      <c r="P278">
        <f>P277+IF(AND($E278&lt;&gt;"",$E278&lt;=P$2,$F278&gt;=P$2),1,0)</f>
        <v/>
      </c>
      <c r="Q278">
        <f>Q277+IF(AND($E278&lt;&gt;"",$E278&lt;=Q$2,$F278&gt;=Q$2),1,0)</f>
        <v/>
      </c>
      <c r="R278">
        <f>R277+IF(AND($E278&lt;&gt;"",$E278&lt;=R$2,$F278&gt;=R$2),1,0)</f>
        <v/>
      </c>
      <c r="S278">
        <f>S277+IF(AND($E278&lt;&gt;"",$E278&lt;=S$2,$F278&gt;=S$2),1,0)</f>
        <v/>
      </c>
      <c r="T278">
        <f>T277+IF(AND($E278&lt;&gt;"",$E278&lt;=T$2,$F278&gt;=T$2),1,0)</f>
        <v/>
      </c>
      <c r="U278">
        <f>U277+IF(AND($E278&lt;&gt;"",$E278&lt;=U$2,$F278&gt;=U$2),1,0)</f>
        <v/>
      </c>
      <c r="V278">
        <f>V277+IF(AND($E278&lt;&gt;"",$E278&lt;=V$2,$F278&gt;=V$2),1,0)</f>
        <v/>
      </c>
      <c r="W278">
        <f>W277+IF(AND($E278&lt;&gt;"",$E278&lt;=W$2,$F278&gt;=W$2),1,0)</f>
        <v/>
      </c>
      <c r="X278">
        <f>X277+IF(AND($E278&lt;&gt;"",$E278&lt;=X$2,$F278&gt;=X$2),1,0)</f>
        <v/>
      </c>
      <c r="Y278">
        <f>Y277+IF(AND($E278&lt;&gt;"",$E278&lt;=Y$2,$F278&gt;=Y$2),1,0)</f>
        <v/>
      </c>
      <c r="Z278">
        <f>Z277+IF(AND($E278&lt;&gt;"",$E278&lt;=Z$2,$F278&gt;=Z$2),1,0)</f>
        <v/>
      </c>
      <c r="AA278">
        <f>AA277+IF(AND($E278&lt;&gt;"",$E278&lt;=AA$2,$F278&gt;=AA$2),1,0)</f>
        <v/>
      </c>
      <c r="AB278">
        <f>AB277+IF(AND($E278&lt;&gt;"",$E278&lt;=AB$2,$F278&gt;=AB$2),1,0)</f>
        <v/>
      </c>
      <c r="AC278">
        <f>AC277+IF(AND($E278&lt;&gt;"",$E278&lt;=AC$2,$F278&gt;=AC$2),1,0)</f>
        <v/>
      </c>
      <c r="AD278">
        <f>AD277+IF(AND($E278&lt;&gt;"",$E278&lt;=AD$2,$F278&gt;=AD$2),1,0)</f>
        <v/>
      </c>
      <c r="AE278">
        <f>AE277+IF(AND($E278&lt;&gt;"",$E278&lt;=AE$2,$F278&gt;=AE$2),1,0)</f>
        <v/>
      </c>
      <c r="AF278">
        <f>AF277+IF(AND($E278&lt;&gt;"",$E278&lt;=AF$2,$F278&gt;=AF$2),1,0)</f>
        <v/>
      </c>
      <c r="AG278">
        <f>AG277+IF(AND($E278&lt;&gt;"",$E278&lt;=AG$2,$F278&gt;=AG$2),1,0)</f>
        <v/>
      </c>
      <c r="AH278">
        <f>AH277+IF(AND($E278&lt;&gt;"",$E278&lt;=AH$2,$F278&gt;=AH$2),1,0)</f>
        <v/>
      </c>
      <c r="AI278">
        <f>AI277+IF(AND($E278&lt;&gt;"",$E278&lt;=AI$2,$F278&gt;=AI$2),1,0)</f>
        <v/>
      </c>
      <c r="AJ278">
        <f>AJ277+IF(AND($E278&lt;&gt;"",$E278&lt;=AJ$2,$F278&gt;=AJ$2),1,0)</f>
        <v/>
      </c>
      <c r="AK278">
        <f>AK277+IF(AND($E278&lt;&gt;"",$E278&lt;=AK$2,$F278&gt;=AK$2),1,0)</f>
        <v/>
      </c>
      <c r="AL278">
        <f>AL277+IF(AND($E278&lt;&gt;"",$E278&lt;=AL$2,$F278&gt;=AL$2),1,0)</f>
        <v/>
      </c>
      <c r="AM278">
        <f>AM277+IF(AND($E278&lt;&gt;"",$E278&lt;=AM$2,$F278&gt;=AM$2),1,0)</f>
        <v/>
      </c>
      <c r="AN278">
        <f>AN277+IF(AND($E278&lt;&gt;"",$E278&lt;=AN$2,$F278&gt;=AN$2),1,0)</f>
        <v/>
      </c>
      <c r="AO278">
        <f>AO277+IF(AND($E278&lt;&gt;"",$E278&lt;=AO$2,$F278&gt;=AO$2),1,0)</f>
        <v/>
      </c>
      <c r="AP278">
        <f>AP277+IF(AND($E278&lt;&gt;"",$E278&lt;=AP$2,$F278&gt;=AP$2),1,0)</f>
        <v/>
      </c>
      <c r="AQ278">
        <f>AQ277+IF(AND($E278&lt;&gt;"",$E278&lt;=AQ$2,$F278&gt;=AQ$2),1,0)</f>
        <v/>
      </c>
      <c r="AR278">
        <f>AR277+IF(AND($E278&lt;&gt;"",$E278&lt;=AR$2,$F278&gt;=AR$2),1,0)</f>
        <v/>
      </c>
      <c r="AS278">
        <f>AS277+IF(AND($E278&lt;&gt;"",$E278&lt;=AS$2,$F278&gt;=AS$2),1,0)</f>
        <v/>
      </c>
      <c r="AT278">
        <f>AT277+IF(AND($E278&lt;&gt;"",$E278&lt;=AT$2,$F278&gt;=AT$2),1,0)</f>
        <v/>
      </c>
      <c r="AU278">
        <f>AU277+IF(AND($E278&lt;&gt;"",$E278&lt;=AU$2,$F278&gt;=AU$2),1,0)</f>
        <v/>
      </c>
      <c r="AV278">
        <f>AV277+IF(AND($E278&lt;&gt;"",$E278&lt;=AV$2,$F278&gt;=AV$2),1,0)</f>
        <v/>
      </c>
      <c r="AW278">
        <f>AW277+IF(AND($E278&lt;&gt;"",$E278&lt;=AW$2,$F278&gt;=AW$2),1,0)</f>
        <v/>
      </c>
    </row>
    <row r="279">
      <c r="A279">
        <f>IF(AND(ISNUMBER(Events!$A281),ISNUMBER(Events!$B281)),MAX(0,Events!$B281-Events!$A281),0)</f>
        <v/>
      </c>
      <c r="B279">
        <f>IF(ISNUMBER(Events!$A281),DATE(YEAR($B$1)-1,MONTH(Events!$A281),DAY(Events!$A281)),"")</f>
        <v/>
      </c>
      <c r="C279">
        <f>IF(ISNUMBER(Events!$A281),DATE(YEAR($B$1),MONTH(Events!$A281),DAY(Events!$A281)),"")</f>
        <v/>
      </c>
      <c r="D279">
        <f>IF(ISNUMBER(Events!$A281),DATE(YEAR($B$2),MONTH(Events!$A281),DAY(Events!$A281)),"")</f>
        <v/>
      </c>
      <c r="E279">
        <f>IF(OR(NOT(ISNUMBER(Events!$A281)),Events!$G281="No",Calendar!$H$4="None"),"",IF(OR(Calendar!$H$4="All events",Events!$D281=Calendar!$H$4),IF(Events!$E281="Yes",IF(AND(B279&gt;=Events!$A281,B279&lt;=$B$2,B279+$A279&gt;=$B$1),B279,IF(AND(C279&gt;=Events!$A281,C279&lt;=$B$2,C279+$A279&gt;=$B$1),C279,IF(AND(D279&gt;=Events!$A281,D279&lt;=$B$2,D279+$A279&gt;=$B$1),D279,""))),IF(AND(Events!$A281&lt;=$B$2,Events!$A281+$A279&gt;=$B$1),Events!$A281,"")),""))</f>
        <v/>
      </c>
      <c r="F279">
        <f>IF(E279="","",E279+A279)</f>
        <v/>
      </c>
      <c r="G279">
        <f>IF(E279="","",IF(AND(E279&lt;=EOMONTH(Calendar!$K$2,0),F279&gt;=Calendar!$K$2),E279+276/100000,""))</f>
        <v/>
      </c>
      <c r="H279">
        <f>H278+IF(AND($E279&lt;&gt;"",$E279&lt;=H$2,$F279&gt;=H$2),1,0)</f>
        <v/>
      </c>
      <c r="I279">
        <f>I278+IF(AND($E279&lt;&gt;"",$E279&lt;=I$2,$F279&gt;=I$2),1,0)</f>
        <v/>
      </c>
      <c r="J279">
        <f>J278+IF(AND($E279&lt;&gt;"",$E279&lt;=J$2,$F279&gt;=J$2),1,0)</f>
        <v/>
      </c>
      <c r="K279">
        <f>K278+IF(AND($E279&lt;&gt;"",$E279&lt;=K$2,$F279&gt;=K$2),1,0)</f>
        <v/>
      </c>
      <c r="L279">
        <f>L278+IF(AND($E279&lt;&gt;"",$E279&lt;=L$2,$F279&gt;=L$2),1,0)</f>
        <v/>
      </c>
      <c r="M279">
        <f>M278+IF(AND($E279&lt;&gt;"",$E279&lt;=M$2,$F279&gt;=M$2),1,0)</f>
        <v/>
      </c>
      <c r="N279">
        <f>N278+IF(AND($E279&lt;&gt;"",$E279&lt;=N$2,$F279&gt;=N$2),1,0)</f>
        <v/>
      </c>
      <c r="O279">
        <f>O278+IF(AND($E279&lt;&gt;"",$E279&lt;=O$2,$F279&gt;=O$2),1,0)</f>
        <v/>
      </c>
      <c r="P279">
        <f>P278+IF(AND($E279&lt;&gt;"",$E279&lt;=P$2,$F279&gt;=P$2),1,0)</f>
        <v/>
      </c>
      <c r="Q279">
        <f>Q278+IF(AND($E279&lt;&gt;"",$E279&lt;=Q$2,$F279&gt;=Q$2),1,0)</f>
        <v/>
      </c>
      <c r="R279">
        <f>R278+IF(AND($E279&lt;&gt;"",$E279&lt;=R$2,$F279&gt;=R$2),1,0)</f>
        <v/>
      </c>
      <c r="S279">
        <f>S278+IF(AND($E279&lt;&gt;"",$E279&lt;=S$2,$F279&gt;=S$2),1,0)</f>
        <v/>
      </c>
      <c r="T279">
        <f>T278+IF(AND($E279&lt;&gt;"",$E279&lt;=T$2,$F279&gt;=T$2),1,0)</f>
        <v/>
      </c>
      <c r="U279">
        <f>U278+IF(AND($E279&lt;&gt;"",$E279&lt;=U$2,$F279&gt;=U$2),1,0)</f>
        <v/>
      </c>
      <c r="V279">
        <f>V278+IF(AND($E279&lt;&gt;"",$E279&lt;=V$2,$F279&gt;=V$2),1,0)</f>
        <v/>
      </c>
      <c r="W279">
        <f>W278+IF(AND($E279&lt;&gt;"",$E279&lt;=W$2,$F279&gt;=W$2),1,0)</f>
        <v/>
      </c>
      <c r="X279">
        <f>X278+IF(AND($E279&lt;&gt;"",$E279&lt;=X$2,$F279&gt;=X$2),1,0)</f>
        <v/>
      </c>
      <c r="Y279">
        <f>Y278+IF(AND($E279&lt;&gt;"",$E279&lt;=Y$2,$F279&gt;=Y$2),1,0)</f>
        <v/>
      </c>
      <c r="Z279">
        <f>Z278+IF(AND($E279&lt;&gt;"",$E279&lt;=Z$2,$F279&gt;=Z$2),1,0)</f>
        <v/>
      </c>
      <c r="AA279">
        <f>AA278+IF(AND($E279&lt;&gt;"",$E279&lt;=AA$2,$F279&gt;=AA$2),1,0)</f>
        <v/>
      </c>
      <c r="AB279">
        <f>AB278+IF(AND($E279&lt;&gt;"",$E279&lt;=AB$2,$F279&gt;=AB$2),1,0)</f>
        <v/>
      </c>
      <c r="AC279">
        <f>AC278+IF(AND($E279&lt;&gt;"",$E279&lt;=AC$2,$F279&gt;=AC$2),1,0)</f>
        <v/>
      </c>
      <c r="AD279">
        <f>AD278+IF(AND($E279&lt;&gt;"",$E279&lt;=AD$2,$F279&gt;=AD$2),1,0)</f>
        <v/>
      </c>
      <c r="AE279">
        <f>AE278+IF(AND($E279&lt;&gt;"",$E279&lt;=AE$2,$F279&gt;=AE$2),1,0)</f>
        <v/>
      </c>
      <c r="AF279">
        <f>AF278+IF(AND($E279&lt;&gt;"",$E279&lt;=AF$2,$F279&gt;=AF$2),1,0)</f>
        <v/>
      </c>
      <c r="AG279">
        <f>AG278+IF(AND($E279&lt;&gt;"",$E279&lt;=AG$2,$F279&gt;=AG$2),1,0)</f>
        <v/>
      </c>
      <c r="AH279">
        <f>AH278+IF(AND($E279&lt;&gt;"",$E279&lt;=AH$2,$F279&gt;=AH$2),1,0)</f>
        <v/>
      </c>
      <c r="AI279">
        <f>AI278+IF(AND($E279&lt;&gt;"",$E279&lt;=AI$2,$F279&gt;=AI$2),1,0)</f>
        <v/>
      </c>
      <c r="AJ279">
        <f>AJ278+IF(AND($E279&lt;&gt;"",$E279&lt;=AJ$2,$F279&gt;=AJ$2),1,0)</f>
        <v/>
      </c>
      <c r="AK279">
        <f>AK278+IF(AND($E279&lt;&gt;"",$E279&lt;=AK$2,$F279&gt;=AK$2),1,0)</f>
        <v/>
      </c>
      <c r="AL279">
        <f>AL278+IF(AND($E279&lt;&gt;"",$E279&lt;=AL$2,$F279&gt;=AL$2),1,0)</f>
        <v/>
      </c>
      <c r="AM279">
        <f>AM278+IF(AND($E279&lt;&gt;"",$E279&lt;=AM$2,$F279&gt;=AM$2),1,0)</f>
        <v/>
      </c>
      <c r="AN279">
        <f>AN278+IF(AND($E279&lt;&gt;"",$E279&lt;=AN$2,$F279&gt;=AN$2),1,0)</f>
        <v/>
      </c>
      <c r="AO279">
        <f>AO278+IF(AND($E279&lt;&gt;"",$E279&lt;=AO$2,$F279&gt;=AO$2),1,0)</f>
        <v/>
      </c>
      <c r="AP279">
        <f>AP278+IF(AND($E279&lt;&gt;"",$E279&lt;=AP$2,$F279&gt;=AP$2),1,0)</f>
        <v/>
      </c>
      <c r="AQ279">
        <f>AQ278+IF(AND($E279&lt;&gt;"",$E279&lt;=AQ$2,$F279&gt;=AQ$2),1,0)</f>
        <v/>
      </c>
      <c r="AR279">
        <f>AR278+IF(AND($E279&lt;&gt;"",$E279&lt;=AR$2,$F279&gt;=AR$2),1,0)</f>
        <v/>
      </c>
      <c r="AS279">
        <f>AS278+IF(AND($E279&lt;&gt;"",$E279&lt;=AS$2,$F279&gt;=AS$2),1,0)</f>
        <v/>
      </c>
      <c r="AT279">
        <f>AT278+IF(AND($E279&lt;&gt;"",$E279&lt;=AT$2,$F279&gt;=AT$2),1,0)</f>
        <v/>
      </c>
      <c r="AU279">
        <f>AU278+IF(AND($E279&lt;&gt;"",$E279&lt;=AU$2,$F279&gt;=AU$2),1,0)</f>
        <v/>
      </c>
      <c r="AV279">
        <f>AV278+IF(AND($E279&lt;&gt;"",$E279&lt;=AV$2,$F279&gt;=AV$2),1,0)</f>
        <v/>
      </c>
      <c r="AW279">
        <f>AW278+IF(AND($E279&lt;&gt;"",$E279&lt;=AW$2,$F279&gt;=AW$2),1,0)</f>
        <v/>
      </c>
    </row>
    <row r="280">
      <c r="A280">
        <f>IF(AND(ISNUMBER(Events!$A282),ISNUMBER(Events!$B282)),MAX(0,Events!$B282-Events!$A282),0)</f>
        <v/>
      </c>
      <c r="B280">
        <f>IF(ISNUMBER(Events!$A282),DATE(YEAR($B$1)-1,MONTH(Events!$A282),DAY(Events!$A282)),"")</f>
        <v/>
      </c>
      <c r="C280">
        <f>IF(ISNUMBER(Events!$A282),DATE(YEAR($B$1),MONTH(Events!$A282),DAY(Events!$A282)),"")</f>
        <v/>
      </c>
      <c r="D280">
        <f>IF(ISNUMBER(Events!$A282),DATE(YEAR($B$2),MONTH(Events!$A282),DAY(Events!$A282)),"")</f>
        <v/>
      </c>
      <c r="E280">
        <f>IF(OR(NOT(ISNUMBER(Events!$A282)),Events!$G282="No",Calendar!$H$4="None"),"",IF(OR(Calendar!$H$4="All events",Events!$D282=Calendar!$H$4),IF(Events!$E282="Yes",IF(AND(B280&gt;=Events!$A282,B280&lt;=$B$2,B280+$A280&gt;=$B$1),B280,IF(AND(C280&gt;=Events!$A282,C280&lt;=$B$2,C280+$A280&gt;=$B$1),C280,IF(AND(D280&gt;=Events!$A282,D280&lt;=$B$2,D280+$A280&gt;=$B$1),D280,""))),IF(AND(Events!$A282&lt;=$B$2,Events!$A282+$A280&gt;=$B$1),Events!$A282,"")),""))</f>
        <v/>
      </c>
      <c r="F280">
        <f>IF(E280="","",E280+A280)</f>
        <v/>
      </c>
      <c r="G280">
        <f>IF(E280="","",IF(AND(E280&lt;=EOMONTH(Calendar!$K$2,0),F280&gt;=Calendar!$K$2),E280+277/100000,""))</f>
        <v/>
      </c>
      <c r="H280">
        <f>H279+IF(AND($E280&lt;&gt;"",$E280&lt;=H$2,$F280&gt;=H$2),1,0)</f>
        <v/>
      </c>
      <c r="I280">
        <f>I279+IF(AND($E280&lt;&gt;"",$E280&lt;=I$2,$F280&gt;=I$2),1,0)</f>
        <v/>
      </c>
      <c r="J280">
        <f>J279+IF(AND($E280&lt;&gt;"",$E280&lt;=J$2,$F280&gt;=J$2),1,0)</f>
        <v/>
      </c>
      <c r="K280">
        <f>K279+IF(AND($E280&lt;&gt;"",$E280&lt;=K$2,$F280&gt;=K$2),1,0)</f>
        <v/>
      </c>
      <c r="L280">
        <f>L279+IF(AND($E280&lt;&gt;"",$E280&lt;=L$2,$F280&gt;=L$2),1,0)</f>
        <v/>
      </c>
      <c r="M280">
        <f>M279+IF(AND($E280&lt;&gt;"",$E280&lt;=M$2,$F280&gt;=M$2),1,0)</f>
        <v/>
      </c>
      <c r="N280">
        <f>N279+IF(AND($E280&lt;&gt;"",$E280&lt;=N$2,$F280&gt;=N$2),1,0)</f>
        <v/>
      </c>
      <c r="O280">
        <f>O279+IF(AND($E280&lt;&gt;"",$E280&lt;=O$2,$F280&gt;=O$2),1,0)</f>
        <v/>
      </c>
      <c r="P280">
        <f>P279+IF(AND($E280&lt;&gt;"",$E280&lt;=P$2,$F280&gt;=P$2),1,0)</f>
        <v/>
      </c>
      <c r="Q280">
        <f>Q279+IF(AND($E280&lt;&gt;"",$E280&lt;=Q$2,$F280&gt;=Q$2),1,0)</f>
        <v/>
      </c>
      <c r="R280">
        <f>R279+IF(AND($E280&lt;&gt;"",$E280&lt;=R$2,$F280&gt;=R$2),1,0)</f>
        <v/>
      </c>
      <c r="S280">
        <f>S279+IF(AND($E280&lt;&gt;"",$E280&lt;=S$2,$F280&gt;=S$2),1,0)</f>
        <v/>
      </c>
      <c r="T280">
        <f>T279+IF(AND($E280&lt;&gt;"",$E280&lt;=T$2,$F280&gt;=T$2),1,0)</f>
        <v/>
      </c>
      <c r="U280">
        <f>U279+IF(AND($E280&lt;&gt;"",$E280&lt;=U$2,$F280&gt;=U$2),1,0)</f>
        <v/>
      </c>
      <c r="V280">
        <f>V279+IF(AND($E280&lt;&gt;"",$E280&lt;=V$2,$F280&gt;=V$2),1,0)</f>
        <v/>
      </c>
      <c r="W280">
        <f>W279+IF(AND($E280&lt;&gt;"",$E280&lt;=W$2,$F280&gt;=W$2),1,0)</f>
        <v/>
      </c>
      <c r="X280">
        <f>X279+IF(AND($E280&lt;&gt;"",$E280&lt;=X$2,$F280&gt;=X$2),1,0)</f>
        <v/>
      </c>
      <c r="Y280">
        <f>Y279+IF(AND($E280&lt;&gt;"",$E280&lt;=Y$2,$F280&gt;=Y$2),1,0)</f>
        <v/>
      </c>
      <c r="Z280">
        <f>Z279+IF(AND($E280&lt;&gt;"",$E280&lt;=Z$2,$F280&gt;=Z$2),1,0)</f>
        <v/>
      </c>
      <c r="AA280">
        <f>AA279+IF(AND($E280&lt;&gt;"",$E280&lt;=AA$2,$F280&gt;=AA$2),1,0)</f>
        <v/>
      </c>
      <c r="AB280">
        <f>AB279+IF(AND($E280&lt;&gt;"",$E280&lt;=AB$2,$F280&gt;=AB$2),1,0)</f>
        <v/>
      </c>
      <c r="AC280">
        <f>AC279+IF(AND($E280&lt;&gt;"",$E280&lt;=AC$2,$F280&gt;=AC$2),1,0)</f>
        <v/>
      </c>
      <c r="AD280">
        <f>AD279+IF(AND($E280&lt;&gt;"",$E280&lt;=AD$2,$F280&gt;=AD$2),1,0)</f>
        <v/>
      </c>
      <c r="AE280">
        <f>AE279+IF(AND($E280&lt;&gt;"",$E280&lt;=AE$2,$F280&gt;=AE$2),1,0)</f>
        <v/>
      </c>
      <c r="AF280">
        <f>AF279+IF(AND($E280&lt;&gt;"",$E280&lt;=AF$2,$F280&gt;=AF$2),1,0)</f>
        <v/>
      </c>
      <c r="AG280">
        <f>AG279+IF(AND($E280&lt;&gt;"",$E280&lt;=AG$2,$F280&gt;=AG$2),1,0)</f>
        <v/>
      </c>
      <c r="AH280">
        <f>AH279+IF(AND($E280&lt;&gt;"",$E280&lt;=AH$2,$F280&gt;=AH$2),1,0)</f>
        <v/>
      </c>
      <c r="AI280">
        <f>AI279+IF(AND($E280&lt;&gt;"",$E280&lt;=AI$2,$F280&gt;=AI$2),1,0)</f>
        <v/>
      </c>
      <c r="AJ280">
        <f>AJ279+IF(AND($E280&lt;&gt;"",$E280&lt;=AJ$2,$F280&gt;=AJ$2),1,0)</f>
        <v/>
      </c>
      <c r="AK280">
        <f>AK279+IF(AND($E280&lt;&gt;"",$E280&lt;=AK$2,$F280&gt;=AK$2),1,0)</f>
        <v/>
      </c>
      <c r="AL280">
        <f>AL279+IF(AND($E280&lt;&gt;"",$E280&lt;=AL$2,$F280&gt;=AL$2),1,0)</f>
        <v/>
      </c>
      <c r="AM280">
        <f>AM279+IF(AND($E280&lt;&gt;"",$E280&lt;=AM$2,$F280&gt;=AM$2),1,0)</f>
        <v/>
      </c>
      <c r="AN280">
        <f>AN279+IF(AND($E280&lt;&gt;"",$E280&lt;=AN$2,$F280&gt;=AN$2),1,0)</f>
        <v/>
      </c>
      <c r="AO280">
        <f>AO279+IF(AND($E280&lt;&gt;"",$E280&lt;=AO$2,$F280&gt;=AO$2),1,0)</f>
        <v/>
      </c>
      <c r="AP280">
        <f>AP279+IF(AND($E280&lt;&gt;"",$E280&lt;=AP$2,$F280&gt;=AP$2),1,0)</f>
        <v/>
      </c>
      <c r="AQ280">
        <f>AQ279+IF(AND($E280&lt;&gt;"",$E280&lt;=AQ$2,$F280&gt;=AQ$2),1,0)</f>
        <v/>
      </c>
      <c r="AR280">
        <f>AR279+IF(AND($E280&lt;&gt;"",$E280&lt;=AR$2,$F280&gt;=AR$2),1,0)</f>
        <v/>
      </c>
      <c r="AS280">
        <f>AS279+IF(AND($E280&lt;&gt;"",$E280&lt;=AS$2,$F280&gt;=AS$2),1,0)</f>
        <v/>
      </c>
      <c r="AT280">
        <f>AT279+IF(AND($E280&lt;&gt;"",$E280&lt;=AT$2,$F280&gt;=AT$2),1,0)</f>
        <v/>
      </c>
      <c r="AU280">
        <f>AU279+IF(AND($E280&lt;&gt;"",$E280&lt;=AU$2,$F280&gt;=AU$2),1,0)</f>
        <v/>
      </c>
      <c r="AV280">
        <f>AV279+IF(AND($E280&lt;&gt;"",$E280&lt;=AV$2,$F280&gt;=AV$2),1,0)</f>
        <v/>
      </c>
      <c r="AW280">
        <f>AW279+IF(AND($E280&lt;&gt;"",$E280&lt;=AW$2,$F280&gt;=AW$2),1,0)</f>
        <v/>
      </c>
    </row>
    <row r="281">
      <c r="A281">
        <f>IF(AND(ISNUMBER(Events!$A283),ISNUMBER(Events!$B283)),MAX(0,Events!$B283-Events!$A283),0)</f>
        <v/>
      </c>
      <c r="B281">
        <f>IF(ISNUMBER(Events!$A283),DATE(YEAR($B$1)-1,MONTH(Events!$A283),DAY(Events!$A283)),"")</f>
        <v/>
      </c>
      <c r="C281">
        <f>IF(ISNUMBER(Events!$A283),DATE(YEAR($B$1),MONTH(Events!$A283),DAY(Events!$A283)),"")</f>
        <v/>
      </c>
      <c r="D281">
        <f>IF(ISNUMBER(Events!$A283),DATE(YEAR($B$2),MONTH(Events!$A283),DAY(Events!$A283)),"")</f>
        <v/>
      </c>
      <c r="E281">
        <f>IF(OR(NOT(ISNUMBER(Events!$A283)),Events!$G283="No",Calendar!$H$4="None"),"",IF(OR(Calendar!$H$4="All events",Events!$D283=Calendar!$H$4),IF(Events!$E283="Yes",IF(AND(B281&gt;=Events!$A283,B281&lt;=$B$2,B281+$A281&gt;=$B$1),B281,IF(AND(C281&gt;=Events!$A283,C281&lt;=$B$2,C281+$A281&gt;=$B$1),C281,IF(AND(D281&gt;=Events!$A283,D281&lt;=$B$2,D281+$A281&gt;=$B$1),D281,""))),IF(AND(Events!$A283&lt;=$B$2,Events!$A283+$A281&gt;=$B$1),Events!$A283,"")),""))</f>
        <v/>
      </c>
      <c r="F281">
        <f>IF(E281="","",E281+A281)</f>
        <v/>
      </c>
      <c r="G281">
        <f>IF(E281="","",IF(AND(E281&lt;=EOMONTH(Calendar!$K$2,0),F281&gt;=Calendar!$K$2),E281+278/100000,""))</f>
        <v/>
      </c>
      <c r="H281">
        <f>H280+IF(AND($E281&lt;&gt;"",$E281&lt;=H$2,$F281&gt;=H$2),1,0)</f>
        <v/>
      </c>
      <c r="I281">
        <f>I280+IF(AND($E281&lt;&gt;"",$E281&lt;=I$2,$F281&gt;=I$2),1,0)</f>
        <v/>
      </c>
      <c r="J281">
        <f>J280+IF(AND($E281&lt;&gt;"",$E281&lt;=J$2,$F281&gt;=J$2),1,0)</f>
        <v/>
      </c>
      <c r="K281">
        <f>K280+IF(AND($E281&lt;&gt;"",$E281&lt;=K$2,$F281&gt;=K$2),1,0)</f>
        <v/>
      </c>
      <c r="L281">
        <f>L280+IF(AND($E281&lt;&gt;"",$E281&lt;=L$2,$F281&gt;=L$2),1,0)</f>
        <v/>
      </c>
      <c r="M281">
        <f>M280+IF(AND($E281&lt;&gt;"",$E281&lt;=M$2,$F281&gt;=M$2),1,0)</f>
        <v/>
      </c>
      <c r="N281">
        <f>N280+IF(AND($E281&lt;&gt;"",$E281&lt;=N$2,$F281&gt;=N$2),1,0)</f>
        <v/>
      </c>
      <c r="O281">
        <f>O280+IF(AND($E281&lt;&gt;"",$E281&lt;=O$2,$F281&gt;=O$2),1,0)</f>
        <v/>
      </c>
      <c r="P281">
        <f>P280+IF(AND($E281&lt;&gt;"",$E281&lt;=P$2,$F281&gt;=P$2),1,0)</f>
        <v/>
      </c>
      <c r="Q281">
        <f>Q280+IF(AND($E281&lt;&gt;"",$E281&lt;=Q$2,$F281&gt;=Q$2),1,0)</f>
        <v/>
      </c>
      <c r="R281">
        <f>R280+IF(AND($E281&lt;&gt;"",$E281&lt;=R$2,$F281&gt;=R$2),1,0)</f>
        <v/>
      </c>
      <c r="S281">
        <f>S280+IF(AND($E281&lt;&gt;"",$E281&lt;=S$2,$F281&gt;=S$2),1,0)</f>
        <v/>
      </c>
      <c r="T281">
        <f>T280+IF(AND($E281&lt;&gt;"",$E281&lt;=T$2,$F281&gt;=T$2),1,0)</f>
        <v/>
      </c>
      <c r="U281">
        <f>U280+IF(AND($E281&lt;&gt;"",$E281&lt;=U$2,$F281&gt;=U$2),1,0)</f>
        <v/>
      </c>
      <c r="V281">
        <f>V280+IF(AND($E281&lt;&gt;"",$E281&lt;=V$2,$F281&gt;=V$2),1,0)</f>
        <v/>
      </c>
      <c r="W281">
        <f>W280+IF(AND($E281&lt;&gt;"",$E281&lt;=W$2,$F281&gt;=W$2),1,0)</f>
        <v/>
      </c>
      <c r="X281">
        <f>X280+IF(AND($E281&lt;&gt;"",$E281&lt;=X$2,$F281&gt;=X$2),1,0)</f>
        <v/>
      </c>
      <c r="Y281">
        <f>Y280+IF(AND($E281&lt;&gt;"",$E281&lt;=Y$2,$F281&gt;=Y$2),1,0)</f>
        <v/>
      </c>
      <c r="Z281">
        <f>Z280+IF(AND($E281&lt;&gt;"",$E281&lt;=Z$2,$F281&gt;=Z$2),1,0)</f>
        <v/>
      </c>
      <c r="AA281">
        <f>AA280+IF(AND($E281&lt;&gt;"",$E281&lt;=AA$2,$F281&gt;=AA$2),1,0)</f>
        <v/>
      </c>
      <c r="AB281">
        <f>AB280+IF(AND($E281&lt;&gt;"",$E281&lt;=AB$2,$F281&gt;=AB$2),1,0)</f>
        <v/>
      </c>
      <c r="AC281">
        <f>AC280+IF(AND($E281&lt;&gt;"",$E281&lt;=AC$2,$F281&gt;=AC$2),1,0)</f>
        <v/>
      </c>
      <c r="AD281">
        <f>AD280+IF(AND($E281&lt;&gt;"",$E281&lt;=AD$2,$F281&gt;=AD$2),1,0)</f>
        <v/>
      </c>
      <c r="AE281">
        <f>AE280+IF(AND($E281&lt;&gt;"",$E281&lt;=AE$2,$F281&gt;=AE$2),1,0)</f>
        <v/>
      </c>
      <c r="AF281">
        <f>AF280+IF(AND($E281&lt;&gt;"",$E281&lt;=AF$2,$F281&gt;=AF$2),1,0)</f>
        <v/>
      </c>
      <c r="AG281">
        <f>AG280+IF(AND($E281&lt;&gt;"",$E281&lt;=AG$2,$F281&gt;=AG$2),1,0)</f>
        <v/>
      </c>
      <c r="AH281">
        <f>AH280+IF(AND($E281&lt;&gt;"",$E281&lt;=AH$2,$F281&gt;=AH$2),1,0)</f>
        <v/>
      </c>
      <c r="AI281">
        <f>AI280+IF(AND($E281&lt;&gt;"",$E281&lt;=AI$2,$F281&gt;=AI$2),1,0)</f>
        <v/>
      </c>
      <c r="AJ281">
        <f>AJ280+IF(AND($E281&lt;&gt;"",$E281&lt;=AJ$2,$F281&gt;=AJ$2),1,0)</f>
        <v/>
      </c>
      <c r="AK281">
        <f>AK280+IF(AND($E281&lt;&gt;"",$E281&lt;=AK$2,$F281&gt;=AK$2),1,0)</f>
        <v/>
      </c>
      <c r="AL281">
        <f>AL280+IF(AND($E281&lt;&gt;"",$E281&lt;=AL$2,$F281&gt;=AL$2),1,0)</f>
        <v/>
      </c>
      <c r="AM281">
        <f>AM280+IF(AND($E281&lt;&gt;"",$E281&lt;=AM$2,$F281&gt;=AM$2),1,0)</f>
        <v/>
      </c>
      <c r="AN281">
        <f>AN280+IF(AND($E281&lt;&gt;"",$E281&lt;=AN$2,$F281&gt;=AN$2),1,0)</f>
        <v/>
      </c>
      <c r="AO281">
        <f>AO280+IF(AND($E281&lt;&gt;"",$E281&lt;=AO$2,$F281&gt;=AO$2),1,0)</f>
        <v/>
      </c>
      <c r="AP281">
        <f>AP280+IF(AND($E281&lt;&gt;"",$E281&lt;=AP$2,$F281&gt;=AP$2),1,0)</f>
        <v/>
      </c>
      <c r="AQ281">
        <f>AQ280+IF(AND($E281&lt;&gt;"",$E281&lt;=AQ$2,$F281&gt;=AQ$2),1,0)</f>
        <v/>
      </c>
      <c r="AR281">
        <f>AR280+IF(AND($E281&lt;&gt;"",$E281&lt;=AR$2,$F281&gt;=AR$2),1,0)</f>
        <v/>
      </c>
      <c r="AS281">
        <f>AS280+IF(AND($E281&lt;&gt;"",$E281&lt;=AS$2,$F281&gt;=AS$2),1,0)</f>
        <v/>
      </c>
      <c r="AT281">
        <f>AT280+IF(AND($E281&lt;&gt;"",$E281&lt;=AT$2,$F281&gt;=AT$2),1,0)</f>
        <v/>
      </c>
      <c r="AU281">
        <f>AU280+IF(AND($E281&lt;&gt;"",$E281&lt;=AU$2,$F281&gt;=AU$2),1,0)</f>
        <v/>
      </c>
      <c r="AV281">
        <f>AV280+IF(AND($E281&lt;&gt;"",$E281&lt;=AV$2,$F281&gt;=AV$2),1,0)</f>
        <v/>
      </c>
      <c r="AW281">
        <f>AW280+IF(AND($E281&lt;&gt;"",$E281&lt;=AW$2,$F281&gt;=AW$2),1,0)</f>
        <v/>
      </c>
    </row>
    <row r="282">
      <c r="A282">
        <f>IF(AND(ISNUMBER(Events!$A284),ISNUMBER(Events!$B284)),MAX(0,Events!$B284-Events!$A284),0)</f>
        <v/>
      </c>
      <c r="B282">
        <f>IF(ISNUMBER(Events!$A284),DATE(YEAR($B$1)-1,MONTH(Events!$A284),DAY(Events!$A284)),"")</f>
        <v/>
      </c>
      <c r="C282">
        <f>IF(ISNUMBER(Events!$A284),DATE(YEAR($B$1),MONTH(Events!$A284),DAY(Events!$A284)),"")</f>
        <v/>
      </c>
      <c r="D282">
        <f>IF(ISNUMBER(Events!$A284),DATE(YEAR($B$2),MONTH(Events!$A284),DAY(Events!$A284)),"")</f>
        <v/>
      </c>
      <c r="E282">
        <f>IF(OR(NOT(ISNUMBER(Events!$A284)),Events!$G284="No",Calendar!$H$4="None"),"",IF(OR(Calendar!$H$4="All events",Events!$D284=Calendar!$H$4),IF(Events!$E284="Yes",IF(AND(B282&gt;=Events!$A284,B282&lt;=$B$2,B282+$A282&gt;=$B$1),B282,IF(AND(C282&gt;=Events!$A284,C282&lt;=$B$2,C282+$A282&gt;=$B$1),C282,IF(AND(D282&gt;=Events!$A284,D282&lt;=$B$2,D282+$A282&gt;=$B$1),D282,""))),IF(AND(Events!$A284&lt;=$B$2,Events!$A284+$A282&gt;=$B$1),Events!$A284,"")),""))</f>
        <v/>
      </c>
      <c r="F282">
        <f>IF(E282="","",E282+A282)</f>
        <v/>
      </c>
      <c r="G282">
        <f>IF(E282="","",IF(AND(E282&lt;=EOMONTH(Calendar!$K$2,0),F282&gt;=Calendar!$K$2),E282+279/100000,""))</f>
        <v/>
      </c>
      <c r="H282">
        <f>H281+IF(AND($E282&lt;&gt;"",$E282&lt;=H$2,$F282&gt;=H$2),1,0)</f>
        <v/>
      </c>
      <c r="I282">
        <f>I281+IF(AND($E282&lt;&gt;"",$E282&lt;=I$2,$F282&gt;=I$2),1,0)</f>
        <v/>
      </c>
      <c r="J282">
        <f>J281+IF(AND($E282&lt;&gt;"",$E282&lt;=J$2,$F282&gt;=J$2),1,0)</f>
        <v/>
      </c>
      <c r="K282">
        <f>K281+IF(AND($E282&lt;&gt;"",$E282&lt;=K$2,$F282&gt;=K$2),1,0)</f>
        <v/>
      </c>
      <c r="L282">
        <f>L281+IF(AND($E282&lt;&gt;"",$E282&lt;=L$2,$F282&gt;=L$2),1,0)</f>
        <v/>
      </c>
      <c r="M282">
        <f>M281+IF(AND($E282&lt;&gt;"",$E282&lt;=M$2,$F282&gt;=M$2),1,0)</f>
        <v/>
      </c>
      <c r="N282">
        <f>N281+IF(AND($E282&lt;&gt;"",$E282&lt;=N$2,$F282&gt;=N$2),1,0)</f>
        <v/>
      </c>
      <c r="O282">
        <f>O281+IF(AND($E282&lt;&gt;"",$E282&lt;=O$2,$F282&gt;=O$2),1,0)</f>
        <v/>
      </c>
      <c r="P282">
        <f>P281+IF(AND($E282&lt;&gt;"",$E282&lt;=P$2,$F282&gt;=P$2),1,0)</f>
        <v/>
      </c>
      <c r="Q282">
        <f>Q281+IF(AND($E282&lt;&gt;"",$E282&lt;=Q$2,$F282&gt;=Q$2),1,0)</f>
        <v/>
      </c>
      <c r="R282">
        <f>R281+IF(AND($E282&lt;&gt;"",$E282&lt;=R$2,$F282&gt;=R$2),1,0)</f>
        <v/>
      </c>
      <c r="S282">
        <f>S281+IF(AND($E282&lt;&gt;"",$E282&lt;=S$2,$F282&gt;=S$2),1,0)</f>
        <v/>
      </c>
      <c r="T282">
        <f>T281+IF(AND($E282&lt;&gt;"",$E282&lt;=T$2,$F282&gt;=T$2),1,0)</f>
        <v/>
      </c>
      <c r="U282">
        <f>U281+IF(AND($E282&lt;&gt;"",$E282&lt;=U$2,$F282&gt;=U$2),1,0)</f>
        <v/>
      </c>
      <c r="V282">
        <f>V281+IF(AND($E282&lt;&gt;"",$E282&lt;=V$2,$F282&gt;=V$2),1,0)</f>
        <v/>
      </c>
      <c r="W282">
        <f>W281+IF(AND($E282&lt;&gt;"",$E282&lt;=W$2,$F282&gt;=W$2),1,0)</f>
        <v/>
      </c>
      <c r="X282">
        <f>X281+IF(AND($E282&lt;&gt;"",$E282&lt;=X$2,$F282&gt;=X$2),1,0)</f>
        <v/>
      </c>
      <c r="Y282">
        <f>Y281+IF(AND($E282&lt;&gt;"",$E282&lt;=Y$2,$F282&gt;=Y$2),1,0)</f>
        <v/>
      </c>
      <c r="Z282">
        <f>Z281+IF(AND($E282&lt;&gt;"",$E282&lt;=Z$2,$F282&gt;=Z$2),1,0)</f>
        <v/>
      </c>
      <c r="AA282">
        <f>AA281+IF(AND($E282&lt;&gt;"",$E282&lt;=AA$2,$F282&gt;=AA$2),1,0)</f>
        <v/>
      </c>
      <c r="AB282">
        <f>AB281+IF(AND($E282&lt;&gt;"",$E282&lt;=AB$2,$F282&gt;=AB$2),1,0)</f>
        <v/>
      </c>
      <c r="AC282">
        <f>AC281+IF(AND($E282&lt;&gt;"",$E282&lt;=AC$2,$F282&gt;=AC$2),1,0)</f>
        <v/>
      </c>
      <c r="AD282">
        <f>AD281+IF(AND($E282&lt;&gt;"",$E282&lt;=AD$2,$F282&gt;=AD$2),1,0)</f>
        <v/>
      </c>
      <c r="AE282">
        <f>AE281+IF(AND($E282&lt;&gt;"",$E282&lt;=AE$2,$F282&gt;=AE$2),1,0)</f>
        <v/>
      </c>
      <c r="AF282">
        <f>AF281+IF(AND($E282&lt;&gt;"",$E282&lt;=AF$2,$F282&gt;=AF$2),1,0)</f>
        <v/>
      </c>
      <c r="AG282">
        <f>AG281+IF(AND($E282&lt;&gt;"",$E282&lt;=AG$2,$F282&gt;=AG$2),1,0)</f>
        <v/>
      </c>
      <c r="AH282">
        <f>AH281+IF(AND($E282&lt;&gt;"",$E282&lt;=AH$2,$F282&gt;=AH$2),1,0)</f>
        <v/>
      </c>
      <c r="AI282">
        <f>AI281+IF(AND($E282&lt;&gt;"",$E282&lt;=AI$2,$F282&gt;=AI$2),1,0)</f>
        <v/>
      </c>
      <c r="AJ282">
        <f>AJ281+IF(AND($E282&lt;&gt;"",$E282&lt;=AJ$2,$F282&gt;=AJ$2),1,0)</f>
        <v/>
      </c>
      <c r="AK282">
        <f>AK281+IF(AND($E282&lt;&gt;"",$E282&lt;=AK$2,$F282&gt;=AK$2),1,0)</f>
        <v/>
      </c>
      <c r="AL282">
        <f>AL281+IF(AND($E282&lt;&gt;"",$E282&lt;=AL$2,$F282&gt;=AL$2),1,0)</f>
        <v/>
      </c>
      <c r="AM282">
        <f>AM281+IF(AND($E282&lt;&gt;"",$E282&lt;=AM$2,$F282&gt;=AM$2),1,0)</f>
        <v/>
      </c>
      <c r="AN282">
        <f>AN281+IF(AND($E282&lt;&gt;"",$E282&lt;=AN$2,$F282&gt;=AN$2),1,0)</f>
        <v/>
      </c>
      <c r="AO282">
        <f>AO281+IF(AND($E282&lt;&gt;"",$E282&lt;=AO$2,$F282&gt;=AO$2),1,0)</f>
        <v/>
      </c>
      <c r="AP282">
        <f>AP281+IF(AND($E282&lt;&gt;"",$E282&lt;=AP$2,$F282&gt;=AP$2),1,0)</f>
        <v/>
      </c>
      <c r="AQ282">
        <f>AQ281+IF(AND($E282&lt;&gt;"",$E282&lt;=AQ$2,$F282&gt;=AQ$2),1,0)</f>
        <v/>
      </c>
      <c r="AR282">
        <f>AR281+IF(AND($E282&lt;&gt;"",$E282&lt;=AR$2,$F282&gt;=AR$2),1,0)</f>
        <v/>
      </c>
      <c r="AS282">
        <f>AS281+IF(AND($E282&lt;&gt;"",$E282&lt;=AS$2,$F282&gt;=AS$2),1,0)</f>
        <v/>
      </c>
      <c r="AT282">
        <f>AT281+IF(AND($E282&lt;&gt;"",$E282&lt;=AT$2,$F282&gt;=AT$2),1,0)</f>
        <v/>
      </c>
      <c r="AU282">
        <f>AU281+IF(AND($E282&lt;&gt;"",$E282&lt;=AU$2,$F282&gt;=AU$2),1,0)</f>
        <v/>
      </c>
      <c r="AV282">
        <f>AV281+IF(AND($E282&lt;&gt;"",$E282&lt;=AV$2,$F282&gt;=AV$2),1,0)</f>
        <v/>
      </c>
      <c r="AW282">
        <f>AW281+IF(AND($E282&lt;&gt;"",$E282&lt;=AW$2,$F282&gt;=AW$2),1,0)</f>
        <v/>
      </c>
    </row>
    <row r="283">
      <c r="A283">
        <f>IF(AND(ISNUMBER(Events!$A285),ISNUMBER(Events!$B285)),MAX(0,Events!$B285-Events!$A285),0)</f>
        <v/>
      </c>
      <c r="B283">
        <f>IF(ISNUMBER(Events!$A285),DATE(YEAR($B$1)-1,MONTH(Events!$A285),DAY(Events!$A285)),"")</f>
        <v/>
      </c>
      <c r="C283">
        <f>IF(ISNUMBER(Events!$A285),DATE(YEAR($B$1),MONTH(Events!$A285),DAY(Events!$A285)),"")</f>
        <v/>
      </c>
      <c r="D283">
        <f>IF(ISNUMBER(Events!$A285),DATE(YEAR($B$2),MONTH(Events!$A285),DAY(Events!$A285)),"")</f>
        <v/>
      </c>
      <c r="E283">
        <f>IF(OR(NOT(ISNUMBER(Events!$A285)),Events!$G285="No",Calendar!$H$4="None"),"",IF(OR(Calendar!$H$4="All events",Events!$D285=Calendar!$H$4),IF(Events!$E285="Yes",IF(AND(B283&gt;=Events!$A285,B283&lt;=$B$2,B283+$A283&gt;=$B$1),B283,IF(AND(C283&gt;=Events!$A285,C283&lt;=$B$2,C283+$A283&gt;=$B$1),C283,IF(AND(D283&gt;=Events!$A285,D283&lt;=$B$2,D283+$A283&gt;=$B$1),D283,""))),IF(AND(Events!$A285&lt;=$B$2,Events!$A285+$A283&gt;=$B$1),Events!$A285,"")),""))</f>
        <v/>
      </c>
      <c r="F283">
        <f>IF(E283="","",E283+A283)</f>
        <v/>
      </c>
      <c r="G283">
        <f>IF(E283="","",IF(AND(E283&lt;=EOMONTH(Calendar!$K$2,0),F283&gt;=Calendar!$K$2),E283+280/100000,""))</f>
        <v/>
      </c>
      <c r="H283">
        <f>H282+IF(AND($E283&lt;&gt;"",$E283&lt;=H$2,$F283&gt;=H$2),1,0)</f>
        <v/>
      </c>
      <c r="I283">
        <f>I282+IF(AND($E283&lt;&gt;"",$E283&lt;=I$2,$F283&gt;=I$2),1,0)</f>
        <v/>
      </c>
      <c r="J283">
        <f>J282+IF(AND($E283&lt;&gt;"",$E283&lt;=J$2,$F283&gt;=J$2),1,0)</f>
        <v/>
      </c>
      <c r="K283">
        <f>K282+IF(AND($E283&lt;&gt;"",$E283&lt;=K$2,$F283&gt;=K$2),1,0)</f>
        <v/>
      </c>
      <c r="L283">
        <f>L282+IF(AND($E283&lt;&gt;"",$E283&lt;=L$2,$F283&gt;=L$2),1,0)</f>
        <v/>
      </c>
      <c r="M283">
        <f>M282+IF(AND($E283&lt;&gt;"",$E283&lt;=M$2,$F283&gt;=M$2),1,0)</f>
        <v/>
      </c>
      <c r="N283">
        <f>N282+IF(AND($E283&lt;&gt;"",$E283&lt;=N$2,$F283&gt;=N$2),1,0)</f>
        <v/>
      </c>
      <c r="O283">
        <f>O282+IF(AND($E283&lt;&gt;"",$E283&lt;=O$2,$F283&gt;=O$2),1,0)</f>
        <v/>
      </c>
      <c r="P283">
        <f>P282+IF(AND($E283&lt;&gt;"",$E283&lt;=P$2,$F283&gt;=P$2),1,0)</f>
        <v/>
      </c>
      <c r="Q283">
        <f>Q282+IF(AND($E283&lt;&gt;"",$E283&lt;=Q$2,$F283&gt;=Q$2),1,0)</f>
        <v/>
      </c>
      <c r="R283">
        <f>R282+IF(AND($E283&lt;&gt;"",$E283&lt;=R$2,$F283&gt;=R$2),1,0)</f>
        <v/>
      </c>
      <c r="S283">
        <f>S282+IF(AND($E283&lt;&gt;"",$E283&lt;=S$2,$F283&gt;=S$2),1,0)</f>
        <v/>
      </c>
      <c r="T283">
        <f>T282+IF(AND($E283&lt;&gt;"",$E283&lt;=T$2,$F283&gt;=T$2),1,0)</f>
        <v/>
      </c>
      <c r="U283">
        <f>U282+IF(AND($E283&lt;&gt;"",$E283&lt;=U$2,$F283&gt;=U$2),1,0)</f>
        <v/>
      </c>
      <c r="V283">
        <f>V282+IF(AND($E283&lt;&gt;"",$E283&lt;=V$2,$F283&gt;=V$2),1,0)</f>
        <v/>
      </c>
      <c r="W283">
        <f>W282+IF(AND($E283&lt;&gt;"",$E283&lt;=W$2,$F283&gt;=W$2),1,0)</f>
        <v/>
      </c>
      <c r="X283">
        <f>X282+IF(AND($E283&lt;&gt;"",$E283&lt;=X$2,$F283&gt;=X$2),1,0)</f>
        <v/>
      </c>
      <c r="Y283">
        <f>Y282+IF(AND($E283&lt;&gt;"",$E283&lt;=Y$2,$F283&gt;=Y$2),1,0)</f>
        <v/>
      </c>
      <c r="Z283">
        <f>Z282+IF(AND($E283&lt;&gt;"",$E283&lt;=Z$2,$F283&gt;=Z$2),1,0)</f>
        <v/>
      </c>
      <c r="AA283">
        <f>AA282+IF(AND($E283&lt;&gt;"",$E283&lt;=AA$2,$F283&gt;=AA$2),1,0)</f>
        <v/>
      </c>
      <c r="AB283">
        <f>AB282+IF(AND($E283&lt;&gt;"",$E283&lt;=AB$2,$F283&gt;=AB$2),1,0)</f>
        <v/>
      </c>
      <c r="AC283">
        <f>AC282+IF(AND($E283&lt;&gt;"",$E283&lt;=AC$2,$F283&gt;=AC$2),1,0)</f>
        <v/>
      </c>
      <c r="AD283">
        <f>AD282+IF(AND($E283&lt;&gt;"",$E283&lt;=AD$2,$F283&gt;=AD$2),1,0)</f>
        <v/>
      </c>
      <c r="AE283">
        <f>AE282+IF(AND($E283&lt;&gt;"",$E283&lt;=AE$2,$F283&gt;=AE$2),1,0)</f>
        <v/>
      </c>
      <c r="AF283">
        <f>AF282+IF(AND($E283&lt;&gt;"",$E283&lt;=AF$2,$F283&gt;=AF$2),1,0)</f>
        <v/>
      </c>
      <c r="AG283">
        <f>AG282+IF(AND($E283&lt;&gt;"",$E283&lt;=AG$2,$F283&gt;=AG$2),1,0)</f>
        <v/>
      </c>
      <c r="AH283">
        <f>AH282+IF(AND($E283&lt;&gt;"",$E283&lt;=AH$2,$F283&gt;=AH$2),1,0)</f>
        <v/>
      </c>
      <c r="AI283">
        <f>AI282+IF(AND($E283&lt;&gt;"",$E283&lt;=AI$2,$F283&gt;=AI$2),1,0)</f>
        <v/>
      </c>
      <c r="AJ283">
        <f>AJ282+IF(AND($E283&lt;&gt;"",$E283&lt;=AJ$2,$F283&gt;=AJ$2),1,0)</f>
        <v/>
      </c>
      <c r="AK283">
        <f>AK282+IF(AND($E283&lt;&gt;"",$E283&lt;=AK$2,$F283&gt;=AK$2),1,0)</f>
        <v/>
      </c>
      <c r="AL283">
        <f>AL282+IF(AND($E283&lt;&gt;"",$E283&lt;=AL$2,$F283&gt;=AL$2),1,0)</f>
        <v/>
      </c>
      <c r="AM283">
        <f>AM282+IF(AND($E283&lt;&gt;"",$E283&lt;=AM$2,$F283&gt;=AM$2),1,0)</f>
        <v/>
      </c>
      <c r="AN283">
        <f>AN282+IF(AND($E283&lt;&gt;"",$E283&lt;=AN$2,$F283&gt;=AN$2),1,0)</f>
        <v/>
      </c>
      <c r="AO283">
        <f>AO282+IF(AND($E283&lt;&gt;"",$E283&lt;=AO$2,$F283&gt;=AO$2),1,0)</f>
        <v/>
      </c>
      <c r="AP283">
        <f>AP282+IF(AND($E283&lt;&gt;"",$E283&lt;=AP$2,$F283&gt;=AP$2),1,0)</f>
        <v/>
      </c>
      <c r="AQ283">
        <f>AQ282+IF(AND($E283&lt;&gt;"",$E283&lt;=AQ$2,$F283&gt;=AQ$2),1,0)</f>
        <v/>
      </c>
      <c r="AR283">
        <f>AR282+IF(AND($E283&lt;&gt;"",$E283&lt;=AR$2,$F283&gt;=AR$2),1,0)</f>
        <v/>
      </c>
      <c r="AS283">
        <f>AS282+IF(AND($E283&lt;&gt;"",$E283&lt;=AS$2,$F283&gt;=AS$2),1,0)</f>
        <v/>
      </c>
      <c r="AT283">
        <f>AT282+IF(AND($E283&lt;&gt;"",$E283&lt;=AT$2,$F283&gt;=AT$2),1,0)</f>
        <v/>
      </c>
      <c r="AU283">
        <f>AU282+IF(AND($E283&lt;&gt;"",$E283&lt;=AU$2,$F283&gt;=AU$2),1,0)</f>
        <v/>
      </c>
      <c r="AV283">
        <f>AV282+IF(AND($E283&lt;&gt;"",$E283&lt;=AV$2,$F283&gt;=AV$2),1,0)</f>
        <v/>
      </c>
      <c r="AW283">
        <f>AW282+IF(AND($E283&lt;&gt;"",$E283&lt;=AW$2,$F283&gt;=AW$2),1,0)</f>
        <v/>
      </c>
    </row>
    <row r="284">
      <c r="A284">
        <f>IF(AND(ISNUMBER(Events!$A286),ISNUMBER(Events!$B286)),MAX(0,Events!$B286-Events!$A286),0)</f>
        <v/>
      </c>
      <c r="B284">
        <f>IF(ISNUMBER(Events!$A286),DATE(YEAR($B$1)-1,MONTH(Events!$A286),DAY(Events!$A286)),"")</f>
        <v/>
      </c>
      <c r="C284">
        <f>IF(ISNUMBER(Events!$A286),DATE(YEAR($B$1),MONTH(Events!$A286),DAY(Events!$A286)),"")</f>
        <v/>
      </c>
      <c r="D284">
        <f>IF(ISNUMBER(Events!$A286),DATE(YEAR($B$2),MONTH(Events!$A286),DAY(Events!$A286)),"")</f>
        <v/>
      </c>
      <c r="E284">
        <f>IF(OR(NOT(ISNUMBER(Events!$A286)),Events!$G286="No",Calendar!$H$4="None"),"",IF(OR(Calendar!$H$4="All events",Events!$D286=Calendar!$H$4),IF(Events!$E286="Yes",IF(AND(B284&gt;=Events!$A286,B284&lt;=$B$2,B284+$A284&gt;=$B$1),B284,IF(AND(C284&gt;=Events!$A286,C284&lt;=$B$2,C284+$A284&gt;=$B$1),C284,IF(AND(D284&gt;=Events!$A286,D284&lt;=$B$2,D284+$A284&gt;=$B$1),D284,""))),IF(AND(Events!$A286&lt;=$B$2,Events!$A286+$A284&gt;=$B$1),Events!$A286,"")),""))</f>
        <v/>
      </c>
      <c r="F284">
        <f>IF(E284="","",E284+A284)</f>
        <v/>
      </c>
      <c r="G284">
        <f>IF(E284="","",IF(AND(E284&lt;=EOMONTH(Calendar!$K$2,0),F284&gt;=Calendar!$K$2),E284+281/100000,""))</f>
        <v/>
      </c>
      <c r="H284">
        <f>H283+IF(AND($E284&lt;&gt;"",$E284&lt;=H$2,$F284&gt;=H$2),1,0)</f>
        <v/>
      </c>
      <c r="I284">
        <f>I283+IF(AND($E284&lt;&gt;"",$E284&lt;=I$2,$F284&gt;=I$2),1,0)</f>
        <v/>
      </c>
      <c r="J284">
        <f>J283+IF(AND($E284&lt;&gt;"",$E284&lt;=J$2,$F284&gt;=J$2),1,0)</f>
        <v/>
      </c>
      <c r="K284">
        <f>K283+IF(AND($E284&lt;&gt;"",$E284&lt;=K$2,$F284&gt;=K$2),1,0)</f>
        <v/>
      </c>
      <c r="L284">
        <f>L283+IF(AND($E284&lt;&gt;"",$E284&lt;=L$2,$F284&gt;=L$2),1,0)</f>
        <v/>
      </c>
      <c r="M284">
        <f>M283+IF(AND($E284&lt;&gt;"",$E284&lt;=M$2,$F284&gt;=M$2),1,0)</f>
        <v/>
      </c>
      <c r="N284">
        <f>N283+IF(AND($E284&lt;&gt;"",$E284&lt;=N$2,$F284&gt;=N$2),1,0)</f>
        <v/>
      </c>
      <c r="O284">
        <f>O283+IF(AND($E284&lt;&gt;"",$E284&lt;=O$2,$F284&gt;=O$2),1,0)</f>
        <v/>
      </c>
      <c r="P284">
        <f>P283+IF(AND($E284&lt;&gt;"",$E284&lt;=P$2,$F284&gt;=P$2),1,0)</f>
        <v/>
      </c>
      <c r="Q284">
        <f>Q283+IF(AND($E284&lt;&gt;"",$E284&lt;=Q$2,$F284&gt;=Q$2),1,0)</f>
        <v/>
      </c>
      <c r="R284">
        <f>R283+IF(AND($E284&lt;&gt;"",$E284&lt;=R$2,$F284&gt;=R$2),1,0)</f>
        <v/>
      </c>
      <c r="S284">
        <f>S283+IF(AND($E284&lt;&gt;"",$E284&lt;=S$2,$F284&gt;=S$2),1,0)</f>
        <v/>
      </c>
      <c r="T284">
        <f>T283+IF(AND($E284&lt;&gt;"",$E284&lt;=T$2,$F284&gt;=T$2),1,0)</f>
        <v/>
      </c>
      <c r="U284">
        <f>U283+IF(AND($E284&lt;&gt;"",$E284&lt;=U$2,$F284&gt;=U$2),1,0)</f>
        <v/>
      </c>
      <c r="V284">
        <f>V283+IF(AND($E284&lt;&gt;"",$E284&lt;=V$2,$F284&gt;=V$2),1,0)</f>
        <v/>
      </c>
      <c r="W284">
        <f>W283+IF(AND($E284&lt;&gt;"",$E284&lt;=W$2,$F284&gt;=W$2),1,0)</f>
        <v/>
      </c>
      <c r="X284">
        <f>X283+IF(AND($E284&lt;&gt;"",$E284&lt;=X$2,$F284&gt;=X$2),1,0)</f>
        <v/>
      </c>
      <c r="Y284">
        <f>Y283+IF(AND($E284&lt;&gt;"",$E284&lt;=Y$2,$F284&gt;=Y$2),1,0)</f>
        <v/>
      </c>
      <c r="Z284">
        <f>Z283+IF(AND($E284&lt;&gt;"",$E284&lt;=Z$2,$F284&gt;=Z$2),1,0)</f>
        <v/>
      </c>
      <c r="AA284">
        <f>AA283+IF(AND($E284&lt;&gt;"",$E284&lt;=AA$2,$F284&gt;=AA$2),1,0)</f>
        <v/>
      </c>
      <c r="AB284">
        <f>AB283+IF(AND($E284&lt;&gt;"",$E284&lt;=AB$2,$F284&gt;=AB$2),1,0)</f>
        <v/>
      </c>
      <c r="AC284">
        <f>AC283+IF(AND($E284&lt;&gt;"",$E284&lt;=AC$2,$F284&gt;=AC$2),1,0)</f>
        <v/>
      </c>
      <c r="AD284">
        <f>AD283+IF(AND($E284&lt;&gt;"",$E284&lt;=AD$2,$F284&gt;=AD$2),1,0)</f>
        <v/>
      </c>
      <c r="AE284">
        <f>AE283+IF(AND($E284&lt;&gt;"",$E284&lt;=AE$2,$F284&gt;=AE$2),1,0)</f>
        <v/>
      </c>
      <c r="AF284">
        <f>AF283+IF(AND($E284&lt;&gt;"",$E284&lt;=AF$2,$F284&gt;=AF$2),1,0)</f>
        <v/>
      </c>
      <c r="AG284">
        <f>AG283+IF(AND($E284&lt;&gt;"",$E284&lt;=AG$2,$F284&gt;=AG$2),1,0)</f>
        <v/>
      </c>
      <c r="AH284">
        <f>AH283+IF(AND($E284&lt;&gt;"",$E284&lt;=AH$2,$F284&gt;=AH$2),1,0)</f>
        <v/>
      </c>
      <c r="AI284">
        <f>AI283+IF(AND($E284&lt;&gt;"",$E284&lt;=AI$2,$F284&gt;=AI$2),1,0)</f>
        <v/>
      </c>
      <c r="AJ284">
        <f>AJ283+IF(AND($E284&lt;&gt;"",$E284&lt;=AJ$2,$F284&gt;=AJ$2),1,0)</f>
        <v/>
      </c>
      <c r="AK284">
        <f>AK283+IF(AND($E284&lt;&gt;"",$E284&lt;=AK$2,$F284&gt;=AK$2),1,0)</f>
        <v/>
      </c>
      <c r="AL284">
        <f>AL283+IF(AND($E284&lt;&gt;"",$E284&lt;=AL$2,$F284&gt;=AL$2),1,0)</f>
        <v/>
      </c>
      <c r="AM284">
        <f>AM283+IF(AND($E284&lt;&gt;"",$E284&lt;=AM$2,$F284&gt;=AM$2),1,0)</f>
        <v/>
      </c>
      <c r="AN284">
        <f>AN283+IF(AND($E284&lt;&gt;"",$E284&lt;=AN$2,$F284&gt;=AN$2),1,0)</f>
        <v/>
      </c>
      <c r="AO284">
        <f>AO283+IF(AND($E284&lt;&gt;"",$E284&lt;=AO$2,$F284&gt;=AO$2),1,0)</f>
        <v/>
      </c>
      <c r="AP284">
        <f>AP283+IF(AND($E284&lt;&gt;"",$E284&lt;=AP$2,$F284&gt;=AP$2),1,0)</f>
        <v/>
      </c>
      <c r="AQ284">
        <f>AQ283+IF(AND($E284&lt;&gt;"",$E284&lt;=AQ$2,$F284&gt;=AQ$2),1,0)</f>
        <v/>
      </c>
      <c r="AR284">
        <f>AR283+IF(AND($E284&lt;&gt;"",$E284&lt;=AR$2,$F284&gt;=AR$2),1,0)</f>
        <v/>
      </c>
      <c r="AS284">
        <f>AS283+IF(AND($E284&lt;&gt;"",$E284&lt;=AS$2,$F284&gt;=AS$2),1,0)</f>
        <v/>
      </c>
      <c r="AT284">
        <f>AT283+IF(AND($E284&lt;&gt;"",$E284&lt;=AT$2,$F284&gt;=AT$2),1,0)</f>
        <v/>
      </c>
      <c r="AU284">
        <f>AU283+IF(AND($E284&lt;&gt;"",$E284&lt;=AU$2,$F284&gt;=AU$2),1,0)</f>
        <v/>
      </c>
      <c r="AV284">
        <f>AV283+IF(AND($E284&lt;&gt;"",$E284&lt;=AV$2,$F284&gt;=AV$2),1,0)</f>
        <v/>
      </c>
      <c r="AW284">
        <f>AW283+IF(AND($E284&lt;&gt;"",$E284&lt;=AW$2,$F284&gt;=AW$2),1,0)</f>
        <v/>
      </c>
    </row>
    <row r="285">
      <c r="A285">
        <f>IF(AND(ISNUMBER(Events!$A287),ISNUMBER(Events!$B287)),MAX(0,Events!$B287-Events!$A287),0)</f>
        <v/>
      </c>
      <c r="B285">
        <f>IF(ISNUMBER(Events!$A287),DATE(YEAR($B$1)-1,MONTH(Events!$A287),DAY(Events!$A287)),"")</f>
        <v/>
      </c>
      <c r="C285">
        <f>IF(ISNUMBER(Events!$A287),DATE(YEAR($B$1),MONTH(Events!$A287),DAY(Events!$A287)),"")</f>
        <v/>
      </c>
      <c r="D285">
        <f>IF(ISNUMBER(Events!$A287),DATE(YEAR($B$2),MONTH(Events!$A287),DAY(Events!$A287)),"")</f>
        <v/>
      </c>
      <c r="E285">
        <f>IF(OR(NOT(ISNUMBER(Events!$A287)),Events!$G287="No",Calendar!$H$4="None"),"",IF(OR(Calendar!$H$4="All events",Events!$D287=Calendar!$H$4),IF(Events!$E287="Yes",IF(AND(B285&gt;=Events!$A287,B285&lt;=$B$2,B285+$A285&gt;=$B$1),B285,IF(AND(C285&gt;=Events!$A287,C285&lt;=$B$2,C285+$A285&gt;=$B$1),C285,IF(AND(D285&gt;=Events!$A287,D285&lt;=$B$2,D285+$A285&gt;=$B$1),D285,""))),IF(AND(Events!$A287&lt;=$B$2,Events!$A287+$A285&gt;=$B$1),Events!$A287,"")),""))</f>
        <v/>
      </c>
      <c r="F285">
        <f>IF(E285="","",E285+A285)</f>
        <v/>
      </c>
      <c r="G285">
        <f>IF(E285="","",IF(AND(E285&lt;=EOMONTH(Calendar!$K$2,0),F285&gt;=Calendar!$K$2),E285+282/100000,""))</f>
        <v/>
      </c>
      <c r="H285">
        <f>H284+IF(AND($E285&lt;&gt;"",$E285&lt;=H$2,$F285&gt;=H$2),1,0)</f>
        <v/>
      </c>
      <c r="I285">
        <f>I284+IF(AND($E285&lt;&gt;"",$E285&lt;=I$2,$F285&gt;=I$2),1,0)</f>
        <v/>
      </c>
      <c r="J285">
        <f>J284+IF(AND($E285&lt;&gt;"",$E285&lt;=J$2,$F285&gt;=J$2),1,0)</f>
        <v/>
      </c>
      <c r="K285">
        <f>K284+IF(AND($E285&lt;&gt;"",$E285&lt;=K$2,$F285&gt;=K$2),1,0)</f>
        <v/>
      </c>
      <c r="L285">
        <f>L284+IF(AND($E285&lt;&gt;"",$E285&lt;=L$2,$F285&gt;=L$2),1,0)</f>
        <v/>
      </c>
      <c r="M285">
        <f>M284+IF(AND($E285&lt;&gt;"",$E285&lt;=M$2,$F285&gt;=M$2),1,0)</f>
        <v/>
      </c>
      <c r="N285">
        <f>N284+IF(AND($E285&lt;&gt;"",$E285&lt;=N$2,$F285&gt;=N$2),1,0)</f>
        <v/>
      </c>
      <c r="O285">
        <f>O284+IF(AND($E285&lt;&gt;"",$E285&lt;=O$2,$F285&gt;=O$2),1,0)</f>
        <v/>
      </c>
      <c r="P285">
        <f>P284+IF(AND($E285&lt;&gt;"",$E285&lt;=P$2,$F285&gt;=P$2),1,0)</f>
        <v/>
      </c>
      <c r="Q285">
        <f>Q284+IF(AND($E285&lt;&gt;"",$E285&lt;=Q$2,$F285&gt;=Q$2),1,0)</f>
        <v/>
      </c>
      <c r="R285">
        <f>R284+IF(AND($E285&lt;&gt;"",$E285&lt;=R$2,$F285&gt;=R$2),1,0)</f>
        <v/>
      </c>
      <c r="S285">
        <f>S284+IF(AND($E285&lt;&gt;"",$E285&lt;=S$2,$F285&gt;=S$2),1,0)</f>
        <v/>
      </c>
      <c r="T285">
        <f>T284+IF(AND($E285&lt;&gt;"",$E285&lt;=T$2,$F285&gt;=T$2),1,0)</f>
        <v/>
      </c>
      <c r="U285">
        <f>U284+IF(AND($E285&lt;&gt;"",$E285&lt;=U$2,$F285&gt;=U$2),1,0)</f>
        <v/>
      </c>
      <c r="V285">
        <f>V284+IF(AND($E285&lt;&gt;"",$E285&lt;=V$2,$F285&gt;=V$2),1,0)</f>
        <v/>
      </c>
      <c r="W285">
        <f>W284+IF(AND($E285&lt;&gt;"",$E285&lt;=W$2,$F285&gt;=W$2),1,0)</f>
        <v/>
      </c>
      <c r="X285">
        <f>X284+IF(AND($E285&lt;&gt;"",$E285&lt;=X$2,$F285&gt;=X$2),1,0)</f>
        <v/>
      </c>
      <c r="Y285">
        <f>Y284+IF(AND($E285&lt;&gt;"",$E285&lt;=Y$2,$F285&gt;=Y$2),1,0)</f>
        <v/>
      </c>
      <c r="Z285">
        <f>Z284+IF(AND($E285&lt;&gt;"",$E285&lt;=Z$2,$F285&gt;=Z$2),1,0)</f>
        <v/>
      </c>
      <c r="AA285">
        <f>AA284+IF(AND($E285&lt;&gt;"",$E285&lt;=AA$2,$F285&gt;=AA$2),1,0)</f>
        <v/>
      </c>
      <c r="AB285">
        <f>AB284+IF(AND($E285&lt;&gt;"",$E285&lt;=AB$2,$F285&gt;=AB$2),1,0)</f>
        <v/>
      </c>
      <c r="AC285">
        <f>AC284+IF(AND($E285&lt;&gt;"",$E285&lt;=AC$2,$F285&gt;=AC$2),1,0)</f>
        <v/>
      </c>
      <c r="AD285">
        <f>AD284+IF(AND($E285&lt;&gt;"",$E285&lt;=AD$2,$F285&gt;=AD$2),1,0)</f>
        <v/>
      </c>
      <c r="AE285">
        <f>AE284+IF(AND($E285&lt;&gt;"",$E285&lt;=AE$2,$F285&gt;=AE$2),1,0)</f>
        <v/>
      </c>
      <c r="AF285">
        <f>AF284+IF(AND($E285&lt;&gt;"",$E285&lt;=AF$2,$F285&gt;=AF$2),1,0)</f>
        <v/>
      </c>
      <c r="AG285">
        <f>AG284+IF(AND($E285&lt;&gt;"",$E285&lt;=AG$2,$F285&gt;=AG$2),1,0)</f>
        <v/>
      </c>
      <c r="AH285">
        <f>AH284+IF(AND($E285&lt;&gt;"",$E285&lt;=AH$2,$F285&gt;=AH$2),1,0)</f>
        <v/>
      </c>
      <c r="AI285">
        <f>AI284+IF(AND($E285&lt;&gt;"",$E285&lt;=AI$2,$F285&gt;=AI$2),1,0)</f>
        <v/>
      </c>
      <c r="AJ285">
        <f>AJ284+IF(AND($E285&lt;&gt;"",$E285&lt;=AJ$2,$F285&gt;=AJ$2),1,0)</f>
        <v/>
      </c>
      <c r="AK285">
        <f>AK284+IF(AND($E285&lt;&gt;"",$E285&lt;=AK$2,$F285&gt;=AK$2),1,0)</f>
        <v/>
      </c>
      <c r="AL285">
        <f>AL284+IF(AND($E285&lt;&gt;"",$E285&lt;=AL$2,$F285&gt;=AL$2),1,0)</f>
        <v/>
      </c>
      <c r="AM285">
        <f>AM284+IF(AND($E285&lt;&gt;"",$E285&lt;=AM$2,$F285&gt;=AM$2),1,0)</f>
        <v/>
      </c>
      <c r="AN285">
        <f>AN284+IF(AND($E285&lt;&gt;"",$E285&lt;=AN$2,$F285&gt;=AN$2),1,0)</f>
        <v/>
      </c>
      <c r="AO285">
        <f>AO284+IF(AND($E285&lt;&gt;"",$E285&lt;=AO$2,$F285&gt;=AO$2),1,0)</f>
        <v/>
      </c>
      <c r="AP285">
        <f>AP284+IF(AND($E285&lt;&gt;"",$E285&lt;=AP$2,$F285&gt;=AP$2),1,0)</f>
        <v/>
      </c>
      <c r="AQ285">
        <f>AQ284+IF(AND($E285&lt;&gt;"",$E285&lt;=AQ$2,$F285&gt;=AQ$2),1,0)</f>
        <v/>
      </c>
      <c r="AR285">
        <f>AR284+IF(AND($E285&lt;&gt;"",$E285&lt;=AR$2,$F285&gt;=AR$2),1,0)</f>
        <v/>
      </c>
      <c r="AS285">
        <f>AS284+IF(AND($E285&lt;&gt;"",$E285&lt;=AS$2,$F285&gt;=AS$2),1,0)</f>
        <v/>
      </c>
      <c r="AT285">
        <f>AT284+IF(AND($E285&lt;&gt;"",$E285&lt;=AT$2,$F285&gt;=AT$2),1,0)</f>
        <v/>
      </c>
      <c r="AU285">
        <f>AU284+IF(AND($E285&lt;&gt;"",$E285&lt;=AU$2,$F285&gt;=AU$2),1,0)</f>
        <v/>
      </c>
      <c r="AV285">
        <f>AV284+IF(AND($E285&lt;&gt;"",$E285&lt;=AV$2,$F285&gt;=AV$2),1,0)</f>
        <v/>
      </c>
      <c r="AW285">
        <f>AW284+IF(AND($E285&lt;&gt;"",$E285&lt;=AW$2,$F285&gt;=AW$2),1,0)</f>
        <v/>
      </c>
    </row>
    <row r="286">
      <c r="A286">
        <f>IF(AND(ISNUMBER(Events!$A288),ISNUMBER(Events!$B288)),MAX(0,Events!$B288-Events!$A288),0)</f>
        <v/>
      </c>
      <c r="B286">
        <f>IF(ISNUMBER(Events!$A288),DATE(YEAR($B$1)-1,MONTH(Events!$A288),DAY(Events!$A288)),"")</f>
        <v/>
      </c>
      <c r="C286">
        <f>IF(ISNUMBER(Events!$A288),DATE(YEAR($B$1),MONTH(Events!$A288),DAY(Events!$A288)),"")</f>
        <v/>
      </c>
      <c r="D286">
        <f>IF(ISNUMBER(Events!$A288),DATE(YEAR($B$2),MONTH(Events!$A288),DAY(Events!$A288)),"")</f>
        <v/>
      </c>
      <c r="E286">
        <f>IF(OR(NOT(ISNUMBER(Events!$A288)),Events!$G288="No",Calendar!$H$4="None"),"",IF(OR(Calendar!$H$4="All events",Events!$D288=Calendar!$H$4),IF(Events!$E288="Yes",IF(AND(B286&gt;=Events!$A288,B286&lt;=$B$2,B286+$A286&gt;=$B$1),B286,IF(AND(C286&gt;=Events!$A288,C286&lt;=$B$2,C286+$A286&gt;=$B$1),C286,IF(AND(D286&gt;=Events!$A288,D286&lt;=$B$2,D286+$A286&gt;=$B$1),D286,""))),IF(AND(Events!$A288&lt;=$B$2,Events!$A288+$A286&gt;=$B$1),Events!$A288,"")),""))</f>
        <v/>
      </c>
      <c r="F286">
        <f>IF(E286="","",E286+A286)</f>
        <v/>
      </c>
      <c r="G286">
        <f>IF(E286="","",IF(AND(E286&lt;=EOMONTH(Calendar!$K$2,0),F286&gt;=Calendar!$K$2),E286+283/100000,""))</f>
        <v/>
      </c>
      <c r="H286">
        <f>H285+IF(AND($E286&lt;&gt;"",$E286&lt;=H$2,$F286&gt;=H$2),1,0)</f>
        <v/>
      </c>
      <c r="I286">
        <f>I285+IF(AND($E286&lt;&gt;"",$E286&lt;=I$2,$F286&gt;=I$2),1,0)</f>
        <v/>
      </c>
      <c r="J286">
        <f>J285+IF(AND($E286&lt;&gt;"",$E286&lt;=J$2,$F286&gt;=J$2),1,0)</f>
        <v/>
      </c>
      <c r="K286">
        <f>K285+IF(AND($E286&lt;&gt;"",$E286&lt;=K$2,$F286&gt;=K$2),1,0)</f>
        <v/>
      </c>
      <c r="L286">
        <f>L285+IF(AND($E286&lt;&gt;"",$E286&lt;=L$2,$F286&gt;=L$2),1,0)</f>
        <v/>
      </c>
      <c r="M286">
        <f>M285+IF(AND($E286&lt;&gt;"",$E286&lt;=M$2,$F286&gt;=M$2),1,0)</f>
        <v/>
      </c>
      <c r="N286">
        <f>N285+IF(AND($E286&lt;&gt;"",$E286&lt;=N$2,$F286&gt;=N$2),1,0)</f>
        <v/>
      </c>
      <c r="O286">
        <f>O285+IF(AND($E286&lt;&gt;"",$E286&lt;=O$2,$F286&gt;=O$2),1,0)</f>
        <v/>
      </c>
      <c r="P286">
        <f>P285+IF(AND($E286&lt;&gt;"",$E286&lt;=P$2,$F286&gt;=P$2),1,0)</f>
        <v/>
      </c>
      <c r="Q286">
        <f>Q285+IF(AND($E286&lt;&gt;"",$E286&lt;=Q$2,$F286&gt;=Q$2),1,0)</f>
        <v/>
      </c>
      <c r="R286">
        <f>R285+IF(AND($E286&lt;&gt;"",$E286&lt;=R$2,$F286&gt;=R$2),1,0)</f>
        <v/>
      </c>
      <c r="S286">
        <f>S285+IF(AND($E286&lt;&gt;"",$E286&lt;=S$2,$F286&gt;=S$2),1,0)</f>
        <v/>
      </c>
      <c r="T286">
        <f>T285+IF(AND($E286&lt;&gt;"",$E286&lt;=T$2,$F286&gt;=T$2),1,0)</f>
        <v/>
      </c>
      <c r="U286">
        <f>U285+IF(AND($E286&lt;&gt;"",$E286&lt;=U$2,$F286&gt;=U$2),1,0)</f>
        <v/>
      </c>
      <c r="V286">
        <f>V285+IF(AND($E286&lt;&gt;"",$E286&lt;=V$2,$F286&gt;=V$2),1,0)</f>
        <v/>
      </c>
      <c r="W286">
        <f>W285+IF(AND($E286&lt;&gt;"",$E286&lt;=W$2,$F286&gt;=W$2),1,0)</f>
        <v/>
      </c>
      <c r="X286">
        <f>X285+IF(AND($E286&lt;&gt;"",$E286&lt;=X$2,$F286&gt;=X$2),1,0)</f>
        <v/>
      </c>
      <c r="Y286">
        <f>Y285+IF(AND($E286&lt;&gt;"",$E286&lt;=Y$2,$F286&gt;=Y$2),1,0)</f>
        <v/>
      </c>
      <c r="Z286">
        <f>Z285+IF(AND($E286&lt;&gt;"",$E286&lt;=Z$2,$F286&gt;=Z$2),1,0)</f>
        <v/>
      </c>
      <c r="AA286">
        <f>AA285+IF(AND($E286&lt;&gt;"",$E286&lt;=AA$2,$F286&gt;=AA$2),1,0)</f>
        <v/>
      </c>
      <c r="AB286">
        <f>AB285+IF(AND($E286&lt;&gt;"",$E286&lt;=AB$2,$F286&gt;=AB$2),1,0)</f>
        <v/>
      </c>
      <c r="AC286">
        <f>AC285+IF(AND($E286&lt;&gt;"",$E286&lt;=AC$2,$F286&gt;=AC$2),1,0)</f>
        <v/>
      </c>
      <c r="AD286">
        <f>AD285+IF(AND($E286&lt;&gt;"",$E286&lt;=AD$2,$F286&gt;=AD$2),1,0)</f>
        <v/>
      </c>
      <c r="AE286">
        <f>AE285+IF(AND($E286&lt;&gt;"",$E286&lt;=AE$2,$F286&gt;=AE$2),1,0)</f>
        <v/>
      </c>
      <c r="AF286">
        <f>AF285+IF(AND($E286&lt;&gt;"",$E286&lt;=AF$2,$F286&gt;=AF$2),1,0)</f>
        <v/>
      </c>
      <c r="AG286">
        <f>AG285+IF(AND($E286&lt;&gt;"",$E286&lt;=AG$2,$F286&gt;=AG$2),1,0)</f>
        <v/>
      </c>
      <c r="AH286">
        <f>AH285+IF(AND($E286&lt;&gt;"",$E286&lt;=AH$2,$F286&gt;=AH$2),1,0)</f>
        <v/>
      </c>
      <c r="AI286">
        <f>AI285+IF(AND($E286&lt;&gt;"",$E286&lt;=AI$2,$F286&gt;=AI$2),1,0)</f>
        <v/>
      </c>
      <c r="AJ286">
        <f>AJ285+IF(AND($E286&lt;&gt;"",$E286&lt;=AJ$2,$F286&gt;=AJ$2),1,0)</f>
        <v/>
      </c>
      <c r="AK286">
        <f>AK285+IF(AND($E286&lt;&gt;"",$E286&lt;=AK$2,$F286&gt;=AK$2),1,0)</f>
        <v/>
      </c>
      <c r="AL286">
        <f>AL285+IF(AND($E286&lt;&gt;"",$E286&lt;=AL$2,$F286&gt;=AL$2),1,0)</f>
        <v/>
      </c>
      <c r="AM286">
        <f>AM285+IF(AND($E286&lt;&gt;"",$E286&lt;=AM$2,$F286&gt;=AM$2),1,0)</f>
        <v/>
      </c>
      <c r="AN286">
        <f>AN285+IF(AND($E286&lt;&gt;"",$E286&lt;=AN$2,$F286&gt;=AN$2),1,0)</f>
        <v/>
      </c>
      <c r="AO286">
        <f>AO285+IF(AND($E286&lt;&gt;"",$E286&lt;=AO$2,$F286&gt;=AO$2),1,0)</f>
        <v/>
      </c>
      <c r="AP286">
        <f>AP285+IF(AND($E286&lt;&gt;"",$E286&lt;=AP$2,$F286&gt;=AP$2),1,0)</f>
        <v/>
      </c>
      <c r="AQ286">
        <f>AQ285+IF(AND($E286&lt;&gt;"",$E286&lt;=AQ$2,$F286&gt;=AQ$2),1,0)</f>
        <v/>
      </c>
      <c r="AR286">
        <f>AR285+IF(AND($E286&lt;&gt;"",$E286&lt;=AR$2,$F286&gt;=AR$2),1,0)</f>
        <v/>
      </c>
      <c r="AS286">
        <f>AS285+IF(AND($E286&lt;&gt;"",$E286&lt;=AS$2,$F286&gt;=AS$2),1,0)</f>
        <v/>
      </c>
      <c r="AT286">
        <f>AT285+IF(AND($E286&lt;&gt;"",$E286&lt;=AT$2,$F286&gt;=AT$2),1,0)</f>
        <v/>
      </c>
      <c r="AU286">
        <f>AU285+IF(AND($E286&lt;&gt;"",$E286&lt;=AU$2,$F286&gt;=AU$2),1,0)</f>
        <v/>
      </c>
      <c r="AV286">
        <f>AV285+IF(AND($E286&lt;&gt;"",$E286&lt;=AV$2,$F286&gt;=AV$2),1,0)</f>
        <v/>
      </c>
      <c r="AW286">
        <f>AW285+IF(AND($E286&lt;&gt;"",$E286&lt;=AW$2,$F286&gt;=AW$2),1,0)</f>
        <v/>
      </c>
    </row>
    <row r="287">
      <c r="A287">
        <f>IF(AND(ISNUMBER(Events!$A289),ISNUMBER(Events!$B289)),MAX(0,Events!$B289-Events!$A289),0)</f>
        <v/>
      </c>
      <c r="B287">
        <f>IF(ISNUMBER(Events!$A289),DATE(YEAR($B$1)-1,MONTH(Events!$A289),DAY(Events!$A289)),"")</f>
        <v/>
      </c>
      <c r="C287">
        <f>IF(ISNUMBER(Events!$A289),DATE(YEAR($B$1),MONTH(Events!$A289),DAY(Events!$A289)),"")</f>
        <v/>
      </c>
      <c r="D287">
        <f>IF(ISNUMBER(Events!$A289),DATE(YEAR($B$2),MONTH(Events!$A289),DAY(Events!$A289)),"")</f>
        <v/>
      </c>
      <c r="E287">
        <f>IF(OR(NOT(ISNUMBER(Events!$A289)),Events!$G289="No",Calendar!$H$4="None"),"",IF(OR(Calendar!$H$4="All events",Events!$D289=Calendar!$H$4),IF(Events!$E289="Yes",IF(AND(B287&gt;=Events!$A289,B287&lt;=$B$2,B287+$A287&gt;=$B$1),B287,IF(AND(C287&gt;=Events!$A289,C287&lt;=$B$2,C287+$A287&gt;=$B$1),C287,IF(AND(D287&gt;=Events!$A289,D287&lt;=$B$2,D287+$A287&gt;=$B$1),D287,""))),IF(AND(Events!$A289&lt;=$B$2,Events!$A289+$A287&gt;=$B$1),Events!$A289,"")),""))</f>
        <v/>
      </c>
      <c r="F287">
        <f>IF(E287="","",E287+A287)</f>
        <v/>
      </c>
      <c r="G287">
        <f>IF(E287="","",IF(AND(E287&lt;=EOMONTH(Calendar!$K$2,0),F287&gt;=Calendar!$K$2),E287+284/100000,""))</f>
        <v/>
      </c>
      <c r="H287">
        <f>H286+IF(AND($E287&lt;&gt;"",$E287&lt;=H$2,$F287&gt;=H$2),1,0)</f>
        <v/>
      </c>
      <c r="I287">
        <f>I286+IF(AND($E287&lt;&gt;"",$E287&lt;=I$2,$F287&gt;=I$2),1,0)</f>
        <v/>
      </c>
      <c r="J287">
        <f>J286+IF(AND($E287&lt;&gt;"",$E287&lt;=J$2,$F287&gt;=J$2),1,0)</f>
        <v/>
      </c>
      <c r="K287">
        <f>K286+IF(AND($E287&lt;&gt;"",$E287&lt;=K$2,$F287&gt;=K$2),1,0)</f>
        <v/>
      </c>
      <c r="L287">
        <f>L286+IF(AND($E287&lt;&gt;"",$E287&lt;=L$2,$F287&gt;=L$2),1,0)</f>
        <v/>
      </c>
      <c r="M287">
        <f>M286+IF(AND($E287&lt;&gt;"",$E287&lt;=M$2,$F287&gt;=M$2),1,0)</f>
        <v/>
      </c>
      <c r="N287">
        <f>N286+IF(AND($E287&lt;&gt;"",$E287&lt;=N$2,$F287&gt;=N$2),1,0)</f>
        <v/>
      </c>
      <c r="O287">
        <f>O286+IF(AND($E287&lt;&gt;"",$E287&lt;=O$2,$F287&gt;=O$2),1,0)</f>
        <v/>
      </c>
      <c r="P287">
        <f>P286+IF(AND($E287&lt;&gt;"",$E287&lt;=P$2,$F287&gt;=P$2),1,0)</f>
        <v/>
      </c>
      <c r="Q287">
        <f>Q286+IF(AND($E287&lt;&gt;"",$E287&lt;=Q$2,$F287&gt;=Q$2),1,0)</f>
        <v/>
      </c>
      <c r="R287">
        <f>R286+IF(AND($E287&lt;&gt;"",$E287&lt;=R$2,$F287&gt;=R$2),1,0)</f>
        <v/>
      </c>
      <c r="S287">
        <f>S286+IF(AND($E287&lt;&gt;"",$E287&lt;=S$2,$F287&gt;=S$2),1,0)</f>
        <v/>
      </c>
      <c r="T287">
        <f>T286+IF(AND($E287&lt;&gt;"",$E287&lt;=T$2,$F287&gt;=T$2),1,0)</f>
        <v/>
      </c>
      <c r="U287">
        <f>U286+IF(AND($E287&lt;&gt;"",$E287&lt;=U$2,$F287&gt;=U$2),1,0)</f>
        <v/>
      </c>
      <c r="V287">
        <f>V286+IF(AND($E287&lt;&gt;"",$E287&lt;=V$2,$F287&gt;=V$2),1,0)</f>
        <v/>
      </c>
      <c r="W287">
        <f>W286+IF(AND($E287&lt;&gt;"",$E287&lt;=W$2,$F287&gt;=W$2),1,0)</f>
        <v/>
      </c>
      <c r="X287">
        <f>X286+IF(AND($E287&lt;&gt;"",$E287&lt;=X$2,$F287&gt;=X$2),1,0)</f>
        <v/>
      </c>
      <c r="Y287">
        <f>Y286+IF(AND($E287&lt;&gt;"",$E287&lt;=Y$2,$F287&gt;=Y$2),1,0)</f>
        <v/>
      </c>
      <c r="Z287">
        <f>Z286+IF(AND($E287&lt;&gt;"",$E287&lt;=Z$2,$F287&gt;=Z$2),1,0)</f>
        <v/>
      </c>
      <c r="AA287">
        <f>AA286+IF(AND($E287&lt;&gt;"",$E287&lt;=AA$2,$F287&gt;=AA$2),1,0)</f>
        <v/>
      </c>
      <c r="AB287">
        <f>AB286+IF(AND($E287&lt;&gt;"",$E287&lt;=AB$2,$F287&gt;=AB$2),1,0)</f>
        <v/>
      </c>
      <c r="AC287">
        <f>AC286+IF(AND($E287&lt;&gt;"",$E287&lt;=AC$2,$F287&gt;=AC$2),1,0)</f>
        <v/>
      </c>
      <c r="AD287">
        <f>AD286+IF(AND($E287&lt;&gt;"",$E287&lt;=AD$2,$F287&gt;=AD$2),1,0)</f>
        <v/>
      </c>
      <c r="AE287">
        <f>AE286+IF(AND($E287&lt;&gt;"",$E287&lt;=AE$2,$F287&gt;=AE$2),1,0)</f>
        <v/>
      </c>
      <c r="AF287">
        <f>AF286+IF(AND($E287&lt;&gt;"",$E287&lt;=AF$2,$F287&gt;=AF$2),1,0)</f>
        <v/>
      </c>
      <c r="AG287">
        <f>AG286+IF(AND($E287&lt;&gt;"",$E287&lt;=AG$2,$F287&gt;=AG$2),1,0)</f>
        <v/>
      </c>
      <c r="AH287">
        <f>AH286+IF(AND($E287&lt;&gt;"",$E287&lt;=AH$2,$F287&gt;=AH$2),1,0)</f>
        <v/>
      </c>
      <c r="AI287">
        <f>AI286+IF(AND($E287&lt;&gt;"",$E287&lt;=AI$2,$F287&gt;=AI$2),1,0)</f>
        <v/>
      </c>
      <c r="AJ287">
        <f>AJ286+IF(AND($E287&lt;&gt;"",$E287&lt;=AJ$2,$F287&gt;=AJ$2),1,0)</f>
        <v/>
      </c>
      <c r="AK287">
        <f>AK286+IF(AND($E287&lt;&gt;"",$E287&lt;=AK$2,$F287&gt;=AK$2),1,0)</f>
        <v/>
      </c>
      <c r="AL287">
        <f>AL286+IF(AND($E287&lt;&gt;"",$E287&lt;=AL$2,$F287&gt;=AL$2),1,0)</f>
        <v/>
      </c>
      <c r="AM287">
        <f>AM286+IF(AND($E287&lt;&gt;"",$E287&lt;=AM$2,$F287&gt;=AM$2),1,0)</f>
        <v/>
      </c>
      <c r="AN287">
        <f>AN286+IF(AND($E287&lt;&gt;"",$E287&lt;=AN$2,$F287&gt;=AN$2),1,0)</f>
        <v/>
      </c>
      <c r="AO287">
        <f>AO286+IF(AND($E287&lt;&gt;"",$E287&lt;=AO$2,$F287&gt;=AO$2),1,0)</f>
        <v/>
      </c>
      <c r="AP287">
        <f>AP286+IF(AND($E287&lt;&gt;"",$E287&lt;=AP$2,$F287&gt;=AP$2),1,0)</f>
        <v/>
      </c>
      <c r="AQ287">
        <f>AQ286+IF(AND($E287&lt;&gt;"",$E287&lt;=AQ$2,$F287&gt;=AQ$2),1,0)</f>
        <v/>
      </c>
      <c r="AR287">
        <f>AR286+IF(AND($E287&lt;&gt;"",$E287&lt;=AR$2,$F287&gt;=AR$2),1,0)</f>
        <v/>
      </c>
      <c r="AS287">
        <f>AS286+IF(AND($E287&lt;&gt;"",$E287&lt;=AS$2,$F287&gt;=AS$2),1,0)</f>
        <v/>
      </c>
      <c r="AT287">
        <f>AT286+IF(AND($E287&lt;&gt;"",$E287&lt;=AT$2,$F287&gt;=AT$2),1,0)</f>
        <v/>
      </c>
      <c r="AU287">
        <f>AU286+IF(AND($E287&lt;&gt;"",$E287&lt;=AU$2,$F287&gt;=AU$2),1,0)</f>
        <v/>
      </c>
      <c r="AV287">
        <f>AV286+IF(AND($E287&lt;&gt;"",$E287&lt;=AV$2,$F287&gt;=AV$2),1,0)</f>
        <v/>
      </c>
      <c r="AW287">
        <f>AW286+IF(AND($E287&lt;&gt;"",$E287&lt;=AW$2,$F287&gt;=AW$2),1,0)</f>
        <v/>
      </c>
    </row>
    <row r="288">
      <c r="A288">
        <f>IF(AND(ISNUMBER(Events!$A290),ISNUMBER(Events!$B290)),MAX(0,Events!$B290-Events!$A290),0)</f>
        <v/>
      </c>
      <c r="B288">
        <f>IF(ISNUMBER(Events!$A290),DATE(YEAR($B$1)-1,MONTH(Events!$A290),DAY(Events!$A290)),"")</f>
        <v/>
      </c>
      <c r="C288">
        <f>IF(ISNUMBER(Events!$A290),DATE(YEAR($B$1),MONTH(Events!$A290),DAY(Events!$A290)),"")</f>
        <v/>
      </c>
      <c r="D288">
        <f>IF(ISNUMBER(Events!$A290),DATE(YEAR($B$2),MONTH(Events!$A290),DAY(Events!$A290)),"")</f>
        <v/>
      </c>
      <c r="E288">
        <f>IF(OR(NOT(ISNUMBER(Events!$A290)),Events!$G290="No",Calendar!$H$4="None"),"",IF(OR(Calendar!$H$4="All events",Events!$D290=Calendar!$H$4),IF(Events!$E290="Yes",IF(AND(B288&gt;=Events!$A290,B288&lt;=$B$2,B288+$A288&gt;=$B$1),B288,IF(AND(C288&gt;=Events!$A290,C288&lt;=$B$2,C288+$A288&gt;=$B$1),C288,IF(AND(D288&gt;=Events!$A290,D288&lt;=$B$2,D288+$A288&gt;=$B$1),D288,""))),IF(AND(Events!$A290&lt;=$B$2,Events!$A290+$A288&gt;=$B$1),Events!$A290,"")),""))</f>
        <v/>
      </c>
      <c r="F288">
        <f>IF(E288="","",E288+A288)</f>
        <v/>
      </c>
      <c r="G288">
        <f>IF(E288="","",IF(AND(E288&lt;=EOMONTH(Calendar!$K$2,0),F288&gt;=Calendar!$K$2),E288+285/100000,""))</f>
        <v/>
      </c>
      <c r="H288">
        <f>H287+IF(AND($E288&lt;&gt;"",$E288&lt;=H$2,$F288&gt;=H$2),1,0)</f>
        <v/>
      </c>
      <c r="I288">
        <f>I287+IF(AND($E288&lt;&gt;"",$E288&lt;=I$2,$F288&gt;=I$2),1,0)</f>
        <v/>
      </c>
      <c r="J288">
        <f>J287+IF(AND($E288&lt;&gt;"",$E288&lt;=J$2,$F288&gt;=J$2),1,0)</f>
        <v/>
      </c>
      <c r="K288">
        <f>K287+IF(AND($E288&lt;&gt;"",$E288&lt;=K$2,$F288&gt;=K$2),1,0)</f>
        <v/>
      </c>
      <c r="L288">
        <f>L287+IF(AND($E288&lt;&gt;"",$E288&lt;=L$2,$F288&gt;=L$2),1,0)</f>
        <v/>
      </c>
      <c r="M288">
        <f>M287+IF(AND($E288&lt;&gt;"",$E288&lt;=M$2,$F288&gt;=M$2),1,0)</f>
        <v/>
      </c>
      <c r="N288">
        <f>N287+IF(AND($E288&lt;&gt;"",$E288&lt;=N$2,$F288&gt;=N$2),1,0)</f>
        <v/>
      </c>
      <c r="O288">
        <f>O287+IF(AND($E288&lt;&gt;"",$E288&lt;=O$2,$F288&gt;=O$2),1,0)</f>
        <v/>
      </c>
      <c r="P288">
        <f>P287+IF(AND($E288&lt;&gt;"",$E288&lt;=P$2,$F288&gt;=P$2),1,0)</f>
        <v/>
      </c>
      <c r="Q288">
        <f>Q287+IF(AND($E288&lt;&gt;"",$E288&lt;=Q$2,$F288&gt;=Q$2),1,0)</f>
        <v/>
      </c>
      <c r="R288">
        <f>R287+IF(AND($E288&lt;&gt;"",$E288&lt;=R$2,$F288&gt;=R$2),1,0)</f>
        <v/>
      </c>
      <c r="S288">
        <f>S287+IF(AND($E288&lt;&gt;"",$E288&lt;=S$2,$F288&gt;=S$2),1,0)</f>
        <v/>
      </c>
      <c r="T288">
        <f>T287+IF(AND($E288&lt;&gt;"",$E288&lt;=T$2,$F288&gt;=T$2),1,0)</f>
        <v/>
      </c>
      <c r="U288">
        <f>U287+IF(AND($E288&lt;&gt;"",$E288&lt;=U$2,$F288&gt;=U$2),1,0)</f>
        <v/>
      </c>
      <c r="V288">
        <f>V287+IF(AND($E288&lt;&gt;"",$E288&lt;=V$2,$F288&gt;=V$2),1,0)</f>
        <v/>
      </c>
      <c r="W288">
        <f>W287+IF(AND($E288&lt;&gt;"",$E288&lt;=W$2,$F288&gt;=W$2),1,0)</f>
        <v/>
      </c>
      <c r="X288">
        <f>X287+IF(AND($E288&lt;&gt;"",$E288&lt;=X$2,$F288&gt;=X$2),1,0)</f>
        <v/>
      </c>
      <c r="Y288">
        <f>Y287+IF(AND($E288&lt;&gt;"",$E288&lt;=Y$2,$F288&gt;=Y$2),1,0)</f>
        <v/>
      </c>
      <c r="Z288">
        <f>Z287+IF(AND($E288&lt;&gt;"",$E288&lt;=Z$2,$F288&gt;=Z$2),1,0)</f>
        <v/>
      </c>
      <c r="AA288">
        <f>AA287+IF(AND($E288&lt;&gt;"",$E288&lt;=AA$2,$F288&gt;=AA$2),1,0)</f>
        <v/>
      </c>
      <c r="AB288">
        <f>AB287+IF(AND($E288&lt;&gt;"",$E288&lt;=AB$2,$F288&gt;=AB$2),1,0)</f>
        <v/>
      </c>
      <c r="AC288">
        <f>AC287+IF(AND($E288&lt;&gt;"",$E288&lt;=AC$2,$F288&gt;=AC$2),1,0)</f>
        <v/>
      </c>
      <c r="AD288">
        <f>AD287+IF(AND($E288&lt;&gt;"",$E288&lt;=AD$2,$F288&gt;=AD$2),1,0)</f>
        <v/>
      </c>
      <c r="AE288">
        <f>AE287+IF(AND($E288&lt;&gt;"",$E288&lt;=AE$2,$F288&gt;=AE$2),1,0)</f>
        <v/>
      </c>
      <c r="AF288">
        <f>AF287+IF(AND($E288&lt;&gt;"",$E288&lt;=AF$2,$F288&gt;=AF$2),1,0)</f>
        <v/>
      </c>
      <c r="AG288">
        <f>AG287+IF(AND($E288&lt;&gt;"",$E288&lt;=AG$2,$F288&gt;=AG$2),1,0)</f>
        <v/>
      </c>
      <c r="AH288">
        <f>AH287+IF(AND($E288&lt;&gt;"",$E288&lt;=AH$2,$F288&gt;=AH$2),1,0)</f>
        <v/>
      </c>
      <c r="AI288">
        <f>AI287+IF(AND($E288&lt;&gt;"",$E288&lt;=AI$2,$F288&gt;=AI$2),1,0)</f>
        <v/>
      </c>
      <c r="AJ288">
        <f>AJ287+IF(AND($E288&lt;&gt;"",$E288&lt;=AJ$2,$F288&gt;=AJ$2),1,0)</f>
        <v/>
      </c>
      <c r="AK288">
        <f>AK287+IF(AND($E288&lt;&gt;"",$E288&lt;=AK$2,$F288&gt;=AK$2),1,0)</f>
        <v/>
      </c>
      <c r="AL288">
        <f>AL287+IF(AND($E288&lt;&gt;"",$E288&lt;=AL$2,$F288&gt;=AL$2),1,0)</f>
        <v/>
      </c>
      <c r="AM288">
        <f>AM287+IF(AND($E288&lt;&gt;"",$E288&lt;=AM$2,$F288&gt;=AM$2),1,0)</f>
        <v/>
      </c>
      <c r="AN288">
        <f>AN287+IF(AND($E288&lt;&gt;"",$E288&lt;=AN$2,$F288&gt;=AN$2),1,0)</f>
        <v/>
      </c>
      <c r="AO288">
        <f>AO287+IF(AND($E288&lt;&gt;"",$E288&lt;=AO$2,$F288&gt;=AO$2),1,0)</f>
        <v/>
      </c>
      <c r="AP288">
        <f>AP287+IF(AND($E288&lt;&gt;"",$E288&lt;=AP$2,$F288&gt;=AP$2),1,0)</f>
        <v/>
      </c>
      <c r="AQ288">
        <f>AQ287+IF(AND($E288&lt;&gt;"",$E288&lt;=AQ$2,$F288&gt;=AQ$2),1,0)</f>
        <v/>
      </c>
      <c r="AR288">
        <f>AR287+IF(AND($E288&lt;&gt;"",$E288&lt;=AR$2,$F288&gt;=AR$2),1,0)</f>
        <v/>
      </c>
      <c r="AS288">
        <f>AS287+IF(AND($E288&lt;&gt;"",$E288&lt;=AS$2,$F288&gt;=AS$2),1,0)</f>
        <v/>
      </c>
      <c r="AT288">
        <f>AT287+IF(AND($E288&lt;&gt;"",$E288&lt;=AT$2,$F288&gt;=AT$2),1,0)</f>
        <v/>
      </c>
      <c r="AU288">
        <f>AU287+IF(AND($E288&lt;&gt;"",$E288&lt;=AU$2,$F288&gt;=AU$2),1,0)</f>
        <v/>
      </c>
      <c r="AV288">
        <f>AV287+IF(AND($E288&lt;&gt;"",$E288&lt;=AV$2,$F288&gt;=AV$2),1,0)</f>
        <v/>
      </c>
      <c r="AW288">
        <f>AW287+IF(AND($E288&lt;&gt;"",$E288&lt;=AW$2,$F288&gt;=AW$2),1,0)</f>
        <v/>
      </c>
    </row>
    <row r="289">
      <c r="A289">
        <f>IF(AND(ISNUMBER(Events!$A291),ISNUMBER(Events!$B291)),MAX(0,Events!$B291-Events!$A291),0)</f>
        <v/>
      </c>
      <c r="B289">
        <f>IF(ISNUMBER(Events!$A291),DATE(YEAR($B$1)-1,MONTH(Events!$A291),DAY(Events!$A291)),"")</f>
        <v/>
      </c>
      <c r="C289">
        <f>IF(ISNUMBER(Events!$A291),DATE(YEAR($B$1),MONTH(Events!$A291),DAY(Events!$A291)),"")</f>
        <v/>
      </c>
      <c r="D289">
        <f>IF(ISNUMBER(Events!$A291),DATE(YEAR($B$2),MONTH(Events!$A291),DAY(Events!$A291)),"")</f>
        <v/>
      </c>
      <c r="E289">
        <f>IF(OR(NOT(ISNUMBER(Events!$A291)),Events!$G291="No",Calendar!$H$4="None"),"",IF(OR(Calendar!$H$4="All events",Events!$D291=Calendar!$H$4),IF(Events!$E291="Yes",IF(AND(B289&gt;=Events!$A291,B289&lt;=$B$2,B289+$A289&gt;=$B$1),B289,IF(AND(C289&gt;=Events!$A291,C289&lt;=$B$2,C289+$A289&gt;=$B$1),C289,IF(AND(D289&gt;=Events!$A291,D289&lt;=$B$2,D289+$A289&gt;=$B$1),D289,""))),IF(AND(Events!$A291&lt;=$B$2,Events!$A291+$A289&gt;=$B$1),Events!$A291,"")),""))</f>
        <v/>
      </c>
      <c r="F289">
        <f>IF(E289="","",E289+A289)</f>
        <v/>
      </c>
      <c r="G289">
        <f>IF(E289="","",IF(AND(E289&lt;=EOMONTH(Calendar!$K$2,0),F289&gt;=Calendar!$K$2),E289+286/100000,""))</f>
        <v/>
      </c>
      <c r="H289">
        <f>H288+IF(AND($E289&lt;&gt;"",$E289&lt;=H$2,$F289&gt;=H$2),1,0)</f>
        <v/>
      </c>
      <c r="I289">
        <f>I288+IF(AND($E289&lt;&gt;"",$E289&lt;=I$2,$F289&gt;=I$2),1,0)</f>
        <v/>
      </c>
      <c r="J289">
        <f>J288+IF(AND($E289&lt;&gt;"",$E289&lt;=J$2,$F289&gt;=J$2),1,0)</f>
        <v/>
      </c>
      <c r="K289">
        <f>K288+IF(AND($E289&lt;&gt;"",$E289&lt;=K$2,$F289&gt;=K$2),1,0)</f>
        <v/>
      </c>
      <c r="L289">
        <f>L288+IF(AND($E289&lt;&gt;"",$E289&lt;=L$2,$F289&gt;=L$2),1,0)</f>
        <v/>
      </c>
      <c r="M289">
        <f>M288+IF(AND($E289&lt;&gt;"",$E289&lt;=M$2,$F289&gt;=M$2),1,0)</f>
        <v/>
      </c>
      <c r="N289">
        <f>N288+IF(AND($E289&lt;&gt;"",$E289&lt;=N$2,$F289&gt;=N$2),1,0)</f>
        <v/>
      </c>
      <c r="O289">
        <f>O288+IF(AND($E289&lt;&gt;"",$E289&lt;=O$2,$F289&gt;=O$2),1,0)</f>
        <v/>
      </c>
      <c r="P289">
        <f>P288+IF(AND($E289&lt;&gt;"",$E289&lt;=P$2,$F289&gt;=P$2),1,0)</f>
        <v/>
      </c>
      <c r="Q289">
        <f>Q288+IF(AND($E289&lt;&gt;"",$E289&lt;=Q$2,$F289&gt;=Q$2),1,0)</f>
        <v/>
      </c>
      <c r="R289">
        <f>R288+IF(AND($E289&lt;&gt;"",$E289&lt;=R$2,$F289&gt;=R$2),1,0)</f>
        <v/>
      </c>
      <c r="S289">
        <f>S288+IF(AND($E289&lt;&gt;"",$E289&lt;=S$2,$F289&gt;=S$2),1,0)</f>
        <v/>
      </c>
      <c r="T289">
        <f>T288+IF(AND($E289&lt;&gt;"",$E289&lt;=T$2,$F289&gt;=T$2),1,0)</f>
        <v/>
      </c>
      <c r="U289">
        <f>U288+IF(AND($E289&lt;&gt;"",$E289&lt;=U$2,$F289&gt;=U$2),1,0)</f>
        <v/>
      </c>
      <c r="V289">
        <f>V288+IF(AND($E289&lt;&gt;"",$E289&lt;=V$2,$F289&gt;=V$2),1,0)</f>
        <v/>
      </c>
      <c r="W289">
        <f>W288+IF(AND($E289&lt;&gt;"",$E289&lt;=W$2,$F289&gt;=W$2),1,0)</f>
        <v/>
      </c>
      <c r="X289">
        <f>X288+IF(AND($E289&lt;&gt;"",$E289&lt;=X$2,$F289&gt;=X$2),1,0)</f>
        <v/>
      </c>
      <c r="Y289">
        <f>Y288+IF(AND($E289&lt;&gt;"",$E289&lt;=Y$2,$F289&gt;=Y$2),1,0)</f>
        <v/>
      </c>
      <c r="Z289">
        <f>Z288+IF(AND($E289&lt;&gt;"",$E289&lt;=Z$2,$F289&gt;=Z$2),1,0)</f>
        <v/>
      </c>
      <c r="AA289">
        <f>AA288+IF(AND($E289&lt;&gt;"",$E289&lt;=AA$2,$F289&gt;=AA$2),1,0)</f>
        <v/>
      </c>
      <c r="AB289">
        <f>AB288+IF(AND($E289&lt;&gt;"",$E289&lt;=AB$2,$F289&gt;=AB$2),1,0)</f>
        <v/>
      </c>
      <c r="AC289">
        <f>AC288+IF(AND($E289&lt;&gt;"",$E289&lt;=AC$2,$F289&gt;=AC$2),1,0)</f>
        <v/>
      </c>
      <c r="AD289">
        <f>AD288+IF(AND($E289&lt;&gt;"",$E289&lt;=AD$2,$F289&gt;=AD$2),1,0)</f>
        <v/>
      </c>
      <c r="AE289">
        <f>AE288+IF(AND($E289&lt;&gt;"",$E289&lt;=AE$2,$F289&gt;=AE$2),1,0)</f>
        <v/>
      </c>
      <c r="AF289">
        <f>AF288+IF(AND($E289&lt;&gt;"",$E289&lt;=AF$2,$F289&gt;=AF$2),1,0)</f>
        <v/>
      </c>
      <c r="AG289">
        <f>AG288+IF(AND($E289&lt;&gt;"",$E289&lt;=AG$2,$F289&gt;=AG$2),1,0)</f>
        <v/>
      </c>
      <c r="AH289">
        <f>AH288+IF(AND($E289&lt;&gt;"",$E289&lt;=AH$2,$F289&gt;=AH$2),1,0)</f>
        <v/>
      </c>
      <c r="AI289">
        <f>AI288+IF(AND($E289&lt;&gt;"",$E289&lt;=AI$2,$F289&gt;=AI$2),1,0)</f>
        <v/>
      </c>
      <c r="AJ289">
        <f>AJ288+IF(AND($E289&lt;&gt;"",$E289&lt;=AJ$2,$F289&gt;=AJ$2),1,0)</f>
        <v/>
      </c>
      <c r="AK289">
        <f>AK288+IF(AND($E289&lt;&gt;"",$E289&lt;=AK$2,$F289&gt;=AK$2),1,0)</f>
        <v/>
      </c>
      <c r="AL289">
        <f>AL288+IF(AND($E289&lt;&gt;"",$E289&lt;=AL$2,$F289&gt;=AL$2),1,0)</f>
        <v/>
      </c>
      <c r="AM289">
        <f>AM288+IF(AND($E289&lt;&gt;"",$E289&lt;=AM$2,$F289&gt;=AM$2),1,0)</f>
        <v/>
      </c>
      <c r="AN289">
        <f>AN288+IF(AND($E289&lt;&gt;"",$E289&lt;=AN$2,$F289&gt;=AN$2),1,0)</f>
        <v/>
      </c>
      <c r="AO289">
        <f>AO288+IF(AND($E289&lt;&gt;"",$E289&lt;=AO$2,$F289&gt;=AO$2),1,0)</f>
        <v/>
      </c>
      <c r="AP289">
        <f>AP288+IF(AND($E289&lt;&gt;"",$E289&lt;=AP$2,$F289&gt;=AP$2),1,0)</f>
        <v/>
      </c>
      <c r="AQ289">
        <f>AQ288+IF(AND($E289&lt;&gt;"",$E289&lt;=AQ$2,$F289&gt;=AQ$2),1,0)</f>
        <v/>
      </c>
      <c r="AR289">
        <f>AR288+IF(AND($E289&lt;&gt;"",$E289&lt;=AR$2,$F289&gt;=AR$2),1,0)</f>
        <v/>
      </c>
      <c r="AS289">
        <f>AS288+IF(AND($E289&lt;&gt;"",$E289&lt;=AS$2,$F289&gt;=AS$2),1,0)</f>
        <v/>
      </c>
      <c r="AT289">
        <f>AT288+IF(AND($E289&lt;&gt;"",$E289&lt;=AT$2,$F289&gt;=AT$2),1,0)</f>
        <v/>
      </c>
      <c r="AU289">
        <f>AU288+IF(AND($E289&lt;&gt;"",$E289&lt;=AU$2,$F289&gt;=AU$2),1,0)</f>
        <v/>
      </c>
      <c r="AV289">
        <f>AV288+IF(AND($E289&lt;&gt;"",$E289&lt;=AV$2,$F289&gt;=AV$2),1,0)</f>
        <v/>
      </c>
      <c r="AW289">
        <f>AW288+IF(AND($E289&lt;&gt;"",$E289&lt;=AW$2,$F289&gt;=AW$2),1,0)</f>
        <v/>
      </c>
    </row>
    <row r="290">
      <c r="A290">
        <f>IF(AND(ISNUMBER(Events!$A292),ISNUMBER(Events!$B292)),MAX(0,Events!$B292-Events!$A292),0)</f>
        <v/>
      </c>
      <c r="B290">
        <f>IF(ISNUMBER(Events!$A292),DATE(YEAR($B$1)-1,MONTH(Events!$A292),DAY(Events!$A292)),"")</f>
        <v/>
      </c>
      <c r="C290">
        <f>IF(ISNUMBER(Events!$A292),DATE(YEAR($B$1),MONTH(Events!$A292),DAY(Events!$A292)),"")</f>
        <v/>
      </c>
      <c r="D290">
        <f>IF(ISNUMBER(Events!$A292),DATE(YEAR($B$2),MONTH(Events!$A292),DAY(Events!$A292)),"")</f>
        <v/>
      </c>
      <c r="E290">
        <f>IF(OR(NOT(ISNUMBER(Events!$A292)),Events!$G292="No",Calendar!$H$4="None"),"",IF(OR(Calendar!$H$4="All events",Events!$D292=Calendar!$H$4),IF(Events!$E292="Yes",IF(AND(B290&gt;=Events!$A292,B290&lt;=$B$2,B290+$A290&gt;=$B$1),B290,IF(AND(C290&gt;=Events!$A292,C290&lt;=$B$2,C290+$A290&gt;=$B$1),C290,IF(AND(D290&gt;=Events!$A292,D290&lt;=$B$2,D290+$A290&gt;=$B$1),D290,""))),IF(AND(Events!$A292&lt;=$B$2,Events!$A292+$A290&gt;=$B$1),Events!$A292,"")),""))</f>
        <v/>
      </c>
      <c r="F290">
        <f>IF(E290="","",E290+A290)</f>
        <v/>
      </c>
      <c r="G290">
        <f>IF(E290="","",IF(AND(E290&lt;=EOMONTH(Calendar!$K$2,0),F290&gt;=Calendar!$K$2),E290+287/100000,""))</f>
        <v/>
      </c>
      <c r="H290">
        <f>H289+IF(AND($E290&lt;&gt;"",$E290&lt;=H$2,$F290&gt;=H$2),1,0)</f>
        <v/>
      </c>
      <c r="I290">
        <f>I289+IF(AND($E290&lt;&gt;"",$E290&lt;=I$2,$F290&gt;=I$2),1,0)</f>
        <v/>
      </c>
      <c r="J290">
        <f>J289+IF(AND($E290&lt;&gt;"",$E290&lt;=J$2,$F290&gt;=J$2),1,0)</f>
        <v/>
      </c>
      <c r="K290">
        <f>K289+IF(AND($E290&lt;&gt;"",$E290&lt;=K$2,$F290&gt;=K$2),1,0)</f>
        <v/>
      </c>
      <c r="L290">
        <f>L289+IF(AND($E290&lt;&gt;"",$E290&lt;=L$2,$F290&gt;=L$2),1,0)</f>
        <v/>
      </c>
      <c r="M290">
        <f>M289+IF(AND($E290&lt;&gt;"",$E290&lt;=M$2,$F290&gt;=M$2),1,0)</f>
        <v/>
      </c>
      <c r="N290">
        <f>N289+IF(AND($E290&lt;&gt;"",$E290&lt;=N$2,$F290&gt;=N$2),1,0)</f>
        <v/>
      </c>
      <c r="O290">
        <f>O289+IF(AND($E290&lt;&gt;"",$E290&lt;=O$2,$F290&gt;=O$2),1,0)</f>
        <v/>
      </c>
      <c r="P290">
        <f>P289+IF(AND($E290&lt;&gt;"",$E290&lt;=P$2,$F290&gt;=P$2),1,0)</f>
        <v/>
      </c>
      <c r="Q290">
        <f>Q289+IF(AND($E290&lt;&gt;"",$E290&lt;=Q$2,$F290&gt;=Q$2),1,0)</f>
        <v/>
      </c>
      <c r="R290">
        <f>R289+IF(AND($E290&lt;&gt;"",$E290&lt;=R$2,$F290&gt;=R$2),1,0)</f>
        <v/>
      </c>
      <c r="S290">
        <f>S289+IF(AND($E290&lt;&gt;"",$E290&lt;=S$2,$F290&gt;=S$2),1,0)</f>
        <v/>
      </c>
      <c r="T290">
        <f>T289+IF(AND($E290&lt;&gt;"",$E290&lt;=T$2,$F290&gt;=T$2),1,0)</f>
        <v/>
      </c>
      <c r="U290">
        <f>U289+IF(AND($E290&lt;&gt;"",$E290&lt;=U$2,$F290&gt;=U$2),1,0)</f>
        <v/>
      </c>
      <c r="V290">
        <f>V289+IF(AND($E290&lt;&gt;"",$E290&lt;=V$2,$F290&gt;=V$2),1,0)</f>
        <v/>
      </c>
      <c r="W290">
        <f>W289+IF(AND($E290&lt;&gt;"",$E290&lt;=W$2,$F290&gt;=W$2),1,0)</f>
        <v/>
      </c>
      <c r="X290">
        <f>X289+IF(AND($E290&lt;&gt;"",$E290&lt;=X$2,$F290&gt;=X$2),1,0)</f>
        <v/>
      </c>
      <c r="Y290">
        <f>Y289+IF(AND($E290&lt;&gt;"",$E290&lt;=Y$2,$F290&gt;=Y$2),1,0)</f>
        <v/>
      </c>
      <c r="Z290">
        <f>Z289+IF(AND($E290&lt;&gt;"",$E290&lt;=Z$2,$F290&gt;=Z$2),1,0)</f>
        <v/>
      </c>
      <c r="AA290">
        <f>AA289+IF(AND($E290&lt;&gt;"",$E290&lt;=AA$2,$F290&gt;=AA$2),1,0)</f>
        <v/>
      </c>
      <c r="AB290">
        <f>AB289+IF(AND($E290&lt;&gt;"",$E290&lt;=AB$2,$F290&gt;=AB$2),1,0)</f>
        <v/>
      </c>
      <c r="AC290">
        <f>AC289+IF(AND($E290&lt;&gt;"",$E290&lt;=AC$2,$F290&gt;=AC$2),1,0)</f>
        <v/>
      </c>
      <c r="AD290">
        <f>AD289+IF(AND($E290&lt;&gt;"",$E290&lt;=AD$2,$F290&gt;=AD$2),1,0)</f>
        <v/>
      </c>
      <c r="AE290">
        <f>AE289+IF(AND($E290&lt;&gt;"",$E290&lt;=AE$2,$F290&gt;=AE$2),1,0)</f>
        <v/>
      </c>
      <c r="AF290">
        <f>AF289+IF(AND($E290&lt;&gt;"",$E290&lt;=AF$2,$F290&gt;=AF$2),1,0)</f>
        <v/>
      </c>
      <c r="AG290">
        <f>AG289+IF(AND($E290&lt;&gt;"",$E290&lt;=AG$2,$F290&gt;=AG$2),1,0)</f>
        <v/>
      </c>
      <c r="AH290">
        <f>AH289+IF(AND($E290&lt;&gt;"",$E290&lt;=AH$2,$F290&gt;=AH$2),1,0)</f>
        <v/>
      </c>
      <c r="AI290">
        <f>AI289+IF(AND($E290&lt;&gt;"",$E290&lt;=AI$2,$F290&gt;=AI$2),1,0)</f>
        <v/>
      </c>
      <c r="AJ290">
        <f>AJ289+IF(AND($E290&lt;&gt;"",$E290&lt;=AJ$2,$F290&gt;=AJ$2),1,0)</f>
        <v/>
      </c>
      <c r="AK290">
        <f>AK289+IF(AND($E290&lt;&gt;"",$E290&lt;=AK$2,$F290&gt;=AK$2),1,0)</f>
        <v/>
      </c>
      <c r="AL290">
        <f>AL289+IF(AND($E290&lt;&gt;"",$E290&lt;=AL$2,$F290&gt;=AL$2),1,0)</f>
        <v/>
      </c>
      <c r="AM290">
        <f>AM289+IF(AND($E290&lt;&gt;"",$E290&lt;=AM$2,$F290&gt;=AM$2),1,0)</f>
        <v/>
      </c>
      <c r="AN290">
        <f>AN289+IF(AND($E290&lt;&gt;"",$E290&lt;=AN$2,$F290&gt;=AN$2),1,0)</f>
        <v/>
      </c>
      <c r="AO290">
        <f>AO289+IF(AND($E290&lt;&gt;"",$E290&lt;=AO$2,$F290&gt;=AO$2),1,0)</f>
        <v/>
      </c>
      <c r="AP290">
        <f>AP289+IF(AND($E290&lt;&gt;"",$E290&lt;=AP$2,$F290&gt;=AP$2),1,0)</f>
        <v/>
      </c>
      <c r="AQ290">
        <f>AQ289+IF(AND($E290&lt;&gt;"",$E290&lt;=AQ$2,$F290&gt;=AQ$2),1,0)</f>
        <v/>
      </c>
      <c r="AR290">
        <f>AR289+IF(AND($E290&lt;&gt;"",$E290&lt;=AR$2,$F290&gt;=AR$2),1,0)</f>
        <v/>
      </c>
      <c r="AS290">
        <f>AS289+IF(AND($E290&lt;&gt;"",$E290&lt;=AS$2,$F290&gt;=AS$2),1,0)</f>
        <v/>
      </c>
      <c r="AT290">
        <f>AT289+IF(AND($E290&lt;&gt;"",$E290&lt;=AT$2,$F290&gt;=AT$2),1,0)</f>
        <v/>
      </c>
      <c r="AU290">
        <f>AU289+IF(AND($E290&lt;&gt;"",$E290&lt;=AU$2,$F290&gt;=AU$2),1,0)</f>
        <v/>
      </c>
      <c r="AV290">
        <f>AV289+IF(AND($E290&lt;&gt;"",$E290&lt;=AV$2,$F290&gt;=AV$2),1,0)</f>
        <v/>
      </c>
      <c r="AW290">
        <f>AW289+IF(AND($E290&lt;&gt;"",$E290&lt;=AW$2,$F290&gt;=AW$2),1,0)</f>
        <v/>
      </c>
    </row>
    <row r="291">
      <c r="A291">
        <f>IF(AND(ISNUMBER(Events!$A293),ISNUMBER(Events!$B293)),MAX(0,Events!$B293-Events!$A293),0)</f>
        <v/>
      </c>
      <c r="B291">
        <f>IF(ISNUMBER(Events!$A293),DATE(YEAR($B$1)-1,MONTH(Events!$A293),DAY(Events!$A293)),"")</f>
        <v/>
      </c>
      <c r="C291">
        <f>IF(ISNUMBER(Events!$A293),DATE(YEAR($B$1),MONTH(Events!$A293),DAY(Events!$A293)),"")</f>
        <v/>
      </c>
      <c r="D291">
        <f>IF(ISNUMBER(Events!$A293),DATE(YEAR($B$2),MONTH(Events!$A293),DAY(Events!$A293)),"")</f>
        <v/>
      </c>
      <c r="E291">
        <f>IF(OR(NOT(ISNUMBER(Events!$A293)),Events!$G293="No",Calendar!$H$4="None"),"",IF(OR(Calendar!$H$4="All events",Events!$D293=Calendar!$H$4),IF(Events!$E293="Yes",IF(AND(B291&gt;=Events!$A293,B291&lt;=$B$2,B291+$A291&gt;=$B$1),B291,IF(AND(C291&gt;=Events!$A293,C291&lt;=$B$2,C291+$A291&gt;=$B$1),C291,IF(AND(D291&gt;=Events!$A293,D291&lt;=$B$2,D291+$A291&gt;=$B$1),D291,""))),IF(AND(Events!$A293&lt;=$B$2,Events!$A293+$A291&gt;=$B$1),Events!$A293,"")),""))</f>
        <v/>
      </c>
      <c r="F291">
        <f>IF(E291="","",E291+A291)</f>
        <v/>
      </c>
      <c r="G291">
        <f>IF(E291="","",IF(AND(E291&lt;=EOMONTH(Calendar!$K$2,0),F291&gt;=Calendar!$K$2),E291+288/100000,""))</f>
        <v/>
      </c>
      <c r="H291">
        <f>H290+IF(AND($E291&lt;&gt;"",$E291&lt;=H$2,$F291&gt;=H$2),1,0)</f>
        <v/>
      </c>
      <c r="I291">
        <f>I290+IF(AND($E291&lt;&gt;"",$E291&lt;=I$2,$F291&gt;=I$2),1,0)</f>
        <v/>
      </c>
      <c r="J291">
        <f>J290+IF(AND($E291&lt;&gt;"",$E291&lt;=J$2,$F291&gt;=J$2),1,0)</f>
        <v/>
      </c>
      <c r="K291">
        <f>K290+IF(AND($E291&lt;&gt;"",$E291&lt;=K$2,$F291&gt;=K$2),1,0)</f>
        <v/>
      </c>
      <c r="L291">
        <f>L290+IF(AND($E291&lt;&gt;"",$E291&lt;=L$2,$F291&gt;=L$2),1,0)</f>
        <v/>
      </c>
      <c r="M291">
        <f>M290+IF(AND($E291&lt;&gt;"",$E291&lt;=M$2,$F291&gt;=M$2),1,0)</f>
        <v/>
      </c>
      <c r="N291">
        <f>N290+IF(AND($E291&lt;&gt;"",$E291&lt;=N$2,$F291&gt;=N$2),1,0)</f>
        <v/>
      </c>
      <c r="O291">
        <f>O290+IF(AND($E291&lt;&gt;"",$E291&lt;=O$2,$F291&gt;=O$2),1,0)</f>
        <v/>
      </c>
      <c r="P291">
        <f>P290+IF(AND($E291&lt;&gt;"",$E291&lt;=P$2,$F291&gt;=P$2),1,0)</f>
        <v/>
      </c>
      <c r="Q291">
        <f>Q290+IF(AND($E291&lt;&gt;"",$E291&lt;=Q$2,$F291&gt;=Q$2),1,0)</f>
        <v/>
      </c>
      <c r="R291">
        <f>R290+IF(AND($E291&lt;&gt;"",$E291&lt;=R$2,$F291&gt;=R$2),1,0)</f>
        <v/>
      </c>
      <c r="S291">
        <f>S290+IF(AND($E291&lt;&gt;"",$E291&lt;=S$2,$F291&gt;=S$2),1,0)</f>
        <v/>
      </c>
      <c r="T291">
        <f>T290+IF(AND($E291&lt;&gt;"",$E291&lt;=T$2,$F291&gt;=T$2),1,0)</f>
        <v/>
      </c>
      <c r="U291">
        <f>U290+IF(AND($E291&lt;&gt;"",$E291&lt;=U$2,$F291&gt;=U$2),1,0)</f>
        <v/>
      </c>
      <c r="V291">
        <f>V290+IF(AND($E291&lt;&gt;"",$E291&lt;=V$2,$F291&gt;=V$2),1,0)</f>
        <v/>
      </c>
      <c r="W291">
        <f>W290+IF(AND($E291&lt;&gt;"",$E291&lt;=W$2,$F291&gt;=W$2),1,0)</f>
        <v/>
      </c>
      <c r="X291">
        <f>X290+IF(AND($E291&lt;&gt;"",$E291&lt;=X$2,$F291&gt;=X$2),1,0)</f>
        <v/>
      </c>
      <c r="Y291">
        <f>Y290+IF(AND($E291&lt;&gt;"",$E291&lt;=Y$2,$F291&gt;=Y$2),1,0)</f>
        <v/>
      </c>
      <c r="Z291">
        <f>Z290+IF(AND($E291&lt;&gt;"",$E291&lt;=Z$2,$F291&gt;=Z$2),1,0)</f>
        <v/>
      </c>
      <c r="AA291">
        <f>AA290+IF(AND($E291&lt;&gt;"",$E291&lt;=AA$2,$F291&gt;=AA$2),1,0)</f>
        <v/>
      </c>
      <c r="AB291">
        <f>AB290+IF(AND($E291&lt;&gt;"",$E291&lt;=AB$2,$F291&gt;=AB$2),1,0)</f>
        <v/>
      </c>
      <c r="AC291">
        <f>AC290+IF(AND($E291&lt;&gt;"",$E291&lt;=AC$2,$F291&gt;=AC$2),1,0)</f>
        <v/>
      </c>
      <c r="AD291">
        <f>AD290+IF(AND($E291&lt;&gt;"",$E291&lt;=AD$2,$F291&gt;=AD$2),1,0)</f>
        <v/>
      </c>
      <c r="AE291">
        <f>AE290+IF(AND($E291&lt;&gt;"",$E291&lt;=AE$2,$F291&gt;=AE$2),1,0)</f>
        <v/>
      </c>
      <c r="AF291">
        <f>AF290+IF(AND($E291&lt;&gt;"",$E291&lt;=AF$2,$F291&gt;=AF$2),1,0)</f>
        <v/>
      </c>
      <c r="AG291">
        <f>AG290+IF(AND($E291&lt;&gt;"",$E291&lt;=AG$2,$F291&gt;=AG$2),1,0)</f>
        <v/>
      </c>
      <c r="AH291">
        <f>AH290+IF(AND($E291&lt;&gt;"",$E291&lt;=AH$2,$F291&gt;=AH$2),1,0)</f>
        <v/>
      </c>
      <c r="AI291">
        <f>AI290+IF(AND($E291&lt;&gt;"",$E291&lt;=AI$2,$F291&gt;=AI$2),1,0)</f>
        <v/>
      </c>
      <c r="AJ291">
        <f>AJ290+IF(AND($E291&lt;&gt;"",$E291&lt;=AJ$2,$F291&gt;=AJ$2),1,0)</f>
        <v/>
      </c>
      <c r="AK291">
        <f>AK290+IF(AND($E291&lt;&gt;"",$E291&lt;=AK$2,$F291&gt;=AK$2),1,0)</f>
        <v/>
      </c>
      <c r="AL291">
        <f>AL290+IF(AND($E291&lt;&gt;"",$E291&lt;=AL$2,$F291&gt;=AL$2),1,0)</f>
        <v/>
      </c>
      <c r="AM291">
        <f>AM290+IF(AND($E291&lt;&gt;"",$E291&lt;=AM$2,$F291&gt;=AM$2),1,0)</f>
        <v/>
      </c>
      <c r="AN291">
        <f>AN290+IF(AND($E291&lt;&gt;"",$E291&lt;=AN$2,$F291&gt;=AN$2),1,0)</f>
        <v/>
      </c>
      <c r="AO291">
        <f>AO290+IF(AND($E291&lt;&gt;"",$E291&lt;=AO$2,$F291&gt;=AO$2),1,0)</f>
        <v/>
      </c>
      <c r="AP291">
        <f>AP290+IF(AND($E291&lt;&gt;"",$E291&lt;=AP$2,$F291&gt;=AP$2),1,0)</f>
        <v/>
      </c>
      <c r="AQ291">
        <f>AQ290+IF(AND($E291&lt;&gt;"",$E291&lt;=AQ$2,$F291&gt;=AQ$2),1,0)</f>
        <v/>
      </c>
      <c r="AR291">
        <f>AR290+IF(AND($E291&lt;&gt;"",$E291&lt;=AR$2,$F291&gt;=AR$2),1,0)</f>
        <v/>
      </c>
      <c r="AS291">
        <f>AS290+IF(AND($E291&lt;&gt;"",$E291&lt;=AS$2,$F291&gt;=AS$2),1,0)</f>
        <v/>
      </c>
      <c r="AT291">
        <f>AT290+IF(AND($E291&lt;&gt;"",$E291&lt;=AT$2,$F291&gt;=AT$2),1,0)</f>
        <v/>
      </c>
      <c r="AU291">
        <f>AU290+IF(AND($E291&lt;&gt;"",$E291&lt;=AU$2,$F291&gt;=AU$2),1,0)</f>
        <v/>
      </c>
      <c r="AV291">
        <f>AV290+IF(AND($E291&lt;&gt;"",$E291&lt;=AV$2,$F291&gt;=AV$2),1,0)</f>
        <v/>
      </c>
      <c r="AW291">
        <f>AW290+IF(AND($E291&lt;&gt;"",$E291&lt;=AW$2,$F291&gt;=AW$2),1,0)</f>
        <v/>
      </c>
    </row>
    <row r="292">
      <c r="A292">
        <f>IF(AND(ISNUMBER(Events!$A294),ISNUMBER(Events!$B294)),MAX(0,Events!$B294-Events!$A294),0)</f>
        <v/>
      </c>
      <c r="B292">
        <f>IF(ISNUMBER(Events!$A294),DATE(YEAR($B$1)-1,MONTH(Events!$A294),DAY(Events!$A294)),"")</f>
        <v/>
      </c>
      <c r="C292">
        <f>IF(ISNUMBER(Events!$A294),DATE(YEAR($B$1),MONTH(Events!$A294),DAY(Events!$A294)),"")</f>
        <v/>
      </c>
      <c r="D292">
        <f>IF(ISNUMBER(Events!$A294),DATE(YEAR($B$2),MONTH(Events!$A294),DAY(Events!$A294)),"")</f>
        <v/>
      </c>
      <c r="E292">
        <f>IF(OR(NOT(ISNUMBER(Events!$A294)),Events!$G294="No",Calendar!$H$4="None"),"",IF(OR(Calendar!$H$4="All events",Events!$D294=Calendar!$H$4),IF(Events!$E294="Yes",IF(AND(B292&gt;=Events!$A294,B292&lt;=$B$2,B292+$A292&gt;=$B$1),B292,IF(AND(C292&gt;=Events!$A294,C292&lt;=$B$2,C292+$A292&gt;=$B$1),C292,IF(AND(D292&gt;=Events!$A294,D292&lt;=$B$2,D292+$A292&gt;=$B$1),D292,""))),IF(AND(Events!$A294&lt;=$B$2,Events!$A294+$A292&gt;=$B$1),Events!$A294,"")),""))</f>
        <v/>
      </c>
      <c r="F292">
        <f>IF(E292="","",E292+A292)</f>
        <v/>
      </c>
      <c r="G292">
        <f>IF(E292="","",IF(AND(E292&lt;=EOMONTH(Calendar!$K$2,0),F292&gt;=Calendar!$K$2),E292+289/100000,""))</f>
        <v/>
      </c>
      <c r="H292">
        <f>H291+IF(AND($E292&lt;&gt;"",$E292&lt;=H$2,$F292&gt;=H$2),1,0)</f>
        <v/>
      </c>
      <c r="I292">
        <f>I291+IF(AND($E292&lt;&gt;"",$E292&lt;=I$2,$F292&gt;=I$2),1,0)</f>
        <v/>
      </c>
      <c r="J292">
        <f>J291+IF(AND($E292&lt;&gt;"",$E292&lt;=J$2,$F292&gt;=J$2),1,0)</f>
        <v/>
      </c>
      <c r="K292">
        <f>K291+IF(AND($E292&lt;&gt;"",$E292&lt;=K$2,$F292&gt;=K$2),1,0)</f>
        <v/>
      </c>
      <c r="L292">
        <f>L291+IF(AND($E292&lt;&gt;"",$E292&lt;=L$2,$F292&gt;=L$2),1,0)</f>
        <v/>
      </c>
      <c r="M292">
        <f>M291+IF(AND($E292&lt;&gt;"",$E292&lt;=M$2,$F292&gt;=M$2),1,0)</f>
        <v/>
      </c>
      <c r="N292">
        <f>N291+IF(AND($E292&lt;&gt;"",$E292&lt;=N$2,$F292&gt;=N$2),1,0)</f>
        <v/>
      </c>
      <c r="O292">
        <f>O291+IF(AND($E292&lt;&gt;"",$E292&lt;=O$2,$F292&gt;=O$2),1,0)</f>
        <v/>
      </c>
      <c r="P292">
        <f>P291+IF(AND($E292&lt;&gt;"",$E292&lt;=P$2,$F292&gt;=P$2),1,0)</f>
        <v/>
      </c>
      <c r="Q292">
        <f>Q291+IF(AND($E292&lt;&gt;"",$E292&lt;=Q$2,$F292&gt;=Q$2),1,0)</f>
        <v/>
      </c>
      <c r="R292">
        <f>R291+IF(AND($E292&lt;&gt;"",$E292&lt;=R$2,$F292&gt;=R$2),1,0)</f>
        <v/>
      </c>
      <c r="S292">
        <f>S291+IF(AND($E292&lt;&gt;"",$E292&lt;=S$2,$F292&gt;=S$2),1,0)</f>
        <v/>
      </c>
      <c r="T292">
        <f>T291+IF(AND($E292&lt;&gt;"",$E292&lt;=T$2,$F292&gt;=T$2),1,0)</f>
        <v/>
      </c>
      <c r="U292">
        <f>U291+IF(AND($E292&lt;&gt;"",$E292&lt;=U$2,$F292&gt;=U$2),1,0)</f>
        <v/>
      </c>
      <c r="V292">
        <f>V291+IF(AND($E292&lt;&gt;"",$E292&lt;=V$2,$F292&gt;=V$2),1,0)</f>
        <v/>
      </c>
      <c r="W292">
        <f>W291+IF(AND($E292&lt;&gt;"",$E292&lt;=W$2,$F292&gt;=W$2),1,0)</f>
        <v/>
      </c>
      <c r="X292">
        <f>X291+IF(AND($E292&lt;&gt;"",$E292&lt;=X$2,$F292&gt;=X$2),1,0)</f>
        <v/>
      </c>
      <c r="Y292">
        <f>Y291+IF(AND($E292&lt;&gt;"",$E292&lt;=Y$2,$F292&gt;=Y$2),1,0)</f>
        <v/>
      </c>
      <c r="Z292">
        <f>Z291+IF(AND($E292&lt;&gt;"",$E292&lt;=Z$2,$F292&gt;=Z$2),1,0)</f>
        <v/>
      </c>
      <c r="AA292">
        <f>AA291+IF(AND($E292&lt;&gt;"",$E292&lt;=AA$2,$F292&gt;=AA$2),1,0)</f>
        <v/>
      </c>
      <c r="AB292">
        <f>AB291+IF(AND($E292&lt;&gt;"",$E292&lt;=AB$2,$F292&gt;=AB$2),1,0)</f>
        <v/>
      </c>
      <c r="AC292">
        <f>AC291+IF(AND($E292&lt;&gt;"",$E292&lt;=AC$2,$F292&gt;=AC$2),1,0)</f>
        <v/>
      </c>
      <c r="AD292">
        <f>AD291+IF(AND($E292&lt;&gt;"",$E292&lt;=AD$2,$F292&gt;=AD$2),1,0)</f>
        <v/>
      </c>
      <c r="AE292">
        <f>AE291+IF(AND($E292&lt;&gt;"",$E292&lt;=AE$2,$F292&gt;=AE$2),1,0)</f>
        <v/>
      </c>
      <c r="AF292">
        <f>AF291+IF(AND($E292&lt;&gt;"",$E292&lt;=AF$2,$F292&gt;=AF$2),1,0)</f>
        <v/>
      </c>
      <c r="AG292">
        <f>AG291+IF(AND($E292&lt;&gt;"",$E292&lt;=AG$2,$F292&gt;=AG$2),1,0)</f>
        <v/>
      </c>
      <c r="AH292">
        <f>AH291+IF(AND($E292&lt;&gt;"",$E292&lt;=AH$2,$F292&gt;=AH$2),1,0)</f>
        <v/>
      </c>
      <c r="AI292">
        <f>AI291+IF(AND($E292&lt;&gt;"",$E292&lt;=AI$2,$F292&gt;=AI$2),1,0)</f>
        <v/>
      </c>
      <c r="AJ292">
        <f>AJ291+IF(AND($E292&lt;&gt;"",$E292&lt;=AJ$2,$F292&gt;=AJ$2),1,0)</f>
        <v/>
      </c>
      <c r="AK292">
        <f>AK291+IF(AND($E292&lt;&gt;"",$E292&lt;=AK$2,$F292&gt;=AK$2),1,0)</f>
        <v/>
      </c>
      <c r="AL292">
        <f>AL291+IF(AND($E292&lt;&gt;"",$E292&lt;=AL$2,$F292&gt;=AL$2),1,0)</f>
        <v/>
      </c>
      <c r="AM292">
        <f>AM291+IF(AND($E292&lt;&gt;"",$E292&lt;=AM$2,$F292&gt;=AM$2),1,0)</f>
        <v/>
      </c>
      <c r="AN292">
        <f>AN291+IF(AND($E292&lt;&gt;"",$E292&lt;=AN$2,$F292&gt;=AN$2),1,0)</f>
        <v/>
      </c>
      <c r="AO292">
        <f>AO291+IF(AND($E292&lt;&gt;"",$E292&lt;=AO$2,$F292&gt;=AO$2),1,0)</f>
        <v/>
      </c>
      <c r="AP292">
        <f>AP291+IF(AND($E292&lt;&gt;"",$E292&lt;=AP$2,$F292&gt;=AP$2),1,0)</f>
        <v/>
      </c>
      <c r="AQ292">
        <f>AQ291+IF(AND($E292&lt;&gt;"",$E292&lt;=AQ$2,$F292&gt;=AQ$2),1,0)</f>
        <v/>
      </c>
      <c r="AR292">
        <f>AR291+IF(AND($E292&lt;&gt;"",$E292&lt;=AR$2,$F292&gt;=AR$2),1,0)</f>
        <v/>
      </c>
      <c r="AS292">
        <f>AS291+IF(AND($E292&lt;&gt;"",$E292&lt;=AS$2,$F292&gt;=AS$2),1,0)</f>
        <v/>
      </c>
      <c r="AT292">
        <f>AT291+IF(AND($E292&lt;&gt;"",$E292&lt;=AT$2,$F292&gt;=AT$2),1,0)</f>
        <v/>
      </c>
      <c r="AU292">
        <f>AU291+IF(AND($E292&lt;&gt;"",$E292&lt;=AU$2,$F292&gt;=AU$2),1,0)</f>
        <v/>
      </c>
      <c r="AV292">
        <f>AV291+IF(AND($E292&lt;&gt;"",$E292&lt;=AV$2,$F292&gt;=AV$2),1,0)</f>
        <v/>
      </c>
      <c r="AW292">
        <f>AW291+IF(AND($E292&lt;&gt;"",$E292&lt;=AW$2,$F292&gt;=AW$2),1,0)</f>
        <v/>
      </c>
    </row>
    <row r="293">
      <c r="A293">
        <f>IF(AND(ISNUMBER(Events!$A295),ISNUMBER(Events!$B295)),MAX(0,Events!$B295-Events!$A295),0)</f>
        <v/>
      </c>
      <c r="B293">
        <f>IF(ISNUMBER(Events!$A295),DATE(YEAR($B$1)-1,MONTH(Events!$A295),DAY(Events!$A295)),"")</f>
        <v/>
      </c>
      <c r="C293">
        <f>IF(ISNUMBER(Events!$A295),DATE(YEAR($B$1),MONTH(Events!$A295),DAY(Events!$A295)),"")</f>
        <v/>
      </c>
      <c r="D293">
        <f>IF(ISNUMBER(Events!$A295),DATE(YEAR($B$2),MONTH(Events!$A295),DAY(Events!$A295)),"")</f>
        <v/>
      </c>
      <c r="E293">
        <f>IF(OR(NOT(ISNUMBER(Events!$A295)),Events!$G295="No",Calendar!$H$4="None"),"",IF(OR(Calendar!$H$4="All events",Events!$D295=Calendar!$H$4),IF(Events!$E295="Yes",IF(AND(B293&gt;=Events!$A295,B293&lt;=$B$2,B293+$A293&gt;=$B$1),B293,IF(AND(C293&gt;=Events!$A295,C293&lt;=$B$2,C293+$A293&gt;=$B$1),C293,IF(AND(D293&gt;=Events!$A295,D293&lt;=$B$2,D293+$A293&gt;=$B$1),D293,""))),IF(AND(Events!$A295&lt;=$B$2,Events!$A295+$A293&gt;=$B$1),Events!$A295,"")),""))</f>
        <v/>
      </c>
      <c r="F293">
        <f>IF(E293="","",E293+A293)</f>
        <v/>
      </c>
      <c r="G293">
        <f>IF(E293="","",IF(AND(E293&lt;=EOMONTH(Calendar!$K$2,0),F293&gt;=Calendar!$K$2),E293+290/100000,""))</f>
        <v/>
      </c>
      <c r="H293">
        <f>H292+IF(AND($E293&lt;&gt;"",$E293&lt;=H$2,$F293&gt;=H$2),1,0)</f>
        <v/>
      </c>
      <c r="I293">
        <f>I292+IF(AND($E293&lt;&gt;"",$E293&lt;=I$2,$F293&gt;=I$2),1,0)</f>
        <v/>
      </c>
      <c r="J293">
        <f>J292+IF(AND($E293&lt;&gt;"",$E293&lt;=J$2,$F293&gt;=J$2),1,0)</f>
        <v/>
      </c>
      <c r="K293">
        <f>K292+IF(AND($E293&lt;&gt;"",$E293&lt;=K$2,$F293&gt;=K$2),1,0)</f>
        <v/>
      </c>
      <c r="L293">
        <f>L292+IF(AND($E293&lt;&gt;"",$E293&lt;=L$2,$F293&gt;=L$2),1,0)</f>
        <v/>
      </c>
      <c r="M293">
        <f>M292+IF(AND($E293&lt;&gt;"",$E293&lt;=M$2,$F293&gt;=M$2),1,0)</f>
        <v/>
      </c>
      <c r="N293">
        <f>N292+IF(AND($E293&lt;&gt;"",$E293&lt;=N$2,$F293&gt;=N$2),1,0)</f>
        <v/>
      </c>
      <c r="O293">
        <f>O292+IF(AND($E293&lt;&gt;"",$E293&lt;=O$2,$F293&gt;=O$2),1,0)</f>
        <v/>
      </c>
      <c r="P293">
        <f>P292+IF(AND($E293&lt;&gt;"",$E293&lt;=P$2,$F293&gt;=P$2),1,0)</f>
        <v/>
      </c>
      <c r="Q293">
        <f>Q292+IF(AND($E293&lt;&gt;"",$E293&lt;=Q$2,$F293&gt;=Q$2),1,0)</f>
        <v/>
      </c>
      <c r="R293">
        <f>R292+IF(AND($E293&lt;&gt;"",$E293&lt;=R$2,$F293&gt;=R$2),1,0)</f>
        <v/>
      </c>
      <c r="S293">
        <f>S292+IF(AND($E293&lt;&gt;"",$E293&lt;=S$2,$F293&gt;=S$2),1,0)</f>
        <v/>
      </c>
      <c r="T293">
        <f>T292+IF(AND($E293&lt;&gt;"",$E293&lt;=T$2,$F293&gt;=T$2),1,0)</f>
        <v/>
      </c>
      <c r="U293">
        <f>U292+IF(AND($E293&lt;&gt;"",$E293&lt;=U$2,$F293&gt;=U$2),1,0)</f>
        <v/>
      </c>
      <c r="V293">
        <f>V292+IF(AND($E293&lt;&gt;"",$E293&lt;=V$2,$F293&gt;=V$2),1,0)</f>
        <v/>
      </c>
      <c r="W293">
        <f>W292+IF(AND($E293&lt;&gt;"",$E293&lt;=W$2,$F293&gt;=W$2),1,0)</f>
        <v/>
      </c>
      <c r="X293">
        <f>X292+IF(AND($E293&lt;&gt;"",$E293&lt;=X$2,$F293&gt;=X$2),1,0)</f>
        <v/>
      </c>
      <c r="Y293">
        <f>Y292+IF(AND($E293&lt;&gt;"",$E293&lt;=Y$2,$F293&gt;=Y$2),1,0)</f>
        <v/>
      </c>
      <c r="Z293">
        <f>Z292+IF(AND($E293&lt;&gt;"",$E293&lt;=Z$2,$F293&gt;=Z$2),1,0)</f>
        <v/>
      </c>
      <c r="AA293">
        <f>AA292+IF(AND($E293&lt;&gt;"",$E293&lt;=AA$2,$F293&gt;=AA$2),1,0)</f>
        <v/>
      </c>
      <c r="AB293">
        <f>AB292+IF(AND($E293&lt;&gt;"",$E293&lt;=AB$2,$F293&gt;=AB$2),1,0)</f>
        <v/>
      </c>
      <c r="AC293">
        <f>AC292+IF(AND($E293&lt;&gt;"",$E293&lt;=AC$2,$F293&gt;=AC$2),1,0)</f>
        <v/>
      </c>
      <c r="AD293">
        <f>AD292+IF(AND($E293&lt;&gt;"",$E293&lt;=AD$2,$F293&gt;=AD$2),1,0)</f>
        <v/>
      </c>
      <c r="AE293">
        <f>AE292+IF(AND($E293&lt;&gt;"",$E293&lt;=AE$2,$F293&gt;=AE$2),1,0)</f>
        <v/>
      </c>
      <c r="AF293">
        <f>AF292+IF(AND($E293&lt;&gt;"",$E293&lt;=AF$2,$F293&gt;=AF$2),1,0)</f>
        <v/>
      </c>
      <c r="AG293">
        <f>AG292+IF(AND($E293&lt;&gt;"",$E293&lt;=AG$2,$F293&gt;=AG$2),1,0)</f>
        <v/>
      </c>
      <c r="AH293">
        <f>AH292+IF(AND($E293&lt;&gt;"",$E293&lt;=AH$2,$F293&gt;=AH$2),1,0)</f>
        <v/>
      </c>
      <c r="AI293">
        <f>AI292+IF(AND($E293&lt;&gt;"",$E293&lt;=AI$2,$F293&gt;=AI$2),1,0)</f>
        <v/>
      </c>
      <c r="AJ293">
        <f>AJ292+IF(AND($E293&lt;&gt;"",$E293&lt;=AJ$2,$F293&gt;=AJ$2),1,0)</f>
        <v/>
      </c>
      <c r="AK293">
        <f>AK292+IF(AND($E293&lt;&gt;"",$E293&lt;=AK$2,$F293&gt;=AK$2),1,0)</f>
        <v/>
      </c>
      <c r="AL293">
        <f>AL292+IF(AND($E293&lt;&gt;"",$E293&lt;=AL$2,$F293&gt;=AL$2),1,0)</f>
        <v/>
      </c>
      <c r="AM293">
        <f>AM292+IF(AND($E293&lt;&gt;"",$E293&lt;=AM$2,$F293&gt;=AM$2),1,0)</f>
        <v/>
      </c>
      <c r="AN293">
        <f>AN292+IF(AND($E293&lt;&gt;"",$E293&lt;=AN$2,$F293&gt;=AN$2),1,0)</f>
        <v/>
      </c>
      <c r="AO293">
        <f>AO292+IF(AND($E293&lt;&gt;"",$E293&lt;=AO$2,$F293&gt;=AO$2),1,0)</f>
        <v/>
      </c>
      <c r="AP293">
        <f>AP292+IF(AND($E293&lt;&gt;"",$E293&lt;=AP$2,$F293&gt;=AP$2),1,0)</f>
        <v/>
      </c>
      <c r="AQ293">
        <f>AQ292+IF(AND($E293&lt;&gt;"",$E293&lt;=AQ$2,$F293&gt;=AQ$2),1,0)</f>
        <v/>
      </c>
      <c r="AR293">
        <f>AR292+IF(AND($E293&lt;&gt;"",$E293&lt;=AR$2,$F293&gt;=AR$2),1,0)</f>
        <v/>
      </c>
      <c r="AS293">
        <f>AS292+IF(AND($E293&lt;&gt;"",$E293&lt;=AS$2,$F293&gt;=AS$2),1,0)</f>
        <v/>
      </c>
      <c r="AT293">
        <f>AT292+IF(AND($E293&lt;&gt;"",$E293&lt;=AT$2,$F293&gt;=AT$2),1,0)</f>
        <v/>
      </c>
      <c r="AU293">
        <f>AU292+IF(AND($E293&lt;&gt;"",$E293&lt;=AU$2,$F293&gt;=AU$2),1,0)</f>
        <v/>
      </c>
      <c r="AV293">
        <f>AV292+IF(AND($E293&lt;&gt;"",$E293&lt;=AV$2,$F293&gt;=AV$2),1,0)</f>
        <v/>
      </c>
      <c r="AW293">
        <f>AW292+IF(AND($E293&lt;&gt;"",$E293&lt;=AW$2,$F293&gt;=AW$2),1,0)</f>
        <v/>
      </c>
    </row>
    <row r="294">
      <c r="A294">
        <f>IF(AND(ISNUMBER(Events!$A296),ISNUMBER(Events!$B296)),MAX(0,Events!$B296-Events!$A296),0)</f>
        <v/>
      </c>
      <c r="B294">
        <f>IF(ISNUMBER(Events!$A296),DATE(YEAR($B$1)-1,MONTH(Events!$A296),DAY(Events!$A296)),"")</f>
        <v/>
      </c>
      <c r="C294">
        <f>IF(ISNUMBER(Events!$A296),DATE(YEAR($B$1),MONTH(Events!$A296),DAY(Events!$A296)),"")</f>
        <v/>
      </c>
      <c r="D294">
        <f>IF(ISNUMBER(Events!$A296),DATE(YEAR($B$2),MONTH(Events!$A296),DAY(Events!$A296)),"")</f>
        <v/>
      </c>
      <c r="E294">
        <f>IF(OR(NOT(ISNUMBER(Events!$A296)),Events!$G296="No",Calendar!$H$4="None"),"",IF(OR(Calendar!$H$4="All events",Events!$D296=Calendar!$H$4),IF(Events!$E296="Yes",IF(AND(B294&gt;=Events!$A296,B294&lt;=$B$2,B294+$A294&gt;=$B$1),B294,IF(AND(C294&gt;=Events!$A296,C294&lt;=$B$2,C294+$A294&gt;=$B$1),C294,IF(AND(D294&gt;=Events!$A296,D294&lt;=$B$2,D294+$A294&gt;=$B$1),D294,""))),IF(AND(Events!$A296&lt;=$B$2,Events!$A296+$A294&gt;=$B$1),Events!$A296,"")),""))</f>
        <v/>
      </c>
      <c r="F294">
        <f>IF(E294="","",E294+A294)</f>
        <v/>
      </c>
      <c r="G294">
        <f>IF(E294="","",IF(AND(E294&lt;=EOMONTH(Calendar!$K$2,0),F294&gt;=Calendar!$K$2),E294+291/100000,""))</f>
        <v/>
      </c>
      <c r="H294">
        <f>H293+IF(AND($E294&lt;&gt;"",$E294&lt;=H$2,$F294&gt;=H$2),1,0)</f>
        <v/>
      </c>
      <c r="I294">
        <f>I293+IF(AND($E294&lt;&gt;"",$E294&lt;=I$2,$F294&gt;=I$2),1,0)</f>
        <v/>
      </c>
      <c r="J294">
        <f>J293+IF(AND($E294&lt;&gt;"",$E294&lt;=J$2,$F294&gt;=J$2),1,0)</f>
        <v/>
      </c>
      <c r="K294">
        <f>K293+IF(AND($E294&lt;&gt;"",$E294&lt;=K$2,$F294&gt;=K$2),1,0)</f>
        <v/>
      </c>
      <c r="L294">
        <f>L293+IF(AND($E294&lt;&gt;"",$E294&lt;=L$2,$F294&gt;=L$2),1,0)</f>
        <v/>
      </c>
      <c r="M294">
        <f>M293+IF(AND($E294&lt;&gt;"",$E294&lt;=M$2,$F294&gt;=M$2),1,0)</f>
        <v/>
      </c>
      <c r="N294">
        <f>N293+IF(AND($E294&lt;&gt;"",$E294&lt;=N$2,$F294&gt;=N$2),1,0)</f>
        <v/>
      </c>
      <c r="O294">
        <f>O293+IF(AND($E294&lt;&gt;"",$E294&lt;=O$2,$F294&gt;=O$2),1,0)</f>
        <v/>
      </c>
      <c r="P294">
        <f>P293+IF(AND($E294&lt;&gt;"",$E294&lt;=P$2,$F294&gt;=P$2),1,0)</f>
        <v/>
      </c>
      <c r="Q294">
        <f>Q293+IF(AND($E294&lt;&gt;"",$E294&lt;=Q$2,$F294&gt;=Q$2),1,0)</f>
        <v/>
      </c>
      <c r="R294">
        <f>R293+IF(AND($E294&lt;&gt;"",$E294&lt;=R$2,$F294&gt;=R$2),1,0)</f>
        <v/>
      </c>
      <c r="S294">
        <f>S293+IF(AND($E294&lt;&gt;"",$E294&lt;=S$2,$F294&gt;=S$2),1,0)</f>
        <v/>
      </c>
      <c r="T294">
        <f>T293+IF(AND($E294&lt;&gt;"",$E294&lt;=T$2,$F294&gt;=T$2),1,0)</f>
        <v/>
      </c>
      <c r="U294">
        <f>U293+IF(AND($E294&lt;&gt;"",$E294&lt;=U$2,$F294&gt;=U$2),1,0)</f>
        <v/>
      </c>
      <c r="V294">
        <f>V293+IF(AND($E294&lt;&gt;"",$E294&lt;=V$2,$F294&gt;=V$2),1,0)</f>
        <v/>
      </c>
      <c r="W294">
        <f>W293+IF(AND($E294&lt;&gt;"",$E294&lt;=W$2,$F294&gt;=W$2),1,0)</f>
        <v/>
      </c>
      <c r="X294">
        <f>X293+IF(AND($E294&lt;&gt;"",$E294&lt;=X$2,$F294&gt;=X$2),1,0)</f>
        <v/>
      </c>
      <c r="Y294">
        <f>Y293+IF(AND($E294&lt;&gt;"",$E294&lt;=Y$2,$F294&gt;=Y$2),1,0)</f>
        <v/>
      </c>
      <c r="Z294">
        <f>Z293+IF(AND($E294&lt;&gt;"",$E294&lt;=Z$2,$F294&gt;=Z$2),1,0)</f>
        <v/>
      </c>
      <c r="AA294">
        <f>AA293+IF(AND($E294&lt;&gt;"",$E294&lt;=AA$2,$F294&gt;=AA$2),1,0)</f>
        <v/>
      </c>
      <c r="AB294">
        <f>AB293+IF(AND($E294&lt;&gt;"",$E294&lt;=AB$2,$F294&gt;=AB$2),1,0)</f>
        <v/>
      </c>
      <c r="AC294">
        <f>AC293+IF(AND($E294&lt;&gt;"",$E294&lt;=AC$2,$F294&gt;=AC$2),1,0)</f>
        <v/>
      </c>
      <c r="AD294">
        <f>AD293+IF(AND($E294&lt;&gt;"",$E294&lt;=AD$2,$F294&gt;=AD$2),1,0)</f>
        <v/>
      </c>
      <c r="AE294">
        <f>AE293+IF(AND($E294&lt;&gt;"",$E294&lt;=AE$2,$F294&gt;=AE$2),1,0)</f>
        <v/>
      </c>
      <c r="AF294">
        <f>AF293+IF(AND($E294&lt;&gt;"",$E294&lt;=AF$2,$F294&gt;=AF$2),1,0)</f>
        <v/>
      </c>
      <c r="AG294">
        <f>AG293+IF(AND($E294&lt;&gt;"",$E294&lt;=AG$2,$F294&gt;=AG$2),1,0)</f>
        <v/>
      </c>
      <c r="AH294">
        <f>AH293+IF(AND($E294&lt;&gt;"",$E294&lt;=AH$2,$F294&gt;=AH$2),1,0)</f>
        <v/>
      </c>
      <c r="AI294">
        <f>AI293+IF(AND($E294&lt;&gt;"",$E294&lt;=AI$2,$F294&gt;=AI$2),1,0)</f>
        <v/>
      </c>
      <c r="AJ294">
        <f>AJ293+IF(AND($E294&lt;&gt;"",$E294&lt;=AJ$2,$F294&gt;=AJ$2),1,0)</f>
        <v/>
      </c>
      <c r="AK294">
        <f>AK293+IF(AND($E294&lt;&gt;"",$E294&lt;=AK$2,$F294&gt;=AK$2),1,0)</f>
        <v/>
      </c>
      <c r="AL294">
        <f>AL293+IF(AND($E294&lt;&gt;"",$E294&lt;=AL$2,$F294&gt;=AL$2),1,0)</f>
        <v/>
      </c>
      <c r="AM294">
        <f>AM293+IF(AND($E294&lt;&gt;"",$E294&lt;=AM$2,$F294&gt;=AM$2),1,0)</f>
        <v/>
      </c>
      <c r="AN294">
        <f>AN293+IF(AND($E294&lt;&gt;"",$E294&lt;=AN$2,$F294&gt;=AN$2),1,0)</f>
        <v/>
      </c>
      <c r="AO294">
        <f>AO293+IF(AND($E294&lt;&gt;"",$E294&lt;=AO$2,$F294&gt;=AO$2),1,0)</f>
        <v/>
      </c>
      <c r="AP294">
        <f>AP293+IF(AND($E294&lt;&gt;"",$E294&lt;=AP$2,$F294&gt;=AP$2),1,0)</f>
        <v/>
      </c>
      <c r="AQ294">
        <f>AQ293+IF(AND($E294&lt;&gt;"",$E294&lt;=AQ$2,$F294&gt;=AQ$2),1,0)</f>
        <v/>
      </c>
      <c r="AR294">
        <f>AR293+IF(AND($E294&lt;&gt;"",$E294&lt;=AR$2,$F294&gt;=AR$2),1,0)</f>
        <v/>
      </c>
      <c r="AS294">
        <f>AS293+IF(AND($E294&lt;&gt;"",$E294&lt;=AS$2,$F294&gt;=AS$2),1,0)</f>
        <v/>
      </c>
      <c r="AT294">
        <f>AT293+IF(AND($E294&lt;&gt;"",$E294&lt;=AT$2,$F294&gt;=AT$2),1,0)</f>
        <v/>
      </c>
      <c r="AU294">
        <f>AU293+IF(AND($E294&lt;&gt;"",$E294&lt;=AU$2,$F294&gt;=AU$2),1,0)</f>
        <v/>
      </c>
      <c r="AV294">
        <f>AV293+IF(AND($E294&lt;&gt;"",$E294&lt;=AV$2,$F294&gt;=AV$2),1,0)</f>
        <v/>
      </c>
      <c r="AW294">
        <f>AW293+IF(AND($E294&lt;&gt;"",$E294&lt;=AW$2,$F294&gt;=AW$2),1,0)</f>
        <v/>
      </c>
    </row>
    <row r="295">
      <c r="A295">
        <f>IF(AND(ISNUMBER(Events!$A297),ISNUMBER(Events!$B297)),MAX(0,Events!$B297-Events!$A297),0)</f>
        <v/>
      </c>
      <c r="B295">
        <f>IF(ISNUMBER(Events!$A297),DATE(YEAR($B$1)-1,MONTH(Events!$A297),DAY(Events!$A297)),"")</f>
        <v/>
      </c>
      <c r="C295">
        <f>IF(ISNUMBER(Events!$A297),DATE(YEAR($B$1),MONTH(Events!$A297),DAY(Events!$A297)),"")</f>
        <v/>
      </c>
      <c r="D295">
        <f>IF(ISNUMBER(Events!$A297),DATE(YEAR($B$2),MONTH(Events!$A297),DAY(Events!$A297)),"")</f>
        <v/>
      </c>
      <c r="E295">
        <f>IF(OR(NOT(ISNUMBER(Events!$A297)),Events!$G297="No",Calendar!$H$4="None"),"",IF(OR(Calendar!$H$4="All events",Events!$D297=Calendar!$H$4),IF(Events!$E297="Yes",IF(AND(B295&gt;=Events!$A297,B295&lt;=$B$2,B295+$A295&gt;=$B$1),B295,IF(AND(C295&gt;=Events!$A297,C295&lt;=$B$2,C295+$A295&gt;=$B$1),C295,IF(AND(D295&gt;=Events!$A297,D295&lt;=$B$2,D295+$A295&gt;=$B$1),D295,""))),IF(AND(Events!$A297&lt;=$B$2,Events!$A297+$A295&gt;=$B$1),Events!$A297,"")),""))</f>
        <v/>
      </c>
      <c r="F295">
        <f>IF(E295="","",E295+A295)</f>
        <v/>
      </c>
      <c r="G295">
        <f>IF(E295="","",IF(AND(E295&lt;=EOMONTH(Calendar!$K$2,0),F295&gt;=Calendar!$K$2),E295+292/100000,""))</f>
        <v/>
      </c>
      <c r="H295">
        <f>H294+IF(AND($E295&lt;&gt;"",$E295&lt;=H$2,$F295&gt;=H$2),1,0)</f>
        <v/>
      </c>
      <c r="I295">
        <f>I294+IF(AND($E295&lt;&gt;"",$E295&lt;=I$2,$F295&gt;=I$2),1,0)</f>
        <v/>
      </c>
      <c r="J295">
        <f>J294+IF(AND($E295&lt;&gt;"",$E295&lt;=J$2,$F295&gt;=J$2),1,0)</f>
        <v/>
      </c>
      <c r="K295">
        <f>K294+IF(AND($E295&lt;&gt;"",$E295&lt;=K$2,$F295&gt;=K$2),1,0)</f>
        <v/>
      </c>
      <c r="L295">
        <f>L294+IF(AND($E295&lt;&gt;"",$E295&lt;=L$2,$F295&gt;=L$2),1,0)</f>
        <v/>
      </c>
      <c r="M295">
        <f>M294+IF(AND($E295&lt;&gt;"",$E295&lt;=M$2,$F295&gt;=M$2),1,0)</f>
        <v/>
      </c>
      <c r="N295">
        <f>N294+IF(AND($E295&lt;&gt;"",$E295&lt;=N$2,$F295&gt;=N$2),1,0)</f>
        <v/>
      </c>
      <c r="O295">
        <f>O294+IF(AND($E295&lt;&gt;"",$E295&lt;=O$2,$F295&gt;=O$2),1,0)</f>
        <v/>
      </c>
      <c r="P295">
        <f>P294+IF(AND($E295&lt;&gt;"",$E295&lt;=P$2,$F295&gt;=P$2),1,0)</f>
        <v/>
      </c>
      <c r="Q295">
        <f>Q294+IF(AND($E295&lt;&gt;"",$E295&lt;=Q$2,$F295&gt;=Q$2),1,0)</f>
        <v/>
      </c>
      <c r="R295">
        <f>R294+IF(AND($E295&lt;&gt;"",$E295&lt;=R$2,$F295&gt;=R$2),1,0)</f>
        <v/>
      </c>
      <c r="S295">
        <f>S294+IF(AND($E295&lt;&gt;"",$E295&lt;=S$2,$F295&gt;=S$2),1,0)</f>
        <v/>
      </c>
      <c r="T295">
        <f>T294+IF(AND($E295&lt;&gt;"",$E295&lt;=T$2,$F295&gt;=T$2),1,0)</f>
        <v/>
      </c>
      <c r="U295">
        <f>U294+IF(AND($E295&lt;&gt;"",$E295&lt;=U$2,$F295&gt;=U$2),1,0)</f>
        <v/>
      </c>
      <c r="V295">
        <f>V294+IF(AND($E295&lt;&gt;"",$E295&lt;=V$2,$F295&gt;=V$2),1,0)</f>
        <v/>
      </c>
      <c r="W295">
        <f>W294+IF(AND($E295&lt;&gt;"",$E295&lt;=W$2,$F295&gt;=W$2),1,0)</f>
        <v/>
      </c>
      <c r="X295">
        <f>X294+IF(AND($E295&lt;&gt;"",$E295&lt;=X$2,$F295&gt;=X$2),1,0)</f>
        <v/>
      </c>
      <c r="Y295">
        <f>Y294+IF(AND($E295&lt;&gt;"",$E295&lt;=Y$2,$F295&gt;=Y$2),1,0)</f>
        <v/>
      </c>
      <c r="Z295">
        <f>Z294+IF(AND($E295&lt;&gt;"",$E295&lt;=Z$2,$F295&gt;=Z$2),1,0)</f>
        <v/>
      </c>
      <c r="AA295">
        <f>AA294+IF(AND($E295&lt;&gt;"",$E295&lt;=AA$2,$F295&gt;=AA$2),1,0)</f>
        <v/>
      </c>
      <c r="AB295">
        <f>AB294+IF(AND($E295&lt;&gt;"",$E295&lt;=AB$2,$F295&gt;=AB$2),1,0)</f>
        <v/>
      </c>
      <c r="AC295">
        <f>AC294+IF(AND($E295&lt;&gt;"",$E295&lt;=AC$2,$F295&gt;=AC$2),1,0)</f>
        <v/>
      </c>
      <c r="AD295">
        <f>AD294+IF(AND($E295&lt;&gt;"",$E295&lt;=AD$2,$F295&gt;=AD$2),1,0)</f>
        <v/>
      </c>
      <c r="AE295">
        <f>AE294+IF(AND($E295&lt;&gt;"",$E295&lt;=AE$2,$F295&gt;=AE$2),1,0)</f>
        <v/>
      </c>
      <c r="AF295">
        <f>AF294+IF(AND($E295&lt;&gt;"",$E295&lt;=AF$2,$F295&gt;=AF$2),1,0)</f>
        <v/>
      </c>
      <c r="AG295">
        <f>AG294+IF(AND($E295&lt;&gt;"",$E295&lt;=AG$2,$F295&gt;=AG$2),1,0)</f>
        <v/>
      </c>
      <c r="AH295">
        <f>AH294+IF(AND($E295&lt;&gt;"",$E295&lt;=AH$2,$F295&gt;=AH$2),1,0)</f>
        <v/>
      </c>
      <c r="AI295">
        <f>AI294+IF(AND($E295&lt;&gt;"",$E295&lt;=AI$2,$F295&gt;=AI$2),1,0)</f>
        <v/>
      </c>
      <c r="AJ295">
        <f>AJ294+IF(AND($E295&lt;&gt;"",$E295&lt;=AJ$2,$F295&gt;=AJ$2),1,0)</f>
        <v/>
      </c>
      <c r="AK295">
        <f>AK294+IF(AND($E295&lt;&gt;"",$E295&lt;=AK$2,$F295&gt;=AK$2),1,0)</f>
        <v/>
      </c>
      <c r="AL295">
        <f>AL294+IF(AND($E295&lt;&gt;"",$E295&lt;=AL$2,$F295&gt;=AL$2),1,0)</f>
        <v/>
      </c>
      <c r="AM295">
        <f>AM294+IF(AND($E295&lt;&gt;"",$E295&lt;=AM$2,$F295&gt;=AM$2),1,0)</f>
        <v/>
      </c>
      <c r="AN295">
        <f>AN294+IF(AND($E295&lt;&gt;"",$E295&lt;=AN$2,$F295&gt;=AN$2),1,0)</f>
        <v/>
      </c>
      <c r="AO295">
        <f>AO294+IF(AND($E295&lt;&gt;"",$E295&lt;=AO$2,$F295&gt;=AO$2),1,0)</f>
        <v/>
      </c>
      <c r="AP295">
        <f>AP294+IF(AND($E295&lt;&gt;"",$E295&lt;=AP$2,$F295&gt;=AP$2),1,0)</f>
        <v/>
      </c>
      <c r="AQ295">
        <f>AQ294+IF(AND($E295&lt;&gt;"",$E295&lt;=AQ$2,$F295&gt;=AQ$2),1,0)</f>
        <v/>
      </c>
      <c r="AR295">
        <f>AR294+IF(AND($E295&lt;&gt;"",$E295&lt;=AR$2,$F295&gt;=AR$2),1,0)</f>
        <v/>
      </c>
      <c r="AS295">
        <f>AS294+IF(AND($E295&lt;&gt;"",$E295&lt;=AS$2,$F295&gt;=AS$2),1,0)</f>
        <v/>
      </c>
      <c r="AT295">
        <f>AT294+IF(AND($E295&lt;&gt;"",$E295&lt;=AT$2,$F295&gt;=AT$2),1,0)</f>
        <v/>
      </c>
      <c r="AU295">
        <f>AU294+IF(AND($E295&lt;&gt;"",$E295&lt;=AU$2,$F295&gt;=AU$2),1,0)</f>
        <v/>
      </c>
      <c r="AV295">
        <f>AV294+IF(AND($E295&lt;&gt;"",$E295&lt;=AV$2,$F295&gt;=AV$2),1,0)</f>
        <v/>
      </c>
      <c r="AW295">
        <f>AW294+IF(AND($E295&lt;&gt;"",$E295&lt;=AW$2,$F295&gt;=AW$2),1,0)</f>
        <v/>
      </c>
    </row>
    <row r="296">
      <c r="A296">
        <f>IF(AND(ISNUMBER(Events!$A298),ISNUMBER(Events!$B298)),MAX(0,Events!$B298-Events!$A298),0)</f>
        <v/>
      </c>
      <c r="B296">
        <f>IF(ISNUMBER(Events!$A298),DATE(YEAR($B$1)-1,MONTH(Events!$A298),DAY(Events!$A298)),"")</f>
        <v/>
      </c>
      <c r="C296">
        <f>IF(ISNUMBER(Events!$A298),DATE(YEAR($B$1),MONTH(Events!$A298),DAY(Events!$A298)),"")</f>
        <v/>
      </c>
      <c r="D296">
        <f>IF(ISNUMBER(Events!$A298),DATE(YEAR($B$2),MONTH(Events!$A298),DAY(Events!$A298)),"")</f>
        <v/>
      </c>
      <c r="E296">
        <f>IF(OR(NOT(ISNUMBER(Events!$A298)),Events!$G298="No",Calendar!$H$4="None"),"",IF(OR(Calendar!$H$4="All events",Events!$D298=Calendar!$H$4),IF(Events!$E298="Yes",IF(AND(B296&gt;=Events!$A298,B296&lt;=$B$2,B296+$A296&gt;=$B$1),B296,IF(AND(C296&gt;=Events!$A298,C296&lt;=$B$2,C296+$A296&gt;=$B$1),C296,IF(AND(D296&gt;=Events!$A298,D296&lt;=$B$2,D296+$A296&gt;=$B$1),D296,""))),IF(AND(Events!$A298&lt;=$B$2,Events!$A298+$A296&gt;=$B$1),Events!$A298,"")),""))</f>
        <v/>
      </c>
      <c r="F296">
        <f>IF(E296="","",E296+A296)</f>
        <v/>
      </c>
      <c r="G296">
        <f>IF(E296="","",IF(AND(E296&lt;=EOMONTH(Calendar!$K$2,0),F296&gt;=Calendar!$K$2),E296+293/100000,""))</f>
        <v/>
      </c>
      <c r="H296">
        <f>H295+IF(AND($E296&lt;&gt;"",$E296&lt;=H$2,$F296&gt;=H$2),1,0)</f>
        <v/>
      </c>
      <c r="I296">
        <f>I295+IF(AND($E296&lt;&gt;"",$E296&lt;=I$2,$F296&gt;=I$2),1,0)</f>
        <v/>
      </c>
      <c r="J296">
        <f>J295+IF(AND($E296&lt;&gt;"",$E296&lt;=J$2,$F296&gt;=J$2),1,0)</f>
        <v/>
      </c>
      <c r="K296">
        <f>K295+IF(AND($E296&lt;&gt;"",$E296&lt;=K$2,$F296&gt;=K$2),1,0)</f>
        <v/>
      </c>
      <c r="L296">
        <f>L295+IF(AND($E296&lt;&gt;"",$E296&lt;=L$2,$F296&gt;=L$2),1,0)</f>
        <v/>
      </c>
      <c r="M296">
        <f>M295+IF(AND($E296&lt;&gt;"",$E296&lt;=M$2,$F296&gt;=M$2),1,0)</f>
        <v/>
      </c>
      <c r="N296">
        <f>N295+IF(AND($E296&lt;&gt;"",$E296&lt;=N$2,$F296&gt;=N$2),1,0)</f>
        <v/>
      </c>
      <c r="O296">
        <f>O295+IF(AND($E296&lt;&gt;"",$E296&lt;=O$2,$F296&gt;=O$2),1,0)</f>
        <v/>
      </c>
      <c r="P296">
        <f>P295+IF(AND($E296&lt;&gt;"",$E296&lt;=P$2,$F296&gt;=P$2),1,0)</f>
        <v/>
      </c>
      <c r="Q296">
        <f>Q295+IF(AND($E296&lt;&gt;"",$E296&lt;=Q$2,$F296&gt;=Q$2),1,0)</f>
        <v/>
      </c>
      <c r="R296">
        <f>R295+IF(AND($E296&lt;&gt;"",$E296&lt;=R$2,$F296&gt;=R$2),1,0)</f>
        <v/>
      </c>
      <c r="S296">
        <f>S295+IF(AND($E296&lt;&gt;"",$E296&lt;=S$2,$F296&gt;=S$2),1,0)</f>
        <v/>
      </c>
      <c r="T296">
        <f>T295+IF(AND($E296&lt;&gt;"",$E296&lt;=T$2,$F296&gt;=T$2),1,0)</f>
        <v/>
      </c>
      <c r="U296">
        <f>U295+IF(AND($E296&lt;&gt;"",$E296&lt;=U$2,$F296&gt;=U$2),1,0)</f>
        <v/>
      </c>
      <c r="V296">
        <f>V295+IF(AND($E296&lt;&gt;"",$E296&lt;=V$2,$F296&gt;=V$2),1,0)</f>
        <v/>
      </c>
      <c r="W296">
        <f>W295+IF(AND($E296&lt;&gt;"",$E296&lt;=W$2,$F296&gt;=W$2),1,0)</f>
        <v/>
      </c>
      <c r="X296">
        <f>X295+IF(AND($E296&lt;&gt;"",$E296&lt;=X$2,$F296&gt;=X$2),1,0)</f>
        <v/>
      </c>
      <c r="Y296">
        <f>Y295+IF(AND($E296&lt;&gt;"",$E296&lt;=Y$2,$F296&gt;=Y$2),1,0)</f>
        <v/>
      </c>
      <c r="Z296">
        <f>Z295+IF(AND($E296&lt;&gt;"",$E296&lt;=Z$2,$F296&gt;=Z$2),1,0)</f>
        <v/>
      </c>
      <c r="AA296">
        <f>AA295+IF(AND($E296&lt;&gt;"",$E296&lt;=AA$2,$F296&gt;=AA$2),1,0)</f>
        <v/>
      </c>
      <c r="AB296">
        <f>AB295+IF(AND($E296&lt;&gt;"",$E296&lt;=AB$2,$F296&gt;=AB$2),1,0)</f>
        <v/>
      </c>
      <c r="AC296">
        <f>AC295+IF(AND($E296&lt;&gt;"",$E296&lt;=AC$2,$F296&gt;=AC$2),1,0)</f>
        <v/>
      </c>
      <c r="AD296">
        <f>AD295+IF(AND($E296&lt;&gt;"",$E296&lt;=AD$2,$F296&gt;=AD$2),1,0)</f>
        <v/>
      </c>
      <c r="AE296">
        <f>AE295+IF(AND($E296&lt;&gt;"",$E296&lt;=AE$2,$F296&gt;=AE$2),1,0)</f>
        <v/>
      </c>
      <c r="AF296">
        <f>AF295+IF(AND($E296&lt;&gt;"",$E296&lt;=AF$2,$F296&gt;=AF$2),1,0)</f>
        <v/>
      </c>
      <c r="AG296">
        <f>AG295+IF(AND($E296&lt;&gt;"",$E296&lt;=AG$2,$F296&gt;=AG$2),1,0)</f>
        <v/>
      </c>
      <c r="AH296">
        <f>AH295+IF(AND($E296&lt;&gt;"",$E296&lt;=AH$2,$F296&gt;=AH$2),1,0)</f>
        <v/>
      </c>
      <c r="AI296">
        <f>AI295+IF(AND($E296&lt;&gt;"",$E296&lt;=AI$2,$F296&gt;=AI$2),1,0)</f>
        <v/>
      </c>
      <c r="AJ296">
        <f>AJ295+IF(AND($E296&lt;&gt;"",$E296&lt;=AJ$2,$F296&gt;=AJ$2),1,0)</f>
        <v/>
      </c>
      <c r="AK296">
        <f>AK295+IF(AND($E296&lt;&gt;"",$E296&lt;=AK$2,$F296&gt;=AK$2),1,0)</f>
        <v/>
      </c>
      <c r="AL296">
        <f>AL295+IF(AND($E296&lt;&gt;"",$E296&lt;=AL$2,$F296&gt;=AL$2),1,0)</f>
        <v/>
      </c>
      <c r="AM296">
        <f>AM295+IF(AND($E296&lt;&gt;"",$E296&lt;=AM$2,$F296&gt;=AM$2),1,0)</f>
        <v/>
      </c>
      <c r="AN296">
        <f>AN295+IF(AND($E296&lt;&gt;"",$E296&lt;=AN$2,$F296&gt;=AN$2),1,0)</f>
        <v/>
      </c>
      <c r="AO296">
        <f>AO295+IF(AND($E296&lt;&gt;"",$E296&lt;=AO$2,$F296&gt;=AO$2),1,0)</f>
        <v/>
      </c>
      <c r="AP296">
        <f>AP295+IF(AND($E296&lt;&gt;"",$E296&lt;=AP$2,$F296&gt;=AP$2),1,0)</f>
        <v/>
      </c>
      <c r="AQ296">
        <f>AQ295+IF(AND($E296&lt;&gt;"",$E296&lt;=AQ$2,$F296&gt;=AQ$2),1,0)</f>
        <v/>
      </c>
      <c r="AR296">
        <f>AR295+IF(AND($E296&lt;&gt;"",$E296&lt;=AR$2,$F296&gt;=AR$2),1,0)</f>
        <v/>
      </c>
      <c r="AS296">
        <f>AS295+IF(AND($E296&lt;&gt;"",$E296&lt;=AS$2,$F296&gt;=AS$2),1,0)</f>
        <v/>
      </c>
      <c r="AT296">
        <f>AT295+IF(AND($E296&lt;&gt;"",$E296&lt;=AT$2,$F296&gt;=AT$2),1,0)</f>
        <v/>
      </c>
      <c r="AU296">
        <f>AU295+IF(AND($E296&lt;&gt;"",$E296&lt;=AU$2,$F296&gt;=AU$2),1,0)</f>
        <v/>
      </c>
      <c r="AV296">
        <f>AV295+IF(AND($E296&lt;&gt;"",$E296&lt;=AV$2,$F296&gt;=AV$2),1,0)</f>
        <v/>
      </c>
      <c r="AW296">
        <f>AW295+IF(AND($E296&lt;&gt;"",$E296&lt;=AW$2,$F296&gt;=AW$2),1,0)</f>
        <v/>
      </c>
    </row>
    <row r="297">
      <c r="A297">
        <f>IF(AND(ISNUMBER(Events!$A299),ISNUMBER(Events!$B299)),MAX(0,Events!$B299-Events!$A299),0)</f>
        <v/>
      </c>
      <c r="B297">
        <f>IF(ISNUMBER(Events!$A299),DATE(YEAR($B$1)-1,MONTH(Events!$A299),DAY(Events!$A299)),"")</f>
        <v/>
      </c>
      <c r="C297">
        <f>IF(ISNUMBER(Events!$A299),DATE(YEAR($B$1),MONTH(Events!$A299),DAY(Events!$A299)),"")</f>
        <v/>
      </c>
      <c r="D297">
        <f>IF(ISNUMBER(Events!$A299),DATE(YEAR($B$2),MONTH(Events!$A299),DAY(Events!$A299)),"")</f>
        <v/>
      </c>
      <c r="E297">
        <f>IF(OR(NOT(ISNUMBER(Events!$A299)),Events!$G299="No",Calendar!$H$4="None"),"",IF(OR(Calendar!$H$4="All events",Events!$D299=Calendar!$H$4),IF(Events!$E299="Yes",IF(AND(B297&gt;=Events!$A299,B297&lt;=$B$2,B297+$A297&gt;=$B$1),B297,IF(AND(C297&gt;=Events!$A299,C297&lt;=$B$2,C297+$A297&gt;=$B$1),C297,IF(AND(D297&gt;=Events!$A299,D297&lt;=$B$2,D297+$A297&gt;=$B$1),D297,""))),IF(AND(Events!$A299&lt;=$B$2,Events!$A299+$A297&gt;=$B$1),Events!$A299,"")),""))</f>
        <v/>
      </c>
      <c r="F297">
        <f>IF(E297="","",E297+A297)</f>
        <v/>
      </c>
      <c r="G297">
        <f>IF(E297="","",IF(AND(E297&lt;=EOMONTH(Calendar!$K$2,0),F297&gt;=Calendar!$K$2),E297+294/100000,""))</f>
        <v/>
      </c>
      <c r="H297">
        <f>H296+IF(AND($E297&lt;&gt;"",$E297&lt;=H$2,$F297&gt;=H$2),1,0)</f>
        <v/>
      </c>
      <c r="I297">
        <f>I296+IF(AND($E297&lt;&gt;"",$E297&lt;=I$2,$F297&gt;=I$2),1,0)</f>
        <v/>
      </c>
      <c r="J297">
        <f>J296+IF(AND($E297&lt;&gt;"",$E297&lt;=J$2,$F297&gt;=J$2),1,0)</f>
        <v/>
      </c>
      <c r="K297">
        <f>K296+IF(AND($E297&lt;&gt;"",$E297&lt;=K$2,$F297&gt;=K$2),1,0)</f>
        <v/>
      </c>
      <c r="L297">
        <f>L296+IF(AND($E297&lt;&gt;"",$E297&lt;=L$2,$F297&gt;=L$2),1,0)</f>
        <v/>
      </c>
      <c r="M297">
        <f>M296+IF(AND($E297&lt;&gt;"",$E297&lt;=M$2,$F297&gt;=M$2),1,0)</f>
        <v/>
      </c>
      <c r="N297">
        <f>N296+IF(AND($E297&lt;&gt;"",$E297&lt;=N$2,$F297&gt;=N$2),1,0)</f>
        <v/>
      </c>
      <c r="O297">
        <f>O296+IF(AND($E297&lt;&gt;"",$E297&lt;=O$2,$F297&gt;=O$2),1,0)</f>
        <v/>
      </c>
      <c r="P297">
        <f>P296+IF(AND($E297&lt;&gt;"",$E297&lt;=P$2,$F297&gt;=P$2),1,0)</f>
        <v/>
      </c>
      <c r="Q297">
        <f>Q296+IF(AND($E297&lt;&gt;"",$E297&lt;=Q$2,$F297&gt;=Q$2),1,0)</f>
        <v/>
      </c>
      <c r="R297">
        <f>R296+IF(AND($E297&lt;&gt;"",$E297&lt;=R$2,$F297&gt;=R$2),1,0)</f>
        <v/>
      </c>
      <c r="S297">
        <f>S296+IF(AND($E297&lt;&gt;"",$E297&lt;=S$2,$F297&gt;=S$2),1,0)</f>
        <v/>
      </c>
      <c r="T297">
        <f>T296+IF(AND($E297&lt;&gt;"",$E297&lt;=T$2,$F297&gt;=T$2),1,0)</f>
        <v/>
      </c>
      <c r="U297">
        <f>U296+IF(AND($E297&lt;&gt;"",$E297&lt;=U$2,$F297&gt;=U$2),1,0)</f>
        <v/>
      </c>
      <c r="V297">
        <f>V296+IF(AND($E297&lt;&gt;"",$E297&lt;=V$2,$F297&gt;=V$2),1,0)</f>
        <v/>
      </c>
      <c r="W297">
        <f>W296+IF(AND($E297&lt;&gt;"",$E297&lt;=W$2,$F297&gt;=W$2),1,0)</f>
        <v/>
      </c>
      <c r="X297">
        <f>X296+IF(AND($E297&lt;&gt;"",$E297&lt;=X$2,$F297&gt;=X$2),1,0)</f>
        <v/>
      </c>
      <c r="Y297">
        <f>Y296+IF(AND($E297&lt;&gt;"",$E297&lt;=Y$2,$F297&gt;=Y$2),1,0)</f>
        <v/>
      </c>
      <c r="Z297">
        <f>Z296+IF(AND($E297&lt;&gt;"",$E297&lt;=Z$2,$F297&gt;=Z$2),1,0)</f>
        <v/>
      </c>
      <c r="AA297">
        <f>AA296+IF(AND($E297&lt;&gt;"",$E297&lt;=AA$2,$F297&gt;=AA$2),1,0)</f>
        <v/>
      </c>
      <c r="AB297">
        <f>AB296+IF(AND($E297&lt;&gt;"",$E297&lt;=AB$2,$F297&gt;=AB$2),1,0)</f>
        <v/>
      </c>
      <c r="AC297">
        <f>AC296+IF(AND($E297&lt;&gt;"",$E297&lt;=AC$2,$F297&gt;=AC$2),1,0)</f>
        <v/>
      </c>
      <c r="AD297">
        <f>AD296+IF(AND($E297&lt;&gt;"",$E297&lt;=AD$2,$F297&gt;=AD$2),1,0)</f>
        <v/>
      </c>
      <c r="AE297">
        <f>AE296+IF(AND($E297&lt;&gt;"",$E297&lt;=AE$2,$F297&gt;=AE$2),1,0)</f>
        <v/>
      </c>
      <c r="AF297">
        <f>AF296+IF(AND($E297&lt;&gt;"",$E297&lt;=AF$2,$F297&gt;=AF$2),1,0)</f>
        <v/>
      </c>
      <c r="AG297">
        <f>AG296+IF(AND($E297&lt;&gt;"",$E297&lt;=AG$2,$F297&gt;=AG$2),1,0)</f>
        <v/>
      </c>
      <c r="AH297">
        <f>AH296+IF(AND($E297&lt;&gt;"",$E297&lt;=AH$2,$F297&gt;=AH$2),1,0)</f>
        <v/>
      </c>
      <c r="AI297">
        <f>AI296+IF(AND($E297&lt;&gt;"",$E297&lt;=AI$2,$F297&gt;=AI$2),1,0)</f>
        <v/>
      </c>
      <c r="AJ297">
        <f>AJ296+IF(AND($E297&lt;&gt;"",$E297&lt;=AJ$2,$F297&gt;=AJ$2),1,0)</f>
        <v/>
      </c>
      <c r="AK297">
        <f>AK296+IF(AND($E297&lt;&gt;"",$E297&lt;=AK$2,$F297&gt;=AK$2),1,0)</f>
        <v/>
      </c>
      <c r="AL297">
        <f>AL296+IF(AND($E297&lt;&gt;"",$E297&lt;=AL$2,$F297&gt;=AL$2),1,0)</f>
        <v/>
      </c>
      <c r="AM297">
        <f>AM296+IF(AND($E297&lt;&gt;"",$E297&lt;=AM$2,$F297&gt;=AM$2),1,0)</f>
        <v/>
      </c>
      <c r="AN297">
        <f>AN296+IF(AND($E297&lt;&gt;"",$E297&lt;=AN$2,$F297&gt;=AN$2),1,0)</f>
        <v/>
      </c>
      <c r="AO297">
        <f>AO296+IF(AND($E297&lt;&gt;"",$E297&lt;=AO$2,$F297&gt;=AO$2),1,0)</f>
        <v/>
      </c>
      <c r="AP297">
        <f>AP296+IF(AND($E297&lt;&gt;"",$E297&lt;=AP$2,$F297&gt;=AP$2),1,0)</f>
        <v/>
      </c>
      <c r="AQ297">
        <f>AQ296+IF(AND($E297&lt;&gt;"",$E297&lt;=AQ$2,$F297&gt;=AQ$2),1,0)</f>
        <v/>
      </c>
      <c r="AR297">
        <f>AR296+IF(AND($E297&lt;&gt;"",$E297&lt;=AR$2,$F297&gt;=AR$2),1,0)</f>
        <v/>
      </c>
      <c r="AS297">
        <f>AS296+IF(AND($E297&lt;&gt;"",$E297&lt;=AS$2,$F297&gt;=AS$2),1,0)</f>
        <v/>
      </c>
      <c r="AT297">
        <f>AT296+IF(AND($E297&lt;&gt;"",$E297&lt;=AT$2,$F297&gt;=AT$2),1,0)</f>
        <v/>
      </c>
      <c r="AU297">
        <f>AU296+IF(AND($E297&lt;&gt;"",$E297&lt;=AU$2,$F297&gt;=AU$2),1,0)</f>
        <v/>
      </c>
      <c r="AV297">
        <f>AV296+IF(AND($E297&lt;&gt;"",$E297&lt;=AV$2,$F297&gt;=AV$2),1,0)</f>
        <v/>
      </c>
      <c r="AW297">
        <f>AW296+IF(AND($E297&lt;&gt;"",$E297&lt;=AW$2,$F297&gt;=AW$2),1,0)</f>
        <v/>
      </c>
    </row>
    <row r="298">
      <c r="A298">
        <f>IF(AND(ISNUMBER(Events!$A300),ISNUMBER(Events!$B300)),MAX(0,Events!$B300-Events!$A300),0)</f>
        <v/>
      </c>
      <c r="B298">
        <f>IF(ISNUMBER(Events!$A300),DATE(YEAR($B$1)-1,MONTH(Events!$A300),DAY(Events!$A300)),"")</f>
        <v/>
      </c>
      <c r="C298">
        <f>IF(ISNUMBER(Events!$A300),DATE(YEAR($B$1),MONTH(Events!$A300),DAY(Events!$A300)),"")</f>
        <v/>
      </c>
      <c r="D298">
        <f>IF(ISNUMBER(Events!$A300),DATE(YEAR($B$2),MONTH(Events!$A300),DAY(Events!$A300)),"")</f>
        <v/>
      </c>
      <c r="E298">
        <f>IF(OR(NOT(ISNUMBER(Events!$A300)),Events!$G300="No",Calendar!$H$4="None"),"",IF(OR(Calendar!$H$4="All events",Events!$D300=Calendar!$H$4),IF(Events!$E300="Yes",IF(AND(B298&gt;=Events!$A300,B298&lt;=$B$2,B298+$A298&gt;=$B$1),B298,IF(AND(C298&gt;=Events!$A300,C298&lt;=$B$2,C298+$A298&gt;=$B$1),C298,IF(AND(D298&gt;=Events!$A300,D298&lt;=$B$2,D298+$A298&gt;=$B$1),D298,""))),IF(AND(Events!$A300&lt;=$B$2,Events!$A300+$A298&gt;=$B$1),Events!$A300,"")),""))</f>
        <v/>
      </c>
      <c r="F298">
        <f>IF(E298="","",E298+A298)</f>
        <v/>
      </c>
      <c r="G298">
        <f>IF(E298="","",IF(AND(E298&lt;=EOMONTH(Calendar!$K$2,0),F298&gt;=Calendar!$K$2),E298+295/100000,""))</f>
        <v/>
      </c>
      <c r="H298">
        <f>H297+IF(AND($E298&lt;&gt;"",$E298&lt;=H$2,$F298&gt;=H$2),1,0)</f>
        <v/>
      </c>
      <c r="I298">
        <f>I297+IF(AND($E298&lt;&gt;"",$E298&lt;=I$2,$F298&gt;=I$2),1,0)</f>
        <v/>
      </c>
      <c r="J298">
        <f>J297+IF(AND($E298&lt;&gt;"",$E298&lt;=J$2,$F298&gt;=J$2),1,0)</f>
        <v/>
      </c>
      <c r="K298">
        <f>K297+IF(AND($E298&lt;&gt;"",$E298&lt;=K$2,$F298&gt;=K$2),1,0)</f>
        <v/>
      </c>
      <c r="L298">
        <f>L297+IF(AND($E298&lt;&gt;"",$E298&lt;=L$2,$F298&gt;=L$2),1,0)</f>
        <v/>
      </c>
      <c r="M298">
        <f>M297+IF(AND($E298&lt;&gt;"",$E298&lt;=M$2,$F298&gt;=M$2),1,0)</f>
        <v/>
      </c>
      <c r="N298">
        <f>N297+IF(AND($E298&lt;&gt;"",$E298&lt;=N$2,$F298&gt;=N$2),1,0)</f>
        <v/>
      </c>
      <c r="O298">
        <f>O297+IF(AND($E298&lt;&gt;"",$E298&lt;=O$2,$F298&gt;=O$2),1,0)</f>
        <v/>
      </c>
      <c r="P298">
        <f>P297+IF(AND($E298&lt;&gt;"",$E298&lt;=P$2,$F298&gt;=P$2),1,0)</f>
        <v/>
      </c>
      <c r="Q298">
        <f>Q297+IF(AND($E298&lt;&gt;"",$E298&lt;=Q$2,$F298&gt;=Q$2),1,0)</f>
        <v/>
      </c>
      <c r="R298">
        <f>R297+IF(AND($E298&lt;&gt;"",$E298&lt;=R$2,$F298&gt;=R$2),1,0)</f>
        <v/>
      </c>
      <c r="S298">
        <f>S297+IF(AND($E298&lt;&gt;"",$E298&lt;=S$2,$F298&gt;=S$2),1,0)</f>
        <v/>
      </c>
      <c r="T298">
        <f>T297+IF(AND($E298&lt;&gt;"",$E298&lt;=T$2,$F298&gt;=T$2),1,0)</f>
        <v/>
      </c>
      <c r="U298">
        <f>U297+IF(AND($E298&lt;&gt;"",$E298&lt;=U$2,$F298&gt;=U$2),1,0)</f>
        <v/>
      </c>
      <c r="V298">
        <f>V297+IF(AND($E298&lt;&gt;"",$E298&lt;=V$2,$F298&gt;=V$2),1,0)</f>
        <v/>
      </c>
      <c r="W298">
        <f>W297+IF(AND($E298&lt;&gt;"",$E298&lt;=W$2,$F298&gt;=W$2),1,0)</f>
        <v/>
      </c>
      <c r="X298">
        <f>X297+IF(AND($E298&lt;&gt;"",$E298&lt;=X$2,$F298&gt;=X$2),1,0)</f>
        <v/>
      </c>
      <c r="Y298">
        <f>Y297+IF(AND($E298&lt;&gt;"",$E298&lt;=Y$2,$F298&gt;=Y$2),1,0)</f>
        <v/>
      </c>
      <c r="Z298">
        <f>Z297+IF(AND($E298&lt;&gt;"",$E298&lt;=Z$2,$F298&gt;=Z$2),1,0)</f>
        <v/>
      </c>
      <c r="AA298">
        <f>AA297+IF(AND($E298&lt;&gt;"",$E298&lt;=AA$2,$F298&gt;=AA$2),1,0)</f>
        <v/>
      </c>
      <c r="AB298">
        <f>AB297+IF(AND($E298&lt;&gt;"",$E298&lt;=AB$2,$F298&gt;=AB$2),1,0)</f>
        <v/>
      </c>
      <c r="AC298">
        <f>AC297+IF(AND($E298&lt;&gt;"",$E298&lt;=AC$2,$F298&gt;=AC$2),1,0)</f>
        <v/>
      </c>
      <c r="AD298">
        <f>AD297+IF(AND($E298&lt;&gt;"",$E298&lt;=AD$2,$F298&gt;=AD$2),1,0)</f>
        <v/>
      </c>
      <c r="AE298">
        <f>AE297+IF(AND($E298&lt;&gt;"",$E298&lt;=AE$2,$F298&gt;=AE$2),1,0)</f>
        <v/>
      </c>
      <c r="AF298">
        <f>AF297+IF(AND($E298&lt;&gt;"",$E298&lt;=AF$2,$F298&gt;=AF$2),1,0)</f>
        <v/>
      </c>
      <c r="AG298">
        <f>AG297+IF(AND($E298&lt;&gt;"",$E298&lt;=AG$2,$F298&gt;=AG$2),1,0)</f>
        <v/>
      </c>
      <c r="AH298">
        <f>AH297+IF(AND($E298&lt;&gt;"",$E298&lt;=AH$2,$F298&gt;=AH$2),1,0)</f>
        <v/>
      </c>
      <c r="AI298">
        <f>AI297+IF(AND($E298&lt;&gt;"",$E298&lt;=AI$2,$F298&gt;=AI$2),1,0)</f>
        <v/>
      </c>
      <c r="AJ298">
        <f>AJ297+IF(AND($E298&lt;&gt;"",$E298&lt;=AJ$2,$F298&gt;=AJ$2),1,0)</f>
        <v/>
      </c>
      <c r="AK298">
        <f>AK297+IF(AND($E298&lt;&gt;"",$E298&lt;=AK$2,$F298&gt;=AK$2),1,0)</f>
        <v/>
      </c>
      <c r="AL298">
        <f>AL297+IF(AND($E298&lt;&gt;"",$E298&lt;=AL$2,$F298&gt;=AL$2),1,0)</f>
        <v/>
      </c>
      <c r="AM298">
        <f>AM297+IF(AND($E298&lt;&gt;"",$E298&lt;=AM$2,$F298&gt;=AM$2),1,0)</f>
        <v/>
      </c>
      <c r="AN298">
        <f>AN297+IF(AND($E298&lt;&gt;"",$E298&lt;=AN$2,$F298&gt;=AN$2),1,0)</f>
        <v/>
      </c>
      <c r="AO298">
        <f>AO297+IF(AND($E298&lt;&gt;"",$E298&lt;=AO$2,$F298&gt;=AO$2),1,0)</f>
        <v/>
      </c>
      <c r="AP298">
        <f>AP297+IF(AND($E298&lt;&gt;"",$E298&lt;=AP$2,$F298&gt;=AP$2),1,0)</f>
        <v/>
      </c>
      <c r="AQ298">
        <f>AQ297+IF(AND($E298&lt;&gt;"",$E298&lt;=AQ$2,$F298&gt;=AQ$2),1,0)</f>
        <v/>
      </c>
      <c r="AR298">
        <f>AR297+IF(AND($E298&lt;&gt;"",$E298&lt;=AR$2,$F298&gt;=AR$2),1,0)</f>
        <v/>
      </c>
      <c r="AS298">
        <f>AS297+IF(AND($E298&lt;&gt;"",$E298&lt;=AS$2,$F298&gt;=AS$2),1,0)</f>
        <v/>
      </c>
      <c r="AT298">
        <f>AT297+IF(AND($E298&lt;&gt;"",$E298&lt;=AT$2,$F298&gt;=AT$2),1,0)</f>
        <v/>
      </c>
      <c r="AU298">
        <f>AU297+IF(AND($E298&lt;&gt;"",$E298&lt;=AU$2,$F298&gt;=AU$2),1,0)</f>
        <v/>
      </c>
      <c r="AV298">
        <f>AV297+IF(AND($E298&lt;&gt;"",$E298&lt;=AV$2,$F298&gt;=AV$2),1,0)</f>
        <v/>
      </c>
      <c r="AW298">
        <f>AW297+IF(AND($E298&lt;&gt;"",$E298&lt;=AW$2,$F298&gt;=AW$2),1,0)</f>
        <v/>
      </c>
    </row>
    <row r="299">
      <c r="A299">
        <f>IF(AND(ISNUMBER(Events!$A301),ISNUMBER(Events!$B301)),MAX(0,Events!$B301-Events!$A301),0)</f>
        <v/>
      </c>
      <c r="B299">
        <f>IF(ISNUMBER(Events!$A301),DATE(YEAR($B$1)-1,MONTH(Events!$A301),DAY(Events!$A301)),"")</f>
        <v/>
      </c>
      <c r="C299">
        <f>IF(ISNUMBER(Events!$A301),DATE(YEAR($B$1),MONTH(Events!$A301),DAY(Events!$A301)),"")</f>
        <v/>
      </c>
      <c r="D299">
        <f>IF(ISNUMBER(Events!$A301),DATE(YEAR($B$2),MONTH(Events!$A301),DAY(Events!$A301)),"")</f>
        <v/>
      </c>
      <c r="E299">
        <f>IF(OR(NOT(ISNUMBER(Events!$A301)),Events!$G301="No",Calendar!$H$4="None"),"",IF(OR(Calendar!$H$4="All events",Events!$D301=Calendar!$H$4),IF(Events!$E301="Yes",IF(AND(B299&gt;=Events!$A301,B299&lt;=$B$2,B299+$A299&gt;=$B$1),B299,IF(AND(C299&gt;=Events!$A301,C299&lt;=$B$2,C299+$A299&gt;=$B$1),C299,IF(AND(D299&gt;=Events!$A301,D299&lt;=$B$2,D299+$A299&gt;=$B$1),D299,""))),IF(AND(Events!$A301&lt;=$B$2,Events!$A301+$A299&gt;=$B$1),Events!$A301,"")),""))</f>
        <v/>
      </c>
      <c r="F299">
        <f>IF(E299="","",E299+A299)</f>
        <v/>
      </c>
      <c r="G299">
        <f>IF(E299="","",IF(AND(E299&lt;=EOMONTH(Calendar!$K$2,0),F299&gt;=Calendar!$K$2),E299+296/100000,""))</f>
        <v/>
      </c>
      <c r="H299">
        <f>H298+IF(AND($E299&lt;&gt;"",$E299&lt;=H$2,$F299&gt;=H$2),1,0)</f>
        <v/>
      </c>
      <c r="I299">
        <f>I298+IF(AND($E299&lt;&gt;"",$E299&lt;=I$2,$F299&gt;=I$2),1,0)</f>
        <v/>
      </c>
      <c r="J299">
        <f>J298+IF(AND($E299&lt;&gt;"",$E299&lt;=J$2,$F299&gt;=J$2),1,0)</f>
        <v/>
      </c>
      <c r="K299">
        <f>K298+IF(AND($E299&lt;&gt;"",$E299&lt;=K$2,$F299&gt;=K$2),1,0)</f>
        <v/>
      </c>
      <c r="L299">
        <f>L298+IF(AND($E299&lt;&gt;"",$E299&lt;=L$2,$F299&gt;=L$2),1,0)</f>
        <v/>
      </c>
      <c r="M299">
        <f>M298+IF(AND($E299&lt;&gt;"",$E299&lt;=M$2,$F299&gt;=M$2),1,0)</f>
        <v/>
      </c>
      <c r="N299">
        <f>N298+IF(AND($E299&lt;&gt;"",$E299&lt;=N$2,$F299&gt;=N$2),1,0)</f>
        <v/>
      </c>
      <c r="O299">
        <f>O298+IF(AND($E299&lt;&gt;"",$E299&lt;=O$2,$F299&gt;=O$2),1,0)</f>
        <v/>
      </c>
      <c r="P299">
        <f>P298+IF(AND($E299&lt;&gt;"",$E299&lt;=P$2,$F299&gt;=P$2),1,0)</f>
        <v/>
      </c>
      <c r="Q299">
        <f>Q298+IF(AND($E299&lt;&gt;"",$E299&lt;=Q$2,$F299&gt;=Q$2),1,0)</f>
        <v/>
      </c>
      <c r="R299">
        <f>R298+IF(AND($E299&lt;&gt;"",$E299&lt;=R$2,$F299&gt;=R$2),1,0)</f>
        <v/>
      </c>
      <c r="S299">
        <f>S298+IF(AND($E299&lt;&gt;"",$E299&lt;=S$2,$F299&gt;=S$2),1,0)</f>
        <v/>
      </c>
      <c r="T299">
        <f>T298+IF(AND($E299&lt;&gt;"",$E299&lt;=T$2,$F299&gt;=T$2),1,0)</f>
        <v/>
      </c>
      <c r="U299">
        <f>U298+IF(AND($E299&lt;&gt;"",$E299&lt;=U$2,$F299&gt;=U$2),1,0)</f>
        <v/>
      </c>
      <c r="V299">
        <f>V298+IF(AND($E299&lt;&gt;"",$E299&lt;=V$2,$F299&gt;=V$2),1,0)</f>
        <v/>
      </c>
      <c r="W299">
        <f>W298+IF(AND($E299&lt;&gt;"",$E299&lt;=W$2,$F299&gt;=W$2),1,0)</f>
        <v/>
      </c>
      <c r="X299">
        <f>X298+IF(AND($E299&lt;&gt;"",$E299&lt;=X$2,$F299&gt;=X$2),1,0)</f>
        <v/>
      </c>
      <c r="Y299">
        <f>Y298+IF(AND($E299&lt;&gt;"",$E299&lt;=Y$2,$F299&gt;=Y$2),1,0)</f>
        <v/>
      </c>
      <c r="Z299">
        <f>Z298+IF(AND($E299&lt;&gt;"",$E299&lt;=Z$2,$F299&gt;=Z$2),1,0)</f>
        <v/>
      </c>
      <c r="AA299">
        <f>AA298+IF(AND($E299&lt;&gt;"",$E299&lt;=AA$2,$F299&gt;=AA$2),1,0)</f>
        <v/>
      </c>
      <c r="AB299">
        <f>AB298+IF(AND($E299&lt;&gt;"",$E299&lt;=AB$2,$F299&gt;=AB$2),1,0)</f>
        <v/>
      </c>
      <c r="AC299">
        <f>AC298+IF(AND($E299&lt;&gt;"",$E299&lt;=AC$2,$F299&gt;=AC$2),1,0)</f>
        <v/>
      </c>
      <c r="AD299">
        <f>AD298+IF(AND($E299&lt;&gt;"",$E299&lt;=AD$2,$F299&gt;=AD$2),1,0)</f>
        <v/>
      </c>
      <c r="AE299">
        <f>AE298+IF(AND($E299&lt;&gt;"",$E299&lt;=AE$2,$F299&gt;=AE$2),1,0)</f>
        <v/>
      </c>
      <c r="AF299">
        <f>AF298+IF(AND($E299&lt;&gt;"",$E299&lt;=AF$2,$F299&gt;=AF$2),1,0)</f>
        <v/>
      </c>
      <c r="AG299">
        <f>AG298+IF(AND($E299&lt;&gt;"",$E299&lt;=AG$2,$F299&gt;=AG$2),1,0)</f>
        <v/>
      </c>
      <c r="AH299">
        <f>AH298+IF(AND($E299&lt;&gt;"",$E299&lt;=AH$2,$F299&gt;=AH$2),1,0)</f>
        <v/>
      </c>
      <c r="AI299">
        <f>AI298+IF(AND($E299&lt;&gt;"",$E299&lt;=AI$2,$F299&gt;=AI$2),1,0)</f>
        <v/>
      </c>
      <c r="AJ299">
        <f>AJ298+IF(AND($E299&lt;&gt;"",$E299&lt;=AJ$2,$F299&gt;=AJ$2),1,0)</f>
        <v/>
      </c>
      <c r="AK299">
        <f>AK298+IF(AND($E299&lt;&gt;"",$E299&lt;=AK$2,$F299&gt;=AK$2),1,0)</f>
        <v/>
      </c>
      <c r="AL299">
        <f>AL298+IF(AND($E299&lt;&gt;"",$E299&lt;=AL$2,$F299&gt;=AL$2),1,0)</f>
        <v/>
      </c>
      <c r="AM299">
        <f>AM298+IF(AND($E299&lt;&gt;"",$E299&lt;=AM$2,$F299&gt;=AM$2),1,0)</f>
        <v/>
      </c>
      <c r="AN299">
        <f>AN298+IF(AND($E299&lt;&gt;"",$E299&lt;=AN$2,$F299&gt;=AN$2),1,0)</f>
        <v/>
      </c>
      <c r="AO299">
        <f>AO298+IF(AND($E299&lt;&gt;"",$E299&lt;=AO$2,$F299&gt;=AO$2),1,0)</f>
        <v/>
      </c>
      <c r="AP299">
        <f>AP298+IF(AND($E299&lt;&gt;"",$E299&lt;=AP$2,$F299&gt;=AP$2),1,0)</f>
        <v/>
      </c>
      <c r="AQ299">
        <f>AQ298+IF(AND($E299&lt;&gt;"",$E299&lt;=AQ$2,$F299&gt;=AQ$2),1,0)</f>
        <v/>
      </c>
      <c r="AR299">
        <f>AR298+IF(AND($E299&lt;&gt;"",$E299&lt;=AR$2,$F299&gt;=AR$2),1,0)</f>
        <v/>
      </c>
      <c r="AS299">
        <f>AS298+IF(AND($E299&lt;&gt;"",$E299&lt;=AS$2,$F299&gt;=AS$2),1,0)</f>
        <v/>
      </c>
      <c r="AT299">
        <f>AT298+IF(AND($E299&lt;&gt;"",$E299&lt;=AT$2,$F299&gt;=AT$2),1,0)</f>
        <v/>
      </c>
      <c r="AU299">
        <f>AU298+IF(AND($E299&lt;&gt;"",$E299&lt;=AU$2,$F299&gt;=AU$2),1,0)</f>
        <v/>
      </c>
      <c r="AV299">
        <f>AV298+IF(AND($E299&lt;&gt;"",$E299&lt;=AV$2,$F299&gt;=AV$2),1,0)</f>
        <v/>
      </c>
      <c r="AW299">
        <f>AW298+IF(AND($E299&lt;&gt;"",$E299&lt;=AW$2,$F299&gt;=AW$2),1,0)</f>
        <v/>
      </c>
    </row>
    <row r="300">
      <c r="A300">
        <f>IF(AND(ISNUMBER(Events!$A302),ISNUMBER(Events!$B302)),MAX(0,Events!$B302-Events!$A302),0)</f>
        <v/>
      </c>
      <c r="B300">
        <f>IF(ISNUMBER(Events!$A302),DATE(YEAR($B$1)-1,MONTH(Events!$A302),DAY(Events!$A302)),"")</f>
        <v/>
      </c>
      <c r="C300">
        <f>IF(ISNUMBER(Events!$A302),DATE(YEAR($B$1),MONTH(Events!$A302),DAY(Events!$A302)),"")</f>
        <v/>
      </c>
      <c r="D300">
        <f>IF(ISNUMBER(Events!$A302),DATE(YEAR($B$2),MONTH(Events!$A302),DAY(Events!$A302)),"")</f>
        <v/>
      </c>
      <c r="E300">
        <f>IF(OR(NOT(ISNUMBER(Events!$A302)),Events!$G302="No",Calendar!$H$4="None"),"",IF(OR(Calendar!$H$4="All events",Events!$D302=Calendar!$H$4),IF(Events!$E302="Yes",IF(AND(B300&gt;=Events!$A302,B300&lt;=$B$2,B300+$A300&gt;=$B$1),B300,IF(AND(C300&gt;=Events!$A302,C300&lt;=$B$2,C300+$A300&gt;=$B$1),C300,IF(AND(D300&gt;=Events!$A302,D300&lt;=$B$2,D300+$A300&gt;=$B$1),D300,""))),IF(AND(Events!$A302&lt;=$B$2,Events!$A302+$A300&gt;=$B$1),Events!$A302,"")),""))</f>
        <v/>
      </c>
      <c r="F300">
        <f>IF(E300="","",E300+A300)</f>
        <v/>
      </c>
      <c r="G300">
        <f>IF(E300="","",IF(AND(E300&lt;=EOMONTH(Calendar!$K$2,0),F300&gt;=Calendar!$K$2),E300+297/100000,""))</f>
        <v/>
      </c>
      <c r="H300">
        <f>H299+IF(AND($E300&lt;&gt;"",$E300&lt;=H$2,$F300&gt;=H$2),1,0)</f>
        <v/>
      </c>
      <c r="I300">
        <f>I299+IF(AND($E300&lt;&gt;"",$E300&lt;=I$2,$F300&gt;=I$2),1,0)</f>
        <v/>
      </c>
      <c r="J300">
        <f>J299+IF(AND($E300&lt;&gt;"",$E300&lt;=J$2,$F300&gt;=J$2),1,0)</f>
        <v/>
      </c>
      <c r="K300">
        <f>K299+IF(AND($E300&lt;&gt;"",$E300&lt;=K$2,$F300&gt;=K$2),1,0)</f>
        <v/>
      </c>
      <c r="L300">
        <f>L299+IF(AND($E300&lt;&gt;"",$E300&lt;=L$2,$F300&gt;=L$2),1,0)</f>
        <v/>
      </c>
      <c r="M300">
        <f>M299+IF(AND($E300&lt;&gt;"",$E300&lt;=M$2,$F300&gt;=M$2),1,0)</f>
        <v/>
      </c>
      <c r="N300">
        <f>N299+IF(AND($E300&lt;&gt;"",$E300&lt;=N$2,$F300&gt;=N$2),1,0)</f>
        <v/>
      </c>
      <c r="O300">
        <f>O299+IF(AND($E300&lt;&gt;"",$E300&lt;=O$2,$F300&gt;=O$2),1,0)</f>
        <v/>
      </c>
      <c r="P300">
        <f>P299+IF(AND($E300&lt;&gt;"",$E300&lt;=P$2,$F300&gt;=P$2),1,0)</f>
        <v/>
      </c>
      <c r="Q300">
        <f>Q299+IF(AND($E300&lt;&gt;"",$E300&lt;=Q$2,$F300&gt;=Q$2),1,0)</f>
        <v/>
      </c>
      <c r="R300">
        <f>R299+IF(AND($E300&lt;&gt;"",$E300&lt;=R$2,$F300&gt;=R$2),1,0)</f>
        <v/>
      </c>
      <c r="S300">
        <f>S299+IF(AND($E300&lt;&gt;"",$E300&lt;=S$2,$F300&gt;=S$2),1,0)</f>
        <v/>
      </c>
      <c r="T300">
        <f>T299+IF(AND($E300&lt;&gt;"",$E300&lt;=T$2,$F300&gt;=T$2),1,0)</f>
        <v/>
      </c>
      <c r="U300">
        <f>U299+IF(AND($E300&lt;&gt;"",$E300&lt;=U$2,$F300&gt;=U$2),1,0)</f>
        <v/>
      </c>
      <c r="V300">
        <f>V299+IF(AND($E300&lt;&gt;"",$E300&lt;=V$2,$F300&gt;=V$2),1,0)</f>
        <v/>
      </c>
      <c r="W300">
        <f>W299+IF(AND($E300&lt;&gt;"",$E300&lt;=W$2,$F300&gt;=W$2),1,0)</f>
        <v/>
      </c>
      <c r="X300">
        <f>X299+IF(AND($E300&lt;&gt;"",$E300&lt;=X$2,$F300&gt;=X$2),1,0)</f>
        <v/>
      </c>
      <c r="Y300">
        <f>Y299+IF(AND($E300&lt;&gt;"",$E300&lt;=Y$2,$F300&gt;=Y$2),1,0)</f>
        <v/>
      </c>
      <c r="Z300">
        <f>Z299+IF(AND($E300&lt;&gt;"",$E300&lt;=Z$2,$F300&gt;=Z$2),1,0)</f>
        <v/>
      </c>
      <c r="AA300">
        <f>AA299+IF(AND($E300&lt;&gt;"",$E300&lt;=AA$2,$F300&gt;=AA$2),1,0)</f>
        <v/>
      </c>
      <c r="AB300">
        <f>AB299+IF(AND($E300&lt;&gt;"",$E300&lt;=AB$2,$F300&gt;=AB$2),1,0)</f>
        <v/>
      </c>
      <c r="AC300">
        <f>AC299+IF(AND($E300&lt;&gt;"",$E300&lt;=AC$2,$F300&gt;=AC$2),1,0)</f>
        <v/>
      </c>
      <c r="AD300">
        <f>AD299+IF(AND($E300&lt;&gt;"",$E300&lt;=AD$2,$F300&gt;=AD$2),1,0)</f>
        <v/>
      </c>
      <c r="AE300">
        <f>AE299+IF(AND($E300&lt;&gt;"",$E300&lt;=AE$2,$F300&gt;=AE$2),1,0)</f>
        <v/>
      </c>
      <c r="AF300">
        <f>AF299+IF(AND($E300&lt;&gt;"",$E300&lt;=AF$2,$F300&gt;=AF$2),1,0)</f>
        <v/>
      </c>
      <c r="AG300">
        <f>AG299+IF(AND($E300&lt;&gt;"",$E300&lt;=AG$2,$F300&gt;=AG$2),1,0)</f>
        <v/>
      </c>
      <c r="AH300">
        <f>AH299+IF(AND($E300&lt;&gt;"",$E300&lt;=AH$2,$F300&gt;=AH$2),1,0)</f>
        <v/>
      </c>
      <c r="AI300">
        <f>AI299+IF(AND($E300&lt;&gt;"",$E300&lt;=AI$2,$F300&gt;=AI$2),1,0)</f>
        <v/>
      </c>
      <c r="AJ300">
        <f>AJ299+IF(AND($E300&lt;&gt;"",$E300&lt;=AJ$2,$F300&gt;=AJ$2),1,0)</f>
        <v/>
      </c>
      <c r="AK300">
        <f>AK299+IF(AND($E300&lt;&gt;"",$E300&lt;=AK$2,$F300&gt;=AK$2),1,0)</f>
        <v/>
      </c>
      <c r="AL300">
        <f>AL299+IF(AND($E300&lt;&gt;"",$E300&lt;=AL$2,$F300&gt;=AL$2),1,0)</f>
        <v/>
      </c>
      <c r="AM300">
        <f>AM299+IF(AND($E300&lt;&gt;"",$E300&lt;=AM$2,$F300&gt;=AM$2),1,0)</f>
        <v/>
      </c>
      <c r="AN300">
        <f>AN299+IF(AND($E300&lt;&gt;"",$E300&lt;=AN$2,$F300&gt;=AN$2),1,0)</f>
        <v/>
      </c>
      <c r="AO300">
        <f>AO299+IF(AND($E300&lt;&gt;"",$E300&lt;=AO$2,$F300&gt;=AO$2),1,0)</f>
        <v/>
      </c>
      <c r="AP300">
        <f>AP299+IF(AND($E300&lt;&gt;"",$E300&lt;=AP$2,$F300&gt;=AP$2),1,0)</f>
        <v/>
      </c>
      <c r="AQ300">
        <f>AQ299+IF(AND($E300&lt;&gt;"",$E300&lt;=AQ$2,$F300&gt;=AQ$2),1,0)</f>
        <v/>
      </c>
      <c r="AR300">
        <f>AR299+IF(AND($E300&lt;&gt;"",$E300&lt;=AR$2,$F300&gt;=AR$2),1,0)</f>
        <v/>
      </c>
      <c r="AS300">
        <f>AS299+IF(AND($E300&lt;&gt;"",$E300&lt;=AS$2,$F300&gt;=AS$2),1,0)</f>
        <v/>
      </c>
      <c r="AT300">
        <f>AT299+IF(AND($E300&lt;&gt;"",$E300&lt;=AT$2,$F300&gt;=AT$2),1,0)</f>
        <v/>
      </c>
      <c r="AU300">
        <f>AU299+IF(AND($E300&lt;&gt;"",$E300&lt;=AU$2,$F300&gt;=AU$2),1,0)</f>
        <v/>
      </c>
      <c r="AV300">
        <f>AV299+IF(AND($E300&lt;&gt;"",$E300&lt;=AV$2,$F300&gt;=AV$2),1,0)</f>
        <v/>
      </c>
      <c r="AW300">
        <f>AW299+IF(AND($E300&lt;&gt;"",$E300&lt;=AW$2,$F300&gt;=AW$2),1,0)</f>
        <v/>
      </c>
    </row>
    <row r="301">
      <c r="A301">
        <f>IF(AND(ISNUMBER(Events!$A303),ISNUMBER(Events!$B303)),MAX(0,Events!$B303-Events!$A303),0)</f>
        <v/>
      </c>
      <c r="B301">
        <f>IF(ISNUMBER(Events!$A303),DATE(YEAR($B$1)-1,MONTH(Events!$A303),DAY(Events!$A303)),"")</f>
        <v/>
      </c>
      <c r="C301">
        <f>IF(ISNUMBER(Events!$A303),DATE(YEAR($B$1),MONTH(Events!$A303),DAY(Events!$A303)),"")</f>
        <v/>
      </c>
      <c r="D301">
        <f>IF(ISNUMBER(Events!$A303),DATE(YEAR($B$2),MONTH(Events!$A303),DAY(Events!$A303)),"")</f>
        <v/>
      </c>
      <c r="E301">
        <f>IF(OR(NOT(ISNUMBER(Events!$A303)),Events!$G303="No",Calendar!$H$4="None"),"",IF(OR(Calendar!$H$4="All events",Events!$D303=Calendar!$H$4),IF(Events!$E303="Yes",IF(AND(B301&gt;=Events!$A303,B301&lt;=$B$2,B301+$A301&gt;=$B$1),B301,IF(AND(C301&gt;=Events!$A303,C301&lt;=$B$2,C301+$A301&gt;=$B$1),C301,IF(AND(D301&gt;=Events!$A303,D301&lt;=$B$2,D301+$A301&gt;=$B$1),D301,""))),IF(AND(Events!$A303&lt;=$B$2,Events!$A303+$A301&gt;=$B$1),Events!$A303,"")),""))</f>
        <v/>
      </c>
      <c r="F301">
        <f>IF(E301="","",E301+A301)</f>
        <v/>
      </c>
      <c r="G301">
        <f>IF(E301="","",IF(AND(E301&lt;=EOMONTH(Calendar!$K$2,0),F301&gt;=Calendar!$K$2),E301+298/100000,""))</f>
        <v/>
      </c>
      <c r="H301">
        <f>H300+IF(AND($E301&lt;&gt;"",$E301&lt;=H$2,$F301&gt;=H$2),1,0)</f>
        <v/>
      </c>
      <c r="I301">
        <f>I300+IF(AND($E301&lt;&gt;"",$E301&lt;=I$2,$F301&gt;=I$2),1,0)</f>
        <v/>
      </c>
      <c r="J301">
        <f>J300+IF(AND($E301&lt;&gt;"",$E301&lt;=J$2,$F301&gt;=J$2),1,0)</f>
        <v/>
      </c>
      <c r="K301">
        <f>K300+IF(AND($E301&lt;&gt;"",$E301&lt;=K$2,$F301&gt;=K$2),1,0)</f>
        <v/>
      </c>
      <c r="L301">
        <f>L300+IF(AND($E301&lt;&gt;"",$E301&lt;=L$2,$F301&gt;=L$2),1,0)</f>
        <v/>
      </c>
      <c r="M301">
        <f>M300+IF(AND($E301&lt;&gt;"",$E301&lt;=M$2,$F301&gt;=M$2),1,0)</f>
        <v/>
      </c>
      <c r="N301">
        <f>N300+IF(AND($E301&lt;&gt;"",$E301&lt;=N$2,$F301&gt;=N$2),1,0)</f>
        <v/>
      </c>
      <c r="O301">
        <f>O300+IF(AND($E301&lt;&gt;"",$E301&lt;=O$2,$F301&gt;=O$2),1,0)</f>
        <v/>
      </c>
      <c r="P301">
        <f>P300+IF(AND($E301&lt;&gt;"",$E301&lt;=P$2,$F301&gt;=P$2),1,0)</f>
        <v/>
      </c>
      <c r="Q301">
        <f>Q300+IF(AND($E301&lt;&gt;"",$E301&lt;=Q$2,$F301&gt;=Q$2),1,0)</f>
        <v/>
      </c>
      <c r="R301">
        <f>R300+IF(AND($E301&lt;&gt;"",$E301&lt;=R$2,$F301&gt;=R$2),1,0)</f>
        <v/>
      </c>
      <c r="S301">
        <f>S300+IF(AND($E301&lt;&gt;"",$E301&lt;=S$2,$F301&gt;=S$2),1,0)</f>
        <v/>
      </c>
      <c r="T301">
        <f>T300+IF(AND($E301&lt;&gt;"",$E301&lt;=T$2,$F301&gt;=T$2),1,0)</f>
        <v/>
      </c>
      <c r="U301">
        <f>U300+IF(AND($E301&lt;&gt;"",$E301&lt;=U$2,$F301&gt;=U$2),1,0)</f>
        <v/>
      </c>
      <c r="V301">
        <f>V300+IF(AND($E301&lt;&gt;"",$E301&lt;=V$2,$F301&gt;=V$2),1,0)</f>
        <v/>
      </c>
      <c r="W301">
        <f>W300+IF(AND($E301&lt;&gt;"",$E301&lt;=W$2,$F301&gt;=W$2),1,0)</f>
        <v/>
      </c>
      <c r="X301">
        <f>X300+IF(AND($E301&lt;&gt;"",$E301&lt;=X$2,$F301&gt;=X$2),1,0)</f>
        <v/>
      </c>
      <c r="Y301">
        <f>Y300+IF(AND($E301&lt;&gt;"",$E301&lt;=Y$2,$F301&gt;=Y$2),1,0)</f>
        <v/>
      </c>
      <c r="Z301">
        <f>Z300+IF(AND($E301&lt;&gt;"",$E301&lt;=Z$2,$F301&gt;=Z$2),1,0)</f>
        <v/>
      </c>
      <c r="AA301">
        <f>AA300+IF(AND($E301&lt;&gt;"",$E301&lt;=AA$2,$F301&gt;=AA$2),1,0)</f>
        <v/>
      </c>
      <c r="AB301">
        <f>AB300+IF(AND($E301&lt;&gt;"",$E301&lt;=AB$2,$F301&gt;=AB$2),1,0)</f>
        <v/>
      </c>
      <c r="AC301">
        <f>AC300+IF(AND($E301&lt;&gt;"",$E301&lt;=AC$2,$F301&gt;=AC$2),1,0)</f>
        <v/>
      </c>
      <c r="AD301">
        <f>AD300+IF(AND($E301&lt;&gt;"",$E301&lt;=AD$2,$F301&gt;=AD$2),1,0)</f>
        <v/>
      </c>
      <c r="AE301">
        <f>AE300+IF(AND($E301&lt;&gt;"",$E301&lt;=AE$2,$F301&gt;=AE$2),1,0)</f>
        <v/>
      </c>
      <c r="AF301">
        <f>AF300+IF(AND($E301&lt;&gt;"",$E301&lt;=AF$2,$F301&gt;=AF$2),1,0)</f>
        <v/>
      </c>
      <c r="AG301">
        <f>AG300+IF(AND($E301&lt;&gt;"",$E301&lt;=AG$2,$F301&gt;=AG$2),1,0)</f>
        <v/>
      </c>
      <c r="AH301">
        <f>AH300+IF(AND($E301&lt;&gt;"",$E301&lt;=AH$2,$F301&gt;=AH$2),1,0)</f>
        <v/>
      </c>
      <c r="AI301">
        <f>AI300+IF(AND($E301&lt;&gt;"",$E301&lt;=AI$2,$F301&gt;=AI$2),1,0)</f>
        <v/>
      </c>
      <c r="AJ301">
        <f>AJ300+IF(AND($E301&lt;&gt;"",$E301&lt;=AJ$2,$F301&gt;=AJ$2),1,0)</f>
        <v/>
      </c>
      <c r="AK301">
        <f>AK300+IF(AND($E301&lt;&gt;"",$E301&lt;=AK$2,$F301&gt;=AK$2),1,0)</f>
        <v/>
      </c>
      <c r="AL301">
        <f>AL300+IF(AND($E301&lt;&gt;"",$E301&lt;=AL$2,$F301&gt;=AL$2),1,0)</f>
        <v/>
      </c>
      <c r="AM301">
        <f>AM300+IF(AND($E301&lt;&gt;"",$E301&lt;=AM$2,$F301&gt;=AM$2),1,0)</f>
        <v/>
      </c>
      <c r="AN301">
        <f>AN300+IF(AND($E301&lt;&gt;"",$E301&lt;=AN$2,$F301&gt;=AN$2),1,0)</f>
        <v/>
      </c>
      <c r="AO301">
        <f>AO300+IF(AND($E301&lt;&gt;"",$E301&lt;=AO$2,$F301&gt;=AO$2),1,0)</f>
        <v/>
      </c>
      <c r="AP301">
        <f>AP300+IF(AND($E301&lt;&gt;"",$E301&lt;=AP$2,$F301&gt;=AP$2),1,0)</f>
        <v/>
      </c>
      <c r="AQ301">
        <f>AQ300+IF(AND($E301&lt;&gt;"",$E301&lt;=AQ$2,$F301&gt;=AQ$2),1,0)</f>
        <v/>
      </c>
      <c r="AR301">
        <f>AR300+IF(AND($E301&lt;&gt;"",$E301&lt;=AR$2,$F301&gt;=AR$2),1,0)</f>
        <v/>
      </c>
      <c r="AS301">
        <f>AS300+IF(AND($E301&lt;&gt;"",$E301&lt;=AS$2,$F301&gt;=AS$2),1,0)</f>
        <v/>
      </c>
      <c r="AT301">
        <f>AT300+IF(AND($E301&lt;&gt;"",$E301&lt;=AT$2,$F301&gt;=AT$2),1,0)</f>
        <v/>
      </c>
      <c r="AU301">
        <f>AU300+IF(AND($E301&lt;&gt;"",$E301&lt;=AU$2,$F301&gt;=AU$2),1,0)</f>
        <v/>
      </c>
      <c r="AV301">
        <f>AV300+IF(AND($E301&lt;&gt;"",$E301&lt;=AV$2,$F301&gt;=AV$2),1,0)</f>
        <v/>
      </c>
      <c r="AW301">
        <f>AW300+IF(AND($E301&lt;&gt;"",$E301&lt;=AW$2,$F301&gt;=AW$2),1,0)</f>
        <v/>
      </c>
    </row>
    <row r="302">
      <c r="A302">
        <f>IF(AND(ISNUMBER(Events!$A304),ISNUMBER(Events!$B304)),MAX(0,Events!$B304-Events!$A304),0)</f>
        <v/>
      </c>
      <c r="B302">
        <f>IF(ISNUMBER(Events!$A304),DATE(YEAR($B$1)-1,MONTH(Events!$A304),DAY(Events!$A304)),"")</f>
        <v/>
      </c>
      <c r="C302">
        <f>IF(ISNUMBER(Events!$A304),DATE(YEAR($B$1),MONTH(Events!$A304),DAY(Events!$A304)),"")</f>
        <v/>
      </c>
      <c r="D302">
        <f>IF(ISNUMBER(Events!$A304),DATE(YEAR($B$2),MONTH(Events!$A304),DAY(Events!$A304)),"")</f>
        <v/>
      </c>
      <c r="E302">
        <f>IF(OR(NOT(ISNUMBER(Events!$A304)),Events!$G304="No",Calendar!$H$4="None"),"",IF(OR(Calendar!$H$4="All events",Events!$D304=Calendar!$H$4),IF(Events!$E304="Yes",IF(AND(B302&gt;=Events!$A304,B302&lt;=$B$2,B302+$A302&gt;=$B$1),B302,IF(AND(C302&gt;=Events!$A304,C302&lt;=$B$2,C302+$A302&gt;=$B$1),C302,IF(AND(D302&gt;=Events!$A304,D302&lt;=$B$2,D302+$A302&gt;=$B$1),D302,""))),IF(AND(Events!$A304&lt;=$B$2,Events!$A304+$A302&gt;=$B$1),Events!$A304,"")),""))</f>
        <v/>
      </c>
      <c r="F302">
        <f>IF(E302="","",E302+A302)</f>
        <v/>
      </c>
      <c r="G302">
        <f>IF(E302="","",IF(AND(E302&lt;=EOMONTH(Calendar!$K$2,0),F302&gt;=Calendar!$K$2),E302+299/100000,""))</f>
        <v/>
      </c>
      <c r="H302">
        <f>H301+IF(AND($E302&lt;&gt;"",$E302&lt;=H$2,$F302&gt;=H$2),1,0)</f>
        <v/>
      </c>
      <c r="I302">
        <f>I301+IF(AND($E302&lt;&gt;"",$E302&lt;=I$2,$F302&gt;=I$2),1,0)</f>
        <v/>
      </c>
      <c r="J302">
        <f>J301+IF(AND($E302&lt;&gt;"",$E302&lt;=J$2,$F302&gt;=J$2),1,0)</f>
        <v/>
      </c>
      <c r="K302">
        <f>K301+IF(AND($E302&lt;&gt;"",$E302&lt;=K$2,$F302&gt;=K$2),1,0)</f>
        <v/>
      </c>
      <c r="L302">
        <f>L301+IF(AND($E302&lt;&gt;"",$E302&lt;=L$2,$F302&gt;=L$2),1,0)</f>
        <v/>
      </c>
      <c r="M302">
        <f>M301+IF(AND($E302&lt;&gt;"",$E302&lt;=M$2,$F302&gt;=M$2),1,0)</f>
        <v/>
      </c>
      <c r="N302">
        <f>N301+IF(AND($E302&lt;&gt;"",$E302&lt;=N$2,$F302&gt;=N$2),1,0)</f>
        <v/>
      </c>
      <c r="O302">
        <f>O301+IF(AND($E302&lt;&gt;"",$E302&lt;=O$2,$F302&gt;=O$2),1,0)</f>
        <v/>
      </c>
      <c r="P302">
        <f>P301+IF(AND($E302&lt;&gt;"",$E302&lt;=P$2,$F302&gt;=P$2),1,0)</f>
        <v/>
      </c>
      <c r="Q302">
        <f>Q301+IF(AND($E302&lt;&gt;"",$E302&lt;=Q$2,$F302&gt;=Q$2),1,0)</f>
        <v/>
      </c>
      <c r="R302">
        <f>R301+IF(AND($E302&lt;&gt;"",$E302&lt;=R$2,$F302&gt;=R$2),1,0)</f>
        <v/>
      </c>
      <c r="S302">
        <f>S301+IF(AND($E302&lt;&gt;"",$E302&lt;=S$2,$F302&gt;=S$2),1,0)</f>
        <v/>
      </c>
      <c r="T302">
        <f>T301+IF(AND($E302&lt;&gt;"",$E302&lt;=T$2,$F302&gt;=T$2),1,0)</f>
        <v/>
      </c>
      <c r="U302">
        <f>U301+IF(AND($E302&lt;&gt;"",$E302&lt;=U$2,$F302&gt;=U$2),1,0)</f>
        <v/>
      </c>
      <c r="V302">
        <f>V301+IF(AND($E302&lt;&gt;"",$E302&lt;=V$2,$F302&gt;=V$2),1,0)</f>
        <v/>
      </c>
      <c r="W302">
        <f>W301+IF(AND($E302&lt;&gt;"",$E302&lt;=W$2,$F302&gt;=W$2),1,0)</f>
        <v/>
      </c>
      <c r="X302">
        <f>X301+IF(AND($E302&lt;&gt;"",$E302&lt;=X$2,$F302&gt;=X$2),1,0)</f>
        <v/>
      </c>
      <c r="Y302">
        <f>Y301+IF(AND($E302&lt;&gt;"",$E302&lt;=Y$2,$F302&gt;=Y$2),1,0)</f>
        <v/>
      </c>
      <c r="Z302">
        <f>Z301+IF(AND($E302&lt;&gt;"",$E302&lt;=Z$2,$F302&gt;=Z$2),1,0)</f>
        <v/>
      </c>
      <c r="AA302">
        <f>AA301+IF(AND($E302&lt;&gt;"",$E302&lt;=AA$2,$F302&gt;=AA$2),1,0)</f>
        <v/>
      </c>
      <c r="AB302">
        <f>AB301+IF(AND($E302&lt;&gt;"",$E302&lt;=AB$2,$F302&gt;=AB$2),1,0)</f>
        <v/>
      </c>
      <c r="AC302">
        <f>AC301+IF(AND($E302&lt;&gt;"",$E302&lt;=AC$2,$F302&gt;=AC$2),1,0)</f>
        <v/>
      </c>
      <c r="AD302">
        <f>AD301+IF(AND($E302&lt;&gt;"",$E302&lt;=AD$2,$F302&gt;=AD$2),1,0)</f>
        <v/>
      </c>
      <c r="AE302">
        <f>AE301+IF(AND($E302&lt;&gt;"",$E302&lt;=AE$2,$F302&gt;=AE$2),1,0)</f>
        <v/>
      </c>
      <c r="AF302">
        <f>AF301+IF(AND($E302&lt;&gt;"",$E302&lt;=AF$2,$F302&gt;=AF$2),1,0)</f>
        <v/>
      </c>
      <c r="AG302">
        <f>AG301+IF(AND($E302&lt;&gt;"",$E302&lt;=AG$2,$F302&gt;=AG$2),1,0)</f>
        <v/>
      </c>
      <c r="AH302">
        <f>AH301+IF(AND($E302&lt;&gt;"",$E302&lt;=AH$2,$F302&gt;=AH$2),1,0)</f>
        <v/>
      </c>
      <c r="AI302">
        <f>AI301+IF(AND($E302&lt;&gt;"",$E302&lt;=AI$2,$F302&gt;=AI$2),1,0)</f>
        <v/>
      </c>
      <c r="AJ302">
        <f>AJ301+IF(AND($E302&lt;&gt;"",$E302&lt;=AJ$2,$F302&gt;=AJ$2),1,0)</f>
        <v/>
      </c>
      <c r="AK302">
        <f>AK301+IF(AND($E302&lt;&gt;"",$E302&lt;=AK$2,$F302&gt;=AK$2),1,0)</f>
        <v/>
      </c>
      <c r="AL302">
        <f>AL301+IF(AND($E302&lt;&gt;"",$E302&lt;=AL$2,$F302&gt;=AL$2),1,0)</f>
        <v/>
      </c>
      <c r="AM302">
        <f>AM301+IF(AND($E302&lt;&gt;"",$E302&lt;=AM$2,$F302&gt;=AM$2),1,0)</f>
        <v/>
      </c>
      <c r="AN302">
        <f>AN301+IF(AND($E302&lt;&gt;"",$E302&lt;=AN$2,$F302&gt;=AN$2),1,0)</f>
        <v/>
      </c>
      <c r="AO302">
        <f>AO301+IF(AND($E302&lt;&gt;"",$E302&lt;=AO$2,$F302&gt;=AO$2),1,0)</f>
        <v/>
      </c>
      <c r="AP302">
        <f>AP301+IF(AND($E302&lt;&gt;"",$E302&lt;=AP$2,$F302&gt;=AP$2),1,0)</f>
        <v/>
      </c>
      <c r="AQ302">
        <f>AQ301+IF(AND($E302&lt;&gt;"",$E302&lt;=AQ$2,$F302&gt;=AQ$2),1,0)</f>
        <v/>
      </c>
      <c r="AR302">
        <f>AR301+IF(AND($E302&lt;&gt;"",$E302&lt;=AR$2,$F302&gt;=AR$2),1,0)</f>
        <v/>
      </c>
      <c r="AS302">
        <f>AS301+IF(AND($E302&lt;&gt;"",$E302&lt;=AS$2,$F302&gt;=AS$2),1,0)</f>
        <v/>
      </c>
      <c r="AT302">
        <f>AT301+IF(AND($E302&lt;&gt;"",$E302&lt;=AT$2,$F302&gt;=AT$2),1,0)</f>
        <v/>
      </c>
      <c r="AU302">
        <f>AU301+IF(AND($E302&lt;&gt;"",$E302&lt;=AU$2,$F302&gt;=AU$2),1,0)</f>
        <v/>
      </c>
      <c r="AV302">
        <f>AV301+IF(AND($E302&lt;&gt;"",$E302&lt;=AV$2,$F302&gt;=AV$2),1,0)</f>
        <v/>
      </c>
      <c r="AW302">
        <f>AW301+IF(AND($E302&lt;&gt;"",$E302&lt;=AW$2,$F302&gt;=AW$2),1,0)</f>
        <v/>
      </c>
    </row>
    <row r="303">
      <c r="A303">
        <f>IF(AND(ISNUMBER(Events!$A305),ISNUMBER(Events!$B305)),MAX(0,Events!$B305-Events!$A305),0)</f>
        <v/>
      </c>
      <c r="B303">
        <f>IF(ISNUMBER(Events!$A305),DATE(YEAR($B$1)-1,MONTH(Events!$A305),DAY(Events!$A305)),"")</f>
        <v/>
      </c>
      <c r="C303">
        <f>IF(ISNUMBER(Events!$A305),DATE(YEAR($B$1),MONTH(Events!$A305),DAY(Events!$A305)),"")</f>
        <v/>
      </c>
      <c r="D303">
        <f>IF(ISNUMBER(Events!$A305),DATE(YEAR($B$2),MONTH(Events!$A305),DAY(Events!$A305)),"")</f>
        <v/>
      </c>
      <c r="E303">
        <f>IF(OR(NOT(ISNUMBER(Events!$A305)),Events!$G305="No",Calendar!$H$4="None"),"",IF(OR(Calendar!$H$4="All events",Events!$D305=Calendar!$H$4),IF(Events!$E305="Yes",IF(AND(B303&gt;=Events!$A305,B303&lt;=$B$2,B303+$A303&gt;=$B$1),B303,IF(AND(C303&gt;=Events!$A305,C303&lt;=$B$2,C303+$A303&gt;=$B$1),C303,IF(AND(D303&gt;=Events!$A305,D303&lt;=$B$2,D303+$A303&gt;=$B$1),D303,""))),IF(AND(Events!$A305&lt;=$B$2,Events!$A305+$A303&gt;=$B$1),Events!$A305,"")),""))</f>
        <v/>
      </c>
      <c r="F303">
        <f>IF(E303="","",E303+A303)</f>
        <v/>
      </c>
      <c r="G303">
        <f>IF(E303="","",IF(AND(E303&lt;=EOMONTH(Calendar!$K$2,0),F303&gt;=Calendar!$K$2),E303+300/100000,""))</f>
        <v/>
      </c>
      <c r="H303">
        <f>H302+IF(AND($E303&lt;&gt;"",$E303&lt;=H$2,$F303&gt;=H$2),1,0)</f>
        <v/>
      </c>
      <c r="I303">
        <f>I302+IF(AND($E303&lt;&gt;"",$E303&lt;=I$2,$F303&gt;=I$2),1,0)</f>
        <v/>
      </c>
      <c r="J303">
        <f>J302+IF(AND($E303&lt;&gt;"",$E303&lt;=J$2,$F303&gt;=J$2),1,0)</f>
        <v/>
      </c>
      <c r="K303">
        <f>K302+IF(AND($E303&lt;&gt;"",$E303&lt;=K$2,$F303&gt;=K$2),1,0)</f>
        <v/>
      </c>
      <c r="L303">
        <f>L302+IF(AND($E303&lt;&gt;"",$E303&lt;=L$2,$F303&gt;=L$2),1,0)</f>
        <v/>
      </c>
      <c r="M303">
        <f>M302+IF(AND($E303&lt;&gt;"",$E303&lt;=M$2,$F303&gt;=M$2),1,0)</f>
        <v/>
      </c>
      <c r="N303">
        <f>N302+IF(AND($E303&lt;&gt;"",$E303&lt;=N$2,$F303&gt;=N$2),1,0)</f>
        <v/>
      </c>
      <c r="O303">
        <f>O302+IF(AND($E303&lt;&gt;"",$E303&lt;=O$2,$F303&gt;=O$2),1,0)</f>
        <v/>
      </c>
      <c r="P303">
        <f>P302+IF(AND($E303&lt;&gt;"",$E303&lt;=P$2,$F303&gt;=P$2),1,0)</f>
        <v/>
      </c>
      <c r="Q303">
        <f>Q302+IF(AND($E303&lt;&gt;"",$E303&lt;=Q$2,$F303&gt;=Q$2),1,0)</f>
        <v/>
      </c>
      <c r="R303">
        <f>R302+IF(AND($E303&lt;&gt;"",$E303&lt;=R$2,$F303&gt;=R$2),1,0)</f>
        <v/>
      </c>
      <c r="S303">
        <f>S302+IF(AND($E303&lt;&gt;"",$E303&lt;=S$2,$F303&gt;=S$2),1,0)</f>
        <v/>
      </c>
      <c r="T303">
        <f>T302+IF(AND($E303&lt;&gt;"",$E303&lt;=T$2,$F303&gt;=T$2),1,0)</f>
        <v/>
      </c>
      <c r="U303">
        <f>U302+IF(AND($E303&lt;&gt;"",$E303&lt;=U$2,$F303&gt;=U$2),1,0)</f>
        <v/>
      </c>
      <c r="V303">
        <f>V302+IF(AND($E303&lt;&gt;"",$E303&lt;=V$2,$F303&gt;=V$2),1,0)</f>
        <v/>
      </c>
      <c r="W303">
        <f>W302+IF(AND($E303&lt;&gt;"",$E303&lt;=W$2,$F303&gt;=W$2),1,0)</f>
        <v/>
      </c>
      <c r="X303">
        <f>X302+IF(AND($E303&lt;&gt;"",$E303&lt;=X$2,$F303&gt;=X$2),1,0)</f>
        <v/>
      </c>
      <c r="Y303">
        <f>Y302+IF(AND($E303&lt;&gt;"",$E303&lt;=Y$2,$F303&gt;=Y$2),1,0)</f>
        <v/>
      </c>
      <c r="Z303">
        <f>Z302+IF(AND($E303&lt;&gt;"",$E303&lt;=Z$2,$F303&gt;=Z$2),1,0)</f>
        <v/>
      </c>
      <c r="AA303">
        <f>AA302+IF(AND($E303&lt;&gt;"",$E303&lt;=AA$2,$F303&gt;=AA$2),1,0)</f>
        <v/>
      </c>
      <c r="AB303">
        <f>AB302+IF(AND($E303&lt;&gt;"",$E303&lt;=AB$2,$F303&gt;=AB$2),1,0)</f>
        <v/>
      </c>
      <c r="AC303">
        <f>AC302+IF(AND($E303&lt;&gt;"",$E303&lt;=AC$2,$F303&gt;=AC$2),1,0)</f>
        <v/>
      </c>
      <c r="AD303">
        <f>AD302+IF(AND($E303&lt;&gt;"",$E303&lt;=AD$2,$F303&gt;=AD$2),1,0)</f>
        <v/>
      </c>
      <c r="AE303">
        <f>AE302+IF(AND($E303&lt;&gt;"",$E303&lt;=AE$2,$F303&gt;=AE$2),1,0)</f>
        <v/>
      </c>
      <c r="AF303">
        <f>AF302+IF(AND($E303&lt;&gt;"",$E303&lt;=AF$2,$F303&gt;=AF$2),1,0)</f>
        <v/>
      </c>
      <c r="AG303">
        <f>AG302+IF(AND($E303&lt;&gt;"",$E303&lt;=AG$2,$F303&gt;=AG$2),1,0)</f>
        <v/>
      </c>
      <c r="AH303">
        <f>AH302+IF(AND($E303&lt;&gt;"",$E303&lt;=AH$2,$F303&gt;=AH$2),1,0)</f>
        <v/>
      </c>
      <c r="AI303">
        <f>AI302+IF(AND($E303&lt;&gt;"",$E303&lt;=AI$2,$F303&gt;=AI$2),1,0)</f>
        <v/>
      </c>
      <c r="AJ303">
        <f>AJ302+IF(AND($E303&lt;&gt;"",$E303&lt;=AJ$2,$F303&gt;=AJ$2),1,0)</f>
        <v/>
      </c>
      <c r="AK303">
        <f>AK302+IF(AND($E303&lt;&gt;"",$E303&lt;=AK$2,$F303&gt;=AK$2),1,0)</f>
        <v/>
      </c>
      <c r="AL303">
        <f>AL302+IF(AND($E303&lt;&gt;"",$E303&lt;=AL$2,$F303&gt;=AL$2),1,0)</f>
        <v/>
      </c>
      <c r="AM303">
        <f>AM302+IF(AND($E303&lt;&gt;"",$E303&lt;=AM$2,$F303&gt;=AM$2),1,0)</f>
        <v/>
      </c>
      <c r="AN303">
        <f>AN302+IF(AND($E303&lt;&gt;"",$E303&lt;=AN$2,$F303&gt;=AN$2),1,0)</f>
        <v/>
      </c>
      <c r="AO303">
        <f>AO302+IF(AND($E303&lt;&gt;"",$E303&lt;=AO$2,$F303&gt;=AO$2),1,0)</f>
        <v/>
      </c>
      <c r="AP303">
        <f>AP302+IF(AND($E303&lt;&gt;"",$E303&lt;=AP$2,$F303&gt;=AP$2),1,0)</f>
        <v/>
      </c>
      <c r="AQ303">
        <f>AQ302+IF(AND($E303&lt;&gt;"",$E303&lt;=AQ$2,$F303&gt;=AQ$2),1,0)</f>
        <v/>
      </c>
      <c r="AR303">
        <f>AR302+IF(AND($E303&lt;&gt;"",$E303&lt;=AR$2,$F303&gt;=AR$2),1,0)</f>
        <v/>
      </c>
      <c r="AS303">
        <f>AS302+IF(AND($E303&lt;&gt;"",$E303&lt;=AS$2,$F303&gt;=AS$2),1,0)</f>
        <v/>
      </c>
      <c r="AT303">
        <f>AT302+IF(AND($E303&lt;&gt;"",$E303&lt;=AT$2,$F303&gt;=AT$2),1,0)</f>
        <v/>
      </c>
      <c r="AU303">
        <f>AU302+IF(AND($E303&lt;&gt;"",$E303&lt;=AU$2,$F303&gt;=AU$2),1,0)</f>
        <v/>
      </c>
      <c r="AV303">
        <f>AV302+IF(AND($E303&lt;&gt;"",$E303&lt;=AV$2,$F303&gt;=AV$2),1,0)</f>
        <v/>
      </c>
      <c r="AW303">
        <f>AW302+IF(AND($E303&lt;&gt;"",$E303&lt;=AW$2,$F303&gt;=AW$2),1,0)</f>
        <v/>
      </c>
    </row>
    <row r="304">
      <c r="A304">
        <f>IF(AND(ISNUMBER(Events!$A306),ISNUMBER(Events!$B306)),MAX(0,Events!$B306-Events!$A306),0)</f>
        <v/>
      </c>
      <c r="B304">
        <f>IF(ISNUMBER(Events!$A306),DATE(YEAR($B$1)-1,MONTH(Events!$A306),DAY(Events!$A306)),"")</f>
        <v/>
      </c>
      <c r="C304">
        <f>IF(ISNUMBER(Events!$A306),DATE(YEAR($B$1),MONTH(Events!$A306),DAY(Events!$A306)),"")</f>
        <v/>
      </c>
      <c r="D304">
        <f>IF(ISNUMBER(Events!$A306),DATE(YEAR($B$2),MONTH(Events!$A306),DAY(Events!$A306)),"")</f>
        <v/>
      </c>
      <c r="E304">
        <f>IF(OR(NOT(ISNUMBER(Events!$A306)),Events!$G306="No",Calendar!$H$4="None"),"",IF(OR(Calendar!$H$4="All events",Events!$D306=Calendar!$H$4),IF(Events!$E306="Yes",IF(AND(B304&gt;=Events!$A306,B304&lt;=$B$2,B304+$A304&gt;=$B$1),B304,IF(AND(C304&gt;=Events!$A306,C304&lt;=$B$2,C304+$A304&gt;=$B$1),C304,IF(AND(D304&gt;=Events!$A306,D304&lt;=$B$2,D304+$A304&gt;=$B$1),D304,""))),IF(AND(Events!$A306&lt;=$B$2,Events!$A306+$A304&gt;=$B$1),Events!$A306,"")),""))</f>
        <v/>
      </c>
      <c r="F304">
        <f>IF(E304="","",E304+A304)</f>
        <v/>
      </c>
      <c r="G304">
        <f>IF(E304="","",IF(AND(E304&lt;=EOMONTH(Calendar!$K$2,0),F304&gt;=Calendar!$K$2),E304+301/100000,""))</f>
        <v/>
      </c>
      <c r="H304">
        <f>H303+IF(AND($E304&lt;&gt;"",$E304&lt;=H$2,$F304&gt;=H$2),1,0)</f>
        <v/>
      </c>
      <c r="I304">
        <f>I303+IF(AND($E304&lt;&gt;"",$E304&lt;=I$2,$F304&gt;=I$2),1,0)</f>
        <v/>
      </c>
      <c r="J304">
        <f>J303+IF(AND($E304&lt;&gt;"",$E304&lt;=J$2,$F304&gt;=J$2),1,0)</f>
        <v/>
      </c>
      <c r="K304">
        <f>K303+IF(AND($E304&lt;&gt;"",$E304&lt;=K$2,$F304&gt;=K$2),1,0)</f>
        <v/>
      </c>
      <c r="L304">
        <f>L303+IF(AND($E304&lt;&gt;"",$E304&lt;=L$2,$F304&gt;=L$2),1,0)</f>
        <v/>
      </c>
      <c r="M304">
        <f>M303+IF(AND($E304&lt;&gt;"",$E304&lt;=M$2,$F304&gt;=M$2),1,0)</f>
        <v/>
      </c>
      <c r="N304">
        <f>N303+IF(AND($E304&lt;&gt;"",$E304&lt;=N$2,$F304&gt;=N$2),1,0)</f>
        <v/>
      </c>
      <c r="O304">
        <f>O303+IF(AND($E304&lt;&gt;"",$E304&lt;=O$2,$F304&gt;=O$2),1,0)</f>
        <v/>
      </c>
      <c r="P304">
        <f>P303+IF(AND($E304&lt;&gt;"",$E304&lt;=P$2,$F304&gt;=P$2),1,0)</f>
        <v/>
      </c>
      <c r="Q304">
        <f>Q303+IF(AND($E304&lt;&gt;"",$E304&lt;=Q$2,$F304&gt;=Q$2),1,0)</f>
        <v/>
      </c>
      <c r="R304">
        <f>R303+IF(AND($E304&lt;&gt;"",$E304&lt;=R$2,$F304&gt;=R$2),1,0)</f>
        <v/>
      </c>
      <c r="S304">
        <f>S303+IF(AND($E304&lt;&gt;"",$E304&lt;=S$2,$F304&gt;=S$2),1,0)</f>
        <v/>
      </c>
      <c r="T304">
        <f>T303+IF(AND($E304&lt;&gt;"",$E304&lt;=T$2,$F304&gt;=T$2),1,0)</f>
        <v/>
      </c>
      <c r="U304">
        <f>U303+IF(AND($E304&lt;&gt;"",$E304&lt;=U$2,$F304&gt;=U$2),1,0)</f>
        <v/>
      </c>
      <c r="V304">
        <f>V303+IF(AND($E304&lt;&gt;"",$E304&lt;=V$2,$F304&gt;=V$2),1,0)</f>
        <v/>
      </c>
      <c r="W304">
        <f>W303+IF(AND($E304&lt;&gt;"",$E304&lt;=W$2,$F304&gt;=W$2),1,0)</f>
        <v/>
      </c>
      <c r="X304">
        <f>X303+IF(AND($E304&lt;&gt;"",$E304&lt;=X$2,$F304&gt;=X$2),1,0)</f>
        <v/>
      </c>
      <c r="Y304">
        <f>Y303+IF(AND($E304&lt;&gt;"",$E304&lt;=Y$2,$F304&gt;=Y$2),1,0)</f>
        <v/>
      </c>
      <c r="Z304">
        <f>Z303+IF(AND($E304&lt;&gt;"",$E304&lt;=Z$2,$F304&gt;=Z$2),1,0)</f>
        <v/>
      </c>
      <c r="AA304">
        <f>AA303+IF(AND($E304&lt;&gt;"",$E304&lt;=AA$2,$F304&gt;=AA$2),1,0)</f>
        <v/>
      </c>
      <c r="AB304">
        <f>AB303+IF(AND($E304&lt;&gt;"",$E304&lt;=AB$2,$F304&gt;=AB$2),1,0)</f>
        <v/>
      </c>
      <c r="AC304">
        <f>AC303+IF(AND($E304&lt;&gt;"",$E304&lt;=AC$2,$F304&gt;=AC$2),1,0)</f>
        <v/>
      </c>
      <c r="AD304">
        <f>AD303+IF(AND($E304&lt;&gt;"",$E304&lt;=AD$2,$F304&gt;=AD$2),1,0)</f>
        <v/>
      </c>
      <c r="AE304">
        <f>AE303+IF(AND($E304&lt;&gt;"",$E304&lt;=AE$2,$F304&gt;=AE$2),1,0)</f>
        <v/>
      </c>
      <c r="AF304">
        <f>AF303+IF(AND($E304&lt;&gt;"",$E304&lt;=AF$2,$F304&gt;=AF$2),1,0)</f>
        <v/>
      </c>
      <c r="AG304">
        <f>AG303+IF(AND($E304&lt;&gt;"",$E304&lt;=AG$2,$F304&gt;=AG$2),1,0)</f>
        <v/>
      </c>
      <c r="AH304">
        <f>AH303+IF(AND($E304&lt;&gt;"",$E304&lt;=AH$2,$F304&gt;=AH$2),1,0)</f>
        <v/>
      </c>
      <c r="AI304">
        <f>AI303+IF(AND($E304&lt;&gt;"",$E304&lt;=AI$2,$F304&gt;=AI$2),1,0)</f>
        <v/>
      </c>
      <c r="AJ304">
        <f>AJ303+IF(AND($E304&lt;&gt;"",$E304&lt;=AJ$2,$F304&gt;=AJ$2),1,0)</f>
        <v/>
      </c>
      <c r="AK304">
        <f>AK303+IF(AND($E304&lt;&gt;"",$E304&lt;=AK$2,$F304&gt;=AK$2),1,0)</f>
        <v/>
      </c>
      <c r="AL304">
        <f>AL303+IF(AND($E304&lt;&gt;"",$E304&lt;=AL$2,$F304&gt;=AL$2),1,0)</f>
        <v/>
      </c>
      <c r="AM304">
        <f>AM303+IF(AND($E304&lt;&gt;"",$E304&lt;=AM$2,$F304&gt;=AM$2),1,0)</f>
        <v/>
      </c>
      <c r="AN304">
        <f>AN303+IF(AND($E304&lt;&gt;"",$E304&lt;=AN$2,$F304&gt;=AN$2),1,0)</f>
        <v/>
      </c>
      <c r="AO304">
        <f>AO303+IF(AND($E304&lt;&gt;"",$E304&lt;=AO$2,$F304&gt;=AO$2),1,0)</f>
        <v/>
      </c>
      <c r="AP304">
        <f>AP303+IF(AND($E304&lt;&gt;"",$E304&lt;=AP$2,$F304&gt;=AP$2),1,0)</f>
        <v/>
      </c>
      <c r="AQ304">
        <f>AQ303+IF(AND($E304&lt;&gt;"",$E304&lt;=AQ$2,$F304&gt;=AQ$2),1,0)</f>
        <v/>
      </c>
      <c r="AR304">
        <f>AR303+IF(AND($E304&lt;&gt;"",$E304&lt;=AR$2,$F304&gt;=AR$2),1,0)</f>
        <v/>
      </c>
      <c r="AS304">
        <f>AS303+IF(AND($E304&lt;&gt;"",$E304&lt;=AS$2,$F304&gt;=AS$2),1,0)</f>
        <v/>
      </c>
      <c r="AT304">
        <f>AT303+IF(AND($E304&lt;&gt;"",$E304&lt;=AT$2,$F304&gt;=AT$2),1,0)</f>
        <v/>
      </c>
      <c r="AU304">
        <f>AU303+IF(AND($E304&lt;&gt;"",$E304&lt;=AU$2,$F304&gt;=AU$2),1,0)</f>
        <v/>
      </c>
      <c r="AV304">
        <f>AV303+IF(AND($E304&lt;&gt;"",$E304&lt;=AV$2,$F304&gt;=AV$2),1,0)</f>
        <v/>
      </c>
      <c r="AW304">
        <f>AW303+IF(AND($E304&lt;&gt;"",$E304&lt;=AW$2,$F304&gt;=AW$2),1,0)</f>
        <v/>
      </c>
    </row>
    <row r="305">
      <c r="A305">
        <f>IF(AND(ISNUMBER(Events!$A307),ISNUMBER(Events!$B307)),MAX(0,Events!$B307-Events!$A307),0)</f>
        <v/>
      </c>
      <c r="B305">
        <f>IF(ISNUMBER(Events!$A307),DATE(YEAR($B$1)-1,MONTH(Events!$A307),DAY(Events!$A307)),"")</f>
        <v/>
      </c>
      <c r="C305">
        <f>IF(ISNUMBER(Events!$A307),DATE(YEAR($B$1),MONTH(Events!$A307),DAY(Events!$A307)),"")</f>
        <v/>
      </c>
      <c r="D305">
        <f>IF(ISNUMBER(Events!$A307),DATE(YEAR($B$2),MONTH(Events!$A307),DAY(Events!$A307)),"")</f>
        <v/>
      </c>
      <c r="E305">
        <f>IF(OR(NOT(ISNUMBER(Events!$A307)),Events!$G307="No",Calendar!$H$4="None"),"",IF(OR(Calendar!$H$4="All events",Events!$D307=Calendar!$H$4),IF(Events!$E307="Yes",IF(AND(B305&gt;=Events!$A307,B305&lt;=$B$2,B305+$A305&gt;=$B$1),B305,IF(AND(C305&gt;=Events!$A307,C305&lt;=$B$2,C305+$A305&gt;=$B$1),C305,IF(AND(D305&gt;=Events!$A307,D305&lt;=$B$2,D305+$A305&gt;=$B$1),D305,""))),IF(AND(Events!$A307&lt;=$B$2,Events!$A307+$A305&gt;=$B$1),Events!$A307,"")),""))</f>
        <v/>
      </c>
      <c r="F305">
        <f>IF(E305="","",E305+A305)</f>
        <v/>
      </c>
      <c r="G305">
        <f>IF(E305="","",IF(AND(E305&lt;=EOMONTH(Calendar!$K$2,0),F305&gt;=Calendar!$K$2),E305+302/100000,""))</f>
        <v/>
      </c>
      <c r="H305">
        <f>H304+IF(AND($E305&lt;&gt;"",$E305&lt;=H$2,$F305&gt;=H$2),1,0)</f>
        <v/>
      </c>
      <c r="I305">
        <f>I304+IF(AND($E305&lt;&gt;"",$E305&lt;=I$2,$F305&gt;=I$2),1,0)</f>
        <v/>
      </c>
      <c r="J305">
        <f>J304+IF(AND($E305&lt;&gt;"",$E305&lt;=J$2,$F305&gt;=J$2),1,0)</f>
        <v/>
      </c>
      <c r="K305">
        <f>K304+IF(AND($E305&lt;&gt;"",$E305&lt;=K$2,$F305&gt;=K$2),1,0)</f>
        <v/>
      </c>
      <c r="L305">
        <f>L304+IF(AND($E305&lt;&gt;"",$E305&lt;=L$2,$F305&gt;=L$2),1,0)</f>
        <v/>
      </c>
      <c r="M305">
        <f>M304+IF(AND($E305&lt;&gt;"",$E305&lt;=M$2,$F305&gt;=M$2),1,0)</f>
        <v/>
      </c>
      <c r="N305">
        <f>N304+IF(AND($E305&lt;&gt;"",$E305&lt;=N$2,$F305&gt;=N$2),1,0)</f>
        <v/>
      </c>
      <c r="O305">
        <f>O304+IF(AND($E305&lt;&gt;"",$E305&lt;=O$2,$F305&gt;=O$2),1,0)</f>
        <v/>
      </c>
      <c r="P305">
        <f>P304+IF(AND($E305&lt;&gt;"",$E305&lt;=P$2,$F305&gt;=P$2),1,0)</f>
        <v/>
      </c>
      <c r="Q305">
        <f>Q304+IF(AND($E305&lt;&gt;"",$E305&lt;=Q$2,$F305&gt;=Q$2),1,0)</f>
        <v/>
      </c>
      <c r="R305">
        <f>R304+IF(AND($E305&lt;&gt;"",$E305&lt;=R$2,$F305&gt;=R$2),1,0)</f>
        <v/>
      </c>
      <c r="S305">
        <f>S304+IF(AND($E305&lt;&gt;"",$E305&lt;=S$2,$F305&gt;=S$2),1,0)</f>
        <v/>
      </c>
      <c r="T305">
        <f>T304+IF(AND($E305&lt;&gt;"",$E305&lt;=T$2,$F305&gt;=T$2),1,0)</f>
        <v/>
      </c>
      <c r="U305">
        <f>U304+IF(AND($E305&lt;&gt;"",$E305&lt;=U$2,$F305&gt;=U$2),1,0)</f>
        <v/>
      </c>
      <c r="V305">
        <f>V304+IF(AND($E305&lt;&gt;"",$E305&lt;=V$2,$F305&gt;=V$2),1,0)</f>
        <v/>
      </c>
      <c r="W305">
        <f>W304+IF(AND($E305&lt;&gt;"",$E305&lt;=W$2,$F305&gt;=W$2),1,0)</f>
        <v/>
      </c>
      <c r="X305">
        <f>X304+IF(AND($E305&lt;&gt;"",$E305&lt;=X$2,$F305&gt;=X$2),1,0)</f>
        <v/>
      </c>
      <c r="Y305">
        <f>Y304+IF(AND($E305&lt;&gt;"",$E305&lt;=Y$2,$F305&gt;=Y$2),1,0)</f>
        <v/>
      </c>
      <c r="Z305">
        <f>Z304+IF(AND($E305&lt;&gt;"",$E305&lt;=Z$2,$F305&gt;=Z$2),1,0)</f>
        <v/>
      </c>
      <c r="AA305">
        <f>AA304+IF(AND($E305&lt;&gt;"",$E305&lt;=AA$2,$F305&gt;=AA$2),1,0)</f>
        <v/>
      </c>
      <c r="AB305">
        <f>AB304+IF(AND($E305&lt;&gt;"",$E305&lt;=AB$2,$F305&gt;=AB$2),1,0)</f>
        <v/>
      </c>
      <c r="AC305">
        <f>AC304+IF(AND($E305&lt;&gt;"",$E305&lt;=AC$2,$F305&gt;=AC$2),1,0)</f>
        <v/>
      </c>
      <c r="AD305">
        <f>AD304+IF(AND($E305&lt;&gt;"",$E305&lt;=AD$2,$F305&gt;=AD$2),1,0)</f>
        <v/>
      </c>
      <c r="AE305">
        <f>AE304+IF(AND($E305&lt;&gt;"",$E305&lt;=AE$2,$F305&gt;=AE$2),1,0)</f>
        <v/>
      </c>
      <c r="AF305">
        <f>AF304+IF(AND($E305&lt;&gt;"",$E305&lt;=AF$2,$F305&gt;=AF$2),1,0)</f>
        <v/>
      </c>
      <c r="AG305">
        <f>AG304+IF(AND($E305&lt;&gt;"",$E305&lt;=AG$2,$F305&gt;=AG$2),1,0)</f>
        <v/>
      </c>
      <c r="AH305">
        <f>AH304+IF(AND($E305&lt;&gt;"",$E305&lt;=AH$2,$F305&gt;=AH$2),1,0)</f>
        <v/>
      </c>
      <c r="AI305">
        <f>AI304+IF(AND($E305&lt;&gt;"",$E305&lt;=AI$2,$F305&gt;=AI$2),1,0)</f>
        <v/>
      </c>
      <c r="AJ305">
        <f>AJ304+IF(AND($E305&lt;&gt;"",$E305&lt;=AJ$2,$F305&gt;=AJ$2),1,0)</f>
        <v/>
      </c>
      <c r="AK305">
        <f>AK304+IF(AND($E305&lt;&gt;"",$E305&lt;=AK$2,$F305&gt;=AK$2),1,0)</f>
        <v/>
      </c>
      <c r="AL305">
        <f>AL304+IF(AND($E305&lt;&gt;"",$E305&lt;=AL$2,$F305&gt;=AL$2),1,0)</f>
        <v/>
      </c>
      <c r="AM305">
        <f>AM304+IF(AND($E305&lt;&gt;"",$E305&lt;=AM$2,$F305&gt;=AM$2),1,0)</f>
        <v/>
      </c>
      <c r="AN305">
        <f>AN304+IF(AND($E305&lt;&gt;"",$E305&lt;=AN$2,$F305&gt;=AN$2),1,0)</f>
        <v/>
      </c>
      <c r="AO305">
        <f>AO304+IF(AND($E305&lt;&gt;"",$E305&lt;=AO$2,$F305&gt;=AO$2),1,0)</f>
        <v/>
      </c>
      <c r="AP305">
        <f>AP304+IF(AND($E305&lt;&gt;"",$E305&lt;=AP$2,$F305&gt;=AP$2),1,0)</f>
        <v/>
      </c>
      <c r="AQ305">
        <f>AQ304+IF(AND($E305&lt;&gt;"",$E305&lt;=AQ$2,$F305&gt;=AQ$2),1,0)</f>
        <v/>
      </c>
      <c r="AR305">
        <f>AR304+IF(AND($E305&lt;&gt;"",$E305&lt;=AR$2,$F305&gt;=AR$2),1,0)</f>
        <v/>
      </c>
      <c r="AS305">
        <f>AS304+IF(AND($E305&lt;&gt;"",$E305&lt;=AS$2,$F305&gt;=AS$2),1,0)</f>
        <v/>
      </c>
      <c r="AT305">
        <f>AT304+IF(AND($E305&lt;&gt;"",$E305&lt;=AT$2,$F305&gt;=AT$2),1,0)</f>
        <v/>
      </c>
      <c r="AU305">
        <f>AU304+IF(AND($E305&lt;&gt;"",$E305&lt;=AU$2,$F305&gt;=AU$2),1,0)</f>
        <v/>
      </c>
      <c r="AV305">
        <f>AV304+IF(AND($E305&lt;&gt;"",$E305&lt;=AV$2,$F305&gt;=AV$2),1,0)</f>
        <v/>
      </c>
      <c r="AW305">
        <f>AW304+IF(AND($E305&lt;&gt;"",$E305&lt;=AW$2,$F305&gt;=AW$2),1,0)</f>
        <v/>
      </c>
    </row>
    <row r="306">
      <c r="A306">
        <f>IF(AND(ISNUMBER(Events!$A308),ISNUMBER(Events!$B308)),MAX(0,Events!$B308-Events!$A308),0)</f>
        <v/>
      </c>
      <c r="B306">
        <f>IF(ISNUMBER(Events!$A308),DATE(YEAR($B$1)-1,MONTH(Events!$A308),DAY(Events!$A308)),"")</f>
        <v/>
      </c>
      <c r="C306">
        <f>IF(ISNUMBER(Events!$A308),DATE(YEAR($B$1),MONTH(Events!$A308),DAY(Events!$A308)),"")</f>
        <v/>
      </c>
      <c r="D306">
        <f>IF(ISNUMBER(Events!$A308),DATE(YEAR($B$2),MONTH(Events!$A308),DAY(Events!$A308)),"")</f>
        <v/>
      </c>
      <c r="E306">
        <f>IF(OR(NOT(ISNUMBER(Events!$A308)),Events!$G308="No",Calendar!$H$4="None"),"",IF(OR(Calendar!$H$4="All events",Events!$D308=Calendar!$H$4),IF(Events!$E308="Yes",IF(AND(B306&gt;=Events!$A308,B306&lt;=$B$2,B306+$A306&gt;=$B$1),B306,IF(AND(C306&gt;=Events!$A308,C306&lt;=$B$2,C306+$A306&gt;=$B$1),C306,IF(AND(D306&gt;=Events!$A308,D306&lt;=$B$2,D306+$A306&gt;=$B$1),D306,""))),IF(AND(Events!$A308&lt;=$B$2,Events!$A308+$A306&gt;=$B$1),Events!$A308,"")),""))</f>
        <v/>
      </c>
      <c r="F306">
        <f>IF(E306="","",E306+A306)</f>
        <v/>
      </c>
      <c r="G306">
        <f>IF(E306="","",IF(AND(E306&lt;=EOMONTH(Calendar!$K$2,0),F306&gt;=Calendar!$K$2),E306+303/100000,""))</f>
        <v/>
      </c>
      <c r="H306">
        <f>H305+IF(AND($E306&lt;&gt;"",$E306&lt;=H$2,$F306&gt;=H$2),1,0)</f>
        <v/>
      </c>
      <c r="I306">
        <f>I305+IF(AND($E306&lt;&gt;"",$E306&lt;=I$2,$F306&gt;=I$2),1,0)</f>
        <v/>
      </c>
      <c r="J306">
        <f>J305+IF(AND($E306&lt;&gt;"",$E306&lt;=J$2,$F306&gt;=J$2),1,0)</f>
        <v/>
      </c>
      <c r="K306">
        <f>K305+IF(AND($E306&lt;&gt;"",$E306&lt;=K$2,$F306&gt;=K$2),1,0)</f>
        <v/>
      </c>
      <c r="L306">
        <f>L305+IF(AND($E306&lt;&gt;"",$E306&lt;=L$2,$F306&gt;=L$2),1,0)</f>
        <v/>
      </c>
      <c r="M306">
        <f>M305+IF(AND($E306&lt;&gt;"",$E306&lt;=M$2,$F306&gt;=M$2),1,0)</f>
        <v/>
      </c>
      <c r="N306">
        <f>N305+IF(AND($E306&lt;&gt;"",$E306&lt;=N$2,$F306&gt;=N$2),1,0)</f>
        <v/>
      </c>
      <c r="O306">
        <f>O305+IF(AND($E306&lt;&gt;"",$E306&lt;=O$2,$F306&gt;=O$2),1,0)</f>
        <v/>
      </c>
      <c r="P306">
        <f>P305+IF(AND($E306&lt;&gt;"",$E306&lt;=P$2,$F306&gt;=P$2),1,0)</f>
        <v/>
      </c>
      <c r="Q306">
        <f>Q305+IF(AND($E306&lt;&gt;"",$E306&lt;=Q$2,$F306&gt;=Q$2),1,0)</f>
        <v/>
      </c>
      <c r="R306">
        <f>R305+IF(AND($E306&lt;&gt;"",$E306&lt;=R$2,$F306&gt;=R$2),1,0)</f>
        <v/>
      </c>
      <c r="S306">
        <f>S305+IF(AND($E306&lt;&gt;"",$E306&lt;=S$2,$F306&gt;=S$2),1,0)</f>
        <v/>
      </c>
      <c r="T306">
        <f>T305+IF(AND($E306&lt;&gt;"",$E306&lt;=T$2,$F306&gt;=T$2),1,0)</f>
        <v/>
      </c>
      <c r="U306">
        <f>U305+IF(AND($E306&lt;&gt;"",$E306&lt;=U$2,$F306&gt;=U$2),1,0)</f>
        <v/>
      </c>
      <c r="V306">
        <f>V305+IF(AND($E306&lt;&gt;"",$E306&lt;=V$2,$F306&gt;=V$2),1,0)</f>
        <v/>
      </c>
      <c r="W306">
        <f>W305+IF(AND($E306&lt;&gt;"",$E306&lt;=W$2,$F306&gt;=W$2),1,0)</f>
        <v/>
      </c>
      <c r="X306">
        <f>X305+IF(AND($E306&lt;&gt;"",$E306&lt;=X$2,$F306&gt;=X$2),1,0)</f>
        <v/>
      </c>
      <c r="Y306">
        <f>Y305+IF(AND($E306&lt;&gt;"",$E306&lt;=Y$2,$F306&gt;=Y$2),1,0)</f>
        <v/>
      </c>
      <c r="Z306">
        <f>Z305+IF(AND($E306&lt;&gt;"",$E306&lt;=Z$2,$F306&gt;=Z$2),1,0)</f>
        <v/>
      </c>
      <c r="AA306">
        <f>AA305+IF(AND($E306&lt;&gt;"",$E306&lt;=AA$2,$F306&gt;=AA$2),1,0)</f>
        <v/>
      </c>
      <c r="AB306">
        <f>AB305+IF(AND($E306&lt;&gt;"",$E306&lt;=AB$2,$F306&gt;=AB$2),1,0)</f>
        <v/>
      </c>
      <c r="AC306">
        <f>AC305+IF(AND($E306&lt;&gt;"",$E306&lt;=AC$2,$F306&gt;=AC$2),1,0)</f>
        <v/>
      </c>
      <c r="AD306">
        <f>AD305+IF(AND($E306&lt;&gt;"",$E306&lt;=AD$2,$F306&gt;=AD$2),1,0)</f>
        <v/>
      </c>
      <c r="AE306">
        <f>AE305+IF(AND($E306&lt;&gt;"",$E306&lt;=AE$2,$F306&gt;=AE$2),1,0)</f>
        <v/>
      </c>
      <c r="AF306">
        <f>AF305+IF(AND($E306&lt;&gt;"",$E306&lt;=AF$2,$F306&gt;=AF$2),1,0)</f>
        <v/>
      </c>
      <c r="AG306">
        <f>AG305+IF(AND($E306&lt;&gt;"",$E306&lt;=AG$2,$F306&gt;=AG$2),1,0)</f>
        <v/>
      </c>
      <c r="AH306">
        <f>AH305+IF(AND($E306&lt;&gt;"",$E306&lt;=AH$2,$F306&gt;=AH$2),1,0)</f>
        <v/>
      </c>
      <c r="AI306">
        <f>AI305+IF(AND($E306&lt;&gt;"",$E306&lt;=AI$2,$F306&gt;=AI$2),1,0)</f>
        <v/>
      </c>
      <c r="AJ306">
        <f>AJ305+IF(AND($E306&lt;&gt;"",$E306&lt;=AJ$2,$F306&gt;=AJ$2),1,0)</f>
        <v/>
      </c>
      <c r="AK306">
        <f>AK305+IF(AND($E306&lt;&gt;"",$E306&lt;=AK$2,$F306&gt;=AK$2),1,0)</f>
        <v/>
      </c>
      <c r="AL306">
        <f>AL305+IF(AND($E306&lt;&gt;"",$E306&lt;=AL$2,$F306&gt;=AL$2),1,0)</f>
        <v/>
      </c>
      <c r="AM306">
        <f>AM305+IF(AND($E306&lt;&gt;"",$E306&lt;=AM$2,$F306&gt;=AM$2),1,0)</f>
        <v/>
      </c>
      <c r="AN306">
        <f>AN305+IF(AND($E306&lt;&gt;"",$E306&lt;=AN$2,$F306&gt;=AN$2),1,0)</f>
        <v/>
      </c>
      <c r="AO306">
        <f>AO305+IF(AND($E306&lt;&gt;"",$E306&lt;=AO$2,$F306&gt;=AO$2),1,0)</f>
        <v/>
      </c>
      <c r="AP306">
        <f>AP305+IF(AND($E306&lt;&gt;"",$E306&lt;=AP$2,$F306&gt;=AP$2),1,0)</f>
        <v/>
      </c>
      <c r="AQ306">
        <f>AQ305+IF(AND($E306&lt;&gt;"",$E306&lt;=AQ$2,$F306&gt;=AQ$2),1,0)</f>
        <v/>
      </c>
      <c r="AR306">
        <f>AR305+IF(AND($E306&lt;&gt;"",$E306&lt;=AR$2,$F306&gt;=AR$2),1,0)</f>
        <v/>
      </c>
      <c r="AS306">
        <f>AS305+IF(AND($E306&lt;&gt;"",$E306&lt;=AS$2,$F306&gt;=AS$2),1,0)</f>
        <v/>
      </c>
      <c r="AT306">
        <f>AT305+IF(AND($E306&lt;&gt;"",$E306&lt;=AT$2,$F306&gt;=AT$2),1,0)</f>
        <v/>
      </c>
      <c r="AU306">
        <f>AU305+IF(AND($E306&lt;&gt;"",$E306&lt;=AU$2,$F306&gt;=AU$2),1,0)</f>
        <v/>
      </c>
      <c r="AV306">
        <f>AV305+IF(AND($E306&lt;&gt;"",$E306&lt;=AV$2,$F306&gt;=AV$2),1,0)</f>
        <v/>
      </c>
      <c r="AW306">
        <f>AW305+IF(AND($E306&lt;&gt;"",$E306&lt;=AW$2,$F306&gt;=AW$2),1,0)</f>
        <v/>
      </c>
    </row>
    <row r="307">
      <c r="A307">
        <f>IF(AND(ISNUMBER(Events!$A309),ISNUMBER(Events!$B309)),MAX(0,Events!$B309-Events!$A309),0)</f>
        <v/>
      </c>
      <c r="B307">
        <f>IF(ISNUMBER(Events!$A309),DATE(YEAR($B$1)-1,MONTH(Events!$A309),DAY(Events!$A309)),"")</f>
        <v/>
      </c>
      <c r="C307">
        <f>IF(ISNUMBER(Events!$A309),DATE(YEAR($B$1),MONTH(Events!$A309),DAY(Events!$A309)),"")</f>
        <v/>
      </c>
      <c r="D307">
        <f>IF(ISNUMBER(Events!$A309),DATE(YEAR($B$2),MONTH(Events!$A309),DAY(Events!$A309)),"")</f>
        <v/>
      </c>
      <c r="E307">
        <f>IF(OR(NOT(ISNUMBER(Events!$A309)),Events!$G309="No",Calendar!$H$4="None"),"",IF(OR(Calendar!$H$4="All events",Events!$D309=Calendar!$H$4),IF(Events!$E309="Yes",IF(AND(B307&gt;=Events!$A309,B307&lt;=$B$2,B307+$A307&gt;=$B$1),B307,IF(AND(C307&gt;=Events!$A309,C307&lt;=$B$2,C307+$A307&gt;=$B$1),C307,IF(AND(D307&gt;=Events!$A309,D307&lt;=$B$2,D307+$A307&gt;=$B$1),D307,""))),IF(AND(Events!$A309&lt;=$B$2,Events!$A309+$A307&gt;=$B$1),Events!$A309,"")),""))</f>
        <v/>
      </c>
      <c r="F307">
        <f>IF(E307="","",E307+A307)</f>
        <v/>
      </c>
      <c r="G307">
        <f>IF(E307="","",IF(AND(E307&lt;=EOMONTH(Calendar!$K$2,0),F307&gt;=Calendar!$K$2),E307+304/100000,""))</f>
        <v/>
      </c>
      <c r="H307">
        <f>H306+IF(AND($E307&lt;&gt;"",$E307&lt;=H$2,$F307&gt;=H$2),1,0)</f>
        <v/>
      </c>
      <c r="I307">
        <f>I306+IF(AND($E307&lt;&gt;"",$E307&lt;=I$2,$F307&gt;=I$2),1,0)</f>
        <v/>
      </c>
      <c r="J307">
        <f>J306+IF(AND($E307&lt;&gt;"",$E307&lt;=J$2,$F307&gt;=J$2),1,0)</f>
        <v/>
      </c>
      <c r="K307">
        <f>K306+IF(AND($E307&lt;&gt;"",$E307&lt;=K$2,$F307&gt;=K$2),1,0)</f>
        <v/>
      </c>
      <c r="L307">
        <f>L306+IF(AND($E307&lt;&gt;"",$E307&lt;=L$2,$F307&gt;=L$2),1,0)</f>
        <v/>
      </c>
      <c r="M307">
        <f>M306+IF(AND($E307&lt;&gt;"",$E307&lt;=M$2,$F307&gt;=M$2),1,0)</f>
        <v/>
      </c>
      <c r="N307">
        <f>N306+IF(AND($E307&lt;&gt;"",$E307&lt;=N$2,$F307&gt;=N$2),1,0)</f>
        <v/>
      </c>
      <c r="O307">
        <f>O306+IF(AND($E307&lt;&gt;"",$E307&lt;=O$2,$F307&gt;=O$2),1,0)</f>
        <v/>
      </c>
      <c r="P307">
        <f>P306+IF(AND($E307&lt;&gt;"",$E307&lt;=P$2,$F307&gt;=P$2),1,0)</f>
        <v/>
      </c>
      <c r="Q307">
        <f>Q306+IF(AND($E307&lt;&gt;"",$E307&lt;=Q$2,$F307&gt;=Q$2),1,0)</f>
        <v/>
      </c>
      <c r="R307">
        <f>R306+IF(AND($E307&lt;&gt;"",$E307&lt;=R$2,$F307&gt;=R$2),1,0)</f>
        <v/>
      </c>
      <c r="S307">
        <f>S306+IF(AND($E307&lt;&gt;"",$E307&lt;=S$2,$F307&gt;=S$2),1,0)</f>
        <v/>
      </c>
      <c r="T307">
        <f>T306+IF(AND($E307&lt;&gt;"",$E307&lt;=T$2,$F307&gt;=T$2),1,0)</f>
        <v/>
      </c>
      <c r="U307">
        <f>U306+IF(AND($E307&lt;&gt;"",$E307&lt;=U$2,$F307&gt;=U$2),1,0)</f>
        <v/>
      </c>
      <c r="V307">
        <f>V306+IF(AND($E307&lt;&gt;"",$E307&lt;=V$2,$F307&gt;=V$2),1,0)</f>
        <v/>
      </c>
      <c r="W307">
        <f>W306+IF(AND($E307&lt;&gt;"",$E307&lt;=W$2,$F307&gt;=W$2),1,0)</f>
        <v/>
      </c>
      <c r="X307">
        <f>X306+IF(AND($E307&lt;&gt;"",$E307&lt;=X$2,$F307&gt;=X$2),1,0)</f>
        <v/>
      </c>
      <c r="Y307">
        <f>Y306+IF(AND($E307&lt;&gt;"",$E307&lt;=Y$2,$F307&gt;=Y$2),1,0)</f>
        <v/>
      </c>
      <c r="Z307">
        <f>Z306+IF(AND($E307&lt;&gt;"",$E307&lt;=Z$2,$F307&gt;=Z$2),1,0)</f>
        <v/>
      </c>
      <c r="AA307">
        <f>AA306+IF(AND($E307&lt;&gt;"",$E307&lt;=AA$2,$F307&gt;=AA$2),1,0)</f>
        <v/>
      </c>
      <c r="AB307">
        <f>AB306+IF(AND($E307&lt;&gt;"",$E307&lt;=AB$2,$F307&gt;=AB$2),1,0)</f>
        <v/>
      </c>
      <c r="AC307">
        <f>AC306+IF(AND($E307&lt;&gt;"",$E307&lt;=AC$2,$F307&gt;=AC$2),1,0)</f>
        <v/>
      </c>
      <c r="AD307">
        <f>AD306+IF(AND($E307&lt;&gt;"",$E307&lt;=AD$2,$F307&gt;=AD$2),1,0)</f>
        <v/>
      </c>
      <c r="AE307">
        <f>AE306+IF(AND($E307&lt;&gt;"",$E307&lt;=AE$2,$F307&gt;=AE$2),1,0)</f>
        <v/>
      </c>
      <c r="AF307">
        <f>AF306+IF(AND($E307&lt;&gt;"",$E307&lt;=AF$2,$F307&gt;=AF$2),1,0)</f>
        <v/>
      </c>
      <c r="AG307">
        <f>AG306+IF(AND($E307&lt;&gt;"",$E307&lt;=AG$2,$F307&gt;=AG$2),1,0)</f>
        <v/>
      </c>
      <c r="AH307">
        <f>AH306+IF(AND($E307&lt;&gt;"",$E307&lt;=AH$2,$F307&gt;=AH$2),1,0)</f>
        <v/>
      </c>
      <c r="AI307">
        <f>AI306+IF(AND($E307&lt;&gt;"",$E307&lt;=AI$2,$F307&gt;=AI$2),1,0)</f>
        <v/>
      </c>
      <c r="AJ307">
        <f>AJ306+IF(AND($E307&lt;&gt;"",$E307&lt;=AJ$2,$F307&gt;=AJ$2),1,0)</f>
        <v/>
      </c>
      <c r="AK307">
        <f>AK306+IF(AND($E307&lt;&gt;"",$E307&lt;=AK$2,$F307&gt;=AK$2),1,0)</f>
        <v/>
      </c>
      <c r="AL307">
        <f>AL306+IF(AND($E307&lt;&gt;"",$E307&lt;=AL$2,$F307&gt;=AL$2),1,0)</f>
        <v/>
      </c>
      <c r="AM307">
        <f>AM306+IF(AND($E307&lt;&gt;"",$E307&lt;=AM$2,$F307&gt;=AM$2),1,0)</f>
        <v/>
      </c>
      <c r="AN307">
        <f>AN306+IF(AND($E307&lt;&gt;"",$E307&lt;=AN$2,$F307&gt;=AN$2),1,0)</f>
        <v/>
      </c>
      <c r="AO307">
        <f>AO306+IF(AND($E307&lt;&gt;"",$E307&lt;=AO$2,$F307&gt;=AO$2),1,0)</f>
        <v/>
      </c>
      <c r="AP307">
        <f>AP306+IF(AND($E307&lt;&gt;"",$E307&lt;=AP$2,$F307&gt;=AP$2),1,0)</f>
        <v/>
      </c>
      <c r="AQ307">
        <f>AQ306+IF(AND($E307&lt;&gt;"",$E307&lt;=AQ$2,$F307&gt;=AQ$2),1,0)</f>
        <v/>
      </c>
      <c r="AR307">
        <f>AR306+IF(AND($E307&lt;&gt;"",$E307&lt;=AR$2,$F307&gt;=AR$2),1,0)</f>
        <v/>
      </c>
      <c r="AS307">
        <f>AS306+IF(AND($E307&lt;&gt;"",$E307&lt;=AS$2,$F307&gt;=AS$2),1,0)</f>
        <v/>
      </c>
      <c r="AT307">
        <f>AT306+IF(AND($E307&lt;&gt;"",$E307&lt;=AT$2,$F307&gt;=AT$2),1,0)</f>
        <v/>
      </c>
      <c r="AU307">
        <f>AU306+IF(AND($E307&lt;&gt;"",$E307&lt;=AU$2,$F307&gt;=AU$2),1,0)</f>
        <v/>
      </c>
      <c r="AV307">
        <f>AV306+IF(AND($E307&lt;&gt;"",$E307&lt;=AV$2,$F307&gt;=AV$2),1,0)</f>
        <v/>
      </c>
      <c r="AW307">
        <f>AW306+IF(AND($E307&lt;&gt;"",$E307&lt;=AW$2,$F307&gt;=AW$2),1,0)</f>
        <v/>
      </c>
    </row>
    <row r="308">
      <c r="A308">
        <f>IF(AND(ISNUMBER(Events!$A310),ISNUMBER(Events!$B310)),MAX(0,Events!$B310-Events!$A310),0)</f>
        <v/>
      </c>
      <c r="B308">
        <f>IF(ISNUMBER(Events!$A310),DATE(YEAR($B$1)-1,MONTH(Events!$A310),DAY(Events!$A310)),"")</f>
        <v/>
      </c>
      <c r="C308">
        <f>IF(ISNUMBER(Events!$A310),DATE(YEAR($B$1),MONTH(Events!$A310),DAY(Events!$A310)),"")</f>
        <v/>
      </c>
      <c r="D308">
        <f>IF(ISNUMBER(Events!$A310),DATE(YEAR($B$2),MONTH(Events!$A310),DAY(Events!$A310)),"")</f>
        <v/>
      </c>
      <c r="E308">
        <f>IF(OR(NOT(ISNUMBER(Events!$A310)),Events!$G310="No",Calendar!$H$4="None"),"",IF(OR(Calendar!$H$4="All events",Events!$D310=Calendar!$H$4),IF(Events!$E310="Yes",IF(AND(B308&gt;=Events!$A310,B308&lt;=$B$2,B308+$A308&gt;=$B$1),B308,IF(AND(C308&gt;=Events!$A310,C308&lt;=$B$2,C308+$A308&gt;=$B$1),C308,IF(AND(D308&gt;=Events!$A310,D308&lt;=$B$2,D308+$A308&gt;=$B$1),D308,""))),IF(AND(Events!$A310&lt;=$B$2,Events!$A310+$A308&gt;=$B$1),Events!$A310,"")),""))</f>
        <v/>
      </c>
      <c r="F308">
        <f>IF(E308="","",E308+A308)</f>
        <v/>
      </c>
      <c r="G308">
        <f>IF(E308="","",IF(AND(E308&lt;=EOMONTH(Calendar!$K$2,0),F308&gt;=Calendar!$K$2),E308+305/100000,""))</f>
        <v/>
      </c>
      <c r="H308">
        <f>H307+IF(AND($E308&lt;&gt;"",$E308&lt;=H$2,$F308&gt;=H$2),1,0)</f>
        <v/>
      </c>
      <c r="I308">
        <f>I307+IF(AND($E308&lt;&gt;"",$E308&lt;=I$2,$F308&gt;=I$2),1,0)</f>
        <v/>
      </c>
      <c r="J308">
        <f>J307+IF(AND($E308&lt;&gt;"",$E308&lt;=J$2,$F308&gt;=J$2),1,0)</f>
        <v/>
      </c>
      <c r="K308">
        <f>K307+IF(AND($E308&lt;&gt;"",$E308&lt;=K$2,$F308&gt;=K$2),1,0)</f>
        <v/>
      </c>
      <c r="L308">
        <f>L307+IF(AND($E308&lt;&gt;"",$E308&lt;=L$2,$F308&gt;=L$2),1,0)</f>
        <v/>
      </c>
      <c r="M308">
        <f>M307+IF(AND($E308&lt;&gt;"",$E308&lt;=M$2,$F308&gt;=M$2),1,0)</f>
        <v/>
      </c>
      <c r="N308">
        <f>N307+IF(AND($E308&lt;&gt;"",$E308&lt;=N$2,$F308&gt;=N$2),1,0)</f>
        <v/>
      </c>
      <c r="O308">
        <f>O307+IF(AND($E308&lt;&gt;"",$E308&lt;=O$2,$F308&gt;=O$2),1,0)</f>
        <v/>
      </c>
      <c r="P308">
        <f>P307+IF(AND($E308&lt;&gt;"",$E308&lt;=P$2,$F308&gt;=P$2),1,0)</f>
        <v/>
      </c>
      <c r="Q308">
        <f>Q307+IF(AND($E308&lt;&gt;"",$E308&lt;=Q$2,$F308&gt;=Q$2),1,0)</f>
        <v/>
      </c>
      <c r="R308">
        <f>R307+IF(AND($E308&lt;&gt;"",$E308&lt;=R$2,$F308&gt;=R$2),1,0)</f>
        <v/>
      </c>
      <c r="S308">
        <f>S307+IF(AND($E308&lt;&gt;"",$E308&lt;=S$2,$F308&gt;=S$2),1,0)</f>
        <v/>
      </c>
      <c r="T308">
        <f>T307+IF(AND($E308&lt;&gt;"",$E308&lt;=T$2,$F308&gt;=T$2),1,0)</f>
        <v/>
      </c>
      <c r="U308">
        <f>U307+IF(AND($E308&lt;&gt;"",$E308&lt;=U$2,$F308&gt;=U$2),1,0)</f>
        <v/>
      </c>
      <c r="V308">
        <f>V307+IF(AND($E308&lt;&gt;"",$E308&lt;=V$2,$F308&gt;=V$2),1,0)</f>
        <v/>
      </c>
      <c r="W308">
        <f>W307+IF(AND($E308&lt;&gt;"",$E308&lt;=W$2,$F308&gt;=W$2),1,0)</f>
        <v/>
      </c>
      <c r="X308">
        <f>X307+IF(AND($E308&lt;&gt;"",$E308&lt;=X$2,$F308&gt;=X$2),1,0)</f>
        <v/>
      </c>
      <c r="Y308">
        <f>Y307+IF(AND($E308&lt;&gt;"",$E308&lt;=Y$2,$F308&gt;=Y$2),1,0)</f>
        <v/>
      </c>
      <c r="Z308">
        <f>Z307+IF(AND($E308&lt;&gt;"",$E308&lt;=Z$2,$F308&gt;=Z$2),1,0)</f>
        <v/>
      </c>
      <c r="AA308">
        <f>AA307+IF(AND($E308&lt;&gt;"",$E308&lt;=AA$2,$F308&gt;=AA$2),1,0)</f>
        <v/>
      </c>
      <c r="AB308">
        <f>AB307+IF(AND($E308&lt;&gt;"",$E308&lt;=AB$2,$F308&gt;=AB$2),1,0)</f>
        <v/>
      </c>
      <c r="AC308">
        <f>AC307+IF(AND($E308&lt;&gt;"",$E308&lt;=AC$2,$F308&gt;=AC$2),1,0)</f>
        <v/>
      </c>
      <c r="AD308">
        <f>AD307+IF(AND($E308&lt;&gt;"",$E308&lt;=AD$2,$F308&gt;=AD$2),1,0)</f>
        <v/>
      </c>
      <c r="AE308">
        <f>AE307+IF(AND($E308&lt;&gt;"",$E308&lt;=AE$2,$F308&gt;=AE$2),1,0)</f>
        <v/>
      </c>
      <c r="AF308">
        <f>AF307+IF(AND($E308&lt;&gt;"",$E308&lt;=AF$2,$F308&gt;=AF$2),1,0)</f>
        <v/>
      </c>
      <c r="AG308">
        <f>AG307+IF(AND($E308&lt;&gt;"",$E308&lt;=AG$2,$F308&gt;=AG$2),1,0)</f>
        <v/>
      </c>
      <c r="AH308">
        <f>AH307+IF(AND($E308&lt;&gt;"",$E308&lt;=AH$2,$F308&gt;=AH$2),1,0)</f>
        <v/>
      </c>
      <c r="AI308">
        <f>AI307+IF(AND($E308&lt;&gt;"",$E308&lt;=AI$2,$F308&gt;=AI$2),1,0)</f>
        <v/>
      </c>
      <c r="AJ308">
        <f>AJ307+IF(AND($E308&lt;&gt;"",$E308&lt;=AJ$2,$F308&gt;=AJ$2),1,0)</f>
        <v/>
      </c>
      <c r="AK308">
        <f>AK307+IF(AND($E308&lt;&gt;"",$E308&lt;=AK$2,$F308&gt;=AK$2),1,0)</f>
        <v/>
      </c>
      <c r="AL308">
        <f>AL307+IF(AND($E308&lt;&gt;"",$E308&lt;=AL$2,$F308&gt;=AL$2),1,0)</f>
        <v/>
      </c>
      <c r="AM308">
        <f>AM307+IF(AND($E308&lt;&gt;"",$E308&lt;=AM$2,$F308&gt;=AM$2),1,0)</f>
        <v/>
      </c>
      <c r="AN308">
        <f>AN307+IF(AND($E308&lt;&gt;"",$E308&lt;=AN$2,$F308&gt;=AN$2),1,0)</f>
        <v/>
      </c>
      <c r="AO308">
        <f>AO307+IF(AND($E308&lt;&gt;"",$E308&lt;=AO$2,$F308&gt;=AO$2),1,0)</f>
        <v/>
      </c>
      <c r="AP308">
        <f>AP307+IF(AND($E308&lt;&gt;"",$E308&lt;=AP$2,$F308&gt;=AP$2),1,0)</f>
        <v/>
      </c>
      <c r="AQ308">
        <f>AQ307+IF(AND($E308&lt;&gt;"",$E308&lt;=AQ$2,$F308&gt;=AQ$2),1,0)</f>
        <v/>
      </c>
      <c r="AR308">
        <f>AR307+IF(AND($E308&lt;&gt;"",$E308&lt;=AR$2,$F308&gt;=AR$2),1,0)</f>
        <v/>
      </c>
      <c r="AS308">
        <f>AS307+IF(AND($E308&lt;&gt;"",$E308&lt;=AS$2,$F308&gt;=AS$2),1,0)</f>
        <v/>
      </c>
      <c r="AT308">
        <f>AT307+IF(AND($E308&lt;&gt;"",$E308&lt;=AT$2,$F308&gt;=AT$2),1,0)</f>
        <v/>
      </c>
      <c r="AU308">
        <f>AU307+IF(AND($E308&lt;&gt;"",$E308&lt;=AU$2,$F308&gt;=AU$2),1,0)</f>
        <v/>
      </c>
      <c r="AV308">
        <f>AV307+IF(AND($E308&lt;&gt;"",$E308&lt;=AV$2,$F308&gt;=AV$2),1,0)</f>
        <v/>
      </c>
      <c r="AW308">
        <f>AW307+IF(AND($E308&lt;&gt;"",$E308&lt;=AW$2,$F308&gt;=AW$2),1,0)</f>
        <v/>
      </c>
    </row>
    <row r="309">
      <c r="A309">
        <f>IF(AND(ISNUMBER(Events!$A311),ISNUMBER(Events!$B311)),MAX(0,Events!$B311-Events!$A311),0)</f>
        <v/>
      </c>
      <c r="B309">
        <f>IF(ISNUMBER(Events!$A311),DATE(YEAR($B$1)-1,MONTH(Events!$A311),DAY(Events!$A311)),"")</f>
        <v/>
      </c>
      <c r="C309">
        <f>IF(ISNUMBER(Events!$A311),DATE(YEAR($B$1),MONTH(Events!$A311),DAY(Events!$A311)),"")</f>
        <v/>
      </c>
      <c r="D309">
        <f>IF(ISNUMBER(Events!$A311),DATE(YEAR($B$2),MONTH(Events!$A311),DAY(Events!$A311)),"")</f>
        <v/>
      </c>
      <c r="E309">
        <f>IF(OR(NOT(ISNUMBER(Events!$A311)),Events!$G311="No",Calendar!$H$4="None"),"",IF(OR(Calendar!$H$4="All events",Events!$D311=Calendar!$H$4),IF(Events!$E311="Yes",IF(AND(B309&gt;=Events!$A311,B309&lt;=$B$2,B309+$A309&gt;=$B$1),B309,IF(AND(C309&gt;=Events!$A311,C309&lt;=$B$2,C309+$A309&gt;=$B$1),C309,IF(AND(D309&gt;=Events!$A311,D309&lt;=$B$2,D309+$A309&gt;=$B$1),D309,""))),IF(AND(Events!$A311&lt;=$B$2,Events!$A311+$A309&gt;=$B$1),Events!$A311,"")),""))</f>
        <v/>
      </c>
      <c r="F309">
        <f>IF(E309="","",E309+A309)</f>
        <v/>
      </c>
      <c r="G309">
        <f>IF(E309="","",IF(AND(E309&lt;=EOMONTH(Calendar!$K$2,0),F309&gt;=Calendar!$K$2),E309+306/100000,""))</f>
        <v/>
      </c>
      <c r="H309">
        <f>H308+IF(AND($E309&lt;&gt;"",$E309&lt;=H$2,$F309&gt;=H$2),1,0)</f>
        <v/>
      </c>
      <c r="I309">
        <f>I308+IF(AND($E309&lt;&gt;"",$E309&lt;=I$2,$F309&gt;=I$2),1,0)</f>
        <v/>
      </c>
      <c r="J309">
        <f>J308+IF(AND($E309&lt;&gt;"",$E309&lt;=J$2,$F309&gt;=J$2),1,0)</f>
        <v/>
      </c>
      <c r="K309">
        <f>K308+IF(AND($E309&lt;&gt;"",$E309&lt;=K$2,$F309&gt;=K$2),1,0)</f>
        <v/>
      </c>
      <c r="L309">
        <f>L308+IF(AND($E309&lt;&gt;"",$E309&lt;=L$2,$F309&gt;=L$2),1,0)</f>
        <v/>
      </c>
      <c r="M309">
        <f>M308+IF(AND($E309&lt;&gt;"",$E309&lt;=M$2,$F309&gt;=M$2),1,0)</f>
        <v/>
      </c>
      <c r="N309">
        <f>N308+IF(AND($E309&lt;&gt;"",$E309&lt;=N$2,$F309&gt;=N$2),1,0)</f>
        <v/>
      </c>
      <c r="O309">
        <f>O308+IF(AND($E309&lt;&gt;"",$E309&lt;=O$2,$F309&gt;=O$2),1,0)</f>
        <v/>
      </c>
      <c r="P309">
        <f>P308+IF(AND($E309&lt;&gt;"",$E309&lt;=P$2,$F309&gt;=P$2),1,0)</f>
        <v/>
      </c>
      <c r="Q309">
        <f>Q308+IF(AND($E309&lt;&gt;"",$E309&lt;=Q$2,$F309&gt;=Q$2),1,0)</f>
        <v/>
      </c>
      <c r="R309">
        <f>R308+IF(AND($E309&lt;&gt;"",$E309&lt;=R$2,$F309&gt;=R$2),1,0)</f>
        <v/>
      </c>
      <c r="S309">
        <f>S308+IF(AND($E309&lt;&gt;"",$E309&lt;=S$2,$F309&gt;=S$2),1,0)</f>
        <v/>
      </c>
      <c r="T309">
        <f>T308+IF(AND($E309&lt;&gt;"",$E309&lt;=T$2,$F309&gt;=T$2),1,0)</f>
        <v/>
      </c>
      <c r="U309">
        <f>U308+IF(AND($E309&lt;&gt;"",$E309&lt;=U$2,$F309&gt;=U$2),1,0)</f>
        <v/>
      </c>
      <c r="V309">
        <f>V308+IF(AND($E309&lt;&gt;"",$E309&lt;=V$2,$F309&gt;=V$2),1,0)</f>
        <v/>
      </c>
      <c r="W309">
        <f>W308+IF(AND($E309&lt;&gt;"",$E309&lt;=W$2,$F309&gt;=W$2),1,0)</f>
        <v/>
      </c>
      <c r="X309">
        <f>X308+IF(AND($E309&lt;&gt;"",$E309&lt;=X$2,$F309&gt;=X$2),1,0)</f>
        <v/>
      </c>
      <c r="Y309">
        <f>Y308+IF(AND($E309&lt;&gt;"",$E309&lt;=Y$2,$F309&gt;=Y$2),1,0)</f>
        <v/>
      </c>
      <c r="Z309">
        <f>Z308+IF(AND($E309&lt;&gt;"",$E309&lt;=Z$2,$F309&gt;=Z$2),1,0)</f>
        <v/>
      </c>
      <c r="AA309">
        <f>AA308+IF(AND($E309&lt;&gt;"",$E309&lt;=AA$2,$F309&gt;=AA$2),1,0)</f>
        <v/>
      </c>
      <c r="AB309">
        <f>AB308+IF(AND($E309&lt;&gt;"",$E309&lt;=AB$2,$F309&gt;=AB$2),1,0)</f>
        <v/>
      </c>
      <c r="AC309">
        <f>AC308+IF(AND($E309&lt;&gt;"",$E309&lt;=AC$2,$F309&gt;=AC$2),1,0)</f>
        <v/>
      </c>
      <c r="AD309">
        <f>AD308+IF(AND($E309&lt;&gt;"",$E309&lt;=AD$2,$F309&gt;=AD$2),1,0)</f>
        <v/>
      </c>
      <c r="AE309">
        <f>AE308+IF(AND($E309&lt;&gt;"",$E309&lt;=AE$2,$F309&gt;=AE$2),1,0)</f>
        <v/>
      </c>
      <c r="AF309">
        <f>AF308+IF(AND($E309&lt;&gt;"",$E309&lt;=AF$2,$F309&gt;=AF$2),1,0)</f>
        <v/>
      </c>
      <c r="AG309">
        <f>AG308+IF(AND($E309&lt;&gt;"",$E309&lt;=AG$2,$F309&gt;=AG$2),1,0)</f>
        <v/>
      </c>
      <c r="AH309">
        <f>AH308+IF(AND($E309&lt;&gt;"",$E309&lt;=AH$2,$F309&gt;=AH$2),1,0)</f>
        <v/>
      </c>
      <c r="AI309">
        <f>AI308+IF(AND($E309&lt;&gt;"",$E309&lt;=AI$2,$F309&gt;=AI$2),1,0)</f>
        <v/>
      </c>
      <c r="AJ309">
        <f>AJ308+IF(AND($E309&lt;&gt;"",$E309&lt;=AJ$2,$F309&gt;=AJ$2),1,0)</f>
        <v/>
      </c>
      <c r="AK309">
        <f>AK308+IF(AND($E309&lt;&gt;"",$E309&lt;=AK$2,$F309&gt;=AK$2),1,0)</f>
        <v/>
      </c>
      <c r="AL309">
        <f>AL308+IF(AND($E309&lt;&gt;"",$E309&lt;=AL$2,$F309&gt;=AL$2),1,0)</f>
        <v/>
      </c>
      <c r="AM309">
        <f>AM308+IF(AND($E309&lt;&gt;"",$E309&lt;=AM$2,$F309&gt;=AM$2),1,0)</f>
        <v/>
      </c>
      <c r="AN309">
        <f>AN308+IF(AND($E309&lt;&gt;"",$E309&lt;=AN$2,$F309&gt;=AN$2),1,0)</f>
        <v/>
      </c>
      <c r="AO309">
        <f>AO308+IF(AND($E309&lt;&gt;"",$E309&lt;=AO$2,$F309&gt;=AO$2),1,0)</f>
        <v/>
      </c>
      <c r="AP309">
        <f>AP308+IF(AND($E309&lt;&gt;"",$E309&lt;=AP$2,$F309&gt;=AP$2),1,0)</f>
        <v/>
      </c>
      <c r="AQ309">
        <f>AQ308+IF(AND($E309&lt;&gt;"",$E309&lt;=AQ$2,$F309&gt;=AQ$2),1,0)</f>
        <v/>
      </c>
      <c r="AR309">
        <f>AR308+IF(AND($E309&lt;&gt;"",$E309&lt;=AR$2,$F309&gt;=AR$2),1,0)</f>
        <v/>
      </c>
      <c r="AS309">
        <f>AS308+IF(AND($E309&lt;&gt;"",$E309&lt;=AS$2,$F309&gt;=AS$2),1,0)</f>
        <v/>
      </c>
      <c r="AT309">
        <f>AT308+IF(AND($E309&lt;&gt;"",$E309&lt;=AT$2,$F309&gt;=AT$2),1,0)</f>
        <v/>
      </c>
      <c r="AU309">
        <f>AU308+IF(AND($E309&lt;&gt;"",$E309&lt;=AU$2,$F309&gt;=AU$2),1,0)</f>
        <v/>
      </c>
      <c r="AV309">
        <f>AV308+IF(AND($E309&lt;&gt;"",$E309&lt;=AV$2,$F309&gt;=AV$2),1,0)</f>
        <v/>
      </c>
      <c r="AW309">
        <f>AW308+IF(AND($E309&lt;&gt;"",$E309&lt;=AW$2,$F309&gt;=AW$2),1,0)</f>
        <v/>
      </c>
    </row>
    <row r="310">
      <c r="A310">
        <f>IF(AND(ISNUMBER(Events!$A312),ISNUMBER(Events!$B312)),MAX(0,Events!$B312-Events!$A312),0)</f>
        <v/>
      </c>
      <c r="B310">
        <f>IF(ISNUMBER(Events!$A312),DATE(YEAR($B$1)-1,MONTH(Events!$A312),DAY(Events!$A312)),"")</f>
        <v/>
      </c>
      <c r="C310">
        <f>IF(ISNUMBER(Events!$A312),DATE(YEAR($B$1),MONTH(Events!$A312),DAY(Events!$A312)),"")</f>
        <v/>
      </c>
      <c r="D310">
        <f>IF(ISNUMBER(Events!$A312),DATE(YEAR($B$2),MONTH(Events!$A312),DAY(Events!$A312)),"")</f>
        <v/>
      </c>
      <c r="E310">
        <f>IF(OR(NOT(ISNUMBER(Events!$A312)),Events!$G312="No",Calendar!$H$4="None"),"",IF(OR(Calendar!$H$4="All events",Events!$D312=Calendar!$H$4),IF(Events!$E312="Yes",IF(AND(B310&gt;=Events!$A312,B310&lt;=$B$2,B310+$A310&gt;=$B$1),B310,IF(AND(C310&gt;=Events!$A312,C310&lt;=$B$2,C310+$A310&gt;=$B$1),C310,IF(AND(D310&gt;=Events!$A312,D310&lt;=$B$2,D310+$A310&gt;=$B$1),D310,""))),IF(AND(Events!$A312&lt;=$B$2,Events!$A312+$A310&gt;=$B$1),Events!$A312,"")),""))</f>
        <v/>
      </c>
      <c r="F310">
        <f>IF(E310="","",E310+A310)</f>
        <v/>
      </c>
      <c r="G310">
        <f>IF(E310="","",IF(AND(E310&lt;=EOMONTH(Calendar!$K$2,0),F310&gt;=Calendar!$K$2),E310+307/100000,""))</f>
        <v/>
      </c>
      <c r="H310">
        <f>H309+IF(AND($E310&lt;&gt;"",$E310&lt;=H$2,$F310&gt;=H$2),1,0)</f>
        <v/>
      </c>
      <c r="I310">
        <f>I309+IF(AND($E310&lt;&gt;"",$E310&lt;=I$2,$F310&gt;=I$2),1,0)</f>
        <v/>
      </c>
      <c r="J310">
        <f>J309+IF(AND($E310&lt;&gt;"",$E310&lt;=J$2,$F310&gt;=J$2),1,0)</f>
        <v/>
      </c>
      <c r="K310">
        <f>K309+IF(AND($E310&lt;&gt;"",$E310&lt;=K$2,$F310&gt;=K$2),1,0)</f>
        <v/>
      </c>
      <c r="L310">
        <f>L309+IF(AND($E310&lt;&gt;"",$E310&lt;=L$2,$F310&gt;=L$2),1,0)</f>
        <v/>
      </c>
      <c r="M310">
        <f>M309+IF(AND($E310&lt;&gt;"",$E310&lt;=M$2,$F310&gt;=M$2),1,0)</f>
        <v/>
      </c>
      <c r="N310">
        <f>N309+IF(AND($E310&lt;&gt;"",$E310&lt;=N$2,$F310&gt;=N$2),1,0)</f>
        <v/>
      </c>
      <c r="O310">
        <f>O309+IF(AND($E310&lt;&gt;"",$E310&lt;=O$2,$F310&gt;=O$2),1,0)</f>
        <v/>
      </c>
      <c r="P310">
        <f>P309+IF(AND($E310&lt;&gt;"",$E310&lt;=P$2,$F310&gt;=P$2),1,0)</f>
        <v/>
      </c>
      <c r="Q310">
        <f>Q309+IF(AND($E310&lt;&gt;"",$E310&lt;=Q$2,$F310&gt;=Q$2),1,0)</f>
        <v/>
      </c>
      <c r="R310">
        <f>R309+IF(AND($E310&lt;&gt;"",$E310&lt;=R$2,$F310&gt;=R$2),1,0)</f>
        <v/>
      </c>
      <c r="S310">
        <f>S309+IF(AND($E310&lt;&gt;"",$E310&lt;=S$2,$F310&gt;=S$2),1,0)</f>
        <v/>
      </c>
      <c r="T310">
        <f>T309+IF(AND($E310&lt;&gt;"",$E310&lt;=T$2,$F310&gt;=T$2),1,0)</f>
        <v/>
      </c>
      <c r="U310">
        <f>U309+IF(AND($E310&lt;&gt;"",$E310&lt;=U$2,$F310&gt;=U$2),1,0)</f>
        <v/>
      </c>
      <c r="V310">
        <f>V309+IF(AND($E310&lt;&gt;"",$E310&lt;=V$2,$F310&gt;=V$2),1,0)</f>
        <v/>
      </c>
      <c r="W310">
        <f>W309+IF(AND($E310&lt;&gt;"",$E310&lt;=W$2,$F310&gt;=W$2),1,0)</f>
        <v/>
      </c>
      <c r="X310">
        <f>X309+IF(AND($E310&lt;&gt;"",$E310&lt;=X$2,$F310&gt;=X$2),1,0)</f>
        <v/>
      </c>
      <c r="Y310">
        <f>Y309+IF(AND($E310&lt;&gt;"",$E310&lt;=Y$2,$F310&gt;=Y$2),1,0)</f>
        <v/>
      </c>
      <c r="Z310">
        <f>Z309+IF(AND($E310&lt;&gt;"",$E310&lt;=Z$2,$F310&gt;=Z$2),1,0)</f>
        <v/>
      </c>
      <c r="AA310">
        <f>AA309+IF(AND($E310&lt;&gt;"",$E310&lt;=AA$2,$F310&gt;=AA$2),1,0)</f>
        <v/>
      </c>
      <c r="AB310">
        <f>AB309+IF(AND($E310&lt;&gt;"",$E310&lt;=AB$2,$F310&gt;=AB$2),1,0)</f>
        <v/>
      </c>
      <c r="AC310">
        <f>AC309+IF(AND($E310&lt;&gt;"",$E310&lt;=AC$2,$F310&gt;=AC$2),1,0)</f>
        <v/>
      </c>
      <c r="AD310">
        <f>AD309+IF(AND($E310&lt;&gt;"",$E310&lt;=AD$2,$F310&gt;=AD$2),1,0)</f>
        <v/>
      </c>
      <c r="AE310">
        <f>AE309+IF(AND($E310&lt;&gt;"",$E310&lt;=AE$2,$F310&gt;=AE$2),1,0)</f>
        <v/>
      </c>
      <c r="AF310">
        <f>AF309+IF(AND($E310&lt;&gt;"",$E310&lt;=AF$2,$F310&gt;=AF$2),1,0)</f>
        <v/>
      </c>
      <c r="AG310">
        <f>AG309+IF(AND($E310&lt;&gt;"",$E310&lt;=AG$2,$F310&gt;=AG$2),1,0)</f>
        <v/>
      </c>
      <c r="AH310">
        <f>AH309+IF(AND($E310&lt;&gt;"",$E310&lt;=AH$2,$F310&gt;=AH$2),1,0)</f>
        <v/>
      </c>
      <c r="AI310">
        <f>AI309+IF(AND($E310&lt;&gt;"",$E310&lt;=AI$2,$F310&gt;=AI$2),1,0)</f>
        <v/>
      </c>
      <c r="AJ310">
        <f>AJ309+IF(AND($E310&lt;&gt;"",$E310&lt;=AJ$2,$F310&gt;=AJ$2),1,0)</f>
        <v/>
      </c>
      <c r="AK310">
        <f>AK309+IF(AND($E310&lt;&gt;"",$E310&lt;=AK$2,$F310&gt;=AK$2),1,0)</f>
        <v/>
      </c>
      <c r="AL310">
        <f>AL309+IF(AND($E310&lt;&gt;"",$E310&lt;=AL$2,$F310&gt;=AL$2),1,0)</f>
        <v/>
      </c>
      <c r="AM310">
        <f>AM309+IF(AND($E310&lt;&gt;"",$E310&lt;=AM$2,$F310&gt;=AM$2),1,0)</f>
        <v/>
      </c>
      <c r="AN310">
        <f>AN309+IF(AND($E310&lt;&gt;"",$E310&lt;=AN$2,$F310&gt;=AN$2),1,0)</f>
        <v/>
      </c>
      <c r="AO310">
        <f>AO309+IF(AND($E310&lt;&gt;"",$E310&lt;=AO$2,$F310&gt;=AO$2),1,0)</f>
        <v/>
      </c>
      <c r="AP310">
        <f>AP309+IF(AND($E310&lt;&gt;"",$E310&lt;=AP$2,$F310&gt;=AP$2),1,0)</f>
        <v/>
      </c>
      <c r="AQ310">
        <f>AQ309+IF(AND($E310&lt;&gt;"",$E310&lt;=AQ$2,$F310&gt;=AQ$2),1,0)</f>
        <v/>
      </c>
      <c r="AR310">
        <f>AR309+IF(AND($E310&lt;&gt;"",$E310&lt;=AR$2,$F310&gt;=AR$2),1,0)</f>
        <v/>
      </c>
      <c r="AS310">
        <f>AS309+IF(AND($E310&lt;&gt;"",$E310&lt;=AS$2,$F310&gt;=AS$2),1,0)</f>
        <v/>
      </c>
      <c r="AT310">
        <f>AT309+IF(AND($E310&lt;&gt;"",$E310&lt;=AT$2,$F310&gt;=AT$2),1,0)</f>
        <v/>
      </c>
      <c r="AU310">
        <f>AU309+IF(AND($E310&lt;&gt;"",$E310&lt;=AU$2,$F310&gt;=AU$2),1,0)</f>
        <v/>
      </c>
      <c r="AV310">
        <f>AV309+IF(AND($E310&lt;&gt;"",$E310&lt;=AV$2,$F310&gt;=AV$2),1,0)</f>
        <v/>
      </c>
      <c r="AW310">
        <f>AW309+IF(AND($E310&lt;&gt;"",$E310&lt;=AW$2,$F310&gt;=AW$2),1,0)</f>
        <v/>
      </c>
    </row>
    <row r="311">
      <c r="A311">
        <f>IF(AND(ISNUMBER(Events!$A313),ISNUMBER(Events!$B313)),MAX(0,Events!$B313-Events!$A313),0)</f>
        <v/>
      </c>
      <c r="B311">
        <f>IF(ISNUMBER(Events!$A313),DATE(YEAR($B$1)-1,MONTH(Events!$A313),DAY(Events!$A313)),"")</f>
        <v/>
      </c>
      <c r="C311">
        <f>IF(ISNUMBER(Events!$A313),DATE(YEAR($B$1),MONTH(Events!$A313),DAY(Events!$A313)),"")</f>
        <v/>
      </c>
      <c r="D311">
        <f>IF(ISNUMBER(Events!$A313),DATE(YEAR($B$2),MONTH(Events!$A313),DAY(Events!$A313)),"")</f>
        <v/>
      </c>
      <c r="E311">
        <f>IF(OR(NOT(ISNUMBER(Events!$A313)),Events!$G313="No",Calendar!$H$4="None"),"",IF(OR(Calendar!$H$4="All events",Events!$D313=Calendar!$H$4),IF(Events!$E313="Yes",IF(AND(B311&gt;=Events!$A313,B311&lt;=$B$2,B311+$A311&gt;=$B$1),B311,IF(AND(C311&gt;=Events!$A313,C311&lt;=$B$2,C311+$A311&gt;=$B$1),C311,IF(AND(D311&gt;=Events!$A313,D311&lt;=$B$2,D311+$A311&gt;=$B$1),D311,""))),IF(AND(Events!$A313&lt;=$B$2,Events!$A313+$A311&gt;=$B$1),Events!$A313,"")),""))</f>
        <v/>
      </c>
      <c r="F311">
        <f>IF(E311="","",E311+A311)</f>
        <v/>
      </c>
      <c r="G311">
        <f>IF(E311="","",IF(AND(E311&lt;=EOMONTH(Calendar!$K$2,0),F311&gt;=Calendar!$K$2),E311+308/100000,""))</f>
        <v/>
      </c>
      <c r="H311">
        <f>H310+IF(AND($E311&lt;&gt;"",$E311&lt;=H$2,$F311&gt;=H$2),1,0)</f>
        <v/>
      </c>
      <c r="I311">
        <f>I310+IF(AND($E311&lt;&gt;"",$E311&lt;=I$2,$F311&gt;=I$2),1,0)</f>
        <v/>
      </c>
      <c r="J311">
        <f>J310+IF(AND($E311&lt;&gt;"",$E311&lt;=J$2,$F311&gt;=J$2),1,0)</f>
        <v/>
      </c>
      <c r="K311">
        <f>K310+IF(AND($E311&lt;&gt;"",$E311&lt;=K$2,$F311&gt;=K$2),1,0)</f>
        <v/>
      </c>
      <c r="L311">
        <f>L310+IF(AND($E311&lt;&gt;"",$E311&lt;=L$2,$F311&gt;=L$2),1,0)</f>
        <v/>
      </c>
      <c r="M311">
        <f>M310+IF(AND($E311&lt;&gt;"",$E311&lt;=M$2,$F311&gt;=M$2),1,0)</f>
        <v/>
      </c>
      <c r="N311">
        <f>N310+IF(AND($E311&lt;&gt;"",$E311&lt;=N$2,$F311&gt;=N$2),1,0)</f>
        <v/>
      </c>
      <c r="O311">
        <f>O310+IF(AND($E311&lt;&gt;"",$E311&lt;=O$2,$F311&gt;=O$2),1,0)</f>
        <v/>
      </c>
      <c r="P311">
        <f>P310+IF(AND($E311&lt;&gt;"",$E311&lt;=P$2,$F311&gt;=P$2),1,0)</f>
        <v/>
      </c>
      <c r="Q311">
        <f>Q310+IF(AND($E311&lt;&gt;"",$E311&lt;=Q$2,$F311&gt;=Q$2),1,0)</f>
        <v/>
      </c>
      <c r="R311">
        <f>R310+IF(AND($E311&lt;&gt;"",$E311&lt;=R$2,$F311&gt;=R$2),1,0)</f>
        <v/>
      </c>
      <c r="S311">
        <f>S310+IF(AND($E311&lt;&gt;"",$E311&lt;=S$2,$F311&gt;=S$2),1,0)</f>
        <v/>
      </c>
      <c r="T311">
        <f>T310+IF(AND($E311&lt;&gt;"",$E311&lt;=T$2,$F311&gt;=T$2),1,0)</f>
        <v/>
      </c>
      <c r="U311">
        <f>U310+IF(AND($E311&lt;&gt;"",$E311&lt;=U$2,$F311&gt;=U$2),1,0)</f>
        <v/>
      </c>
      <c r="V311">
        <f>V310+IF(AND($E311&lt;&gt;"",$E311&lt;=V$2,$F311&gt;=V$2),1,0)</f>
        <v/>
      </c>
      <c r="W311">
        <f>W310+IF(AND($E311&lt;&gt;"",$E311&lt;=W$2,$F311&gt;=W$2),1,0)</f>
        <v/>
      </c>
      <c r="X311">
        <f>X310+IF(AND($E311&lt;&gt;"",$E311&lt;=X$2,$F311&gt;=X$2),1,0)</f>
        <v/>
      </c>
      <c r="Y311">
        <f>Y310+IF(AND($E311&lt;&gt;"",$E311&lt;=Y$2,$F311&gt;=Y$2),1,0)</f>
        <v/>
      </c>
      <c r="Z311">
        <f>Z310+IF(AND($E311&lt;&gt;"",$E311&lt;=Z$2,$F311&gt;=Z$2),1,0)</f>
        <v/>
      </c>
      <c r="AA311">
        <f>AA310+IF(AND($E311&lt;&gt;"",$E311&lt;=AA$2,$F311&gt;=AA$2),1,0)</f>
        <v/>
      </c>
      <c r="AB311">
        <f>AB310+IF(AND($E311&lt;&gt;"",$E311&lt;=AB$2,$F311&gt;=AB$2),1,0)</f>
        <v/>
      </c>
      <c r="AC311">
        <f>AC310+IF(AND($E311&lt;&gt;"",$E311&lt;=AC$2,$F311&gt;=AC$2),1,0)</f>
        <v/>
      </c>
      <c r="AD311">
        <f>AD310+IF(AND($E311&lt;&gt;"",$E311&lt;=AD$2,$F311&gt;=AD$2),1,0)</f>
        <v/>
      </c>
      <c r="AE311">
        <f>AE310+IF(AND($E311&lt;&gt;"",$E311&lt;=AE$2,$F311&gt;=AE$2),1,0)</f>
        <v/>
      </c>
      <c r="AF311">
        <f>AF310+IF(AND($E311&lt;&gt;"",$E311&lt;=AF$2,$F311&gt;=AF$2),1,0)</f>
        <v/>
      </c>
      <c r="AG311">
        <f>AG310+IF(AND($E311&lt;&gt;"",$E311&lt;=AG$2,$F311&gt;=AG$2),1,0)</f>
        <v/>
      </c>
      <c r="AH311">
        <f>AH310+IF(AND($E311&lt;&gt;"",$E311&lt;=AH$2,$F311&gt;=AH$2),1,0)</f>
        <v/>
      </c>
      <c r="AI311">
        <f>AI310+IF(AND($E311&lt;&gt;"",$E311&lt;=AI$2,$F311&gt;=AI$2),1,0)</f>
        <v/>
      </c>
      <c r="AJ311">
        <f>AJ310+IF(AND($E311&lt;&gt;"",$E311&lt;=AJ$2,$F311&gt;=AJ$2),1,0)</f>
        <v/>
      </c>
      <c r="AK311">
        <f>AK310+IF(AND($E311&lt;&gt;"",$E311&lt;=AK$2,$F311&gt;=AK$2),1,0)</f>
        <v/>
      </c>
      <c r="AL311">
        <f>AL310+IF(AND($E311&lt;&gt;"",$E311&lt;=AL$2,$F311&gt;=AL$2),1,0)</f>
        <v/>
      </c>
      <c r="AM311">
        <f>AM310+IF(AND($E311&lt;&gt;"",$E311&lt;=AM$2,$F311&gt;=AM$2),1,0)</f>
        <v/>
      </c>
      <c r="AN311">
        <f>AN310+IF(AND($E311&lt;&gt;"",$E311&lt;=AN$2,$F311&gt;=AN$2),1,0)</f>
        <v/>
      </c>
      <c r="AO311">
        <f>AO310+IF(AND($E311&lt;&gt;"",$E311&lt;=AO$2,$F311&gt;=AO$2),1,0)</f>
        <v/>
      </c>
      <c r="AP311">
        <f>AP310+IF(AND($E311&lt;&gt;"",$E311&lt;=AP$2,$F311&gt;=AP$2),1,0)</f>
        <v/>
      </c>
      <c r="AQ311">
        <f>AQ310+IF(AND($E311&lt;&gt;"",$E311&lt;=AQ$2,$F311&gt;=AQ$2),1,0)</f>
        <v/>
      </c>
      <c r="AR311">
        <f>AR310+IF(AND($E311&lt;&gt;"",$E311&lt;=AR$2,$F311&gt;=AR$2),1,0)</f>
        <v/>
      </c>
      <c r="AS311">
        <f>AS310+IF(AND($E311&lt;&gt;"",$E311&lt;=AS$2,$F311&gt;=AS$2),1,0)</f>
        <v/>
      </c>
      <c r="AT311">
        <f>AT310+IF(AND($E311&lt;&gt;"",$E311&lt;=AT$2,$F311&gt;=AT$2),1,0)</f>
        <v/>
      </c>
      <c r="AU311">
        <f>AU310+IF(AND($E311&lt;&gt;"",$E311&lt;=AU$2,$F311&gt;=AU$2),1,0)</f>
        <v/>
      </c>
      <c r="AV311">
        <f>AV310+IF(AND($E311&lt;&gt;"",$E311&lt;=AV$2,$F311&gt;=AV$2),1,0)</f>
        <v/>
      </c>
      <c r="AW311">
        <f>AW310+IF(AND($E311&lt;&gt;"",$E311&lt;=AW$2,$F311&gt;=AW$2),1,0)</f>
        <v/>
      </c>
    </row>
    <row r="312">
      <c r="A312">
        <f>IF(AND(ISNUMBER(Events!$A314),ISNUMBER(Events!$B314)),MAX(0,Events!$B314-Events!$A314),0)</f>
        <v/>
      </c>
      <c r="B312">
        <f>IF(ISNUMBER(Events!$A314),DATE(YEAR($B$1)-1,MONTH(Events!$A314),DAY(Events!$A314)),"")</f>
        <v/>
      </c>
      <c r="C312">
        <f>IF(ISNUMBER(Events!$A314),DATE(YEAR($B$1),MONTH(Events!$A314),DAY(Events!$A314)),"")</f>
        <v/>
      </c>
      <c r="D312">
        <f>IF(ISNUMBER(Events!$A314),DATE(YEAR($B$2),MONTH(Events!$A314),DAY(Events!$A314)),"")</f>
        <v/>
      </c>
      <c r="E312">
        <f>IF(OR(NOT(ISNUMBER(Events!$A314)),Events!$G314="No",Calendar!$H$4="None"),"",IF(OR(Calendar!$H$4="All events",Events!$D314=Calendar!$H$4),IF(Events!$E314="Yes",IF(AND(B312&gt;=Events!$A314,B312&lt;=$B$2,B312+$A312&gt;=$B$1),B312,IF(AND(C312&gt;=Events!$A314,C312&lt;=$B$2,C312+$A312&gt;=$B$1),C312,IF(AND(D312&gt;=Events!$A314,D312&lt;=$B$2,D312+$A312&gt;=$B$1),D312,""))),IF(AND(Events!$A314&lt;=$B$2,Events!$A314+$A312&gt;=$B$1),Events!$A314,"")),""))</f>
        <v/>
      </c>
      <c r="F312">
        <f>IF(E312="","",E312+A312)</f>
        <v/>
      </c>
      <c r="G312">
        <f>IF(E312="","",IF(AND(E312&lt;=EOMONTH(Calendar!$K$2,0),F312&gt;=Calendar!$K$2),E312+309/100000,""))</f>
        <v/>
      </c>
      <c r="H312">
        <f>H311+IF(AND($E312&lt;&gt;"",$E312&lt;=H$2,$F312&gt;=H$2),1,0)</f>
        <v/>
      </c>
      <c r="I312">
        <f>I311+IF(AND($E312&lt;&gt;"",$E312&lt;=I$2,$F312&gt;=I$2),1,0)</f>
        <v/>
      </c>
      <c r="J312">
        <f>J311+IF(AND($E312&lt;&gt;"",$E312&lt;=J$2,$F312&gt;=J$2),1,0)</f>
        <v/>
      </c>
      <c r="K312">
        <f>K311+IF(AND($E312&lt;&gt;"",$E312&lt;=K$2,$F312&gt;=K$2),1,0)</f>
        <v/>
      </c>
      <c r="L312">
        <f>L311+IF(AND($E312&lt;&gt;"",$E312&lt;=L$2,$F312&gt;=L$2),1,0)</f>
        <v/>
      </c>
      <c r="M312">
        <f>M311+IF(AND($E312&lt;&gt;"",$E312&lt;=M$2,$F312&gt;=M$2),1,0)</f>
        <v/>
      </c>
      <c r="N312">
        <f>N311+IF(AND($E312&lt;&gt;"",$E312&lt;=N$2,$F312&gt;=N$2),1,0)</f>
        <v/>
      </c>
      <c r="O312">
        <f>O311+IF(AND($E312&lt;&gt;"",$E312&lt;=O$2,$F312&gt;=O$2),1,0)</f>
        <v/>
      </c>
      <c r="P312">
        <f>P311+IF(AND($E312&lt;&gt;"",$E312&lt;=P$2,$F312&gt;=P$2),1,0)</f>
        <v/>
      </c>
      <c r="Q312">
        <f>Q311+IF(AND($E312&lt;&gt;"",$E312&lt;=Q$2,$F312&gt;=Q$2),1,0)</f>
        <v/>
      </c>
      <c r="R312">
        <f>R311+IF(AND($E312&lt;&gt;"",$E312&lt;=R$2,$F312&gt;=R$2),1,0)</f>
        <v/>
      </c>
      <c r="S312">
        <f>S311+IF(AND($E312&lt;&gt;"",$E312&lt;=S$2,$F312&gt;=S$2),1,0)</f>
        <v/>
      </c>
      <c r="T312">
        <f>T311+IF(AND($E312&lt;&gt;"",$E312&lt;=T$2,$F312&gt;=T$2),1,0)</f>
        <v/>
      </c>
      <c r="U312">
        <f>U311+IF(AND($E312&lt;&gt;"",$E312&lt;=U$2,$F312&gt;=U$2),1,0)</f>
        <v/>
      </c>
      <c r="V312">
        <f>V311+IF(AND($E312&lt;&gt;"",$E312&lt;=V$2,$F312&gt;=V$2),1,0)</f>
        <v/>
      </c>
      <c r="W312">
        <f>W311+IF(AND($E312&lt;&gt;"",$E312&lt;=W$2,$F312&gt;=W$2),1,0)</f>
        <v/>
      </c>
      <c r="X312">
        <f>X311+IF(AND($E312&lt;&gt;"",$E312&lt;=X$2,$F312&gt;=X$2),1,0)</f>
        <v/>
      </c>
      <c r="Y312">
        <f>Y311+IF(AND($E312&lt;&gt;"",$E312&lt;=Y$2,$F312&gt;=Y$2),1,0)</f>
        <v/>
      </c>
      <c r="Z312">
        <f>Z311+IF(AND($E312&lt;&gt;"",$E312&lt;=Z$2,$F312&gt;=Z$2),1,0)</f>
        <v/>
      </c>
      <c r="AA312">
        <f>AA311+IF(AND($E312&lt;&gt;"",$E312&lt;=AA$2,$F312&gt;=AA$2),1,0)</f>
        <v/>
      </c>
      <c r="AB312">
        <f>AB311+IF(AND($E312&lt;&gt;"",$E312&lt;=AB$2,$F312&gt;=AB$2),1,0)</f>
        <v/>
      </c>
      <c r="AC312">
        <f>AC311+IF(AND($E312&lt;&gt;"",$E312&lt;=AC$2,$F312&gt;=AC$2),1,0)</f>
        <v/>
      </c>
      <c r="AD312">
        <f>AD311+IF(AND($E312&lt;&gt;"",$E312&lt;=AD$2,$F312&gt;=AD$2),1,0)</f>
        <v/>
      </c>
      <c r="AE312">
        <f>AE311+IF(AND($E312&lt;&gt;"",$E312&lt;=AE$2,$F312&gt;=AE$2),1,0)</f>
        <v/>
      </c>
      <c r="AF312">
        <f>AF311+IF(AND($E312&lt;&gt;"",$E312&lt;=AF$2,$F312&gt;=AF$2),1,0)</f>
        <v/>
      </c>
      <c r="AG312">
        <f>AG311+IF(AND($E312&lt;&gt;"",$E312&lt;=AG$2,$F312&gt;=AG$2),1,0)</f>
        <v/>
      </c>
      <c r="AH312">
        <f>AH311+IF(AND($E312&lt;&gt;"",$E312&lt;=AH$2,$F312&gt;=AH$2),1,0)</f>
        <v/>
      </c>
      <c r="AI312">
        <f>AI311+IF(AND($E312&lt;&gt;"",$E312&lt;=AI$2,$F312&gt;=AI$2),1,0)</f>
        <v/>
      </c>
      <c r="AJ312">
        <f>AJ311+IF(AND($E312&lt;&gt;"",$E312&lt;=AJ$2,$F312&gt;=AJ$2),1,0)</f>
        <v/>
      </c>
      <c r="AK312">
        <f>AK311+IF(AND($E312&lt;&gt;"",$E312&lt;=AK$2,$F312&gt;=AK$2),1,0)</f>
        <v/>
      </c>
      <c r="AL312">
        <f>AL311+IF(AND($E312&lt;&gt;"",$E312&lt;=AL$2,$F312&gt;=AL$2),1,0)</f>
        <v/>
      </c>
      <c r="AM312">
        <f>AM311+IF(AND($E312&lt;&gt;"",$E312&lt;=AM$2,$F312&gt;=AM$2),1,0)</f>
        <v/>
      </c>
      <c r="AN312">
        <f>AN311+IF(AND($E312&lt;&gt;"",$E312&lt;=AN$2,$F312&gt;=AN$2),1,0)</f>
        <v/>
      </c>
      <c r="AO312">
        <f>AO311+IF(AND($E312&lt;&gt;"",$E312&lt;=AO$2,$F312&gt;=AO$2),1,0)</f>
        <v/>
      </c>
      <c r="AP312">
        <f>AP311+IF(AND($E312&lt;&gt;"",$E312&lt;=AP$2,$F312&gt;=AP$2),1,0)</f>
        <v/>
      </c>
      <c r="AQ312">
        <f>AQ311+IF(AND($E312&lt;&gt;"",$E312&lt;=AQ$2,$F312&gt;=AQ$2),1,0)</f>
        <v/>
      </c>
      <c r="AR312">
        <f>AR311+IF(AND($E312&lt;&gt;"",$E312&lt;=AR$2,$F312&gt;=AR$2),1,0)</f>
        <v/>
      </c>
      <c r="AS312">
        <f>AS311+IF(AND($E312&lt;&gt;"",$E312&lt;=AS$2,$F312&gt;=AS$2),1,0)</f>
        <v/>
      </c>
      <c r="AT312">
        <f>AT311+IF(AND($E312&lt;&gt;"",$E312&lt;=AT$2,$F312&gt;=AT$2),1,0)</f>
        <v/>
      </c>
      <c r="AU312">
        <f>AU311+IF(AND($E312&lt;&gt;"",$E312&lt;=AU$2,$F312&gt;=AU$2),1,0)</f>
        <v/>
      </c>
      <c r="AV312">
        <f>AV311+IF(AND($E312&lt;&gt;"",$E312&lt;=AV$2,$F312&gt;=AV$2),1,0)</f>
        <v/>
      </c>
      <c r="AW312">
        <f>AW311+IF(AND($E312&lt;&gt;"",$E312&lt;=AW$2,$F312&gt;=AW$2),1,0)</f>
        <v/>
      </c>
    </row>
    <row r="313">
      <c r="A313">
        <f>IF(AND(ISNUMBER(Events!$A315),ISNUMBER(Events!$B315)),MAX(0,Events!$B315-Events!$A315),0)</f>
        <v/>
      </c>
      <c r="B313">
        <f>IF(ISNUMBER(Events!$A315),DATE(YEAR($B$1)-1,MONTH(Events!$A315),DAY(Events!$A315)),"")</f>
        <v/>
      </c>
      <c r="C313">
        <f>IF(ISNUMBER(Events!$A315),DATE(YEAR($B$1),MONTH(Events!$A315),DAY(Events!$A315)),"")</f>
        <v/>
      </c>
      <c r="D313">
        <f>IF(ISNUMBER(Events!$A315),DATE(YEAR($B$2),MONTH(Events!$A315),DAY(Events!$A315)),"")</f>
        <v/>
      </c>
      <c r="E313">
        <f>IF(OR(NOT(ISNUMBER(Events!$A315)),Events!$G315="No",Calendar!$H$4="None"),"",IF(OR(Calendar!$H$4="All events",Events!$D315=Calendar!$H$4),IF(Events!$E315="Yes",IF(AND(B313&gt;=Events!$A315,B313&lt;=$B$2,B313+$A313&gt;=$B$1),B313,IF(AND(C313&gt;=Events!$A315,C313&lt;=$B$2,C313+$A313&gt;=$B$1),C313,IF(AND(D313&gt;=Events!$A315,D313&lt;=$B$2,D313+$A313&gt;=$B$1),D313,""))),IF(AND(Events!$A315&lt;=$B$2,Events!$A315+$A313&gt;=$B$1),Events!$A315,"")),""))</f>
        <v/>
      </c>
      <c r="F313">
        <f>IF(E313="","",E313+A313)</f>
        <v/>
      </c>
      <c r="G313">
        <f>IF(E313="","",IF(AND(E313&lt;=EOMONTH(Calendar!$K$2,0),F313&gt;=Calendar!$K$2),E313+310/100000,""))</f>
        <v/>
      </c>
      <c r="H313">
        <f>H312+IF(AND($E313&lt;&gt;"",$E313&lt;=H$2,$F313&gt;=H$2),1,0)</f>
        <v/>
      </c>
      <c r="I313">
        <f>I312+IF(AND($E313&lt;&gt;"",$E313&lt;=I$2,$F313&gt;=I$2),1,0)</f>
        <v/>
      </c>
      <c r="J313">
        <f>J312+IF(AND($E313&lt;&gt;"",$E313&lt;=J$2,$F313&gt;=J$2),1,0)</f>
        <v/>
      </c>
      <c r="K313">
        <f>K312+IF(AND($E313&lt;&gt;"",$E313&lt;=K$2,$F313&gt;=K$2),1,0)</f>
        <v/>
      </c>
      <c r="L313">
        <f>L312+IF(AND($E313&lt;&gt;"",$E313&lt;=L$2,$F313&gt;=L$2),1,0)</f>
        <v/>
      </c>
      <c r="M313">
        <f>M312+IF(AND($E313&lt;&gt;"",$E313&lt;=M$2,$F313&gt;=M$2),1,0)</f>
        <v/>
      </c>
      <c r="N313">
        <f>N312+IF(AND($E313&lt;&gt;"",$E313&lt;=N$2,$F313&gt;=N$2),1,0)</f>
        <v/>
      </c>
      <c r="O313">
        <f>O312+IF(AND($E313&lt;&gt;"",$E313&lt;=O$2,$F313&gt;=O$2),1,0)</f>
        <v/>
      </c>
      <c r="P313">
        <f>P312+IF(AND($E313&lt;&gt;"",$E313&lt;=P$2,$F313&gt;=P$2),1,0)</f>
        <v/>
      </c>
      <c r="Q313">
        <f>Q312+IF(AND($E313&lt;&gt;"",$E313&lt;=Q$2,$F313&gt;=Q$2),1,0)</f>
        <v/>
      </c>
      <c r="R313">
        <f>R312+IF(AND($E313&lt;&gt;"",$E313&lt;=R$2,$F313&gt;=R$2),1,0)</f>
        <v/>
      </c>
      <c r="S313">
        <f>S312+IF(AND($E313&lt;&gt;"",$E313&lt;=S$2,$F313&gt;=S$2),1,0)</f>
        <v/>
      </c>
      <c r="T313">
        <f>T312+IF(AND($E313&lt;&gt;"",$E313&lt;=T$2,$F313&gt;=T$2),1,0)</f>
        <v/>
      </c>
      <c r="U313">
        <f>U312+IF(AND($E313&lt;&gt;"",$E313&lt;=U$2,$F313&gt;=U$2),1,0)</f>
        <v/>
      </c>
      <c r="V313">
        <f>V312+IF(AND($E313&lt;&gt;"",$E313&lt;=V$2,$F313&gt;=V$2),1,0)</f>
        <v/>
      </c>
      <c r="W313">
        <f>W312+IF(AND($E313&lt;&gt;"",$E313&lt;=W$2,$F313&gt;=W$2),1,0)</f>
        <v/>
      </c>
      <c r="X313">
        <f>X312+IF(AND($E313&lt;&gt;"",$E313&lt;=X$2,$F313&gt;=X$2),1,0)</f>
        <v/>
      </c>
      <c r="Y313">
        <f>Y312+IF(AND($E313&lt;&gt;"",$E313&lt;=Y$2,$F313&gt;=Y$2),1,0)</f>
        <v/>
      </c>
      <c r="Z313">
        <f>Z312+IF(AND($E313&lt;&gt;"",$E313&lt;=Z$2,$F313&gt;=Z$2),1,0)</f>
        <v/>
      </c>
      <c r="AA313">
        <f>AA312+IF(AND($E313&lt;&gt;"",$E313&lt;=AA$2,$F313&gt;=AA$2),1,0)</f>
        <v/>
      </c>
      <c r="AB313">
        <f>AB312+IF(AND($E313&lt;&gt;"",$E313&lt;=AB$2,$F313&gt;=AB$2),1,0)</f>
        <v/>
      </c>
      <c r="AC313">
        <f>AC312+IF(AND($E313&lt;&gt;"",$E313&lt;=AC$2,$F313&gt;=AC$2),1,0)</f>
        <v/>
      </c>
      <c r="AD313">
        <f>AD312+IF(AND($E313&lt;&gt;"",$E313&lt;=AD$2,$F313&gt;=AD$2),1,0)</f>
        <v/>
      </c>
      <c r="AE313">
        <f>AE312+IF(AND($E313&lt;&gt;"",$E313&lt;=AE$2,$F313&gt;=AE$2),1,0)</f>
        <v/>
      </c>
      <c r="AF313">
        <f>AF312+IF(AND($E313&lt;&gt;"",$E313&lt;=AF$2,$F313&gt;=AF$2),1,0)</f>
        <v/>
      </c>
      <c r="AG313">
        <f>AG312+IF(AND($E313&lt;&gt;"",$E313&lt;=AG$2,$F313&gt;=AG$2),1,0)</f>
        <v/>
      </c>
      <c r="AH313">
        <f>AH312+IF(AND($E313&lt;&gt;"",$E313&lt;=AH$2,$F313&gt;=AH$2),1,0)</f>
        <v/>
      </c>
      <c r="AI313">
        <f>AI312+IF(AND($E313&lt;&gt;"",$E313&lt;=AI$2,$F313&gt;=AI$2),1,0)</f>
        <v/>
      </c>
      <c r="AJ313">
        <f>AJ312+IF(AND($E313&lt;&gt;"",$E313&lt;=AJ$2,$F313&gt;=AJ$2),1,0)</f>
        <v/>
      </c>
      <c r="AK313">
        <f>AK312+IF(AND($E313&lt;&gt;"",$E313&lt;=AK$2,$F313&gt;=AK$2),1,0)</f>
        <v/>
      </c>
      <c r="AL313">
        <f>AL312+IF(AND($E313&lt;&gt;"",$E313&lt;=AL$2,$F313&gt;=AL$2),1,0)</f>
        <v/>
      </c>
      <c r="AM313">
        <f>AM312+IF(AND($E313&lt;&gt;"",$E313&lt;=AM$2,$F313&gt;=AM$2),1,0)</f>
        <v/>
      </c>
      <c r="AN313">
        <f>AN312+IF(AND($E313&lt;&gt;"",$E313&lt;=AN$2,$F313&gt;=AN$2),1,0)</f>
        <v/>
      </c>
      <c r="AO313">
        <f>AO312+IF(AND($E313&lt;&gt;"",$E313&lt;=AO$2,$F313&gt;=AO$2),1,0)</f>
        <v/>
      </c>
      <c r="AP313">
        <f>AP312+IF(AND($E313&lt;&gt;"",$E313&lt;=AP$2,$F313&gt;=AP$2),1,0)</f>
        <v/>
      </c>
      <c r="AQ313">
        <f>AQ312+IF(AND($E313&lt;&gt;"",$E313&lt;=AQ$2,$F313&gt;=AQ$2),1,0)</f>
        <v/>
      </c>
      <c r="AR313">
        <f>AR312+IF(AND($E313&lt;&gt;"",$E313&lt;=AR$2,$F313&gt;=AR$2),1,0)</f>
        <v/>
      </c>
      <c r="AS313">
        <f>AS312+IF(AND($E313&lt;&gt;"",$E313&lt;=AS$2,$F313&gt;=AS$2),1,0)</f>
        <v/>
      </c>
      <c r="AT313">
        <f>AT312+IF(AND($E313&lt;&gt;"",$E313&lt;=AT$2,$F313&gt;=AT$2),1,0)</f>
        <v/>
      </c>
      <c r="AU313">
        <f>AU312+IF(AND($E313&lt;&gt;"",$E313&lt;=AU$2,$F313&gt;=AU$2),1,0)</f>
        <v/>
      </c>
      <c r="AV313">
        <f>AV312+IF(AND($E313&lt;&gt;"",$E313&lt;=AV$2,$F313&gt;=AV$2),1,0)</f>
        <v/>
      </c>
      <c r="AW313">
        <f>AW312+IF(AND($E313&lt;&gt;"",$E313&lt;=AW$2,$F313&gt;=AW$2),1,0)</f>
        <v/>
      </c>
    </row>
    <row r="314">
      <c r="A314">
        <f>IF(AND(ISNUMBER(Events!$A316),ISNUMBER(Events!$B316)),MAX(0,Events!$B316-Events!$A316),0)</f>
        <v/>
      </c>
      <c r="B314">
        <f>IF(ISNUMBER(Events!$A316),DATE(YEAR($B$1)-1,MONTH(Events!$A316),DAY(Events!$A316)),"")</f>
        <v/>
      </c>
      <c r="C314">
        <f>IF(ISNUMBER(Events!$A316),DATE(YEAR($B$1),MONTH(Events!$A316),DAY(Events!$A316)),"")</f>
        <v/>
      </c>
      <c r="D314">
        <f>IF(ISNUMBER(Events!$A316),DATE(YEAR($B$2),MONTH(Events!$A316),DAY(Events!$A316)),"")</f>
        <v/>
      </c>
      <c r="E314">
        <f>IF(OR(NOT(ISNUMBER(Events!$A316)),Events!$G316="No",Calendar!$H$4="None"),"",IF(OR(Calendar!$H$4="All events",Events!$D316=Calendar!$H$4),IF(Events!$E316="Yes",IF(AND(B314&gt;=Events!$A316,B314&lt;=$B$2,B314+$A314&gt;=$B$1),B314,IF(AND(C314&gt;=Events!$A316,C314&lt;=$B$2,C314+$A314&gt;=$B$1),C314,IF(AND(D314&gt;=Events!$A316,D314&lt;=$B$2,D314+$A314&gt;=$B$1),D314,""))),IF(AND(Events!$A316&lt;=$B$2,Events!$A316+$A314&gt;=$B$1),Events!$A316,"")),""))</f>
        <v/>
      </c>
      <c r="F314">
        <f>IF(E314="","",E314+A314)</f>
        <v/>
      </c>
      <c r="G314">
        <f>IF(E314="","",IF(AND(E314&lt;=EOMONTH(Calendar!$K$2,0),F314&gt;=Calendar!$K$2),E314+311/100000,""))</f>
        <v/>
      </c>
      <c r="H314">
        <f>H313+IF(AND($E314&lt;&gt;"",$E314&lt;=H$2,$F314&gt;=H$2),1,0)</f>
        <v/>
      </c>
      <c r="I314">
        <f>I313+IF(AND($E314&lt;&gt;"",$E314&lt;=I$2,$F314&gt;=I$2),1,0)</f>
        <v/>
      </c>
      <c r="J314">
        <f>J313+IF(AND($E314&lt;&gt;"",$E314&lt;=J$2,$F314&gt;=J$2),1,0)</f>
        <v/>
      </c>
      <c r="K314">
        <f>K313+IF(AND($E314&lt;&gt;"",$E314&lt;=K$2,$F314&gt;=K$2),1,0)</f>
        <v/>
      </c>
      <c r="L314">
        <f>L313+IF(AND($E314&lt;&gt;"",$E314&lt;=L$2,$F314&gt;=L$2),1,0)</f>
        <v/>
      </c>
      <c r="M314">
        <f>M313+IF(AND($E314&lt;&gt;"",$E314&lt;=M$2,$F314&gt;=M$2),1,0)</f>
        <v/>
      </c>
      <c r="N314">
        <f>N313+IF(AND($E314&lt;&gt;"",$E314&lt;=N$2,$F314&gt;=N$2),1,0)</f>
        <v/>
      </c>
      <c r="O314">
        <f>O313+IF(AND($E314&lt;&gt;"",$E314&lt;=O$2,$F314&gt;=O$2),1,0)</f>
        <v/>
      </c>
      <c r="P314">
        <f>P313+IF(AND($E314&lt;&gt;"",$E314&lt;=P$2,$F314&gt;=P$2),1,0)</f>
        <v/>
      </c>
      <c r="Q314">
        <f>Q313+IF(AND($E314&lt;&gt;"",$E314&lt;=Q$2,$F314&gt;=Q$2),1,0)</f>
        <v/>
      </c>
      <c r="R314">
        <f>R313+IF(AND($E314&lt;&gt;"",$E314&lt;=R$2,$F314&gt;=R$2),1,0)</f>
        <v/>
      </c>
      <c r="S314">
        <f>S313+IF(AND($E314&lt;&gt;"",$E314&lt;=S$2,$F314&gt;=S$2),1,0)</f>
        <v/>
      </c>
      <c r="T314">
        <f>T313+IF(AND($E314&lt;&gt;"",$E314&lt;=T$2,$F314&gt;=T$2),1,0)</f>
        <v/>
      </c>
      <c r="U314">
        <f>U313+IF(AND($E314&lt;&gt;"",$E314&lt;=U$2,$F314&gt;=U$2),1,0)</f>
        <v/>
      </c>
      <c r="V314">
        <f>V313+IF(AND($E314&lt;&gt;"",$E314&lt;=V$2,$F314&gt;=V$2),1,0)</f>
        <v/>
      </c>
      <c r="W314">
        <f>W313+IF(AND($E314&lt;&gt;"",$E314&lt;=W$2,$F314&gt;=W$2),1,0)</f>
        <v/>
      </c>
      <c r="X314">
        <f>X313+IF(AND($E314&lt;&gt;"",$E314&lt;=X$2,$F314&gt;=X$2),1,0)</f>
        <v/>
      </c>
      <c r="Y314">
        <f>Y313+IF(AND($E314&lt;&gt;"",$E314&lt;=Y$2,$F314&gt;=Y$2),1,0)</f>
        <v/>
      </c>
      <c r="Z314">
        <f>Z313+IF(AND($E314&lt;&gt;"",$E314&lt;=Z$2,$F314&gt;=Z$2),1,0)</f>
        <v/>
      </c>
      <c r="AA314">
        <f>AA313+IF(AND($E314&lt;&gt;"",$E314&lt;=AA$2,$F314&gt;=AA$2),1,0)</f>
        <v/>
      </c>
      <c r="AB314">
        <f>AB313+IF(AND($E314&lt;&gt;"",$E314&lt;=AB$2,$F314&gt;=AB$2),1,0)</f>
        <v/>
      </c>
      <c r="AC314">
        <f>AC313+IF(AND($E314&lt;&gt;"",$E314&lt;=AC$2,$F314&gt;=AC$2),1,0)</f>
        <v/>
      </c>
      <c r="AD314">
        <f>AD313+IF(AND($E314&lt;&gt;"",$E314&lt;=AD$2,$F314&gt;=AD$2),1,0)</f>
        <v/>
      </c>
      <c r="AE314">
        <f>AE313+IF(AND($E314&lt;&gt;"",$E314&lt;=AE$2,$F314&gt;=AE$2),1,0)</f>
        <v/>
      </c>
      <c r="AF314">
        <f>AF313+IF(AND($E314&lt;&gt;"",$E314&lt;=AF$2,$F314&gt;=AF$2),1,0)</f>
        <v/>
      </c>
      <c r="AG314">
        <f>AG313+IF(AND($E314&lt;&gt;"",$E314&lt;=AG$2,$F314&gt;=AG$2),1,0)</f>
        <v/>
      </c>
      <c r="AH314">
        <f>AH313+IF(AND($E314&lt;&gt;"",$E314&lt;=AH$2,$F314&gt;=AH$2),1,0)</f>
        <v/>
      </c>
      <c r="AI314">
        <f>AI313+IF(AND($E314&lt;&gt;"",$E314&lt;=AI$2,$F314&gt;=AI$2),1,0)</f>
        <v/>
      </c>
      <c r="AJ314">
        <f>AJ313+IF(AND($E314&lt;&gt;"",$E314&lt;=AJ$2,$F314&gt;=AJ$2),1,0)</f>
        <v/>
      </c>
      <c r="AK314">
        <f>AK313+IF(AND($E314&lt;&gt;"",$E314&lt;=AK$2,$F314&gt;=AK$2),1,0)</f>
        <v/>
      </c>
      <c r="AL314">
        <f>AL313+IF(AND($E314&lt;&gt;"",$E314&lt;=AL$2,$F314&gt;=AL$2),1,0)</f>
        <v/>
      </c>
      <c r="AM314">
        <f>AM313+IF(AND($E314&lt;&gt;"",$E314&lt;=AM$2,$F314&gt;=AM$2),1,0)</f>
        <v/>
      </c>
      <c r="AN314">
        <f>AN313+IF(AND($E314&lt;&gt;"",$E314&lt;=AN$2,$F314&gt;=AN$2),1,0)</f>
        <v/>
      </c>
      <c r="AO314">
        <f>AO313+IF(AND($E314&lt;&gt;"",$E314&lt;=AO$2,$F314&gt;=AO$2),1,0)</f>
        <v/>
      </c>
      <c r="AP314">
        <f>AP313+IF(AND($E314&lt;&gt;"",$E314&lt;=AP$2,$F314&gt;=AP$2),1,0)</f>
        <v/>
      </c>
      <c r="AQ314">
        <f>AQ313+IF(AND($E314&lt;&gt;"",$E314&lt;=AQ$2,$F314&gt;=AQ$2),1,0)</f>
        <v/>
      </c>
      <c r="AR314">
        <f>AR313+IF(AND($E314&lt;&gt;"",$E314&lt;=AR$2,$F314&gt;=AR$2),1,0)</f>
        <v/>
      </c>
      <c r="AS314">
        <f>AS313+IF(AND($E314&lt;&gt;"",$E314&lt;=AS$2,$F314&gt;=AS$2),1,0)</f>
        <v/>
      </c>
      <c r="AT314">
        <f>AT313+IF(AND($E314&lt;&gt;"",$E314&lt;=AT$2,$F314&gt;=AT$2),1,0)</f>
        <v/>
      </c>
      <c r="AU314">
        <f>AU313+IF(AND($E314&lt;&gt;"",$E314&lt;=AU$2,$F314&gt;=AU$2),1,0)</f>
        <v/>
      </c>
      <c r="AV314">
        <f>AV313+IF(AND($E314&lt;&gt;"",$E314&lt;=AV$2,$F314&gt;=AV$2),1,0)</f>
        <v/>
      </c>
      <c r="AW314">
        <f>AW313+IF(AND($E314&lt;&gt;"",$E314&lt;=AW$2,$F314&gt;=AW$2),1,0)</f>
        <v/>
      </c>
    </row>
    <row r="315">
      <c r="A315">
        <f>IF(AND(ISNUMBER(Events!$A317),ISNUMBER(Events!$B317)),MAX(0,Events!$B317-Events!$A317),0)</f>
        <v/>
      </c>
      <c r="B315">
        <f>IF(ISNUMBER(Events!$A317),DATE(YEAR($B$1)-1,MONTH(Events!$A317),DAY(Events!$A317)),"")</f>
        <v/>
      </c>
      <c r="C315">
        <f>IF(ISNUMBER(Events!$A317),DATE(YEAR($B$1),MONTH(Events!$A317),DAY(Events!$A317)),"")</f>
        <v/>
      </c>
      <c r="D315">
        <f>IF(ISNUMBER(Events!$A317),DATE(YEAR($B$2),MONTH(Events!$A317),DAY(Events!$A317)),"")</f>
        <v/>
      </c>
      <c r="E315">
        <f>IF(OR(NOT(ISNUMBER(Events!$A317)),Events!$G317="No",Calendar!$H$4="None"),"",IF(OR(Calendar!$H$4="All events",Events!$D317=Calendar!$H$4),IF(Events!$E317="Yes",IF(AND(B315&gt;=Events!$A317,B315&lt;=$B$2,B315+$A315&gt;=$B$1),B315,IF(AND(C315&gt;=Events!$A317,C315&lt;=$B$2,C315+$A315&gt;=$B$1),C315,IF(AND(D315&gt;=Events!$A317,D315&lt;=$B$2,D315+$A315&gt;=$B$1),D315,""))),IF(AND(Events!$A317&lt;=$B$2,Events!$A317+$A315&gt;=$B$1),Events!$A317,"")),""))</f>
        <v/>
      </c>
      <c r="F315">
        <f>IF(E315="","",E315+A315)</f>
        <v/>
      </c>
      <c r="G315">
        <f>IF(E315="","",IF(AND(E315&lt;=EOMONTH(Calendar!$K$2,0),F315&gt;=Calendar!$K$2),E315+312/100000,""))</f>
        <v/>
      </c>
      <c r="H315">
        <f>H314+IF(AND($E315&lt;&gt;"",$E315&lt;=H$2,$F315&gt;=H$2),1,0)</f>
        <v/>
      </c>
      <c r="I315">
        <f>I314+IF(AND($E315&lt;&gt;"",$E315&lt;=I$2,$F315&gt;=I$2),1,0)</f>
        <v/>
      </c>
      <c r="J315">
        <f>J314+IF(AND($E315&lt;&gt;"",$E315&lt;=J$2,$F315&gt;=J$2),1,0)</f>
        <v/>
      </c>
      <c r="K315">
        <f>K314+IF(AND($E315&lt;&gt;"",$E315&lt;=K$2,$F315&gt;=K$2),1,0)</f>
        <v/>
      </c>
      <c r="L315">
        <f>L314+IF(AND($E315&lt;&gt;"",$E315&lt;=L$2,$F315&gt;=L$2),1,0)</f>
        <v/>
      </c>
      <c r="M315">
        <f>M314+IF(AND($E315&lt;&gt;"",$E315&lt;=M$2,$F315&gt;=M$2),1,0)</f>
        <v/>
      </c>
      <c r="N315">
        <f>N314+IF(AND($E315&lt;&gt;"",$E315&lt;=N$2,$F315&gt;=N$2),1,0)</f>
        <v/>
      </c>
      <c r="O315">
        <f>O314+IF(AND($E315&lt;&gt;"",$E315&lt;=O$2,$F315&gt;=O$2),1,0)</f>
        <v/>
      </c>
      <c r="P315">
        <f>P314+IF(AND($E315&lt;&gt;"",$E315&lt;=P$2,$F315&gt;=P$2),1,0)</f>
        <v/>
      </c>
      <c r="Q315">
        <f>Q314+IF(AND($E315&lt;&gt;"",$E315&lt;=Q$2,$F315&gt;=Q$2),1,0)</f>
        <v/>
      </c>
      <c r="R315">
        <f>R314+IF(AND($E315&lt;&gt;"",$E315&lt;=R$2,$F315&gt;=R$2),1,0)</f>
        <v/>
      </c>
      <c r="S315">
        <f>S314+IF(AND($E315&lt;&gt;"",$E315&lt;=S$2,$F315&gt;=S$2),1,0)</f>
        <v/>
      </c>
      <c r="T315">
        <f>T314+IF(AND($E315&lt;&gt;"",$E315&lt;=T$2,$F315&gt;=T$2),1,0)</f>
        <v/>
      </c>
      <c r="U315">
        <f>U314+IF(AND($E315&lt;&gt;"",$E315&lt;=U$2,$F315&gt;=U$2),1,0)</f>
        <v/>
      </c>
      <c r="V315">
        <f>V314+IF(AND($E315&lt;&gt;"",$E315&lt;=V$2,$F315&gt;=V$2),1,0)</f>
        <v/>
      </c>
      <c r="W315">
        <f>W314+IF(AND($E315&lt;&gt;"",$E315&lt;=W$2,$F315&gt;=W$2),1,0)</f>
        <v/>
      </c>
      <c r="X315">
        <f>X314+IF(AND($E315&lt;&gt;"",$E315&lt;=X$2,$F315&gt;=X$2),1,0)</f>
        <v/>
      </c>
      <c r="Y315">
        <f>Y314+IF(AND($E315&lt;&gt;"",$E315&lt;=Y$2,$F315&gt;=Y$2),1,0)</f>
        <v/>
      </c>
      <c r="Z315">
        <f>Z314+IF(AND($E315&lt;&gt;"",$E315&lt;=Z$2,$F315&gt;=Z$2),1,0)</f>
        <v/>
      </c>
      <c r="AA315">
        <f>AA314+IF(AND($E315&lt;&gt;"",$E315&lt;=AA$2,$F315&gt;=AA$2),1,0)</f>
        <v/>
      </c>
      <c r="AB315">
        <f>AB314+IF(AND($E315&lt;&gt;"",$E315&lt;=AB$2,$F315&gt;=AB$2),1,0)</f>
        <v/>
      </c>
      <c r="AC315">
        <f>AC314+IF(AND($E315&lt;&gt;"",$E315&lt;=AC$2,$F315&gt;=AC$2),1,0)</f>
        <v/>
      </c>
      <c r="AD315">
        <f>AD314+IF(AND($E315&lt;&gt;"",$E315&lt;=AD$2,$F315&gt;=AD$2),1,0)</f>
        <v/>
      </c>
      <c r="AE315">
        <f>AE314+IF(AND($E315&lt;&gt;"",$E315&lt;=AE$2,$F315&gt;=AE$2),1,0)</f>
        <v/>
      </c>
      <c r="AF315">
        <f>AF314+IF(AND($E315&lt;&gt;"",$E315&lt;=AF$2,$F315&gt;=AF$2),1,0)</f>
        <v/>
      </c>
      <c r="AG315">
        <f>AG314+IF(AND($E315&lt;&gt;"",$E315&lt;=AG$2,$F315&gt;=AG$2),1,0)</f>
        <v/>
      </c>
      <c r="AH315">
        <f>AH314+IF(AND($E315&lt;&gt;"",$E315&lt;=AH$2,$F315&gt;=AH$2),1,0)</f>
        <v/>
      </c>
      <c r="AI315">
        <f>AI314+IF(AND($E315&lt;&gt;"",$E315&lt;=AI$2,$F315&gt;=AI$2),1,0)</f>
        <v/>
      </c>
      <c r="AJ315">
        <f>AJ314+IF(AND($E315&lt;&gt;"",$E315&lt;=AJ$2,$F315&gt;=AJ$2),1,0)</f>
        <v/>
      </c>
      <c r="AK315">
        <f>AK314+IF(AND($E315&lt;&gt;"",$E315&lt;=AK$2,$F315&gt;=AK$2),1,0)</f>
        <v/>
      </c>
      <c r="AL315">
        <f>AL314+IF(AND($E315&lt;&gt;"",$E315&lt;=AL$2,$F315&gt;=AL$2),1,0)</f>
        <v/>
      </c>
      <c r="AM315">
        <f>AM314+IF(AND($E315&lt;&gt;"",$E315&lt;=AM$2,$F315&gt;=AM$2),1,0)</f>
        <v/>
      </c>
      <c r="AN315">
        <f>AN314+IF(AND($E315&lt;&gt;"",$E315&lt;=AN$2,$F315&gt;=AN$2),1,0)</f>
        <v/>
      </c>
      <c r="AO315">
        <f>AO314+IF(AND($E315&lt;&gt;"",$E315&lt;=AO$2,$F315&gt;=AO$2),1,0)</f>
        <v/>
      </c>
      <c r="AP315">
        <f>AP314+IF(AND($E315&lt;&gt;"",$E315&lt;=AP$2,$F315&gt;=AP$2),1,0)</f>
        <v/>
      </c>
      <c r="AQ315">
        <f>AQ314+IF(AND($E315&lt;&gt;"",$E315&lt;=AQ$2,$F315&gt;=AQ$2),1,0)</f>
        <v/>
      </c>
      <c r="AR315">
        <f>AR314+IF(AND($E315&lt;&gt;"",$E315&lt;=AR$2,$F315&gt;=AR$2),1,0)</f>
        <v/>
      </c>
      <c r="AS315">
        <f>AS314+IF(AND($E315&lt;&gt;"",$E315&lt;=AS$2,$F315&gt;=AS$2),1,0)</f>
        <v/>
      </c>
      <c r="AT315">
        <f>AT314+IF(AND($E315&lt;&gt;"",$E315&lt;=AT$2,$F315&gt;=AT$2),1,0)</f>
        <v/>
      </c>
      <c r="AU315">
        <f>AU314+IF(AND($E315&lt;&gt;"",$E315&lt;=AU$2,$F315&gt;=AU$2),1,0)</f>
        <v/>
      </c>
      <c r="AV315">
        <f>AV314+IF(AND($E315&lt;&gt;"",$E315&lt;=AV$2,$F315&gt;=AV$2),1,0)</f>
        <v/>
      </c>
      <c r="AW315">
        <f>AW314+IF(AND($E315&lt;&gt;"",$E315&lt;=AW$2,$F315&gt;=AW$2),1,0)</f>
        <v/>
      </c>
    </row>
    <row r="316">
      <c r="A316">
        <f>IF(AND(ISNUMBER(Events!$A318),ISNUMBER(Events!$B318)),MAX(0,Events!$B318-Events!$A318),0)</f>
        <v/>
      </c>
      <c r="B316">
        <f>IF(ISNUMBER(Events!$A318),DATE(YEAR($B$1)-1,MONTH(Events!$A318),DAY(Events!$A318)),"")</f>
        <v/>
      </c>
      <c r="C316">
        <f>IF(ISNUMBER(Events!$A318),DATE(YEAR($B$1),MONTH(Events!$A318),DAY(Events!$A318)),"")</f>
        <v/>
      </c>
      <c r="D316">
        <f>IF(ISNUMBER(Events!$A318),DATE(YEAR($B$2),MONTH(Events!$A318),DAY(Events!$A318)),"")</f>
        <v/>
      </c>
      <c r="E316">
        <f>IF(OR(NOT(ISNUMBER(Events!$A318)),Events!$G318="No",Calendar!$H$4="None"),"",IF(OR(Calendar!$H$4="All events",Events!$D318=Calendar!$H$4),IF(Events!$E318="Yes",IF(AND(B316&gt;=Events!$A318,B316&lt;=$B$2,B316+$A316&gt;=$B$1),B316,IF(AND(C316&gt;=Events!$A318,C316&lt;=$B$2,C316+$A316&gt;=$B$1),C316,IF(AND(D316&gt;=Events!$A318,D316&lt;=$B$2,D316+$A316&gt;=$B$1),D316,""))),IF(AND(Events!$A318&lt;=$B$2,Events!$A318+$A316&gt;=$B$1),Events!$A318,"")),""))</f>
        <v/>
      </c>
      <c r="F316">
        <f>IF(E316="","",E316+A316)</f>
        <v/>
      </c>
      <c r="G316">
        <f>IF(E316="","",IF(AND(E316&lt;=EOMONTH(Calendar!$K$2,0),F316&gt;=Calendar!$K$2),E316+313/100000,""))</f>
        <v/>
      </c>
      <c r="H316">
        <f>H315+IF(AND($E316&lt;&gt;"",$E316&lt;=H$2,$F316&gt;=H$2),1,0)</f>
        <v/>
      </c>
      <c r="I316">
        <f>I315+IF(AND($E316&lt;&gt;"",$E316&lt;=I$2,$F316&gt;=I$2),1,0)</f>
        <v/>
      </c>
      <c r="J316">
        <f>J315+IF(AND($E316&lt;&gt;"",$E316&lt;=J$2,$F316&gt;=J$2),1,0)</f>
        <v/>
      </c>
      <c r="K316">
        <f>K315+IF(AND($E316&lt;&gt;"",$E316&lt;=K$2,$F316&gt;=K$2),1,0)</f>
        <v/>
      </c>
      <c r="L316">
        <f>L315+IF(AND($E316&lt;&gt;"",$E316&lt;=L$2,$F316&gt;=L$2),1,0)</f>
        <v/>
      </c>
      <c r="M316">
        <f>M315+IF(AND($E316&lt;&gt;"",$E316&lt;=M$2,$F316&gt;=M$2),1,0)</f>
        <v/>
      </c>
      <c r="N316">
        <f>N315+IF(AND($E316&lt;&gt;"",$E316&lt;=N$2,$F316&gt;=N$2),1,0)</f>
        <v/>
      </c>
      <c r="O316">
        <f>O315+IF(AND($E316&lt;&gt;"",$E316&lt;=O$2,$F316&gt;=O$2),1,0)</f>
        <v/>
      </c>
      <c r="P316">
        <f>P315+IF(AND($E316&lt;&gt;"",$E316&lt;=P$2,$F316&gt;=P$2),1,0)</f>
        <v/>
      </c>
      <c r="Q316">
        <f>Q315+IF(AND($E316&lt;&gt;"",$E316&lt;=Q$2,$F316&gt;=Q$2),1,0)</f>
        <v/>
      </c>
      <c r="R316">
        <f>R315+IF(AND($E316&lt;&gt;"",$E316&lt;=R$2,$F316&gt;=R$2),1,0)</f>
        <v/>
      </c>
      <c r="S316">
        <f>S315+IF(AND($E316&lt;&gt;"",$E316&lt;=S$2,$F316&gt;=S$2),1,0)</f>
        <v/>
      </c>
      <c r="T316">
        <f>T315+IF(AND($E316&lt;&gt;"",$E316&lt;=T$2,$F316&gt;=T$2),1,0)</f>
        <v/>
      </c>
      <c r="U316">
        <f>U315+IF(AND($E316&lt;&gt;"",$E316&lt;=U$2,$F316&gt;=U$2),1,0)</f>
        <v/>
      </c>
      <c r="V316">
        <f>V315+IF(AND($E316&lt;&gt;"",$E316&lt;=V$2,$F316&gt;=V$2),1,0)</f>
        <v/>
      </c>
      <c r="W316">
        <f>W315+IF(AND($E316&lt;&gt;"",$E316&lt;=W$2,$F316&gt;=W$2),1,0)</f>
        <v/>
      </c>
      <c r="X316">
        <f>X315+IF(AND($E316&lt;&gt;"",$E316&lt;=X$2,$F316&gt;=X$2),1,0)</f>
        <v/>
      </c>
      <c r="Y316">
        <f>Y315+IF(AND($E316&lt;&gt;"",$E316&lt;=Y$2,$F316&gt;=Y$2),1,0)</f>
        <v/>
      </c>
      <c r="Z316">
        <f>Z315+IF(AND($E316&lt;&gt;"",$E316&lt;=Z$2,$F316&gt;=Z$2),1,0)</f>
        <v/>
      </c>
      <c r="AA316">
        <f>AA315+IF(AND($E316&lt;&gt;"",$E316&lt;=AA$2,$F316&gt;=AA$2),1,0)</f>
        <v/>
      </c>
      <c r="AB316">
        <f>AB315+IF(AND($E316&lt;&gt;"",$E316&lt;=AB$2,$F316&gt;=AB$2),1,0)</f>
        <v/>
      </c>
      <c r="AC316">
        <f>AC315+IF(AND($E316&lt;&gt;"",$E316&lt;=AC$2,$F316&gt;=AC$2),1,0)</f>
        <v/>
      </c>
      <c r="AD316">
        <f>AD315+IF(AND($E316&lt;&gt;"",$E316&lt;=AD$2,$F316&gt;=AD$2),1,0)</f>
        <v/>
      </c>
      <c r="AE316">
        <f>AE315+IF(AND($E316&lt;&gt;"",$E316&lt;=AE$2,$F316&gt;=AE$2),1,0)</f>
        <v/>
      </c>
      <c r="AF316">
        <f>AF315+IF(AND($E316&lt;&gt;"",$E316&lt;=AF$2,$F316&gt;=AF$2),1,0)</f>
        <v/>
      </c>
      <c r="AG316">
        <f>AG315+IF(AND($E316&lt;&gt;"",$E316&lt;=AG$2,$F316&gt;=AG$2),1,0)</f>
        <v/>
      </c>
      <c r="AH316">
        <f>AH315+IF(AND($E316&lt;&gt;"",$E316&lt;=AH$2,$F316&gt;=AH$2),1,0)</f>
        <v/>
      </c>
      <c r="AI316">
        <f>AI315+IF(AND($E316&lt;&gt;"",$E316&lt;=AI$2,$F316&gt;=AI$2),1,0)</f>
        <v/>
      </c>
      <c r="AJ316">
        <f>AJ315+IF(AND($E316&lt;&gt;"",$E316&lt;=AJ$2,$F316&gt;=AJ$2),1,0)</f>
        <v/>
      </c>
      <c r="AK316">
        <f>AK315+IF(AND($E316&lt;&gt;"",$E316&lt;=AK$2,$F316&gt;=AK$2),1,0)</f>
        <v/>
      </c>
      <c r="AL316">
        <f>AL315+IF(AND($E316&lt;&gt;"",$E316&lt;=AL$2,$F316&gt;=AL$2),1,0)</f>
        <v/>
      </c>
      <c r="AM316">
        <f>AM315+IF(AND($E316&lt;&gt;"",$E316&lt;=AM$2,$F316&gt;=AM$2),1,0)</f>
        <v/>
      </c>
      <c r="AN316">
        <f>AN315+IF(AND($E316&lt;&gt;"",$E316&lt;=AN$2,$F316&gt;=AN$2),1,0)</f>
        <v/>
      </c>
      <c r="AO316">
        <f>AO315+IF(AND($E316&lt;&gt;"",$E316&lt;=AO$2,$F316&gt;=AO$2),1,0)</f>
        <v/>
      </c>
      <c r="AP316">
        <f>AP315+IF(AND($E316&lt;&gt;"",$E316&lt;=AP$2,$F316&gt;=AP$2),1,0)</f>
        <v/>
      </c>
      <c r="AQ316">
        <f>AQ315+IF(AND($E316&lt;&gt;"",$E316&lt;=AQ$2,$F316&gt;=AQ$2),1,0)</f>
        <v/>
      </c>
      <c r="AR316">
        <f>AR315+IF(AND($E316&lt;&gt;"",$E316&lt;=AR$2,$F316&gt;=AR$2),1,0)</f>
        <v/>
      </c>
      <c r="AS316">
        <f>AS315+IF(AND($E316&lt;&gt;"",$E316&lt;=AS$2,$F316&gt;=AS$2),1,0)</f>
        <v/>
      </c>
      <c r="AT316">
        <f>AT315+IF(AND($E316&lt;&gt;"",$E316&lt;=AT$2,$F316&gt;=AT$2),1,0)</f>
        <v/>
      </c>
      <c r="AU316">
        <f>AU315+IF(AND($E316&lt;&gt;"",$E316&lt;=AU$2,$F316&gt;=AU$2),1,0)</f>
        <v/>
      </c>
      <c r="AV316">
        <f>AV315+IF(AND($E316&lt;&gt;"",$E316&lt;=AV$2,$F316&gt;=AV$2),1,0)</f>
        <v/>
      </c>
      <c r="AW316">
        <f>AW315+IF(AND($E316&lt;&gt;"",$E316&lt;=AW$2,$F316&gt;=AW$2),1,0)</f>
        <v/>
      </c>
    </row>
    <row r="317">
      <c r="A317">
        <f>IF(AND(ISNUMBER(Events!$A319),ISNUMBER(Events!$B319)),MAX(0,Events!$B319-Events!$A319),0)</f>
        <v/>
      </c>
      <c r="B317">
        <f>IF(ISNUMBER(Events!$A319),DATE(YEAR($B$1)-1,MONTH(Events!$A319),DAY(Events!$A319)),"")</f>
        <v/>
      </c>
      <c r="C317">
        <f>IF(ISNUMBER(Events!$A319),DATE(YEAR($B$1),MONTH(Events!$A319),DAY(Events!$A319)),"")</f>
        <v/>
      </c>
      <c r="D317">
        <f>IF(ISNUMBER(Events!$A319),DATE(YEAR($B$2),MONTH(Events!$A319),DAY(Events!$A319)),"")</f>
        <v/>
      </c>
      <c r="E317">
        <f>IF(OR(NOT(ISNUMBER(Events!$A319)),Events!$G319="No",Calendar!$H$4="None"),"",IF(OR(Calendar!$H$4="All events",Events!$D319=Calendar!$H$4),IF(Events!$E319="Yes",IF(AND(B317&gt;=Events!$A319,B317&lt;=$B$2,B317+$A317&gt;=$B$1),B317,IF(AND(C317&gt;=Events!$A319,C317&lt;=$B$2,C317+$A317&gt;=$B$1),C317,IF(AND(D317&gt;=Events!$A319,D317&lt;=$B$2,D317+$A317&gt;=$B$1),D317,""))),IF(AND(Events!$A319&lt;=$B$2,Events!$A319+$A317&gt;=$B$1),Events!$A319,"")),""))</f>
        <v/>
      </c>
      <c r="F317">
        <f>IF(E317="","",E317+A317)</f>
        <v/>
      </c>
      <c r="G317">
        <f>IF(E317="","",IF(AND(E317&lt;=EOMONTH(Calendar!$K$2,0),F317&gt;=Calendar!$K$2),E317+314/100000,""))</f>
        <v/>
      </c>
      <c r="H317">
        <f>H316+IF(AND($E317&lt;&gt;"",$E317&lt;=H$2,$F317&gt;=H$2),1,0)</f>
        <v/>
      </c>
      <c r="I317">
        <f>I316+IF(AND($E317&lt;&gt;"",$E317&lt;=I$2,$F317&gt;=I$2),1,0)</f>
        <v/>
      </c>
      <c r="J317">
        <f>J316+IF(AND($E317&lt;&gt;"",$E317&lt;=J$2,$F317&gt;=J$2),1,0)</f>
        <v/>
      </c>
      <c r="K317">
        <f>K316+IF(AND($E317&lt;&gt;"",$E317&lt;=K$2,$F317&gt;=K$2),1,0)</f>
        <v/>
      </c>
      <c r="L317">
        <f>L316+IF(AND($E317&lt;&gt;"",$E317&lt;=L$2,$F317&gt;=L$2),1,0)</f>
        <v/>
      </c>
      <c r="M317">
        <f>M316+IF(AND($E317&lt;&gt;"",$E317&lt;=M$2,$F317&gt;=M$2),1,0)</f>
        <v/>
      </c>
      <c r="N317">
        <f>N316+IF(AND($E317&lt;&gt;"",$E317&lt;=N$2,$F317&gt;=N$2),1,0)</f>
        <v/>
      </c>
      <c r="O317">
        <f>O316+IF(AND($E317&lt;&gt;"",$E317&lt;=O$2,$F317&gt;=O$2),1,0)</f>
        <v/>
      </c>
      <c r="P317">
        <f>P316+IF(AND($E317&lt;&gt;"",$E317&lt;=P$2,$F317&gt;=P$2),1,0)</f>
        <v/>
      </c>
      <c r="Q317">
        <f>Q316+IF(AND($E317&lt;&gt;"",$E317&lt;=Q$2,$F317&gt;=Q$2),1,0)</f>
        <v/>
      </c>
      <c r="R317">
        <f>R316+IF(AND($E317&lt;&gt;"",$E317&lt;=R$2,$F317&gt;=R$2),1,0)</f>
        <v/>
      </c>
      <c r="S317">
        <f>S316+IF(AND($E317&lt;&gt;"",$E317&lt;=S$2,$F317&gt;=S$2),1,0)</f>
        <v/>
      </c>
      <c r="T317">
        <f>T316+IF(AND($E317&lt;&gt;"",$E317&lt;=T$2,$F317&gt;=T$2),1,0)</f>
        <v/>
      </c>
      <c r="U317">
        <f>U316+IF(AND($E317&lt;&gt;"",$E317&lt;=U$2,$F317&gt;=U$2),1,0)</f>
        <v/>
      </c>
      <c r="V317">
        <f>V316+IF(AND($E317&lt;&gt;"",$E317&lt;=V$2,$F317&gt;=V$2),1,0)</f>
        <v/>
      </c>
      <c r="W317">
        <f>W316+IF(AND($E317&lt;&gt;"",$E317&lt;=W$2,$F317&gt;=W$2),1,0)</f>
        <v/>
      </c>
      <c r="X317">
        <f>X316+IF(AND($E317&lt;&gt;"",$E317&lt;=X$2,$F317&gt;=X$2),1,0)</f>
        <v/>
      </c>
      <c r="Y317">
        <f>Y316+IF(AND($E317&lt;&gt;"",$E317&lt;=Y$2,$F317&gt;=Y$2),1,0)</f>
        <v/>
      </c>
      <c r="Z317">
        <f>Z316+IF(AND($E317&lt;&gt;"",$E317&lt;=Z$2,$F317&gt;=Z$2),1,0)</f>
        <v/>
      </c>
      <c r="AA317">
        <f>AA316+IF(AND($E317&lt;&gt;"",$E317&lt;=AA$2,$F317&gt;=AA$2),1,0)</f>
        <v/>
      </c>
      <c r="AB317">
        <f>AB316+IF(AND($E317&lt;&gt;"",$E317&lt;=AB$2,$F317&gt;=AB$2),1,0)</f>
        <v/>
      </c>
      <c r="AC317">
        <f>AC316+IF(AND($E317&lt;&gt;"",$E317&lt;=AC$2,$F317&gt;=AC$2),1,0)</f>
        <v/>
      </c>
      <c r="AD317">
        <f>AD316+IF(AND($E317&lt;&gt;"",$E317&lt;=AD$2,$F317&gt;=AD$2),1,0)</f>
        <v/>
      </c>
      <c r="AE317">
        <f>AE316+IF(AND($E317&lt;&gt;"",$E317&lt;=AE$2,$F317&gt;=AE$2),1,0)</f>
        <v/>
      </c>
      <c r="AF317">
        <f>AF316+IF(AND($E317&lt;&gt;"",$E317&lt;=AF$2,$F317&gt;=AF$2),1,0)</f>
        <v/>
      </c>
      <c r="AG317">
        <f>AG316+IF(AND($E317&lt;&gt;"",$E317&lt;=AG$2,$F317&gt;=AG$2),1,0)</f>
        <v/>
      </c>
      <c r="AH317">
        <f>AH316+IF(AND($E317&lt;&gt;"",$E317&lt;=AH$2,$F317&gt;=AH$2),1,0)</f>
        <v/>
      </c>
      <c r="AI317">
        <f>AI316+IF(AND($E317&lt;&gt;"",$E317&lt;=AI$2,$F317&gt;=AI$2),1,0)</f>
        <v/>
      </c>
      <c r="AJ317">
        <f>AJ316+IF(AND($E317&lt;&gt;"",$E317&lt;=AJ$2,$F317&gt;=AJ$2),1,0)</f>
        <v/>
      </c>
      <c r="AK317">
        <f>AK316+IF(AND($E317&lt;&gt;"",$E317&lt;=AK$2,$F317&gt;=AK$2),1,0)</f>
        <v/>
      </c>
      <c r="AL317">
        <f>AL316+IF(AND($E317&lt;&gt;"",$E317&lt;=AL$2,$F317&gt;=AL$2),1,0)</f>
        <v/>
      </c>
      <c r="AM317">
        <f>AM316+IF(AND($E317&lt;&gt;"",$E317&lt;=AM$2,$F317&gt;=AM$2),1,0)</f>
        <v/>
      </c>
      <c r="AN317">
        <f>AN316+IF(AND($E317&lt;&gt;"",$E317&lt;=AN$2,$F317&gt;=AN$2),1,0)</f>
        <v/>
      </c>
      <c r="AO317">
        <f>AO316+IF(AND($E317&lt;&gt;"",$E317&lt;=AO$2,$F317&gt;=AO$2),1,0)</f>
        <v/>
      </c>
      <c r="AP317">
        <f>AP316+IF(AND($E317&lt;&gt;"",$E317&lt;=AP$2,$F317&gt;=AP$2),1,0)</f>
        <v/>
      </c>
      <c r="AQ317">
        <f>AQ316+IF(AND($E317&lt;&gt;"",$E317&lt;=AQ$2,$F317&gt;=AQ$2),1,0)</f>
        <v/>
      </c>
      <c r="AR317">
        <f>AR316+IF(AND($E317&lt;&gt;"",$E317&lt;=AR$2,$F317&gt;=AR$2),1,0)</f>
        <v/>
      </c>
      <c r="AS317">
        <f>AS316+IF(AND($E317&lt;&gt;"",$E317&lt;=AS$2,$F317&gt;=AS$2),1,0)</f>
        <v/>
      </c>
      <c r="AT317">
        <f>AT316+IF(AND($E317&lt;&gt;"",$E317&lt;=AT$2,$F317&gt;=AT$2),1,0)</f>
        <v/>
      </c>
      <c r="AU317">
        <f>AU316+IF(AND($E317&lt;&gt;"",$E317&lt;=AU$2,$F317&gt;=AU$2),1,0)</f>
        <v/>
      </c>
      <c r="AV317">
        <f>AV316+IF(AND($E317&lt;&gt;"",$E317&lt;=AV$2,$F317&gt;=AV$2),1,0)</f>
        <v/>
      </c>
      <c r="AW317">
        <f>AW316+IF(AND($E317&lt;&gt;"",$E317&lt;=AW$2,$F317&gt;=AW$2),1,0)</f>
        <v/>
      </c>
    </row>
    <row r="318">
      <c r="A318">
        <f>IF(AND(ISNUMBER(Events!$A320),ISNUMBER(Events!$B320)),MAX(0,Events!$B320-Events!$A320),0)</f>
        <v/>
      </c>
      <c r="B318">
        <f>IF(ISNUMBER(Events!$A320),DATE(YEAR($B$1)-1,MONTH(Events!$A320),DAY(Events!$A320)),"")</f>
        <v/>
      </c>
      <c r="C318">
        <f>IF(ISNUMBER(Events!$A320),DATE(YEAR($B$1),MONTH(Events!$A320),DAY(Events!$A320)),"")</f>
        <v/>
      </c>
      <c r="D318">
        <f>IF(ISNUMBER(Events!$A320),DATE(YEAR($B$2),MONTH(Events!$A320),DAY(Events!$A320)),"")</f>
        <v/>
      </c>
      <c r="E318">
        <f>IF(OR(NOT(ISNUMBER(Events!$A320)),Events!$G320="No",Calendar!$H$4="None"),"",IF(OR(Calendar!$H$4="All events",Events!$D320=Calendar!$H$4),IF(Events!$E320="Yes",IF(AND(B318&gt;=Events!$A320,B318&lt;=$B$2,B318+$A318&gt;=$B$1),B318,IF(AND(C318&gt;=Events!$A320,C318&lt;=$B$2,C318+$A318&gt;=$B$1),C318,IF(AND(D318&gt;=Events!$A320,D318&lt;=$B$2,D318+$A318&gt;=$B$1),D318,""))),IF(AND(Events!$A320&lt;=$B$2,Events!$A320+$A318&gt;=$B$1),Events!$A320,"")),""))</f>
        <v/>
      </c>
      <c r="F318">
        <f>IF(E318="","",E318+A318)</f>
        <v/>
      </c>
      <c r="G318">
        <f>IF(E318="","",IF(AND(E318&lt;=EOMONTH(Calendar!$K$2,0),F318&gt;=Calendar!$K$2),E318+315/100000,""))</f>
        <v/>
      </c>
      <c r="H318">
        <f>H317+IF(AND($E318&lt;&gt;"",$E318&lt;=H$2,$F318&gt;=H$2),1,0)</f>
        <v/>
      </c>
      <c r="I318">
        <f>I317+IF(AND($E318&lt;&gt;"",$E318&lt;=I$2,$F318&gt;=I$2),1,0)</f>
        <v/>
      </c>
      <c r="J318">
        <f>J317+IF(AND($E318&lt;&gt;"",$E318&lt;=J$2,$F318&gt;=J$2),1,0)</f>
        <v/>
      </c>
      <c r="K318">
        <f>K317+IF(AND($E318&lt;&gt;"",$E318&lt;=K$2,$F318&gt;=K$2),1,0)</f>
        <v/>
      </c>
      <c r="L318">
        <f>L317+IF(AND($E318&lt;&gt;"",$E318&lt;=L$2,$F318&gt;=L$2),1,0)</f>
        <v/>
      </c>
      <c r="M318">
        <f>M317+IF(AND($E318&lt;&gt;"",$E318&lt;=M$2,$F318&gt;=M$2),1,0)</f>
        <v/>
      </c>
      <c r="N318">
        <f>N317+IF(AND($E318&lt;&gt;"",$E318&lt;=N$2,$F318&gt;=N$2),1,0)</f>
        <v/>
      </c>
      <c r="O318">
        <f>O317+IF(AND($E318&lt;&gt;"",$E318&lt;=O$2,$F318&gt;=O$2),1,0)</f>
        <v/>
      </c>
      <c r="P318">
        <f>P317+IF(AND($E318&lt;&gt;"",$E318&lt;=P$2,$F318&gt;=P$2),1,0)</f>
        <v/>
      </c>
      <c r="Q318">
        <f>Q317+IF(AND($E318&lt;&gt;"",$E318&lt;=Q$2,$F318&gt;=Q$2),1,0)</f>
        <v/>
      </c>
      <c r="R318">
        <f>R317+IF(AND($E318&lt;&gt;"",$E318&lt;=R$2,$F318&gt;=R$2),1,0)</f>
        <v/>
      </c>
      <c r="S318">
        <f>S317+IF(AND($E318&lt;&gt;"",$E318&lt;=S$2,$F318&gt;=S$2),1,0)</f>
        <v/>
      </c>
      <c r="T318">
        <f>T317+IF(AND($E318&lt;&gt;"",$E318&lt;=T$2,$F318&gt;=T$2),1,0)</f>
        <v/>
      </c>
      <c r="U318">
        <f>U317+IF(AND($E318&lt;&gt;"",$E318&lt;=U$2,$F318&gt;=U$2),1,0)</f>
        <v/>
      </c>
      <c r="V318">
        <f>V317+IF(AND($E318&lt;&gt;"",$E318&lt;=V$2,$F318&gt;=V$2),1,0)</f>
        <v/>
      </c>
      <c r="W318">
        <f>W317+IF(AND($E318&lt;&gt;"",$E318&lt;=W$2,$F318&gt;=W$2),1,0)</f>
        <v/>
      </c>
      <c r="X318">
        <f>X317+IF(AND($E318&lt;&gt;"",$E318&lt;=X$2,$F318&gt;=X$2),1,0)</f>
        <v/>
      </c>
      <c r="Y318">
        <f>Y317+IF(AND($E318&lt;&gt;"",$E318&lt;=Y$2,$F318&gt;=Y$2),1,0)</f>
        <v/>
      </c>
      <c r="Z318">
        <f>Z317+IF(AND($E318&lt;&gt;"",$E318&lt;=Z$2,$F318&gt;=Z$2),1,0)</f>
        <v/>
      </c>
      <c r="AA318">
        <f>AA317+IF(AND($E318&lt;&gt;"",$E318&lt;=AA$2,$F318&gt;=AA$2),1,0)</f>
        <v/>
      </c>
      <c r="AB318">
        <f>AB317+IF(AND($E318&lt;&gt;"",$E318&lt;=AB$2,$F318&gt;=AB$2),1,0)</f>
        <v/>
      </c>
      <c r="AC318">
        <f>AC317+IF(AND($E318&lt;&gt;"",$E318&lt;=AC$2,$F318&gt;=AC$2),1,0)</f>
        <v/>
      </c>
      <c r="AD318">
        <f>AD317+IF(AND($E318&lt;&gt;"",$E318&lt;=AD$2,$F318&gt;=AD$2),1,0)</f>
        <v/>
      </c>
      <c r="AE318">
        <f>AE317+IF(AND($E318&lt;&gt;"",$E318&lt;=AE$2,$F318&gt;=AE$2),1,0)</f>
        <v/>
      </c>
      <c r="AF318">
        <f>AF317+IF(AND($E318&lt;&gt;"",$E318&lt;=AF$2,$F318&gt;=AF$2),1,0)</f>
        <v/>
      </c>
      <c r="AG318">
        <f>AG317+IF(AND($E318&lt;&gt;"",$E318&lt;=AG$2,$F318&gt;=AG$2),1,0)</f>
        <v/>
      </c>
      <c r="AH318">
        <f>AH317+IF(AND($E318&lt;&gt;"",$E318&lt;=AH$2,$F318&gt;=AH$2),1,0)</f>
        <v/>
      </c>
      <c r="AI318">
        <f>AI317+IF(AND($E318&lt;&gt;"",$E318&lt;=AI$2,$F318&gt;=AI$2),1,0)</f>
        <v/>
      </c>
      <c r="AJ318">
        <f>AJ317+IF(AND($E318&lt;&gt;"",$E318&lt;=AJ$2,$F318&gt;=AJ$2),1,0)</f>
        <v/>
      </c>
      <c r="AK318">
        <f>AK317+IF(AND($E318&lt;&gt;"",$E318&lt;=AK$2,$F318&gt;=AK$2),1,0)</f>
        <v/>
      </c>
      <c r="AL318">
        <f>AL317+IF(AND($E318&lt;&gt;"",$E318&lt;=AL$2,$F318&gt;=AL$2),1,0)</f>
        <v/>
      </c>
      <c r="AM318">
        <f>AM317+IF(AND($E318&lt;&gt;"",$E318&lt;=AM$2,$F318&gt;=AM$2),1,0)</f>
        <v/>
      </c>
      <c r="AN318">
        <f>AN317+IF(AND($E318&lt;&gt;"",$E318&lt;=AN$2,$F318&gt;=AN$2),1,0)</f>
        <v/>
      </c>
      <c r="AO318">
        <f>AO317+IF(AND($E318&lt;&gt;"",$E318&lt;=AO$2,$F318&gt;=AO$2),1,0)</f>
        <v/>
      </c>
      <c r="AP318">
        <f>AP317+IF(AND($E318&lt;&gt;"",$E318&lt;=AP$2,$F318&gt;=AP$2),1,0)</f>
        <v/>
      </c>
      <c r="AQ318">
        <f>AQ317+IF(AND($E318&lt;&gt;"",$E318&lt;=AQ$2,$F318&gt;=AQ$2),1,0)</f>
        <v/>
      </c>
      <c r="AR318">
        <f>AR317+IF(AND($E318&lt;&gt;"",$E318&lt;=AR$2,$F318&gt;=AR$2),1,0)</f>
        <v/>
      </c>
      <c r="AS318">
        <f>AS317+IF(AND($E318&lt;&gt;"",$E318&lt;=AS$2,$F318&gt;=AS$2),1,0)</f>
        <v/>
      </c>
      <c r="AT318">
        <f>AT317+IF(AND($E318&lt;&gt;"",$E318&lt;=AT$2,$F318&gt;=AT$2),1,0)</f>
        <v/>
      </c>
      <c r="AU318">
        <f>AU317+IF(AND($E318&lt;&gt;"",$E318&lt;=AU$2,$F318&gt;=AU$2),1,0)</f>
        <v/>
      </c>
      <c r="AV318">
        <f>AV317+IF(AND($E318&lt;&gt;"",$E318&lt;=AV$2,$F318&gt;=AV$2),1,0)</f>
        <v/>
      </c>
      <c r="AW318">
        <f>AW317+IF(AND($E318&lt;&gt;"",$E318&lt;=AW$2,$F318&gt;=AW$2),1,0)</f>
        <v/>
      </c>
    </row>
    <row r="319">
      <c r="A319">
        <f>IF(AND(ISNUMBER(Events!$A321),ISNUMBER(Events!$B321)),MAX(0,Events!$B321-Events!$A321),0)</f>
        <v/>
      </c>
      <c r="B319">
        <f>IF(ISNUMBER(Events!$A321),DATE(YEAR($B$1)-1,MONTH(Events!$A321),DAY(Events!$A321)),"")</f>
        <v/>
      </c>
      <c r="C319">
        <f>IF(ISNUMBER(Events!$A321),DATE(YEAR($B$1),MONTH(Events!$A321),DAY(Events!$A321)),"")</f>
        <v/>
      </c>
      <c r="D319">
        <f>IF(ISNUMBER(Events!$A321),DATE(YEAR($B$2),MONTH(Events!$A321),DAY(Events!$A321)),"")</f>
        <v/>
      </c>
      <c r="E319">
        <f>IF(OR(NOT(ISNUMBER(Events!$A321)),Events!$G321="No",Calendar!$H$4="None"),"",IF(OR(Calendar!$H$4="All events",Events!$D321=Calendar!$H$4),IF(Events!$E321="Yes",IF(AND(B319&gt;=Events!$A321,B319&lt;=$B$2,B319+$A319&gt;=$B$1),B319,IF(AND(C319&gt;=Events!$A321,C319&lt;=$B$2,C319+$A319&gt;=$B$1),C319,IF(AND(D319&gt;=Events!$A321,D319&lt;=$B$2,D319+$A319&gt;=$B$1),D319,""))),IF(AND(Events!$A321&lt;=$B$2,Events!$A321+$A319&gt;=$B$1),Events!$A321,"")),""))</f>
        <v/>
      </c>
      <c r="F319">
        <f>IF(E319="","",E319+A319)</f>
        <v/>
      </c>
      <c r="G319">
        <f>IF(E319="","",IF(AND(E319&lt;=EOMONTH(Calendar!$K$2,0),F319&gt;=Calendar!$K$2),E319+316/100000,""))</f>
        <v/>
      </c>
      <c r="H319">
        <f>H318+IF(AND($E319&lt;&gt;"",$E319&lt;=H$2,$F319&gt;=H$2),1,0)</f>
        <v/>
      </c>
      <c r="I319">
        <f>I318+IF(AND($E319&lt;&gt;"",$E319&lt;=I$2,$F319&gt;=I$2),1,0)</f>
        <v/>
      </c>
      <c r="J319">
        <f>J318+IF(AND($E319&lt;&gt;"",$E319&lt;=J$2,$F319&gt;=J$2),1,0)</f>
        <v/>
      </c>
      <c r="K319">
        <f>K318+IF(AND($E319&lt;&gt;"",$E319&lt;=K$2,$F319&gt;=K$2),1,0)</f>
        <v/>
      </c>
      <c r="L319">
        <f>L318+IF(AND($E319&lt;&gt;"",$E319&lt;=L$2,$F319&gt;=L$2),1,0)</f>
        <v/>
      </c>
      <c r="M319">
        <f>M318+IF(AND($E319&lt;&gt;"",$E319&lt;=M$2,$F319&gt;=M$2),1,0)</f>
        <v/>
      </c>
      <c r="N319">
        <f>N318+IF(AND($E319&lt;&gt;"",$E319&lt;=N$2,$F319&gt;=N$2),1,0)</f>
        <v/>
      </c>
      <c r="O319">
        <f>O318+IF(AND($E319&lt;&gt;"",$E319&lt;=O$2,$F319&gt;=O$2),1,0)</f>
        <v/>
      </c>
      <c r="P319">
        <f>P318+IF(AND($E319&lt;&gt;"",$E319&lt;=P$2,$F319&gt;=P$2),1,0)</f>
        <v/>
      </c>
      <c r="Q319">
        <f>Q318+IF(AND($E319&lt;&gt;"",$E319&lt;=Q$2,$F319&gt;=Q$2),1,0)</f>
        <v/>
      </c>
      <c r="R319">
        <f>R318+IF(AND($E319&lt;&gt;"",$E319&lt;=R$2,$F319&gt;=R$2),1,0)</f>
        <v/>
      </c>
      <c r="S319">
        <f>S318+IF(AND($E319&lt;&gt;"",$E319&lt;=S$2,$F319&gt;=S$2),1,0)</f>
        <v/>
      </c>
      <c r="T319">
        <f>T318+IF(AND($E319&lt;&gt;"",$E319&lt;=T$2,$F319&gt;=T$2),1,0)</f>
        <v/>
      </c>
      <c r="U319">
        <f>U318+IF(AND($E319&lt;&gt;"",$E319&lt;=U$2,$F319&gt;=U$2),1,0)</f>
        <v/>
      </c>
      <c r="V319">
        <f>V318+IF(AND($E319&lt;&gt;"",$E319&lt;=V$2,$F319&gt;=V$2),1,0)</f>
        <v/>
      </c>
      <c r="W319">
        <f>W318+IF(AND($E319&lt;&gt;"",$E319&lt;=W$2,$F319&gt;=W$2),1,0)</f>
        <v/>
      </c>
      <c r="X319">
        <f>X318+IF(AND($E319&lt;&gt;"",$E319&lt;=X$2,$F319&gt;=X$2),1,0)</f>
        <v/>
      </c>
      <c r="Y319">
        <f>Y318+IF(AND($E319&lt;&gt;"",$E319&lt;=Y$2,$F319&gt;=Y$2),1,0)</f>
        <v/>
      </c>
      <c r="Z319">
        <f>Z318+IF(AND($E319&lt;&gt;"",$E319&lt;=Z$2,$F319&gt;=Z$2),1,0)</f>
        <v/>
      </c>
      <c r="AA319">
        <f>AA318+IF(AND($E319&lt;&gt;"",$E319&lt;=AA$2,$F319&gt;=AA$2),1,0)</f>
        <v/>
      </c>
      <c r="AB319">
        <f>AB318+IF(AND($E319&lt;&gt;"",$E319&lt;=AB$2,$F319&gt;=AB$2),1,0)</f>
        <v/>
      </c>
      <c r="AC319">
        <f>AC318+IF(AND($E319&lt;&gt;"",$E319&lt;=AC$2,$F319&gt;=AC$2),1,0)</f>
        <v/>
      </c>
      <c r="AD319">
        <f>AD318+IF(AND($E319&lt;&gt;"",$E319&lt;=AD$2,$F319&gt;=AD$2),1,0)</f>
        <v/>
      </c>
      <c r="AE319">
        <f>AE318+IF(AND($E319&lt;&gt;"",$E319&lt;=AE$2,$F319&gt;=AE$2),1,0)</f>
        <v/>
      </c>
      <c r="AF319">
        <f>AF318+IF(AND($E319&lt;&gt;"",$E319&lt;=AF$2,$F319&gt;=AF$2),1,0)</f>
        <v/>
      </c>
      <c r="AG319">
        <f>AG318+IF(AND($E319&lt;&gt;"",$E319&lt;=AG$2,$F319&gt;=AG$2),1,0)</f>
        <v/>
      </c>
      <c r="AH319">
        <f>AH318+IF(AND($E319&lt;&gt;"",$E319&lt;=AH$2,$F319&gt;=AH$2),1,0)</f>
        <v/>
      </c>
      <c r="AI319">
        <f>AI318+IF(AND($E319&lt;&gt;"",$E319&lt;=AI$2,$F319&gt;=AI$2),1,0)</f>
        <v/>
      </c>
      <c r="AJ319">
        <f>AJ318+IF(AND($E319&lt;&gt;"",$E319&lt;=AJ$2,$F319&gt;=AJ$2),1,0)</f>
        <v/>
      </c>
      <c r="AK319">
        <f>AK318+IF(AND($E319&lt;&gt;"",$E319&lt;=AK$2,$F319&gt;=AK$2),1,0)</f>
        <v/>
      </c>
      <c r="AL319">
        <f>AL318+IF(AND($E319&lt;&gt;"",$E319&lt;=AL$2,$F319&gt;=AL$2),1,0)</f>
        <v/>
      </c>
      <c r="AM319">
        <f>AM318+IF(AND($E319&lt;&gt;"",$E319&lt;=AM$2,$F319&gt;=AM$2),1,0)</f>
        <v/>
      </c>
      <c r="AN319">
        <f>AN318+IF(AND($E319&lt;&gt;"",$E319&lt;=AN$2,$F319&gt;=AN$2),1,0)</f>
        <v/>
      </c>
      <c r="AO319">
        <f>AO318+IF(AND($E319&lt;&gt;"",$E319&lt;=AO$2,$F319&gt;=AO$2),1,0)</f>
        <v/>
      </c>
      <c r="AP319">
        <f>AP318+IF(AND($E319&lt;&gt;"",$E319&lt;=AP$2,$F319&gt;=AP$2),1,0)</f>
        <v/>
      </c>
      <c r="AQ319">
        <f>AQ318+IF(AND($E319&lt;&gt;"",$E319&lt;=AQ$2,$F319&gt;=AQ$2),1,0)</f>
        <v/>
      </c>
      <c r="AR319">
        <f>AR318+IF(AND($E319&lt;&gt;"",$E319&lt;=AR$2,$F319&gt;=AR$2),1,0)</f>
        <v/>
      </c>
      <c r="AS319">
        <f>AS318+IF(AND($E319&lt;&gt;"",$E319&lt;=AS$2,$F319&gt;=AS$2),1,0)</f>
        <v/>
      </c>
      <c r="AT319">
        <f>AT318+IF(AND($E319&lt;&gt;"",$E319&lt;=AT$2,$F319&gt;=AT$2),1,0)</f>
        <v/>
      </c>
      <c r="AU319">
        <f>AU318+IF(AND($E319&lt;&gt;"",$E319&lt;=AU$2,$F319&gt;=AU$2),1,0)</f>
        <v/>
      </c>
      <c r="AV319">
        <f>AV318+IF(AND($E319&lt;&gt;"",$E319&lt;=AV$2,$F319&gt;=AV$2),1,0)</f>
        <v/>
      </c>
      <c r="AW319">
        <f>AW318+IF(AND($E319&lt;&gt;"",$E319&lt;=AW$2,$F319&gt;=AW$2),1,0)</f>
        <v/>
      </c>
    </row>
    <row r="320">
      <c r="A320">
        <f>IF(AND(ISNUMBER(Events!$A322),ISNUMBER(Events!$B322)),MAX(0,Events!$B322-Events!$A322),0)</f>
        <v/>
      </c>
      <c r="B320">
        <f>IF(ISNUMBER(Events!$A322),DATE(YEAR($B$1)-1,MONTH(Events!$A322),DAY(Events!$A322)),"")</f>
        <v/>
      </c>
      <c r="C320">
        <f>IF(ISNUMBER(Events!$A322),DATE(YEAR($B$1),MONTH(Events!$A322),DAY(Events!$A322)),"")</f>
        <v/>
      </c>
      <c r="D320">
        <f>IF(ISNUMBER(Events!$A322),DATE(YEAR($B$2),MONTH(Events!$A322),DAY(Events!$A322)),"")</f>
        <v/>
      </c>
      <c r="E320">
        <f>IF(OR(NOT(ISNUMBER(Events!$A322)),Events!$G322="No",Calendar!$H$4="None"),"",IF(OR(Calendar!$H$4="All events",Events!$D322=Calendar!$H$4),IF(Events!$E322="Yes",IF(AND(B320&gt;=Events!$A322,B320&lt;=$B$2,B320+$A320&gt;=$B$1),B320,IF(AND(C320&gt;=Events!$A322,C320&lt;=$B$2,C320+$A320&gt;=$B$1),C320,IF(AND(D320&gt;=Events!$A322,D320&lt;=$B$2,D320+$A320&gt;=$B$1),D320,""))),IF(AND(Events!$A322&lt;=$B$2,Events!$A322+$A320&gt;=$B$1),Events!$A322,"")),""))</f>
        <v/>
      </c>
      <c r="F320">
        <f>IF(E320="","",E320+A320)</f>
        <v/>
      </c>
      <c r="G320">
        <f>IF(E320="","",IF(AND(E320&lt;=EOMONTH(Calendar!$K$2,0),F320&gt;=Calendar!$K$2),E320+317/100000,""))</f>
        <v/>
      </c>
      <c r="H320">
        <f>H319+IF(AND($E320&lt;&gt;"",$E320&lt;=H$2,$F320&gt;=H$2),1,0)</f>
        <v/>
      </c>
      <c r="I320">
        <f>I319+IF(AND($E320&lt;&gt;"",$E320&lt;=I$2,$F320&gt;=I$2),1,0)</f>
        <v/>
      </c>
      <c r="J320">
        <f>J319+IF(AND($E320&lt;&gt;"",$E320&lt;=J$2,$F320&gt;=J$2),1,0)</f>
        <v/>
      </c>
      <c r="K320">
        <f>K319+IF(AND($E320&lt;&gt;"",$E320&lt;=K$2,$F320&gt;=K$2),1,0)</f>
        <v/>
      </c>
      <c r="L320">
        <f>L319+IF(AND($E320&lt;&gt;"",$E320&lt;=L$2,$F320&gt;=L$2),1,0)</f>
        <v/>
      </c>
      <c r="M320">
        <f>M319+IF(AND($E320&lt;&gt;"",$E320&lt;=M$2,$F320&gt;=M$2),1,0)</f>
        <v/>
      </c>
      <c r="N320">
        <f>N319+IF(AND($E320&lt;&gt;"",$E320&lt;=N$2,$F320&gt;=N$2),1,0)</f>
        <v/>
      </c>
      <c r="O320">
        <f>O319+IF(AND($E320&lt;&gt;"",$E320&lt;=O$2,$F320&gt;=O$2),1,0)</f>
        <v/>
      </c>
      <c r="P320">
        <f>P319+IF(AND($E320&lt;&gt;"",$E320&lt;=P$2,$F320&gt;=P$2),1,0)</f>
        <v/>
      </c>
      <c r="Q320">
        <f>Q319+IF(AND($E320&lt;&gt;"",$E320&lt;=Q$2,$F320&gt;=Q$2),1,0)</f>
        <v/>
      </c>
      <c r="R320">
        <f>R319+IF(AND($E320&lt;&gt;"",$E320&lt;=R$2,$F320&gt;=R$2),1,0)</f>
        <v/>
      </c>
      <c r="S320">
        <f>S319+IF(AND($E320&lt;&gt;"",$E320&lt;=S$2,$F320&gt;=S$2),1,0)</f>
        <v/>
      </c>
      <c r="T320">
        <f>T319+IF(AND($E320&lt;&gt;"",$E320&lt;=T$2,$F320&gt;=T$2),1,0)</f>
        <v/>
      </c>
      <c r="U320">
        <f>U319+IF(AND($E320&lt;&gt;"",$E320&lt;=U$2,$F320&gt;=U$2),1,0)</f>
        <v/>
      </c>
      <c r="V320">
        <f>V319+IF(AND($E320&lt;&gt;"",$E320&lt;=V$2,$F320&gt;=V$2),1,0)</f>
        <v/>
      </c>
      <c r="W320">
        <f>W319+IF(AND($E320&lt;&gt;"",$E320&lt;=W$2,$F320&gt;=W$2),1,0)</f>
        <v/>
      </c>
      <c r="X320">
        <f>X319+IF(AND($E320&lt;&gt;"",$E320&lt;=X$2,$F320&gt;=X$2),1,0)</f>
        <v/>
      </c>
      <c r="Y320">
        <f>Y319+IF(AND($E320&lt;&gt;"",$E320&lt;=Y$2,$F320&gt;=Y$2),1,0)</f>
        <v/>
      </c>
      <c r="Z320">
        <f>Z319+IF(AND($E320&lt;&gt;"",$E320&lt;=Z$2,$F320&gt;=Z$2),1,0)</f>
        <v/>
      </c>
      <c r="AA320">
        <f>AA319+IF(AND($E320&lt;&gt;"",$E320&lt;=AA$2,$F320&gt;=AA$2),1,0)</f>
        <v/>
      </c>
      <c r="AB320">
        <f>AB319+IF(AND($E320&lt;&gt;"",$E320&lt;=AB$2,$F320&gt;=AB$2),1,0)</f>
        <v/>
      </c>
      <c r="AC320">
        <f>AC319+IF(AND($E320&lt;&gt;"",$E320&lt;=AC$2,$F320&gt;=AC$2),1,0)</f>
        <v/>
      </c>
      <c r="AD320">
        <f>AD319+IF(AND($E320&lt;&gt;"",$E320&lt;=AD$2,$F320&gt;=AD$2),1,0)</f>
        <v/>
      </c>
      <c r="AE320">
        <f>AE319+IF(AND($E320&lt;&gt;"",$E320&lt;=AE$2,$F320&gt;=AE$2),1,0)</f>
        <v/>
      </c>
      <c r="AF320">
        <f>AF319+IF(AND($E320&lt;&gt;"",$E320&lt;=AF$2,$F320&gt;=AF$2),1,0)</f>
        <v/>
      </c>
      <c r="AG320">
        <f>AG319+IF(AND($E320&lt;&gt;"",$E320&lt;=AG$2,$F320&gt;=AG$2),1,0)</f>
        <v/>
      </c>
      <c r="AH320">
        <f>AH319+IF(AND($E320&lt;&gt;"",$E320&lt;=AH$2,$F320&gt;=AH$2),1,0)</f>
        <v/>
      </c>
      <c r="AI320">
        <f>AI319+IF(AND($E320&lt;&gt;"",$E320&lt;=AI$2,$F320&gt;=AI$2),1,0)</f>
        <v/>
      </c>
      <c r="AJ320">
        <f>AJ319+IF(AND($E320&lt;&gt;"",$E320&lt;=AJ$2,$F320&gt;=AJ$2),1,0)</f>
        <v/>
      </c>
      <c r="AK320">
        <f>AK319+IF(AND($E320&lt;&gt;"",$E320&lt;=AK$2,$F320&gt;=AK$2),1,0)</f>
        <v/>
      </c>
      <c r="AL320">
        <f>AL319+IF(AND($E320&lt;&gt;"",$E320&lt;=AL$2,$F320&gt;=AL$2),1,0)</f>
        <v/>
      </c>
      <c r="AM320">
        <f>AM319+IF(AND($E320&lt;&gt;"",$E320&lt;=AM$2,$F320&gt;=AM$2),1,0)</f>
        <v/>
      </c>
      <c r="AN320">
        <f>AN319+IF(AND($E320&lt;&gt;"",$E320&lt;=AN$2,$F320&gt;=AN$2),1,0)</f>
        <v/>
      </c>
      <c r="AO320">
        <f>AO319+IF(AND($E320&lt;&gt;"",$E320&lt;=AO$2,$F320&gt;=AO$2),1,0)</f>
        <v/>
      </c>
      <c r="AP320">
        <f>AP319+IF(AND($E320&lt;&gt;"",$E320&lt;=AP$2,$F320&gt;=AP$2),1,0)</f>
        <v/>
      </c>
      <c r="AQ320">
        <f>AQ319+IF(AND($E320&lt;&gt;"",$E320&lt;=AQ$2,$F320&gt;=AQ$2),1,0)</f>
        <v/>
      </c>
      <c r="AR320">
        <f>AR319+IF(AND($E320&lt;&gt;"",$E320&lt;=AR$2,$F320&gt;=AR$2),1,0)</f>
        <v/>
      </c>
      <c r="AS320">
        <f>AS319+IF(AND($E320&lt;&gt;"",$E320&lt;=AS$2,$F320&gt;=AS$2),1,0)</f>
        <v/>
      </c>
      <c r="AT320">
        <f>AT319+IF(AND($E320&lt;&gt;"",$E320&lt;=AT$2,$F320&gt;=AT$2),1,0)</f>
        <v/>
      </c>
      <c r="AU320">
        <f>AU319+IF(AND($E320&lt;&gt;"",$E320&lt;=AU$2,$F320&gt;=AU$2),1,0)</f>
        <v/>
      </c>
      <c r="AV320">
        <f>AV319+IF(AND($E320&lt;&gt;"",$E320&lt;=AV$2,$F320&gt;=AV$2),1,0)</f>
        <v/>
      </c>
      <c r="AW320">
        <f>AW319+IF(AND($E320&lt;&gt;"",$E320&lt;=AW$2,$F320&gt;=AW$2),1,0)</f>
        <v/>
      </c>
    </row>
    <row r="321">
      <c r="A321">
        <f>IF(AND(ISNUMBER(Events!$A323),ISNUMBER(Events!$B323)),MAX(0,Events!$B323-Events!$A323),0)</f>
        <v/>
      </c>
      <c r="B321">
        <f>IF(ISNUMBER(Events!$A323),DATE(YEAR($B$1)-1,MONTH(Events!$A323),DAY(Events!$A323)),"")</f>
        <v/>
      </c>
      <c r="C321">
        <f>IF(ISNUMBER(Events!$A323),DATE(YEAR($B$1),MONTH(Events!$A323),DAY(Events!$A323)),"")</f>
        <v/>
      </c>
      <c r="D321">
        <f>IF(ISNUMBER(Events!$A323),DATE(YEAR($B$2),MONTH(Events!$A323),DAY(Events!$A323)),"")</f>
        <v/>
      </c>
      <c r="E321">
        <f>IF(OR(NOT(ISNUMBER(Events!$A323)),Events!$G323="No",Calendar!$H$4="None"),"",IF(OR(Calendar!$H$4="All events",Events!$D323=Calendar!$H$4),IF(Events!$E323="Yes",IF(AND(B321&gt;=Events!$A323,B321&lt;=$B$2,B321+$A321&gt;=$B$1),B321,IF(AND(C321&gt;=Events!$A323,C321&lt;=$B$2,C321+$A321&gt;=$B$1),C321,IF(AND(D321&gt;=Events!$A323,D321&lt;=$B$2,D321+$A321&gt;=$B$1),D321,""))),IF(AND(Events!$A323&lt;=$B$2,Events!$A323+$A321&gt;=$B$1),Events!$A323,"")),""))</f>
        <v/>
      </c>
      <c r="F321">
        <f>IF(E321="","",E321+A321)</f>
        <v/>
      </c>
      <c r="G321">
        <f>IF(E321="","",IF(AND(E321&lt;=EOMONTH(Calendar!$K$2,0),F321&gt;=Calendar!$K$2),E321+318/100000,""))</f>
        <v/>
      </c>
      <c r="H321">
        <f>H320+IF(AND($E321&lt;&gt;"",$E321&lt;=H$2,$F321&gt;=H$2),1,0)</f>
        <v/>
      </c>
      <c r="I321">
        <f>I320+IF(AND($E321&lt;&gt;"",$E321&lt;=I$2,$F321&gt;=I$2),1,0)</f>
        <v/>
      </c>
      <c r="J321">
        <f>J320+IF(AND($E321&lt;&gt;"",$E321&lt;=J$2,$F321&gt;=J$2),1,0)</f>
        <v/>
      </c>
      <c r="K321">
        <f>K320+IF(AND($E321&lt;&gt;"",$E321&lt;=K$2,$F321&gt;=K$2),1,0)</f>
        <v/>
      </c>
      <c r="L321">
        <f>L320+IF(AND($E321&lt;&gt;"",$E321&lt;=L$2,$F321&gt;=L$2),1,0)</f>
        <v/>
      </c>
      <c r="M321">
        <f>M320+IF(AND($E321&lt;&gt;"",$E321&lt;=M$2,$F321&gt;=M$2),1,0)</f>
        <v/>
      </c>
      <c r="N321">
        <f>N320+IF(AND($E321&lt;&gt;"",$E321&lt;=N$2,$F321&gt;=N$2),1,0)</f>
        <v/>
      </c>
      <c r="O321">
        <f>O320+IF(AND($E321&lt;&gt;"",$E321&lt;=O$2,$F321&gt;=O$2),1,0)</f>
        <v/>
      </c>
      <c r="P321">
        <f>P320+IF(AND($E321&lt;&gt;"",$E321&lt;=P$2,$F321&gt;=P$2),1,0)</f>
        <v/>
      </c>
      <c r="Q321">
        <f>Q320+IF(AND($E321&lt;&gt;"",$E321&lt;=Q$2,$F321&gt;=Q$2),1,0)</f>
        <v/>
      </c>
      <c r="R321">
        <f>R320+IF(AND($E321&lt;&gt;"",$E321&lt;=R$2,$F321&gt;=R$2),1,0)</f>
        <v/>
      </c>
      <c r="S321">
        <f>S320+IF(AND($E321&lt;&gt;"",$E321&lt;=S$2,$F321&gt;=S$2),1,0)</f>
        <v/>
      </c>
      <c r="T321">
        <f>T320+IF(AND($E321&lt;&gt;"",$E321&lt;=T$2,$F321&gt;=T$2),1,0)</f>
        <v/>
      </c>
      <c r="U321">
        <f>U320+IF(AND($E321&lt;&gt;"",$E321&lt;=U$2,$F321&gt;=U$2),1,0)</f>
        <v/>
      </c>
      <c r="V321">
        <f>V320+IF(AND($E321&lt;&gt;"",$E321&lt;=V$2,$F321&gt;=V$2),1,0)</f>
        <v/>
      </c>
      <c r="W321">
        <f>W320+IF(AND($E321&lt;&gt;"",$E321&lt;=W$2,$F321&gt;=W$2),1,0)</f>
        <v/>
      </c>
      <c r="X321">
        <f>X320+IF(AND($E321&lt;&gt;"",$E321&lt;=X$2,$F321&gt;=X$2),1,0)</f>
        <v/>
      </c>
      <c r="Y321">
        <f>Y320+IF(AND($E321&lt;&gt;"",$E321&lt;=Y$2,$F321&gt;=Y$2),1,0)</f>
        <v/>
      </c>
      <c r="Z321">
        <f>Z320+IF(AND($E321&lt;&gt;"",$E321&lt;=Z$2,$F321&gt;=Z$2),1,0)</f>
        <v/>
      </c>
      <c r="AA321">
        <f>AA320+IF(AND($E321&lt;&gt;"",$E321&lt;=AA$2,$F321&gt;=AA$2),1,0)</f>
        <v/>
      </c>
      <c r="AB321">
        <f>AB320+IF(AND($E321&lt;&gt;"",$E321&lt;=AB$2,$F321&gt;=AB$2),1,0)</f>
        <v/>
      </c>
      <c r="AC321">
        <f>AC320+IF(AND($E321&lt;&gt;"",$E321&lt;=AC$2,$F321&gt;=AC$2),1,0)</f>
        <v/>
      </c>
      <c r="AD321">
        <f>AD320+IF(AND($E321&lt;&gt;"",$E321&lt;=AD$2,$F321&gt;=AD$2),1,0)</f>
        <v/>
      </c>
      <c r="AE321">
        <f>AE320+IF(AND($E321&lt;&gt;"",$E321&lt;=AE$2,$F321&gt;=AE$2),1,0)</f>
        <v/>
      </c>
      <c r="AF321">
        <f>AF320+IF(AND($E321&lt;&gt;"",$E321&lt;=AF$2,$F321&gt;=AF$2),1,0)</f>
        <v/>
      </c>
      <c r="AG321">
        <f>AG320+IF(AND($E321&lt;&gt;"",$E321&lt;=AG$2,$F321&gt;=AG$2),1,0)</f>
        <v/>
      </c>
      <c r="AH321">
        <f>AH320+IF(AND($E321&lt;&gt;"",$E321&lt;=AH$2,$F321&gt;=AH$2),1,0)</f>
        <v/>
      </c>
      <c r="AI321">
        <f>AI320+IF(AND($E321&lt;&gt;"",$E321&lt;=AI$2,$F321&gt;=AI$2),1,0)</f>
        <v/>
      </c>
      <c r="AJ321">
        <f>AJ320+IF(AND($E321&lt;&gt;"",$E321&lt;=AJ$2,$F321&gt;=AJ$2),1,0)</f>
        <v/>
      </c>
      <c r="AK321">
        <f>AK320+IF(AND($E321&lt;&gt;"",$E321&lt;=AK$2,$F321&gt;=AK$2),1,0)</f>
        <v/>
      </c>
      <c r="AL321">
        <f>AL320+IF(AND($E321&lt;&gt;"",$E321&lt;=AL$2,$F321&gt;=AL$2),1,0)</f>
        <v/>
      </c>
      <c r="AM321">
        <f>AM320+IF(AND($E321&lt;&gt;"",$E321&lt;=AM$2,$F321&gt;=AM$2),1,0)</f>
        <v/>
      </c>
      <c r="AN321">
        <f>AN320+IF(AND($E321&lt;&gt;"",$E321&lt;=AN$2,$F321&gt;=AN$2),1,0)</f>
        <v/>
      </c>
      <c r="AO321">
        <f>AO320+IF(AND($E321&lt;&gt;"",$E321&lt;=AO$2,$F321&gt;=AO$2),1,0)</f>
        <v/>
      </c>
      <c r="AP321">
        <f>AP320+IF(AND($E321&lt;&gt;"",$E321&lt;=AP$2,$F321&gt;=AP$2),1,0)</f>
        <v/>
      </c>
      <c r="AQ321">
        <f>AQ320+IF(AND($E321&lt;&gt;"",$E321&lt;=AQ$2,$F321&gt;=AQ$2),1,0)</f>
        <v/>
      </c>
      <c r="AR321">
        <f>AR320+IF(AND($E321&lt;&gt;"",$E321&lt;=AR$2,$F321&gt;=AR$2),1,0)</f>
        <v/>
      </c>
      <c r="AS321">
        <f>AS320+IF(AND($E321&lt;&gt;"",$E321&lt;=AS$2,$F321&gt;=AS$2),1,0)</f>
        <v/>
      </c>
      <c r="AT321">
        <f>AT320+IF(AND($E321&lt;&gt;"",$E321&lt;=AT$2,$F321&gt;=AT$2),1,0)</f>
        <v/>
      </c>
      <c r="AU321">
        <f>AU320+IF(AND($E321&lt;&gt;"",$E321&lt;=AU$2,$F321&gt;=AU$2),1,0)</f>
        <v/>
      </c>
      <c r="AV321">
        <f>AV320+IF(AND($E321&lt;&gt;"",$E321&lt;=AV$2,$F321&gt;=AV$2),1,0)</f>
        <v/>
      </c>
      <c r="AW321">
        <f>AW320+IF(AND($E321&lt;&gt;"",$E321&lt;=AW$2,$F321&gt;=AW$2),1,0)</f>
        <v/>
      </c>
    </row>
    <row r="322">
      <c r="A322">
        <f>IF(AND(ISNUMBER(Events!$A324),ISNUMBER(Events!$B324)),MAX(0,Events!$B324-Events!$A324),0)</f>
        <v/>
      </c>
      <c r="B322">
        <f>IF(ISNUMBER(Events!$A324),DATE(YEAR($B$1)-1,MONTH(Events!$A324),DAY(Events!$A324)),"")</f>
        <v/>
      </c>
      <c r="C322">
        <f>IF(ISNUMBER(Events!$A324),DATE(YEAR($B$1),MONTH(Events!$A324),DAY(Events!$A324)),"")</f>
        <v/>
      </c>
      <c r="D322">
        <f>IF(ISNUMBER(Events!$A324),DATE(YEAR($B$2),MONTH(Events!$A324),DAY(Events!$A324)),"")</f>
        <v/>
      </c>
      <c r="E322">
        <f>IF(OR(NOT(ISNUMBER(Events!$A324)),Events!$G324="No",Calendar!$H$4="None"),"",IF(OR(Calendar!$H$4="All events",Events!$D324=Calendar!$H$4),IF(Events!$E324="Yes",IF(AND(B322&gt;=Events!$A324,B322&lt;=$B$2,B322+$A322&gt;=$B$1),B322,IF(AND(C322&gt;=Events!$A324,C322&lt;=$B$2,C322+$A322&gt;=$B$1),C322,IF(AND(D322&gt;=Events!$A324,D322&lt;=$B$2,D322+$A322&gt;=$B$1),D322,""))),IF(AND(Events!$A324&lt;=$B$2,Events!$A324+$A322&gt;=$B$1),Events!$A324,"")),""))</f>
        <v/>
      </c>
      <c r="F322">
        <f>IF(E322="","",E322+A322)</f>
        <v/>
      </c>
      <c r="G322">
        <f>IF(E322="","",IF(AND(E322&lt;=EOMONTH(Calendar!$K$2,0),F322&gt;=Calendar!$K$2),E322+319/100000,""))</f>
        <v/>
      </c>
      <c r="H322">
        <f>H321+IF(AND($E322&lt;&gt;"",$E322&lt;=H$2,$F322&gt;=H$2),1,0)</f>
        <v/>
      </c>
      <c r="I322">
        <f>I321+IF(AND($E322&lt;&gt;"",$E322&lt;=I$2,$F322&gt;=I$2),1,0)</f>
        <v/>
      </c>
      <c r="J322">
        <f>J321+IF(AND($E322&lt;&gt;"",$E322&lt;=J$2,$F322&gt;=J$2),1,0)</f>
        <v/>
      </c>
      <c r="K322">
        <f>K321+IF(AND($E322&lt;&gt;"",$E322&lt;=K$2,$F322&gt;=K$2),1,0)</f>
        <v/>
      </c>
      <c r="L322">
        <f>L321+IF(AND($E322&lt;&gt;"",$E322&lt;=L$2,$F322&gt;=L$2),1,0)</f>
        <v/>
      </c>
      <c r="M322">
        <f>M321+IF(AND($E322&lt;&gt;"",$E322&lt;=M$2,$F322&gt;=M$2),1,0)</f>
        <v/>
      </c>
      <c r="N322">
        <f>N321+IF(AND($E322&lt;&gt;"",$E322&lt;=N$2,$F322&gt;=N$2),1,0)</f>
        <v/>
      </c>
      <c r="O322">
        <f>O321+IF(AND($E322&lt;&gt;"",$E322&lt;=O$2,$F322&gt;=O$2),1,0)</f>
        <v/>
      </c>
      <c r="P322">
        <f>P321+IF(AND($E322&lt;&gt;"",$E322&lt;=P$2,$F322&gt;=P$2),1,0)</f>
        <v/>
      </c>
      <c r="Q322">
        <f>Q321+IF(AND($E322&lt;&gt;"",$E322&lt;=Q$2,$F322&gt;=Q$2),1,0)</f>
        <v/>
      </c>
      <c r="R322">
        <f>R321+IF(AND($E322&lt;&gt;"",$E322&lt;=R$2,$F322&gt;=R$2),1,0)</f>
        <v/>
      </c>
      <c r="S322">
        <f>S321+IF(AND($E322&lt;&gt;"",$E322&lt;=S$2,$F322&gt;=S$2),1,0)</f>
        <v/>
      </c>
      <c r="T322">
        <f>T321+IF(AND($E322&lt;&gt;"",$E322&lt;=T$2,$F322&gt;=T$2),1,0)</f>
        <v/>
      </c>
      <c r="U322">
        <f>U321+IF(AND($E322&lt;&gt;"",$E322&lt;=U$2,$F322&gt;=U$2),1,0)</f>
        <v/>
      </c>
      <c r="V322">
        <f>V321+IF(AND($E322&lt;&gt;"",$E322&lt;=V$2,$F322&gt;=V$2),1,0)</f>
        <v/>
      </c>
      <c r="W322">
        <f>W321+IF(AND($E322&lt;&gt;"",$E322&lt;=W$2,$F322&gt;=W$2),1,0)</f>
        <v/>
      </c>
      <c r="X322">
        <f>X321+IF(AND($E322&lt;&gt;"",$E322&lt;=X$2,$F322&gt;=X$2),1,0)</f>
        <v/>
      </c>
      <c r="Y322">
        <f>Y321+IF(AND($E322&lt;&gt;"",$E322&lt;=Y$2,$F322&gt;=Y$2),1,0)</f>
        <v/>
      </c>
      <c r="Z322">
        <f>Z321+IF(AND($E322&lt;&gt;"",$E322&lt;=Z$2,$F322&gt;=Z$2),1,0)</f>
        <v/>
      </c>
      <c r="AA322">
        <f>AA321+IF(AND($E322&lt;&gt;"",$E322&lt;=AA$2,$F322&gt;=AA$2),1,0)</f>
        <v/>
      </c>
      <c r="AB322">
        <f>AB321+IF(AND($E322&lt;&gt;"",$E322&lt;=AB$2,$F322&gt;=AB$2),1,0)</f>
        <v/>
      </c>
      <c r="AC322">
        <f>AC321+IF(AND($E322&lt;&gt;"",$E322&lt;=AC$2,$F322&gt;=AC$2),1,0)</f>
        <v/>
      </c>
      <c r="AD322">
        <f>AD321+IF(AND($E322&lt;&gt;"",$E322&lt;=AD$2,$F322&gt;=AD$2),1,0)</f>
        <v/>
      </c>
      <c r="AE322">
        <f>AE321+IF(AND($E322&lt;&gt;"",$E322&lt;=AE$2,$F322&gt;=AE$2),1,0)</f>
        <v/>
      </c>
      <c r="AF322">
        <f>AF321+IF(AND($E322&lt;&gt;"",$E322&lt;=AF$2,$F322&gt;=AF$2),1,0)</f>
        <v/>
      </c>
      <c r="AG322">
        <f>AG321+IF(AND($E322&lt;&gt;"",$E322&lt;=AG$2,$F322&gt;=AG$2),1,0)</f>
        <v/>
      </c>
      <c r="AH322">
        <f>AH321+IF(AND($E322&lt;&gt;"",$E322&lt;=AH$2,$F322&gt;=AH$2),1,0)</f>
        <v/>
      </c>
      <c r="AI322">
        <f>AI321+IF(AND($E322&lt;&gt;"",$E322&lt;=AI$2,$F322&gt;=AI$2),1,0)</f>
        <v/>
      </c>
      <c r="AJ322">
        <f>AJ321+IF(AND($E322&lt;&gt;"",$E322&lt;=AJ$2,$F322&gt;=AJ$2),1,0)</f>
        <v/>
      </c>
      <c r="AK322">
        <f>AK321+IF(AND($E322&lt;&gt;"",$E322&lt;=AK$2,$F322&gt;=AK$2),1,0)</f>
        <v/>
      </c>
      <c r="AL322">
        <f>AL321+IF(AND($E322&lt;&gt;"",$E322&lt;=AL$2,$F322&gt;=AL$2),1,0)</f>
        <v/>
      </c>
      <c r="AM322">
        <f>AM321+IF(AND($E322&lt;&gt;"",$E322&lt;=AM$2,$F322&gt;=AM$2),1,0)</f>
        <v/>
      </c>
      <c r="AN322">
        <f>AN321+IF(AND($E322&lt;&gt;"",$E322&lt;=AN$2,$F322&gt;=AN$2),1,0)</f>
        <v/>
      </c>
      <c r="AO322">
        <f>AO321+IF(AND($E322&lt;&gt;"",$E322&lt;=AO$2,$F322&gt;=AO$2),1,0)</f>
        <v/>
      </c>
      <c r="AP322">
        <f>AP321+IF(AND($E322&lt;&gt;"",$E322&lt;=AP$2,$F322&gt;=AP$2),1,0)</f>
        <v/>
      </c>
      <c r="AQ322">
        <f>AQ321+IF(AND($E322&lt;&gt;"",$E322&lt;=AQ$2,$F322&gt;=AQ$2),1,0)</f>
        <v/>
      </c>
      <c r="AR322">
        <f>AR321+IF(AND($E322&lt;&gt;"",$E322&lt;=AR$2,$F322&gt;=AR$2),1,0)</f>
        <v/>
      </c>
      <c r="AS322">
        <f>AS321+IF(AND($E322&lt;&gt;"",$E322&lt;=AS$2,$F322&gt;=AS$2),1,0)</f>
        <v/>
      </c>
      <c r="AT322">
        <f>AT321+IF(AND($E322&lt;&gt;"",$E322&lt;=AT$2,$F322&gt;=AT$2),1,0)</f>
        <v/>
      </c>
      <c r="AU322">
        <f>AU321+IF(AND($E322&lt;&gt;"",$E322&lt;=AU$2,$F322&gt;=AU$2),1,0)</f>
        <v/>
      </c>
      <c r="AV322">
        <f>AV321+IF(AND($E322&lt;&gt;"",$E322&lt;=AV$2,$F322&gt;=AV$2),1,0)</f>
        <v/>
      </c>
      <c r="AW322">
        <f>AW321+IF(AND($E322&lt;&gt;"",$E322&lt;=AW$2,$F322&gt;=AW$2),1,0)</f>
        <v/>
      </c>
    </row>
    <row r="323">
      <c r="A323">
        <f>IF(AND(ISNUMBER(Events!$A325),ISNUMBER(Events!$B325)),MAX(0,Events!$B325-Events!$A325),0)</f>
        <v/>
      </c>
      <c r="B323">
        <f>IF(ISNUMBER(Events!$A325),DATE(YEAR($B$1)-1,MONTH(Events!$A325),DAY(Events!$A325)),"")</f>
        <v/>
      </c>
      <c r="C323">
        <f>IF(ISNUMBER(Events!$A325),DATE(YEAR($B$1),MONTH(Events!$A325),DAY(Events!$A325)),"")</f>
        <v/>
      </c>
      <c r="D323">
        <f>IF(ISNUMBER(Events!$A325),DATE(YEAR($B$2),MONTH(Events!$A325),DAY(Events!$A325)),"")</f>
        <v/>
      </c>
      <c r="E323">
        <f>IF(OR(NOT(ISNUMBER(Events!$A325)),Events!$G325="No",Calendar!$H$4="None"),"",IF(OR(Calendar!$H$4="All events",Events!$D325=Calendar!$H$4),IF(Events!$E325="Yes",IF(AND(B323&gt;=Events!$A325,B323&lt;=$B$2,B323+$A323&gt;=$B$1),B323,IF(AND(C323&gt;=Events!$A325,C323&lt;=$B$2,C323+$A323&gt;=$B$1),C323,IF(AND(D323&gt;=Events!$A325,D323&lt;=$B$2,D323+$A323&gt;=$B$1),D323,""))),IF(AND(Events!$A325&lt;=$B$2,Events!$A325+$A323&gt;=$B$1),Events!$A325,"")),""))</f>
        <v/>
      </c>
      <c r="F323">
        <f>IF(E323="","",E323+A323)</f>
        <v/>
      </c>
      <c r="G323">
        <f>IF(E323="","",IF(AND(E323&lt;=EOMONTH(Calendar!$K$2,0),F323&gt;=Calendar!$K$2),E323+320/100000,""))</f>
        <v/>
      </c>
      <c r="H323">
        <f>H322+IF(AND($E323&lt;&gt;"",$E323&lt;=H$2,$F323&gt;=H$2),1,0)</f>
        <v/>
      </c>
      <c r="I323">
        <f>I322+IF(AND($E323&lt;&gt;"",$E323&lt;=I$2,$F323&gt;=I$2),1,0)</f>
        <v/>
      </c>
      <c r="J323">
        <f>J322+IF(AND($E323&lt;&gt;"",$E323&lt;=J$2,$F323&gt;=J$2),1,0)</f>
        <v/>
      </c>
      <c r="K323">
        <f>K322+IF(AND($E323&lt;&gt;"",$E323&lt;=K$2,$F323&gt;=K$2),1,0)</f>
        <v/>
      </c>
      <c r="L323">
        <f>L322+IF(AND($E323&lt;&gt;"",$E323&lt;=L$2,$F323&gt;=L$2),1,0)</f>
        <v/>
      </c>
      <c r="M323">
        <f>M322+IF(AND($E323&lt;&gt;"",$E323&lt;=M$2,$F323&gt;=M$2),1,0)</f>
        <v/>
      </c>
      <c r="N323">
        <f>N322+IF(AND($E323&lt;&gt;"",$E323&lt;=N$2,$F323&gt;=N$2),1,0)</f>
        <v/>
      </c>
      <c r="O323">
        <f>O322+IF(AND($E323&lt;&gt;"",$E323&lt;=O$2,$F323&gt;=O$2),1,0)</f>
        <v/>
      </c>
      <c r="P323">
        <f>P322+IF(AND($E323&lt;&gt;"",$E323&lt;=P$2,$F323&gt;=P$2),1,0)</f>
        <v/>
      </c>
      <c r="Q323">
        <f>Q322+IF(AND($E323&lt;&gt;"",$E323&lt;=Q$2,$F323&gt;=Q$2),1,0)</f>
        <v/>
      </c>
      <c r="R323">
        <f>R322+IF(AND($E323&lt;&gt;"",$E323&lt;=R$2,$F323&gt;=R$2),1,0)</f>
        <v/>
      </c>
      <c r="S323">
        <f>S322+IF(AND($E323&lt;&gt;"",$E323&lt;=S$2,$F323&gt;=S$2),1,0)</f>
        <v/>
      </c>
      <c r="T323">
        <f>T322+IF(AND($E323&lt;&gt;"",$E323&lt;=T$2,$F323&gt;=T$2),1,0)</f>
        <v/>
      </c>
      <c r="U323">
        <f>U322+IF(AND($E323&lt;&gt;"",$E323&lt;=U$2,$F323&gt;=U$2),1,0)</f>
        <v/>
      </c>
      <c r="V323">
        <f>V322+IF(AND($E323&lt;&gt;"",$E323&lt;=V$2,$F323&gt;=V$2),1,0)</f>
        <v/>
      </c>
      <c r="W323">
        <f>W322+IF(AND($E323&lt;&gt;"",$E323&lt;=W$2,$F323&gt;=W$2),1,0)</f>
        <v/>
      </c>
      <c r="X323">
        <f>X322+IF(AND($E323&lt;&gt;"",$E323&lt;=X$2,$F323&gt;=X$2),1,0)</f>
        <v/>
      </c>
      <c r="Y323">
        <f>Y322+IF(AND($E323&lt;&gt;"",$E323&lt;=Y$2,$F323&gt;=Y$2),1,0)</f>
        <v/>
      </c>
      <c r="Z323">
        <f>Z322+IF(AND($E323&lt;&gt;"",$E323&lt;=Z$2,$F323&gt;=Z$2),1,0)</f>
        <v/>
      </c>
      <c r="AA323">
        <f>AA322+IF(AND($E323&lt;&gt;"",$E323&lt;=AA$2,$F323&gt;=AA$2),1,0)</f>
        <v/>
      </c>
      <c r="AB323">
        <f>AB322+IF(AND($E323&lt;&gt;"",$E323&lt;=AB$2,$F323&gt;=AB$2),1,0)</f>
        <v/>
      </c>
      <c r="AC323">
        <f>AC322+IF(AND($E323&lt;&gt;"",$E323&lt;=AC$2,$F323&gt;=AC$2),1,0)</f>
        <v/>
      </c>
      <c r="AD323">
        <f>AD322+IF(AND($E323&lt;&gt;"",$E323&lt;=AD$2,$F323&gt;=AD$2),1,0)</f>
        <v/>
      </c>
      <c r="AE323">
        <f>AE322+IF(AND($E323&lt;&gt;"",$E323&lt;=AE$2,$F323&gt;=AE$2),1,0)</f>
        <v/>
      </c>
      <c r="AF323">
        <f>AF322+IF(AND($E323&lt;&gt;"",$E323&lt;=AF$2,$F323&gt;=AF$2),1,0)</f>
        <v/>
      </c>
      <c r="AG323">
        <f>AG322+IF(AND($E323&lt;&gt;"",$E323&lt;=AG$2,$F323&gt;=AG$2),1,0)</f>
        <v/>
      </c>
      <c r="AH323">
        <f>AH322+IF(AND($E323&lt;&gt;"",$E323&lt;=AH$2,$F323&gt;=AH$2),1,0)</f>
        <v/>
      </c>
      <c r="AI323">
        <f>AI322+IF(AND($E323&lt;&gt;"",$E323&lt;=AI$2,$F323&gt;=AI$2),1,0)</f>
        <v/>
      </c>
      <c r="AJ323">
        <f>AJ322+IF(AND($E323&lt;&gt;"",$E323&lt;=AJ$2,$F323&gt;=AJ$2),1,0)</f>
        <v/>
      </c>
      <c r="AK323">
        <f>AK322+IF(AND($E323&lt;&gt;"",$E323&lt;=AK$2,$F323&gt;=AK$2),1,0)</f>
        <v/>
      </c>
      <c r="AL323">
        <f>AL322+IF(AND($E323&lt;&gt;"",$E323&lt;=AL$2,$F323&gt;=AL$2),1,0)</f>
        <v/>
      </c>
      <c r="AM323">
        <f>AM322+IF(AND($E323&lt;&gt;"",$E323&lt;=AM$2,$F323&gt;=AM$2),1,0)</f>
        <v/>
      </c>
      <c r="AN323">
        <f>AN322+IF(AND($E323&lt;&gt;"",$E323&lt;=AN$2,$F323&gt;=AN$2),1,0)</f>
        <v/>
      </c>
      <c r="AO323">
        <f>AO322+IF(AND($E323&lt;&gt;"",$E323&lt;=AO$2,$F323&gt;=AO$2),1,0)</f>
        <v/>
      </c>
      <c r="AP323">
        <f>AP322+IF(AND($E323&lt;&gt;"",$E323&lt;=AP$2,$F323&gt;=AP$2),1,0)</f>
        <v/>
      </c>
      <c r="AQ323">
        <f>AQ322+IF(AND($E323&lt;&gt;"",$E323&lt;=AQ$2,$F323&gt;=AQ$2),1,0)</f>
        <v/>
      </c>
      <c r="AR323">
        <f>AR322+IF(AND($E323&lt;&gt;"",$E323&lt;=AR$2,$F323&gt;=AR$2),1,0)</f>
        <v/>
      </c>
      <c r="AS323">
        <f>AS322+IF(AND($E323&lt;&gt;"",$E323&lt;=AS$2,$F323&gt;=AS$2),1,0)</f>
        <v/>
      </c>
      <c r="AT323">
        <f>AT322+IF(AND($E323&lt;&gt;"",$E323&lt;=AT$2,$F323&gt;=AT$2),1,0)</f>
        <v/>
      </c>
      <c r="AU323">
        <f>AU322+IF(AND($E323&lt;&gt;"",$E323&lt;=AU$2,$F323&gt;=AU$2),1,0)</f>
        <v/>
      </c>
      <c r="AV323">
        <f>AV322+IF(AND($E323&lt;&gt;"",$E323&lt;=AV$2,$F323&gt;=AV$2),1,0)</f>
        <v/>
      </c>
      <c r="AW323">
        <f>AW322+IF(AND($E323&lt;&gt;"",$E323&lt;=AW$2,$F323&gt;=AW$2),1,0)</f>
        <v/>
      </c>
    </row>
    <row r="324">
      <c r="A324">
        <f>IF(AND(ISNUMBER(Events!$A326),ISNUMBER(Events!$B326)),MAX(0,Events!$B326-Events!$A326),0)</f>
        <v/>
      </c>
      <c r="B324">
        <f>IF(ISNUMBER(Events!$A326),DATE(YEAR($B$1)-1,MONTH(Events!$A326),DAY(Events!$A326)),"")</f>
        <v/>
      </c>
      <c r="C324">
        <f>IF(ISNUMBER(Events!$A326),DATE(YEAR($B$1),MONTH(Events!$A326),DAY(Events!$A326)),"")</f>
        <v/>
      </c>
      <c r="D324">
        <f>IF(ISNUMBER(Events!$A326),DATE(YEAR($B$2),MONTH(Events!$A326),DAY(Events!$A326)),"")</f>
        <v/>
      </c>
      <c r="E324">
        <f>IF(OR(NOT(ISNUMBER(Events!$A326)),Events!$G326="No",Calendar!$H$4="None"),"",IF(OR(Calendar!$H$4="All events",Events!$D326=Calendar!$H$4),IF(Events!$E326="Yes",IF(AND(B324&gt;=Events!$A326,B324&lt;=$B$2,B324+$A324&gt;=$B$1),B324,IF(AND(C324&gt;=Events!$A326,C324&lt;=$B$2,C324+$A324&gt;=$B$1),C324,IF(AND(D324&gt;=Events!$A326,D324&lt;=$B$2,D324+$A324&gt;=$B$1),D324,""))),IF(AND(Events!$A326&lt;=$B$2,Events!$A326+$A324&gt;=$B$1),Events!$A326,"")),""))</f>
        <v/>
      </c>
      <c r="F324">
        <f>IF(E324="","",E324+A324)</f>
        <v/>
      </c>
      <c r="G324">
        <f>IF(E324="","",IF(AND(E324&lt;=EOMONTH(Calendar!$K$2,0),F324&gt;=Calendar!$K$2),E324+321/100000,""))</f>
        <v/>
      </c>
      <c r="H324">
        <f>H323+IF(AND($E324&lt;&gt;"",$E324&lt;=H$2,$F324&gt;=H$2),1,0)</f>
        <v/>
      </c>
      <c r="I324">
        <f>I323+IF(AND($E324&lt;&gt;"",$E324&lt;=I$2,$F324&gt;=I$2),1,0)</f>
        <v/>
      </c>
      <c r="J324">
        <f>J323+IF(AND($E324&lt;&gt;"",$E324&lt;=J$2,$F324&gt;=J$2),1,0)</f>
        <v/>
      </c>
      <c r="K324">
        <f>K323+IF(AND($E324&lt;&gt;"",$E324&lt;=K$2,$F324&gt;=K$2),1,0)</f>
        <v/>
      </c>
      <c r="L324">
        <f>L323+IF(AND($E324&lt;&gt;"",$E324&lt;=L$2,$F324&gt;=L$2),1,0)</f>
        <v/>
      </c>
      <c r="M324">
        <f>M323+IF(AND($E324&lt;&gt;"",$E324&lt;=M$2,$F324&gt;=M$2),1,0)</f>
        <v/>
      </c>
      <c r="N324">
        <f>N323+IF(AND($E324&lt;&gt;"",$E324&lt;=N$2,$F324&gt;=N$2),1,0)</f>
        <v/>
      </c>
      <c r="O324">
        <f>O323+IF(AND($E324&lt;&gt;"",$E324&lt;=O$2,$F324&gt;=O$2),1,0)</f>
        <v/>
      </c>
      <c r="P324">
        <f>P323+IF(AND($E324&lt;&gt;"",$E324&lt;=P$2,$F324&gt;=P$2),1,0)</f>
        <v/>
      </c>
      <c r="Q324">
        <f>Q323+IF(AND($E324&lt;&gt;"",$E324&lt;=Q$2,$F324&gt;=Q$2),1,0)</f>
        <v/>
      </c>
      <c r="R324">
        <f>R323+IF(AND($E324&lt;&gt;"",$E324&lt;=R$2,$F324&gt;=R$2),1,0)</f>
        <v/>
      </c>
      <c r="S324">
        <f>S323+IF(AND($E324&lt;&gt;"",$E324&lt;=S$2,$F324&gt;=S$2),1,0)</f>
        <v/>
      </c>
      <c r="T324">
        <f>T323+IF(AND($E324&lt;&gt;"",$E324&lt;=T$2,$F324&gt;=T$2),1,0)</f>
        <v/>
      </c>
      <c r="U324">
        <f>U323+IF(AND($E324&lt;&gt;"",$E324&lt;=U$2,$F324&gt;=U$2),1,0)</f>
        <v/>
      </c>
      <c r="V324">
        <f>V323+IF(AND($E324&lt;&gt;"",$E324&lt;=V$2,$F324&gt;=V$2),1,0)</f>
        <v/>
      </c>
      <c r="W324">
        <f>W323+IF(AND($E324&lt;&gt;"",$E324&lt;=W$2,$F324&gt;=W$2),1,0)</f>
        <v/>
      </c>
      <c r="X324">
        <f>X323+IF(AND($E324&lt;&gt;"",$E324&lt;=X$2,$F324&gt;=X$2),1,0)</f>
        <v/>
      </c>
      <c r="Y324">
        <f>Y323+IF(AND($E324&lt;&gt;"",$E324&lt;=Y$2,$F324&gt;=Y$2),1,0)</f>
        <v/>
      </c>
      <c r="Z324">
        <f>Z323+IF(AND($E324&lt;&gt;"",$E324&lt;=Z$2,$F324&gt;=Z$2),1,0)</f>
        <v/>
      </c>
      <c r="AA324">
        <f>AA323+IF(AND($E324&lt;&gt;"",$E324&lt;=AA$2,$F324&gt;=AA$2),1,0)</f>
        <v/>
      </c>
      <c r="AB324">
        <f>AB323+IF(AND($E324&lt;&gt;"",$E324&lt;=AB$2,$F324&gt;=AB$2),1,0)</f>
        <v/>
      </c>
      <c r="AC324">
        <f>AC323+IF(AND($E324&lt;&gt;"",$E324&lt;=AC$2,$F324&gt;=AC$2),1,0)</f>
        <v/>
      </c>
      <c r="AD324">
        <f>AD323+IF(AND($E324&lt;&gt;"",$E324&lt;=AD$2,$F324&gt;=AD$2),1,0)</f>
        <v/>
      </c>
      <c r="AE324">
        <f>AE323+IF(AND($E324&lt;&gt;"",$E324&lt;=AE$2,$F324&gt;=AE$2),1,0)</f>
        <v/>
      </c>
      <c r="AF324">
        <f>AF323+IF(AND($E324&lt;&gt;"",$E324&lt;=AF$2,$F324&gt;=AF$2),1,0)</f>
        <v/>
      </c>
      <c r="AG324">
        <f>AG323+IF(AND($E324&lt;&gt;"",$E324&lt;=AG$2,$F324&gt;=AG$2),1,0)</f>
        <v/>
      </c>
      <c r="AH324">
        <f>AH323+IF(AND($E324&lt;&gt;"",$E324&lt;=AH$2,$F324&gt;=AH$2),1,0)</f>
        <v/>
      </c>
      <c r="AI324">
        <f>AI323+IF(AND($E324&lt;&gt;"",$E324&lt;=AI$2,$F324&gt;=AI$2),1,0)</f>
        <v/>
      </c>
      <c r="AJ324">
        <f>AJ323+IF(AND($E324&lt;&gt;"",$E324&lt;=AJ$2,$F324&gt;=AJ$2),1,0)</f>
        <v/>
      </c>
      <c r="AK324">
        <f>AK323+IF(AND($E324&lt;&gt;"",$E324&lt;=AK$2,$F324&gt;=AK$2),1,0)</f>
        <v/>
      </c>
      <c r="AL324">
        <f>AL323+IF(AND($E324&lt;&gt;"",$E324&lt;=AL$2,$F324&gt;=AL$2),1,0)</f>
        <v/>
      </c>
      <c r="AM324">
        <f>AM323+IF(AND($E324&lt;&gt;"",$E324&lt;=AM$2,$F324&gt;=AM$2),1,0)</f>
        <v/>
      </c>
      <c r="AN324">
        <f>AN323+IF(AND($E324&lt;&gt;"",$E324&lt;=AN$2,$F324&gt;=AN$2),1,0)</f>
        <v/>
      </c>
      <c r="AO324">
        <f>AO323+IF(AND($E324&lt;&gt;"",$E324&lt;=AO$2,$F324&gt;=AO$2),1,0)</f>
        <v/>
      </c>
      <c r="AP324">
        <f>AP323+IF(AND($E324&lt;&gt;"",$E324&lt;=AP$2,$F324&gt;=AP$2),1,0)</f>
        <v/>
      </c>
      <c r="AQ324">
        <f>AQ323+IF(AND($E324&lt;&gt;"",$E324&lt;=AQ$2,$F324&gt;=AQ$2),1,0)</f>
        <v/>
      </c>
      <c r="AR324">
        <f>AR323+IF(AND($E324&lt;&gt;"",$E324&lt;=AR$2,$F324&gt;=AR$2),1,0)</f>
        <v/>
      </c>
      <c r="AS324">
        <f>AS323+IF(AND($E324&lt;&gt;"",$E324&lt;=AS$2,$F324&gt;=AS$2),1,0)</f>
        <v/>
      </c>
      <c r="AT324">
        <f>AT323+IF(AND($E324&lt;&gt;"",$E324&lt;=AT$2,$F324&gt;=AT$2),1,0)</f>
        <v/>
      </c>
      <c r="AU324">
        <f>AU323+IF(AND($E324&lt;&gt;"",$E324&lt;=AU$2,$F324&gt;=AU$2),1,0)</f>
        <v/>
      </c>
      <c r="AV324">
        <f>AV323+IF(AND($E324&lt;&gt;"",$E324&lt;=AV$2,$F324&gt;=AV$2),1,0)</f>
        <v/>
      </c>
      <c r="AW324">
        <f>AW323+IF(AND($E324&lt;&gt;"",$E324&lt;=AW$2,$F324&gt;=AW$2),1,0)</f>
        <v/>
      </c>
    </row>
    <row r="325">
      <c r="A325">
        <f>IF(AND(ISNUMBER(Events!$A327),ISNUMBER(Events!$B327)),MAX(0,Events!$B327-Events!$A327),0)</f>
        <v/>
      </c>
      <c r="B325">
        <f>IF(ISNUMBER(Events!$A327),DATE(YEAR($B$1)-1,MONTH(Events!$A327),DAY(Events!$A327)),"")</f>
        <v/>
      </c>
      <c r="C325">
        <f>IF(ISNUMBER(Events!$A327),DATE(YEAR($B$1),MONTH(Events!$A327),DAY(Events!$A327)),"")</f>
        <v/>
      </c>
      <c r="D325">
        <f>IF(ISNUMBER(Events!$A327),DATE(YEAR($B$2),MONTH(Events!$A327),DAY(Events!$A327)),"")</f>
        <v/>
      </c>
      <c r="E325">
        <f>IF(OR(NOT(ISNUMBER(Events!$A327)),Events!$G327="No",Calendar!$H$4="None"),"",IF(OR(Calendar!$H$4="All events",Events!$D327=Calendar!$H$4),IF(Events!$E327="Yes",IF(AND(B325&gt;=Events!$A327,B325&lt;=$B$2,B325+$A325&gt;=$B$1),B325,IF(AND(C325&gt;=Events!$A327,C325&lt;=$B$2,C325+$A325&gt;=$B$1),C325,IF(AND(D325&gt;=Events!$A327,D325&lt;=$B$2,D325+$A325&gt;=$B$1),D325,""))),IF(AND(Events!$A327&lt;=$B$2,Events!$A327+$A325&gt;=$B$1),Events!$A327,"")),""))</f>
        <v/>
      </c>
      <c r="F325">
        <f>IF(E325="","",E325+A325)</f>
        <v/>
      </c>
      <c r="G325">
        <f>IF(E325="","",IF(AND(E325&lt;=EOMONTH(Calendar!$K$2,0),F325&gt;=Calendar!$K$2),E325+322/100000,""))</f>
        <v/>
      </c>
      <c r="H325">
        <f>H324+IF(AND($E325&lt;&gt;"",$E325&lt;=H$2,$F325&gt;=H$2),1,0)</f>
        <v/>
      </c>
      <c r="I325">
        <f>I324+IF(AND($E325&lt;&gt;"",$E325&lt;=I$2,$F325&gt;=I$2),1,0)</f>
        <v/>
      </c>
      <c r="J325">
        <f>J324+IF(AND($E325&lt;&gt;"",$E325&lt;=J$2,$F325&gt;=J$2),1,0)</f>
        <v/>
      </c>
      <c r="K325">
        <f>K324+IF(AND($E325&lt;&gt;"",$E325&lt;=K$2,$F325&gt;=K$2),1,0)</f>
        <v/>
      </c>
      <c r="L325">
        <f>L324+IF(AND($E325&lt;&gt;"",$E325&lt;=L$2,$F325&gt;=L$2),1,0)</f>
        <v/>
      </c>
      <c r="M325">
        <f>M324+IF(AND($E325&lt;&gt;"",$E325&lt;=M$2,$F325&gt;=M$2),1,0)</f>
        <v/>
      </c>
      <c r="N325">
        <f>N324+IF(AND($E325&lt;&gt;"",$E325&lt;=N$2,$F325&gt;=N$2),1,0)</f>
        <v/>
      </c>
      <c r="O325">
        <f>O324+IF(AND($E325&lt;&gt;"",$E325&lt;=O$2,$F325&gt;=O$2),1,0)</f>
        <v/>
      </c>
      <c r="P325">
        <f>P324+IF(AND($E325&lt;&gt;"",$E325&lt;=P$2,$F325&gt;=P$2),1,0)</f>
        <v/>
      </c>
      <c r="Q325">
        <f>Q324+IF(AND($E325&lt;&gt;"",$E325&lt;=Q$2,$F325&gt;=Q$2),1,0)</f>
        <v/>
      </c>
      <c r="R325">
        <f>R324+IF(AND($E325&lt;&gt;"",$E325&lt;=R$2,$F325&gt;=R$2),1,0)</f>
        <v/>
      </c>
      <c r="S325">
        <f>S324+IF(AND($E325&lt;&gt;"",$E325&lt;=S$2,$F325&gt;=S$2),1,0)</f>
        <v/>
      </c>
      <c r="T325">
        <f>T324+IF(AND($E325&lt;&gt;"",$E325&lt;=T$2,$F325&gt;=T$2),1,0)</f>
        <v/>
      </c>
      <c r="U325">
        <f>U324+IF(AND($E325&lt;&gt;"",$E325&lt;=U$2,$F325&gt;=U$2),1,0)</f>
        <v/>
      </c>
      <c r="V325">
        <f>V324+IF(AND($E325&lt;&gt;"",$E325&lt;=V$2,$F325&gt;=V$2),1,0)</f>
        <v/>
      </c>
      <c r="W325">
        <f>W324+IF(AND($E325&lt;&gt;"",$E325&lt;=W$2,$F325&gt;=W$2),1,0)</f>
        <v/>
      </c>
      <c r="X325">
        <f>X324+IF(AND($E325&lt;&gt;"",$E325&lt;=X$2,$F325&gt;=X$2),1,0)</f>
        <v/>
      </c>
      <c r="Y325">
        <f>Y324+IF(AND($E325&lt;&gt;"",$E325&lt;=Y$2,$F325&gt;=Y$2),1,0)</f>
        <v/>
      </c>
      <c r="Z325">
        <f>Z324+IF(AND($E325&lt;&gt;"",$E325&lt;=Z$2,$F325&gt;=Z$2),1,0)</f>
        <v/>
      </c>
      <c r="AA325">
        <f>AA324+IF(AND($E325&lt;&gt;"",$E325&lt;=AA$2,$F325&gt;=AA$2),1,0)</f>
        <v/>
      </c>
      <c r="AB325">
        <f>AB324+IF(AND($E325&lt;&gt;"",$E325&lt;=AB$2,$F325&gt;=AB$2),1,0)</f>
        <v/>
      </c>
      <c r="AC325">
        <f>AC324+IF(AND($E325&lt;&gt;"",$E325&lt;=AC$2,$F325&gt;=AC$2),1,0)</f>
        <v/>
      </c>
      <c r="AD325">
        <f>AD324+IF(AND($E325&lt;&gt;"",$E325&lt;=AD$2,$F325&gt;=AD$2),1,0)</f>
        <v/>
      </c>
      <c r="AE325">
        <f>AE324+IF(AND($E325&lt;&gt;"",$E325&lt;=AE$2,$F325&gt;=AE$2),1,0)</f>
        <v/>
      </c>
      <c r="AF325">
        <f>AF324+IF(AND($E325&lt;&gt;"",$E325&lt;=AF$2,$F325&gt;=AF$2),1,0)</f>
        <v/>
      </c>
      <c r="AG325">
        <f>AG324+IF(AND($E325&lt;&gt;"",$E325&lt;=AG$2,$F325&gt;=AG$2),1,0)</f>
        <v/>
      </c>
      <c r="AH325">
        <f>AH324+IF(AND($E325&lt;&gt;"",$E325&lt;=AH$2,$F325&gt;=AH$2),1,0)</f>
        <v/>
      </c>
      <c r="AI325">
        <f>AI324+IF(AND($E325&lt;&gt;"",$E325&lt;=AI$2,$F325&gt;=AI$2),1,0)</f>
        <v/>
      </c>
      <c r="AJ325">
        <f>AJ324+IF(AND($E325&lt;&gt;"",$E325&lt;=AJ$2,$F325&gt;=AJ$2),1,0)</f>
        <v/>
      </c>
      <c r="AK325">
        <f>AK324+IF(AND($E325&lt;&gt;"",$E325&lt;=AK$2,$F325&gt;=AK$2),1,0)</f>
        <v/>
      </c>
      <c r="AL325">
        <f>AL324+IF(AND($E325&lt;&gt;"",$E325&lt;=AL$2,$F325&gt;=AL$2),1,0)</f>
        <v/>
      </c>
      <c r="AM325">
        <f>AM324+IF(AND($E325&lt;&gt;"",$E325&lt;=AM$2,$F325&gt;=AM$2),1,0)</f>
        <v/>
      </c>
      <c r="AN325">
        <f>AN324+IF(AND($E325&lt;&gt;"",$E325&lt;=AN$2,$F325&gt;=AN$2),1,0)</f>
        <v/>
      </c>
      <c r="AO325">
        <f>AO324+IF(AND($E325&lt;&gt;"",$E325&lt;=AO$2,$F325&gt;=AO$2),1,0)</f>
        <v/>
      </c>
      <c r="AP325">
        <f>AP324+IF(AND($E325&lt;&gt;"",$E325&lt;=AP$2,$F325&gt;=AP$2),1,0)</f>
        <v/>
      </c>
      <c r="AQ325">
        <f>AQ324+IF(AND($E325&lt;&gt;"",$E325&lt;=AQ$2,$F325&gt;=AQ$2),1,0)</f>
        <v/>
      </c>
      <c r="AR325">
        <f>AR324+IF(AND($E325&lt;&gt;"",$E325&lt;=AR$2,$F325&gt;=AR$2),1,0)</f>
        <v/>
      </c>
      <c r="AS325">
        <f>AS324+IF(AND($E325&lt;&gt;"",$E325&lt;=AS$2,$F325&gt;=AS$2),1,0)</f>
        <v/>
      </c>
      <c r="AT325">
        <f>AT324+IF(AND($E325&lt;&gt;"",$E325&lt;=AT$2,$F325&gt;=AT$2),1,0)</f>
        <v/>
      </c>
      <c r="AU325">
        <f>AU324+IF(AND($E325&lt;&gt;"",$E325&lt;=AU$2,$F325&gt;=AU$2),1,0)</f>
        <v/>
      </c>
      <c r="AV325">
        <f>AV324+IF(AND($E325&lt;&gt;"",$E325&lt;=AV$2,$F325&gt;=AV$2),1,0)</f>
        <v/>
      </c>
      <c r="AW325">
        <f>AW324+IF(AND($E325&lt;&gt;"",$E325&lt;=AW$2,$F325&gt;=AW$2),1,0)</f>
        <v/>
      </c>
    </row>
    <row r="326">
      <c r="A326">
        <f>IF(AND(ISNUMBER(Events!$A328),ISNUMBER(Events!$B328)),MAX(0,Events!$B328-Events!$A328),0)</f>
        <v/>
      </c>
      <c r="B326">
        <f>IF(ISNUMBER(Events!$A328),DATE(YEAR($B$1)-1,MONTH(Events!$A328),DAY(Events!$A328)),"")</f>
        <v/>
      </c>
      <c r="C326">
        <f>IF(ISNUMBER(Events!$A328),DATE(YEAR($B$1),MONTH(Events!$A328),DAY(Events!$A328)),"")</f>
        <v/>
      </c>
      <c r="D326">
        <f>IF(ISNUMBER(Events!$A328),DATE(YEAR($B$2),MONTH(Events!$A328),DAY(Events!$A328)),"")</f>
        <v/>
      </c>
      <c r="E326">
        <f>IF(OR(NOT(ISNUMBER(Events!$A328)),Events!$G328="No",Calendar!$H$4="None"),"",IF(OR(Calendar!$H$4="All events",Events!$D328=Calendar!$H$4),IF(Events!$E328="Yes",IF(AND(B326&gt;=Events!$A328,B326&lt;=$B$2,B326+$A326&gt;=$B$1),B326,IF(AND(C326&gt;=Events!$A328,C326&lt;=$B$2,C326+$A326&gt;=$B$1),C326,IF(AND(D326&gt;=Events!$A328,D326&lt;=$B$2,D326+$A326&gt;=$B$1),D326,""))),IF(AND(Events!$A328&lt;=$B$2,Events!$A328+$A326&gt;=$B$1),Events!$A328,"")),""))</f>
        <v/>
      </c>
      <c r="F326">
        <f>IF(E326="","",E326+A326)</f>
        <v/>
      </c>
      <c r="G326">
        <f>IF(E326="","",IF(AND(E326&lt;=EOMONTH(Calendar!$K$2,0),F326&gt;=Calendar!$K$2),E326+323/100000,""))</f>
        <v/>
      </c>
      <c r="H326">
        <f>H325+IF(AND($E326&lt;&gt;"",$E326&lt;=H$2,$F326&gt;=H$2),1,0)</f>
        <v/>
      </c>
      <c r="I326">
        <f>I325+IF(AND($E326&lt;&gt;"",$E326&lt;=I$2,$F326&gt;=I$2),1,0)</f>
        <v/>
      </c>
      <c r="J326">
        <f>J325+IF(AND($E326&lt;&gt;"",$E326&lt;=J$2,$F326&gt;=J$2),1,0)</f>
        <v/>
      </c>
      <c r="K326">
        <f>K325+IF(AND($E326&lt;&gt;"",$E326&lt;=K$2,$F326&gt;=K$2),1,0)</f>
        <v/>
      </c>
      <c r="L326">
        <f>L325+IF(AND($E326&lt;&gt;"",$E326&lt;=L$2,$F326&gt;=L$2),1,0)</f>
        <v/>
      </c>
      <c r="M326">
        <f>M325+IF(AND($E326&lt;&gt;"",$E326&lt;=M$2,$F326&gt;=M$2),1,0)</f>
        <v/>
      </c>
      <c r="N326">
        <f>N325+IF(AND($E326&lt;&gt;"",$E326&lt;=N$2,$F326&gt;=N$2),1,0)</f>
        <v/>
      </c>
      <c r="O326">
        <f>O325+IF(AND($E326&lt;&gt;"",$E326&lt;=O$2,$F326&gt;=O$2),1,0)</f>
        <v/>
      </c>
      <c r="P326">
        <f>P325+IF(AND($E326&lt;&gt;"",$E326&lt;=P$2,$F326&gt;=P$2),1,0)</f>
        <v/>
      </c>
      <c r="Q326">
        <f>Q325+IF(AND($E326&lt;&gt;"",$E326&lt;=Q$2,$F326&gt;=Q$2),1,0)</f>
        <v/>
      </c>
      <c r="R326">
        <f>R325+IF(AND($E326&lt;&gt;"",$E326&lt;=R$2,$F326&gt;=R$2),1,0)</f>
        <v/>
      </c>
      <c r="S326">
        <f>S325+IF(AND($E326&lt;&gt;"",$E326&lt;=S$2,$F326&gt;=S$2),1,0)</f>
        <v/>
      </c>
      <c r="T326">
        <f>T325+IF(AND($E326&lt;&gt;"",$E326&lt;=T$2,$F326&gt;=T$2),1,0)</f>
        <v/>
      </c>
      <c r="U326">
        <f>U325+IF(AND($E326&lt;&gt;"",$E326&lt;=U$2,$F326&gt;=U$2),1,0)</f>
        <v/>
      </c>
      <c r="V326">
        <f>V325+IF(AND($E326&lt;&gt;"",$E326&lt;=V$2,$F326&gt;=V$2),1,0)</f>
        <v/>
      </c>
      <c r="W326">
        <f>W325+IF(AND($E326&lt;&gt;"",$E326&lt;=W$2,$F326&gt;=W$2),1,0)</f>
        <v/>
      </c>
      <c r="X326">
        <f>X325+IF(AND($E326&lt;&gt;"",$E326&lt;=X$2,$F326&gt;=X$2),1,0)</f>
        <v/>
      </c>
      <c r="Y326">
        <f>Y325+IF(AND($E326&lt;&gt;"",$E326&lt;=Y$2,$F326&gt;=Y$2),1,0)</f>
        <v/>
      </c>
      <c r="Z326">
        <f>Z325+IF(AND($E326&lt;&gt;"",$E326&lt;=Z$2,$F326&gt;=Z$2),1,0)</f>
        <v/>
      </c>
      <c r="AA326">
        <f>AA325+IF(AND($E326&lt;&gt;"",$E326&lt;=AA$2,$F326&gt;=AA$2),1,0)</f>
        <v/>
      </c>
      <c r="AB326">
        <f>AB325+IF(AND($E326&lt;&gt;"",$E326&lt;=AB$2,$F326&gt;=AB$2),1,0)</f>
        <v/>
      </c>
      <c r="AC326">
        <f>AC325+IF(AND($E326&lt;&gt;"",$E326&lt;=AC$2,$F326&gt;=AC$2),1,0)</f>
        <v/>
      </c>
      <c r="AD326">
        <f>AD325+IF(AND($E326&lt;&gt;"",$E326&lt;=AD$2,$F326&gt;=AD$2),1,0)</f>
        <v/>
      </c>
      <c r="AE326">
        <f>AE325+IF(AND($E326&lt;&gt;"",$E326&lt;=AE$2,$F326&gt;=AE$2),1,0)</f>
        <v/>
      </c>
      <c r="AF326">
        <f>AF325+IF(AND($E326&lt;&gt;"",$E326&lt;=AF$2,$F326&gt;=AF$2),1,0)</f>
        <v/>
      </c>
      <c r="AG326">
        <f>AG325+IF(AND($E326&lt;&gt;"",$E326&lt;=AG$2,$F326&gt;=AG$2),1,0)</f>
        <v/>
      </c>
      <c r="AH326">
        <f>AH325+IF(AND($E326&lt;&gt;"",$E326&lt;=AH$2,$F326&gt;=AH$2),1,0)</f>
        <v/>
      </c>
      <c r="AI326">
        <f>AI325+IF(AND($E326&lt;&gt;"",$E326&lt;=AI$2,$F326&gt;=AI$2),1,0)</f>
        <v/>
      </c>
      <c r="AJ326">
        <f>AJ325+IF(AND($E326&lt;&gt;"",$E326&lt;=AJ$2,$F326&gt;=AJ$2),1,0)</f>
        <v/>
      </c>
      <c r="AK326">
        <f>AK325+IF(AND($E326&lt;&gt;"",$E326&lt;=AK$2,$F326&gt;=AK$2),1,0)</f>
        <v/>
      </c>
      <c r="AL326">
        <f>AL325+IF(AND($E326&lt;&gt;"",$E326&lt;=AL$2,$F326&gt;=AL$2),1,0)</f>
        <v/>
      </c>
      <c r="AM326">
        <f>AM325+IF(AND($E326&lt;&gt;"",$E326&lt;=AM$2,$F326&gt;=AM$2),1,0)</f>
        <v/>
      </c>
      <c r="AN326">
        <f>AN325+IF(AND($E326&lt;&gt;"",$E326&lt;=AN$2,$F326&gt;=AN$2),1,0)</f>
        <v/>
      </c>
      <c r="AO326">
        <f>AO325+IF(AND($E326&lt;&gt;"",$E326&lt;=AO$2,$F326&gt;=AO$2),1,0)</f>
        <v/>
      </c>
      <c r="AP326">
        <f>AP325+IF(AND($E326&lt;&gt;"",$E326&lt;=AP$2,$F326&gt;=AP$2),1,0)</f>
        <v/>
      </c>
      <c r="AQ326">
        <f>AQ325+IF(AND($E326&lt;&gt;"",$E326&lt;=AQ$2,$F326&gt;=AQ$2),1,0)</f>
        <v/>
      </c>
      <c r="AR326">
        <f>AR325+IF(AND($E326&lt;&gt;"",$E326&lt;=AR$2,$F326&gt;=AR$2),1,0)</f>
        <v/>
      </c>
      <c r="AS326">
        <f>AS325+IF(AND($E326&lt;&gt;"",$E326&lt;=AS$2,$F326&gt;=AS$2),1,0)</f>
        <v/>
      </c>
      <c r="AT326">
        <f>AT325+IF(AND($E326&lt;&gt;"",$E326&lt;=AT$2,$F326&gt;=AT$2),1,0)</f>
        <v/>
      </c>
      <c r="AU326">
        <f>AU325+IF(AND($E326&lt;&gt;"",$E326&lt;=AU$2,$F326&gt;=AU$2),1,0)</f>
        <v/>
      </c>
      <c r="AV326">
        <f>AV325+IF(AND($E326&lt;&gt;"",$E326&lt;=AV$2,$F326&gt;=AV$2),1,0)</f>
        <v/>
      </c>
      <c r="AW326">
        <f>AW325+IF(AND($E326&lt;&gt;"",$E326&lt;=AW$2,$F326&gt;=AW$2),1,0)</f>
        <v/>
      </c>
    </row>
    <row r="327">
      <c r="A327">
        <f>IF(AND(ISNUMBER(Events!$A329),ISNUMBER(Events!$B329)),MAX(0,Events!$B329-Events!$A329),0)</f>
        <v/>
      </c>
      <c r="B327">
        <f>IF(ISNUMBER(Events!$A329),DATE(YEAR($B$1)-1,MONTH(Events!$A329),DAY(Events!$A329)),"")</f>
        <v/>
      </c>
      <c r="C327">
        <f>IF(ISNUMBER(Events!$A329),DATE(YEAR($B$1),MONTH(Events!$A329),DAY(Events!$A329)),"")</f>
        <v/>
      </c>
      <c r="D327">
        <f>IF(ISNUMBER(Events!$A329),DATE(YEAR($B$2),MONTH(Events!$A329),DAY(Events!$A329)),"")</f>
        <v/>
      </c>
      <c r="E327">
        <f>IF(OR(NOT(ISNUMBER(Events!$A329)),Events!$G329="No",Calendar!$H$4="None"),"",IF(OR(Calendar!$H$4="All events",Events!$D329=Calendar!$H$4),IF(Events!$E329="Yes",IF(AND(B327&gt;=Events!$A329,B327&lt;=$B$2,B327+$A327&gt;=$B$1),B327,IF(AND(C327&gt;=Events!$A329,C327&lt;=$B$2,C327+$A327&gt;=$B$1),C327,IF(AND(D327&gt;=Events!$A329,D327&lt;=$B$2,D327+$A327&gt;=$B$1),D327,""))),IF(AND(Events!$A329&lt;=$B$2,Events!$A329+$A327&gt;=$B$1),Events!$A329,"")),""))</f>
        <v/>
      </c>
      <c r="F327">
        <f>IF(E327="","",E327+A327)</f>
        <v/>
      </c>
      <c r="G327">
        <f>IF(E327="","",IF(AND(E327&lt;=EOMONTH(Calendar!$K$2,0),F327&gt;=Calendar!$K$2),E327+324/100000,""))</f>
        <v/>
      </c>
      <c r="H327">
        <f>H326+IF(AND($E327&lt;&gt;"",$E327&lt;=H$2,$F327&gt;=H$2),1,0)</f>
        <v/>
      </c>
      <c r="I327">
        <f>I326+IF(AND($E327&lt;&gt;"",$E327&lt;=I$2,$F327&gt;=I$2),1,0)</f>
        <v/>
      </c>
      <c r="J327">
        <f>J326+IF(AND($E327&lt;&gt;"",$E327&lt;=J$2,$F327&gt;=J$2),1,0)</f>
        <v/>
      </c>
      <c r="K327">
        <f>K326+IF(AND($E327&lt;&gt;"",$E327&lt;=K$2,$F327&gt;=K$2),1,0)</f>
        <v/>
      </c>
      <c r="L327">
        <f>L326+IF(AND($E327&lt;&gt;"",$E327&lt;=L$2,$F327&gt;=L$2),1,0)</f>
        <v/>
      </c>
      <c r="M327">
        <f>M326+IF(AND($E327&lt;&gt;"",$E327&lt;=M$2,$F327&gt;=M$2),1,0)</f>
        <v/>
      </c>
      <c r="N327">
        <f>N326+IF(AND($E327&lt;&gt;"",$E327&lt;=N$2,$F327&gt;=N$2),1,0)</f>
        <v/>
      </c>
      <c r="O327">
        <f>O326+IF(AND($E327&lt;&gt;"",$E327&lt;=O$2,$F327&gt;=O$2),1,0)</f>
        <v/>
      </c>
      <c r="P327">
        <f>P326+IF(AND($E327&lt;&gt;"",$E327&lt;=P$2,$F327&gt;=P$2),1,0)</f>
        <v/>
      </c>
      <c r="Q327">
        <f>Q326+IF(AND($E327&lt;&gt;"",$E327&lt;=Q$2,$F327&gt;=Q$2),1,0)</f>
        <v/>
      </c>
      <c r="R327">
        <f>R326+IF(AND($E327&lt;&gt;"",$E327&lt;=R$2,$F327&gt;=R$2),1,0)</f>
        <v/>
      </c>
      <c r="S327">
        <f>S326+IF(AND($E327&lt;&gt;"",$E327&lt;=S$2,$F327&gt;=S$2),1,0)</f>
        <v/>
      </c>
      <c r="T327">
        <f>T326+IF(AND($E327&lt;&gt;"",$E327&lt;=T$2,$F327&gt;=T$2),1,0)</f>
        <v/>
      </c>
      <c r="U327">
        <f>U326+IF(AND($E327&lt;&gt;"",$E327&lt;=U$2,$F327&gt;=U$2),1,0)</f>
        <v/>
      </c>
      <c r="V327">
        <f>V326+IF(AND($E327&lt;&gt;"",$E327&lt;=V$2,$F327&gt;=V$2),1,0)</f>
        <v/>
      </c>
      <c r="W327">
        <f>W326+IF(AND($E327&lt;&gt;"",$E327&lt;=W$2,$F327&gt;=W$2),1,0)</f>
        <v/>
      </c>
      <c r="X327">
        <f>X326+IF(AND($E327&lt;&gt;"",$E327&lt;=X$2,$F327&gt;=X$2),1,0)</f>
        <v/>
      </c>
      <c r="Y327">
        <f>Y326+IF(AND($E327&lt;&gt;"",$E327&lt;=Y$2,$F327&gt;=Y$2),1,0)</f>
        <v/>
      </c>
      <c r="Z327">
        <f>Z326+IF(AND($E327&lt;&gt;"",$E327&lt;=Z$2,$F327&gt;=Z$2),1,0)</f>
        <v/>
      </c>
      <c r="AA327">
        <f>AA326+IF(AND($E327&lt;&gt;"",$E327&lt;=AA$2,$F327&gt;=AA$2),1,0)</f>
        <v/>
      </c>
      <c r="AB327">
        <f>AB326+IF(AND($E327&lt;&gt;"",$E327&lt;=AB$2,$F327&gt;=AB$2),1,0)</f>
        <v/>
      </c>
      <c r="AC327">
        <f>AC326+IF(AND($E327&lt;&gt;"",$E327&lt;=AC$2,$F327&gt;=AC$2),1,0)</f>
        <v/>
      </c>
      <c r="AD327">
        <f>AD326+IF(AND($E327&lt;&gt;"",$E327&lt;=AD$2,$F327&gt;=AD$2),1,0)</f>
        <v/>
      </c>
      <c r="AE327">
        <f>AE326+IF(AND($E327&lt;&gt;"",$E327&lt;=AE$2,$F327&gt;=AE$2),1,0)</f>
        <v/>
      </c>
      <c r="AF327">
        <f>AF326+IF(AND($E327&lt;&gt;"",$E327&lt;=AF$2,$F327&gt;=AF$2),1,0)</f>
        <v/>
      </c>
      <c r="AG327">
        <f>AG326+IF(AND($E327&lt;&gt;"",$E327&lt;=AG$2,$F327&gt;=AG$2),1,0)</f>
        <v/>
      </c>
      <c r="AH327">
        <f>AH326+IF(AND($E327&lt;&gt;"",$E327&lt;=AH$2,$F327&gt;=AH$2),1,0)</f>
        <v/>
      </c>
      <c r="AI327">
        <f>AI326+IF(AND($E327&lt;&gt;"",$E327&lt;=AI$2,$F327&gt;=AI$2),1,0)</f>
        <v/>
      </c>
      <c r="AJ327">
        <f>AJ326+IF(AND($E327&lt;&gt;"",$E327&lt;=AJ$2,$F327&gt;=AJ$2),1,0)</f>
        <v/>
      </c>
      <c r="AK327">
        <f>AK326+IF(AND($E327&lt;&gt;"",$E327&lt;=AK$2,$F327&gt;=AK$2),1,0)</f>
        <v/>
      </c>
      <c r="AL327">
        <f>AL326+IF(AND($E327&lt;&gt;"",$E327&lt;=AL$2,$F327&gt;=AL$2),1,0)</f>
        <v/>
      </c>
      <c r="AM327">
        <f>AM326+IF(AND($E327&lt;&gt;"",$E327&lt;=AM$2,$F327&gt;=AM$2),1,0)</f>
        <v/>
      </c>
      <c r="AN327">
        <f>AN326+IF(AND($E327&lt;&gt;"",$E327&lt;=AN$2,$F327&gt;=AN$2),1,0)</f>
        <v/>
      </c>
      <c r="AO327">
        <f>AO326+IF(AND($E327&lt;&gt;"",$E327&lt;=AO$2,$F327&gt;=AO$2),1,0)</f>
        <v/>
      </c>
      <c r="AP327">
        <f>AP326+IF(AND($E327&lt;&gt;"",$E327&lt;=AP$2,$F327&gt;=AP$2),1,0)</f>
        <v/>
      </c>
      <c r="AQ327">
        <f>AQ326+IF(AND($E327&lt;&gt;"",$E327&lt;=AQ$2,$F327&gt;=AQ$2),1,0)</f>
        <v/>
      </c>
      <c r="AR327">
        <f>AR326+IF(AND($E327&lt;&gt;"",$E327&lt;=AR$2,$F327&gt;=AR$2),1,0)</f>
        <v/>
      </c>
      <c r="AS327">
        <f>AS326+IF(AND($E327&lt;&gt;"",$E327&lt;=AS$2,$F327&gt;=AS$2),1,0)</f>
        <v/>
      </c>
      <c r="AT327">
        <f>AT326+IF(AND($E327&lt;&gt;"",$E327&lt;=AT$2,$F327&gt;=AT$2),1,0)</f>
        <v/>
      </c>
      <c r="AU327">
        <f>AU326+IF(AND($E327&lt;&gt;"",$E327&lt;=AU$2,$F327&gt;=AU$2),1,0)</f>
        <v/>
      </c>
      <c r="AV327">
        <f>AV326+IF(AND($E327&lt;&gt;"",$E327&lt;=AV$2,$F327&gt;=AV$2),1,0)</f>
        <v/>
      </c>
      <c r="AW327">
        <f>AW326+IF(AND($E327&lt;&gt;"",$E327&lt;=AW$2,$F327&gt;=AW$2),1,0)</f>
        <v/>
      </c>
    </row>
    <row r="328">
      <c r="A328">
        <f>IF(AND(ISNUMBER(Events!$A330),ISNUMBER(Events!$B330)),MAX(0,Events!$B330-Events!$A330),0)</f>
        <v/>
      </c>
      <c r="B328">
        <f>IF(ISNUMBER(Events!$A330),DATE(YEAR($B$1)-1,MONTH(Events!$A330),DAY(Events!$A330)),"")</f>
        <v/>
      </c>
      <c r="C328">
        <f>IF(ISNUMBER(Events!$A330),DATE(YEAR($B$1),MONTH(Events!$A330),DAY(Events!$A330)),"")</f>
        <v/>
      </c>
      <c r="D328">
        <f>IF(ISNUMBER(Events!$A330),DATE(YEAR($B$2),MONTH(Events!$A330),DAY(Events!$A330)),"")</f>
        <v/>
      </c>
      <c r="E328">
        <f>IF(OR(NOT(ISNUMBER(Events!$A330)),Events!$G330="No",Calendar!$H$4="None"),"",IF(OR(Calendar!$H$4="All events",Events!$D330=Calendar!$H$4),IF(Events!$E330="Yes",IF(AND(B328&gt;=Events!$A330,B328&lt;=$B$2,B328+$A328&gt;=$B$1),B328,IF(AND(C328&gt;=Events!$A330,C328&lt;=$B$2,C328+$A328&gt;=$B$1),C328,IF(AND(D328&gt;=Events!$A330,D328&lt;=$B$2,D328+$A328&gt;=$B$1),D328,""))),IF(AND(Events!$A330&lt;=$B$2,Events!$A330+$A328&gt;=$B$1),Events!$A330,"")),""))</f>
        <v/>
      </c>
      <c r="F328">
        <f>IF(E328="","",E328+A328)</f>
        <v/>
      </c>
      <c r="G328">
        <f>IF(E328="","",IF(AND(E328&lt;=EOMONTH(Calendar!$K$2,0),F328&gt;=Calendar!$K$2),E328+325/100000,""))</f>
        <v/>
      </c>
      <c r="H328">
        <f>H327+IF(AND($E328&lt;&gt;"",$E328&lt;=H$2,$F328&gt;=H$2),1,0)</f>
        <v/>
      </c>
      <c r="I328">
        <f>I327+IF(AND($E328&lt;&gt;"",$E328&lt;=I$2,$F328&gt;=I$2),1,0)</f>
        <v/>
      </c>
      <c r="J328">
        <f>J327+IF(AND($E328&lt;&gt;"",$E328&lt;=J$2,$F328&gt;=J$2),1,0)</f>
        <v/>
      </c>
      <c r="K328">
        <f>K327+IF(AND($E328&lt;&gt;"",$E328&lt;=K$2,$F328&gt;=K$2),1,0)</f>
        <v/>
      </c>
      <c r="L328">
        <f>L327+IF(AND($E328&lt;&gt;"",$E328&lt;=L$2,$F328&gt;=L$2),1,0)</f>
        <v/>
      </c>
      <c r="M328">
        <f>M327+IF(AND($E328&lt;&gt;"",$E328&lt;=M$2,$F328&gt;=M$2),1,0)</f>
        <v/>
      </c>
      <c r="N328">
        <f>N327+IF(AND($E328&lt;&gt;"",$E328&lt;=N$2,$F328&gt;=N$2),1,0)</f>
        <v/>
      </c>
      <c r="O328">
        <f>O327+IF(AND($E328&lt;&gt;"",$E328&lt;=O$2,$F328&gt;=O$2),1,0)</f>
        <v/>
      </c>
      <c r="P328">
        <f>P327+IF(AND($E328&lt;&gt;"",$E328&lt;=P$2,$F328&gt;=P$2),1,0)</f>
        <v/>
      </c>
      <c r="Q328">
        <f>Q327+IF(AND($E328&lt;&gt;"",$E328&lt;=Q$2,$F328&gt;=Q$2),1,0)</f>
        <v/>
      </c>
      <c r="R328">
        <f>R327+IF(AND($E328&lt;&gt;"",$E328&lt;=R$2,$F328&gt;=R$2),1,0)</f>
        <v/>
      </c>
      <c r="S328">
        <f>S327+IF(AND($E328&lt;&gt;"",$E328&lt;=S$2,$F328&gt;=S$2),1,0)</f>
        <v/>
      </c>
      <c r="T328">
        <f>T327+IF(AND($E328&lt;&gt;"",$E328&lt;=T$2,$F328&gt;=T$2),1,0)</f>
        <v/>
      </c>
      <c r="U328">
        <f>U327+IF(AND($E328&lt;&gt;"",$E328&lt;=U$2,$F328&gt;=U$2),1,0)</f>
        <v/>
      </c>
      <c r="V328">
        <f>V327+IF(AND($E328&lt;&gt;"",$E328&lt;=V$2,$F328&gt;=V$2),1,0)</f>
        <v/>
      </c>
      <c r="W328">
        <f>W327+IF(AND($E328&lt;&gt;"",$E328&lt;=W$2,$F328&gt;=W$2),1,0)</f>
        <v/>
      </c>
      <c r="X328">
        <f>X327+IF(AND($E328&lt;&gt;"",$E328&lt;=X$2,$F328&gt;=X$2),1,0)</f>
        <v/>
      </c>
      <c r="Y328">
        <f>Y327+IF(AND($E328&lt;&gt;"",$E328&lt;=Y$2,$F328&gt;=Y$2),1,0)</f>
        <v/>
      </c>
      <c r="Z328">
        <f>Z327+IF(AND($E328&lt;&gt;"",$E328&lt;=Z$2,$F328&gt;=Z$2),1,0)</f>
        <v/>
      </c>
      <c r="AA328">
        <f>AA327+IF(AND($E328&lt;&gt;"",$E328&lt;=AA$2,$F328&gt;=AA$2),1,0)</f>
        <v/>
      </c>
      <c r="AB328">
        <f>AB327+IF(AND($E328&lt;&gt;"",$E328&lt;=AB$2,$F328&gt;=AB$2),1,0)</f>
        <v/>
      </c>
      <c r="AC328">
        <f>AC327+IF(AND($E328&lt;&gt;"",$E328&lt;=AC$2,$F328&gt;=AC$2),1,0)</f>
        <v/>
      </c>
      <c r="AD328">
        <f>AD327+IF(AND($E328&lt;&gt;"",$E328&lt;=AD$2,$F328&gt;=AD$2),1,0)</f>
        <v/>
      </c>
      <c r="AE328">
        <f>AE327+IF(AND($E328&lt;&gt;"",$E328&lt;=AE$2,$F328&gt;=AE$2),1,0)</f>
        <v/>
      </c>
      <c r="AF328">
        <f>AF327+IF(AND($E328&lt;&gt;"",$E328&lt;=AF$2,$F328&gt;=AF$2),1,0)</f>
        <v/>
      </c>
      <c r="AG328">
        <f>AG327+IF(AND($E328&lt;&gt;"",$E328&lt;=AG$2,$F328&gt;=AG$2),1,0)</f>
        <v/>
      </c>
      <c r="AH328">
        <f>AH327+IF(AND($E328&lt;&gt;"",$E328&lt;=AH$2,$F328&gt;=AH$2),1,0)</f>
        <v/>
      </c>
      <c r="AI328">
        <f>AI327+IF(AND($E328&lt;&gt;"",$E328&lt;=AI$2,$F328&gt;=AI$2),1,0)</f>
        <v/>
      </c>
      <c r="AJ328">
        <f>AJ327+IF(AND($E328&lt;&gt;"",$E328&lt;=AJ$2,$F328&gt;=AJ$2),1,0)</f>
        <v/>
      </c>
      <c r="AK328">
        <f>AK327+IF(AND($E328&lt;&gt;"",$E328&lt;=AK$2,$F328&gt;=AK$2),1,0)</f>
        <v/>
      </c>
      <c r="AL328">
        <f>AL327+IF(AND($E328&lt;&gt;"",$E328&lt;=AL$2,$F328&gt;=AL$2),1,0)</f>
        <v/>
      </c>
      <c r="AM328">
        <f>AM327+IF(AND($E328&lt;&gt;"",$E328&lt;=AM$2,$F328&gt;=AM$2),1,0)</f>
        <v/>
      </c>
      <c r="AN328">
        <f>AN327+IF(AND($E328&lt;&gt;"",$E328&lt;=AN$2,$F328&gt;=AN$2),1,0)</f>
        <v/>
      </c>
      <c r="AO328">
        <f>AO327+IF(AND($E328&lt;&gt;"",$E328&lt;=AO$2,$F328&gt;=AO$2),1,0)</f>
        <v/>
      </c>
      <c r="AP328">
        <f>AP327+IF(AND($E328&lt;&gt;"",$E328&lt;=AP$2,$F328&gt;=AP$2),1,0)</f>
        <v/>
      </c>
      <c r="AQ328">
        <f>AQ327+IF(AND($E328&lt;&gt;"",$E328&lt;=AQ$2,$F328&gt;=AQ$2),1,0)</f>
        <v/>
      </c>
      <c r="AR328">
        <f>AR327+IF(AND($E328&lt;&gt;"",$E328&lt;=AR$2,$F328&gt;=AR$2),1,0)</f>
        <v/>
      </c>
      <c r="AS328">
        <f>AS327+IF(AND($E328&lt;&gt;"",$E328&lt;=AS$2,$F328&gt;=AS$2),1,0)</f>
        <v/>
      </c>
      <c r="AT328">
        <f>AT327+IF(AND($E328&lt;&gt;"",$E328&lt;=AT$2,$F328&gt;=AT$2),1,0)</f>
        <v/>
      </c>
      <c r="AU328">
        <f>AU327+IF(AND($E328&lt;&gt;"",$E328&lt;=AU$2,$F328&gt;=AU$2),1,0)</f>
        <v/>
      </c>
      <c r="AV328">
        <f>AV327+IF(AND($E328&lt;&gt;"",$E328&lt;=AV$2,$F328&gt;=AV$2),1,0)</f>
        <v/>
      </c>
      <c r="AW328">
        <f>AW327+IF(AND($E328&lt;&gt;"",$E328&lt;=AW$2,$F328&gt;=AW$2),1,0)</f>
        <v/>
      </c>
    </row>
    <row r="329">
      <c r="A329">
        <f>IF(AND(ISNUMBER(Events!$A331),ISNUMBER(Events!$B331)),MAX(0,Events!$B331-Events!$A331),0)</f>
        <v/>
      </c>
      <c r="B329">
        <f>IF(ISNUMBER(Events!$A331),DATE(YEAR($B$1)-1,MONTH(Events!$A331),DAY(Events!$A331)),"")</f>
        <v/>
      </c>
      <c r="C329">
        <f>IF(ISNUMBER(Events!$A331),DATE(YEAR($B$1),MONTH(Events!$A331),DAY(Events!$A331)),"")</f>
        <v/>
      </c>
      <c r="D329">
        <f>IF(ISNUMBER(Events!$A331),DATE(YEAR($B$2),MONTH(Events!$A331),DAY(Events!$A331)),"")</f>
        <v/>
      </c>
      <c r="E329">
        <f>IF(OR(NOT(ISNUMBER(Events!$A331)),Events!$G331="No",Calendar!$H$4="None"),"",IF(OR(Calendar!$H$4="All events",Events!$D331=Calendar!$H$4),IF(Events!$E331="Yes",IF(AND(B329&gt;=Events!$A331,B329&lt;=$B$2,B329+$A329&gt;=$B$1),B329,IF(AND(C329&gt;=Events!$A331,C329&lt;=$B$2,C329+$A329&gt;=$B$1),C329,IF(AND(D329&gt;=Events!$A331,D329&lt;=$B$2,D329+$A329&gt;=$B$1),D329,""))),IF(AND(Events!$A331&lt;=$B$2,Events!$A331+$A329&gt;=$B$1),Events!$A331,"")),""))</f>
        <v/>
      </c>
      <c r="F329">
        <f>IF(E329="","",E329+A329)</f>
        <v/>
      </c>
      <c r="G329">
        <f>IF(E329="","",IF(AND(E329&lt;=EOMONTH(Calendar!$K$2,0),F329&gt;=Calendar!$K$2),E329+326/100000,""))</f>
        <v/>
      </c>
      <c r="H329">
        <f>H328+IF(AND($E329&lt;&gt;"",$E329&lt;=H$2,$F329&gt;=H$2),1,0)</f>
        <v/>
      </c>
      <c r="I329">
        <f>I328+IF(AND($E329&lt;&gt;"",$E329&lt;=I$2,$F329&gt;=I$2),1,0)</f>
        <v/>
      </c>
      <c r="J329">
        <f>J328+IF(AND($E329&lt;&gt;"",$E329&lt;=J$2,$F329&gt;=J$2),1,0)</f>
        <v/>
      </c>
      <c r="K329">
        <f>K328+IF(AND($E329&lt;&gt;"",$E329&lt;=K$2,$F329&gt;=K$2),1,0)</f>
        <v/>
      </c>
      <c r="L329">
        <f>L328+IF(AND($E329&lt;&gt;"",$E329&lt;=L$2,$F329&gt;=L$2),1,0)</f>
        <v/>
      </c>
      <c r="M329">
        <f>M328+IF(AND($E329&lt;&gt;"",$E329&lt;=M$2,$F329&gt;=M$2),1,0)</f>
        <v/>
      </c>
      <c r="N329">
        <f>N328+IF(AND($E329&lt;&gt;"",$E329&lt;=N$2,$F329&gt;=N$2),1,0)</f>
        <v/>
      </c>
      <c r="O329">
        <f>O328+IF(AND($E329&lt;&gt;"",$E329&lt;=O$2,$F329&gt;=O$2),1,0)</f>
        <v/>
      </c>
      <c r="P329">
        <f>P328+IF(AND($E329&lt;&gt;"",$E329&lt;=P$2,$F329&gt;=P$2),1,0)</f>
        <v/>
      </c>
      <c r="Q329">
        <f>Q328+IF(AND($E329&lt;&gt;"",$E329&lt;=Q$2,$F329&gt;=Q$2),1,0)</f>
        <v/>
      </c>
      <c r="R329">
        <f>R328+IF(AND($E329&lt;&gt;"",$E329&lt;=R$2,$F329&gt;=R$2),1,0)</f>
        <v/>
      </c>
      <c r="S329">
        <f>S328+IF(AND($E329&lt;&gt;"",$E329&lt;=S$2,$F329&gt;=S$2),1,0)</f>
        <v/>
      </c>
      <c r="T329">
        <f>T328+IF(AND($E329&lt;&gt;"",$E329&lt;=T$2,$F329&gt;=T$2),1,0)</f>
        <v/>
      </c>
      <c r="U329">
        <f>U328+IF(AND($E329&lt;&gt;"",$E329&lt;=U$2,$F329&gt;=U$2),1,0)</f>
        <v/>
      </c>
      <c r="V329">
        <f>V328+IF(AND($E329&lt;&gt;"",$E329&lt;=V$2,$F329&gt;=V$2),1,0)</f>
        <v/>
      </c>
      <c r="W329">
        <f>W328+IF(AND($E329&lt;&gt;"",$E329&lt;=W$2,$F329&gt;=W$2),1,0)</f>
        <v/>
      </c>
      <c r="X329">
        <f>X328+IF(AND($E329&lt;&gt;"",$E329&lt;=X$2,$F329&gt;=X$2),1,0)</f>
        <v/>
      </c>
      <c r="Y329">
        <f>Y328+IF(AND($E329&lt;&gt;"",$E329&lt;=Y$2,$F329&gt;=Y$2),1,0)</f>
        <v/>
      </c>
      <c r="Z329">
        <f>Z328+IF(AND($E329&lt;&gt;"",$E329&lt;=Z$2,$F329&gt;=Z$2),1,0)</f>
        <v/>
      </c>
      <c r="AA329">
        <f>AA328+IF(AND($E329&lt;&gt;"",$E329&lt;=AA$2,$F329&gt;=AA$2),1,0)</f>
        <v/>
      </c>
      <c r="AB329">
        <f>AB328+IF(AND($E329&lt;&gt;"",$E329&lt;=AB$2,$F329&gt;=AB$2),1,0)</f>
        <v/>
      </c>
      <c r="AC329">
        <f>AC328+IF(AND($E329&lt;&gt;"",$E329&lt;=AC$2,$F329&gt;=AC$2),1,0)</f>
        <v/>
      </c>
      <c r="AD329">
        <f>AD328+IF(AND($E329&lt;&gt;"",$E329&lt;=AD$2,$F329&gt;=AD$2),1,0)</f>
        <v/>
      </c>
      <c r="AE329">
        <f>AE328+IF(AND($E329&lt;&gt;"",$E329&lt;=AE$2,$F329&gt;=AE$2),1,0)</f>
        <v/>
      </c>
      <c r="AF329">
        <f>AF328+IF(AND($E329&lt;&gt;"",$E329&lt;=AF$2,$F329&gt;=AF$2),1,0)</f>
        <v/>
      </c>
      <c r="AG329">
        <f>AG328+IF(AND($E329&lt;&gt;"",$E329&lt;=AG$2,$F329&gt;=AG$2),1,0)</f>
        <v/>
      </c>
      <c r="AH329">
        <f>AH328+IF(AND($E329&lt;&gt;"",$E329&lt;=AH$2,$F329&gt;=AH$2),1,0)</f>
        <v/>
      </c>
      <c r="AI329">
        <f>AI328+IF(AND($E329&lt;&gt;"",$E329&lt;=AI$2,$F329&gt;=AI$2),1,0)</f>
        <v/>
      </c>
      <c r="AJ329">
        <f>AJ328+IF(AND($E329&lt;&gt;"",$E329&lt;=AJ$2,$F329&gt;=AJ$2),1,0)</f>
        <v/>
      </c>
      <c r="AK329">
        <f>AK328+IF(AND($E329&lt;&gt;"",$E329&lt;=AK$2,$F329&gt;=AK$2),1,0)</f>
        <v/>
      </c>
      <c r="AL329">
        <f>AL328+IF(AND($E329&lt;&gt;"",$E329&lt;=AL$2,$F329&gt;=AL$2),1,0)</f>
        <v/>
      </c>
      <c r="AM329">
        <f>AM328+IF(AND($E329&lt;&gt;"",$E329&lt;=AM$2,$F329&gt;=AM$2),1,0)</f>
        <v/>
      </c>
      <c r="AN329">
        <f>AN328+IF(AND($E329&lt;&gt;"",$E329&lt;=AN$2,$F329&gt;=AN$2),1,0)</f>
        <v/>
      </c>
      <c r="AO329">
        <f>AO328+IF(AND($E329&lt;&gt;"",$E329&lt;=AO$2,$F329&gt;=AO$2),1,0)</f>
        <v/>
      </c>
      <c r="AP329">
        <f>AP328+IF(AND($E329&lt;&gt;"",$E329&lt;=AP$2,$F329&gt;=AP$2),1,0)</f>
        <v/>
      </c>
      <c r="AQ329">
        <f>AQ328+IF(AND($E329&lt;&gt;"",$E329&lt;=AQ$2,$F329&gt;=AQ$2),1,0)</f>
        <v/>
      </c>
      <c r="AR329">
        <f>AR328+IF(AND($E329&lt;&gt;"",$E329&lt;=AR$2,$F329&gt;=AR$2),1,0)</f>
        <v/>
      </c>
      <c r="AS329">
        <f>AS328+IF(AND($E329&lt;&gt;"",$E329&lt;=AS$2,$F329&gt;=AS$2),1,0)</f>
        <v/>
      </c>
      <c r="AT329">
        <f>AT328+IF(AND($E329&lt;&gt;"",$E329&lt;=AT$2,$F329&gt;=AT$2),1,0)</f>
        <v/>
      </c>
      <c r="AU329">
        <f>AU328+IF(AND($E329&lt;&gt;"",$E329&lt;=AU$2,$F329&gt;=AU$2),1,0)</f>
        <v/>
      </c>
      <c r="AV329">
        <f>AV328+IF(AND($E329&lt;&gt;"",$E329&lt;=AV$2,$F329&gt;=AV$2),1,0)</f>
        <v/>
      </c>
      <c r="AW329">
        <f>AW328+IF(AND($E329&lt;&gt;"",$E329&lt;=AW$2,$F329&gt;=AW$2),1,0)</f>
        <v/>
      </c>
    </row>
    <row r="330">
      <c r="A330">
        <f>IF(AND(ISNUMBER(Events!$A332),ISNUMBER(Events!$B332)),MAX(0,Events!$B332-Events!$A332),0)</f>
        <v/>
      </c>
      <c r="B330">
        <f>IF(ISNUMBER(Events!$A332),DATE(YEAR($B$1)-1,MONTH(Events!$A332),DAY(Events!$A332)),"")</f>
        <v/>
      </c>
      <c r="C330">
        <f>IF(ISNUMBER(Events!$A332),DATE(YEAR($B$1),MONTH(Events!$A332),DAY(Events!$A332)),"")</f>
        <v/>
      </c>
      <c r="D330">
        <f>IF(ISNUMBER(Events!$A332),DATE(YEAR($B$2),MONTH(Events!$A332),DAY(Events!$A332)),"")</f>
        <v/>
      </c>
      <c r="E330">
        <f>IF(OR(NOT(ISNUMBER(Events!$A332)),Events!$G332="No",Calendar!$H$4="None"),"",IF(OR(Calendar!$H$4="All events",Events!$D332=Calendar!$H$4),IF(Events!$E332="Yes",IF(AND(B330&gt;=Events!$A332,B330&lt;=$B$2,B330+$A330&gt;=$B$1),B330,IF(AND(C330&gt;=Events!$A332,C330&lt;=$B$2,C330+$A330&gt;=$B$1),C330,IF(AND(D330&gt;=Events!$A332,D330&lt;=$B$2,D330+$A330&gt;=$B$1),D330,""))),IF(AND(Events!$A332&lt;=$B$2,Events!$A332+$A330&gt;=$B$1),Events!$A332,"")),""))</f>
        <v/>
      </c>
      <c r="F330">
        <f>IF(E330="","",E330+A330)</f>
        <v/>
      </c>
      <c r="G330">
        <f>IF(E330="","",IF(AND(E330&lt;=EOMONTH(Calendar!$K$2,0),F330&gt;=Calendar!$K$2),E330+327/100000,""))</f>
        <v/>
      </c>
      <c r="H330">
        <f>H329+IF(AND($E330&lt;&gt;"",$E330&lt;=H$2,$F330&gt;=H$2),1,0)</f>
        <v/>
      </c>
      <c r="I330">
        <f>I329+IF(AND($E330&lt;&gt;"",$E330&lt;=I$2,$F330&gt;=I$2),1,0)</f>
        <v/>
      </c>
      <c r="J330">
        <f>J329+IF(AND($E330&lt;&gt;"",$E330&lt;=J$2,$F330&gt;=J$2),1,0)</f>
        <v/>
      </c>
      <c r="K330">
        <f>K329+IF(AND($E330&lt;&gt;"",$E330&lt;=K$2,$F330&gt;=K$2),1,0)</f>
        <v/>
      </c>
      <c r="L330">
        <f>L329+IF(AND($E330&lt;&gt;"",$E330&lt;=L$2,$F330&gt;=L$2),1,0)</f>
        <v/>
      </c>
      <c r="M330">
        <f>M329+IF(AND($E330&lt;&gt;"",$E330&lt;=M$2,$F330&gt;=M$2),1,0)</f>
        <v/>
      </c>
      <c r="N330">
        <f>N329+IF(AND($E330&lt;&gt;"",$E330&lt;=N$2,$F330&gt;=N$2),1,0)</f>
        <v/>
      </c>
      <c r="O330">
        <f>O329+IF(AND($E330&lt;&gt;"",$E330&lt;=O$2,$F330&gt;=O$2),1,0)</f>
        <v/>
      </c>
      <c r="P330">
        <f>P329+IF(AND($E330&lt;&gt;"",$E330&lt;=P$2,$F330&gt;=P$2),1,0)</f>
        <v/>
      </c>
      <c r="Q330">
        <f>Q329+IF(AND($E330&lt;&gt;"",$E330&lt;=Q$2,$F330&gt;=Q$2),1,0)</f>
        <v/>
      </c>
      <c r="R330">
        <f>R329+IF(AND($E330&lt;&gt;"",$E330&lt;=R$2,$F330&gt;=R$2),1,0)</f>
        <v/>
      </c>
      <c r="S330">
        <f>S329+IF(AND($E330&lt;&gt;"",$E330&lt;=S$2,$F330&gt;=S$2),1,0)</f>
        <v/>
      </c>
      <c r="T330">
        <f>T329+IF(AND($E330&lt;&gt;"",$E330&lt;=T$2,$F330&gt;=T$2),1,0)</f>
        <v/>
      </c>
      <c r="U330">
        <f>U329+IF(AND($E330&lt;&gt;"",$E330&lt;=U$2,$F330&gt;=U$2),1,0)</f>
        <v/>
      </c>
      <c r="V330">
        <f>V329+IF(AND($E330&lt;&gt;"",$E330&lt;=V$2,$F330&gt;=V$2),1,0)</f>
        <v/>
      </c>
      <c r="W330">
        <f>W329+IF(AND($E330&lt;&gt;"",$E330&lt;=W$2,$F330&gt;=W$2),1,0)</f>
        <v/>
      </c>
      <c r="X330">
        <f>X329+IF(AND($E330&lt;&gt;"",$E330&lt;=X$2,$F330&gt;=X$2),1,0)</f>
        <v/>
      </c>
      <c r="Y330">
        <f>Y329+IF(AND($E330&lt;&gt;"",$E330&lt;=Y$2,$F330&gt;=Y$2),1,0)</f>
        <v/>
      </c>
      <c r="Z330">
        <f>Z329+IF(AND($E330&lt;&gt;"",$E330&lt;=Z$2,$F330&gt;=Z$2),1,0)</f>
        <v/>
      </c>
      <c r="AA330">
        <f>AA329+IF(AND($E330&lt;&gt;"",$E330&lt;=AA$2,$F330&gt;=AA$2),1,0)</f>
        <v/>
      </c>
      <c r="AB330">
        <f>AB329+IF(AND($E330&lt;&gt;"",$E330&lt;=AB$2,$F330&gt;=AB$2),1,0)</f>
        <v/>
      </c>
      <c r="AC330">
        <f>AC329+IF(AND($E330&lt;&gt;"",$E330&lt;=AC$2,$F330&gt;=AC$2),1,0)</f>
        <v/>
      </c>
      <c r="AD330">
        <f>AD329+IF(AND($E330&lt;&gt;"",$E330&lt;=AD$2,$F330&gt;=AD$2),1,0)</f>
        <v/>
      </c>
      <c r="AE330">
        <f>AE329+IF(AND($E330&lt;&gt;"",$E330&lt;=AE$2,$F330&gt;=AE$2),1,0)</f>
        <v/>
      </c>
      <c r="AF330">
        <f>AF329+IF(AND($E330&lt;&gt;"",$E330&lt;=AF$2,$F330&gt;=AF$2),1,0)</f>
        <v/>
      </c>
      <c r="AG330">
        <f>AG329+IF(AND($E330&lt;&gt;"",$E330&lt;=AG$2,$F330&gt;=AG$2),1,0)</f>
        <v/>
      </c>
      <c r="AH330">
        <f>AH329+IF(AND($E330&lt;&gt;"",$E330&lt;=AH$2,$F330&gt;=AH$2),1,0)</f>
        <v/>
      </c>
      <c r="AI330">
        <f>AI329+IF(AND($E330&lt;&gt;"",$E330&lt;=AI$2,$F330&gt;=AI$2),1,0)</f>
        <v/>
      </c>
      <c r="AJ330">
        <f>AJ329+IF(AND($E330&lt;&gt;"",$E330&lt;=AJ$2,$F330&gt;=AJ$2),1,0)</f>
        <v/>
      </c>
      <c r="AK330">
        <f>AK329+IF(AND($E330&lt;&gt;"",$E330&lt;=AK$2,$F330&gt;=AK$2),1,0)</f>
        <v/>
      </c>
      <c r="AL330">
        <f>AL329+IF(AND($E330&lt;&gt;"",$E330&lt;=AL$2,$F330&gt;=AL$2),1,0)</f>
        <v/>
      </c>
      <c r="AM330">
        <f>AM329+IF(AND($E330&lt;&gt;"",$E330&lt;=AM$2,$F330&gt;=AM$2),1,0)</f>
        <v/>
      </c>
      <c r="AN330">
        <f>AN329+IF(AND($E330&lt;&gt;"",$E330&lt;=AN$2,$F330&gt;=AN$2),1,0)</f>
        <v/>
      </c>
      <c r="AO330">
        <f>AO329+IF(AND($E330&lt;&gt;"",$E330&lt;=AO$2,$F330&gt;=AO$2),1,0)</f>
        <v/>
      </c>
      <c r="AP330">
        <f>AP329+IF(AND($E330&lt;&gt;"",$E330&lt;=AP$2,$F330&gt;=AP$2),1,0)</f>
        <v/>
      </c>
      <c r="AQ330">
        <f>AQ329+IF(AND($E330&lt;&gt;"",$E330&lt;=AQ$2,$F330&gt;=AQ$2),1,0)</f>
        <v/>
      </c>
      <c r="AR330">
        <f>AR329+IF(AND($E330&lt;&gt;"",$E330&lt;=AR$2,$F330&gt;=AR$2),1,0)</f>
        <v/>
      </c>
      <c r="AS330">
        <f>AS329+IF(AND($E330&lt;&gt;"",$E330&lt;=AS$2,$F330&gt;=AS$2),1,0)</f>
        <v/>
      </c>
      <c r="AT330">
        <f>AT329+IF(AND($E330&lt;&gt;"",$E330&lt;=AT$2,$F330&gt;=AT$2),1,0)</f>
        <v/>
      </c>
      <c r="AU330">
        <f>AU329+IF(AND($E330&lt;&gt;"",$E330&lt;=AU$2,$F330&gt;=AU$2),1,0)</f>
        <v/>
      </c>
      <c r="AV330">
        <f>AV329+IF(AND($E330&lt;&gt;"",$E330&lt;=AV$2,$F330&gt;=AV$2),1,0)</f>
        <v/>
      </c>
      <c r="AW330">
        <f>AW329+IF(AND($E330&lt;&gt;"",$E330&lt;=AW$2,$F330&gt;=AW$2),1,0)</f>
        <v/>
      </c>
    </row>
    <row r="331">
      <c r="A331">
        <f>IF(AND(ISNUMBER(Events!$A333),ISNUMBER(Events!$B333)),MAX(0,Events!$B333-Events!$A333),0)</f>
        <v/>
      </c>
      <c r="B331">
        <f>IF(ISNUMBER(Events!$A333),DATE(YEAR($B$1)-1,MONTH(Events!$A333),DAY(Events!$A333)),"")</f>
        <v/>
      </c>
      <c r="C331">
        <f>IF(ISNUMBER(Events!$A333),DATE(YEAR($B$1),MONTH(Events!$A333),DAY(Events!$A333)),"")</f>
        <v/>
      </c>
      <c r="D331">
        <f>IF(ISNUMBER(Events!$A333),DATE(YEAR($B$2),MONTH(Events!$A333),DAY(Events!$A333)),"")</f>
        <v/>
      </c>
      <c r="E331">
        <f>IF(OR(NOT(ISNUMBER(Events!$A333)),Events!$G333="No",Calendar!$H$4="None"),"",IF(OR(Calendar!$H$4="All events",Events!$D333=Calendar!$H$4),IF(Events!$E333="Yes",IF(AND(B331&gt;=Events!$A333,B331&lt;=$B$2,B331+$A331&gt;=$B$1),B331,IF(AND(C331&gt;=Events!$A333,C331&lt;=$B$2,C331+$A331&gt;=$B$1),C331,IF(AND(D331&gt;=Events!$A333,D331&lt;=$B$2,D331+$A331&gt;=$B$1),D331,""))),IF(AND(Events!$A333&lt;=$B$2,Events!$A333+$A331&gt;=$B$1),Events!$A333,"")),""))</f>
        <v/>
      </c>
      <c r="F331">
        <f>IF(E331="","",E331+A331)</f>
        <v/>
      </c>
      <c r="G331">
        <f>IF(E331="","",IF(AND(E331&lt;=EOMONTH(Calendar!$K$2,0),F331&gt;=Calendar!$K$2),E331+328/100000,""))</f>
        <v/>
      </c>
      <c r="H331">
        <f>H330+IF(AND($E331&lt;&gt;"",$E331&lt;=H$2,$F331&gt;=H$2),1,0)</f>
        <v/>
      </c>
      <c r="I331">
        <f>I330+IF(AND($E331&lt;&gt;"",$E331&lt;=I$2,$F331&gt;=I$2),1,0)</f>
        <v/>
      </c>
      <c r="J331">
        <f>J330+IF(AND($E331&lt;&gt;"",$E331&lt;=J$2,$F331&gt;=J$2),1,0)</f>
        <v/>
      </c>
      <c r="K331">
        <f>K330+IF(AND($E331&lt;&gt;"",$E331&lt;=K$2,$F331&gt;=K$2),1,0)</f>
        <v/>
      </c>
      <c r="L331">
        <f>L330+IF(AND($E331&lt;&gt;"",$E331&lt;=L$2,$F331&gt;=L$2),1,0)</f>
        <v/>
      </c>
      <c r="M331">
        <f>M330+IF(AND($E331&lt;&gt;"",$E331&lt;=M$2,$F331&gt;=M$2),1,0)</f>
        <v/>
      </c>
      <c r="N331">
        <f>N330+IF(AND($E331&lt;&gt;"",$E331&lt;=N$2,$F331&gt;=N$2),1,0)</f>
        <v/>
      </c>
      <c r="O331">
        <f>O330+IF(AND($E331&lt;&gt;"",$E331&lt;=O$2,$F331&gt;=O$2),1,0)</f>
        <v/>
      </c>
      <c r="P331">
        <f>P330+IF(AND($E331&lt;&gt;"",$E331&lt;=P$2,$F331&gt;=P$2),1,0)</f>
        <v/>
      </c>
      <c r="Q331">
        <f>Q330+IF(AND($E331&lt;&gt;"",$E331&lt;=Q$2,$F331&gt;=Q$2),1,0)</f>
        <v/>
      </c>
      <c r="R331">
        <f>R330+IF(AND($E331&lt;&gt;"",$E331&lt;=R$2,$F331&gt;=R$2),1,0)</f>
        <v/>
      </c>
      <c r="S331">
        <f>S330+IF(AND($E331&lt;&gt;"",$E331&lt;=S$2,$F331&gt;=S$2),1,0)</f>
        <v/>
      </c>
      <c r="T331">
        <f>T330+IF(AND($E331&lt;&gt;"",$E331&lt;=T$2,$F331&gt;=T$2),1,0)</f>
        <v/>
      </c>
      <c r="U331">
        <f>U330+IF(AND($E331&lt;&gt;"",$E331&lt;=U$2,$F331&gt;=U$2),1,0)</f>
        <v/>
      </c>
      <c r="V331">
        <f>V330+IF(AND($E331&lt;&gt;"",$E331&lt;=V$2,$F331&gt;=V$2),1,0)</f>
        <v/>
      </c>
      <c r="W331">
        <f>W330+IF(AND($E331&lt;&gt;"",$E331&lt;=W$2,$F331&gt;=W$2),1,0)</f>
        <v/>
      </c>
      <c r="X331">
        <f>X330+IF(AND($E331&lt;&gt;"",$E331&lt;=X$2,$F331&gt;=X$2),1,0)</f>
        <v/>
      </c>
      <c r="Y331">
        <f>Y330+IF(AND($E331&lt;&gt;"",$E331&lt;=Y$2,$F331&gt;=Y$2),1,0)</f>
        <v/>
      </c>
      <c r="Z331">
        <f>Z330+IF(AND($E331&lt;&gt;"",$E331&lt;=Z$2,$F331&gt;=Z$2),1,0)</f>
        <v/>
      </c>
      <c r="AA331">
        <f>AA330+IF(AND($E331&lt;&gt;"",$E331&lt;=AA$2,$F331&gt;=AA$2),1,0)</f>
        <v/>
      </c>
      <c r="AB331">
        <f>AB330+IF(AND($E331&lt;&gt;"",$E331&lt;=AB$2,$F331&gt;=AB$2),1,0)</f>
        <v/>
      </c>
      <c r="AC331">
        <f>AC330+IF(AND($E331&lt;&gt;"",$E331&lt;=AC$2,$F331&gt;=AC$2),1,0)</f>
        <v/>
      </c>
      <c r="AD331">
        <f>AD330+IF(AND($E331&lt;&gt;"",$E331&lt;=AD$2,$F331&gt;=AD$2),1,0)</f>
        <v/>
      </c>
      <c r="AE331">
        <f>AE330+IF(AND($E331&lt;&gt;"",$E331&lt;=AE$2,$F331&gt;=AE$2),1,0)</f>
        <v/>
      </c>
      <c r="AF331">
        <f>AF330+IF(AND($E331&lt;&gt;"",$E331&lt;=AF$2,$F331&gt;=AF$2),1,0)</f>
        <v/>
      </c>
      <c r="AG331">
        <f>AG330+IF(AND($E331&lt;&gt;"",$E331&lt;=AG$2,$F331&gt;=AG$2),1,0)</f>
        <v/>
      </c>
      <c r="AH331">
        <f>AH330+IF(AND($E331&lt;&gt;"",$E331&lt;=AH$2,$F331&gt;=AH$2),1,0)</f>
        <v/>
      </c>
      <c r="AI331">
        <f>AI330+IF(AND($E331&lt;&gt;"",$E331&lt;=AI$2,$F331&gt;=AI$2),1,0)</f>
        <v/>
      </c>
      <c r="AJ331">
        <f>AJ330+IF(AND($E331&lt;&gt;"",$E331&lt;=AJ$2,$F331&gt;=AJ$2),1,0)</f>
        <v/>
      </c>
      <c r="AK331">
        <f>AK330+IF(AND($E331&lt;&gt;"",$E331&lt;=AK$2,$F331&gt;=AK$2),1,0)</f>
        <v/>
      </c>
      <c r="AL331">
        <f>AL330+IF(AND($E331&lt;&gt;"",$E331&lt;=AL$2,$F331&gt;=AL$2),1,0)</f>
        <v/>
      </c>
      <c r="AM331">
        <f>AM330+IF(AND($E331&lt;&gt;"",$E331&lt;=AM$2,$F331&gt;=AM$2),1,0)</f>
        <v/>
      </c>
      <c r="AN331">
        <f>AN330+IF(AND($E331&lt;&gt;"",$E331&lt;=AN$2,$F331&gt;=AN$2),1,0)</f>
        <v/>
      </c>
      <c r="AO331">
        <f>AO330+IF(AND($E331&lt;&gt;"",$E331&lt;=AO$2,$F331&gt;=AO$2),1,0)</f>
        <v/>
      </c>
      <c r="AP331">
        <f>AP330+IF(AND($E331&lt;&gt;"",$E331&lt;=AP$2,$F331&gt;=AP$2),1,0)</f>
        <v/>
      </c>
      <c r="AQ331">
        <f>AQ330+IF(AND($E331&lt;&gt;"",$E331&lt;=AQ$2,$F331&gt;=AQ$2),1,0)</f>
        <v/>
      </c>
      <c r="AR331">
        <f>AR330+IF(AND($E331&lt;&gt;"",$E331&lt;=AR$2,$F331&gt;=AR$2),1,0)</f>
        <v/>
      </c>
      <c r="AS331">
        <f>AS330+IF(AND($E331&lt;&gt;"",$E331&lt;=AS$2,$F331&gt;=AS$2),1,0)</f>
        <v/>
      </c>
      <c r="AT331">
        <f>AT330+IF(AND($E331&lt;&gt;"",$E331&lt;=AT$2,$F331&gt;=AT$2),1,0)</f>
        <v/>
      </c>
      <c r="AU331">
        <f>AU330+IF(AND($E331&lt;&gt;"",$E331&lt;=AU$2,$F331&gt;=AU$2),1,0)</f>
        <v/>
      </c>
      <c r="AV331">
        <f>AV330+IF(AND($E331&lt;&gt;"",$E331&lt;=AV$2,$F331&gt;=AV$2),1,0)</f>
        <v/>
      </c>
      <c r="AW331">
        <f>AW330+IF(AND($E331&lt;&gt;"",$E331&lt;=AW$2,$F331&gt;=AW$2),1,0)</f>
        <v/>
      </c>
    </row>
    <row r="332">
      <c r="A332">
        <f>IF(AND(ISNUMBER(Events!$A334),ISNUMBER(Events!$B334)),MAX(0,Events!$B334-Events!$A334),0)</f>
        <v/>
      </c>
      <c r="B332">
        <f>IF(ISNUMBER(Events!$A334),DATE(YEAR($B$1)-1,MONTH(Events!$A334),DAY(Events!$A334)),"")</f>
        <v/>
      </c>
      <c r="C332">
        <f>IF(ISNUMBER(Events!$A334),DATE(YEAR($B$1),MONTH(Events!$A334),DAY(Events!$A334)),"")</f>
        <v/>
      </c>
      <c r="D332">
        <f>IF(ISNUMBER(Events!$A334),DATE(YEAR($B$2),MONTH(Events!$A334),DAY(Events!$A334)),"")</f>
        <v/>
      </c>
      <c r="E332">
        <f>IF(OR(NOT(ISNUMBER(Events!$A334)),Events!$G334="No",Calendar!$H$4="None"),"",IF(OR(Calendar!$H$4="All events",Events!$D334=Calendar!$H$4),IF(Events!$E334="Yes",IF(AND(B332&gt;=Events!$A334,B332&lt;=$B$2,B332+$A332&gt;=$B$1),B332,IF(AND(C332&gt;=Events!$A334,C332&lt;=$B$2,C332+$A332&gt;=$B$1),C332,IF(AND(D332&gt;=Events!$A334,D332&lt;=$B$2,D332+$A332&gt;=$B$1),D332,""))),IF(AND(Events!$A334&lt;=$B$2,Events!$A334+$A332&gt;=$B$1),Events!$A334,"")),""))</f>
        <v/>
      </c>
      <c r="F332">
        <f>IF(E332="","",E332+A332)</f>
        <v/>
      </c>
      <c r="G332">
        <f>IF(E332="","",IF(AND(E332&lt;=EOMONTH(Calendar!$K$2,0),F332&gt;=Calendar!$K$2),E332+329/100000,""))</f>
        <v/>
      </c>
      <c r="H332">
        <f>H331+IF(AND($E332&lt;&gt;"",$E332&lt;=H$2,$F332&gt;=H$2),1,0)</f>
        <v/>
      </c>
      <c r="I332">
        <f>I331+IF(AND($E332&lt;&gt;"",$E332&lt;=I$2,$F332&gt;=I$2),1,0)</f>
        <v/>
      </c>
      <c r="J332">
        <f>J331+IF(AND($E332&lt;&gt;"",$E332&lt;=J$2,$F332&gt;=J$2),1,0)</f>
        <v/>
      </c>
      <c r="K332">
        <f>K331+IF(AND($E332&lt;&gt;"",$E332&lt;=K$2,$F332&gt;=K$2),1,0)</f>
        <v/>
      </c>
      <c r="L332">
        <f>L331+IF(AND($E332&lt;&gt;"",$E332&lt;=L$2,$F332&gt;=L$2),1,0)</f>
        <v/>
      </c>
      <c r="M332">
        <f>M331+IF(AND($E332&lt;&gt;"",$E332&lt;=M$2,$F332&gt;=M$2),1,0)</f>
        <v/>
      </c>
      <c r="N332">
        <f>N331+IF(AND($E332&lt;&gt;"",$E332&lt;=N$2,$F332&gt;=N$2),1,0)</f>
        <v/>
      </c>
      <c r="O332">
        <f>O331+IF(AND($E332&lt;&gt;"",$E332&lt;=O$2,$F332&gt;=O$2),1,0)</f>
        <v/>
      </c>
      <c r="P332">
        <f>P331+IF(AND($E332&lt;&gt;"",$E332&lt;=P$2,$F332&gt;=P$2),1,0)</f>
        <v/>
      </c>
      <c r="Q332">
        <f>Q331+IF(AND($E332&lt;&gt;"",$E332&lt;=Q$2,$F332&gt;=Q$2),1,0)</f>
        <v/>
      </c>
      <c r="R332">
        <f>R331+IF(AND($E332&lt;&gt;"",$E332&lt;=R$2,$F332&gt;=R$2),1,0)</f>
        <v/>
      </c>
      <c r="S332">
        <f>S331+IF(AND($E332&lt;&gt;"",$E332&lt;=S$2,$F332&gt;=S$2),1,0)</f>
        <v/>
      </c>
      <c r="T332">
        <f>T331+IF(AND($E332&lt;&gt;"",$E332&lt;=T$2,$F332&gt;=T$2),1,0)</f>
        <v/>
      </c>
      <c r="U332">
        <f>U331+IF(AND($E332&lt;&gt;"",$E332&lt;=U$2,$F332&gt;=U$2),1,0)</f>
        <v/>
      </c>
      <c r="V332">
        <f>V331+IF(AND($E332&lt;&gt;"",$E332&lt;=V$2,$F332&gt;=V$2),1,0)</f>
        <v/>
      </c>
      <c r="W332">
        <f>W331+IF(AND($E332&lt;&gt;"",$E332&lt;=W$2,$F332&gt;=W$2),1,0)</f>
        <v/>
      </c>
      <c r="X332">
        <f>X331+IF(AND($E332&lt;&gt;"",$E332&lt;=X$2,$F332&gt;=X$2),1,0)</f>
        <v/>
      </c>
      <c r="Y332">
        <f>Y331+IF(AND($E332&lt;&gt;"",$E332&lt;=Y$2,$F332&gt;=Y$2),1,0)</f>
        <v/>
      </c>
      <c r="Z332">
        <f>Z331+IF(AND($E332&lt;&gt;"",$E332&lt;=Z$2,$F332&gt;=Z$2),1,0)</f>
        <v/>
      </c>
      <c r="AA332">
        <f>AA331+IF(AND($E332&lt;&gt;"",$E332&lt;=AA$2,$F332&gt;=AA$2),1,0)</f>
        <v/>
      </c>
      <c r="AB332">
        <f>AB331+IF(AND($E332&lt;&gt;"",$E332&lt;=AB$2,$F332&gt;=AB$2),1,0)</f>
        <v/>
      </c>
      <c r="AC332">
        <f>AC331+IF(AND($E332&lt;&gt;"",$E332&lt;=AC$2,$F332&gt;=AC$2),1,0)</f>
        <v/>
      </c>
      <c r="AD332">
        <f>AD331+IF(AND($E332&lt;&gt;"",$E332&lt;=AD$2,$F332&gt;=AD$2),1,0)</f>
        <v/>
      </c>
      <c r="AE332">
        <f>AE331+IF(AND($E332&lt;&gt;"",$E332&lt;=AE$2,$F332&gt;=AE$2),1,0)</f>
        <v/>
      </c>
      <c r="AF332">
        <f>AF331+IF(AND($E332&lt;&gt;"",$E332&lt;=AF$2,$F332&gt;=AF$2),1,0)</f>
        <v/>
      </c>
      <c r="AG332">
        <f>AG331+IF(AND($E332&lt;&gt;"",$E332&lt;=AG$2,$F332&gt;=AG$2),1,0)</f>
        <v/>
      </c>
      <c r="AH332">
        <f>AH331+IF(AND($E332&lt;&gt;"",$E332&lt;=AH$2,$F332&gt;=AH$2),1,0)</f>
        <v/>
      </c>
      <c r="AI332">
        <f>AI331+IF(AND($E332&lt;&gt;"",$E332&lt;=AI$2,$F332&gt;=AI$2),1,0)</f>
        <v/>
      </c>
      <c r="AJ332">
        <f>AJ331+IF(AND($E332&lt;&gt;"",$E332&lt;=AJ$2,$F332&gt;=AJ$2),1,0)</f>
        <v/>
      </c>
      <c r="AK332">
        <f>AK331+IF(AND($E332&lt;&gt;"",$E332&lt;=AK$2,$F332&gt;=AK$2),1,0)</f>
        <v/>
      </c>
      <c r="AL332">
        <f>AL331+IF(AND($E332&lt;&gt;"",$E332&lt;=AL$2,$F332&gt;=AL$2),1,0)</f>
        <v/>
      </c>
      <c r="AM332">
        <f>AM331+IF(AND($E332&lt;&gt;"",$E332&lt;=AM$2,$F332&gt;=AM$2),1,0)</f>
        <v/>
      </c>
      <c r="AN332">
        <f>AN331+IF(AND($E332&lt;&gt;"",$E332&lt;=AN$2,$F332&gt;=AN$2),1,0)</f>
        <v/>
      </c>
      <c r="AO332">
        <f>AO331+IF(AND($E332&lt;&gt;"",$E332&lt;=AO$2,$F332&gt;=AO$2),1,0)</f>
        <v/>
      </c>
      <c r="AP332">
        <f>AP331+IF(AND($E332&lt;&gt;"",$E332&lt;=AP$2,$F332&gt;=AP$2),1,0)</f>
        <v/>
      </c>
      <c r="AQ332">
        <f>AQ331+IF(AND($E332&lt;&gt;"",$E332&lt;=AQ$2,$F332&gt;=AQ$2),1,0)</f>
        <v/>
      </c>
      <c r="AR332">
        <f>AR331+IF(AND($E332&lt;&gt;"",$E332&lt;=AR$2,$F332&gt;=AR$2),1,0)</f>
        <v/>
      </c>
      <c r="AS332">
        <f>AS331+IF(AND($E332&lt;&gt;"",$E332&lt;=AS$2,$F332&gt;=AS$2),1,0)</f>
        <v/>
      </c>
      <c r="AT332">
        <f>AT331+IF(AND($E332&lt;&gt;"",$E332&lt;=AT$2,$F332&gt;=AT$2),1,0)</f>
        <v/>
      </c>
      <c r="AU332">
        <f>AU331+IF(AND($E332&lt;&gt;"",$E332&lt;=AU$2,$F332&gt;=AU$2),1,0)</f>
        <v/>
      </c>
      <c r="AV332">
        <f>AV331+IF(AND($E332&lt;&gt;"",$E332&lt;=AV$2,$F332&gt;=AV$2),1,0)</f>
        <v/>
      </c>
      <c r="AW332">
        <f>AW331+IF(AND($E332&lt;&gt;"",$E332&lt;=AW$2,$F332&gt;=AW$2),1,0)</f>
        <v/>
      </c>
    </row>
    <row r="333">
      <c r="A333">
        <f>IF(AND(ISNUMBER(Events!$A335),ISNUMBER(Events!$B335)),MAX(0,Events!$B335-Events!$A335),0)</f>
        <v/>
      </c>
      <c r="B333">
        <f>IF(ISNUMBER(Events!$A335),DATE(YEAR($B$1)-1,MONTH(Events!$A335),DAY(Events!$A335)),"")</f>
        <v/>
      </c>
      <c r="C333">
        <f>IF(ISNUMBER(Events!$A335),DATE(YEAR($B$1),MONTH(Events!$A335),DAY(Events!$A335)),"")</f>
        <v/>
      </c>
      <c r="D333">
        <f>IF(ISNUMBER(Events!$A335),DATE(YEAR($B$2),MONTH(Events!$A335),DAY(Events!$A335)),"")</f>
        <v/>
      </c>
      <c r="E333">
        <f>IF(OR(NOT(ISNUMBER(Events!$A335)),Events!$G335="No",Calendar!$H$4="None"),"",IF(OR(Calendar!$H$4="All events",Events!$D335=Calendar!$H$4),IF(Events!$E335="Yes",IF(AND(B333&gt;=Events!$A335,B333&lt;=$B$2,B333+$A333&gt;=$B$1),B333,IF(AND(C333&gt;=Events!$A335,C333&lt;=$B$2,C333+$A333&gt;=$B$1),C333,IF(AND(D333&gt;=Events!$A335,D333&lt;=$B$2,D333+$A333&gt;=$B$1),D333,""))),IF(AND(Events!$A335&lt;=$B$2,Events!$A335+$A333&gt;=$B$1),Events!$A335,"")),""))</f>
        <v/>
      </c>
      <c r="F333">
        <f>IF(E333="","",E333+A333)</f>
        <v/>
      </c>
      <c r="G333">
        <f>IF(E333="","",IF(AND(E333&lt;=EOMONTH(Calendar!$K$2,0),F333&gt;=Calendar!$K$2),E333+330/100000,""))</f>
        <v/>
      </c>
      <c r="H333">
        <f>H332+IF(AND($E333&lt;&gt;"",$E333&lt;=H$2,$F333&gt;=H$2),1,0)</f>
        <v/>
      </c>
      <c r="I333">
        <f>I332+IF(AND($E333&lt;&gt;"",$E333&lt;=I$2,$F333&gt;=I$2),1,0)</f>
        <v/>
      </c>
      <c r="J333">
        <f>J332+IF(AND($E333&lt;&gt;"",$E333&lt;=J$2,$F333&gt;=J$2),1,0)</f>
        <v/>
      </c>
      <c r="K333">
        <f>K332+IF(AND($E333&lt;&gt;"",$E333&lt;=K$2,$F333&gt;=K$2),1,0)</f>
        <v/>
      </c>
      <c r="L333">
        <f>L332+IF(AND($E333&lt;&gt;"",$E333&lt;=L$2,$F333&gt;=L$2),1,0)</f>
        <v/>
      </c>
      <c r="M333">
        <f>M332+IF(AND($E333&lt;&gt;"",$E333&lt;=M$2,$F333&gt;=M$2),1,0)</f>
        <v/>
      </c>
      <c r="N333">
        <f>N332+IF(AND($E333&lt;&gt;"",$E333&lt;=N$2,$F333&gt;=N$2),1,0)</f>
        <v/>
      </c>
      <c r="O333">
        <f>O332+IF(AND($E333&lt;&gt;"",$E333&lt;=O$2,$F333&gt;=O$2),1,0)</f>
        <v/>
      </c>
      <c r="P333">
        <f>P332+IF(AND($E333&lt;&gt;"",$E333&lt;=P$2,$F333&gt;=P$2),1,0)</f>
        <v/>
      </c>
      <c r="Q333">
        <f>Q332+IF(AND($E333&lt;&gt;"",$E333&lt;=Q$2,$F333&gt;=Q$2),1,0)</f>
        <v/>
      </c>
      <c r="R333">
        <f>R332+IF(AND($E333&lt;&gt;"",$E333&lt;=R$2,$F333&gt;=R$2),1,0)</f>
        <v/>
      </c>
      <c r="S333">
        <f>S332+IF(AND($E333&lt;&gt;"",$E333&lt;=S$2,$F333&gt;=S$2),1,0)</f>
        <v/>
      </c>
      <c r="T333">
        <f>T332+IF(AND($E333&lt;&gt;"",$E333&lt;=T$2,$F333&gt;=T$2),1,0)</f>
        <v/>
      </c>
      <c r="U333">
        <f>U332+IF(AND($E333&lt;&gt;"",$E333&lt;=U$2,$F333&gt;=U$2),1,0)</f>
        <v/>
      </c>
      <c r="V333">
        <f>V332+IF(AND($E333&lt;&gt;"",$E333&lt;=V$2,$F333&gt;=V$2),1,0)</f>
        <v/>
      </c>
      <c r="W333">
        <f>W332+IF(AND($E333&lt;&gt;"",$E333&lt;=W$2,$F333&gt;=W$2),1,0)</f>
        <v/>
      </c>
      <c r="X333">
        <f>X332+IF(AND($E333&lt;&gt;"",$E333&lt;=X$2,$F333&gt;=X$2),1,0)</f>
        <v/>
      </c>
      <c r="Y333">
        <f>Y332+IF(AND($E333&lt;&gt;"",$E333&lt;=Y$2,$F333&gt;=Y$2),1,0)</f>
        <v/>
      </c>
      <c r="Z333">
        <f>Z332+IF(AND($E333&lt;&gt;"",$E333&lt;=Z$2,$F333&gt;=Z$2),1,0)</f>
        <v/>
      </c>
      <c r="AA333">
        <f>AA332+IF(AND($E333&lt;&gt;"",$E333&lt;=AA$2,$F333&gt;=AA$2),1,0)</f>
        <v/>
      </c>
      <c r="AB333">
        <f>AB332+IF(AND($E333&lt;&gt;"",$E333&lt;=AB$2,$F333&gt;=AB$2),1,0)</f>
        <v/>
      </c>
      <c r="AC333">
        <f>AC332+IF(AND($E333&lt;&gt;"",$E333&lt;=AC$2,$F333&gt;=AC$2),1,0)</f>
        <v/>
      </c>
      <c r="AD333">
        <f>AD332+IF(AND($E333&lt;&gt;"",$E333&lt;=AD$2,$F333&gt;=AD$2),1,0)</f>
        <v/>
      </c>
      <c r="AE333">
        <f>AE332+IF(AND($E333&lt;&gt;"",$E333&lt;=AE$2,$F333&gt;=AE$2),1,0)</f>
        <v/>
      </c>
      <c r="AF333">
        <f>AF332+IF(AND($E333&lt;&gt;"",$E333&lt;=AF$2,$F333&gt;=AF$2),1,0)</f>
        <v/>
      </c>
      <c r="AG333">
        <f>AG332+IF(AND($E333&lt;&gt;"",$E333&lt;=AG$2,$F333&gt;=AG$2),1,0)</f>
        <v/>
      </c>
      <c r="AH333">
        <f>AH332+IF(AND($E333&lt;&gt;"",$E333&lt;=AH$2,$F333&gt;=AH$2),1,0)</f>
        <v/>
      </c>
      <c r="AI333">
        <f>AI332+IF(AND($E333&lt;&gt;"",$E333&lt;=AI$2,$F333&gt;=AI$2),1,0)</f>
        <v/>
      </c>
      <c r="AJ333">
        <f>AJ332+IF(AND($E333&lt;&gt;"",$E333&lt;=AJ$2,$F333&gt;=AJ$2),1,0)</f>
        <v/>
      </c>
      <c r="AK333">
        <f>AK332+IF(AND($E333&lt;&gt;"",$E333&lt;=AK$2,$F333&gt;=AK$2),1,0)</f>
        <v/>
      </c>
      <c r="AL333">
        <f>AL332+IF(AND($E333&lt;&gt;"",$E333&lt;=AL$2,$F333&gt;=AL$2),1,0)</f>
        <v/>
      </c>
      <c r="AM333">
        <f>AM332+IF(AND($E333&lt;&gt;"",$E333&lt;=AM$2,$F333&gt;=AM$2),1,0)</f>
        <v/>
      </c>
      <c r="AN333">
        <f>AN332+IF(AND($E333&lt;&gt;"",$E333&lt;=AN$2,$F333&gt;=AN$2),1,0)</f>
        <v/>
      </c>
      <c r="AO333">
        <f>AO332+IF(AND($E333&lt;&gt;"",$E333&lt;=AO$2,$F333&gt;=AO$2),1,0)</f>
        <v/>
      </c>
      <c r="AP333">
        <f>AP332+IF(AND($E333&lt;&gt;"",$E333&lt;=AP$2,$F333&gt;=AP$2),1,0)</f>
        <v/>
      </c>
      <c r="AQ333">
        <f>AQ332+IF(AND($E333&lt;&gt;"",$E333&lt;=AQ$2,$F333&gt;=AQ$2),1,0)</f>
        <v/>
      </c>
      <c r="AR333">
        <f>AR332+IF(AND($E333&lt;&gt;"",$E333&lt;=AR$2,$F333&gt;=AR$2),1,0)</f>
        <v/>
      </c>
      <c r="AS333">
        <f>AS332+IF(AND($E333&lt;&gt;"",$E333&lt;=AS$2,$F333&gt;=AS$2),1,0)</f>
        <v/>
      </c>
      <c r="AT333">
        <f>AT332+IF(AND($E333&lt;&gt;"",$E333&lt;=AT$2,$F333&gt;=AT$2),1,0)</f>
        <v/>
      </c>
      <c r="AU333">
        <f>AU332+IF(AND($E333&lt;&gt;"",$E333&lt;=AU$2,$F333&gt;=AU$2),1,0)</f>
        <v/>
      </c>
      <c r="AV333">
        <f>AV332+IF(AND($E333&lt;&gt;"",$E333&lt;=AV$2,$F333&gt;=AV$2),1,0)</f>
        <v/>
      </c>
      <c r="AW333">
        <f>AW332+IF(AND($E333&lt;&gt;"",$E333&lt;=AW$2,$F333&gt;=AW$2),1,0)</f>
        <v/>
      </c>
    </row>
    <row r="334">
      <c r="A334">
        <f>IF(AND(ISNUMBER(Events!$A336),ISNUMBER(Events!$B336)),MAX(0,Events!$B336-Events!$A336),0)</f>
        <v/>
      </c>
      <c r="B334">
        <f>IF(ISNUMBER(Events!$A336),DATE(YEAR($B$1)-1,MONTH(Events!$A336),DAY(Events!$A336)),"")</f>
        <v/>
      </c>
      <c r="C334">
        <f>IF(ISNUMBER(Events!$A336),DATE(YEAR($B$1),MONTH(Events!$A336),DAY(Events!$A336)),"")</f>
        <v/>
      </c>
      <c r="D334">
        <f>IF(ISNUMBER(Events!$A336),DATE(YEAR($B$2),MONTH(Events!$A336),DAY(Events!$A336)),"")</f>
        <v/>
      </c>
      <c r="E334">
        <f>IF(OR(NOT(ISNUMBER(Events!$A336)),Events!$G336="No",Calendar!$H$4="None"),"",IF(OR(Calendar!$H$4="All events",Events!$D336=Calendar!$H$4),IF(Events!$E336="Yes",IF(AND(B334&gt;=Events!$A336,B334&lt;=$B$2,B334+$A334&gt;=$B$1),B334,IF(AND(C334&gt;=Events!$A336,C334&lt;=$B$2,C334+$A334&gt;=$B$1),C334,IF(AND(D334&gt;=Events!$A336,D334&lt;=$B$2,D334+$A334&gt;=$B$1),D334,""))),IF(AND(Events!$A336&lt;=$B$2,Events!$A336+$A334&gt;=$B$1),Events!$A336,"")),""))</f>
        <v/>
      </c>
      <c r="F334">
        <f>IF(E334="","",E334+A334)</f>
        <v/>
      </c>
      <c r="G334">
        <f>IF(E334="","",IF(AND(E334&lt;=EOMONTH(Calendar!$K$2,0),F334&gt;=Calendar!$K$2),E334+331/100000,""))</f>
        <v/>
      </c>
      <c r="H334">
        <f>H333+IF(AND($E334&lt;&gt;"",$E334&lt;=H$2,$F334&gt;=H$2),1,0)</f>
        <v/>
      </c>
      <c r="I334">
        <f>I333+IF(AND($E334&lt;&gt;"",$E334&lt;=I$2,$F334&gt;=I$2),1,0)</f>
        <v/>
      </c>
      <c r="J334">
        <f>J333+IF(AND($E334&lt;&gt;"",$E334&lt;=J$2,$F334&gt;=J$2),1,0)</f>
        <v/>
      </c>
      <c r="K334">
        <f>K333+IF(AND($E334&lt;&gt;"",$E334&lt;=K$2,$F334&gt;=K$2),1,0)</f>
        <v/>
      </c>
      <c r="L334">
        <f>L333+IF(AND($E334&lt;&gt;"",$E334&lt;=L$2,$F334&gt;=L$2),1,0)</f>
        <v/>
      </c>
      <c r="M334">
        <f>M333+IF(AND($E334&lt;&gt;"",$E334&lt;=M$2,$F334&gt;=M$2),1,0)</f>
        <v/>
      </c>
      <c r="N334">
        <f>N333+IF(AND($E334&lt;&gt;"",$E334&lt;=N$2,$F334&gt;=N$2),1,0)</f>
        <v/>
      </c>
      <c r="O334">
        <f>O333+IF(AND($E334&lt;&gt;"",$E334&lt;=O$2,$F334&gt;=O$2),1,0)</f>
        <v/>
      </c>
      <c r="P334">
        <f>P333+IF(AND($E334&lt;&gt;"",$E334&lt;=P$2,$F334&gt;=P$2),1,0)</f>
        <v/>
      </c>
      <c r="Q334">
        <f>Q333+IF(AND($E334&lt;&gt;"",$E334&lt;=Q$2,$F334&gt;=Q$2),1,0)</f>
        <v/>
      </c>
      <c r="R334">
        <f>R333+IF(AND($E334&lt;&gt;"",$E334&lt;=R$2,$F334&gt;=R$2),1,0)</f>
        <v/>
      </c>
      <c r="S334">
        <f>S333+IF(AND($E334&lt;&gt;"",$E334&lt;=S$2,$F334&gt;=S$2),1,0)</f>
        <v/>
      </c>
      <c r="T334">
        <f>T333+IF(AND($E334&lt;&gt;"",$E334&lt;=T$2,$F334&gt;=T$2),1,0)</f>
        <v/>
      </c>
      <c r="U334">
        <f>U333+IF(AND($E334&lt;&gt;"",$E334&lt;=U$2,$F334&gt;=U$2),1,0)</f>
        <v/>
      </c>
      <c r="V334">
        <f>V333+IF(AND($E334&lt;&gt;"",$E334&lt;=V$2,$F334&gt;=V$2),1,0)</f>
        <v/>
      </c>
      <c r="W334">
        <f>W333+IF(AND($E334&lt;&gt;"",$E334&lt;=W$2,$F334&gt;=W$2),1,0)</f>
        <v/>
      </c>
      <c r="X334">
        <f>X333+IF(AND($E334&lt;&gt;"",$E334&lt;=X$2,$F334&gt;=X$2),1,0)</f>
        <v/>
      </c>
      <c r="Y334">
        <f>Y333+IF(AND($E334&lt;&gt;"",$E334&lt;=Y$2,$F334&gt;=Y$2),1,0)</f>
        <v/>
      </c>
      <c r="Z334">
        <f>Z333+IF(AND($E334&lt;&gt;"",$E334&lt;=Z$2,$F334&gt;=Z$2),1,0)</f>
        <v/>
      </c>
      <c r="AA334">
        <f>AA333+IF(AND($E334&lt;&gt;"",$E334&lt;=AA$2,$F334&gt;=AA$2),1,0)</f>
        <v/>
      </c>
      <c r="AB334">
        <f>AB333+IF(AND($E334&lt;&gt;"",$E334&lt;=AB$2,$F334&gt;=AB$2),1,0)</f>
        <v/>
      </c>
      <c r="AC334">
        <f>AC333+IF(AND($E334&lt;&gt;"",$E334&lt;=AC$2,$F334&gt;=AC$2),1,0)</f>
        <v/>
      </c>
      <c r="AD334">
        <f>AD333+IF(AND($E334&lt;&gt;"",$E334&lt;=AD$2,$F334&gt;=AD$2),1,0)</f>
        <v/>
      </c>
      <c r="AE334">
        <f>AE333+IF(AND($E334&lt;&gt;"",$E334&lt;=AE$2,$F334&gt;=AE$2),1,0)</f>
        <v/>
      </c>
      <c r="AF334">
        <f>AF333+IF(AND($E334&lt;&gt;"",$E334&lt;=AF$2,$F334&gt;=AF$2),1,0)</f>
        <v/>
      </c>
      <c r="AG334">
        <f>AG333+IF(AND($E334&lt;&gt;"",$E334&lt;=AG$2,$F334&gt;=AG$2),1,0)</f>
        <v/>
      </c>
      <c r="AH334">
        <f>AH333+IF(AND($E334&lt;&gt;"",$E334&lt;=AH$2,$F334&gt;=AH$2),1,0)</f>
        <v/>
      </c>
      <c r="AI334">
        <f>AI333+IF(AND($E334&lt;&gt;"",$E334&lt;=AI$2,$F334&gt;=AI$2),1,0)</f>
        <v/>
      </c>
      <c r="AJ334">
        <f>AJ333+IF(AND($E334&lt;&gt;"",$E334&lt;=AJ$2,$F334&gt;=AJ$2),1,0)</f>
        <v/>
      </c>
      <c r="AK334">
        <f>AK333+IF(AND($E334&lt;&gt;"",$E334&lt;=AK$2,$F334&gt;=AK$2),1,0)</f>
        <v/>
      </c>
      <c r="AL334">
        <f>AL333+IF(AND($E334&lt;&gt;"",$E334&lt;=AL$2,$F334&gt;=AL$2),1,0)</f>
        <v/>
      </c>
      <c r="AM334">
        <f>AM333+IF(AND($E334&lt;&gt;"",$E334&lt;=AM$2,$F334&gt;=AM$2),1,0)</f>
        <v/>
      </c>
      <c r="AN334">
        <f>AN333+IF(AND($E334&lt;&gt;"",$E334&lt;=AN$2,$F334&gt;=AN$2),1,0)</f>
        <v/>
      </c>
      <c r="AO334">
        <f>AO333+IF(AND($E334&lt;&gt;"",$E334&lt;=AO$2,$F334&gt;=AO$2),1,0)</f>
        <v/>
      </c>
      <c r="AP334">
        <f>AP333+IF(AND($E334&lt;&gt;"",$E334&lt;=AP$2,$F334&gt;=AP$2),1,0)</f>
        <v/>
      </c>
      <c r="AQ334">
        <f>AQ333+IF(AND($E334&lt;&gt;"",$E334&lt;=AQ$2,$F334&gt;=AQ$2),1,0)</f>
        <v/>
      </c>
      <c r="AR334">
        <f>AR333+IF(AND($E334&lt;&gt;"",$E334&lt;=AR$2,$F334&gt;=AR$2),1,0)</f>
        <v/>
      </c>
      <c r="AS334">
        <f>AS333+IF(AND($E334&lt;&gt;"",$E334&lt;=AS$2,$F334&gt;=AS$2),1,0)</f>
        <v/>
      </c>
      <c r="AT334">
        <f>AT333+IF(AND($E334&lt;&gt;"",$E334&lt;=AT$2,$F334&gt;=AT$2),1,0)</f>
        <v/>
      </c>
      <c r="AU334">
        <f>AU333+IF(AND($E334&lt;&gt;"",$E334&lt;=AU$2,$F334&gt;=AU$2),1,0)</f>
        <v/>
      </c>
      <c r="AV334">
        <f>AV333+IF(AND($E334&lt;&gt;"",$E334&lt;=AV$2,$F334&gt;=AV$2),1,0)</f>
        <v/>
      </c>
      <c r="AW334">
        <f>AW333+IF(AND($E334&lt;&gt;"",$E334&lt;=AW$2,$F334&gt;=AW$2),1,0)</f>
        <v/>
      </c>
    </row>
    <row r="335">
      <c r="A335">
        <f>IF(AND(ISNUMBER(Events!$A337),ISNUMBER(Events!$B337)),MAX(0,Events!$B337-Events!$A337),0)</f>
        <v/>
      </c>
      <c r="B335">
        <f>IF(ISNUMBER(Events!$A337),DATE(YEAR($B$1)-1,MONTH(Events!$A337),DAY(Events!$A337)),"")</f>
        <v/>
      </c>
      <c r="C335">
        <f>IF(ISNUMBER(Events!$A337),DATE(YEAR($B$1),MONTH(Events!$A337),DAY(Events!$A337)),"")</f>
        <v/>
      </c>
      <c r="D335">
        <f>IF(ISNUMBER(Events!$A337),DATE(YEAR($B$2),MONTH(Events!$A337),DAY(Events!$A337)),"")</f>
        <v/>
      </c>
      <c r="E335">
        <f>IF(OR(NOT(ISNUMBER(Events!$A337)),Events!$G337="No",Calendar!$H$4="None"),"",IF(OR(Calendar!$H$4="All events",Events!$D337=Calendar!$H$4),IF(Events!$E337="Yes",IF(AND(B335&gt;=Events!$A337,B335&lt;=$B$2,B335+$A335&gt;=$B$1),B335,IF(AND(C335&gt;=Events!$A337,C335&lt;=$B$2,C335+$A335&gt;=$B$1),C335,IF(AND(D335&gt;=Events!$A337,D335&lt;=$B$2,D335+$A335&gt;=$B$1),D335,""))),IF(AND(Events!$A337&lt;=$B$2,Events!$A337+$A335&gt;=$B$1),Events!$A337,"")),""))</f>
        <v/>
      </c>
      <c r="F335">
        <f>IF(E335="","",E335+A335)</f>
        <v/>
      </c>
      <c r="G335">
        <f>IF(E335="","",IF(AND(E335&lt;=EOMONTH(Calendar!$K$2,0),F335&gt;=Calendar!$K$2),E335+332/100000,""))</f>
        <v/>
      </c>
      <c r="H335">
        <f>H334+IF(AND($E335&lt;&gt;"",$E335&lt;=H$2,$F335&gt;=H$2),1,0)</f>
        <v/>
      </c>
      <c r="I335">
        <f>I334+IF(AND($E335&lt;&gt;"",$E335&lt;=I$2,$F335&gt;=I$2),1,0)</f>
        <v/>
      </c>
      <c r="J335">
        <f>J334+IF(AND($E335&lt;&gt;"",$E335&lt;=J$2,$F335&gt;=J$2),1,0)</f>
        <v/>
      </c>
      <c r="K335">
        <f>K334+IF(AND($E335&lt;&gt;"",$E335&lt;=K$2,$F335&gt;=K$2),1,0)</f>
        <v/>
      </c>
      <c r="L335">
        <f>L334+IF(AND($E335&lt;&gt;"",$E335&lt;=L$2,$F335&gt;=L$2),1,0)</f>
        <v/>
      </c>
      <c r="M335">
        <f>M334+IF(AND($E335&lt;&gt;"",$E335&lt;=M$2,$F335&gt;=M$2),1,0)</f>
        <v/>
      </c>
      <c r="N335">
        <f>N334+IF(AND($E335&lt;&gt;"",$E335&lt;=N$2,$F335&gt;=N$2),1,0)</f>
        <v/>
      </c>
      <c r="O335">
        <f>O334+IF(AND($E335&lt;&gt;"",$E335&lt;=O$2,$F335&gt;=O$2),1,0)</f>
        <v/>
      </c>
      <c r="P335">
        <f>P334+IF(AND($E335&lt;&gt;"",$E335&lt;=P$2,$F335&gt;=P$2),1,0)</f>
        <v/>
      </c>
      <c r="Q335">
        <f>Q334+IF(AND($E335&lt;&gt;"",$E335&lt;=Q$2,$F335&gt;=Q$2),1,0)</f>
        <v/>
      </c>
      <c r="R335">
        <f>R334+IF(AND($E335&lt;&gt;"",$E335&lt;=R$2,$F335&gt;=R$2),1,0)</f>
        <v/>
      </c>
      <c r="S335">
        <f>S334+IF(AND($E335&lt;&gt;"",$E335&lt;=S$2,$F335&gt;=S$2),1,0)</f>
        <v/>
      </c>
      <c r="T335">
        <f>T334+IF(AND($E335&lt;&gt;"",$E335&lt;=T$2,$F335&gt;=T$2),1,0)</f>
        <v/>
      </c>
      <c r="U335">
        <f>U334+IF(AND($E335&lt;&gt;"",$E335&lt;=U$2,$F335&gt;=U$2),1,0)</f>
        <v/>
      </c>
      <c r="V335">
        <f>V334+IF(AND($E335&lt;&gt;"",$E335&lt;=V$2,$F335&gt;=V$2),1,0)</f>
        <v/>
      </c>
      <c r="W335">
        <f>W334+IF(AND($E335&lt;&gt;"",$E335&lt;=W$2,$F335&gt;=W$2),1,0)</f>
        <v/>
      </c>
      <c r="X335">
        <f>X334+IF(AND($E335&lt;&gt;"",$E335&lt;=X$2,$F335&gt;=X$2),1,0)</f>
        <v/>
      </c>
      <c r="Y335">
        <f>Y334+IF(AND($E335&lt;&gt;"",$E335&lt;=Y$2,$F335&gt;=Y$2),1,0)</f>
        <v/>
      </c>
      <c r="Z335">
        <f>Z334+IF(AND($E335&lt;&gt;"",$E335&lt;=Z$2,$F335&gt;=Z$2),1,0)</f>
        <v/>
      </c>
      <c r="AA335">
        <f>AA334+IF(AND($E335&lt;&gt;"",$E335&lt;=AA$2,$F335&gt;=AA$2),1,0)</f>
        <v/>
      </c>
      <c r="AB335">
        <f>AB334+IF(AND($E335&lt;&gt;"",$E335&lt;=AB$2,$F335&gt;=AB$2),1,0)</f>
        <v/>
      </c>
      <c r="AC335">
        <f>AC334+IF(AND($E335&lt;&gt;"",$E335&lt;=AC$2,$F335&gt;=AC$2),1,0)</f>
        <v/>
      </c>
      <c r="AD335">
        <f>AD334+IF(AND($E335&lt;&gt;"",$E335&lt;=AD$2,$F335&gt;=AD$2),1,0)</f>
        <v/>
      </c>
      <c r="AE335">
        <f>AE334+IF(AND($E335&lt;&gt;"",$E335&lt;=AE$2,$F335&gt;=AE$2),1,0)</f>
        <v/>
      </c>
      <c r="AF335">
        <f>AF334+IF(AND($E335&lt;&gt;"",$E335&lt;=AF$2,$F335&gt;=AF$2),1,0)</f>
        <v/>
      </c>
      <c r="AG335">
        <f>AG334+IF(AND($E335&lt;&gt;"",$E335&lt;=AG$2,$F335&gt;=AG$2),1,0)</f>
        <v/>
      </c>
      <c r="AH335">
        <f>AH334+IF(AND($E335&lt;&gt;"",$E335&lt;=AH$2,$F335&gt;=AH$2),1,0)</f>
        <v/>
      </c>
      <c r="AI335">
        <f>AI334+IF(AND($E335&lt;&gt;"",$E335&lt;=AI$2,$F335&gt;=AI$2),1,0)</f>
        <v/>
      </c>
      <c r="AJ335">
        <f>AJ334+IF(AND($E335&lt;&gt;"",$E335&lt;=AJ$2,$F335&gt;=AJ$2),1,0)</f>
        <v/>
      </c>
      <c r="AK335">
        <f>AK334+IF(AND($E335&lt;&gt;"",$E335&lt;=AK$2,$F335&gt;=AK$2),1,0)</f>
        <v/>
      </c>
      <c r="AL335">
        <f>AL334+IF(AND($E335&lt;&gt;"",$E335&lt;=AL$2,$F335&gt;=AL$2),1,0)</f>
        <v/>
      </c>
      <c r="AM335">
        <f>AM334+IF(AND($E335&lt;&gt;"",$E335&lt;=AM$2,$F335&gt;=AM$2),1,0)</f>
        <v/>
      </c>
      <c r="AN335">
        <f>AN334+IF(AND($E335&lt;&gt;"",$E335&lt;=AN$2,$F335&gt;=AN$2),1,0)</f>
        <v/>
      </c>
      <c r="AO335">
        <f>AO334+IF(AND($E335&lt;&gt;"",$E335&lt;=AO$2,$F335&gt;=AO$2),1,0)</f>
        <v/>
      </c>
      <c r="AP335">
        <f>AP334+IF(AND($E335&lt;&gt;"",$E335&lt;=AP$2,$F335&gt;=AP$2),1,0)</f>
        <v/>
      </c>
      <c r="AQ335">
        <f>AQ334+IF(AND($E335&lt;&gt;"",$E335&lt;=AQ$2,$F335&gt;=AQ$2),1,0)</f>
        <v/>
      </c>
      <c r="AR335">
        <f>AR334+IF(AND($E335&lt;&gt;"",$E335&lt;=AR$2,$F335&gt;=AR$2),1,0)</f>
        <v/>
      </c>
      <c r="AS335">
        <f>AS334+IF(AND($E335&lt;&gt;"",$E335&lt;=AS$2,$F335&gt;=AS$2),1,0)</f>
        <v/>
      </c>
      <c r="AT335">
        <f>AT334+IF(AND($E335&lt;&gt;"",$E335&lt;=AT$2,$F335&gt;=AT$2),1,0)</f>
        <v/>
      </c>
      <c r="AU335">
        <f>AU334+IF(AND($E335&lt;&gt;"",$E335&lt;=AU$2,$F335&gt;=AU$2),1,0)</f>
        <v/>
      </c>
      <c r="AV335">
        <f>AV334+IF(AND($E335&lt;&gt;"",$E335&lt;=AV$2,$F335&gt;=AV$2),1,0)</f>
        <v/>
      </c>
      <c r="AW335">
        <f>AW334+IF(AND($E335&lt;&gt;"",$E335&lt;=AW$2,$F335&gt;=AW$2),1,0)</f>
        <v/>
      </c>
    </row>
    <row r="336">
      <c r="A336">
        <f>IF(AND(ISNUMBER(Events!$A338),ISNUMBER(Events!$B338)),MAX(0,Events!$B338-Events!$A338),0)</f>
        <v/>
      </c>
      <c r="B336">
        <f>IF(ISNUMBER(Events!$A338),DATE(YEAR($B$1)-1,MONTH(Events!$A338),DAY(Events!$A338)),"")</f>
        <v/>
      </c>
      <c r="C336">
        <f>IF(ISNUMBER(Events!$A338),DATE(YEAR($B$1),MONTH(Events!$A338),DAY(Events!$A338)),"")</f>
        <v/>
      </c>
      <c r="D336">
        <f>IF(ISNUMBER(Events!$A338),DATE(YEAR($B$2),MONTH(Events!$A338),DAY(Events!$A338)),"")</f>
        <v/>
      </c>
      <c r="E336">
        <f>IF(OR(NOT(ISNUMBER(Events!$A338)),Events!$G338="No",Calendar!$H$4="None"),"",IF(OR(Calendar!$H$4="All events",Events!$D338=Calendar!$H$4),IF(Events!$E338="Yes",IF(AND(B336&gt;=Events!$A338,B336&lt;=$B$2,B336+$A336&gt;=$B$1),B336,IF(AND(C336&gt;=Events!$A338,C336&lt;=$B$2,C336+$A336&gt;=$B$1),C336,IF(AND(D336&gt;=Events!$A338,D336&lt;=$B$2,D336+$A336&gt;=$B$1),D336,""))),IF(AND(Events!$A338&lt;=$B$2,Events!$A338+$A336&gt;=$B$1),Events!$A338,"")),""))</f>
        <v/>
      </c>
      <c r="F336">
        <f>IF(E336="","",E336+A336)</f>
        <v/>
      </c>
      <c r="G336">
        <f>IF(E336="","",IF(AND(E336&lt;=EOMONTH(Calendar!$K$2,0),F336&gt;=Calendar!$K$2),E336+333/100000,""))</f>
        <v/>
      </c>
      <c r="H336">
        <f>H335+IF(AND($E336&lt;&gt;"",$E336&lt;=H$2,$F336&gt;=H$2),1,0)</f>
        <v/>
      </c>
      <c r="I336">
        <f>I335+IF(AND($E336&lt;&gt;"",$E336&lt;=I$2,$F336&gt;=I$2),1,0)</f>
        <v/>
      </c>
      <c r="J336">
        <f>J335+IF(AND($E336&lt;&gt;"",$E336&lt;=J$2,$F336&gt;=J$2),1,0)</f>
        <v/>
      </c>
      <c r="K336">
        <f>K335+IF(AND($E336&lt;&gt;"",$E336&lt;=K$2,$F336&gt;=K$2),1,0)</f>
        <v/>
      </c>
      <c r="L336">
        <f>L335+IF(AND($E336&lt;&gt;"",$E336&lt;=L$2,$F336&gt;=L$2),1,0)</f>
        <v/>
      </c>
      <c r="M336">
        <f>M335+IF(AND($E336&lt;&gt;"",$E336&lt;=M$2,$F336&gt;=M$2),1,0)</f>
        <v/>
      </c>
      <c r="N336">
        <f>N335+IF(AND($E336&lt;&gt;"",$E336&lt;=N$2,$F336&gt;=N$2),1,0)</f>
        <v/>
      </c>
      <c r="O336">
        <f>O335+IF(AND($E336&lt;&gt;"",$E336&lt;=O$2,$F336&gt;=O$2),1,0)</f>
        <v/>
      </c>
      <c r="P336">
        <f>P335+IF(AND($E336&lt;&gt;"",$E336&lt;=P$2,$F336&gt;=P$2),1,0)</f>
        <v/>
      </c>
      <c r="Q336">
        <f>Q335+IF(AND($E336&lt;&gt;"",$E336&lt;=Q$2,$F336&gt;=Q$2),1,0)</f>
        <v/>
      </c>
      <c r="R336">
        <f>R335+IF(AND($E336&lt;&gt;"",$E336&lt;=R$2,$F336&gt;=R$2),1,0)</f>
        <v/>
      </c>
      <c r="S336">
        <f>S335+IF(AND($E336&lt;&gt;"",$E336&lt;=S$2,$F336&gt;=S$2),1,0)</f>
        <v/>
      </c>
      <c r="T336">
        <f>T335+IF(AND($E336&lt;&gt;"",$E336&lt;=T$2,$F336&gt;=T$2),1,0)</f>
        <v/>
      </c>
      <c r="U336">
        <f>U335+IF(AND($E336&lt;&gt;"",$E336&lt;=U$2,$F336&gt;=U$2),1,0)</f>
        <v/>
      </c>
      <c r="V336">
        <f>V335+IF(AND($E336&lt;&gt;"",$E336&lt;=V$2,$F336&gt;=V$2),1,0)</f>
        <v/>
      </c>
      <c r="W336">
        <f>W335+IF(AND($E336&lt;&gt;"",$E336&lt;=W$2,$F336&gt;=W$2),1,0)</f>
        <v/>
      </c>
      <c r="X336">
        <f>X335+IF(AND($E336&lt;&gt;"",$E336&lt;=X$2,$F336&gt;=X$2),1,0)</f>
        <v/>
      </c>
      <c r="Y336">
        <f>Y335+IF(AND($E336&lt;&gt;"",$E336&lt;=Y$2,$F336&gt;=Y$2),1,0)</f>
        <v/>
      </c>
      <c r="Z336">
        <f>Z335+IF(AND($E336&lt;&gt;"",$E336&lt;=Z$2,$F336&gt;=Z$2),1,0)</f>
        <v/>
      </c>
      <c r="AA336">
        <f>AA335+IF(AND($E336&lt;&gt;"",$E336&lt;=AA$2,$F336&gt;=AA$2),1,0)</f>
        <v/>
      </c>
      <c r="AB336">
        <f>AB335+IF(AND($E336&lt;&gt;"",$E336&lt;=AB$2,$F336&gt;=AB$2),1,0)</f>
        <v/>
      </c>
      <c r="AC336">
        <f>AC335+IF(AND($E336&lt;&gt;"",$E336&lt;=AC$2,$F336&gt;=AC$2),1,0)</f>
        <v/>
      </c>
      <c r="AD336">
        <f>AD335+IF(AND($E336&lt;&gt;"",$E336&lt;=AD$2,$F336&gt;=AD$2),1,0)</f>
        <v/>
      </c>
      <c r="AE336">
        <f>AE335+IF(AND($E336&lt;&gt;"",$E336&lt;=AE$2,$F336&gt;=AE$2),1,0)</f>
        <v/>
      </c>
      <c r="AF336">
        <f>AF335+IF(AND($E336&lt;&gt;"",$E336&lt;=AF$2,$F336&gt;=AF$2),1,0)</f>
        <v/>
      </c>
      <c r="AG336">
        <f>AG335+IF(AND($E336&lt;&gt;"",$E336&lt;=AG$2,$F336&gt;=AG$2),1,0)</f>
        <v/>
      </c>
      <c r="AH336">
        <f>AH335+IF(AND($E336&lt;&gt;"",$E336&lt;=AH$2,$F336&gt;=AH$2),1,0)</f>
        <v/>
      </c>
      <c r="AI336">
        <f>AI335+IF(AND($E336&lt;&gt;"",$E336&lt;=AI$2,$F336&gt;=AI$2),1,0)</f>
        <v/>
      </c>
      <c r="AJ336">
        <f>AJ335+IF(AND($E336&lt;&gt;"",$E336&lt;=AJ$2,$F336&gt;=AJ$2),1,0)</f>
        <v/>
      </c>
      <c r="AK336">
        <f>AK335+IF(AND($E336&lt;&gt;"",$E336&lt;=AK$2,$F336&gt;=AK$2),1,0)</f>
        <v/>
      </c>
      <c r="AL336">
        <f>AL335+IF(AND($E336&lt;&gt;"",$E336&lt;=AL$2,$F336&gt;=AL$2),1,0)</f>
        <v/>
      </c>
      <c r="AM336">
        <f>AM335+IF(AND($E336&lt;&gt;"",$E336&lt;=AM$2,$F336&gt;=AM$2),1,0)</f>
        <v/>
      </c>
      <c r="AN336">
        <f>AN335+IF(AND($E336&lt;&gt;"",$E336&lt;=AN$2,$F336&gt;=AN$2),1,0)</f>
        <v/>
      </c>
      <c r="AO336">
        <f>AO335+IF(AND($E336&lt;&gt;"",$E336&lt;=AO$2,$F336&gt;=AO$2),1,0)</f>
        <v/>
      </c>
      <c r="AP336">
        <f>AP335+IF(AND($E336&lt;&gt;"",$E336&lt;=AP$2,$F336&gt;=AP$2),1,0)</f>
        <v/>
      </c>
      <c r="AQ336">
        <f>AQ335+IF(AND($E336&lt;&gt;"",$E336&lt;=AQ$2,$F336&gt;=AQ$2),1,0)</f>
        <v/>
      </c>
      <c r="AR336">
        <f>AR335+IF(AND($E336&lt;&gt;"",$E336&lt;=AR$2,$F336&gt;=AR$2),1,0)</f>
        <v/>
      </c>
      <c r="AS336">
        <f>AS335+IF(AND($E336&lt;&gt;"",$E336&lt;=AS$2,$F336&gt;=AS$2),1,0)</f>
        <v/>
      </c>
      <c r="AT336">
        <f>AT335+IF(AND($E336&lt;&gt;"",$E336&lt;=AT$2,$F336&gt;=AT$2),1,0)</f>
        <v/>
      </c>
      <c r="AU336">
        <f>AU335+IF(AND($E336&lt;&gt;"",$E336&lt;=AU$2,$F336&gt;=AU$2),1,0)</f>
        <v/>
      </c>
      <c r="AV336">
        <f>AV335+IF(AND($E336&lt;&gt;"",$E336&lt;=AV$2,$F336&gt;=AV$2),1,0)</f>
        <v/>
      </c>
      <c r="AW336">
        <f>AW335+IF(AND($E336&lt;&gt;"",$E336&lt;=AW$2,$F336&gt;=AW$2),1,0)</f>
        <v/>
      </c>
    </row>
    <row r="337">
      <c r="A337">
        <f>IF(AND(ISNUMBER(Events!$A339),ISNUMBER(Events!$B339)),MAX(0,Events!$B339-Events!$A339),0)</f>
        <v/>
      </c>
      <c r="B337">
        <f>IF(ISNUMBER(Events!$A339),DATE(YEAR($B$1)-1,MONTH(Events!$A339),DAY(Events!$A339)),"")</f>
        <v/>
      </c>
      <c r="C337">
        <f>IF(ISNUMBER(Events!$A339),DATE(YEAR($B$1),MONTH(Events!$A339),DAY(Events!$A339)),"")</f>
        <v/>
      </c>
      <c r="D337">
        <f>IF(ISNUMBER(Events!$A339),DATE(YEAR($B$2),MONTH(Events!$A339),DAY(Events!$A339)),"")</f>
        <v/>
      </c>
      <c r="E337">
        <f>IF(OR(NOT(ISNUMBER(Events!$A339)),Events!$G339="No",Calendar!$H$4="None"),"",IF(OR(Calendar!$H$4="All events",Events!$D339=Calendar!$H$4),IF(Events!$E339="Yes",IF(AND(B337&gt;=Events!$A339,B337&lt;=$B$2,B337+$A337&gt;=$B$1),B337,IF(AND(C337&gt;=Events!$A339,C337&lt;=$B$2,C337+$A337&gt;=$B$1),C337,IF(AND(D337&gt;=Events!$A339,D337&lt;=$B$2,D337+$A337&gt;=$B$1),D337,""))),IF(AND(Events!$A339&lt;=$B$2,Events!$A339+$A337&gt;=$B$1),Events!$A339,"")),""))</f>
        <v/>
      </c>
      <c r="F337">
        <f>IF(E337="","",E337+A337)</f>
        <v/>
      </c>
      <c r="G337">
        <f>IF(E337="","",IF(AND(E337&lt;=EOMONTH(Calendar!$K$2,0),F337&gt;=Calendar!$K$2),E337+334/100000,""))</f>
        <v/>
      </c>
      <c r="H337">
        <f>H336+IF(AND($E337&lt;&gt;"",$E337&lt;=H$2,$F337&gt;=H$2),1,0)</f>
        <v/>
      </c>
      <c r="I337">
        <f>I336+IF(AND($E337&lt;&gt;"",$E337&lt;=I$2,$F337&gt;=I$2),1,0)</f>
        <v/>
      </c>
      <c r="J337">
        <f>J336+IF(AND($E337&lt;&gt;"",$E337&lt;=J$2,$F337&gt;=J$2),1,0)</f>
        <v/>
      </c>
      <c r="K337">
        <f>K336+IF(AND($E337&lt;&gt;"",$E337&lt;=K$2,$F337&gt;=K$2),1,0)</f>
        <v/>
      </c>
      <c r="L337">
        <f>L336+IF(AND($E337&lt;&gt;"",$E337&lt;=L$2,$F337&gt;=L$2),1,0)</f>
        <v/>
      </c>
      <c r="M337">
        <f>M336+IF(AND($E337&lt;&gt;"",$E337&lt;=M$2,$F337&gt;=M$2),1,0)</f>
        <v/>
      </c>
      <c r="N337">
        <f>N336+IF(AND($E337&lt;&gt;"",$E337&lt;=N$2,$F337&gt;=N$2),1,0)</f>
        <v/>
      </c>
      <c r="O337">
        <f>O336+IF(AND($E337&lt;&gt;"",$E337&lt;=O$2,$F337&gt;=O$2),1,0)</f>
        <v/>
      </c>
      <c r="P337">
        <f>P336+IF(AND($E337&lt;&gt;"",$E337&lt;=P$2,$F337&gt;=P$2),1,0)</f>
        <v/>
      </c>
      <c r="Q337">
        <f>Q336+IF(AND($E337&lt;&gt;"",$E337&lt;=Q$2,$F337&gt;=Q$2),1,0)</f>
        <v/>
      </c>
      <c r="R337">
        <f>R336+IF(AND($E337&lt;&gt;"",$E337&lt;=R$2,$F337&gt;=R$2),1,0)</f>
        <v/>
      </c>
      <c r="S337">
        <f>S336+IF(AND($E337&lt;&gt;"",$E337&lt;=S$2,$F337&gt;=S$2),1,0)</f>
        <v/>
      </c>
      <c r="T337">
        <f>T336+IF(AND($E337&lt;&gt;"",$E337&lt;=T$2,$F337&gt;=T$2),1,0)</f>
        <v/>
      </c>
      <c r="U337">
        <f>U336+IF(AND($E337&lt;&gt;"",$E337&lt;=U$2,$F337&gt;=U$2),1,0)</f>
        <v/>
      </c>
      <c r="V337">
        <f>V336+IF(AND($E337&lt;&gt;"",$E337&lt;=V$2,$F337&gt;=V$2),1,0)</f>
        <v/>
      </c>
      <c r="W337">
        <f>W336+IF(AND($E337&lt;&gt;"",$E337&lt;=W$2,$F337&gt;=W$2),1,0)</f>
        <v/>
      </c>
      <c r="X337">
        <f>X336+IF(AND($E337&lt;&gt;"",$E337&lt;=X$2,$F337&gt;=X$2),1,0)</f>
        <v/>
      </c>
      <c r="Y337">
        <f>Y336+IF(AND($E337&lt;&gt;"",$E337&lt;=Y$2,$F337&gt;=Y$2),1,0)</f>
        <v/>
      </c>
      <c r="Z337">
        <f>Z336+IF(AND($E337&lt;&gt;"",$E337&lt;=Z$2,$F337&gt;=Z$2),1,0)</f>
        <v/>
      </c>
      <c r="AA337">
        <f>AA336+IF(AND($E337&lt;&gt;"",$E337&lt;=AA$2,$F337&gt;=AA$2),1,0)</f>
        <v/>
      </c>
      <c r="AB337">
        <f>AB336+IF(AND($E337&lt;&gt;"",$E337&lt;=AB$2,$F337&gt;=AB$2),1,0)</f>
        <v/>
      </c>
      <c r="AC337">
        <f>AC336+IF(AND($E337&lt;&gt;"",$E337&lt;=AC$2,$F337&gt;=AC$2),1,0)</f>
        <v/>
      </c>
      <c r="AD337">
        <f>AD336+IF(AND($E337&lt;&gt;"",$E337&lt;=AD$2,$F337&gt;=AD$2),1,0)</f>
        <v/>
      </c>
      <c r="AE337">
        <f>AE336+IF(AND($E337&lt;&gt;"",$E337&lt;=AE$2,$F337&gt;=AE$2),1,0)</f>
        <v/>
      </c>
      <c r="AF337">
        <f>AF336+IF(AND($E337&lt;&gt;"",$E337&lt;=AF$2,$F337&gt;=AF$2),1,0)</f>
        <v/>
      </c>
      <c r="AG337">
        <f>AG336+IF(AND($E337&lt;&gt;"",$E337&lt;=AG$2,$F337&gt;=AG$2),1,0)</f>
        <v/>
      </c>
      <c r="AH337">
        <f>AH336+IF(AND($E337&lt;&gt;"",$E337&lt;=AH$2,$F337&gt;=AH$2),1,0)</f>
        <v/>
      </c>
      <c r="AI337">
        <f>AI336+IF(AND($E337&lt;&gt;"",$E337&lt;=AI$2,$F337&gt;=AI$2),1,0)</f>
        <v/>
      </c>
      <c r="AJ337">
        <f>AJ336+IF(AND($E337&lt;&gt;"",$E337&lt;=AJ$2,$F337&gt;=AJ$2),1,0)</f>
        <v/>
      </c>
      <c r="AK337">
        <f>AK336+IF(AND($E337&lt;&gt;"",$E337&lt;=AK$2,$F337&gt;=AK$2),1,0)</f>
        <v/>
      </c>
      <c r="AL337">
        <f>AL336+IF(AND($E337&lt;&gt;"",$E337&lt;=AL$2,$F337&gt;=AL$2),1,0)</f>
        <v/>
      </c>
      <c r="AM337">
        <f>AM336+IF(AND($E337&lt;&gt;"",$E337&lt;=AM$2,$F337&gt;=AM$2),1,0)</f>
        <v/>
      </c>
      <c r="AN337">
        <f>AN336+IF(AND($E337&lt;&gt;"",$E337&lt;=AN$2,$F337&gt;=AN$2),1,0)</f>
        <v/>
      </c>
      <c r="AO337">
        <f>AO336+IF(AND($E337&lt;&gt;"",$E337&lt;=AO$2,$F337&gt;=AO$2),1,0)</f>
        <v/>
      </c>
      <c r="AP337">
        <f>AP336+IF(AND($E337&lt;&gt;"",$E337&lt;=AP$2,$F337&gt;=AP$2),1,0)</f>
        <v/>
      </c>
      <c r="AQ337">
        <f>AQ336+IF(AND($E337&lt;&gt;"",$E337&lt;=AQ$2,$F337&gt;=AQ$2),1,0)</f>
        <v/>
      </c>
      <c r="AR337">
        <f>AR336+IF(AND($E337&lt;&gt;"",$E337&lt;=AR$2,$F337&gt;=AR$2),1,0)</f>
        <v/>
      </c>
      <c r="AS337">
        <f>AS336+IF(AND($E337&lt;&gt;"",$E337&lt;=AS$2,$F337&gt;=AS$2),1,0)</f>
        <v/>
      </c>
      <c r="AT337">
        <f>AT336+IF(AND($E337&lt;&gt;"",$E337&lt;=AT$2,$F337&gt;=AT$2),1,0)</f>
        <v/>
      </c>
      <c r="AU337">
        <f>AU336+IF(AND($E337&lt;&gt;"",$E337&lt;=AU$2,$F337&gt;=AU$2),1,0)</f>
        <v/>
      </c>
      <c r="AV337">
        <f>AV336+IF(AND($E337&lt;&gt;"",$E337&lt;=AV$2,$F337&gt;=AV$2),1,0)</f>
        <v/>
      </c>
      <c r="AW337">
        <f>AW336+IF(AND($E337&lt;&gt;"",$E337&lt;=AW$2,$F337&gt;=AW$2),1,0)</f>
        <v/>
      </c>
    </row>
    <row r="338">
      <c r="A338">
        <f>IF(AND(ISNUMBER(Events!$A340),ISNUMBER(Events!$B340)),MAX(0,Events!$B340-Events!$A340),0)</f>
        <v/>
      </c>
      <c r="B338">
        <f>IF(ISNUMBER(Events!$A340),DATE(YEAR($B$1)-1,MONTH(Events!$A340),DAY(Events!$A340)),"")</f>
        <v/>
      </c>
      <c r="C338">
        <f>IF(ISNUMBER(Events!$A340),DATE(YEAR($B$1),MONTH(Events!$A340),DAY(Events!$A340)),"")</f>
        <v/>
      </c>
      <c r="D338">
        <f>IF(ISNUMBER(Events!$A340),DATE(YEAR($B$2),MONTH(Events!$A340),DAY(Events!$A340)),"")</f>
        <v/>
      </c>
      <c r="E338">
        <f>IF(OR(NOT(ISNUMBER(Events!$A340)),Events!$G340="No",Calendar!$H$4="None"),"",IF(OR(Calendar!$H$4="All events",Events!$D340=Calendar!$H$4),IF(Events!$E340="Yes",IF(AND(B338&gt;=Events!$A340,B338&lt;=$B$2,B338+$A338&gt;=$B$1),B338,IF(AND(C338&gt;=Events!$A340,C338&lt;=$B$2,C338+$A338&gt;=$B$1),C338,IF(AND(D338&gt;=Events!$A340,D338&lt;=$B$2,D338+$A338&gt;=$B$1),D338,""))),IF(AND(Events!$A340&lt;=$B$2,Events!$A340+$A338&gt;=$B$1),Events!$A340,"")),""))</f>
        <v/>
      </c>
      <c r="F338">
        <f>IF(E338="","",E338+A338)</f>
        <v/>
      </c>
      <c r="G338">
        <f>IF(E338="","",IF(AND(E338&lt;=EOMONTH(Calendar!$K$2,0),F338&gt;=Calendar!$K$2),E338+335/100000,""))</f>
        <v/>
      </c>
      <c r="H338">
        <f>H337+IF(AND($E338&lt;&gt;"",$E338&lt;=H$2,$F338&gt;=H$2),1,0)</f>
        <v/>
      </c>
      <c r="I338">
        <f>I337+IF(AND($E338&lt;&gt;"",$E338&lt;=I$2,$F338&gt;=I$2),1,0)</f>
        <v/>
      </c>
      <c r="J338">
        <f>J337+IF(AND($E338&lt;&gt;"",$E338&lt;=J$2,$F338&gt;=J$2),1,0)</f>
        <v/>
      </c>
      <c r="K338">
        <f>K337+IF(AND($E338&lt;&gt;"",$E338&lt;=K$2,$F338&gt;=K$2),1,0)</f>
        <v/>
      </c>
      <c r="L338">
        <f>L337+IF(AND($E338&lt;&gt;"",$E338&lt;=L$2,$F338&gt;=L$2),1,0)</f>
        <v/>
      </c>
      <c r="M338">
        <f>M337+IF(AND($E338&lt;&gt;"",$E338&lt;=M$2,$F338&gt;=M$2),1,0)</f>
        <v/>
      </c>
      <c r="N338">
        <f>N337+IF(AND($E338&lt;&gt;"",$E338&lt;=N$2,$F338&gt;=N$2),1,0)</f>
        <v/>
      </c>
      <c r="O338">
        <f>O337+IF(AND($E338&lt;&gt;"",$E338&lt;=O$2,$F338&gt;=O$2),1,0)</f>
        <v/>
      </c>
      <c r="P338">
        <f>P337+IF(AND($E338&lt;&gt;"",$E338&lt;=P$2,$F338&gt;=P$2),1,0)</f>
        <v/>
      </c>
      <c r="Q338">
        <f>Q337+IF(AND($E338&lt;&gt;"",$E338&lt;=Q$2,$F338&gt;=Q$2),1,0)</f>
        <v/>
      </c>
      <c r="R338">
        <f>R337+IF(AND($E338&lt;&gt;"",$E338&lt;=R$2,$F338&gt;=R$2),1,0)</f>
        <v/>
      </c>
      <c r="S338">
        <f>S337+IF(AND($E338&lt;&gt;"",$E338&lt;=S$2,$F338&gt;=S$2),1,0)</f>
        <v/>
      </c>
      <c r="T338">
        <f>T337+IF(AND($E338&lt;&gt;"",$E338&lt;=T$2,$F338&gt;=T$2),1,0)</f>
        <v/>
      </c>
      <c r="U338">
        <f>U337+IF(AND($E338&lt;&gt;"",$E338&lt;=U$2,$F338&gt;=U$2),1,0)</f>
        <v/>
      </c>
      <c r="V338">
        <f>V337+IF(AND($E338&lt;&gt;"",$E338&lt;=V$2,$F338&gt;=V$2),1,0)</f>
        <v/>
      </c>
      <c r="W338">
        <f>W337+IF(AND($E338&lt;&gt;"",$E338&lt;=W$2,$F338&gt;=W$2),1,0)</f>
        <v/>
      </c>
      <c r="X338">
        <f>X337+IF(AND($E338&lt;&gt;"",$E338&lt;=X$2,$F338&gt;=X$2),1,0)</f>
        <v/>
      </c>
      <c r="Y338">
        <f>Y337+IF(AND($E338&lt;&gt;"",$E338&lt;=Y$2,$F338&gt;=Y$2),1,0)</f>
        <v/>
      </c>
      <c r="Z338">
        <f>Z337+IF(AND($E338&lt;&gt;"",$E338&lt;=Z$2,$F338&gt;=Z$2),1,0)</f>
        <v/>
      </c>
      <c r="AA338">
        <f>AA337+IF(AND($E338&lt;&gt;"",$E338&lt;=AA$2,$F338&gt;=AA$2),1,0)</f>
        <v/>
      </c>
      <c r="AB338">
        <f>AB337+IF(AND($E338&lt;&gt;"",$E338&lt;=AB$2,$F338&gt;=AB$2),1,0)</f>
        <v/>
      </c>
      <c r="AC338">
        <f>AC337+IF(AND($E338&lt;&gt;"",$E338&lt;=AC$2,$F338&gt;=AC$2),1,0)</f>
        <v/>
      </c>
      <c r="AD338">
        <f>AD337+IF(AND($E338&lt;&gt;"",$E338&lt;=AD$2,$F338&gt;=AD$2),1,0)</f>
        <v/>
      </c>
      <c r="AE338">
        <f>AE337+IF(AND($E338&lt;&gt;"",$E338&lt;=AE$2,$F338&gt;=AE$2),1,0)</f>
        <v/>
      </c>
      <c r="AF338">
        <f>AF337+IF(AND($E338&lt;&gt;"",$E338&lt;=AF$2,$F338&gt;=AF$2),1,0)</f>
        <v/>
      </c>
      <c r="AG338">
        <f>AG337+IF(AND($E338&lt;&gt;"",$E338&lt;=AG$2,$F338&gt;=AG$2),1,0)</f>
        <v/>
      </c>
      <c r="AH338">
        <f>AH337+IF(AND($E338&lt;&gt;"",$E338&lt;=AH$2,$F338&gt;=AH$2),1,0)</f>
        <v/>
      </c>
      <c r="AI338">
        <f>AI337+IF(AND($E338&lt;&gt;"",$E338&lt;=AI$2,$F338&gt;=AI$2),1,0)</f>
        <v/>
      </c>
      <c r="AJ338">
        <f>AJ337+IF(AND($E338&lt;&gt;"",$E338&lt;=AJ$2,$F338&gt;=AJ$2),1,0)</f>
        <v/>
      </c>
      <c r="AK338">
        <f>AK337+IF(AND($E338&lt;&gt;"",$E338&lt;=AK$2,$F338&gt;=AK$2),1,0)</f>
        <v/>
      </c>
      <c r="AL338">
        <f>AL337+IF(AND($E338&lt;&gt;"",$E338&lt;=AL$2,$F338&gt;=AL$2),1,0)</f>
        <v/>
      </c>
      <c r="AM338">
        <f>AM337+IF(AND($E338&lt;&gt;"",$E338&lt;=AM$2,$F338&gt;=AM$2),1,0)</f>
        <v/>
      </c>
      <c r="AN338">
        <f>AN337+IF(AND($E338&lt;&gt;"",$E338&lt;=AN$2,$F338&gt;=AN$2),1,0)</f>
        <v/>
      </c>
      <c r="AO338">
        <f>AO337+IF(AND($E338&lt;&gt;"",$E338&lt;=AO$2,$F338&gt;=AO$2),1,0)</f>
        <v/>
      </c>
      <c r="AP338">
        <f>AP337+IF(AND($E338&lt;&gt;"",$E338&lt;=AP$2,$F338&gt;=AP$2),1,0)</f>
        <v/>
      </c>
      <c r="AQ338">
        <f>AQ337+IF(AND($E338&lt;&gt;"",$E338&lt;=AQ$2,$F338&gt;=AQ$2),1,0)</f>
        <v/>
      </c>
      <c r="AR338">
        <f>AR337+IF(AND($E338&lt;&gt;"",$E338&lt;=AR$2,$F338&gt;=AR$2),1,0)</f>
        <v/>
      </c>
      <c r="AS338">
        <f>AS337+IF(AND($E338&lt;&gt;"",$E338&lt;=AS$2,$F338&gt;=AS$2),1,0)</f>
        <v/>
      </c>
      <c r="AT338">
        <f>AT337+IF(AND($E338&lt;&gt;"",$E338&lt;=AT$2,$F338&gt;=AT$2),1,0)</f>
        <v/>
      </c>
      <c r="AU338">
        <f>AU337+IF(AND($E338&lt;&gt;"",$E338&lt;=AU$2,$F338&gt;=AU$2),1,0)</f>
        <v/>
      </c>
      <c r="AV338">
        <f>AV337+IF(AND($E338&lt;&gt;"",$E338&lt;=AV$2,$F338&gt;=AV$2),1,0)</f>
        <v/>
      </c>
      <c r="AW338">
        <f>AW337+IF(AND($E338&lt;&gt;"",$E338&lt;=AW$2,$F338&gt;=AW$2),1,0)</f>
        <v/>
      </c>
    </row>
    <row r="339">
      <c r="A339">
        <f>IF(AND(ISNUMBER(Events!$A341),ISNUMBER(Events!$B341)),MAX(0,Events!$B341-Events!$A341),0)</f>
        <v/>
      </c>
      <c r="B339">
        <f>IF(ISNUMBER(Events!$A341),DATE(YEAR($B$1)-1,MONTH(Events!$A341),DAY(Events!$A341)),"")</f>
        <v/>
      </c>
      <c r="C339">
        <f>IF(ISNUMBER(Events!$A341),DATE(YEAR($B$1),MONTH(Events!$A341),DAY(Events!$A341)),"")</f>
        <v/>
      </c>
      <c r="D339">
        <f>IF(ISNUMBER(Events!$A341),DATE(YEAR($B$2),MONTH(Events!$A341),DAY(Events!$A341)),"")</f>
        <v/>
      </c>
      <c r="E339">
        <f>IF(OR(NOT(ISNUMBER(Events!$A341)),Events!$G341="No",Calendar!$H$4="None"),"",IF(OR(Calendar!$H$4="All events",Events!$D341=Calendar!$H$4),IF(Events!$E341="Yes",IF(AND(B339&gt;=Events!$A341,B339&lt;=$B$2,B339+$A339&gt;=$B$1),B339,IF(AND(C339&gt;=Events!$A341,C339&lt;=$B$2,C339+$A339&gt;=$B$1),C339,IF(AND(D339&gt;=Events!$A341,D339&lt;=$B$2,D339+$A339&gt;=$B$1),D339,""))),IF(AND(Events!$A341&lt;=$B$2,Events!$A341+$A339&gt;=$B$1),Events!$A341,"")),""))</f>
        <v/>
      </c>
      <c r="F339">
        <f>IF(E339="","",E339+A339)</f>
        <v/>
      </c>
      <c r="G339">
        <f>IF(E339="","",IF(AND(E339&lt;=EOMONTH(Calendar!$K$2,0),F339&gt;=Calendar!$K$2),E339+336/100000,""))</f>
        <v/>
      </c>
      <c r="H339">
        <f>H338+IF(AND($E339&lt;&gt;"",$E339&lt;=H$2,$F339&gt;=H$2),1,0)</f>
        <v/>
      </c>
      <c r="I339">
        <f>I338+IF(AND($E339&lt;&gt;"",$E339&lt;=I$2,$F339&gt;=I$2),1,0)</f>
        <v/>
      </c>
      <c r="J339">
        <f>J338+IF(AND($E339&lt;&gt;"",$E339&lt;=J$2,$F339&gt;=J$2),1,0)</f>
        <v/>
      </c>
      <c r="K339">
        <f>K338+IF(AND($E339&lt;&gt;"",$E339&lt;=K$2,$F339&gt;=K$2),1,0)</f>
        <v/>
      </c>
      <c r="L339">
        <f>L338+IF(AND($E339&lt;&gt;"",$E339&lt;=L$2,$F339&gt;=L$2),1,0)</f>
        <v/>
      </c>
      <c r="M339">
        <f>M338+IF(AND($E339&lt;&gt;"",$E339&lt;=M$2,$F339&gt;=M$2),1,0)</f>
        <v/>
      </c>
      <c r="N339">
        <f>N338+IF(AND($E339&lt;&gt;"",$E339&lt;=N$2,$F339&gt;=N$2),1,0)</f>
        <v/>
      </c>
      <c r="O339">
        <f>O338+IF(AND($E339&lt;&gt;"",$E339&lt;=O$2,$F339&gt;=O$2),1,0)</f>
        <v/>
      </c>
      <c r="P339">
        <f>P338+IF(AND($E339&lt;&gt;"",$E339&lt;=P$2,$F339&gt;=P$2),1,0)</f>
        <v/>
      </c>
      <c r="Q339">
        <f>Q338+IF(AND($E339&lt;&gt;"",$E339&lt;=Q$2,$F339&gt;=Q$2),1,0)</f>
        <v/>
      </c>
      <c r="R339">
        <f>R338+IF(AND($E339&lt;&gt;"",$E339&lt;=R$2,$F339&gt;=R$2),1,0)</f>
        <v/>
      </c>
      <c r="S339">
        <f>S338+IF(AND($E339&lt;&gt;"",$E339&lt;=S$2,$F339&gt;=S$2),1,0)</f>
        <v/>
      </c>
      <c r="T339">
        <f>T338+IF(AND($E339&lt;&gt;"",$E339&lt;=T$2,$F339&gt;=T$2),1,0)</f>
        <v/>
      </c>
      <c r="U339">
        <f>U338+IF(AND($E339&lt;&gt;"",$E339&lt;=U$2,$F339&gt;=U$2),1,0)</f>
        <v/>
      </c>
      <c r="V339">
        <f>V338+IF(AND($E339&lt;&gt;"",$E339&lt;=V$2,$F339&gt;=V$2),1,0)</f>
        <v/>
      </c>
      <c r="W339">
        <f>W338+IF(AND($E339&lt;&gt;"",$E339&lt;=W$2,$F339&gt;=W$2),1,0)</f>
        <v/>
      </c>
      <c r="X339">
        <f>X338+IF(AND($E339&lt;&gt;"",$E339&lt;=X$2,$F339&gt;=X$2),1,0)</f>
        <v/>
      </c>
      <c r="Y339">
        <f>Y338+IF(AND($E339&lt;&gt;"",$E339&lt;=Y$2,$F339&gt;=Y$2),1,0)</f>
        <v/>
      </c>
      <c r="Z339">
        <f>Z338+IF(AND($E339&lt;&gt;"",$E339&lt;=Z$2,$F339&gt;=Z$2),1,0)</f>
        <v/>
      </c>
      <c r="AA339">
        <f>AA338+IF(AND($E339&lt;&gt;"",$E339&lt;=AA$2,$F339&gt;=AA$2),1,0)</f>
        <v/>
      </c>
      <c r="AB339">
        <f>AB338+IF(AND($E339&lt;&gt;"",$E339&lt;=AB$2,$F339&gt;=AB$2),1,0)</f>
        <v/>
      </c>
      <c r="AC339">
        <f>AC338+IF(AND($E339&lt;&gt;"",$E339&lt;=AC$2,$F339&gt;=AC$2),1,0)</f>
        <v/>
      </c>
      <c r="AD339">
        <f>AD338+IF(AND($E339&lt;&gt;"",$E339&lt;=AD$2,$F339&gt;=AD$2),1,0)</f>
        <v/>
      </c>
      <c r="AE339">
        <f>AE338+IF(AND($E339&lt;&gt;"",$E339&lt;=AE$2,$F339&gt;=AE$2),1,0)</f>
        <v/>
      </c>
      <c r="AF339">
        <f>AF338+IF(AND($E339&lt;&gt;"",$E339&lt;=AF$2,$F339&gt;=AF$2),1,0)</f>
        <v/>
      </c>
      <c r="AG339">
        <f>AG338+IF(AND($E339&lt;&gt;"",$E339&lt;=AG$2,$F339&gt;=AG$2),1,0)</f>
        <v/>
      </c>
      <c r="AH339">
        <f>AH338+IF(AND($E339&lt;&gt;"",$E339&lt;=AH$2,$F339&gt;=AH$2),1,0)</f>
        <v/>
      </c>
      <c r="AI339">
        <f>AI338+IF(AND($E339&lt;&gt;"",$E339&lt;=AI$2,$F339&gt;=AI$2),1,0)</f>
        <v/>
      </c>
      <c r="AJ339">
        <f>AJ338+IF(AND($E339&lt;&gt;"",$E339&lt;=AJ$2,$F339&gt;=AJ$2),1,0)</f>
        <v/>
      </c>
      <c r="AK339">
        <f>AK338+IF(AND($E339&lt;&gt;"",$E339&lt;=AK$2,$F339&gt;=AK$2),1,0)</f>
        <v/>
      </c>
      <c r="AL339">
        <f>AL338+IF(AND($E339&lt;&gt;"",$E339&lt;=AL$2,$F339&gt;=AL$2),1,0)</f>
        <v/>
      </c>
      <c r="AM339">
        <f>AM338+IF(AND($E339&lt;&gt;"",$E339&lt;=AM$2,$F339&gt;=AM$2),1,0)</f>
        <v/>
      </c>
      <c r="AN339">
        <f>AN338+IF(AND($E339&lt;&gt;"",$E339&lt;=AN$2,$F339&gt;=AN$2),1,0)</f>
        <v/>
      </c>
      <c r="AO339">
        <f>AO338+IF(AND($E339&lt;&gt;"",$E339&lt;=AO$2,$F339&gt;=AO$2),1,0)</f>
        <v/>
      </c>
      <c r="AP339">
        <f>AP338+IF(AND($E339&lt;&gt;"",$E339&lt;=AP$2,$F339&gt;=AP$2),1,0)</f>
        <v/>
      </c>
      <c r="AQ339">
        <f>AQ338+IF(AND($E339&lt;&gt;"",$E339&lt;=AQ$2,$F339&gt;=AQ$2),1,0)</f>
        <v/>
      </c>
      <c r="AR339">
        <f>AR338+IF(AND($E339&lt;&gt;"",$E339&lt;=AR$2,$F339&gt;=AR$2),1,0)</f>
        <v/>
      </c>
      <c r="AS339">
        <f>AS338+IF(AND($E339&lt;&gt;"",$E339&lt;=AS$2,$F339&gt;=AS$2),1,0)</f>
        <v/>
      </c>
      <c r="AT339">
        <f>AT338+IF(AND($E339&lt;&gt;"",$E339&lt;=AT$2,$F339&gt;=AT$2),1,0)</f>
        <v/>
      </c>
      <c r="AU339">
        <f>AU338+IF(AND($E339&lt;&gt;"",$E339&lt;=AU$2,$F339&gt;=AU$2),1,0)</f>
        <v/>
      </c>
      <c r="AV339">
        <f>AV338+IF(AND($E339&lt;&gt;"",$E339&lt;=AV$2,$F339&gt;=AV$2),1,0)</f>
        <v/>
      </c>
      <c r="AW339">
        <f>AW338+IF(AND($E339&lt;&gt;"",$E339&lt;=AW$2,$F339&gt;=AW$2),1,0)</f>
        <v/>
      </c>
    </row>
    <row r="340">
      <c r="A340">
        <f>IF(AND(ISNUMBER(Events!$A342),ISNUMBER(Events!$B342)),MAX(0,Events!$B342-Events!$A342),0)</f>
        <v/>
      </c>
      <c r="B340">
        <f>IF(ISNUMBER(Events!$A342),DATE(YEAR($B$1)-1,MONTH(Events!$A342),DAY(Events!$A342)),"")</f>
        <v/>
      </c>
      <c r="C340">
        <f>IF(ISNUMBER(Events!$A342),DATE(YEAR($B$1),MONTH(Events!$A342),DAY(Events!$A342)),"")</f>
        <v/>
      </c>
      <c r="D340">
        <f>IF(ISNUMBER(Events!$A342),DATE(YEAR($B$2),MONTH(Events!$A342),DAY(Events!$A342)),"")</f>
        <v/>
      </c>
      <c r="E340">
        <f>IF(OR(NOT(ISNUMBER(Events!$A342)),Events!$G342="No",Calendar!$H$4="None"),"",IF(OR(Calendar!$H$4="All events",Events!$D342=Calendar!$H$4),IF(Events!$E342="Yes",IF(AND(B340&gt;=Events!$A342,B340&lt;=$B$2,B340+$A340&gt;=$B$1),B340,IF(AND(C340&gt;=Events!$A342,C340&lt;=$B$2,C340+$A340&gt;=$B$1),C340,IF(AND(D340&gt;=Events!$A342,D340&lt;=$B$2,D340+$A340&gt;=$B$1),D340,""))),IF(AND(Events!$A342&lt;=$B$2,Events!$A342+$A340&gt;=$B$1),Events!$A342,"")),""))</f>
        <v/>
      </c>
      <c r="F340">
        <f>IF(E340="","",E340+A340)</f>
        <v/>
      </c>
      <c r="G340">
        <f>IF(E340="","",IF(AND(E340&lt;=EOMONTH(Calendar!$K$2,0),F340&gt;=Calendar!$K$2),E340+337/100000,""))</f>
        <v/>
      </c>
      <c r="H340">
        <f>H339+IF(AND($E340&lt;&gt;"",$E340&lt;=H$2,$F340&gt;=H$2),1,0)</f>
        <v/>
      </c>
      <c r="I340">
        <f>I339+IF(AND($E340&lt;&gt;"",$E340&lt;=I$2,$F340&gt;=I$2),1,0)</f>
        <v/>
      </c>
      <c r="J340">
        <f>J339+IF(AND($E340&lt;&gt;"",$E340&lt;=J$2,$F340&gt;=J$2),1,0)</f>
        <v/>
      </c>
      <c r="K340">
        <f>K339+IF(AND($E340&lt;&gt;"",$E340&lt;=K$2,$F340&gt;=K$2),1,0)</f>
        <v/>
      </c>
      <c r="L340">
        <f>L339+IF(AND($E340&lt;&gt;"",$E340&lt;=L$2,$F340&gt;=L$2),1,0)</f>
        <v/>
      </c>
      <c r="M340">
        <f>M339+IF(AND($E340&lt;&gt;"",$E340&lt;=M$2,$F340&gt;=M$2),1,0)</f>
        <v/>
      </c>
      <c r="N340">
        <f>N339+IF(AND($E340&lt;&gt;"",$E340&lt;=N$2,$F340&gt;=N$2),1,0)</f>
        <v/>
      </c>
      <c r="O340">
        <f>O339+IF(AND($E340&lt;&gt;"",$E340&lt;=O$2,$F340&gt;=O$2),1,0)</f>
        <v/>
      </c>
      <c r="P340">
        <f>P339+IF(AND($E340&lt;&gt;"",$E340&lt;=P$2,$F340&gt;=P$2),1,0)</f>
        <v/>
      </c>
      <c r="Q340">
        <f>Q339+IF(AND($E340&lt;&gt;"",$E340&lt;=Q$2,$F340&gt;=Q$2),1,0)</f>
        <v/>
      </c>
      <c r="R340">
        <f>R339+IF(AND($E340&lt;&gt;"",$E340&lt;=R$2,$F340&gt;=R$2),1,0)</f>
        <v/>
      </c>
      <c r="S340">
        <f>S339+IF(AND($E340&lt;&gt;"",$E340&lt;=S$2,$F340&gt;=S$2),1,0)</f>
        <v/>
      </c>
      <c r="T340">
        <f>T339+IF(AND($E340&lt;&gt;"",$E340&lt;=T$2,$F340&gt;=T$2),1,0)</f>
        <v/>
      </c>
      <c r="U340">
        <f>U339+IF(AND($E340&lt;&gt;"",$E340&lt;=U$2,$F340&gt;=U$2),1,0)</f>
        <v/>
      </c>
      <c r="V340">
        <f>V339+IF(AND($E340&lt;&gt;"",$E340&lt;=V$2,$F340&gt;=V$2),1,0)</f>
        <v/>
      </c>
      <c r="W340">
        <f>W339+IF(AND($E340&lt;&gt;"",$E340&lt;=W$2,$F340&gt;=W$2),1,0)</f>
        <v/>
      </c>
      <c r="X340">
        <f>X339+IF(AND($E340&lt;&gt;"",$E340&lt;=X$2,$F340&gt;=X$2),1,0)</f>
        <v/>
      </c>
      <c r="Y340">
        <f>Y339+IF(AND($E340&lt;&gt;"",$E340&lt;=Y$2,$F340&gt;=Y$2),1,0)</f>
        <v/>
      </c>
      <c r="Z340">
        <f>Z339+IF(AND($E340&lt;&gt;"",$E340&lt;=Z$2,$F340&gt;=Z$2),1,0)</f>
        <v/>
      </c>
      <c r="AA340">
        <f>AA339+IF(AND($E340&lt;&gt;"",$E340&lt;=AA$2,$F340&gt;=AA$2),1,0)</f>
        <v/>
      </c>
      <c r="AB340">
        <f>AB339+IF(AND($E340&lt;&gt;"",$E340&lt;=AB$2,$F340&gt;=AB$2),1,0)</f>
        <v/>
      </c>
      <c r="AC340">
        <f>AC339+IF(AND($E340&lt;&gt;"",$E340&lt;=AC$2,$F340&gt;=AC$2),1,0)</f>
        <v/>
      </c>
      <c r="AD340">
        <f>AD339+IF(AND($E340&lt;&gt;"",$E340&lt;=AD$2,$F340&gt;=AD$2),1,0)</f>
        <v/>
      </c>
      <c r="AE340">
        <f>AE339+IF(AND($E340&lt;&gt;"",$E340&lt;=AE$2,$F340&gt;=AE$2),1,0)</f>
        <v/>
      </c>
      <c r="AF340">
        <f>AF339+IF(AND($E340&lt;&gt;"",$E340&lt;=AF$2,$F340&gt;=AF$2),1,0)</f>
        <v/>
      </c>
      <c r="AG340">
        <f>AG339+IF(AND($E340&lt;&gt;"",$E340&lt;=AG$2,$F340&gt;=AG$2),1,0)</f>
        <v/>
      </c>
      <c r="AH340">
        <f>AH339+IF(AND($E340&lt;&gt;"",$E340&lt;=AH$2,$F340&gt;=AH$2),1,0)</f>
        <v/>
      </c>
      <c r="AI340">
        <f>AI339+IF(AND($E340&lt;&gt;"",$E340&lt;=AI$2,$F340&gt;=AI$2),1,0)</f>
        <v/>
      </c>
      <c r="AJ340">
        <f>AJ339+IF(AND($E340&lt;&gt;"",$E340&lt;=AJ$2,$F340&gt;=AJ$2),1,0)</f>
        <v/>
      </c>
      <c r="AK340">
        <f>AK339+IF(AND($E340&lt;&gt;"",$E340&lt;=AK$2,$F340&gt;=AK$2),1,0)</f>
        <v/>
      </c>
      <c r="AL340">
        <f>AL339+IF(AND($E340&lt;&gt;"",$E340&lt;=AL$2,$F340&gt;=AL$2),1,0)</f>
        <v/>
      </c>
      <c r="AM340">
        <f>AM339+IF(AND($E340&lt;&gt;"",$E340&lt;=AM$2,$F340&gt;=AM$2),1,0)</f>
        <v/>
      </c>
      <c r="AN340">
        <f>AN339+IF(AND($E340&lt;&gt;"",$E340&lt;=AN$2,$F340&gt;=AN$2),1,0)</f>
        <v/>
      </c>
      <c r="AO340">
        <f>AO339+IF(AND($E340&lt;&gt;"",$E340&lt;=AO$2,$F340&gt;=AO$2),1,0)</f>
        <v/>
      </c>
      <c r="AP340">
        <f>AP339+IF(AND($E340&lt;&gt;"",$E340&lt;=AP$2,$F340&gt;=AP$2),1,0)</f>
        <v/>
      </c>
      <c r="AQ340">
        <f>AQ339+IF(AND($E340&lt;&gt;"",$E340&lt;=AQ$2,$F340&gt;=AQ$2),1,0)</f>
        <v/>
      </c>
      <c r="AR340">
        <f>AR339+IF(AND($E340&lt;&gt;"",$E340&lt;=AR$2,$F340&gt;=AR$2),1,0)</f>
        <v/>
      </c>
      <c r="AS340">
        <f>AS339+IF(AND($E340&lt;&gt;"",$E340&lt;=AS$2,$F340&gt;=AS$2),1,0)</f>
        <v/>
      </c>
      <c r="AT340">
        <f>AT339+IF(AND($E340&lt;&gt;"",$E340&lt;=AT$2,$F340&gt;=AT$2),1,0)</f>
        <v/>
      </c>
      <c r="AU340">
        <f>AU339+IF(AND($E340&lt;&gt;"",$E340&lt;=AU$2,$F340&gt;=AU$2),1,0)</f>
        <v/>
      </c>
      <c r="AV340">
        <f>AV339+IF(AND($E340&lt;&gt;"",$E340&lt;=AV$2,$F340&gt;=AV$2),1,0)</f>
        <v/>
      </c>
      <c r="AW340">
        <f>AW339+IF(AND($E340&lt;&gt;"",$E340&lt;=AW$2,$F340&gt;=AW$2),1,0)</f>
        <v/>
      </c>
    </row>
    <row r="341">
      <c r="A341">
        <f>IF(AND(ISNUMBER(Events!$A343),ISNUMBER(Events!$B343)),MAX(0,Events!$B343-Events!$A343),0)</f>
        <v/>
      </c>
      <c r="B341">
        <f>IF(ISNUMBER(Events!$A343),DATE(YEAR($B$1)-1,MONTH(Events!$A343),DAY(Events!$A343)),"")</f>
        <v/>
      </c>
      <c r="C341">
        <f>IF(ISNUMBER(Events!$A343),DATE(YEAR($B$1),MONTH(Events!$A343),DAY(Events!$A343)),"")</f>
        <v/>
      </c>
      <c r="D341">
        <f>IF(ISNUMBER(Events!$A343),DATE(YEAR($B$2),MONTH(Events!$A343),DAY(Events!$A343)),"")</f>
        <v/>
      </c>
      <c r="E341">
        <f>IF(OR(NOT(ISNUMBER(Events!$A343)),Events!$G343="No",Calendar!$H$4="None"),"",IF(OR(Calendar!$H$4="All events",Events!$D343=Calendar!$H$4),IF(Events!$E343="Yes",IF(AND(B341&gt;=Events!$A343,B341&lt;=$B$2,B341+$A341&gt;=$B$1),B341,IF(AND(C341&gt;=Events!$A343,C341&lt;=$B$2,C341+$A341&gt;=$B$1),C341,IF(AND(D341&gt;=Events!$A343,D341&lt;=$B$2,D341+$A341&gt;=$B$1),D341,""))),IF(AND(Events!$A343&lt;=$B$2,Events!$A343+$A341&gt;=$B$1),Events!$A343,"")),""))</f>
        <v/>
      </c>
      <c r="F341">
        <f>IF(E341="","",E341+A341)</f>
        <v/>
      </c>
      <c r="G341">
        <f>IF(E341="","",IF(AND(E341&lt;=EOMONTH(Calendar!$K$2,0),F341&gt;=Calendar!$K$2),E341+338/100000,""))</f>
        <v/>
      </c>
      <c r="H341">
        <f>H340+IF(AND($E341&lt;&gt;"",$E341&lt;=H$2,$F341&gt;=H$2),1,0)</f>
        <v/>
      </c>
      <c r="I341">
        <f>I340+IF(AND($E341&lt;&gt;"",$E341&lt;=I$2,$F341&gt;=I$2),1,0)</f>
        <v/>
      </c>
      <c r="J341">
        <f>J340+IF(AND($E341&lt;&gt;"",$E341&lt;=J$2,$F341&gt;=J$2),1,0)</f>
        <v/>
      </c>
      <c r="K341">
        <f>K340+IF(AND($E341&lt;&gt;"",$E341&lt;=K$2,$F341&gt;=K$2),1,0)</f>
        <v/>
      </c>
      <c r="L341">
        <f>L340+IF(AND($E341&lt;&gt;"",$E341&lt;=L$2,$F341&gt;=L$2),1,0)</f>
        <v/>
      </c>
      <c r="M341">
        <f>M340+IF(AND($E341&lt;&gt;"",$E341&lt;=M$2,$F341&gt;=M$2),1,0)</f>
        <v/>
      </c>
      <c r="N341">
        <f>N340+IF(AND($E341&lt;&gt;"",$E341&lt;=N$2,$F341&gt;=N$2),1,0)</f>
        <v/>
      </c>
      <c r="O341">
        <f>O340+IF(AND($E341&lt;&gt;"",$E341&lt;=O$2,$F341&gt;=O$2),1,0)</f>
        <v/>
      </c>
      <c r="P341">
        <f>P340+IF(AND($E341&lt;&gt;"",$E341&lt;=P$2,$F341&gt;=P$2),1,0)</f>
        <v/>
      </c>
      <c r="Q341">
        <f>Q340+IF(AND($E341&lt;&gt;"",$E341&lt;=Q$2,$F341&gt;=Q$2),1,0)</f>
        <v/>
      </c>
      <c r="R341">
        <f>R340+IF(AND($E341&lt;&gt;"",$E341&lt;=R$2,$F341&gt;=R$2),1,0)</f>
        <v/>
      </c>
      <c r="S341">
        <f>S340+IF(AND($E341&lt;&gt;"",$E341&lt;=S$2,$F341&gt;=S$2),1,0)</f>
        <v/>
      </c>
      <c r="T341">
        <f>T340+IF(AND($E341&lt;&gt;"",$E341&lt;=T$2,$F341&gt;=T$2),1,0)</f>
        <v/>
      </c>
      <c r="U341">
        <f>U340+IF(AND($E341&lt;&gt;"",$E341&lt;=U$2,$F341&gt;=U$2),1,0)</f>
        <v/>
      </c>
      <c r="V341">
        <f>V340+IF(AND($E341&lt;&gt;"",$E341&lt;=V$2,$F341&gt;=V$2),1,0)</f>
        <v/>
      </c>
      <c r="W341">
        <f>W340+IF(AND($E341&lt;&gt;"",$E341&lt;=W$2,$F341&gt;=W$2),1,0)</f>
        <v/>
      </c>
      <c r="X341">
        <f>X340+IF(AND($E341&lt;&gt;"",$E341&lt;=X$2,$F341&gt;=X$2),1,0)</f>
        <v/>
      </c>
      <c r="Y341">
        <f>Y340+IF(AND($E341&lt;&gt;"",$E341&lt;=Y$2,$F341&gt;=Y$2),1,0)</f>
        <v/>
      </c>
      <c r="Z341">
        <f>Z340+IF(AND($E341&lt;&gt;"",$E341&lt;=Z$2,$F341&gt;=Z$2),1,0)</f>
        <v/>
      </c>
      <c r="AA341">
        <f>AA340+IF(AND($E341&lt;&gt;"",$E341&lt;=AA$2,$F341&gt;=AA$2),1,0)</f>
        <v/>
      </c>
      <c r="AB341">
        <f>AB340+IF(AND($E341&lt;&gt;"",$E341&lt;=AB$2,$F341&gt;=AB$2),1,0)</f>
        <v/>
      </c>
      <c r="AC341">
        <f>AC340+IF(AND($E341&lt;&gt;"",$E341&lt;=AC$2,$F341&gt;=AC$2),1,0)</f>
        <v/>
      </c>
      <c r="AD341">
        <f>AD340+IF(AND($E341&lt;&gt;"",$E341&lt;=AD$2,$F341&gt;=AD$2),1,0)</f>
        <v/>
      </c>
      <c r="AE341">
        <f>AE340+IF(AND($E341&lt;&gt;"",$E341&lt;=AE$2,$F341&gt;=AE$2),1,0)</f>
        <v/>
      </c>
      <c r="AF341">
        <f>AF340+IF(AND($E341&lt;&gt;"",$E341&lt;=AF$2,$F341&gt;=AF$2),1,0)</f>
        <v/>
      </c>
      <c r="AG341">
        <f>AG340+IF(AND($E341&lt;&gt;"",$E341&lt;=AG$2,$F341&gt;=AG$2),1,0)</f>
        <v/>
      </c>
      <c r="AH341">
        <f>AH340+IF(AND($E341&lt;&gt;"",$E341&lt;=AH$2,$F341&gt;=AH$2),1,0)</f>
        <v/>
      </c>
      <c r="AI341">
        <f>AI340+IF(AND($E341&lt;&gt;"",$E341&lt;=AI$2,$F341&gt;=AI$2),1,0)</f>
        <v/>
      </c>
      <c r="AJ341">
        <f>AJ340+IF(AND($E341&lt;&gt;"",$E341&lt;=AJ$2,$F341&gt;=AJ$2),1,0)</f>
        <v/>
      </c>
      <c r="AK341">
        <f>AK340+IF(AND($E341&lt;&gt;"",$E341&lt;=AK$2,$F341&gt;=AK$2),1,0)</f>
        <v/>
      </c>
      <c r="AL341">
        <f>AL340+IF(AND($E341&lt;&gt;"",$E341&lt;=AL$2,$F341&gt;=AL$2),1,0)</f>
        <v/>
      </c>
      <c r="AM341">
        <f>AM340+IF(AND($E341&lt;&gt;"",$E341&lt;=AM$2,$F341&gt;=AM$2),1,0)</f>
        <v/>
      </c>
      <c r="AN341">
        <f>AN340+IF(AND($E341&lt;&gt;"",$E341&lt;=AN$2,$F341&gt;=AN$2),1,0)</f>
        <v/>
      </c>
      <c r="AO341">
        <f>AO340+IF(AND($E341&lt;&gt;"",$E341&lt;=AO$2,$F341&gt;=AO$2),1,0)</f>
        <v/>
      </c>
      <c r="AP341">
        <f>AP340+IF(AND($E341&lt;&gt;"",$E341&lt;=AP$2,$F341&gt;=AP$2),1,0)</f>
        <v/>
      </c>
      <c r="AQ341">
        <f>AQ340+IF(AND($E341&lt;&gt;"",$E341&lt;=AQ$2,$F341&gt;=AQ$2),1,0)</f>
        <v/>
      </c>
      <c r="AR341">
        <f>AR340+IF(AND($E341&lt;&gt;"",$E341&lt;=AR$2,$F341&gt;=AR$2),1,0)</f>
        <v/>
      </c>
      <c r="AS341">
        <f>AS340+IF(AND($E341&lt;&gt;"",$E341&lt;=AS$2,$F341&gt;=AS$2),1,0)</f>
        <v/>
      </c>
      <c r="AT341">
        <f>AT340+IF(AND($E341&lt;&gt;"",$E341&lt;=AT$2,$F341&gt;=AT$2),1,0)</f>
        <v/>
      </c>
      <c r="AU341">
        <f>AU340+IF(AND($E341&lt;&gt;"",$E341&lt;=AU$2,$F341&gt;=AU$2),1,0)</f>
        <v/>
      </c>
      <c r="AV341">
        <f>AV340+IF(AND($E341&lt;&gt;"",$E341&lt;=AV$2,$F341&gt;=AV$2),1,0)</f>
        <v/>
      </c>
      <c r="AW341">
        <f>AW340+IF(AND($E341&lt;&gt;"",$E341&lt;=AW$2,$F341&gt;=AW$2),1,0)</f>
        <v/>
      </c>
    </row>
    <row r="342">
      <c r="A342">
        <f>IF(AND(ISNUMBER(Events!$A344),ISNUMBER(Events!$B344)),MAX(0,Events!$B344-Events!$A344),0)</f>
        <v/>
      </c>
      <c r="B342">
        <f>IF(ISNUMBER(Events!$A344),DATE(YEAR($B$1)-1,MONTH(Events!$A344),DAY(Events!$A344)),"")</f>
        <v/>
      </c>
      <c r="C342">
        <f>IF(ISNUMBER(Events!$A344),DATE(YEAR($B$1),MONTH(Events!$A344),DAY(Events!$A344)),"")</f>
        <v/>
      </c>
      <c r="D342">
        <f>IF(ISNUMBER(Events!$A344),DATE(YEAR($B$2),MONTH(Events!$A344),DAY(Events!$A344)),"")</f>
        <v/>
      </c>
      <c r="E342">
        <f>IF(OR(NOT(ISNUMBER(Events!$A344)),Events!$G344="No",Calendar!$H$4="None"),"",IF(OR(Calendar!$H$4="All events",Events!$D344=Calendar!$H$4),IF(Events!$E344="Yes",IF(AND(B342&gt;=Events!$A344,B342&lt;=$B$2,B342+$A342&gt;=$B$1),B342,IF(AND(C342&gt;=Events!$A344,C342&lt;=$B$2,C342+$A342&gt;=$B$1),C342,IF(AND(D342&gt;=Events!$A344,D342&lt;=$B$2,D342+$A342&gt;=$B$1),D342,""))),IF(AND(Events!$A344&lt;=$B$2,Events!$A344+$A342&gt;=$B$1),Events!$A344,"")),""))</f>
        <v/>
      </c>
      <c r="F342">
        <f>IF(E342="","",E342+A342)</f>
        <v/>
      </c>
      <c r="G342">
        <f>IF(E342="","",IF(AND(E342&lt;=EOMONTH(Calendar!$K$2,0),F342&gt;=Calendar!$K$2),E342+339/100000,""))</f>
        <v/>
      </c>
      <c r="H342">
        <f>H341+IF(AND($E342&lt;&gt;"",$E342&lt;=H$2,$F342&gt;=H$2),1,0)</f>
        <v/>
      </c>
      <c r="I342">
        <f>I341+IF(AND($E342&lt;&gt;"",$E342&lt;=I$2,$F342&gt;=I$2),1,0)</f>
        <v/>
      </c>
      <c r="J342">
        <f>J341+IF(AND($E342&lt;&gt;"",$E342&lt;=J$2,$F342&gt;=J$2),1,0)</f>
        <v/>
      </c>
      <c r="K342">
        <f>K341+IF(AND($E342&lt;&gt;"",$E342&lt;=K$2,$F342&gt;=K$2),1,0)</f>
        <v/>
      </c>
      <c r="L342">
        <f>L341+IF(AND($E342&lt;&gt;"",$E342&lt;=L$2,$F342&gt;=L$2),1,0)</f>
        <v/>
      </c>
      <c r="M342">
        <f>M341+IF(AND($E342&lt;&gt;"",$E342&lt;=M$2,$F342&gt;=M$2),1,0)</f>
        <v/>
      </c>
      <c r="N342">
        <f>N341+IF(AND($E342&lt;&gt;"",$E342&lt;=N$2,$F342&gt;=N$2),1,0)</f>
        <v/>
      </c>
      <c r="O342">
        <f>O341+IF(AND($E342&lt;&gt;"",$E342&lt;=O$2,$F342&gt;=O$2),1,0)</f>
        <v/>
      </c>
      <c r="P342">
        <f>P341+IF(AND($E342&lt;&gt;"",$E342&lt;=P$2,$F342&gt;=P$2),1,0)</f>
        <v/>
      </c>
      <c r="Q342">
        <f>Q341+IF(AND($E342&lt;&gt;"",$E342&lt;=Q$2,$F342&gt;=Q$2),1,0)</f>
        <v/>
      </c>
      <c r="R342">
        <f>R341+IF(AND($E342&lt;&gt;"",$E342&lt;=R$2,$F342&gt;=R$2),1,0)</f>
        <v/>
      </c>
      <c r="S342">
        <f>S341+IF(AND($E342&lt;&gt;"",$E342&lt;=S$2,$F342&gt;=S$2),1,0)</f>
        <v/>
      </c>
      <c r="T342">
        <f>T341+IF(AND($E342&lt;&gt;"",$E342&lt;=T$2,$F342&gt;=T$2),1,0)</f>
        <v/>
      </c>
      <c r="U342">
        <f>U341+IF(AND($E342&lt;&gt;"",$E342&lt;=U$2,$F342&gt;=U$2),1,0)</f>
        <v/>
      </c>
      <c r="V342">
        <f>V341+IF(AND($E342&lt;&gt;"",$E342&lt;=V$2,$F342&gt;=V$2),1,0)</f>
        <v/>
      </c>
      <c r="W342">
        <f>W341+IF(AND($E342&lt;&gt;"",$E342&lt;=W$2,$F342&gt;=W$2),1,0)</f>
        <v/>
      </c>
      <c r="X342">
        <f>X341+IF(AND($E342&lt;&gt;"",$E342&lt;=X$2,$F342&gt;=X$2),1,0)</f>
        <v/>
      </c>
      <c r="Y342">
        <f>Y341+IF(AND($E342&lt;&gt;"",$E342&lt;=Y$2,$F342&gt;=Y$2),1,0)</f>
        <v/>
      </c>
      <c r="Z342">
        <f>Z341+IF(AND($E342&lt;&gt;"",$E342&lt;=Z$2,$F342&gt;=Z$2),1,0)</f>
        <v/>
      </c>
      <c r="AA342">
        <f>AA341+IF(AND($E342&lt;&gt;"",$E342&lt;=AA$2,$F342&gt;=AA$2),1,0)</f>
        <v/>
      </c>
      <c r="AB342">
        <f>AB341+IF(AND($E342&lt;&gt;"",$E342&lt;=AB$2,$F342&gt;=AB$2),1,0)</f>
        <v/>
      </c>
      <c r="AC342">
        <f>AC341+IF(AND($E342&lt;&gt;"",$E342&lt;=AC$2,$F342&gt;=AC$2),1,0)</f>
        <v/>
      </c>
      <c r="AD342">
        <f>AD341+IF(AND($E342&lt;&gt;"",$E342&lt;=AD$2,$F342&gt;=AD$2),1,0)</f>
        <v/>
      </c>
      <c r="AE342">
        <f>AE341+IF(AND($E342&lt;&gt;"",$E342&lt;=AE$2,$F342&gt;=AE$2),1,0)</f>
        <v/>
      </c>
      <c r="AF342">
        <f>AF341+IF(AND($E342&lt;&gt;"",$E342&lt;=AF$2,$F342&gt;=AF$2),1,0)</f>
        <v/>
      </c>
      <c r="AG342">
        <f>AG341+IF(AND($E342&lt;&gt;"",$E342&lt;=AG$2,$F342&gt;=AG$2),1,0)</f>
        <v/>
      </c>
      <c r="AH342">
        <f>AH341+IF(AND($E342&lt;&gt;"",$E342&lt;=AH$2,$F342&gt;=AH$2),1,0)</f>
        <v/>
      </c>
      <c r="AI342">
        <f>AI341+IF(AND($E342&lt;&gt;"",$E342&lt;=AI$2,$F342&gt;=AI$2),1,0)</f>
        <v/>
      </c>
      <c r="AJ342">
        <f>AJ341+IF(AND($E342&lt;&gt;"",$E342&lt;=AJ$2,$F342&gt;=AJ$2),1,0)</f>
        <v/>
      </c>
      <c r="AK342">
        <f>AK341+IF(AND($E342&lt;&gt;"",$E342&lt;=AK$2,$F342&gt;=AK$2),1,0)</f>
        <v/>
      </c>
      <c r="AL342">
        <f>AL341+IF(AND($E342&lt;&gt;"",$E342&lt;=AL$2,$F342&gt;=AL$2),1,0)</f>
        <v/>
      </c>
      <c r="AM342">
        <f>AM341+IF(AND($E342&lt;&gt;"",$E342&lt;=AM$2,$F342&gt;=AM$2),1,0)</f>
        <v/>
      </c>
      <c r="AN342">
        <f>AN341+IF(AND($E342&lt;&gt;"",$E342&lt;=AN$2,$F342&gt;=AN$2),1,0)</f>
        <v/>
      </c>
      <c r="AO342">
        <f>AO341+IF(AND($E342&lt;&gt;"",$E342&lt;=AO$2,$F342&gt;=AO$2),1,0)</f>
        <v/>
      </c>
      <c r="AP342">
        <f>AP341+IF(AND($E342&lt;&gt;"",$E342&lt;=AP$2,$F342&gt;=AP$2),1,0)</f>
        <v/>
      </c>
      <c r="AQ342">
        <f>AQ341+IF(AND($E342&lt;&gt;"",$E342&lt;=AQ$2,$F342&gt;=AQ$2),1,0)</f>
        <v/>
      </c>
      <c r="AR342">
        <f>AR341+IF(AND($E342&lt;&gt;"",$E342&lt;=AR$2,$F342&gt;=AR$2),1,0)</f>
        <v/>
      </c>
      <c r="AS342">
        <f>AS341+IF(AND($E342&lt;&gt;"",$E342&lt;=AS$2,$F342&gt;=AS$2),1,0)</f>
        <v/>
      </c>
      <c r="AT342">
        <f>AT341+IF(AND($E342&lt;&gt;"",$E342&lt;=AT$2,$F342&gt;=AT$2),1,0)</f>
        <v/>
      </c>
      <c r="AU342">
        <f>AU341+IF(AND($E342&lt;&gt;"",$E342&lt;=AU$2,$F342&gt;=AU$2),1,0)</f>
        <v/>
      </c>
      <c r="AV342">
        <f>AV341+IF(AND($E342&lt;&gt;"",$E342&lt;=AV$2,$F342&gt;=AV$2),1,0)</f>
        <v/>
      </c>
      <c r="AW342">
        <f>AW341+IF(AND($E342&lt;&gt;"",$E342&lt;=AW$2,$F342&gt;=AW$2),1,0)</f>
        <v/>
      </c>
    </row>
    <row r="343">
      <c r="A343">
        <f>IF(AND(ISNUMBER(Events!$A345),ISNUMBER(Events!$B345)),MAX(0,Events!$B345-Events!$A345),0)</f>
        <v/>
      </c>
      <c r="B343">
        <f>IF(ISNUMBER(Events!$A345),DATE(YEAR($B$1)-1,MONTH(Events!$A345),DAY(Events!$A345)),"")</f>
        <v/>
      </c>
      <c r="C343">
        <f>IF(ISNUMBER(Events!$A345),DATE(YEAR($B$1),MONTH(Events!$A345),DAY(Events!$A345)),"")</f>
        <v/>
      </c>
      <c r="D343">
        <f>IF(ISNUMBER(Events!$A345),DATE(YEAR($B$2),MONTH(Events!$A345),DAY(Events!$A345)),"")</f>
        <v/>
      </c>
      <c r="E343">
        <f>IF(OR(NOT(ISNUMBER(Events!$A345)),Events!$G345="No",Calendar!$H$4="None"),"",IF(OR(Calendar!$H$4="All events",Events!$D345=Calendar!$H$4),IF(Events!$E345="Yes",IF(AND(B343&gt;=Events!$A345,B343&lt;=$B$2,B343+$A343&gt;=$B$1),B343,IF(AND(C343&gt;=Events!$A345,C343&lt;=$B$2,C343+$A343&gt;=$B$1),C343,IF(AND(D343&gt;=Events!$A345,D343&lt;=$B$2,D343+$A343&gt;=$B$1),D343,""))),IF(AND(Events!$A345&lt;=$B$2,Events!$A345+$A343&gt;=$B$1),Events!$A345,"")),""))</f>
        <v/>
      </c>
      <c r="F343">
        <f>IF(E343="","",E343+A343)</f>
        <v/>
      </c>
      <c r="G343">
        <f>IF(E343="","",IF(AND(E343&lt;=EOMONTH(Calendar!$K$2,0),F343&gt;=Calendar!$K$2),E343+340/100000,""))</f>
        <v/>
      </c>
      <c r="H343">
        <f>H342+IF(AND($E343&lt;&gt;"",$E343&lt;=H$2,$F343&gt;=H$2),1,0)</f>
        <v/>
      </c>
      <c r="I343">
        <f>I342+IF(AND($E343&lt;&gt;"",$E343&lt;=I$2,$F343&gt;=I$2),1,0)</f>
        <v/>
      </c>
      <c r="J343">
        <f>J342+IF(AND($E343&lt;&gt;"",$E343&lt;=J$2,$F343&gt;=J$2),1,0)</f>
        <v/>
      </c>
      <c r="K343">
        <f>K342+IF(AND($E343&lt;&gt;"",$E343&lt;=K$2,$F343&gt;=K$2),1,0)</f>
        <v/>
      </c>
      <c r="L343">
        <f>L342+IF(AND($E343&lt;&gt;"",$E343&lt;=L$2,$F343&gt;=L$2),1,0)</f>
        <v/>
      </c>
      <c r="M343">
        <f>M342+IF(AND($E343&lt;&gt;"",$E343&lt;=M$2,$F343&gt;=M$2),1,0)</f>
        <v/>
      </c>
      <c r="N343">
        <f>N342+IF(AND($E343&lt;&gt;"",$E343&lt;=N$2,$F343&gt;=N$2),1,0)</f>
        <v/>
      </c>
      <c r="O343">
        <f>O342+IF(AND($E343&lt;&gt;"",$E343&lt;=O$2,$F343&gt;=O$2),1,0)</f>
        <v/>
      </c>
      <c r="P343">
        <f>P342+IF(AND($E343&lt;&gt;"",$E343&lt;=P$2,$F343&gt;=P$2),1,0)</f>
        <v/>
      </c>
      <c r="Q343">
        <f>Q342+IF(AND($E343&lt;&gt;"",$E343&lt;=Q$2,$F343&gt;=Q$2),1,0)</f>
        <v/>
      </c>
      <c r="R343">
        <f>R342+IF(AND($E343&lt;&gt;"",$E343&lt;=R$2,$F343&gt;=R$2),1,0)</f>
        <v/>
      </c>
      <c r="S343">
        <f>S342+IF(AND($E343&lt;&gt;"",$E343&lt;=S$2,$F343&gt;=S$2),1,0)</f>
        <v/>
      </c>
      <c r="T343">
        <f>T342+IF(AND($E343&lt;&gt;"",$E343&lt;=T$2,$F343&gt;=T$2),1,0)</f>
        <v/>
      </c>
      <c r="U343">
        <f>U342+IF(AND($E343&lt;&gt;"",$E343&lt;=U$2,$F343&gt;=U$2),1,0)</f>
        <v/>
      </c>
      <c r="V343">
        <f>V342+IF(AND($E343&lt;&gt;"",$E343&lt;=V$2,$F343&gt;=V$2),1,0)</f>
        <v/>
      </c>
      <c r="W343">
        <f>W342+IF(AND($E343&lt;&gt;"",$E343&lt;=W$2,$F343&gt;=W$2),1,0)</f>
        <v/>
      </c>
      <c r="X343">
        <f>X342+IF(AND($E343&lt;&gt;"",$E343&lt;=X$2,$F343&gt;=X$2),1,0)</f>
        <v/>
      </c>
      <c r="Y343">
        <f>Y342+IF(AND($E343&lt;&gt;"",$E343&lt;=Y$2,$F343&gt;=Y$2),1,0)</f>
        <v/>
      </c>
      <c r="Z343">
        <f>Z342+IF(AND($E343&lt;&gt;"",$E343&lt;=Z$2,$F343&gt;=Z$2),1,0)</f>
        <v/>
      </c>
      <c r="AA343">
        <f>AA342+IF(AND($E343&lt;&gt;"",$E343&lt;=AA$2,$F343&gt;=AA$2),1,0)</f>
        <v/>
      </c>
      <c r="AB343">
        <f>AB342+IF(AND($E343&lt;&gt;"",$E343&lt;=AB$2,$F343&gt;=AB$2),1,0)</f>
        <v/>
      </c>
      <c r="AC343">
        <f>AC342+IF(AND($E343&lt;&gt;"",$E343&lt;=AC$2,$F343&gt;=AC$2),1,0)</f>
        <v/>
      </c>
      <c r="AD343">
        <f>AD342+IF(AND($E343&lt;&gt;"",$E343&lt;=AD$2,$F343&gt;=AD$2),1,0)</f>
        <v/>
      </c>
      <c r="AE343">
        <f>AE342+IF(AND($E343&lt;&gt;"",$E343&lt;=AE$2,$F343&gt;=AE$2),1,0)</f>
        <v/>
      </c>
      <c r="AF343">
        <f>AF342+IF(AND($E343&lt;&gt;"",$E343&lt;=AF$2,$F343&gt;=AF$2),1,0)</f>
        <v/>
      </c>
      <c r="AG343">
        <f>AG342+IF(AND($E343&lt;&gt;"",$E343&lt;=AG$2,$F343&gt;=AG$2),1,0)</f>
        <v/>
      </c>
      <c r="AH343">
        <f>AH342+IF(AND($E343&lt;&gt;"",$E343&lt;=AH$2,$F343&gt;=AH$2),1,0)</f>
        <v/>
      </c>
      <c r="AI343">
        <f>AI342+IF(AND($E343&lt;&gt;"",$E343&lt;=AI$2,$F343&gt;=AI$2),1,0)</f>
        <v/>
      </c>
      <c r="AJ343">
        <f>AJ342+IF(AND($E343&lt;&gt;"",$E343&lt;=AJ$2,$F343&gt;=AJ$2),1,0)</f>
        <v/>
      </c>
      <c r="AK343">
        <f>AK342+IF(AND($E343&lt;&gt;"",$E343&lt;=AK$2,$F343&gt;=AK$2),1,0)</f>
        <v/>
      </c>
      <c r="AL343">
        <f>AL342+IF(AND($E343&lt;&gt;"",$E343&lt;=AL$2,$F343&gt;=AL$2),1,0)</f>
        <v/>
      </c>
      <c r="AM343">
        <f>AM342+IF(AND($E343&lt;&gt;"",$E343&lt;=AM$2,$F343&gt;=AM$2),1,0)</f>
        <v/>
      </c>
      <c r="AN343">
        <f>AN342+IF(AND($E343&lt;&gt;"",$E343&lt;=AN$2,$F343&gt;=AN$2),1,0)</f>
        <v/>
      </c>
      <c r="AO343">
        <f>AO342+IF(AND($E343&lt;&gt;"",$E343&lt;=AO$2,$F343&gt;=AO$2),1,0)</f>
        <v/>
      </c>
      <c r="AP343">
        <f>AP342+IF(AND($E343&lt;&gt;"",$E343&lt;=AP$2,$F343&gt;=AP$2),1,0)</f>
        <v/>
      </c>
      <c r="AQ343">
        <f>AQ342+IF(AND($E343&lt;&gt;"",$E343&lt;=AQ$2,$F343&gt;=AQ$2),1,0)</f>
        <v/>
      </c>
      <c r="AR343">
        <f>AR342+IF(AND($E343&lt;&gt;"",$E343&lt;=AR$2,$F343&gt;=AR$2),1,0)</f>
        <v/>
      </c>
      <c r="AS343">
        <f>AS342+IF(AND($E343&lt;&gt;"",$E343&lt;=AS$2,$F343&gt;=AS$2),1,0)</f>
        <v/>
      </c>
      <c r="AT343">
        <f>AT342+IF(AND($E343&lt;&gt;"",$E343&lt;=AT$2,$F343&gt;=AT$2),1,0)</f>
        <v/>
      </c>
      <c r="AU343">
        <f>AU342+IF(AND($E343&lt;&gt;"",$E343&lt;=AU$2,$F343&gt;=AU$2),1,0)</f>
        <v/>
      </c>
      <c r="AV343">
        <f>AV342+IF(AND($E343&lt;&gt;"",$E343&lt;=AV$2,$F343&gt;=AV$2),1,0)</f>
        <v/>
      </c>
      <c r="AW343">
        <f>AW342+IF(AND($E343&lt;&gt;"",$E343&lt;=AW$2,$F343&gt;=AW$2),1,0)</f>
        <v/>
      </c>
    </row>
    <row r="344">
      <c r="A344">
        <f>IF(AND(ISNUMBER(Events!$A346),ISNUMBER(Events!$B346)),MAX(0,Events!$B346-Events!$A346),0)</f>
        <v/>
      </c>
      <c r="B344">
        <f>IF(ISNUMBER(Events!$A346),DATE(YEAR($B$1)-1,MONTH(Events!$A346),DAY(Events!$A346)),"")</f>
        <v/>
      </c>
      <c r="C344">
        <f>IF(ISNUMBER(Events!$A346),DATE(YEAR($B$1),MONTH(Events!$A346),DAY(Events!$A346)),"")</f>
        <v/>
      </c>
      <c r="D344">
        <f>IF(ISNUMBER(Events!$A346),DATE(YEAR($B$2),MONTH(Events!$A346),DAY(Events!$A346)),"")</f>
        <v/>
      </c>
      <c r="E344">
        <f>IF(OR(NOT(ISNUMBER(Events!$A346)),Events!$G346="No",Calendar!$H$4="None"),"",IF(OR(Calendar!$H$4="All events",Events!$D346=Calendar!$H$4),IF(Events!$E346="Yes",IF(AND(B344&gt;=Events!$A346,B344&lt;=$B$2,B344+$A344&gt;=$B$1),B344,IF(AND(C344&gt;=Events!$A346,C344&lt;=$B$2,C344+$A344&gt;=$B$1),C344,IF(AND(D344&gt;=Events!$A346,D344&lt;=$B$2,D344+$A344&gt;=$B$1),D344,""))),IF(AND(Events!$A346&lt;=$B$2,Events!$A346+$A344&gt;=$B$1),Events!$A346,"")),""))</f>
        <v/>
      </c>
      <c r="F344">
        <f>IF(E344="","",E344+A344)</f>
        <v/>
      </c>
      <c r="G344">
        <f>IF(E344="","",IF(AND(E344&lt;=EOMONTH(Calendar!$K$2,0),F344&gt;=Calendar!$K$2),E344+341/100000,""))</f>
        <v/>
      </c>
      <c r="H344">
        <f>H343+IF(AND($E344&lt;&gt;"",$E344&lt;=H$2,$F344&gt;=H$2),1,0)</f>
        <v/>
      </c>
      <c r="I344">
        <f>I343+IF(AND($E344&lt;&gt;"",$E344&lt;=I$2,$F344&gt;=I$2),1,0)</f>
        <v/>
      </c>
      <c r="J344">
        <f>J343+IF(AND($E344&lt;&gt;"",$E344&lt;=J$2,$F344&gt;=J$2),1,0)</f>
        <v/>
      </c>
      <c r="K344">
        <f>K343+IF(AND($E344&lt;&gt;"",$E344&lt;=K$2,$F344&gt;=K$2),1,0)</f>
        <v/>
      </c>
      <c r="L344">
        <f>L343+IF(AND($E344&lt;&gt;"",$E344&lt;=L$2,$F344&gt;=L$2),1,0)</f>
        <v/>
      </c>
      <c r="M344">
        <f>M343+IF(AND($E344&lt;&gt;"",$E344&lt;=M$2,$F344&gt;=M$2),1,0)</f>
        <v/>
      </c>
      <c r="N344">
        <f>N343+IF(AND($E344&lt;&gt;"",$E344&lt;=N$2,$F344&gt;=N$2),1,0)</f>
        <v/>
      </c>
      <c r="O344">
        <f>O343+IF(AND($E344&lt;&gt;"",$E344&lt;=O$2,$F344&gt;=O$2),1,0)</f>
        <v/>
      </c>
      <c r="P344">
        <f>P343+IF(AND($E344&lt;&gt;"",$E344&lt;=P$2,$F344&gt;=P$2),1,0)</f>
        <v/>
      </c>
      <c r="Q344">
        <f>Q343+IF(AND($E344&lt;&gt;"",$E344&lt;=Q$2,$F344&gt;=Q$2),1,0)</f>
        <v/>
      </c>
      <c r="R344">
        <f>R343+IF(AND($E344&lt;&gt;"",$E344&lt;=R$2,$F344&gt;=R$2),1,0)</f>
        <v/>
      </c>
      <c r="S344">
        <f>S343+IF(AND($E344&lt;&gt;"",$E344&lt;=S$2,$F344&gt;=S$2),1,0)</f>
        <v/>
      </c>
      <c r="T344">
        <f>T343+IF(AND($E344&lt;&gt;"",$E344&lt;=T$2,$F344&gt;=T$2),1,0)</f>
        <v/>
      </c>
      <c r="U344">
        <f>U343+IF(AND($E344&lt;&gt;"",$E344&lt;=U$2,$F344&gt;=U$2),1,0)</f>
        <v/>
      </c>
      <c r="V344">
        <f>V343+IF(AND($E344&lt;&gt;"",$E344&lt;=V$2,$F344&gt;=V$2),1,0)</f>
        <v/>
      </c>
      <c r="W344">
        <f>W343+IF(AND($E344&lt;&gt;"",$E344&lt;=W$2,$F344&gt;=W$2),1,0)</f>
        <v/>
      </c>
      <c r="X344">
        <f>X343+IF(AND($E344&lt;&gt;"",$E344&lt;=X$2,$F344&gt;=X$2),1,0)</f>
        <v/>
      </c>
      <c r="Y344">
        <f>Y343+IF(AND($E344&lt;&gt;"",$E344&lt;=Y$2,$F344&gt;=Y$2),1,0)</f>
        <v/>
      </c>
      <c r="Z344">
        <f>Z343+IF(AND($E344&lt;&gt;"",$E344&lt;=Z$2,$F344&gt;=Z$2),1,0)</f>
        <v/>
      </c>
      <c r="AA344">
        <f>AA343+IF(AND($E344&lt;&gt;"",$E344&lt;=AA$2,$F344&gt;=AA$2),1,0)</f>
        <v/>
      </c>
      <c r="AB344">
        <f>AB343+IF(AND($E344&lt;&gt;"",$E344&lt;=AB$2,$F344&gt;=AB$2),1,0)</f>
        <v/>
      </c>
      <c r="AC344">
        <f>AC343+IF(AND($E344&lt;&gt;"",$E344&lt;=AC$2,$F344&gt;=AC$2),1,0)</f>
        <v/>
      </c>
      <c r="AD344">
        <f>AD343+IF(AND($E344&lt;&gt;"",$E344&lt;=AD$2,$F344&gt;=AD$2),1,0)</f>
        <v/>
      </c>
      <c r="AE344">
        <f>AE343+IF(AND($E344&lt;&gt;"",$E344&lt;=AE$2,$F344&gt;=AE$2),1,0)</f>
        <v/>
      </c>
      <c r="AF344">
        <f>AF343+IF(AND($E344&lt;&gt;"",$E344&lt;=AF$2,$F344&gt;=AF$2),1,0)</f>
        <v/>
      </c>
      <c r="AG344">
        <f>AG343+IF(AND($E344&lt;&gt;"",$E344&lt;=AG$2,$F344&gt;=AG$2),1,0)</f>
        <v/>
      </c>
      <c r="AH344">
        <f>AH343+IF(AND($E344&lt;&gt;"",$E344&lt;=AH$2,$F344&gt;=AH$2),1,0)</f>
        <v/>
      </c>
      <c r="AI344">
        <f>AI343+IF(AND($E344&lt;&gt;"",$E344&lt;=AI$2,$F344&gt;=AI$2),1,0)</f>
        <v/>
      </c>
      <c r="AJ344">
        <f>AJ343+IF(AND($E344&lt;&gt;"",$E344&lt;=AJ$2,$F344&gt;=AJ$2),1,0)</f>
        <v/>
      </c>
      <c r="AK344">
        <f>AK343+IF(AND($E344&lt;&gt;"",$E344&lt;=AK$2,$F344&gt;=AK$2),1,0)</f>
        <v/>
      </c>
      <c r="AL344">
        <f>AL343+IF(AND($E344&lt;&gt;"",$E344&lt;=AL$2,$F344&gt;=AL$2),1,0)</f>
        <v/>
      </c>
      <c r="AM344">
        <f>AM343+IF(AND($E344&lt;&gt;"",$E344&lt;=AM$2,$F344&gt;=AM$2),1,0)</f>
        <v/>
      </c>
      <c r="AN344">
        <f>AN343+IF(AND($E344&lt;&gt;"",$E344&lt;=AN$2,$F344&gt;=AN$2),1,0)</f>
        <v/>
      </c>
      <c r="AO344">
        <f>AO343+IF(AND($E344&lt;&gt;"",$E344&lt;=AO$2,$F344&gt;=AO$2),1,0)</f>
        <v/>
      </c>
      <c r="AP344">
        <f>AP343+IF(AND($E344&lt;&gt;"",$E344&lt;=AP$2,$F344&gt;=AP$2),1,0)</f>
        <v/>
      </c>
      <c r="AQ344">
        <f>AQ343+IF(AND($E344&lt;&gt;"",$E344&lt;=AQ$2,$F344&gt;=AQ$2),1,0)</f>
        <v/>
      </c>
      <c r="AR344">
        <f>AR343+IF(AND($E344&lt;&gt;"",$E344&lt;=AR$2,$F344&gt;=AR$2),1,0)</f>
        <v/>
      </c>
      <c r="AS344">
        <f>AS343+IF(AND($E344&lt;&gt;"",$E344&lt;=AS$2,$F344&gt;=AS$2),1,0)</f>
        <v/>
      </c>
      <c r="AT344">
        <f>AT343+IF(AND($E344&lt;&gt;"",$E344&lt;=AT$2,$F344&gt;=AT$2),1,0)</f>
        <v/>
      </c>
      <c r="AU344">
        <f>AU343+IF(AND($E344&lt;&gt;"",$E344&lt;=AU$2,$F344&gt;=AU$2),1,0)</f>
        <v/>
      </c>
      <c r="AV344">
        <f>AV343+IF(AND($E344&lt;&gt;"",$E344&lt;=AV$2,$F344&gt;=AV$2),1,0)</f>
        <v/>
      </c>
      <c r="AW344">
        <f>AW343+IF(AND($E344&lt;&gt;"",$E344&lt;=AW$2,$F344&gt;=AW$2),1,0)</f>
        <v/>
      </c>
    </row>
    <row r="345">
      <c r="A345">
        <f>IF(AND(ISNUMBER(Events!$A347),ISNUMBER(Events!$B347)),MAX(0,Events!$B347-Events!$A347),0)</f>
        <v/>
      </c>
      <c r="B345">
        <f>IF(ISNUMBER(Events!$A347),DATE(YEAR($B$1)-1,MONTH(Events!$A347),DAY(Events!$A347)),"")</f>
        <v/>
      </c>
      <c r="C345">
        <f>IF(ISNUMBER(Events!$A347),DATE(YEAR($B$1),MONTH(Events!$A347),DAY(Events!$A347)),"")</f>
        <v/>
      </c>
      <c r="D345">
        <f>IF(ISNUMBER(Events!$A347),DATE(YEAR($B$2),MONTH(Events!$A347),DAY(Events!$A347)),"")</f>
        <v/>
      </c>
      <c r="E345">
        <f>IF(OR(NOT(ISNUMBER(Events!$A347)),Events!$G347="No",Calendar!$H$4="None"),"",IF(OR(Calendar!$H$4="All events",Events!$D347=Calendar!$H$4),IF(Events!$E347="Yes",IF(AND(B345&gt;=Events!$A347,B345&lt;=$B$2,B345+$A345&gt;=$B$1),B345,IF(AND(C345&gt;=Events!$A347,C345&lt;=$B$2,C345+$A345&gt;=$B$1),C345,IF(AND(D345&gt;=Events!$A347,D345&lt;=$B$2,D345+$A345&gt;=$B$1),D345,""))),IF(AND(Events!$A347&lt;=$B$2,Events!$A347+$A345&gt;=$B$1),Events!$A347,"")),""))</f>
        <v/>
      </c>
      <c r="F345">
        <f>IF(E345="","",E345+A345)</f>
        <v/>
      </c>
      <c r="G345">
        <f>IF(E345="","",IF(AND(E345&lt;=EOMONTH(Calendar!$K$2,0),F345&gt;=Calendar!$K$2),E345+342/100000,""))</f>
        <v/>
      </c>
      <c r="H345">
        <f>H344+IF(AND($E345&lt;&gt;"",$E345&lt;=H$2,$F345&gt;=H$2),1,0)</f>
        <v/>
      </c>
      <c r="I345">
        <f>I344+IF(AND($E345&lt;&gt;"",$E345&lt;=I$2,$F345&gt;=I$2),1,0)</f>
        <v/>
      </c>
      <c r="J345">
        <f>J344+IF(AND($E345&lt;&gt;"",$E345&lt;=J$2,$F345&gt;=J$2),1,0)</f>
        <v/>
      </c>
      <c r="K345">
        <f>K344+IF(AND($E345&lt;&gt;"",$E345&lt;=K$2,$F345&gt;=K$2),1,0)</f>
        <v/>
      </c>
      <c r="L345">
        <f>L344+IF(AND($E345&lt;&gt;"",$E345&lt;=L$2,$F345&gt;=L$2),1,0)</f>
        <v/>
      </c>
      <c r="M345">
        <f>M344+IF(AND($E345&lt;&gt;"",$E345&lt;=M$2,$F345&gt;=M$2),1,0)</f>
        <v/>
      </c>
      <c r="N345">
        <f>N344+IF(AND($E345&lt;&gt;"",$E345&lt;=N$2,$F345&gt;=N$2),1,0)</f>
        <v/>
      </c>
      <c r="O345">
        <f>O344+IF(AND($E345&lt;&gt;"",$E345&lt;=O$2,$F345&gt;=O$2),1,0)</f>
        <v/>
      </c>
      <c r="P345">
        <f>P344+IF(AND($E345&lt;&gt;"",$E345&lt;=P$2,$F345&gt;=P$2),1,0)</f>
        <v/>
      </c>
      <c r="Q345">
        <f>Q344+IF(AND($E345&lt;&gt;"",$E345&lt;=Q$2,$F345&gt;=Q$2),1,0)</f>
        <v/>
      </c>
      <c r="R345">
        <f>R344+IF(AND($E345&lt;&gt;"",$E345&lt;=R$2,$F345&gt;=R$2),1,0)</f>
        <v/>
      </c>
      <c r="S345">
        <f>S344+IF(AND($E345&lt;&gt;"",$E345&lt;=S$2,$F345&gt;=S$2),1,0)</f>
        <v/>
      </c>
      <c r="T345">
        <f>T344+IF(AND($E345&lt;&gt;"",$E345&lt;=T$2,$F345&gt;=T$2),1,0)</f>
        <v/>
      </c>
      <c r="U345">
        <f>U344+IF(AND($E345&lt;&gt;"",$E345&lt;=U$2,$F345&gt;=U$2),1,0)</f>
        <v/>
      </c>
      <c r="V345">
        <f>V344+IF(AND($E345&lt;&gt;"",$E345&lt;=V$2,$F345&gt;=V$2),1,0)</f>
        <v/>
      </c>
      <c r="W345">
        <f>W344+IF(AND($E345&lt;&gt;"",$E345&lt;=W$2,$F345&gt;=W$2),1,0)</f>
        <v/>
      </c>
      <c r="X345">
        <f>X344+IF(AND($E345&lt;&gt;"",$E345&lt;=X$2,$F345&gt;=X$2),1,0)</f>
        <v/>
      </c>
      <c r="Y345">
        <f>Y344+IF(AND($E345&lt;&gt;"",$E345&lt;=Y$2,$F345&gt;=Y$2),1,0)</f>
        <v/>
      </c>
      <c r="Z345">
        <f>Z344+IF(AND($E345&lt;&gt;"",$E345&lt;=Z$2,$F345&gt;=Z$2),1,0)</f>
        <v/>
      </c>
      <c r="AA345">
        <f>AA344+IF(AND($E345&lt;&gt;"",$E345&lt;=AA$2,$F345&gt;=AA$2),1,0)</f>
        <v/>
      </c>
      <c r="AB345">
        <f>AB344+IF(AND($E345&lt;&gt;"",$E345&lt;=AB$2,$F345&gt;=AB$2),1,0)</f>
        <v/>
      </c>
      <c r="AC345">
        <f>AC344+IF(AND($E345&lt;&gt;"",$E345&lt;=AC$2,$F345&gt;=AC$2),1,0)</f>
        <v/>
      </c>
      <c r="AD345">
        <f>AD344+IF(AND($E345&lt;&gt;"",$E345&lt;=AD$2,$F345&gt;=AD$2),1,0)</f>
        <v/>
      </c>
      <c r="AE345">
        <f>AE344+IF(AND($E345&lt;&gt;"",$E345&lt;=AE$2,$F345&gt;=AE$2),1,0)</f>
        <v/>
      </c>
      <c r="AF345">
        <f>AF344+IF(AND($E345&lt;&gt;"",$E345&lt;=AF$2,$F345&gt;=AF$2),1,0)</f>
        <v/>
      </c>
      <c r="AG345">
        <f>AG344+IF(AND($E345&lt;&gt;"",$E345&lt;=AG$2,$F345&gt;=AG$2),1,0)</f>
        <v/>
      </c>
      <c r="AH345">
        <f>AH344+IF(AND($E345&lt;&gt;"",$E345&lt;=AH$2,$F345&gt;=AH$2),1,0)</f>
        <v/>
      </c>
      <c r="AI345">
        <f>AI344+IF(AND($E345&lt;&gt;"",$E345&lt;=AI$2,$F345&gt;=AI$2),1,0)</f>
        <v/>
      </c>
      <c r="AJ345">
        <f>AJ344+IF(AND($E345&lt;&gt;"",$E345&lt;=AJ$2,$F345&gt;=AJ$2),1,0)</f>
        <v/>
      </c>
      <c r="AK345">
        <f>AK344+IF(AND($E345&lt;&gt;"",$E345&lt;=AK$2,$F345&gt;=AK$2),1,0)</f>
        <v/>
      </c>
      <c r="AL345">
        <f>AL344+IF(AND($E345&lt;&gt;"",$E345&lt;=AL$2,$F345&gt;=AL$2),1,0)</f>
        <v/>
      </c>
      <c r="AM345">
        <f>AM344+IF(AND($E345&lt;&gt;"",$E345&lt;=AM$2,$F345&gt;=AM$2),1,0)</f>
        <v/>
      </c>
      <c r="AN345">
        <f>AN344+IF(AND($E345&lt;&gt;"",$E345&lt;=AN$2,$F345&gt;=AN$2),1,0)</f>
        <v/>
      </c>
      <c r="AO345">
        <f>AO344+IF(AND($E345&lt;&gt;"",$E345&lt;=AO$2,$F345&gt;=AO$2),1,0)</f>
        <v/>
      </c>
      <c r="AP345">
        <f>AP344+IF(AND($E345&lt;&gt;"",$E345&lt;=AP$2,$F345&gt;=AP$2),1,0)</f>
        <v/>
      </c>
      <c r="AQ345">
        <f>AQ344+IF(AND($E345&lt;&gt;"",$E345&lt;=AQ$2,$F345&gt;=AQ$2),1,0)</f>
        <v/>
      </c>
      <c r="AR345">
        <f>AR344+IF(AND($E345&lt;&gt;"",$E345&lt;=AR$2,$F345&gt;=AR$2),1,0)</f>
        <v/>
      </c>
      <c r="AS345">
        <f>AS344+IF(AND($E345&lt;&gt;"",$E345&lt;=AS$2,$F345&gt;=AS$2),1,0)</f>
        <v/>
      </c>
      <c r="AT345">
        <f>AT344+IF(AND($E345&lt;&gt;"",$E345&lt;=AT$2,$F345&gt;=AT$2),1,0)</f>
        <v/>
      </c>
      <c r="AU345">
        <f>AU344+IF(AND($E345&lt;&gt;"",$E345&lt;=AU$2,$F345&gt;=AU$2),1,0)</f>
        <v/>
      </c>
      <c r="AV345">
        <f>AV344+IF(AND($E345&lt;&gt;"",$E345&lt;=AV$2,$F345&gt;=AV$2),1,0)</f>
        <v/>
      </c>
      <c r="AW345">
        <f>AW344+IF(AND($E345&lt;&gt;"",$E345&lt;=AW$2,$F345&gt;=AW$2),1,0)</f>
        <v/>
      </c>
    </row>
    <row r="346">
      <c r="A346">
        <f>IF(AND(ISNUMBER(Events!$A348),ISNUMBER(Events!$B348)),MAX(0,Events!$B348-Events!$A348),0)</f>
        <v/>
      </c>
      <c r="B346">
        <f>IF(ISNUMBER(Events!$A348),DATE(YEAR($B$1)-1,MONTH(Events!$A348),DAY(Events!$A348)),"")</f>
        <v/>
      </c>
      <c r="C346">
        <f>IF(ISNUMBER(Events!$A348),DATE(YEAR($B$1),MONTH(Events!$A348),DAY(Events!$A348)),"")</f>
        <v/>
      </c>
      <c r="D346">
        <f>IF(ISNUMBER(Events!$A348),DATE(YEAR($B$2),MONTH(Events!$A348),DAY(Events!$A348)),"")</f>
        <v/>
      </c>
      <c r="E346">
        <f>IF(OR(NOT(ISNUMBER(Events!$A348)),Events!$G348="No",Calendar!$H$4="None"),"",IF(OR(Calendar!$H$4="All events",Events!$D348=Calendar!$H$4),IF(Events!$E348="Yes",IF(AND(B346&gt;=Events!$A348,B346&lt;=$B$2,B346+$A346&gt;=$B$1),B346,IF(AND(C346&gt;=Events!$A348,C346&lt;=$B$2,C346+$A346&gt;=$B$1),C346,IF(AND(D346&gt;=Events!$A348,D346&lt;=$B$2,D346+$A346&gt;=$B$1),D346,""))),IF(AND(Events!$A348&lt;=$B$2,Events!$A348+$A346&gt;=$B$1),Events!$A348,"")),""))</f>
        <v/>
      </c>
      <c r="F346">
        <f>IF(E346="","",E346+A346)</f>
        <v/>
      </c>
      <c r="G346">
        <f>IF(E346="","",IF(AND(E346&lt;=EOMONTH(Calendar!$K$2,0),F346&gt;=Calendar!$K$2),E346+343/100000,""))</f>
        <v/>
      </c>
      <c r="H346">
        <f>H345+IF(AND($E346&lt;&gt;"",$E346&lt;=H$2,$F346&gt;=H$2),1,0)</f>
        <v/>
      </c>
      <c r="I346">
        <f>I345+IF(AND($E346&lt;&gt;"",$E346&lt;=I$2,$F346&gt;=I$2),1,0)</f>
        <v/>
      </c>
      <c r="J346">
        <f>J345+IF(AND($E346&lt;&gt;"",$E346&lt;=J$2,$F346&gt;=J$2),1,0)</f>
        <v/>
      </c>
      <c r="K346">
        <f>K345+IF(AND($E346&lt;&gt;"",$E346&lt;=K$2,$F346&gt;=K$2),1,0)</f>
        <v/>
      </c>
      <c r="L346">
        <f>L345+IF(AND($E346&lt;&gt;"",$E346&lt;=L$2,$F346&gt;=L$2),1,0)</f>
        <v/>
      </c>
      <c r="M346">
        <f>M345+IF(AND($E346&lt;&gt;"",$E346&lt;=M$2,$F346&gt;=M$2),1,0)</f>
        <v/>
      </c>
      <c r="N346">
        <f>N345+IF(AND($E346&lt;&gt;"",$E346&lt;=N$2,$F346&gt;=N$2),1,0)</f>
        <v/>
      </c>
      <c r="O346">
        <f>O345+IF(AND($E346&lt;&gt;"",$E346&lt;=O$2,$F346&gt;=O$2),1,0)</f>
        <v/>
      </c>
      <c r="P346">
        <f>P345+IF(AND($E346&lt;&gt;"",$E346&lt;=P$2,$F346&gt;=P$2),1,0)</f>
        <v/>
      </c>
      <c r="Q346">
        <f>Q345+IF(AND($E346&lt;&gt;"",$E346&lt;=Q$2,$F346&gt;=Q$2),1,0)</f>
        <v/>
      </c>
      <c r="R346">
        <f>R345+IF(AND($E346&lt;&gt;"",$E346&lt;=R$2,$F346&gt;=R$2),1,0)</f>
        <v/>
      </c>
      <c r="S346">
        <f>S345+IF(AND($E346&lt;&gt;"",$E346&lt;=S$2,$F346&gt;=S$2),1,0)</f>
        <v/>
      </c>
      <c r="T346">
        <f>T345+IF(AND($E346&lt;&gt;"",$E346&lt;=T$2,$F346&gt;=T$2),1,0)</f>
        <v/>
      </c>
      <c r="U346">
        <f>U345+IF(AND($E346&lt;&gt;"",$E346&lt;=U$2,$F346&gt;=U$2),1,0)</f>
        <v/>
      </c>
      <c r="V346">
        <f>V345+IF(AND($E346&lt;&gt;"",$E346&lt;=V$2,$F346&gt;=V$2),1,0)</f>
        <v/>
      </c>
      <c r="W346">
        <f>W345+IF(AND($E346&lt;&gt;"",$E346&lt;=W$2,$F346&gt;=W$2),1,0)</f>
        <v/>
      </c>
      <c r="X346">
        <f>X345+IF(AND($E346&lt;&gt;"",$E346&lt;=X$2,$F346&gt;=X$2),1,0)</f>
        <v/>
      </c>
      <c r="Y346">
        <f>Y345+IF(AND($E346&lt;&gt;"",$E346&lt;=Y$2,$F346&gt;=Y$2),1,0)</f>
        <v/>
      </c>
      <c r="Z346">
        <f>Z345+IF(AND($E346&lt;&gt;"",$E346&lt;=Z$2,$F346&gt;=Z$2),1,0)</f>
        <v/>
      </c>
      <c r="AA346">
        <f>AA345+IF(AND($E346&lt;&gt;"",$E346&lt;=AA$2,$F346&gt;=AA$2),1,0)</f>
        <v/>
      </c>
      <c r="AB346">
        <f>AB345+IF(AND($E346&lt;&gt;"",$E346&lt;=AB$2,$F346&gt;=AB$2),1,0)</f>
        <v/>
      </c>
      <c r="AC346">
        <f>AC345+IF(AND($E346&lt;&gt;"",$E346&lt;=AC$2,$F346&gt;=AC$2),1,0)</f>
        <v/>
      </c>
      <c r="AD346">
        <f>AD345+IF(AND($E346&lt;&gt;"",$E346&lt;=AD$2,$F346&gt;=AD$2),1,0)</f>
        <v/>
      </c>
      <c r="AE346">
        <f>AE345+IF(AND($E346&lt;&gt;"",$E346&lt;=AE$2,$F346&gt;=AE$2),1,0)</f>
        <v/>
      </c>
      <c r="AF346">
        <f>AF345+IF(AND($E346&lt;&gt;"",$E346&lt;=AF$2,$F346&gt;=AF$2),1,0)</f>
        <v/>
      </c>
      <c r="AG346">
        <f>AG345+IF(AND($E346&lt;&gt;"",$E346&lt;=AG$2,$F346&gt;=AG$2),1,0)</f>
        <v/>
      </c>
      <c r="AH346">
        <f>AH345+IF(AND($E346&lt;&gt;"",$E346&lt;=AH$2,$F346&gt;=AH$2),1,0)</f>
        <v/>
      </c>
      <c r="AI346">
        <f>AI345+IF(AND($E346&lt;&gt;"",$E346&lt;=AI$2,$F346&gt;=AI$2),1,0)</f>
        <v/>
      </c>
      <c r="AJ346">
        <f>AJ345+IF(AND($E346&lt;&gt;"",$E346&lt;=AJ$2,$F346&gt;=AJ$2),1,0)</f>
        <v/>
      </c>
      <c r="AK346">
        <f>AK345+IF(AND($E346&lt;&gt;"",$E346&lt;=AK$2,$F346&gt;=AK$2),1,0)</f>
        <v/>
      </c>
      <c r="AL346">
        <f>AL345+IF(AND($E346&lt;&gt;"",$E346&lt;=AL$2,$F346&gt;=AL$2),1,0)</f>
        <v/>
      </c>
      <c r="AM346">
        <f>AM345+IF(AND($E346&lt;&gt;"",$E346&lt;=AM$2,$F346&gt;=AM$2),1,0)</f>
        <v/>
      </c>
      <c r="AN346">
        <f>AN345+IF(AND($E346&lt;&gt;"",$E346&lt;=AN$2,$F346&gt;=AN$2),1,0)</f>
        <v/>
      </c>
      <c r="AO346">
        <f>AO345+IF(AND($E346&lt;&gt;"",$E346&lt;=AO$2,$F346&gt;=AO$2),1,0)</f>
        <v/>
      </c>
      <c r="AP346">
        <f>AP345+IF(AND($E346&lt;&gt;"",$E346&lt;=AP$2,$F346&gt;=AP$2),1,0)</f>
        <v/>
      </c>
      <c r="AQ346">
        <f>AQ345+IF(AND($E346&lt;&gt;"",$E346&lt;=AQ$2,$F346&gt;=AQ$2),1,0)</f>
        <v/>
      </c>
      <c r="AR346">
        <f>AR345+IF(AND($E346&lt;&gt;"",$E346&lt;=AR$2,$F346&gt;=AR$2),1,0)</f>
        <v/>
      </c>
      <c r="AS346">
        <f>AS345+IF(AND($E346&lt;&gt;"",$E346&lt;=AS$2,$F346&gt;=AS$2),1,0)</f>
        <v/>
      </c>
      <c r="AT346">
        <f>AT345+IF(AND($E346&lt;&gt;"",$E346&lt;=AT$2,$F346&gt;=AT$2),1,0)</f>
        <v/>
      </c>
      <c r="AU346">
        <f>AU345+IF(AND($E346&lt;&gt;"",$E346&lt;=AU$2,$F346&gt;=AU$2),1,0)</f>
        <v/>
      </c>
      <c r="AV346">
        <f>AV345+IF(AND($E346&lt;&gt;"",$E346&lt;=AV$2,$F346&gt;=AV$2),1,0)</f>
        <v/>
      </c>
      <c r="AW346">
        <f>AW345+IF(AND($E346&lt;&gt;"",$E346&lt;=AW$2,$F346&gt;=AW$2),1,0)</f>
        <v/>
      </c>
    </row>
    <row r="347">
      <c r="A347">
        <f>IF(AND(ISNUMBER(Events!$A349),ISNUMBER(Events!$B349)),MAX(0,Events!$B349-Events!$A349),0)</f>
        <v/>
      </c>
      <c r="B347">
        <f>IF(ISNUMBER(Events!$A349),DATE(YEAR($B$1)-1,MONTH(Events!$A349),DAY(Events!$A349)),"")</f>
        <v/>
      </c>
      <c r="C347">
        <f>IF(ISNUMBER(Events!$A349),DATE(YEAR($B$1),MONTH(Events!$A349),DAY(Events!$A349)),"")</f>
        <v/>
      </c>
      <c r="D347">
        <f>IF(ISNUMBER(Events!$A349),DATE(YEAR($B$2),MONTH(Events!$A349),DAY(Events!$A349)),"")</f>
        <v/>
      </c>
      <c r="E347">
        <f>IF(OR(NOT(ISNUMBER(Events!$A349)),Events!$G349="No",Calendar!$H$4="None"),"",IF(OR(Calendar!$H$4="All events",Events!$D349=Calendar!$H$4),IF(Events!$E349="Yes",IF(AND(B347&gt;=Events!$A349,B347&lt;=$B$2,B347+$A347&gt;=$B$1),B347,IF(AND(C347&gt;=Events!$A349,C347&lt;=$B$2,C347+$A347&gt;=$B$1),C347,IF(AND(D347&gt;=Events!$A349,D347&lt;=$B$2,D347+$A347&gt;=$B$1),D347,""))),IF(AND(Events!$A349&lt;=$B$2,Events!$A349+$A347&gt;=$B$1),Events!$A349,"")),""))</f>
        <v/>
      </c>
      <c r="F347">
        <f>IF(E347="","",E347+A347)</f>
        <v/>
      </c>
      <c r="G347">
        <f>IF(E347="","",IF(AND(E347&lt;=EOMONTH(Calendar!$K$2,0),F347&gt;=Calendar!$K$2),E347+344/100000,""))</f>
        <v/>
      </c>
      <c r="H347">
        <f>H346+IF(AND($E347&lt;&gt;"",$E347&lt;=H$2,$F347&gt;=H$2),1,0)</f>
        <v/>
      </c>
      <c r="I347">
        <f>I346+IF(AND($E347&lt;&gt;"",$E347&lt;=I$2,$F347&gt;=I$2),1,0)</f>
        <v/>
      </c>
      <c r="J347">
        <f>J346+IF(AND($E347&lt;&gt;"",$E347&lt;=J$2,$F347&gt;=J$2),1,0)</f>
        <v/>
      </c>
      <c r="K347">
        <f>K346+IF(AND($E347&lt;&gt;"",$E347&lt;=K$2,$F347&gt;=K$2),1,0)</f>
        <v/>
      </c>
      <c r="L347">
        <f>L346+IF(AND($E347&lt;&gt;"",$E347&lt;=L$2,$F347&gt;=L$2),1,0)</f>
        <v/>
      </c>
      <c r="M347">
        <f>M346+IF(AND($E347&lt;&gt;"",$E347&lt;=M$2,$F347&gt;=M$2),1,0)</f>
        <v/>
      </c>
      <c r="N347">
        <f>N346+IF(AND($E347&lt;&gt;"",$E347&lt;=N$2,$F347&gt;=N$2),1,0)</f>
        <v/>
      </c>
      <c r="O347">
        <f>O346+IF(AND($E347&lt;&gt;"",$E347&lt;=O$2,$F347&gt;=O$2),1,0)</f>
        <v/>
      </c>
      <c r="P347">
        <f>P346+IF(AND($E347&lt;&gt;"",$E347&lt;=P$2,$F347&gt;=P$2),1,0)</f>
        <v/>
      </c>
      <c r="Q347">
        <f>Q346+IF(AND($E347&lt;&gt;"",$E347&lt;=Q$2,$F347&gt;=Q$2),1,0)</f>
        <v/>
      </c>
      <c r="R347">
        <f>R346+IF(AND($E347&lt;&gt;"",$E347&lt;=R$2,$F347&gt;=R$2),1,0)</f>
        <v/>
      </c>
      <c r="S347">
        <f>S346+IF(AND($E347&lt;&gt;"",$E347&lt;=S$2,$F347&gt;=S$2),1,0)</f>
        <v/>
      </c>
      <c r="T347">
        <f>T346+IF(AND($E347&lt;&gt;"",$E347&lt;=T$2,$F347&gt;=T$2),1,0)</f>
        <v/>
      </c>
      <c r="U347">
        <f>U346+IF(AND($E347&lt;&gt;"",$E347&lt;=U$2,$F347&gt;=U$2),1,0)</f>
        <v/>
      </c>
      <c r="V347">
        <f>V346+IF(AND($E347&lt;&gt;"",$E347&lt;=V$2,$F347&gt;=V$2),1,0)</f>
        <v/>
      </c>
      <c r="W347">
        <f>W346+IF(AND($E347&lt;&gt;"",$E347&lt;=W$2,$F347&gt;=W$2),1,0)</f>
        <v/>
      </c>
      <c r="X347">
        <f>X346+IF(AND($E347&lt;&gt;"",$E347&lt;=X$2,$F347&gt;=X$2),1,0)</f>
        <v/>
      </c>
      <c r="Y347">
        <f>Y346+IF(AND($E347&lt;&gt;"",$E347&lt;=Y$2,$F347&gt;=Y$2),1,0)</f>
        <v/>
      </c>
      <c r="Z347">
        <f>Z346+IF(AND($E347&lt;&gt;"",$E347&lt;=Z$2,$F347&gt;=Z$2),1,0)</f>
        <v/>
      </c>
      <c r="AA347">
        <f>AA346+IF(AND($E347&lt;&gt;"",$E347&lt;=AA$2,$F347&gt;=AA$2),1,0)</f>
        <v/>
      </c>
      <c r="AB347">
        <f>AB346+IF(AND($E347&lt;&gt;"",$E347&lt;=AB$2,$F347&gt;=AB$2),1,0)</f>
        <v/>
      </c>
      <c r="AC347">
        <f>AC346+IF(AND($E347&lt;&gt;"",$E347&lt;=AC$2,$F347&gt;=AC$2),1,0)</f>
        <v/>
      </c>
      <c r="AD347">
        <f>AD346+IF(AND($E347&lt;&gt;"",$E347&lt;=AD$2,$F347&gt;=AD$2),1,0)</f>
        <v/>
      </c>
      <c r="AE347">
        <f>AE346+IF(AND($E347&lt;&gt;"",$E347&lt;=AE$2,$F347&gt;=AE$2),1,0)</f>
        <v/>
      </c>
      <c r="AF347">
        <f>AF346+IF(AND($E347&lt;&gt;"",$E347&lt;=AF$2,$F347&gt;=AF$2),1,0)</f>
        <v/>
      </c>
      <c r="AG347">
        <f>AG346+IF(AND($E347&lt;&gt;"",$E347&lt;=AG$2,$F347&gt;=AG$2),1,0)</f>
        <v/>
      </c>
      <c r="AH347">
        <f>AH346+IF(AND($E347&lt;&gt;"",$E347&lt;=AH$2,$F347&gt;=AH$2),1,0)</f>
        <v/>
      </c>
      <c r="AI347">
        <f>AI346+IF(AND($E347&lt;&gt;"",$E347&lt;=AI$2,$F347&gt;=AI$2),1,0)</f>
        <v/>
      </c>
      <c r="AJ347">
        <f>AJ346+IF(AND($E347&lt;&gt;"",$E347&lt;=AJ$2,$F347&gt;=AJ$2),1,0)</f>
        <v/>
      </c>
      <c r="AK347">
        <f>AK346+IF(AND($E347&lt;&gt;"",$E347&lt;=AK$2,$F347&gt;=AK$2),1,0)</f>
        <v/>
      </c>
      <c r="AL347">
        <f>AL346+IF(AND($E347&lt;&gt;"",$E347&lt;=AL$2,$F347&gt;=AL$2),1,0)</f>
        <v/>
      </c>
      <c r="AM347">
        <f>AM346+IF(AND($E347&lt;&gt;"",$E347&lt;=AM$2,$F347&gt;=AM$2),1,0)</f>
        <v/>
      </c>
      <c r="AN347">
        <f>AN346+IF(AND($E347&lt;&gt;"",$E347&lt;=AN$2,$F347&gt;=AN$2),1,0)</f>
        <v/>
      </c>
      <c r="AO347">
        <f>AO346+IF(AND($E347&lt;&gt;"",$E347&lt;=AO$2,$F347&gt;=AO$2),1,0)</f>
        <v/>
      </c>
      <c r="AP347">
        <f>AP346+IF(AND($E347&lt;&gt;"",$E347&lt;=AP$2,$F347&gt;=AP$2),1,0)</f>
        <v/>
      </c>
      <c r="AQ347">
        <f>AQ346+IF(AND($E347&lt;&gt;"",$E347&lt;=AQ$2,$F347&gt;=AQ$2),1,0)</f>
        <v/>
      </c>
      <c r="AR347">
        <f>AR346+IF(AND($E347&lt;&gt;"",$E347&lt;=AR$2,$F347&gt;=AR$2),1,0)</f>
        <v/>
      </c>
      <c r="AS347">
        <f>AS346+IF(AND($E347&lt;&gt;"",$E347&lt;=AS$2,$F347&gt;=AS$2),1,0)</f>
        <v/>
      </c>
      <c r="AT347">
        <f>AT346+IF(AND($E347&lt;&gt;"",$E347&lt;=AT$2,$F347&gt;=AT$2),1,0)</f>
        <v/>
      </c>
      <c r="AU347">
        <f>AU346+IF(AND($E347&lt;&gt;"",$E347&lt;=AU$2,$F347&gt;=AU$2),1,0)</f>
        <v/>
      </c>
      <c r="AV347">
        <f>AV346+IF(AND($E347&lt;&gt;"",$E347&lt;=AV$2,$F347&gt;=AV$2),1,0)</f>
        <v/>
      </c>
      <c r="AW347">
        <f>AW346+IF(AND($E347&lt;&gt;"",$E347&lt;=AW$2,$F347&gt;=AW$2),1,0)</f>
        <v/>
      </c>
    </row>
    <row r="348">
      <c r="A348">
        <f>IF(AND(ISNUMBER(Events!$A350),ISNUMBER(Events!$B350)),MAX(0,Events!$B350-Events!$A350),0)</f>
        <v/>
      </c>
      <c r="B348">
        <f>IF(ISNUMBER(Events!$A350),DATE(YEAR($B$1)-1,MONTH(Events!$A350),DAY(Events!$A350)),"")</f>
        <v/>
      </c>
      <c r="C348">
        <f>IF(ISNUMBER(Events!$A350),DATE(YEAR($B$1),MONTH(Events!$A350),DAY(Events!$A350)),"")</f>
        <v/>
      </c>
      <c r="D348">
        <f>IF(ISNUMBER(Events!$A350),DATE(YEAR($B$2),MONTH(Events!$A350),DAY(Events!$A350)),"")</f>
        <v/>
      </c>
      <c r="E348">
        <f>IF(OR(NOT(ISNUMBER(Events!$A350)),Events!$G350="No",Calendar!$H$4="None"),"",IF(OR(Calendar!$H$4="All events",Events!$D350=Calendar!$H$4),IF(Events!$E350="Yes",IF(AND(B348&gt;=Events!$A350,B348&lt;=$B$2,B348+$A348&gt;=$B$1),B348,IF(AND(C348&gt;=Events!$A350,C348&lt;=$B$2,C348+$A348&gt;=$B$1),C348,IF(AND(D348&gt;=Events!$A350,D348&lt;=$B$2,D348+$A348&gt;=$B$1),D348,""))),IF(AND(Events!$A350&lt;=$B$2,Events!$A350+$A348&gt;=$B$1),Events!$A350,"")),""))</f>
        <v/>
      </c>
      <c r="F348">
        <f>IF(E348="","",E348+A348)</f>
        <v/>
      </c>
      <c r="G348">
        <f>IF(E348="","",IF(AND(E348&lt;=EOMONTH(Calendar!$K$2,0),F348&gt;=Calendar!$K$2),E348+345/100000,""))</f>
        <v/>
      </c>
      <c r="H348">
        <f>H347+IF(AND($E348&lt;&gt;"",$E348&lt;=H$2,$F348&gt;=H$2),1,0)</f>
        <v/>
      </c>
      <c r="I348">
        <f>I347+IF(AND($E348&lt;&gt;"",$E348&lt;=I$2,$F348&gt;=I$2),1,0)</f>
        <v/>
      </c>
      <c r="J348">
        <f>J347+IF(AND($E348&lt;&gt;"",$E348&lt;=J$2,$F348&gt;=J$2),1,0)</f>
        <v/>
      </c>
      <c r="K348">
        <f>K347+IF(AND($E348&lt;&gt;"",$E348&lt;=K$2,$F348&gt;=K$2),1,0)</f>
        <v/>
      </c>
      <c r="L348">
        <f>L347+IF(AND($E348&lt;&gt;"",$E348&lt;=L$2,$F348&gt;=L$2),1,0)</f>
        <v/>
      </c>
      <c r="M348">
        <f>M347+IF(AND($E348&lt;&gt;"",$E348&lt;=M$2,$F348&gt;=M$2),1,0)</f>
        <v/>
      </c>
      <c r="N348">
        <f>N347+IF(AND($E348&lt;&gt;"",$E348&lt;=N$2,$F348&gt;=N$2),1,0)</f>
        <v/>
      </c>
      <c r="O348">
        <f>O347+IF(AND($E348&lt;&gt;"",$E348&lt;=O$2,$F348&gt;=O$2),1,0)</f>
        <v/>
      </c>
      <c r="P348">
        <f>P347+IF(AND($E348&lt;&gt;"",$E348&lt;=P$2,$F348&gt;=P$2),1,0)</f>
        <v/>
      </c>
      <c r="Q348">
        <f>Q347+IF(AND($E348&lt;&gt;"",$E348&lt;=Q$2,$F348&gt;=Q$2),1,0)</f>
        <v/>
      </c>
      <c r="R348">
        <f>R347+IF(AND($E348&lt;&gt;"",$E348&lt;=R$2,$F348&gt;=R$2),1,0)</f>
        <v/>
      </c>
      <c r="S348">
        <f>S347+IF(AND($E348&lt;&gt;"",$E348&lt;=S$2,$F348&gt;=S$2),1,0)</f>
        <v/>
      </c>
      <c r="T348">
        <f>T347+IF(AND($E348&lt;&gt;"",$E348&lt;=T$2,$F348&gt;=T$2),1,0)</f>
        <v/>
      </c>
      <c r="U348">
        <f>U347+IF(AND($E348&lt;&gt;"",$E348&lt;=U$2,$F348&gt;=U$2),1,0)</f>
        <v/>
      </c>
      <c r="V348">
        <f>V347+IF(AND($E348&lt;&gt;"",$E348&lt;=V$2,$F348&gt;=V$2),1,0)</f>
        <v/>
      </c>
      <c r="W348">
        <f>W347+IF(AND($E348&lt;&gt;"",$E348&lt;=W$2,$F348&gt;=W$2),1,0)</f>
        <v/>
      </c>
      <c r="X348">
        <f>X347+IF(AND($E348&lt;&gt;"",$E348&lt;=X$2,$F348&gt;=X$2),1,0)</f>
        <v/>
      </c>
      <c r="Y348">
        <f>Y347+IF(AND($E348&lt;&gt;"",$E348&lt;=Y$2,$F348&gt;=Y$2),1,0)</f>
        <v/>
      </c>
      <c r="Z348">
        <f>Z347+IF(AND($E348&lt;&gt;"",$E348&lt;=Z$2,$F348&gt;=Z$2),1,0)</f>
        <v/>
      </c>
      <c r="AA348">
        <f>AA347+IF(AND($E348&lt;&gt;"",$E348&lt;=AA$2,$F348&gt;=AA$2),1,0)</f>
        <v/>
      </c>
      <c r="AB348">
        <f>AB347+IF(AND($E348&lt;&gt;"",$E348&lt;=AB$2,$F348&gt;=AB$2),1,0)</f>
        <v/>
      </c>
      <c r="AC348">
        <f>AC347+IF(AND($E348&lt;&gt;"",$E348&lt;=AC$2,$F348&gt;=AC$2),1,0)</f>
        <v/>
      </c>
      <c r="AD348">
        <f>AD347+IF(AND($E348&lt;&gt;"",$E348&lt;=AD$2,$F348&gt;=AD$2),1,0)</f>
        <v/>
      </c>
      <c r="AE348">
        <f>AE347+IF(AND($E348&lt;&gt;"",$E348&lt;=AE$2,$F348&gt;=AE$2),1,0)</f>
        <v/>
      </c>
      <c r="AF348">
        <f>AF347+IF(AND($E348&lt;&gt;"",$E348&lt;=AF$2,$F348&gt;=AF$2),1,0)</f>
        <v/>
      </c>
      <c r="AG348">
        <f>AG347+IF(AND($E348&lt;&gt;"",$E348&lt;=AG$2,$F348&gt;=AG$2),1,0)</f>
        <v/>
      </c>
      <c r="AH348">
        <f>AH347+IF(AND($E348&lt;&gt;"",$E348&lt;=AH$2,$F348&gt;=AH$2),1,0)</f>
        <v/>
      </c>
      <c r="AI348">
        <f>AI347+IF(AND($E348&lt;&gt;"",$E348&lt;=AI$2,$F348&gt;=AI$2),1,0)</f>
        <v/>
      </c>
      <c r="AJ348">
        <f>AJ347+IF(AND($E348&lt;&gt;"",$E348&lt;=AJ$2,$F348&gt;=AJ$2),1,0)</f>
        <v/>
      </c>
      <c r="AK348">
        <f>AK347+IF(AND($E348&lt;&gt;"",$E348&lt;=AK$2,$F348&gt;=AK$2),1,0)</f>
        <v/>
      </c>
      <c r="AL348">
        <f>AL347+IF(AND($E348&lt;&gt;"",$E348&lt;=AL$2,$F348&gt;=AL$2),1,0)</f>
        <v/>
      </c>
      <c r="AM348">
        <f>AM347+IF(AND($E348&lt;&gt;"",$E348&lt;=AM$2,$F348&gt;=AM$2),1,0)</f>
        <v/>
      </c>
      <c r="AN348">
        <f>AN347+IF(AND($E348&lt;&gt;"",$E348&lt;=AN$2,$F348&gt;=AN$2),1,0)</f>
        <v/>
      </c>
      <c r="AO348">
        <f>AO347+IF(AND($E348&lt;&gt;"",$E348&lt;=AO$2,$F348&gt;=AO$2),1,0)</f>
        <v/>
      </c>
      <c r="AP348">
        <f>AP347+IF(AND($E348&lt;&gt;"",$E348&lt;=AP$2,$F348&gt;=AP$2),1,0)</f>
        <v/>
      </c>
      <c r="AQ348">
        <f>AQ347+IF(AND($E348&lt;&gt;"",$E348&lt;=AQ$2,$F348&gt;=AQ$2),1,0)</f>
        <v/>
      </c>
      <c r="AR348">
        <f>AR347+IF(AND($E348&lt;&gt;"",$E348&lt;=AR$2,$F348&gt;=AR$2),1,0)</f>
        <v/>
      </c>
      <c r="AS348">
        <f>AS347+IF(AND($E348&lt;&gt;"",$E348&lt;=AS$2,$F348&gt;=AS$2),1,0)</f>
        <v/>
      </c>
      <c r="AT348">
        <f>AT347+IF(AND($E348&lt;&gt;"",$E348&lt;=AT$2,$F348&gt;=AT$2),1,0)</f>
        <v/>
      </c>
      <c r="AU348">
        <f>AU347+IF(AND($E348&lt;&gt;"",$E348&lt;=AU$2,$F348&gt;=AU$2),1,0)</f>
        <v/>
      </c>
      <c r="AV348">
        <f>AV347+IF(AND($E348&lt;&gt;"",$E348&lt;=AV$2,$F348&gt;=AV$2),1,0)</f>
        <v/>
      </c>
      <c r="AW348">
        <f>AW347+IF(AND($E348&lt;&gt;"",$E348&lt;=AW$2,$F348&gt;=AW$2),1,0)</f>
        <v/>
      </c>
    </row>
    <row r="349">
      <c r="A349">
        <f>IF(AND(ISNUMBER(Events!$A351),ISNUMBER(Events!$B351)),MAX(0,Events!$B351-Events!$A351),0)</f>
        <v/>
      </c>
      <c r="B349">
        <f>IF(ISNUMBER(Events!$A351),DATE(YEAR($B$1)-1,MONTH(Events!$A351),DAY(Events!$A351)),"")</f>
        <v/>
      </c>
      <c r="C349">
        <f>IF(ISNUMBER(Events!$A351),DATE(YEAR($B$1),MONTH(Events!$A351),DAY(Events!$A351)),"")</f>
        <v/>
      </c>
      <c r="D349">
        <f>IF(ISNUMBER(Events!$A351),DATE(YEAR($B$2),MONTH(Events!$A351),DAY(Events!$A351)),"")</f>
        <v/>
      </c>
      <c r="E349">
        <f>IF(OR(NOT(ISNUMBER(Events!$A351)),Events!$G351="No",Calendar!$H$4="None"),"",IF(OR(Calendar!$H$4="All events",Events!$D351=Calendar!$H$4),IF(Events!$E351="Yes",IF(AND(B349&gt;=Events!$A351,B349&lt;=$B$2,B349+$A349&gt;=$B$1),B349,IF(AND(C349&gt;=Events!$A351,C349&lt;=$B$2,C349+$A349&gt;=$B$1),C349,IF(AND(D349&gt;=Events!$A351,D349&lt;=$B$2,D349+$A349&gt;=$B$1),D349,""))),IF(AND(Events!$A351&lt;=$B$2,Events!$A351+$A349&gt;=$B$1),Events!$A351,"")),""))</f>
        <v/>
      </c>
      <c r="F349">
        <f>IF(E349="","",E349+A349)</f>
        <v/>
      </c>
      <c r="G349">
        <f>IF(E349="","",IF(AND(E349&lt;=EOMONTH(Calendar!$K$2,0),F349&gt;=Calendar!$K$2),E349+346/100000,""))</f>
        <v/>
      </c>
      <c r="H349">
        <f>H348+IF(AND($E349&lt;&gt;"",$E349&lt;=H$2,$F349&gt;=H$2),1,0)</f>
        <v/>
      </c>
      <c r="I349">
        <f>I348+IF(AND($E349&lt;&gt;"",$E349&lt;=I$2,$F349&gt;=I$2),1,0)</f>
        <v/>
      </c>
      <c r="J349">
        <f>J348+IF(AND($E349&lt;&gt;"",$E349&lt;=J$2,$F349&gt;=J$2),1,0)</f>
        <v/>
      </c>
      <c r="K349">
        <f>K348+IF(AND($E349&lt;&gt;"",$E349&lt;=K$2,$F349&gt;=K$2),1,0)</f>
        <v/>
      </c>
      <c r="L349">
        <f>L348+IF(AND($E349&lt;&gt;"",$E349&lt;=L$2,$F349&gt;=L$2),1,0)</f>
        <v/>
      </c>
      <c r="M349">
        <f>M348+IF(AND($E349&lt;&gt;"",$E349&lt;=M$2,$F349&gt;=M$2),1,0)</f>
        <v/>
      </c>
      <c r="N349">
        <f>N348+IF(AND($E349&lt;&gt;"",$E349&lt;=N$2,$F349&gt;=N$2),1,0)</f>
        <v/>
      </c>
      <c r="O349">
        <f>O348+IF(AND($E349&lt;&gt;"",$E349&lt;=O$2,$F349&gt;=O$2),1,0)</f>
        <v/>
      </c>
      <c r="P349">
        <f>P348+IF(AND($E349&lt;&gt;"",$E349&lt;=P$2,$F349&gt;=P$2),1,0)</f>
        <v/>
      </c>
      <c r="Q349">
        <f>Q348+IF(AND($E349&lt;&gt;"",$E349&lt;=Q$2,$F349&gt;=Q$2),1,0)</f>
        <v/>
      </c>
      <c r="R349">
        <f>R348+IF(AND($E349&lt;&gt;"",$E349&lt;=R$2,$F349&gt;=R$2),1,0)</f>
        <v/>
      </c>
      <c r="S349">
        <f>S348+IF(AND($E349&lt;&gt;"",$E349&lt;=S$2,$F349&gt;=S$2),1,0)</f>
        <v/>
      </c>
      <c r="T349">
        <f>T348+IF(AND($E349&lt;&gt;"",$E349&lt;=T$2,$F349&gt;=T$2),1,0)</f>
        <v/>
      </c>
      <c r="U349">
        <f>U348+IF(AND($E349&lt;&gt;"",$E349&lt;=U$2,$F349&gt;=U$2),1,0)</f>
        <v/>
      </c>
      <c r="V349">
        <f>V348+IF(AND($E349&lt;&gt;"",$E349&lt;=V$2,$F349&gt;=V$2),1,0)</f>
        <v/>
      </c>
      <c r="W349">
        <f>W348+IF(AND($E349&lt;&gt;"",$E349&lt;=W$2,$F349&gt;=W$2),1,0)</f>
        <v/>
      </c>
      <c r="X349">
        <f>X348+IF(AND($E349&lt;&gt;"",$E349&lt;=X$2,$F349&gt;=X$2),1,0)</f>
        <v/>
      </c>
      <c r="Y349">
        <f>Y348+IF(AND($E349&lt;&gt;"",$E349&lt;=Y$2,$F349&gt;=Y$2),1,0)</f>
        <v/>
      </c>
      <c r="Z349">
        <f>Z348+IF(AND($E349&lt;&gt;"",$E349&lt;=Z$2,$F349&gt;=Z$2),1,0)</f>
        <v/>
      </c>
      <c r="AA349">
        <f>AA348+IF(AND($E349&lt;&gt;"",$E349&lt;=AA$2,$F349&gt;=AA$2),1,0)</f>
        <v/>
      </c>
      <c r="AB349">
        <f>AB348+IF(AND($E349&lt;&gt;"",$E349&lt;=AB$2,$F349&gt;=AB$2),1,0)</f>
        <v/>
      </c>
      <c r="AC349">
        <f>AC348+IF(AND($E349&lt;&gt;"",$E349&lt;=AC$2,$F349&gt;=AC$2),1,0)</f>
        <v/>
      </c>
      <c r="AD349">
        <f>AD348+IF(AND($E349&lt;&gt;"",$E349&lt;=AD$2,$F349&gt;=AD$2),1,0)</f>
        <v/>
      </c>
      <c r="AE349">
        <f>AE348+IF(AND($E349&lt;&gt;"",$E349&lt;=AE$2,$F349&gt;=AE$2),1,0)</f>
        <v/>
      </c>
      <c r="AF349">
        <f>AF348+IF(AND($E349&lt;&gt;"",$E349&lt;=AF$2,$F349&gt;=AF$2),1,0)</f>
        <v/>
      </c>
      <c r="AG349">
        <f>AG348+IF(AND($E349&lt;&gt;"",$E349&lt;=AG$2,$F349&gt;=AG$2),1,0)</f>
        <v/>
      </c>
      <c r="AH349">
        <f>AH348+IF(AND($E349&lt;&gt;"",$E349&lt;=AH$2,$F349&gt;=AH$2),1,0)</f>
        <v/>
      </c>
      <c r="AI349">
        <f>AI348+IF(AND($E349&lt;&gt;"",$E349&lt;=AI$2,$F349&gt;=AI$2),1,0)</f>
        <v/>
      </c>
      <c r="AJ349">
        <f>AJ348+IF(AND($E349&lt;&gt;"",$E349&lt;=AJ$2,$F349&gt;=AJ$2),1,0)</f>
        <v/>
      </c>
      <c r="AK349">
        <f>AK348+IF(AND($E349&lt;&gt;"",$E349&lt;=AK$2,$F349&gt;=AK$2),1,0)</f>
        <v/>
      </c>
      <c r="AL349">
        <f>AL348+IF(AND($E349&lt;&gt;"",$E349&lt;=AL$2,$F349&gt;=AL$2),1,0)</f>
        <v/>
      </c>
      <c r="AM349">
        <f>AM348+IF(AND($E349&lt;&gt;"",$E349&lt;=AM$2,$F349&gt;=AM$2),1,0)</f>
        <v/>
      </c>
      <c r="AN349">
        <f>AN348+IF(AND($E349&lt;&gt;"",$E349&lt;=AN$2,$F349&gt;=AN$2),1,0)</f>
        <v/>
      </c>
      <c r="AO349">
        <f>AO348+IF(AND($E349&lt;&gt;"",$E349&lt;=AO$2,$F349&gt;=AO$2),1,0)</f>
        <v/>
      </c>
      <c r="AP349">
        <f>AP348+IF(AND($E349&lt;&gt;"",$E349&lt;=AP$2,$F349&gt;=AP$2),1,0)</f>
        <v/>
      </c>
      <c r="AQ349">
        <f>AQ348+IF(AND($E349&lt;&gt;"",$E349&lt;=AQ$2,$F349&gt;=AQ$2),1,0)</f>
        <v/>
      </c>
      <c r="AR349">
        <f>AR348+IF(AND($E349&lt;&gt;"",$E349&lt;=AR$2,$F349&gt;=AR$2),1,0)</f>
        <v/>
      </c>
      <c r="AS349">
        <f>AS348+IF(AND($E349&lt;&gt;"",$E349&lt;=AS$2,$F349&gt;=AS$2),1,0)</f>
        <v/>
      </c>
      <c r="AT349">
        <f>AT348+IF(AND($E349&lt;&gt;"",$E349&lt;=AT$2,$F349&gt;=AT$2),1,0)</f>
        <v/>
      </c>
      <c r="AU349">
        <f>AU348+IF(AND($E349&lt;&gt;"",$E349&lt;=AU$2,$F349&gt;=AU$2),1,0)</f>
        <v/>
      </c>
      <c r="AV349">
        <f>AV348+IF(AND($E349&lt;&gt;"",$E349&lt;=AV$2,$F349&gt;=AV$2),1,0)</f>
        <v/>
      </c>
      <c r="AW349">
        <f>AW348+IF(AND($E349&lt;&gt;"",$E349&lt;=AW$2,$F349&gt;=AW$2),1,0)</f>
        <v/>
      </c>
    </row>
    <row r="350">
      <c r="A350">
        <f>IF(AND(ISNUMBER(Events!$A352),ISNUMBER(Events!$B352)),MAX(0,Events!$B352-Events!$A352),0)</f>
        <v/>
      </c>
      <c r="B350">
        <f>IF(ISNUMBER(Events!$A352),DATE(YEAR($B$1)-1,MONTH(Events!$A352),DAY(Events!$A352)),"")</f>
        <v/>
      </c>
      <c r="C350">
        <f>IF(ISNUMBER(Events!$A352),DATE(YEAR($B$1),MONTH(Events!$A352),DAY(Events!$A352)),"")</f>
        <v/>
      </c>
      <c r="D350">
        <f>IF(ISNUMBER(Events!$A352),DATE(YEAR($B$2),MONTH(Events!$A352),DAY(Events!$A352)),"")</f>
        <v/>
      </c>
      <c r="E350">
        <f>IF(OR(NOT(ISNUMBER(Events!$A352)),Events!$G352="No",Calendar!$H$4="None"),"",IF(OR(Calendar!$H$4="All events",Events!$D352=Calendar!$H$4),IF(Events!$E352="Yes",IF(AND(B350&gt;=Events!$A352,B350&lt;=$B$2,B350+$A350&gt;=$B$1),B350,IF(AND(C350&gt;=Events!$A352,C350&lt;=$B$2,C350+$A350&gt;=$B$1),C350,IF(AND(D350&gt;=Events!$A352,D350&lt;=$B$2,D350+$A350&gt;=$B$1),D350,""))),IF(AND(Events!$A352&lt;=$B$2,Events!$A352+$A350&gt;=$B$1),Events!$A352,"")),""))</f>
        <v/>
      </c>
      <c r="F350">
        <f>IF(E350="","",E350+A350)</f>
        <v/>
      </c>
      <c r="G350">
        <f>IF(E350="","",IF(AND(E350&lt;=EOMONTH(Calendar!$K$2,0),F350&gt;=Calendar!$K$2),E350+347/100000,""))</f>
        <v/>
      </c>
      <c r="H350">
        <f>H349+IF(AND($E350&lt;&gt;"",$E350&lt;=H$2,$F350&gt;=H$2),1,0)</f>
        <v/>
      </c>
      <c r="I350">
        <f>I349+IF(AND($E350&lt;&gt;"",$E350&lt;=I$2,$F350&gt;=I$2),1,0)</f>
        <v/>
      </c>
      <c r="J350">
        <f>J349+IF(AND($E350&lt;&gt;"",$E350&lt;=J$2,$F350&gt;=J$2),1,0)</f>
        <v/>
      </c>
      <c r="K350">
        <f>K349+IF(AND($E350&lt;&gt;"",$E350&lt;=K$2,$F350&gt;=K$2),1,0)</f>
        <v/>
      </c>
      <c r="L350">
        <f>L349+IF(AND($E350&lt;&gt;"",$E350&lt;=L$2,$F350&gt;=L$2),1,0)</f>
        <v/>
      </c>
      <c r="M350">
        <f>M349+IF(AND($E350&lt;&gt;"",$E350&lt;=M$2,$F350&gt;=M$2),1,0)</f>
        <v/>
      </c>
      <c r="N350">
        <f>N349+IF(AND($E350&lt;&gt;"",$E350&lt;=N$2,$F350&gt;=N$2),1,0)</f>
        <v/>
      </c>
      <c r="O350">
        <f>O349+IF(AND($E350&lt;&gt;"",$E350&lt;=O$2,$F350&gt;=O$2),1,0)</f>
        <v/>
      </c>
      <c r="P350">
        <f>P349+IF(AND($E350&lt;&gt;"",$E350&lt;=P$2,$F350&gt;=P$2),1,0)</f>
        <v/>
      </c>
      <c r="Q350">
        <f>Q349+IF(AND($E350&lt;&gt;"",$E350&lt;=Q$2,$F350&gt;=Q$2),1,0)</f>
        <v/>
      </c>
      <c r="R350">
        <f>R349+IF(AND($E350&lt;&gt;"",$E350&lt;=R$2,$F350&gt;=R$2),1,0)</f>
        <v/>
      </c>
      <c r="S350">
        <f>S349+IF(AND($E350&lt;&gt;"",$E350&lt;=S$2,$F350&gt;=S$2),1,0)</f>
        <v/>
      </c>
      <c r="T350">
        <f>T349+IF(AND($E350&lt;&gt;"",$E350&lt;=T$2,$F350&gt;=T$2),1,0)</f>
        <v/>
      </c>
      <c r="U350">
        <f>U349+IF(AND($E350&lt;&gt;"",$E350&lt;=U$2,$F350&gt;=U$2),1,0)</f>
        <v/>
      </c>
      <c r="V350">
        <f>V349+IF(AND($E350&lt;&gt;"",$E350&lt;=V$2,$F350&gt;=V$2),1,0)</f>
        <v/>
      </c>
      <c r="W350">
        <f>W349+IF(AND($E350&lt;&gt;"",$E350&lt;=W$2,$F350&gt;=W$2),1,0)</f>
        <v/>
      </c>
      <c r="X350">
        <f>X349+IF(AND($E350&lt;&gt;"",$E350&lt;=X$2,$F350&gt;=X$2),1,0)</f>
        <v/>
      </c>
      <c r="Y350">
        <f>Y349+IF(AND($E350&lt;&gt;"",$E350&lt;=Y$2,$F350&gt;=Y$2),1,0)</f>
        <v/>
      </c>
      <c r="Z350">
        <f>Z349+IF(AND($E350&lt;&gt;"",$E350&lt;=Z$2,$F350&gt;=Z$2),1,0)</f>
        <v/>
      </c>
      <c r="AA350">
        <f>AA349+IF(AND($E350&lt;&gt;"",$E350&lt;=AA$2,$F350&gt;=AA$2),1,0)</f>
        <v/>
      </c>
      <c r="AB350">
        <f>AB349+IF(AND($E350&lt;&gt;"",$E350&lt;=AB$2,$F350&gt;=AB$2),1,0)</f>
        <v/>
      </c>
      <c r="AC350">
        <f>AC349+IF(AND($E350&lt;&gt;"",$E350&lt;=AC$2,$F350&gt;=AC$2),1,0)</f>
        <v/>
      </c>
      <c r="AD350">
        <f>AD349+IF(AND($E350&lt;&gt;"",$E350&lt;=AD$2,$F350&gt;=AD$2),1,0)</f>
        <v/>
      </c>
      <c r="AE350">
        <f>AE349+IF(AND($E350&lt;&gt;"",$E350&lt;=AE$2,$F350&gt;=AE$2),1,0)</f>
        <v/>
      </c>
      <c r="AF350">
        <f>AF349+IF(AND($E350&lt;&gt;"",$E350&lt;=AF$2,$F350&gt;=AF$2),1,0)</f>
        <v/>
      </c>
      <c r="AG350">
        <f>AG349+IF(AND($E350&lt;&gt;"",$E350&lt;=AG$2,$F350&gt;=AG$2),1,0)</f>
        <v/>
      </c>
      <c r="AH350">
        <f>AH349+IF(AND($E350&lt;&gt;"",$E350&lt;=AH$2,$F350&gt;=AH$2),1,0)</f>
        <v/>
      </c>
      <c r="AI350">
        <f>AI349+IF(AND($E350&lt;&gt;"",$E350&lt;=AI$2,$F350&gt;=AI$2),1,0)</f>
        <v/>
      </c>
      <c r="AJ350">
        <f>AJ349+IF(AND($E350&lt;&gt;"",$E350&lt;=AJ$2,$F350&gt;=AJ$2),1,0)</f>
        <v/>
      </c>
      <c r="AK350">
        <f>AK349+IF(AND($E350&lt;&gt;"",$E350&lt;=AK$2,$F350&gt;=AK$2),1,0)</f>
        <v/>
      </c>
      <c r="AL350">
        <f>AL349+IF(AND($E350&lt;&gt;"",$E350&lt;=AL$2,$F350&gt;=AL$2),1,0)</f>
        <v/>
      </c>
      <c r="AM350">
        <f>AM349+IF(AND($E350&lt;&gt;"",$E350&lt;=AM$2,$F350&gt;=AM$2),1,0)</f>
        <v/>
      </c>
      <c r="AN350">
        <f>AN349+IF(AND($E350&lt;&gt;"",$E350&lt;=AN$2,$F350&gt;=AN$2),1,0)</f>
        <v/>
      </c>
      <c r="AO350">
        <f>AO349+IF(AND($E350&lt;&gt;"",$E350&lt;=AO$2,$F350&gt;=AO$2),1,0)</f>
        <v/>
      </c>
      <c r="AP350">
        <f>AP349+IF(AND($E350&lt;&gt;"",$E350&lt;=AP$2,$F350&gt;=AP$2),1,0)</f>
        <v/>
      </c>
      <c r="AQ350">
        <f>AQ349+IF(AND($E350&lt;&gt;"",$E350&lt;=AQ$2,$F350&gt;=AQ$2),1,0)</f>
        <v/>
      </c>
      <c r="AR350">
        <f>AR349+IF(AND($E350&lt;&gt;"",$E350&lt;=AR$2,$F350&gt;=AR$2),1,0)</f>
        <v/>
      </c>
      <c r="AS350">
        <f>AS349+IF(AND($E350&lt;&gt;"",$E350&lt;=AS$2,$F350&gt;=AS$2),1,0)</f>
        <v/>
      </c>
      <c r="AT350">
        <f>AT349+IF(AND($E350&lt;&gt;"",$E350&lt;=AT$2,$F350&gt;=AT$2),1,0)</f>
        <v/>
      </c>
      <c r="AU350">
        <f>AU349+IF(AND($E350&lt;&gt;"",$E350&lt;=AU$2,$F350&gt;=AU$2),1,0)</f>
        <v/>
      </c>
      <c r="AV350">
        <f>AV349+IF(AND($E350&lt;&gt;"",$E350&lt;=AV$2,$F350&gt;=AV$2),1,0)</f>
        <v/>
      </c>
      <c r="AW350">
        <f>AW349+IF(AND($E350&lt;&gt;"",$E350&lt;=AW$2,$F350&gt;=AW$2),1,0)</f>
        <v/>
      </c>
    </row>
    <row r="351">
      <c r="A351">
        <f>IF(AND(ISNUMBER(Events!$A353),ISNUMBER(Events!$B353)),MAX(0,Events!$B353-Events!$A353),0)</f>
        <v/>
      </c>
      <c r="B351">
        <f>IF(ISNUMBER(Events!$A353),DATE(YEAR($B$1)-1,MONTH(Events!$A353),DAY(Events!$A353)),"")</f>
        <v/>
      </c>
      <c r="C351">
        <f>IF(ISNUMBER(Events!$A353),DATE(YEAR($B$1),MONTH(Events!$A353),DAY(Events!$A353)),"")</f>
        <v/>
      </c>
      <c r="D351">
        <f>IF(ISNUMBER(Events!$A353),DATE(YEAR($B$2),MONTH(Events!$A353),DAY(Events!$A353)),"")</f>
        <v/>
      </c>
      <c r="E351">
        <f>IF(OR(NOT(ISNUMBER(Events!$A353)),Events!$G353="No",Calendar!$H$4="None"),"",IF(OR(Calendar!$H$4="All events",Events!$D353=Calendar!$H$4),IF(Events!$E353="Yes",IF(AND(B351&gt;=Events!$A353,B351&lt;=$B$2,B351+$A351&gt;=$B$1),B351,IF(AND(C351&gt;=Events!$A353,C351&lt;=$B$2,C351+$A351&gt;=$B$1),C351,IF(AND(D351&gt;=Events!$A353,D351&lt;=$B$2,D351+$A351&gt;=$B$1),D351,""))),IF(AND(Events!$A353&lt;=$B$2,Events!$A353+$A351&gt;=$B$1),Events!$A353,"")),""))</f>
        <v/>
      </c>
      <c r="F351">
        <f>IF(E351="","",E351+A351)</f>
        <v/>
      </c>
      <c r="G351">
        <f>IF(E351="","",IF(AND(E351&lt;=EOMONTH(Calendar!$K$2,0),F351&gt;=Calendar!$K$2),E351+348/100000,""))</f>
        <v/>
      </c>
      <c r="H351">
        <f>H350+IF(AND($E351&lt;&gt;"",$E351&lt;=H$2,$F351&gt;=H$2),1,0)</f>
        <v/>
      </c>
      <c r="I351">
        <f>I350+IF(AND($E351&lt;&gt;"",$E351&lt;=I$2,$F351&gt;=I$2),1,0)</f>
        <v/>
      </c>
      <c r="J351">
        <f>J350+IF(AND($E351&lt;&gt;"",$E351&lt;=J$2,$F351&gt;=J$2),1,0)</f>
        <v/>
      </c>
      <c r="K351">
        <f>K350+IF(AND($E351&lt;&gt;"",$E351&lt;=K$2,$F351&gt;=K$2),1,0)</f>
        <v/>
      </c>
      <c r="L351">
        <f>L350+IF(AND($E351&lt;&gt;"",$E351&lt;=L$2,$F351&gt;=L$2),1,0)</f>
        <v/>
      </c>
      <c r="M351">
        <f>M350+IF(AND($E351&lt;&gt;"",$E351&lt;=M$2,$F351&gt;=M$2),1,0)</f>
        <v/>
      </c>
      <c r="N351">
        <f>N350+IF(AND($E351&lt;&gt;"",$E351&lt;=N$2,$F351&gt;=N$2),1,0)</f>
        <v/>
      </c>
      <c r="O351">
        <f>O350+IF(AND($E351&lt;&gt;"",$E351&lt;=O$2,$F351&gt;=O$2),1,0)</f>
        <v/>
      </c>
      <c r="P351">
        <f>P350+IF(AND($E351&lt;&gt;"",$E351&lt;=P$2,$F351&gt;=P$2),1,0)</f>
        <v/>
      </c>
      <c r="Q351">
        <f>Q350+IF(AND($E351&lt;&gt;"",$E351&lt;=Q$2,$F351&gt;=Q$2),1,0)</f>
        <v/>
      </c>
      <c r="R351">
        <f>R350+IF(AND($E351&lt;&gt;"",$E351&lt;=R$2,$F351&gt;=R$2),1,0)</f>
        <v/>
      </c>
      <c r="S351">
        <f>S350+IF(AND($E351&lt;&gt;"",$E351&lt;=S$2,$F351&gt;=S$2),1,0)</f>
        <v/>
      </c>
      <c r="T351">
        <f>T350+IF(AND($E351&lt;&gt;"",$E351&lt;=T$2,$F351&gt;=T$2),1,0)</f>
        <v/>
      </c>
      <c r="U351">
        <f>U350+IF(AND($E351&lt;&gt;"",$E351&lt;=U$2,$F351&gt;=U$2),1,0)</f>
        <v/>
      </c>
      <c r="V351">
        <f>V350+IF(AND($E351&lt;&gt;"",$E351&lt;=V$2,$F351&gt;=V$2),1,0)</f>
        <v/>
      </c>
      <c r="W351">
        <f>W350+IF(AND($E351&lt;&gt;"",$E351&lt;=W$2,$F351&gt;=W$2),1,0)</f>
        <v/>
      </c>
      <c r="X351">
        <f>X350+IF(AND($E351&lt;&gt;"",$E351&lt;=X$2,$F351&gt;=X$2),1,0)</f>
        <v/>
      </c>
      <c r="Y351">
        <f>Y350+IF(AND($E351&lt;&gt;"",$E351&lt;=Y$2,$F351&gt;=Y$2),1,0)</f>
        <v/>
      </c>
      <c r="Z351">
        <f>Z350+IF(AND($E351&lt;&gt;"",$E351&lt;=Z$2,$F351&gt;=Z$2),1,0)</f>
        <v/>
      </c>
      <c r="AA351">
        <f>AA350+IF(AND($E351&lt;&gt;"",$E351&lt;=AA$2,$F351&gt;=AA$2),1,0)</f>
        <v/>
      </c>
      <c r="AB351">
        <f>AB350+IF(AND($E351&lt;&gt;"",$E351&lt;=AB$2,$F351&gt;=AB$2),1,0)</f>
        <v/>
      </c>
      <c r="AC351">
        <f>AC350+IF(AND($E351&lt;&gt;"",$E351&lt;=AC$2,$F351&gt;=AC$2),1,0)</f>
        <v/>
      </c>
      <c r="AD351">
        <f>AD350+IF(AND($E351&lt;&gt;"",$E351&lt;=AD$2,$F351&gt;=AD$2),1,0)</f>
        <v/>
      </c>
      <c r="AE351">
        <f>AE350+IF(AND($E351&lt;&gt;"",$E351&lt;=AE$2,$F351&gt;=AE$2),1,0)</f>
        <v/>
      </c>
      <c r="AF351">
        <f>AF350+IF(AND($E351&lt;&gt;"",$E351&lt;=AF$2,$F351&gt;=AF$2),1,0)</f>
        <v/>
      </c>
      <c r="AG351">
        <f>AG350+IF(AND($E351&lt;&gt;"",$E351&lt;=AG$2,$F351&gt;=AG$2),1,0)</f>
        <v/>
      </c>
      <c r="AH351">
        <f>AH350+IF(AND($E351&lt;&gt;"",$E351&lt;=AH$2,$F351&gt;=AH$2),1,0)</f>
        <v/>
      </c>
      <c r="AI351">
        <f>AI350+IF(AND($E351&lt;&gt;"",$E351&lt;=AI$2,$F351&gt;=AI$2),1,0)</f>
        <v/>
      </c>
      <c r="AJ351">
        <f>AJ350+IF(AND($E351&lt;&gt;"",$E351&lt;=AJ$2,$F351&gt;=AJ$2),1,0)</f>
        <v/>
      </c>
      <c r="AK351">
        <f>AK350+IF(AND($E351&lt;&gt;"",$E351&lt;=AK$2,$F351&gt;=AK$2),1,0)</f>
        <v/>
      </c>
      <c r="AL351">
        <f>AL350+IF(AND($E351&lt;&gt;"",$E351&lt;=AL$2,$F351&gt;=AL$2),1,0)</f>
        <v/>
      </c>
      <c r="AM351">
        <f>AM350+IF(AND($E351&lt;&gt;"",$E351&lt;=AM$2,$F351&gt;=AM$2),1,0)</f>
        <v/>
      </c>
      <c r="AN351">
        <f>AN350+IF(AND($E351&lt;&gt;"",$E351&lt;=AN$2,$F351&gt;=AN$2),1,0)</f>
        <v/>
      </c>
      <c r="AO351">
        <f>AO350+IF(AND($E351&lt;&gt;"",$E351&lt;=AO$2,$F351&gt;=AO$2),1,0)</f>
        <v/>
      </c>
      <c r="AP351">
        <f>AP350+IF(AND($E351&lt;&gt;"",$E351&lt;=AP$2,$F351&gt;=AP$2),1,0)</f>
        <v/>
      </c>
      <c r="AQ351">
        <f>AQ350+IF(AND($E351&lt;&gt;"",$E351&lt;=AQ$2,$F351&gt;=AQ$2),1,0)</f>
        <v/>
      </c>
      <c r="AR351">
        <f>AR350+IF(AND($E351&lt;&gt;"",$E351&lt;=AR$2,$F351&gt;=AR$2),1,0)</f>
        <v/>
      </c>
      <c r="AS351">
        <f>AS350+IF(AND($E351&lt;&gt;"",$E351&lt;=AS$2,$F351&gt;=AS$2),1,0)</f>
        <v/>
      </c>
      <c r="AT351">
        <f>AT350+IF(AND($E351&lt;&gt;"",$E351&lt;=AT$2,$F351&gt;=AT$2),1,0)</f>
        <v/>
      </c>
      <c r="AU351">
        <f>AU350+IF(AND($E351&lt;&gt;"",$E351&lt;=AU$2,$F351&gt;=AU$2),1,0)</f>
        <v/>
      </c>
      <c r="AV351">
        <f>AV350+IF(AND($E351&lt;&gt;"",$E351&lt;=AV$2,$F351&gt;=AV$2),1,0)</f>
        <v/>
      </c>
      <c r="AW351">
        <f>AW350+IF(AND($E351&lt;&gt;"",$E351&lt;=AW$2,$F351&gt;=AW$2),1,0)</f>
        <v/>
      </c>
    </row>
    <row r="352">
      <c r="A352">
        <f>IF(AND(ISNUMBER(Events!$A354),ISNUMBER(Events!$B354)),MAX(0,Events!$B354-Events!$A354),0)</f>
        <v/>
      </c>
      <c r="B352">
        <f>IF(ISNUMBER(Events!$A354),DATE(YEAR($B$1)-1,MONTH(Events!$A354),DAY(Events!$A354)),"")</f>
        <v/>
      </c>
      <c r="C352">
        <f>IF(ISNUMBER(Events!$A354),DATE(YEAR($B$1),MONTH(Events!$A354),DAY(Events!$A354)),"")</f>
        <v/>
      </c>
      <c r="D352">
        <f>IF(ISNUMBER(Events!$A354),DATE(YEAR($B$2),MONTH(Events!$A354),DAY(Events!$A354)),"")</f>
        <v/>
      </c>
      <c r="E352">
        <f>IF(OR(NOT(ISNUMBER(Events!$A354)),Events!$G354="No",Calendar!$H$4="None"),"",IF(OR(Calendar!$H$4="All events",Events!$D354=Calendar!$H$4),IF(Events!$E354="Yes",IF(AND(B352&gt;=Events!$A354,B352&lt;=$B$2,B352+$A352&gt;=$B$1),B352,IF(AND(C352&gt;=Events!$A354,C352&lt;=$B$2,C352+$A352&gt;=$B$1),C352,IF(AND(D352&gt;=Events!$A354,D352&lt;=$B$2,D352+$A352&gt;=$B$1),D352,""))),IF(AND(Events!$A354&lt;=$B$2,Events!$A354+$A352&gt;=$B$1),Events!$A354,"")),""))</f>
        <v/>
      </c>
      <c r="F352">
        <f>IF(E352="","",E352+A352)</f>
        <v/>
      </c>
      <c r="G352">
        <f>IF(E352="","",IF(AND(E352&lt;=EOMONTH(Calendar!$K$2,0),F352&gt;=Calendar!$K$2),E352+349/100000,""))</f>
        <v/>
      </c>
      <c r="H352">
        <f>H351+IF(AND($E352&lt;&gt;"",$E352&lt;=H$2,$F352&gt;=H$2),1,0)</f>
        <v/>
      </c>
      <c r="I352">
        <f>I351+IF(AND($E352&lt;&gt;"",$E352&lt;=I$2,$F352&gt;=I$2),1,0)</f>
        <v/>
      </c>
      <c r="J352">
        <f>J351+IF(AND($E352&lt;&gt;"",$E352&lt;=J$2,$F352&gt;=J$2),1,0)</f>
        <v/>
      </c>
      <c r="K352">
        <f>K351+IF(AND($E352&lt;&gt;"",$E352&lt;=K$2,$F352&gt;=K$2),1,0)</f>
        <v/>
      </c>
      <c r="L352">
        <f>L351+IF(AND($E352&lt;&gt;"",$E352&lt;=L$2,$F352&gt;=L$2),1,0)</f>
        <v/>
      </c>
      <c r="M352">
        <f>M351+IF(AND($E352&lt;&gt;"",$E352&lt;=M$2,$F352&gt;=M$2),1,0)</f>
        <v/>
      </c>
      <c r="N352">
        <f>N351+IF(AND($E352&lt;&gt;"",$E352&lt;=N$2,$F352&gt;=N$2),1,0)</f>
        <v/>
      </c>
      <c r="O352">
        <f>O351+IF(AND($E352&lt;&gt;"",$E352&lt;=O$2,$F352&gt;=O$2),1,0)</f>
        <v/>
      </c>
      <c r="P352">
        <f>P351+IF(AND($E352&lt;&gt;"",$E352&lt;=P$2,$F352&gt;=P$2),1,0)</f>
        <v/>
      </c>
      <c r="Q352">
        <f>Q351+IF(AND($E352&lt;&gt;"",$E352&lt;=Q$2,$F352&gt;=Q$2),1,0)</f>
        <v/>
      </c>
      <c r="R352">
        <f>R351+IF(AND($E352&lt;&gt;"",$E352&lt;=R$2,$F352&gt;=R$2),1,0)</f>
        <v/>
      </c>
      <c r="S352">
        <f>S351+IF(AND($E352&lt;&gt;"",$E352&lt;=S$2,$F352&gt;=S$2),1,0)</f>
        <v/>
      </c>
      <c r="T352">
        <f>T351+IF(AND($E352&lt;&gt;"",$E352&lt;=T$2,$F352&gt;=T$2),1,0)</f>
        <v/>
      </c>
      <c r="U352">
        <f>U351+IF(AND($E352&lt;&gt;"",$E352&lt;=U$2,$F352&gt;=U$2),1,0)</f>
        <v/>
      </c>
      <c r="V352">
        <f>V351+IF(AND($E352&lt;&gt;"",$E352&lt;=V$2,$F352&gt;=V$2),1,0)</f>
        <v/>
      </c>
      <c r="W352">
        <f>W351+IF(AND($E352&lt;&gt;"",$E352&lt;=W$2,$F352&gt;=W$2),1,0)</f>
        <v/>
      </c>
      <c r="X352">
        <f>X351+IF(AND($E352&lt;&gt;"",$E352&lt;=X$2,$F352&gt;=X$2),1,0)</f>
        <v/>
      </c>
      <c r="Y352">
        <f>Y351+IF(AND($E352&lt;&gt;"",$E352&lt;=Y$2,$F352&gt;=Y$2),1,0)</f>
        <v/>
      </c>
      <c r="Z352">
        <f>Z351+IF(AND($E352&lt;&gt;"",$E352&lt;=Z$2,$F352&gt;=Z$2),1,0)</f>
        <v/>
      </c>
      <c r="AA352">
        <f>AA351+IF(AND($E352&lt;&gt;"",$E352&lt;=AA$2,$F352&gt;=AA$2),1,0)</f>
        <v/>
      </c>
      <c r="AB352">
        <f>AB351+IF(AND($E352&lt;&gt;"",$E352&lt;=AB$2,$F352&gt;=AB$2),1,0)</f>
        <v/>
      </c>
      <c r="AC352">
        <f>AC351+IF(AND($E352&lt;&gt;"",$E352&lt;=AC$2,$F352&gt;=AC$2),1,0)</f>
        <v/>
      </c>
      <c r="AD352">
        <f>AD351+IF(AND($E352&lt;&gt;"",$E352&lt;=AD$2,$F352&gt;=AD$2),1,0)</f>
        <v/>
      </c>
      <c r="AE352">
        <f>AE351+IF(AND($E352&lt;&gt;"",$E352&lt;=AE$2,$F352&gt;=AE$2),1,0)</f>
        <v/>
      </c>
      <c r="AF352">
        <f>AF351+IF(AND($E352&lt;&gt;"",$E352&lt;=AF$2,$F352&gt;=AF$2),1,0)</f>
        <v/>
      </c>
      <c r="AG352">
        <f>AG351+IF(AND($E352&lt;&gt;"",$E352&lt;=AG$2,$F352&gt;=AG$2),1,0)</f>
        <v/>
      </c>
      <c r="AH352">
        <f>AH351+IF(AND($E352&lt;&gt;"",$E352&lt;=AH$2,$F352&gt;=AH$2),1,0)</f>
        <v/>
      </c>
      <c r="AI352">
        <f>AI351+IF(AND($E352&lt;&gt;"",$E352&lt;=AI$2,$F352&gt;=AI$2),1,0)</f>
        <v/>
      </c>
      <c r="AJ352">
        <f>AJ351+IF(AND($E352&lt;&gt;"",$E352&lt;=AJ$2,$F352&gt;=AJ$2),1,0)</f>
        <v/>
      </c>
      <c r="AK352">
        <f>AK351+IF(AND($E352&lt;&gt;"",$E352&lt;=AK$2,$F352&gt;=AK$2),1,0)</f>
        <v/>
      </c>
      <c r="AL352">
        <f>AL351+IF(AND($E352&lt;&gt;"",$E352&lt;=AL$2,$F352&gt;=AL$2),1,0)</f>
        <v/>
      </c>
      <c r="AM352">
        <f>AM351+IF(AND($E352&lt;&gt;"",$E352&lt;=AM$2,$F352&gt;=AM$2),1,0)</f>
        <v/>
      </c>
      <c r="AN352">
        <f>AN351+IF(AND($E352&lt;&gt;"",$E352&lt;=AN$2,$F352&gt;=AN$2),1,0)</f>
        <v/>
      </c>
      <c r="AO352">
        <f>AO351+IF(AND($E352&lt;&gt;"",$E352&lt;=AO$2,$F352&gt;=AO$2),1,0)</f>
        <v/>
      </c>
      <c r="AP352">
        <f>AP351+IF(AND($E352&lt;&gt;"",$E352&lt;=AP$2,$F352&gt;=AP$2),1,0)</f>
        <v/>
      </c>
      <c r="AQ352">
        <f>AQ351+IF(AND($E352&lt;&gt;"",$E352&lt;=AQ$2,$F352&gt;=AQ$2),1,0)</f>
        <v/>
      </c>
      <c r="AR352">
        <f>AR351+IF(AND($E352&lt;&gt;"",$E352&lt;=AR$2,$F352&gt;=AR$2),1,0)</f>
        <v/>
      </c>
      <c r="AS352">
        <f>AS351+IF(AND($E352&lt;&gt;"",$E352&lt;=AS$2,$F352&gt;=AS$2),1,0)</f>
        <v/>
      </c>
      <c r="AT352">
        <f>AT351+IF(AND($E352&lt;&gt;"",$E352&lt;=AT$2,$F352&gt;=AT$2),1,0)</f>
        <v/>
      </c>
      <c r="AU352">
        <f>AU351+IF(AND($E352&lt;&gt;"",$E352&lt;=AU$2,$F352&gt;=AU$2),1,0)</f>
        <v/>
      </c>
      <c r="AV352">
        <f>AV351+IF(AND($E352&lt;&gt;"",$E352&lt;=AV$2,$F352&gt;=AV$2),1,0)</f>
        <v/>
      </c>
      <c r="AW352">
        <f>AW351+IF(AND($E352&lt;&gt;"",$E352&lt;=AW$2,$F352&gt;=AW$2),1,0)</f>
        <v/>
      </c>
    </row>
    <row r="353">
      <c r="A353">
        <f>IF(AND(ISNUMBER(Events!$A355),ISNUMBER(Events!$B355)),MAX(0,Events!$B355-Events!$A355),0)</f>
        <v/>
      </c>
      <c r="B353">
        <f>IF(ISNUMBER(Events!$A355),DATE(YEAR($B$1)-1,MONTH(Events!$A355),DAY(Events!$A355)),"")</f>
        <v/>
      </c>
      <c r="C353">
        <f>IF(ISNUMBER(Events!$A355),DATE(YEAR($B$1),MONTH(Events!$A355),DAY(Events!$A355)),"")</f>
        <v/>
      </c>
      <c r="D353">
        <f>IF(ISNUMBER(Events!$A355),DATE(YEAR($B$2),MONTH(Events!$A355),DAY(Events!$A355)),"")</f>
        <v/>
      </c>
      <c r="E353">
        <f>IF(OR(NOT(ISNUMBER(Events!$A355)),Events!$G355="No",Calendar!$H$4="None"),"",IF(OR(Calendar!$H$4="All events",Events!$D355=Calendar!$H$4),IF(Events!$E355="Yes",IF(AND(B353&gt;=Events!$A355,B353&lt;=$B$2,B353+$A353&gt;=$B$1),B353,IF(AND(C353&gt;=Events!$A355,C353&lt;=$B$2,C353+$A353&gt;=$B$1),C353,IF(AND(D353&gt;=Events!$A355,D353&lt;=$B$2,D353+$A353&gt;=$B$1),D353,""))),IF(AND(Events!$A355&lt;=$B$2,Events!$A355+$A353&gt;=$B$1),Events!$A355,"")),""))</f>
        <v/>
      </c>
      <c r="F353">
        <f>IF(E353="","",E353+A353)</f>
        <v/>
      </c>
      <c r="G353">
        <f>IF(E353="","",IF(AND(E353&lt;=EOMONTH(Calendar!$K$2,0),F353&gt;=Calendar!$K$2),E353+350/100000,""))</f>
        <v/>
      </c>
      <c r="H353">
        <f>H352+IF(AND($E353&lt;&gt;"",$E353&lt;=H$2,$F353&gt;=H$2),1,0)</f>
        <v/>
      </c>
      <c r="I353">
        <f>I352+IF(AND($E353&lt;&gt;"",$E353&lt;=I$2,$F353&gt;=I$2),1,0)</f>
        <v/>
      </c>
      <c r="J353">
        <f>J352+IF(AND($E353&lt;&gt;"",$E353&lt;=J$2,$F353&gt;=J$2),1,0)</f>
        <v/>
      </c>
      <c r="K353">
        <f>K352+IF(AND($E353&lt;&gt;"",$E353&lt;=K$2,$F353&gt;=K$2),1,0)</f>
        <v/>
      </c>
      <c r="L353">
        <f>L352+IF(AND($E353&lt;&gt;"",$E353&lt;=L$2,$F353&gt;=L$2),1,0)</f>
        <v/>
      </c>
      <c r="M353">
        <f>M352+IF(AND($E353&lt;&gt;"",$E353&lt;=M$2,$F353&gt;=M$2),1,0)</f>
        <v/>
      </c>
      <c r="N353">
        <f>N352+IF(AND($E353&lt;&gt;"",$E353&lt;=N$2,$F353&gt;=N$2),1,0)</f>
        <v/>
      </c>
      <c r="O353">
        <f>O352+IF(AND($E353&lt;&gt;"",$E353&lt;=O$2,$F353&gt;=O$2),1,0)</f>
        <v/>
      </c>
      <c r="P353">
        <f>P352+IF(AND($E353&lt;&gt;"",$E353&lt;=P$2,$F353&gt;=P$2),1,0)</f>
        <v/>
      </c>
      <c r="Q353">
        <f>Q352+IF(AND($E353&lt;&gt;"",$E353&lt;=Q$2,$F353&gt;=Q$2),1,0)</f>
        <v/>
      </c>
      <c r="R353">
        <f>R352+IF(AND($E353&lt;&gt;"",$E353&lt;=R$2,$F353&gt;=R$2),1,0)</f>
        <v/>
      </c>
      <c r="S353">
        <f>S352+IF(AND($E353&lt;&gt;"",$E353&lt;=S$2,$F353&gt;=S$2),1,0)</f>
        <v/>
      </c>
      <c r="T353">
        <f>T352+IF(AND($E353&lt;&gt;"",$E353&lt;=T$2,$F353&gt;=T$2),1,0)</f>
        <v/>
      </c>
      <c r="U353">
        <f>U352+IF(AND($E353&lt;&gt;"",$E353&lt;=U$2,$F353&gt;=U$2),1,0)</f>
        <v/>
      </c>
      <c r="V353">
        <f>V352+IF(AND($E353&lt;&gt;"",$E353&lt;=V$2,$F353&gt;=V$2),1,0)</f>
        <v/>
      </c>
      <c r="W353">
        <f>W352+IF(AND($E353&lt;&gt;"",$E353&lt;=W$2,$F353&gt;=W$2),1,0)</f>
        <v/>
      </c>
      <c r="X353">
        <f>X352+IF(AND($E353&lt;&gt;"",$E353&lt;=X$2,$F353&gt;=X$2),1,0)</f>
        <v/>
      </c>
      <c r="Y353">
        <f>Y352+IF(AND($E353&lt;&gt;"",$E353&lt;=Y$2,$F353&gt;=Y$2),1,0)</f>
        <v/>
      </c>
      <c r="Z353">
        <f>Z352+IF(AND($E353&lt;&gt;"",$E353&lt;=Z$2,$F353&gt;=Z$2),1,0)</f>
        <v/>
      </c>
      <c r="AA353">
        <f>AA352+IF(AND($E353&lt;&gt;"",$E353&lt;=AA$2,$F353&gt;=AA$2),1,0)</f>
        <v/>
      </c>
      <c r="AB353">
        <f>AB352+IF(AND($E353&lt;&gt;"",$E353&lt;=AB$2,$F353&gt;=AB$2),1,0)</f>
        <v/>
      </c>
      <c r="AC353">
        <f>AC352+IF(AND($E353&lt;&gt;"",$E353&lt;=AC$2,$F353&gt;=AC$2),1,0)</f>
        <v/>
      </c>
      <c r="AD353">
        <f>AD352+IF(AND($E353&lt;&gt;"",$E353&lt;=AD$2,$F353&gt;=AD$2),1,0)</f>
        <v/>
      </c>
      <c r="AE353">
        <f>AE352+IF(AND($E353&lt;&gt;"",$E353&lt;=AE$2,$F353&gt;=AE$2),1,0)</f>
        <v/>
      </c>
      <c r="AF353">
        <f>AF352+IF(AND($E353&lt;&gt;"",$E353&lt;=AF$2,$F353&gt;=AF$2),1,0)</f>
        <v/>
      </c>
      <c r="AG353">
        <f>AG352+IF(AND($E353&lt;&gt;"",$E353&lt;=AG$2,$F353&gt;=AG$2),1,0)</f>
        <v/>
      </c>
      <c r="AH353">
        <f>AH352+IF(AND($E353&lt;&gt;"",$E353&lt;=AH$2,$F353&gt;=AH$2),1,0)</f>
        <v/>
      </c>
      <c r="AI353">
        <f>AI352+IF(AND($E353&lt;&gt;"",$E353&lt;=AI$2,$F353&gt;=AI$2),1,0)</f>
        <v/>
      </c>
      <c r="AJ353">
        <f>AJ352+IF(AND($E353&lt;&gt;"",$E353&lt;=AJ$2,$F353&gt;=AJ$2),1,0)</f>
        <v/>
      </c>
      <c r="AK353">
        <f>AK352+IF(AND($E353&lt;&gt;"",$E353&lt;=AK$2,$F353&gt;=AK$2),1,0)</f>
        <v/>
      </c>
      <c r="AL353">
        <f>AL352+IF(AND($E353&lt;&gt;"",$E353&lt;=AL$2,$F353&gt;=AL$2),1,0)</f>
        <v/>
      </c>
      <c r="AM353">
        <f>AM352+IF(AND($E353&lt;&gt;"",$E353&lt;=AM$2,$F353&gt;=AM$2),1,0)</f>
        <v/>
      </c>
      <c r="AN353">
        <f>AN352+IF(AND($E353&lt;&gt;"",$E353&lt;=AN$2,$F353&gt;=AN$2),1,0)</f>
        <v/>
      </c>
      <c r="AO353">
        <f>AO352+IF(AND($E353&lt;&gt;"",$E353&lt;=AO$2,$F353&gt;=AO$2),1,0)</f>
        <v/>
      </c>
      <c r="AP353">
        <f>AP352+IF(AND($E353&lt;&gt;"",$E353&lt;=AP$2,$F353&gt;=AP$2),1,0)</f>
        <v/>
      </c>
      <c r="AQ353">
        <f>AQ352+IF(AND($E353&lt;&gt;"",$E353&lt;=AQ$2,$F353&gt;=AQ$2),1,0)</f>
        <v/>
      </c>
      <c r="AR353">
        <f>AR352+IF(AND($E353&lt;&gt;"",$E353&lt;=AR$2,$F353&gt;=AR$2),1,0)</f>
        <v/>
      </c>
      <c r="AS353">
        <f>AS352+IF(AND($E353&lt;&gt;"",$E353&lt;=AS$2,$F353&gt;=AS$2),1,0)</f>
        <v/>
      </c>
      <c r="AT353">
        <f>AT352+IF(AND($E353&lt;&gt;"",$E353&lt;=AT$2,$F353&gt;=AT$2),1,0)</f>
        <v/>
      </c>
      <c r="AU353">
        <f>AU352+IF(AND($E353&lt;&gt;"",$E353&lt;=AU$2,$F353&gt;=AU$2),1,0)</f>
        <v/>
      </c>
      <c r="AV353">
        <f>AV352+IF(AND($E353&lt;&gt;"",$E353&lt;=AV$2,$F353&gt;=AV$2),1,0)</f>
        <v/>
      </c>
      <c r="AW353">
        <f>AW352+IF(AND($E353&lt;&gt;"",$E353&lt;=AW$2,$F353&gt;=AW$2),1,0)</f>
        <v/>
      </c>
    </row>
    <row r="354">
      <c r="A354">
        <f>IF(AND(ISNUMBER(Events!$A356),ISNUMBER(Events!$B356)),MAX(0,Events!$B356-Events!$A356),0)</f>
        <v/>
      </c>
      <c r="B354">
        <f>IF(ISNUMBER(Events!$A356),DATE(YEAR($B$1)-1,MONTH(Events!$A356),DAY(Events!$A356)),"")</f>
        <v/>
      </c>
      <c r="C354">
        <f>IF(ISNUMBER(Events!$A356),DATE(YEAR($B$1),MONTH(Events!$A356),DAY(Events!$A356)),"")</f>
        <v/>
      </c>
      <c r="D354">
        <f>IF(ISNUMBER(Events!$A356),DATE(YEAR($B$2),MONTH(Events!$A356),DAY(Events!$A356)),"")</f>
        <v/>
      </c>
      <c r="E354">
        <f>IF(OR(NOT(ISNUMBER(Events!$A356)),Events!$G356="No",Calendar!$H$4="None"),"",IF(OR(Calendar!$H$4="All events",Events!$D356=Calendar!$H$4),IF(Events!$E356="Yes",IF(AND(B354&gt;=Events!$A356,B354&lt;=$B$2,B354+$A354&gt;=$B$1),B354,IF(AND(C354&gt;=Events!$A356,C354&lt;=$B$2,C354+$A354&gt;=$B$1),C354,IF(AND(D354&gt;=Events!$A356,D354&lt;=$B$2,D354+$A354&gt;=$B$1),D354,""))),IF(AND(Events!$A356&lt;=$B$2,Events!$A356+$A354&gt;=$B$1),Events!$A356,"")),""))</f>
        <v/>
      </c>
      <c r="F354">
        <f>IF(E354="","",E354+A354)</f>
        <v/>
      </c>
      <c r="G354">
        <f>IF(E354="","",IF(AND(E354&lt;=EOMONTH(Calendar!$K$2,0),F354&gt;=Calendar!$K$2),E354+351/100000,""))</f>
        <v/>
      </c>
      <c r="H354">
        <f>H353+IF(AND($E354&lt;&gt;"",$E354&lt;=H$2,$F354&gt;=H$2),1,0)</f>
        <v/>
      </c>
      <c r="I354">
        <f>I353+IF(AND($E354&lt;&gt;"",$E354&lt;=I$2,$F354&gt;=I$2),1,0)</f>
        <v/>
      </c>
      <c r="J354">
        <f>J353+IF(AND($E354&lt;&gt;"",$E354&lt;=J$2,$F354&gt;=J$2),1,0)</f>
        <v/>
      </c>
      <c r="K354">
        <f>K353+IF(AND($E354&lt;&gt;"",$E354&lt;=K$2,$F354&gt;=K$2),1,0)</f>
        <v/>
      </c>
      <c r="L354">
        <f>L353+IF(AND($E354&lt;&gt;"",$E354&lt;=L$2,$F354&gt;=L$2),1,0)</f>
        <v/>
      </c>
      <c r="M354">
        <f>M353+IF(AND($E354&lt;&gt;"",$E354&lt;=M$2,$F354&gt;=M$2),1,0)</f>
        <v/>
      </c>
      <c r="N354">
        <f>N353+IF(AND($E354&lt;&gt;"",$E354&lt;=N$2,$F354&gt;=N$2),1,0)</f>
        <v/>
      </c>
      <c r="O354">
        <f>O353+IF(AND($E354&lt;&gt;"",$E354&lt;=O$2,$F354&gt;=O$2),1,0)</f>
        <v/>
      </c>
      <c r="P354">
        <f>P353+IF(AND($E354&lt;&gt;"",$E354&lt;=P$2,$F354&gt;=P$2),1,0)</f>
        <v/>
      </c>
      <c r="Q354">
        <f>Q353+IF(AND($E354&lt;&gt;"",$E354&lt;=Q$2,$F354&gt;=Q$2),1,0)</f>
        <v/>
      </c>
      <c r="R354">
        <f>R353+IF(AND($E354&lt;&gt;"",$E354&lt;=R$2,$F354&gt;=R$2),1,0)</f>
        <v/>
      </c>
      <c r="S354">
        <f>S353+IF(AND($E354&lt;&gt;"",$E354&lt;=S$2,$F354&gt;=S$2),1,0)</f>
        <v/>
      </c>
      <c r="T354">
        <f>T353+IF(AND($E354&lt;&gt;"",$E354&lt;=T$2,$F354&gt;=T$2),1,0)</f>
        <v/>
      </c>
      <c r="U354">
        <f>U353+IF(AND($E354&lt;&gt;"",$E354&lt;=U$2,$F354&gt;=U$2),1,0)</f>
        <v/>
      </c>
      <c r="V354">
        <f>V353+IF(AND($E354&lt;&gt;"",$E354&lt;=V$2,$F354&gt;=V$2),1,0)</f>
        <v/>
      </c>
      <c r="W354">
        <f>W353+IF(AND($E354&lt;&gt;"",$E354&lt;=W$2,$F354&gt;=W$2),1,0)</f>
        <v/>
      </c>
      <c r="X354">
        <f>X353+IF(AND($E354&lt;&gt;"",$E354&lt;=X$2,$F354&gt;=X$2),1,0)</f>
        <v/>
      </c>
      <c r="Y354">
        <f>Y353+IF(AND($E354&lt;&gt;"",$E354&lt;=Y$2,$F354&gt;=Y$2),1,0)</f>
        <v/>
      </c>
      <c r="Z354">
        <f>Z353+IF(AND($E354&lt;&gt;"",$E354&lt;=Z$2,$F354&gt;=Z$2),1,0)</f>
        <v/>
      </c>
      <c r="AA354">
        <f>AA353+IF(AND($E354&lt;&gt;"",$E354&lt;=AA$2,$F354&gt;=AA$2),1,0)</f>
        <v/>
      </c>
      <c r="AB354">
        <f>AB353+IF(AND($E354&lt;&gt;"",$E354&lt;=AB$2,$F354&gt;=AB$2),1,0)</f>
        <v/>
      </c>
      <c r="AC354">
        <f>AC353+IF(AND($E354&lt;&gt;"",$E354&lt;=AC$2,$F354&gt;=AC$2),1,0)</f>
        <v/>
      </c>
      <c r="AD354">
        <f>AD353+IF(AND($E354&lt;&gt;"",$E354&lt;=AD$2,$F354&gt;=AD$2),1,0)</f>
        <v/>
      </c>
      <c r="AE354">
        <f>AE353+IF(AND($E354&lt;&gt;"",$E354&lt;=AE$2,$F354&gt;=AE$2),1,0)</f>
        <v/>
      </c>
      <c r="AF354">
        <f>AF353+IF(AND($E354&lt;&gt;"",$E354&lt;=AF$2,$F354&gt;=AF$2),1,0)</f>
        <v/>
      </c>
      <c r="AG354">
        <f>AG353+IF(AND($E354&lt;&gt;"",$E354&lt;=AG$2,$F354&gt;=AG$2),1,0)</f>
        <v/>
      </c>
      <c r="AH354">
        <f>AH353+IF(AND($E354&lt;&gt;"",$E354&lt;=AH$2,$F354&gt;=AH$2),1,0)</f>
        <v/>
      </c>
      <c r="AI354">
        <f>AI353+IF(AND($E354&lt;&gt;"",$E354&lt;=AI$2,$F354&gt;=AI$2),1,0)</f>
        <v/>
      </c>
      <c r="AJ354">
        <f>AJ353+IF(AND($E354&lt;&gt;"",$E354&lt;=AJ$2,$F354&gt;=AJ$2),1,0)</f>
        <v/>
      </c>
      <c r="AK354">
        <f>AK353+IF(AND($E354&lt;&gt;"",$E354&lt;=AK$2,$F354&gt;=AK$2),1,0)</f>
        <v/>
      </c>
      <c r="AL354">
        <f>AL353+IF(AND($E354&lt;&gt;"",$E354&lt;=AL$2,$F354&gt;=AL$2),1,0)</f>
        <v/>
      </c>
      <c r="AM354">
        <f>AM353+IF(AND($E354&lt;&gt;"",$E354&lt;=AM$2,$F354&gt;=AM$2),1,0)</f>
        <v/>
      </c>
      <c r="AN354">
        <f>AN353+IF(AND($E354&lt;&gt;"",$E354&lt;=AN$2,$F354&gt;=AN$2),1,0)</f>
        <v/>
      </c>
      <c r="AO354">
        <f>AO353+IF(AND($E354&lt;&gt;"",$E354&lt;=AO$2,$F354&gt;=AO$2),1,0)</f>
        <v/>
      </c>
      <c r="AP354">
        <f>AP353+IF(AND($E354&lt;&gt;"",$E354&lt;=AP$2,$F354&gt;=AP$2),1,0)</f>
        <v/>
      </c>
      <c r="AQ354">
        <f>AQ353+IF(AND($E354&lt;&gt;"",$E354&lt;=AQ$2,$F354&gt;=AQ$2),1,0)</f>
        <v/>
      </c>
      <c r="AR354">
        <f>AR353+IF(AND($E354&lt;&gt;"",$E354&lt;=AR$2,$F354&gt;=AR$2),1,0)</f>
        <v/>
      </c>
      <c r="AS354">
        <f>AS353+IF(AND($E354&lt;&gt;"",$E354&lt;=AS$2,$F354&gt;=AS$2),1,0)</f>
        <v/>
      </c>
      <c r="AT354">
        <f>AT353+IF(AND($E354&lt;&gt;"",$E354&lt;=AT$2,$F354&gt;=AT$2),1,0)</f>
        <v/>
      </c>
      <c r="AU354">
        <f>AU353+IF(AND($E354&lt;&gt;"",$E354&lt;=AU$2,$F354&gt;=AU$2),1,0)</f>
        <v/>
      </c>
      <c r="AV354">
        <f>AV353+IF(AND($E354&lt;&gt;"",$E354&lt;=AV$2,$F354&gt;=AV$2),1,0)</f>
        <v/>
      </c>
      <c r="AW354">
        <f>AW353+IF(AND($E354&lt;&gt;"",$E354&lt;=AW$2,$F354&gt;=AW$2),1,0)</f>
        <v/>
      </c>
    </row>
    <row r="355">
      <c r="A355">
        <f>IF(AND(ISNUMBER(Events!$A357),ISNUMBER(Events!$B357)),MAX(0,Events!$B357-Events!$A357),0)</f>
        <v/>
      </c>
      <c r="B355">
        <f>IF(ISNUMBER(Events!$A357),DATE(YEAR($B$1)-1,MONTH(Events!$A357),DAY(Events!$A357)),"")</f>
        <v/>
      </c>
      <c r="C355">
        <f>IF(ISNUMBER(Events!$A357),DATE(YEAR($B$1),MONTH(Events!$A357),DAY(Events!$A357)),"")</f>
        <v/>
      </c>
      <c r="D355">
        <f>IF(ISNUMBER(Events!$A357),DATE(YEAR($B$2),MONTH(Events!$A357),DAY(Events!$A357)),"")</f>
        <v/>
      </c>
      <c r="E355">
        <f>IF(OR(NOT(ISNUMBER(Events!$A357)),Events!$G357="No",Calendar!$H$4="None"),"",IF(OR(Calendar!$H$4="All events",Events!$D357=Calendar!$H$4),IF(Events!$E357="Yes",IF(AND(B355&gt;=Events!$A357,B355&lt;=$B$2,B355+$A355&gt;=$B$1),B355,IF(AND(C355&gt;=Events!$A357,C355&lt;=$B$2,C355+$A355&gt;=$B$1),C355,IF(AND(D355&gt;=Events!$A357,D355&lt;=$B$2,D355+$A355&gt;=$B$1),D355,""))),IF(AND(Events!$A357&lt;=$B$2,Events!$A357+$A355&gt;=$B$1),Events!$A357,"")),""))</f>
        <v/>
      </c>
      <c r="F355">
        <f>IF(E355="","",E355+A355)</f>
        <v/>
      </c>
      <c r="G355">
        <f>IF(E355="","",IF(AND(E355&lt;=EOMONTH(Calendar!$K$2,0),F355&gt;=Calendar!$K$2),E355+352/100000,""))</f>
        <v/>
      </c>
      <c r="H355">
        <f>H354+IF(AND($E355&lt;&gt;"",$E355&lt;=H$2,$F355&gt;=H$2),1,0)</f>
        <v/>
      </c>
      <c r="I355">
        <f>I354+IF(AND($E355&lt;&gt;"",$E355&lt;=I$2,$F355&gt;=I$2),1,0)</f>
        <v/>
      </c>
      <c r="J355">
        <f>J354+IF(AND($E355&lt;&gt;"",$E355&lt;=J$2,$F355&gt;=J$2),1,0)</f>
        <v/>
      </c>
      <c r="K355">
        <f>K354+IF(AND($E355&lt;&gt;"",$E355&lt;=K$2,$F355&gt;=K$2),1,0)</f>
        <v/>
      </c>
      <c r="L355">
        <f>L354+IF(AND($E355&lt;&gt;"",$E355&lt;=L$2,$F355&gt;=L$2),1,0)</f>
        <v/>
      </c>
      <c r="M355">
        <f>M354+IF(AND($E355&lt;&gt;"",$E355&lt;=M$2,$F355&gt;=M$2),1,0)</f>
        <v/>
      </c>
      <c r="N355">
        <f>N354+IF(AND($E355&lt;&gt;"",$E355&lt;=N$2,$F355&gt;=N$2),1,0)</f>
        <v/>
      </c>
      <c r="O355">
        <f>O354+IF(AND($E355&lt;&gt;"",$E355&lt;=O$2,$F355&gt;=O$2),1,0)</f>
        <v/>
      </c>
      <c r="P355">
        <f>P354+IF(AND($E355&lt;&gt;"",$E355&lt;=P$2,$F355&gt;=P$2),1,0)</f>
        <v/>
      </c>
      <c r="Q355">
        <f>Q354+IF(AND($E355&lt;&gt;"",$E355&lt;=Q$2,$F355&gt;=Q$2),1,0)</f>
        <v/>
      </c>
      <c r="R355">
        <f>R354+IF(AND($E355&lt;&gt;"",$E355&lt;=R$2,$F355&gt;=R$2),1,0)</f>
        <v/>
      </c>
      <c r="S355">
        <f>S354+IF(AND($E355&lt;&gt;"",$E355&lt;=S$2,$F355&gt;=S$2),1,0)</f>
        <v/>
      </c>
      <c r="T355">
        <f>T354+IF(AND($E355&lt;&gt;"",$E355&lt;=T$2,$F355&gt;=T$2),1,0)</f>
        <v/>
      </c>
      <c r="U355">
        <f>U354+IF(AND($E355&lt;&gt;"",$E355&lt;=U$2,$F355&gt;=U$2),1,0)</f>
        <v/>
      </c>
      <c r="V355">
        <f>V354+IF(AND($E355&lt;&gt;"",$E355&lt;=V$2,$F355&gt;=V$2),1,0)</f>
        <v/>
      </c>
      <c r="W355">
        <f>W354+IF(AND($E355&lt;&gt;"",$E355&lt;=W$2,$F355&gt;=W$2),1,0)</f>
        <v/>
      </c>
      <c r="X355">
        <f>X354+IF(AND($E355&lt;&gt;"",$E355&lt;=X$2,$F355&gt;=X$2),1,0)</f>
        <v/>
      </c>
      <c r="Y355">
        <f>Y354+IF(AND($E355&lt;&gt;"",$E355&lt;=Y$2,$F355&gt;=Y$2),1,0)</f>
        <v/>
      </c>
      <c r="Z355">
        <f>Z354+IF(AND($E355&lt;&gt;"",$E355&lt;=Z$2,$F355&gt;=Z$2),1,0)</f>
        <v/>
      </c>
      <c r="AA355">
        <f>AA354+IF(AND($E355&lt;&gt;"",$E355&lt;=AA$2,$F355&gt;=AA$2),1,0)</f>
        <v/>
      </c>
      <c r="AB355">
        <f>AB354+IF(AND($E355&lt;&gt;"",$E355&lt;=AB$2,$F355&gt;=AB$2),1,0)</f>
        <v/>
      </c>
      <c r="AC355">
        <f>AC354+IF(AND($E355&lt;&gt;"",$E355&lt;=AC$2,$F355&gt;=AC$2),1,0)</f>
        <v/>
      </c>
      <c r="AD355">
        <f>AD354+IF(AND($E355&lt;&gt;"",$E355&lt;=AD$2,$F355&gt;=AD$2),1,0)</f>
        <v/>
      </c>
      <c r="AE355">
        <f>AE354+IF(AND($E355&lt;&gt;"",$E355&lt;=AE$2,$F355&gt;=AE$2),1,0)</f>
        <v/>
      </c>
      <c r="AF355">
        <f>AF354+IF(AND($E355&lt;&gt;"",$E355&lt;=AF$2,$F355&gt;=AF$2),1,0)</f>
        <v/>
      </c>
      <c r="AG355">
        <f>AG354+IF(AND($E355&lt;&gt;"",$E355&lt;=AG$2,$F355&gt;=AG$2),1,0)</f>
        <v/>
      </c>
      <c r="AH355">
        <f>AH354+IF(AND($E355&lt;&gt;"",$E355&lt;=AH$2,$F355&gt;=AH$2),1,0)</f>
        <v/>
      </c>
      <c r="AI355">
        <f>AI354+IF(AND($E355&lt;&gt;"",$E355&lt;=AI$2,$F355&gt;=AI$2),1,0)</f>
        <v/>
      </c>
      <c r="AJ355">
        <f>AJ354+IF(AND($E355&lt;&gt;"",$E355&lt;=AJ$2,$F355&gt;=AJ$2),1,0)</f>
        <v/>
      </c>
      <c r="AK355">
        <f>AK354+IF(AND($E355&lt;&gt;"",$E355&lt;=AK$2,$F355&gt;=AK$2),1,0)</f>
        <v/>
      </c>
      <c r="AL355">
        <f>AL354+IF(AND($E355&lt;&gt;"",$E355&lt;=AL$2,$F355&gt;=AL$2),1,0)</f>
        <v/>
      </c>
      <c r="AM355">
        <f>AM354+IF(AND($E355&lt;&gt;"",$E355&lt;=AM$2,$F355&gt;=AM$2),1,0)</f>
        <v/>
      </c>
      <c r="AN355">
        <f>AN354+IF(AND($E355&lt;&gt;"",$E355&lt;=AN$2,$F355&gt;=AN$2),1,0)</f>
        <v/>
      </c>
      <c r="AO355">
        <f>AO354+IF(AND($E355&lt;&gt;"",$E355&lt;=AO$2,$F355&gt;=AO$2),1,0)</f>
        <v/>
      </c>
      <c r="AP355">
        <f>AP354+IF(AND($E355&lt;&gt;"",$E355&lt;=AP$2,$F355&gt;=AP$2),1,0)</f>
        <v/>
      </c>
      <c r="AQ355">
        <f>AQ354+IF(AND($E355&lt;&gt;"",$E355&lt;=AQ$2,$F355&gt;=AQ$2),1,0)</f>
        <v/>
      </c>
      <c r="AR355">
        <f>AR354+IF(AND($E355&lt;&gt;"",$E355&lt;=AR$2,$F355&gt;=AR$2),1,0)</f>
        <v/>
      </c>
      <c r="AS355">
        <f>AS354+IF(AND($E355&lt;&gt;"",$E355&lt;=AS$2,$F355&gt;=AS$2),1,0)</f>
        <v/>
      </c>
      <c r="AT355">
        <f>AT354+IF(AND($E355&lt;&gt;"",$E355&lt;=AT$2,$F355&gt;=AT$2),1,0)</f>
        <v/>
      </c>
      <c r="AU355">
        <f>AU354+IF(AND($E355&lt;&gt;"",$E355&lt;=AU$2,$F355&gt;=AU$2),1,0)</f>
        <v/>
      </c>
      <c r="AV355">
        <f>AV354+IF(AND($E355&lt;&gt;"",$E355&lt;=AV$2,$F355&gt;=AV$2),1,0)</f>
        <v/>
      </c>
      <c r="AW355">
        <f>AW354+IF(AND($E355&lt;&gt;"",$E355&lt;=AW$2,$F355&gt;=AW$2),1,0)</f>
        <v/>
      </c>
    </row>
    <row r="356">
      <c r="A356">
        <f>IF(AND(ISNUMBER(Events!$A358),ISNUMBER(Events!$B358)),MAX(0,Events!$B358-Events!$A358),0)</f>
        <v/>
      </c>
      <c r="B356">
        <f>IF(ISNUMBER(Events!$A358),DATE(YEAR($B$1)-1,MONTH(Events!$A358),DAY(Events!$A358)),"")</f>
        <v/>
      </c>
      <c r="C356">
        <f>IF(ISNUMBER(Events!$A358),DATE(YEAR($B$1),MONTH(Events!$A358),DAY(Events!$A358)),"")</f>
        <v/>
      </c>
      <c r="D356">
        <f>IF(ISNUMBER(Events!$A358),DATE(YEAR($B$2),MONTH(Events!$A358),DAY(Events!$A358)),"")</f>
        <v/>
      </c>
      <c r="E356">
        <f>IF(OR(NOT(ISNUMBER(Events!$A358)),Events!$G358="No",Calendar!$H$4="None"),"",IF(OR(Calendar!$H$4="All events",Events!$D358=Calendar!$H$4),IF(Events!$E358="Yes",IF(AND(B356&gt;=Events!$A358,B356&lt;=$B$2,B356+$A356&gt;=$B$1),B356,IF(AND(C356&gt;=Events!$A358,C356&lt;=$B$2,C356+$A356&gt;=$B$1),C356,IF(AND(D356&gt;=Events!$A358,D356&lt;=$B$2,D356+$A356&gt;=$B$1),D356,""))),IF(AND(Events!$A358&lt;=$B$2,Events!$A358+$A356&gt;=$B$1),Events!$A358,"")),""))</f>
        <v/>
      </c>
      <c r="F356">
        <f>IF(E356="","",E356+A356)</f>
        <v/>
      </c>
      <c r="G356">
        <f>IF(E356="","",IF(AND(E356&lt;=EOMONTH(Calendar!$K$2,0),F356&gt;=Calendar!$K$2),E356+353/100000,""))</f>
        <v/>
      </c>
      <c r="H356">
        <f>H355+IF(AND($E356&lt;&gt;"",$E356&lt;=H$2,$F356&gt;=H$2),1,0)</f>
        <v/>
      </c>
      <c r="I356">
        <f>I355+IF(AND($E356&lt;&gt;"",$E356&lt;=I$2,$F356&gt;=I$2),1,0)</f>
        <v/>
      </c>
      <c r="J356">
        <f>J355+IF(AND($E356&lt;&gt;"",$E356&lt;=J$2,$F356&gt;=J$2),1,0)</f>
        <v/>
      </c>
      <c r="K356">
        <f>K355+IF(AND($E356&lt;&gt;"",$E356&lt;=K$2,$F356&gt;=K$2),1,0)</f>
        <v/>
      </c>
      <c r="L356">
        <f>L355+IF(AND($E356&lt;&gt;"",$E356&lt;=L$2,$F356&gt;=L$2),1,0)</f>
        <v/>
      </c>
      <c r="M356">
        <f>M355+IF(AND($E356&lt;&gt;"",$E356&lt;=M$2,$F356&gt;=M$2),1,0)</f>
        <v/>
      </c>
      <c r="N356">
        <f>N355+IF(AND($E356&lt;&gt;"",$E356&lt;=N$2,$F356&gt;=N$2),1,0)</f>
        <v/>
      </c>
      <c r="O356">
        <f>O355+IF(AND($E356&lt;&gt;"",$E356&lt;=O$2,$F356&gt;=O$2),1,0)</f>
        <v/>
      </c>
      <c r="P356">
        <f>P355+IF(AND($E356&lt;&gt;"",$E356&lt;=P$2,$F356&gt;=P$2),1,0)</f>
        <v/>
      </c>
      <c r="Q356">
        <f>Q355+IF(AND($E356&lt;&gt;"",$E356&lt;=Q$2,$F356&gt;=Q$2),1,0)</f>
        <v/>
      </c>
      <c r="R356">
        <f>R355+IF(AND($E356&lt;&gt;"",$E356&lt;=R$2,$F356&gt;=R$2),1,0)</f>
        <v/>
      </c>
      <c r="S356">
        <f>S355+IF(AND($E356&lt;&gt;"",$E356&lt;=S$2,$F356&gt;=S$2),1,0)</f>
        <v/>
      </c>
      <c r="T356">
        <f>T355+IF(AND($E356&lt;&gt;"",$E356&lt;=T$2,$F356&gt;=T$2),1,0)</f>
        <v/>
      </c>
      <c r="U356">
        <f>U355+IF(AND($E356&lt;&gt;"",$E356&lt;=U$2,$F356&gt;=U$2),1,0)</f>
        <v/>
      </c>
      <c r="V356">
        <f>V355+IF(AND($E356&lt;&gt;"",$E356&lt;=V$2,$F356&gt;=V$2),1,0)</f>
        <v/>
      </c>
      <c r="W356">
        <f>W355+IF(AND($E356&lt;&gt;"",$E356&lt;=W$2,$F356&gt;=W$2),1,0)</f>
        <v/>
      </c>
      <c r="X356">
        <f>X355+IF(AND($E356&lt;&gt;"",$E356&lt;=X$2,$F356&gt;=X$2),1,0)</f>
        <v/>
      </c>
      <c r="Y356">
        <f>Y355+IF(AND($E356&lt;&gt;"",$E356&lt;=Y$2,$F356&gt;=Y$2),1,0)</f>
        <v/>
      </c>
      <c r="Z356">
        <f>Z355+IF(AND($E356&lt;&gt;"",$E356&lt;=Z$2,$F356&gt;=Z$2),1,0)</f>
        <v/>
      </c>
      <c r="AA356">
        <f>AA355+IF(AND($E356&lt;&gt;"",$E356&lt;=AA$2,$F356&gt;=AA$2),1,0)</f>
        <v/>
      </c>
      <c r="AB356">
        <f>AB355+IF(AND($E356&lt;&gt;"",$E356&lt;=AB$2,$F356&gt;=AB$2),1,0)</f>
        <v/>
      </c>
      <c r="AC356">
        <f>AC355+IF(AND($E356&lt;&gt;"",$E356&lt;=AC$2,$F356&gt;=AC$2),1,0)</f>
        <v/>
      </c>
      <c r="AD356">
        <f>AD355+IF(AND($E356&lt;&gt;"",$E356&lt;=AD$2,$F356&gt;=AD$2),1,0)</f>
        <v/>
      </c>
      <c r="AE356">
        <f>AE355+IF(AND($E356&lt;&gt;"",$E356&lt;=AE$2,$F356&gt;=AE$2),1,0)</f>
        <v/>
      </c>
      <c r="AF356">
        <f>AF355+IF(AND($E356&lt;&gt;"",$E356&lt;=AF$2,$F356&gt;=AF$2),1,0)</f>
        <v/>
      </c>
      <c r="AG356">
        <f>AG355+IF(AND($E356&lt;&gt;"",$E356&lt;=AG$2,$F356&gt;=AG$2),1,0)</f>
        <v/>
      </c>
      <c r="AH356">
        <f>AH355+IF(AND($E356&lt;&gt;"",$E356&lt;=AH$2,$F356&gt;=AH$2),1,0)</f>
        <v/>
      </c>
      <c r="AI356">
        <f>AI355+IF(AND($E356&lt;&gt;"",$E356&lt;=AI$2,$F356&gt;=AI$2),1,0)</f>
        <v/>
      </c>
      <c r="AJ356">
        <f>AJ355+IF(AND($E356&lt;&gt;"",$E356&lt;=AJ$2,$F356&gt;=AJ$2),1,0)</f>
        <v/>
      </c>
      <c r="AK356">
        <f>AK355+IF(AND($E356&lt;&gt;"",$E356&lt;=AK$2,$F356&gt;=AK$2),1,0)</f>
        <v/>
      </c>
      <c r="AL356">
        <f>AL355+IF(AND($E356&lt;&gt;"",$E356&lt;=AL$2,$F356&gt;=AL$2),1,0)</f>
        <v/>
      </c>
      <c r="AM356">
        <f>AM355+IF(AND($E356&lt;&gt;"",$E356&lt;=AM$2,$F356&gt;=AM$2),1,0)</f>
        <v/>
      </c>
      <c r="AN356">
        <f>AN355+IF(AND($E356&lt;&gt;"",$E356&lt;=AN$2,$F356&gt;=AN$2),1,0)</f>
        <v/>
      </c>
      <c r="AO356">
        <f>AO355+IF(AND($E356&lt;&gt;"",$E356&lt;=AO$2,$F356&gt;=AO$2),1,0)</f>
        <v/>
      </c>
      <c r="AP356">
        <f>AP355+IF(AND($E356&lt;&gt;"",$E356&lt;=AP$2,$F356&gt;=AP$2),1,0)</f>
        <v/>
      </c>
      <c r="AQ356">
        <f>AQ355+IF(AND($E356&lt;&gt;"",$E356&lt;=AQ$2,$F356&gt;=AQ$2),1,0)</f>
        <v/>
      </c>
      <c r="AR356">
        <f>AR355+IF(AND($E356&lt;&gt;"",$E356&lt;=AR$2,$F356&gt;=AR$2),1,0)</f>
        <v/>
      </c>
      <c r="AS356">
        <f>AS355+IF(AND($E356&lt;&gt;"",$E356&lt;=AS$2,$F356&gt;=AS$2),1,0)</f>
        <v/>
      </c>
      <c r="AT356">
        <f>AT355+IF(AND($E356&lt;&gt;"",$E356&lt;=AT$2,$F356&gt;=AT$2),1,0)</f>
        <v/>
      </c>
      <c r="AU356">
        <f>AU355+IF(AND($E356&lt;&gt;"",$E356&lt;=AU$2,$F356&gt;=AU$2),1,0)</f>
        <v/>
      </c>
      <c r="AV356">
        <f>AV355+IF(AND($E356&lt;&gt;"",$E356&lt;=AV$2,$F356&gt;=AV$2),1,0)</f>
        <v/>
      </c>
      <c r="AW356">
        <f>AW355+IF(AND($E356&lt;&gt;"",$E356&lt;=AW$2,$F356&gt;=AW$2),1,0)</f>
        <v/>
      </c>
    </row>
    <row r="357">
      <c r="A357">
        <f>IF(AND(ISNUMBER(Events!$A359),ISNUMBER(Events!$B359)),MAX(0,Events!$B359-Events!$A359),0)</f>
        <v/>
      </c>
      <c r="B357">
        <f>IF(ISNUMBER(Events!$A359),DATE(YEAR($B$1)-1,MONTH(Events!$A359),DAY(Events!$A359)),"")</f>
        <v/>
      </c>
      <c r="C357">
        <f>IF(ISNUMBER(Events!$A359),DATE(YEAR($B$1),MONTH(Events!$A359),DAY(Events!$A359)),"")</f>
        <v/>
      </c>
      <c r="D357">
        <f>IF(ISNUMBER(Events!$A359),DATE(YEAR($B$2),MONTH(Events!$A359),DAY(Events!$A359)),"")</f>
        <v/>
      </c>
      <c r="E357">
        <f>IF(OR(NOT(ISNUMBER(Events!$A359)),Events!$G359="No",Calendar!$H$4="None"),"",IF(OR(Calendar!$H$4="All events",Events!$D359=Calendar!$H$4),IF(Events!$E359="Yes",IF(AND(B357&gt;=Events!$A359,B357&lt;=$B$2,B357+$A357&gt;=$B$1),B357,IF(AND(C357&gt;=Events!$A359,C357&lt;=$B$2,C357+$A357&gt;=$B$1),C357,IF(AND(D357&gt;=Events!$A359,D357&lt;=$B$2,D357+$A357&gt;=$B$1),D357,""))),IF(AND(Events!$A359&lt;=$B$2,Events!$A359+$A357&gt;=$B$1),Events!$A359,"")),""))</f>
        <v/>
      </c>
      <c r="F357">
        <f>IF(E357="","",E357+A357)</f>
        <v/>
      </c>
      <c r="G357">
        <f>IF(E357="","",IF(AND(E357&lt;=EOMONTH(Calendar!$K$2,0),F357&gt;=Calendar!$K$2),E357+354/100000,""))</f>
        <v/>
      </c>
      <c r="H357">
        <f>H356+IF(AND($E357&lt;&gt;"",$E357&lt;=H$2,$F357&gt;=H$2),1,0)</f>
        <v/>
      </c>
      <c r="I357">
        <f>I356+IF(AND($E357&lt;&gt;"",$E357&lt;=I$2,$F357&gt;=I$2),1,0)</f>
        <v/>
      </c>
      <c r="J357">
        <f>J356+IF(AND($E357&lt;&gt;"",$E357&lt;=J$2,$F357&gt;=J$2),1,0)</f>
        <v/>
      </c>
      <c r="K357">
        <f>K356+IF(AND($E357&lt;&gt;"",$E357&lt;=K$2,$F357&gt;=K$2),1,0)</f>
        <v/>
      </c>
      <c r="L357">
        <f>L356+IF(AND($E357&lt;&gt;"",$E357&lt;=L$2,$F357&gt;=L$2),1,0)</f>
        <v/>
      </c>
      <c r="M357">
        <f>M356+IF(AND($E357&lt;&gt;"",$E357&lt;=M$2,$F357&gt;=M$2),1,0)</f>
        <v/>
      </c>
      <c r="N357">
        <f>N356+IF(AND($E357&lt;&gt;"",$E357&lt;=N$2,$F357&gt;=N$2),1,0)</f>
        <v/>
      </c>
      <c r="O357">
        <f>O356+IF(AND($E357&lt;&gt;"",$E357&lt;=O$2,$F357&gt;=O$2),1,0)</f>
        <v/>
      </c>
      <c r="P357">
        <f>P356+IF(AND($E357&lt;&gt;"",$E357&lt;=P$2,$F357&gt;=P$2),1,0)</f>
        <v/>
      </c>
      <c r="Q357">
        <f>Q356+IF(AND($E357&lt;&gt;"",$E357&lt;=Q$2,$F357&gt;=Q$2),1,0)</f>
        <v/>
      </c>
      <c r="R357">
        <f>R356+IF(AND($E357&lt;&gt;"",$E357&lt;=R$2,$F357&gt;=R$2),1,0)</f>
        <v/>
      </c>
      <c r="S357">
        <f>S356+IF(AND($E357&lt;&gt;"",$E357&lt;=S$2,$F357&gt;=S$2),1,0)</f>
        <v/>
      </c>
      <c r="T357">
        <f>T356+IF(AND($E357&lt;&gt;"",$E357&lt;=T$2,$F357&gt;=T$2),1,0)</f>
        <v/>
      </c>
      <c r="U357">
        <f>U356+IF(AND($E357&lt;&gt;"",$E357&lt;=U$2,$F357&gt;=U$2),1,0)</f>
        <v/>
      </c>
      <c r="V357">
        <f>V356+IF(AND($E357&lt;&gt;"",$E357&lt;=V$2,$F357&gt;=V$2),1,0)</f>
        <v/>
      </c>
      <c r="W357">
        <f>W356+IF(AND($E357&lt;&gt;"",$E357&lt;=W$2,$F357&gt;=W$2),1,0)</f>
        <v/>
      </c>
      <c r="X357">
        <f>X356+IF(AND($E357&lt;&gt;"",$E357&lt;=X$2,$F357&gt;=X$2),1,0)</f>
        <v/>
      </c>
      <c r="Y357">
        <f>Y356+IF(AND($E357&lt;&gt;"",$E357&lt;=Y$2,$F357&gt;=Y$2),1,0)</f>
        <v/>
      </c>
      <c r="Z357">
        <f>Z356+IF(AND($E357&lt;&gt;"",$E357&lt;=Z$2,$F357&gt;=Z$2),1,0)</f>
        <v/>
      </c>
      <c r="AA357">
        <f>AA356+IF(AND($E357&lt;&gt;"",$E357&lt;=AA$2,$F357&gt;=AA$2),1,0)</f>
        <v/>
      </c>
      <c r="AB357">
        <f>AB356+IF(AND($E357&lt;&gt;"",$E357&lt;=AB$2,$F357&gt;=AB$2),1,0)</f>
        <v/>
      </c>
      <c r="AC357">
        <f>AC356+IF(AND($E357&lt;&gt;"",$E357&lt;=AC$2,$F357&gt;=AC$2),1,0)</f>
        <v/>
      </c>
      <c r="AD357">
        <f>AD356+IF(AND($E357&lt;&gt;"",$E357&lt;=AD$2,$F357&gt;=AD$2),1,0)</f>
        <v/>
      </c>
      <c r="AE357">
        <f>AE356+IF(AND($E357&lt;&gt;"",$E357&lt;=AE$2,$F357&gt;=AE$2),1,0)</f>
        <v/>
      </c>
      <c r="AF357">
        <f>AF356+IF(AND($E357&lt;&gt;"",$E357&lt;=AF$2,$F357&gt;=AF$2),1,0)</f>
        <v/>
      </c>
      <c r="AG357">
        <f>AG356+IF(AND($E357&lt;&gt;"",$E357&lt;=AG$2,$F357&gt;=AG$2),1,0)</f>
        <v/>
      </c>
      <c r="AH357">
        <f>AH356+IF(AND($E357&lt;&gt;"",$E357&lt;=AH$2,$F357&gt;=AH$2),1,0)</f>
        <v/>
      </c>
      <c r="AI357">
        <f>AI356+IF(AND($E357&lt;&gt;"",$E357&lt;=AI$2,$F357&gt;=AI$2),1,0)</f>
        <v/>
      </c>
      <c r="AJ357">
        <f>AJ356+IF(AND($E357&lt;&gt;"",$E357&lt;=AJ$2,$F357&gt;=AJ$2),1,0)</f>
        <v/>
      </c>
      <c r="AK357">
        <f>AK356+IF(AND($E357&lt;&gt;"",$E357&lt;=AK$2,$F357&gt;=AK$2),1,0)</f>
        <v/>
      </c>
      <c r="AL357">
        <f>AL356+IF(AND($E357&lt;&gt;"",$E357&lt;=AL$2,$F357&gt;=AL$2),1,0)</f>
        <v/>
      </c>
      <c r="AM357">
        <f>AM356+IF(AND($E357&lt;&gt;"",$E357&lt;=AM$2,$F357&gt;=AM$2),1,0)</f>
        <v/>
      </c>
      <c r="AN357">
        <f>AN356+IF(AND($E357&lt;&gt;"",$E357&lt;=AN$2,$F357&gt;=AN$2),1,0)</f>
        <v/>
      </c>
      <c r="AO357">
        <f>AO356+IF(AND($E357&lt;&gt;"",$E357&lt;=AO$2,$F357&gt;=AO$2),1,0)</f>
        <v/>
      </c>
      <c r="AP357">
        <f>AP356+IF(AND($E357&lt;&gt;"",$E357&lt;=AP$2,$F357&gt;=AP$2),1,0)</f>
        <v/>
      </c>
      <c r="AQ357">
        <f>AQ356+IF(AND($E357&lt;&gt;"",$E357&lt;=AQ$2,$F357&gt;=AQ$2),1,0)</f>
        <v/>
      </c>
      <c r="AR357">
        <f>AR356+IF(AND($E357&lt;&gt;"",$E357&lt;=AR$2,$F357&gt;=AR$2),1,0)</f>
        <v/>
      </c>
      <c r="AS357">
        <f>AS356+IF(AND($E357&lt;&gt;"",$E357&lt;=AS$2,$F357&gt;=AS$2),1,0)</f>
        <v/>
      </c>
      <c r="AT357">
        <f>AT356+IF(AND($E357&lt;&gt;"",$E357&lt;=AT$2,$F357&gt;=AT$2),1,0)</f>
        <v/>
      </c>
      <c r="AU357">
        <f>AU356+IF(AND($E357&lt;&gt;"",$E357&lt;=AU$2,$F357&gt;=AU$2),1,0)</f>
        <v/>
      </c>
      <c r="AV357">
        <f>AV356+IF(AND($E357&lt;&gt;"",$E357&lt;=AV$2,$F357&gt;=AV$2),1,0)</f>
        <v/>
      </c>
      <c r="AW357">
        <f>AW356+IF(AND($E357&lt;&gt;"",$E357&lt;=AW$2,$F357&gt;=AW$2),1,0)</f>
        <v/>
      </c>
    </row>
    <row r="358">
      <c r="A358">
        <f>IF(AND(ISNUMBER(Events!$A360),ISNUMBER(Events!$B360)),MAX(0,Events!$B360-Events!$A360),0)</f>
        <v/>
      </c>
      <c r="B358">
        <f>IF(ISNUMBER(Events!$A360),DATE(YEAR($B$1)-1,MONTH(Events!$A360),DAY(Events!$A360)),"")</f>
        <v/>
      </c>
      <c r="C358">
        <f>IF(ISNUMBER(Events!$A360),DATE(YEAR($B$1),MONTH(Events!$A360),DAY(Events!$A360)),"")</f>
        <v/>
      </c>
      <c r="D358">
        <f>IF(ISNUMBER(Events!$A360),DATE(YEAR($B$2),MONTH(Events!$A360),DAY(Events!$A360)),"")</f>
        <v/>
      </c>
      <c r="E358">
        <f>IF(OR(NOT(ISNUMBER(Events!$A360)),Events!$G360="No",Calendar!$H$4="None"),"",IF(OR(Calendar!$H$4="All events",Events!$D360=Calendar!$H$4),IF(Events!$E360="Yes",IF(AND(B358&gt;=Events!$A360,B358&lt;=$B$2,B358+$A358&gt;=$B$1),B358,IF(AND(C358&gt;=Events!$A360,C358&lt;=$B$2,C358+$A358&gt;=$B$1),C358,IF(AND(D358&gt;=Events!$A360,D358&lt;=$B$2,D358+$A358&gt;=$B$1),D358,""))),IF(AND(Events!$A360&lt;=$B$2,Events!$A360+$A358&gt;=$B$1),Events!$A360,"")),""))</f>
        <v/>
      </c>
      <c r="F358">
        <f>IF(E358="","",E358+A358)</f>
        <v/>
      </c>
      <c r="G358">
        <f>IF(E358="","",IF(AND(E358&lt;=EOMONTH(Calendar!$K$2,0),F358&gt;=Calendar!$K$2),E358+355/100000,""))</f>
        <v/>
      </c>
      <c r="H358">
        <f>H357+IF(AND($E358&lt;&gt;"",$E358&lt;=H$2,$F358&gt;=H$2),1,0)</f>
        <v/>
      </c>
      <c r="I358">
        <f>I357+IF(AND($E358&lt;&gt;"",$E358&lt;=I$2,$F358&gt;=I$2),1,0)</f>
        <v/>
      </c>
      <c r="J358">
        <f>J357+IF(AND($E358&lt;&gt;"",$E358&lt;=J$2,$F358&gt;=J$2),1,0)</f>
        <v/>
      </c>
      <c r="K358">
        <f>K357+IF(AND($E358&lt;&gt;"",$E358&lt;=K$2,$F358&gt;=K$2),1,0)</f>
        <v/>
      </c>
      <c r="L358">
        <f>L357+IF(AND($E358&lt;&gt;"",$E358&lt;=L$2,$F358&gt;=L$2),1,0)</f>
        <v/>
      </c>
      <c r="M358">
        <f>M357+IF(AND($E358&lt;&gt;"",$E358&lt;=M$2,$F358&gt;=M$2),1,0)</f>
        <v/>
      </c>
      <c r="N358">
        <f>N357+IF(AND($E358&lt;&gt;"",$E358&lt;=N$2,$F358&gt;=N$2),1,0)</f>
        <v/>
      </c>
      <c r="O358">
        <f>O357+IF(AND($E358&lt;&gt;"",$E358&lt;=O$2,$F358&gt;=O$2),1,0)</f>
        <v/>
      </c>
      <c r="P358">
        <f>P357+IF(AND($E358&lt;&gt;"",$E358&lt;=P$2,$F358&gt;=P$2),1,0)</f>
        <v/>
      </c>
      <c r="Q358">
        <f>Q357+IF(AND($E358&lt;&gt;"",$E358&lt;=Q$2,$F358&gt;=Q$2),1,0)</f>
        <v/>
      </c>
      <c r="R358">
        <f>R357+IF(AND($E358&lt;&gt;"",$E358&lt;=R$2,$F358&gt;=R$2),1,0)</f>
        <v/>
      </c>
      <c r="S358">
        <f>S357+IF(AND($E358&lt;&gt;"",$E358&lt;=S$2,$F358&gt;=S$2),1,0)</f>
        <v/>
      </c>
      <c r="T358">
        <f>T357+IF(AND($E358&lt;&gt;"",$E358&lt;=T$2,$F358&gt;=T$2),1,0)</f>
        <v/>
      </c>
      <c r="U358">
        <f>U357+IF(AND($E358&lt;&gt;"",$E358&lt;=U$2,$F358&gt;=U$2),1,0)</f>
        <v/>
      </c>
      <c r="V358">
        <f>V357+IF(AND($E358&lt;&gt;"",$E358&lt;=V$2,$F358&gt;=V$2),1,0)</f>
        <v/>
      </c>
      <c r="W358">
        <f>W357+IF(AND($E358&lt;&gt;"",$E358&lt;=W$2,$F358&gt;=W$2),1,0)</f>
        <v/>
      </c>
      <c r="X358">
        <f>X357+IF(AND($E358&lt;&gt;"",$E358&lt;=X$2,$F358&gt;=X$2),1,0)</f>
        <v/>
      </c>
      <c r="Y358">
        <f>Y357+IF(AND($E358&lt;&gt;"",$E358&lt;=Y$2,$F358&gt;=Y$2),1,0)</f>
        <v/>
      </c>
      <c r="Z358">
        <f>Z357+IF(AND($E358&lt;&gt;"",$E358&lt;=Z$2,$F358&gt;=Z$2),1,0)</f>
        <v/>
      </c>
      <c r="AA358">
        <f>AA357+IF(AND($E358&lt;&gt;"",$E358&lt;=AA$2,$F358&gt;=AA$2),1,0)</f>
        <v/>
      </c>
      <c r="AB358">
        <f>AB357+IF(AND($E358&lt;&gt;"",$E358&lt;=AB$2,$F358&gt;=AB$2),1,0)</f>
        <v/>
      </c>
      <c r="AC358">
        <f>AC357+IF(AND($E358&lt;&gt;"",$E358&lt;=AC$2,$F358&gt;=AC$2),1,0)</f>
        <v/>
      </c>
      <c r="AD358">
        <f>AD357+IF(AND($E358&lt;&gt;"",$E358&lt;=AD$2,$F358&gt;=AD$2),1,0)</f>
        <v/>
      </c>
      <c r="AE358">
        <f>AE357+IF(AND($E358&lt;&gt;"",$E358&lt;=AE$2,$F358&gt;=AE$2),1,0)</f>
        <v/>
      </c>
      <c r="AF358">
        <f>AF357+IF(AND($E358&lt;&gt;"",$E358&lt;=AF$2,$F358&gt;=AF$2),1,0)</f>
        <v/>
      </c>
      <c r="AG358">
        <f>AG357+IF(AND($E358&lt;&gt;"",$E358&lt;=AG$2,$F358&gt;=AG$2),1,0)</f>
        <v/>
      </c>
      <c r="AH358">
        <f>AH357+IF(AND($E358&lt;&gt;"",$E358&lt;=AH$2,$F358&gt;=AH$2),1,0)</f>
        <v/>
      </c>
      <c r="AI358">
        <f>AI357+IF(AND($E358&lt;&gt;"",$E358&lt;=AI$2,$F358&gt;=AI$2),1,0)</f>
        <v/>
      </c>
      <c r="AJ358">
        <f>AJ357+IF(AND($E358&lt;&gt;"",$E358&lt;=AJ$2,$F358&gt;=AJ$2),1,0)</f>
        <v/>
      </c>
      <c r="AK358">
        <f>AK357+IF(AND($E358&lt;&gt;"",$E358&lt;=AK$2,$F358&gt;=AK$2),1,0)</f>
        <v/>
      </c>
      <c r="AL358">
        <f>AL357+IF(AND($E358&lt;&gt;"",$E358&lt;=AL$2,$F358&gt;=AL$2),1,0)</f>
        <v/>
      </c>
      <c r="AM358">
        <f>AM357+IF(AND($E358&lt;&gt;"",$E358&lt;=AM$2,$F358&gt;=AM$2),1,0)</f>
        <v/>
      </c>
      <c r="AN358">
        <f>AN357+IF(AND($E358&lt;&gt;"",$E358&lt;=AN$2,$F358&gt;=AN$2),1,0)</f>
        <v/>
      </c>
      <c r="AO358">
        <f>AO357+IF(AND($E358&lt;&gt;"",$E358&lt;=AO$2,$F358&gt;=AO$2),1,0)</f>
        <v/>
      </c>
      <c r="AP358">
        <f>AP357+IF(AND($E358&lt;&gt;"",$E358&lt;=AP$2,$F358&gt;=AP$2),1,0)</f>
        <v/>
      </c>
      <c r="AQ358">
        <f>AQ357+IF(AND($E358&lt;&gt;"",$E358&lt;=AQ$2,$F358&gt;=AQ$2),1,0)</f>
        <v/>
      </c>
      <c r="AR358">
        <f>AR357+IF(AND($E358&lt;&gt;"",$E358&lt;=AR$2,$F358&gt;=AR$2),1,0)</f>
        <v/>
      </c>
      <c r="AS358">
        <f>AS357+IF(AND($E358&lt;&gt;"",$E358&lt;=AS$2,$F358&gt;=AS$2),1,0)</f>
        <v/>
      </c>
      <c r="AT358">
        <f>AT357+IF(AND($E358&lt;&gt;"",$E358&lt;=AT$2,$F358&gt;=AT$2),1,0)</f>
        <v/>
      </c>
      <c r="AU358">
        <f>AU357+IF(AND($E358&lt;&gt;"",$E358&lt;=AU$2,$F358&gt;=AU$2),1,0)</f>
        <v/>
      </c>
      <c r="AV358">
        <f>AV357+IF(AND($E358&lt;&gt;"",$E358&lt;=AV$2,$F358&gt;=AV$2),1,0)</f>
        <v/>
      </c>
      <c r="AW358">
        <f>AW357+IF(AND($E358&lt;&gt;"",$E358&lt;=AW$2,$F358&gt;=AW$2),1,0)</f>
        <v/>
      </c>
    </row>
    <row r="359">
      <c r="A359">
        <f>IF(AND(ISNUMBER(Events!$A361),ISNUMBER(Events!$B361)),MAX(0,Events!$B361-Events!$A361),0)</f>
        <v/>
      </c>
      <c r="B359">
        <f>IF(ISNUMBER(Events!$A361),DATE(YEAR($B$1)-1,MONTH(Events!$A361),DAY(Events!$A361)),"")</f>
        <v/>
      </c>
      <c r="C359">
        <f>IF(ISNUMBER(Events!$A361),DATE(YEAR($B$1),MONTH(Events!$A361),DAY(Events!$A361)),"")</f>
        <v/>
      </c>
      <c r="D359">
        <f>IF(ISNUMBER(Events!$A361),DATE(YEAR($B$2),MONTH(Events!$A361),DAY(Events!$A361)),"")</f>
        <v/>
      </c>
      <c r="E359">
        <f>IF(OR(NOT(ISNUMBER(Events!$A361)),Events!$G361="No",Calendar!$H$4="None"),"",IF(OR(Calendar!$H$4="All events",Events!$D361=Calendar!$H$4),IF(Events!$E361="Yes",IF(AND(B359&gt;=Events!$A361,B359&lt;=$B$2,B359+$A359&gt;=$B$1),B359,IF(AND(C359&gt;=Events!$A361,C359&lt;=$B$2,C359+$A359&gt;=$B$1),C359,IF(AND(D359&gt;=Events!$A361,D359&lt;=$B$2,D359+$A359&gt;=$B$1),D359,""))),IF(AND(Events!$A361&lt;=$B$2,Events!$A361+$A359&gt;=$B$1),Events!$A361,"")),""))</f>
        <v/>
      </c>
      <c r="F359">
        <f>IF(E359="","",E359+A359)</f>
        <v/>
      </c>
      <c r="G359">
        <f>IF(E359="","",IF(AND(E359&lt;=EOMONTH(Calendar!$K$2,0),F359&gt;=Calendar!$K$2),E359+356/100000,""))</f>
        <v/>
      </c>
      <c r="H359">
        <f>H358+IF(AND($E359&lt;&gt;"",$E359&lt;=H$2,$F359&gt;=H$2),1,0)</f>
        <v/>
      </c>
      <c r="I359">
        <f>I358+IF(AND($E359&lt;&gt;"",$E359&lt;=I$2,$F359&gt;=I$2),1,0)</f>
        <v/>
      </c>
      <c r="J359">
        <f>J358+IF(AND($E359&lt;&gt;"",$E359&lt;=J$2,$F359&gt;=J$2),1,0)</f>
        <v/>
      </c>
      <c r="K359">
        <f>K358+IF(AND($E359&lt;&gt;"",$E359&lt;=K$2,$F359&gt;=K$2),1,0)</f>
        <v/>
      </c>
      <c r="L359">
        <f>L358+IF(AND($E359&lt;&gt;"",$E359&lt;=L$2,$F359&gt;=L$2),1,0)</f>
        <v/>
      </c>
      <c r="M359">
        <f>M358+IF(AND($E359&lt;&gt;"",$E359&lt;=M$2,$F359&gt;=M$2),1,0)</f>
        <v/>
      </c>
      <c r="N359">
        <f>N358+IF(AND($E359&lt;&gt;"",$E359&lt;=N$2,$F359&gt;=N$2),1,0)</f>
        <v/>
      </c>
      <c r="O359">
        <f>O358+IF(AND($E359&lt;&gt;"",$E359&lt;=O$2,$F359&gt;=O$2),1,0)</f>
        <v/>
      </c>
      <c r="P359">
        <f>P358+IF(AND($E359&lt;&gt;"",$E359&lt;=P$2,$F359&gt;=P$2),1,0)</f>
        <v/>
      </c>
      <c r="Q359">
        <f>Q358+IF(AND($E359&lt;&gt;"",$E359&lt;=Q$2,$F359&gt;=Q$2),1,0)</f>
        <v/>
      </c>
      <c r="R359">
        <f>R358+IF(AND($E359&lt;&gt;"",$E359&lt;=R$2,$F359&gt;=R$2),1,0)</f>
        <v/>
      </c>
      <c r="S359">
        <f>S358+IF(AND($E359&lt;&gt;"",$E359&lt;=S$2,$F359&gt;=S$2),1,0)</f>
        <v/>
      </c>
      <c r="T359">
        <f>T358+IF(AND($E359&lt;&gt;"",$E359&lt;=T$2,$F359&gt;=T$2),1,0)</f>
        <v/>
      </c>
      <c r="U359">
        <f>U358+IF(AND($E359&lt;&gt;"",$E359&lt;=U$2,$F359&gt;=U$2),1,0)</f>
        <v/>
      </c>
      <c r="V359">
        <f>V358+IF(AND($E359&lt;&gt;"",$E359&lt;=V$2,$F359&gt;=V$2),1,0)</f>
        <v/>
      </c>
      <c r="W359">
        <f>W358+IF(AND($E359&lt;&gt;"",$E359&lt;=W$2,$F359&gt;=W$2),1,0)</f>
        <v/>
      </c>
      <c r="X359">
        <f>X358+IF(AND($E359&lt;&gt;"",$E359&lt;=X$2,$F359&gt;=X$2),1,0)</f>
        <v/>
      </c>
      <c r="Y359">
        <f>Y358+IF(AND($E359&lt;&gt;"",$E359&lt;=Y$2,$F359&gt;=Y$2),1,0)</f>
        <v/>
      </c>
      <c r="Z359">
        <f>Z358+IF(AND($E359&lt;&gt;"",$E359&lt;=Z$2,$F359&gt;=Z$2),1,0)</f>
        <v/>
      </c>
      <c r="AA359">
        <f>AA358+IF(AND($E359&lt;&gt;"",$E359&lt;=AA$2,$F359&gt;=AA$2),1,0)</f>
        <v/>
      </c>
      <c r="AB359">
        <f>AB358+IF(AND($E359&lt;&gt;"",$E359&lt;=AB$2,$F359&gt;=AB$2),1,0)</f>
        <v/>
      </c>
      <c r="AC359">
        <f>AC358+IF(AND($E359&lt;&gt;"",$E359&lt;=AC$2,$F359&gt;=AC$2),1,0)</f>
        <v/>
      </c>
      <c r="AD359">
        <f>AD358+IF(AND($E359&lt;&gt;"",$E359&lt;=AD$2,$F359&gt;=AD$2),1,0)</f>
        <v/>
      </c>
      <c r="AE359">
        <f>AE358+IF(AND($E359&lt;&gt;"",$E359&lt;=AE$2,$F359&gt;=AE$2),1,0)</f>
        <v/>
      </c>
      <c r="AF359">
        <f>AF358+IF(AND($E359&lt;&gt;"",$E359&lt;=AF$2,$F359&gt;=AF$2),1,0)</f>
        <v/>
      </c>
      <c r="AG359">
        <f>AG358+IF(AND($E359&lt;&gt;"",$E359&lt;=AG$2,$F359&gt;=AG$2),1,0)</f>
        <v/>
      </c>
      <c r="AH359">
        <f>AH358+IF(AND($E359&lt;&gt;"",$E359&lt;=AH$2,$F359&gt;=AH$2),1,0)</f>
        <v/>
      </c>
      <c r="AI359">
        <f>AI358+IF(AND($E359&lt;&gt;"",$E359&lt;=AI$2,$F359&gt;=AI$2),1,0)</f>
        <v/>
      </c>
      <c r="AJ359">
        <f>AJ358+IF(AND($E359&lt;&gt;"",$E359&lt;=AJ$2,$F359&gt;=AJ$2),1,0)</f>
        <v/>
      </c>
      <c r="AK359">
        <f>AK358+IF(AND($E359&lt;&gt;"",$E359&lt;=AK$2,$F359&gt;=AK$2),1,0)</f>
        <v/>
      </c>
      <c r="AL359">
        <f>AL358+IF(AND($E359&lt;&gt;"",$E359&lt;=AL$2,$F359&gt;=AL$2),1,0)</f>
        <v/>
      </c>
      <c r="AM359">
        <f>AM358+IF(AND($E359&lt;&gt;"",$E359&lt;=AM$2,$F359&gt;=AM$2),1,0)</f>
        <v/>
      </c>
      <c r="AN359">
        <f>AN358+IF(AND($E359&lt;&gt;"",$E359&lt;=AN$2,$F359&gt;=AN$2),1,0)</f>
        <v/>
      </c>
      <c r="AO359">
        <f>AO358+IF(AND($E359&lt;&gt;"",$E359&lt;=AO$2,$F359&gt;=AO$2),1,0)</f>
        <v/>
      </c>
      <c r="AP359">
        <f>AP358+IF(AND($E359&lt;&gt;"",$E359&lt;=AP$2,$F359&gt;=AP$2),1,0)</f>
        <v/>
      </c>
      <c r="AQ359">
        <f>AQ358+IF(AND($E359&lt;&gt;"",$E359&lt;=AQ$2,$F359&gt;=AQ$2),1,0)</f>
        <v/>
      </c>
      <c r="AR359">
        <f>AR358+IF(AND($E359&lt;&gt;"",$E359&lt;=AR$2,$F359&gt;=AR$2),1,0)</f>
        <v/>
      </c>
      <c r="AS359">
        <f>AS358+IF(AND($E359&lt;&gt;"",$E359&lt;=AS$2,$F359&gt;=AS$2),1,0)</f>
        <v/>
      </c>
      <c r="AT359">
        <f>AT358+IF(AND($E359&lt;&gt;"",$E359&lt;=AT$2,$F359&gt;=AT$2),1,0)</f>
        <v/>
      </c>
      <c r="AU359">
        <f>AU358+IF(AND($E359&lt;&gt;"",$E359&lt;=AU$2,$F359&gt;=AU$2),1,0)</f>
        <v/>
      </c>
      <c r="AV359">
        <f>AV358+IF(AND($E359&lt;&gt;"",$E359&lt;=AV$2,$F359&gt;=AV$2),1,0)</f>
        <v/>
      </c>
      <c r="AW359">
        <f>AW358+IF(AND($E359&lt;&gt;"",$E359&lt;=AW$2,$F359&gt;=AW$2),1,0)</f>
        <v/>
      </c>
    </row>
    <row r="360">
      <c r="A360">
        <f>IF(AND(ISNUMBER(Events!$A362),ISNUMBER(Events!$B362)),MAX(0,Events!$B362-Events!$A362),0)</f>
        <v/>
      </c>
      <c r="B360">
        <f>IF(ISNUMBER(Events!$A362),DATE(YEAR($B$1)-1,MONTH(Events!$A362),DAY(Events!$A362)),"")</f>
        <v/>
      </c>
      <c r="C360">
        <f>IF(ISNUMBER(Events!$A362),DATE(YEAR($B$1),MONTH(Events!$A362),DAY(Events!$A362)),"")</f>
        <v/>
      </c>
      <c r="D360">
        <f>IF(ISNUMBER(Events!$A362),DATE(YEAR($B$2),MONTH(Events!$A362),DAY(Events!$A362)),"")</f>
        <v/>
      </c>
      <c r="E360">
        <f>IF(OR(NOT(ISNUMBER(Events!$A362)),Events!$G362="No",Calendar!$H$4="None"),"",IF(OR(Calendar!$H$4="All events",Events!$D362=Calendar!$H$4),IF(Events!$E362="Yes",IF(AND(B360&gt;=Events!$A362,B360&lt;=$B$2,B360+$A360&gt;=$B$1),B360,IF(AND(C360&gt;=Events!$A362,C360&lt;=$B$2,C360+$A360&gt;=$B$1),C360,IF(AND(D360&gt;=Events!$A362,D360&lt;=$B$2,D360+$A360&gt;=$B$1),D360,""))),IF(AND(Events!$A362&lt;=$B$2,Events!$A362+$A360&gt;=$B$1),Events!$A362,"")),""))</f>
        <v/>
      </c>
      <c r="F360">
        <f>IF(E360="","",E360+A360)</f>
        <v/>
      </c>
      <c r="G360">
        <f>IF(E360="","",IF(AND(E360&lt;=EOMONTH(Calendar!$K$2,0),F360&gt;=Calendar!$K$2),E360+357/100000,""))</f>
        <v/>
      </c>
      <c r="H360">
        <f>H359+IF(AND($E360&lt;&gt;"",$E360&lt;=H$2,$F360&gt;=H$2),1,0)</f>
        <v/>
      </c>
      <c r="I360">
        <f>I359+IF(AND($E360&lt;&gt;"",$E360&lt;=I$2,$F360&gt;=I$2),1,0)</f>
        <v/>
      </c>
      <c r="J360">
        <f>J359+IF(AND($E360&lt;&gt;"",$E360&lt;=J$2,$F360&gt;=J$2),1,0)</f>
        <v/>
      </c>
      <c r="K360">
        <f>K359+IF(AND($E360&lt;&gt;"",$E360&lt;=K$2,$F360&gt;=K$2),1,0)</f>
        <v/>
      </c>
      <c r="L360">
        <f>L359+IF(AND($E360&lt;&gt;"",$E360&lt;=L$2,$F360&gt;=L$2),1,0)</f>
        <v/>
      </c>
      <c r="M360">
        <f>M359+IF(AND($E360&lt;&gt;"",$E360&lt;=M$2,$F360&gt;=M$2),1,0)</f>
        <v/>
      </c>
      <c r="N360">
        <f>N359+IF(AND($E360&lt;&gt;"",$E360&lt;=N$2,$F360&gt;=N$2),1,0)</f>
        <v/>
      </c>
      <c r="O360">
        <f>O359+IF(AND($E360&lt;&gt;"",$E360&lt;=O$2,$F360&gt;=O$2),1,0)</f>
        <v/>
      </c>
      <c r="P360">
        <f>P359+IF(AND($E360&lt;&gt;"",$E360&lt;=P$2,$F360&gt;=P$2),1,0)</f>
        <v/>
      </c>
      <c r="Q360">
        <f>Q359+IF(AND($E360&lt;&gt;"",$E360&lt;=Q$2,$F360&gt;=Q$2),1,0)</f>
        <v/>
      </c>
      <c r="R360">
        <f>R359+IF(AND($E360&lt;&gt;"",$E360&lt;=R$2,$F360&gt;=R$2),1,0)</f>
        <v/>
      </c>
      <c r="S360">
        <f>S359+IF(AND($E360&lt;&gt;"",$E360&lt;=S$2,$F360&gt;=S$2),1,0)</f>
        <v/>
      </c>
      <c r="T360">
        <f>T359+IF(AND($E360&lt;&gt;"",$E360&lt;=T$2,$F360&gt;=T$2),1,0)</f>
        <v/>
      </c>
      <c r="U360">
        <f>U359+IF(AND($E360&lt;&gt;"",$E360&lt;=U$2,$F360&gt;=U$2),1,0)</f>
        <v/>
      </c>
      <c r="V360">
        <f>V359+IF(AND($E360&lt;&gt;"",$E360&lt;=V$2,$F360&gt;=V$2),1,0)</f>
        <v/>
      </c>
      <c r="W360">
        <f>W359+IF(AND($E360&lt;&gt;"",$E360&lt;=W$2,$F360&gt;=W$2),1,0)</f>
        <v/>
      </c>
      <c r="X360">
        <f>X359+IF(AND($E360&lt;&gt;"",$E360&lt;=X$2,$F360&gt;=X$2),1,0)</f>
        <v/>
      </c>
      <c r="Y360">
        <f>Y359+IF(AND($E360&lt;&gt;"",$E360&lt;=Y$2,$F360&gt;=Y$2),1,0)</f>
        <v/>
      </c>
      <c r="Z360">
        <f>Z359+IF(AND($E360&lt;&gt;"",$E360&lt;=Z$2,$F360&gt;=Z$2),1,0)</f>
        <v/>
      </c>
      <c r="AA360">
        <f>AA359+IF(AND($E360&lt;&gt;"",$E360&lt;=AA$2,$F360&gt;=AA$2),1,0)</f>
        <v/>
      </c>
      <c r="AB360">
        <f>AB359+IF(AND($E360&lt;&gt;"",$E360&lt;=AB$2,$F360&gt;=AB$2),1,0)</f>
        <v/>
      </c>
      <c r="AC360">
        <f>AC359+IF(AND($E360&lt;&gt;"",$E360&lt;=AC$2,$F360&gt;=AC$2),1,0)</f>
        <v/>
      </c>
      <c r="AD360">
        <f>AD359+IF(AND($E360&lt;&gt;"",$E360&lt;=AD$2,$F360&gt;=AD$2),1,0)</f>
        <v/>
      </c>
      <c r="AE360">
        <f>AE359+IF(AND($E360&lt;&gt;"",$E360&lt;=AE$2,$F360&gt;=AE$2),1,0)</f>
        <v/>
      </c>
      <c r="AF360">
        <f>AF359+IF(AND($E360&lt;&gt;"",$E360&lt;=AF$2,$F360&gt;=AF$2),1,0)</f>
        <v/>
      </c>
      <c r="AG360">
        <f>AG359+IF(AND($E360&lt;&gt;"",$E360&lt;=AG$2,$F360&gt;=AG$2),1,0)</f>
        <v/>
      </c>
      <c r="AH360">
        <f>AH359+IF(AND($E360&lt;&gt;"",$E360&lt;=AH$2,$F360&gt;=AH$2),1,0)</f>
        <v/>
      </c>
      <c r="AI360">
        <f>AI359+IF(AND($E360&lt;&gt;"",$E360&lt;=AI$2,$F360&gt;=AI$2),1,0)</f>
        <v/>
      </c>
      <c r="AJ360">
        <f>AJ359+IF(AND($E360&lt;&gt;"",$E360&lt;=AJ$2,$F360&gt;=AJ$2),1,0)</f>
        <v/>
      </c>
      <c r="AK360">
        <f>AK359+IF(AND($E360&lt;&gt;"",$E360&lt;=AK$2,$F360&gt;=AK$2),1,0)</f>
        <v/>
      </c>
      <c r="AL360">
        <f>AL359+IF(AND($E360&lt;&gt;"",$E360&lt;=AL$2,$F360&gt;=AL$2),1,0)</f>
        <v/>
      </c>
      <c r="AM360">
        <f>AM359+IF(AND($E360&lt;&gt;"",$E360&lt;=AM$2,$F360&gt;=AM$2),1,0)</f>
        <v/>
      </c>
      <c r="AN360">
        <f>AN359+IF(AND($E360&lt;&gt;"",$E360&lt;=AN$2,$F360&gt;=AN$2),1,0)</f>
        <v/>
      </c>
      <c r="AO360">
        <f>AO359+IF(AND($E360&lt;&gt;"",$E360&lt;=AO$2,$F360&gt;=AO$2),1,0)</f>
        <v/>
      </c>
      <c r="AP360">
        <f>AP359+IF(AND($E360&lt;&gt;"",$E360&lt;=AP$2,$F360&gt;=AP$2),1,0)</f>
        <v/>
      </c>
      <c r="AQ360">
        <f>AQ359+IF(AND($E360&lt;&gt;"",$E360&lt;=AQ$2,$F360&gt;=AQ$2),1,0)</f>
        <v/>
      </c>
      <c r="AR360">
        <f>AR359+IF(AND($E360&lt;&gt;"",$E360&lt;=AR$2,$F360&gt;=AR$2),1,0)</f>
        <v/>
      </c>
      <c r="AS360">
        <f>AS359+IF(AND($E360&lt;&gt;"",$E360&lt;=AS$2,$F360&gt;=AS$2),1,0)</f>
        <v/>
      </c>
      <c r="AT360">
        <f>AT359+IF(AND($E360&lt;&gt;"",$E360&lt;=AT$2,$F360&gt;=AT$2),1,0)</f>
        <v/>
      </c>
      <c r="AU360">
        <f>AU359+IF(AND($E360&lt;&gt;"",$E360&lt;=AU$2,$F360&gt;=AU$2),1,0)</f>
        <v/>
      </c>
      <c r="AV360">
        <f>AV359+IF(AND($E360&lt;&gt;"",$E360&lt;=AV$2,$F360&gt;=AV$2),1,0)</f>
        <v/>
      </c>
      <c r="AW360">
        <f>AW359+IF(AND($E360&lt;&gt;"",$E360&lt;=AW$2,$F360&gt;=AW$2),1,0)</f>
        <v/>
      </c>
    </row>
    <row r="361">
      <c r="A361">
        <f>IF(AND(ISNUMBER(Events!$A363),ISNUMBER(Events!$B363)),MAX(0,Events!$B363-Events!$A363),0)</f>
        <v/>
      </c>
      <c r="B361">
        <f>IF(ISNUMBER(Events!$A363),DATE(YEAR($B$1)-1,MONTH(Events!$A363),DAY(Events!$A363)),"")</f>
        <v/>
      </c>
      <c r="C361">
        <f>IF(ISNUMBER(Events!$A363),DATE(YEAR($B$1),MONTH(Events!$A363),DAY(Events!$A363)),"")</f>
        <v/>
      </c>
      <c r="D361">
        <f>IF(ISNUMBER(Events!$A363),DATE(YEAR($B$2),MONTH(Events!$A363),DAY(Events!$A363)),"")</f>
        <v/>
      </c>
      <c r="E361">
        <f>IF(OR(NOT(ISNUMBER(Events!$A363)),Events!$G363="No",Calendar!$H$4="None"),"",IF(OR(Calendar!$H$4="All events",Events!$D363=Calendar!$H$4),IF(Events!$E363="Yes",IF(AND(B361&gt;=Events!$A363,B361&lt;=$B$2,B361+$A361&gt;=$B$1),B361,IF(AND(C361&gt;=Events!$A363,C361&lt;=$B$2,C361+$A361&gt;=$B$1),C361,IF(AND(D361&gt;=Events!$A363,D361&lt;=$B$2,D361+$A361&gt;=$B$1),D361,""))),IF(AND(Events!$A363&lt;=$B$2,Events!$A363+$A361&gt;=$B$1),Events!$A363,"")),""))</f>
        <v/>
      </c>
      <c r="F361">
        <f>IF(E361="","",E361+A361)</f>
        <v/>
      </c>
      <c r="G361">
        <f>IF(E361="","",IF(AND(E361&lt;=EOMONTH(Calendar!$K$2,0),F361&gt;=Calendar!$K$2),E361+358/100000,""))</f>
        <v/>
      </c>
      <c r="H361">
        <f>H360+IF(AND($E361&lt;&gt;"",$E361&lt;=H$2,$F361&gt;=H$2),1,0)</f>
        <v/>
      </c>
      <c r="I361">
        <f>I360+IF(AND($E361&lt;&gt;"",$E361&lt;=I$2,$F361&gt;=I$2),1,0)</f>
        <v/>
      </c>
      <c r="J361">
        <f>J360+IF(AND($E361&lt;&gt;"",$E361&lt;=J$2,$F361&gt;=J$2),1,0)</f>
        <v/>
      </c>
      <c r="K361">
        <f>K360+IF(AND($E361&lt;&gt;"",$E361&lt;=K$2,$F361&gt;=K$2),1,0)</f>
        <v/>
      </c>
      <c r="L361">
        <f>L360+IF(AND($E361&lt;&gt;"",$E361&lt;=L$2,$F361&gt;=L$2),1,0)</f>
        <v/>
      </c>
      <c r="M361">
        <f>M360+IF(AND($E361&lt;&gt;"",$E361&lt;=M$2,$F361&gt;=M$2),1,0)</f>
        <v/>
      </c>
      <c r="N361">
        <f>N360+IF(AND($E361&lt;&gt;"",$E361&lt;=N$2,$F361&gt;=N$2),1,0)</f>
        <v/>
      </c>
      <c r="O361">
        <f>O360+IF(AND($E361&lt;&gt;"",$E361&lt;=O$2,$F361&gt;=O$2),1,0)</f>
        <v/>
      </c>
      <c r="P361">
        <f>P360+IF(AND($E361&lt;&gt;"",$E361&lt;=P$2,$F361&gt;=P$2),1,0)</f>
        <v/>
      </c>
      <c r="Q361">
        <f>Q360+IF(AND($E361&lt;&gt;"",$E361&lt;=Q$2,$F361&gt;=Q$2),1,0)</f>
        <v/>
      </c>
      <c r="R361">
        <f>R360+IF(AND($E361&lt;&gt;"",$E361&lt;=R$2,$F361&gt;=R$2),1,0)</f>
        <v/>
      </c>
      <c r="S361">
        <f>S360+IF(AND($E361&lt;&gt;"",$E361&lt;=S$2,$F361&gt;=S$2),1,0)</f>
        <v/>
      </c>
      <c r="T361">
        <f>T360+IF(AND($E361&lt;&gt;"",$E361&lt;=T$2,$F361&gt;=T$2),1,0)</f>
        <v/>
      </c>
      <c r="U361">
        <f>U360+IF(AND($E361&lt;&gt;"",$E361&lt;=U$2,$F361&gt;=U$2),1,0)</f>
        <v/>
      </c>
      <c r="V361">
        <f>V360+IF(AND($E361&lt;&gt;"",$E361&lt;=V$2,$F361&gt;=V$2),1,0)</f>
        <v/>
      </c>
      <c r="W361">
        <f>W360+IF(AND($E361&lt;&gt;"",$E361&lt;=W$2,$F361&gt;=W$2),1,0)</f>
        <v/>
      </c>
      <c r="X361">
        <f>X360+IF(AND($E361&lt;&gt;"",$E361&lt;=X$2,$F361&gt;=X$2),1,0)</f>
        <v/>
      </c>
      <c r="Y361">
        <f>Y360+IF(AND($E361&lt;&gt;"",$E361&lt;=Y$2,$F361&gt;=Y$2),1,0)</f>
        <v/>
      </c>
      <c r="Z361">
        <f>Z360+IF(AND($E361&lt;&gt;"",$E361&lt;=Z$2,$F361&gt;=Z$2),1,0)</f>
        <v/>
      </c>
      <c r="AA361">
        <f>AA360+IF(AND($E361&lt;&gt;"",$E361&lt;=AA$2,$F361&gt;=AA$2),1,0)</f>
        <v/>
      </c>
      <c r="AB361">
        <f>AB360+IF(AND($E361&lt;&gt;"",$E361&lt;=AB$2,$F361&gt;=AB$2),1,0)</f>
        <v/>
      </c>
      <c r="AC361">
        <f>AC360+IF(AND($E361&lt;&gt;"",$E361&lt;=AC$2,$F361&gt;=AC$2),1,0)</f>
        <v/>
      </c>
      <c r="AD361">
        <f>AD360+IF(AND($E361&lt;&gt;"",$E361&lt;=AD$2,$F361&gt;=AD$2),1,0)</f>
        <v/>
      </c>
      <c r="AE361">
        <f>AE360+IF(AND($E361&lt;&gt;"",$E361&lt;=AE$2,$F361&gt;=AE$2),1,0)</f>
        <v/>
      </c>
      <c r="AF361">
        <f>AF360+IF(AND($E361&lt;&gt;"",$E361&lt;=AF$2,$F361&gt;=AF$2),1,0)</f>
        <v/>
      </c>
      <c r="AG361">
        <f>AG360+IF(AND($E361&lt;&gt;"",$E361&lt;=AG$2,$F361&gt;=AG$2),1,0)</f>
        <v/>
      </c>
      <c r="AH361">
        <f>AH360+IF(AND($E361&lt;&gt;"",$E361&lt;=AH$2,$F361&gt;=AH$2),1,0)</f>
        <v/>
      </c>
      <c r="AI361">
        <f>AI360+IF(AND($E361&lt;&gt;"",$E361&lt;=AI$2,$F361&gt;=AI$2),1,0)</f>
        <v/>
      </c>
      <c r="AJ361">
        <f>AJ360+IF(AND($E361&lt;&gt;"",$E361&lt;=AJ$2,$F361&gt;=AJ$2),1,0)</f>
        <v/>
      </c>
      <c r="AK361">
        <f>AK360+IF(AND($E361&lt;&gt;"",$E361&lt;=AK$2,$F361&gt;=AK$2),1,0)</f>
        <v/>
      </c>
      <c r="AL361">
        <f>AL360+IF(AND($E361&lt;&gt;"",$E361&lt;=AL$2,$F361&gt;=AL$2),1,0)</f>
        <v/>
      </c>
      <c r="AM361">
        <f>AM360+IF(AND($E361&lt;&gt;"",$E361&lt;=AM$2,$F361&gt;=AM$2),1,0)</f>
        <v/>
      </c>
      <c r="AN361">
        <f>AN360+IF(AND($E361&lt;&gt;"",$E361&lt;=AN$2,$F361&gt;=AN$2),1,0)</f>
        <v/>
      </c>
      <c r="AO361">
        <f>AO360+IF(AND($E361&lt;&gt;"",$E361&lt;=AO$2,$F361&gt;=AO$2),1,0)</f>
        <v/>
      </c>
      <c r="AP361">
        <f>AP360+IF(AND($E361&lt;&gt;"",$E361&lt;=AP$2,$F361&gt;=AP$2),1,0)</f>
        <v/>
      </c>
      <c r="AQ361">
        <f>AQ360+IF(AND($E361&lt;&gt;"",$E361&lt;=AQ$2,$F361&gt;=AQ$2),1,0)</f>
        <v/>
      </c>
      <c r="AR361">
        <f>AR360+IF(AND($E361&lt;&gt;"",$E361&lt;=AR$2,$F361&gt;=AR$2),1,0)</f>
        <v/>
      </c>
      <c r="AS361">
        <f>AS360+IF(AND($E361&lt;&gt;"",$E361&lt;=AS$2,$F361&gt;=AS$2),1,0)</f>
        <v/>
      </c>
      <c r="AT361">
        <f>AT360+IF(AND($E361&lt;&gt;"",$E361&lt;=AT$2,$F361&gt;=AT$2),1,0)</f>
        <v/>
      </c>
      <c r="AU361">
        <f>AU360+IF(AND($E361&lt;&gt;"",$E361&lt;=AU$2,$F361&gt;=AU$2),1,0)</f>
        <v/>
      </c>
      <c r="AV361">
        <f>AV360+IF(AND($E361&lt;&gt;"",$E361&lt;=AV$2,$F361&gt;=AV$2),1,0)</f>
        <v/>
      </c>
      <c r="AW361">
        <f>AW360+IF(AND($E361&lt;&gt;"",$E361&lt;=AW$2,$F361&gt;=AW$2),1,0)</f>
        <v/>
      </c>
    </row>
    <row r="362">
      <c r="A362">
        <f>IF(AND(ISNUMBER(Events!$A364),ISNUMBER(Events!$B364)),MAX(0,Events!$B364-Events!$A364),0)</f>
        <v/>
      </c>
      <c r="B362">
        <f>IF(ISNUMBER(Events!$A364),DATE(YEAR($B$1)-1,MONTH(Events!$A364),DAY(Events!$A364)),"")</f>
        <v/>
      </c>
      <c r="C362">
        <f>IF(ISNUMBER(Events!$A364),DATE(YEAR($B$1),MONTH(Events!$A364),DAY(Events!$A364)),"")</f>
        <v/>
      </c>
      <c r="D362">
        <f>IF(ISNUMBER(Events!$A364),DATE(YEAR($B$2),MONTH(Events!$A364),DAY(Events!$A364)),"")</f>
        <v/>
      </c>
      <c r="E362">
        <f>IF(OR(NOT(ISNUMBER(Events!$A364)),Events!$G364="No",Calendar!$H$4="None"),"",IF(OR(Calendar!$H$4="All events",Events!$D364=Calendar!$H$4),IF(Events!$E364="Yes",IF(AND(B362&gt;=Events!$A364,B362&lt;=$B$2,B362+$A362&gt;=$B$1),B362,IF(AND(C362&gt;=Events!$A364,C362&lt;=$B$2,C362+$A362&gt;=$B$1),C362,IF(AND(D362&gt;=Events!$A364,D362&lt;=$B$2,D362+$A362&gt;=$B$1),D362,""))),IF(AND(Events!$A364&lt;=$B$2,Events!$A364+$A362&gt;=$B$1),Events!$A364,"")),""))</f>
        <v/>
      </c>
      <c r="F362">
        <f>IF(E362="","",E362+A362)</f>
        <v/>
      </c>
      <c r="G362">
        <f>IF(E362="","",IF(AND(E362&lt;=EOMONTH(Calendar!$K$2,0),F362&gt;=Calendar!$K$2),E362+359/100000,""))</f>
        <v/>
      </c>
      <c r="H362">
        <f>H361+IF(AND($E362&lt;&gt;"",$E362&lt;=H$2,$F362&gt;=H$2),1,0)</f>
        <v/>
      </c>
      <c r="I362">
        <f>I361+IF(AND($E362&lt;&gt;"",$E362&lt;=I$2,$F362&gt;=I$2),1,0)</f>
        <v/>
      </c>
      <c r="J362">
        <f>J361+IF(AND($E362&lt;&gt;"",$E362&lt;=J$2,$F362&gt;=J$2),1,0)</f>
        <v/>
      </c>
      <c r="K362">
        <f>K361+IF(AND($E362&lt;&gt;"",$E362&lt;=K$2,$F362&gt;=K$2),1,0)</f>
        <v/>
      </c>
      <c r="L362">
        <f>L361+IF(AND($E362&lt;&gt;"",$E362&lt;=L$2,$F362&gt;=L$2),1,0)</f>
        <v/>
      </c>
      <c r="M362">
        <f>M361+IF(AND($E362&lt;&gt;"",$E362&lt;=M$2,$F362&gt;=M$2),1,0)</f>
        <v/>
      </c>
      <c r="N362">
        <f>N361+IF(AND($E362&lt;&gt;"",$E362&lt;=N$2,$F362&gt;=N$2),1,0)</f>
        <v/>
      </c>
      <c r="O362">
        <f>O361+IF(AND($E362&lt;&gt;"",$E362&lt;=O$2,$F362&gt;=O$2),1,0)</f>
        <v/>
      </c>
      <c r="P362">
        <f>P361+IF(AND($E362&lt;&gt;"",$E362&lt;=P$2,$F362&gt;=P$2),1,0)</f>
        <v/>
      </c>
      <c r="Q362">
        <f>Q361+IF(AND($E362&lt;&gt;"",$E362&lt;=Q$2,$F362&gt;=Q$2),1,0)</f>
        <v/>
      </c>
      <c r="R362">
        <f>R361+IF(AND($E362&lt;&gt;"",$E362&lt;=R$2,$F362&gt;=R$2),1,0)</f>
        <v/>
      </c>
      <c r="S362">
        <f>S361+IF(AND($E362&lt;&gt;"",$E362&lt;=S$2,$F362&gt;=S$2),1,0)</f>
        <v/>
      </c>
      <c r="T362">
        <f>T361+IF(AND($E362&lt;&gt;"",$E362&lt;=T$2,$F362&gt;=T$2),1,0)</f>
        <v/>
      </c>
      <c r="U362">
        <f>U361+IF(AND($E362&lt;&gt;"",$E362&lt;=U$2,$F362&gt;=U$2),1,0)</f>
        <v/>
      </c>
      <c r="V362">
        <f>V361+IF(AND($E362&lt;&gt;"",$E362&lt;=V$2,$F362&gt;=V$2),1,0)</f>
        <v/>
      </c>
      <c r="W362">
        <f>W361+IF(AND($E362&lt;&gt;"",$E362&lt;=W$2,$F362&gt;=W$2),1,0)</f>
        <v/>
      </c>
      <c r="X362">
        <f>X361+IF(AND($E362&lt;&gt;"",$E362&lt;=X$2,$F362&gt;=X$2),1,0)</f>
        <v/>
      </c>
      <c r="Y362">
        <f>Y361+IF(AND($E362&lt;&gt;"",$E362&lt;=Y$2,$F362&gt;=Y$2),1,0)</f>
        <v/>
      </c>
      <c r="Z362">
        <f>Z361+IF(AND($E362&lt;&gt;"",$E362&lt;=Z$2,$F362&gt;=Z$2),1,0)</f>
        <v/>
      </c>
      <c r="AA362">
        <f>AA361+IF(AND($E362&lt;&gt;"",$E362&lt;=AA$2,$F362&gt;=AA$2),1,0)</f>
        <v/>
      </c>
      <c r="AB362">
        <f>AB361+IF(AND($E362&lt;&gt;"",$E362&lt;=AB$2,$F362&gt;=AB$2),1,0)</f>
        <v/>
      </c>
      <c r="AC362">
        <f>AC361+IF(AND($E362&lt;&gt;"",$E362&lt;=AC$2,$F362&gt;=AC$2),1,0)</f>
        <v/>
      </c>
      <c r="AD362">
        <f>AD361+IF(AND($E362&lt;&gt;"",$E362&lt;=AD$2,$F362&gt;=AD$2),1,0)</f>
        <v/>
      </c>
      <c r="AE362">
        <f>AE361+IF(AND($E362&lt;&gt;"",$E362&lt;=AE$2,$F362&gt;=AE$2),1,0)</f>
        <v/>
      </c>
      <c r="AF362">
        <f>AF361+IF(AND($E362&lt;&gt;"",$E362&lt;=AF$2,$F362&gt;=AF$2),1,0)</f>
        <v/>
      </c>
      <c r="AG362">
        <f>AG361+IF(AND($E362&lt;&gt;"",$E362&lt;=AG$2,$F362&gt;=AG$2),1,0)</f>
        <v/>
      </c>
      <c r="AH362">
        <f>AH361+IF(AND($E362&lt;&gt;"",$E362&lt;=AH$2,$F362&gt;=AH$2),1,0)</f>
        <v/>
      </c>
      <c r="AI362">
        <f>AI361+IF(AND($E362&lt;&gt;"",$E362&lt;=AI$2,$F362&gt;=AI$2),1,0)</f>
        <v/>
      </c>
      <c r="AJ362">
        <f>AJ361+IF(AND($E362&lt;&gt;"",$E362&lt;=AJ$2,$F362&gt;=AJ$2),1,0)</f>
        <v/>
      </c>
      <c r="AK362">
        <f>AK361+IF(AND($E362&lt;&gt;"",$E362&lt;=AK$2,$F362&gt;=AK$2),1,0)</f>
        <v/>
      </c>
      <c r="AL362">
        <f>AL361+IF(AND($E362&lt;&gt;"",$E362&lt;=AL$2,$F362&gt;=AL$2),1,0)</f>
        <v/>
      </c>
      <c r="AM362">
        <f>AM361+IF(AND($E362&lt;&gt;"",$E362&lt;=AM$2,$F362&gt;=AM$2),1,0)</f>
        <v/>
      </c>
      <c r="AN362">
        <f>AN361+IF(AND($E362&lt;&gt;"",$E362&lt;=AN$2,$F362&gt;=AN$2),1,0)</f>
        <v/>
      </c>
      <c r="AO362">
        <f>AO361+IF(AND($E362&lt;&gt;"",$E362&lt;=AO$2,$F362&gt;=AO$2),1,0)</f>
        <v/>
      </c>
      <c r="AP362">
        <f>AP361+IF(AND($E362&lt;&gt;"",$E362&lt;=AP$2,$F362&gt;=AP$2),1,0)</f>
        <v/>
      </c>
      <c r="AQ362">
        <f>AQ361+IF(AND($E362&lt;&gt;"",$E362&lt;=AQ$2,$F362&gt;=AQ$2),1,0)</f>
        <v/>
      </c>
      <c r="AR362">
        <f>AR361+IF(AND($E362&lt;&gt;"",$E362&lt;=AR$2,$F362&gt;=AR$2),1,0)</f>
        <v/>
      </c>
      <c r="AS362">
        <f>AS361+IF(AND($E362&lt;&gt;"",$E362&lt;=AS$2,$F362&gt;=AS$2),1,0)</f>
        <v/>
      </c>
      <c r="AT362">
        <f>AT361+IF(AND($E362&lt;&gt;"",$E362&lt;=AT$2,$F362&gt;=AT$2),1,0)</f>
        <v/>
      </c>
      <c r="AU362">
        <f>AU361+IF(AND($E362&lt;&gt;"",$E362&lt;=AU$2,$F362&gt;=AU$2),1,0)</f>
        <v/>
      </c>
      <c r="AV362">
        <f>AV361+IF(AND($E362&lt;&gt;"",$E362&lt;=AV$2,$F362&gt;=AV$2),1,0)</f>
        <v/>
      </c>
      <c r="AW362">
        <f>AW361+IF(AND($E362&lt;&gt;"",$E362&lt;=AW$2,$F362&gt;=AW$2),1,0)</f>
        <v/>
      </c>
    </row>
    <row r="363">
      <c r="A363">
        <f>IF(AND(ISNUMBER(Events!$A365),ISNUMBER(Events!$B365)),MAX(0,Events!$B365-Events!$A365),0)</f>
        <v/>
      </c>
      <c r="B363">
        <f>IF(ISNUMBER(Events!$A365),DATE(YEAR($B$1)-1,MONTH(Events!$A365),DAY(Events!$A365)),"")</f>
        <v/>
      </c>
      <c r="C363">
        <f>IF(ISNUMBER(Events!$A365),DATE(YEAR($B$1),MONTH(Events!$A365),DAY(Events!$A365)),"")</f>
        <v/>
      </c>
      <c r="D363">
        <f>IF(ISNUMBER(Events!$A365),DATE(YEAR($B$2),MONTH(Events!$A365),DAY(Events!$A365)),"")</f>
        <v/>
      </c>
      <c r="E363">
        <f>IF(OR(NOT(ISNUMBER(Events!$A365)),Events!$G365="No",Calendar!$H$4="None"),"",IF(OR(Calendar!$H$4="All events",Events!$D365=Calendar!$H$4),IF(Events!$E365="Yes",IF(AND(B363&gt;=Events!$A365,B363&lt;=$B$2,B363+$A363&gt;=$B$1),B363,IF(AND(C363&gt;=Events!$A365,C363&lt;=$B$2,C363+$A363&gt;=$B$1),C363,IF(AND(D363&gt;=Events!$A365,D363&lt;=$B$2,D363+$A363&gt;=$B$1),D363,""))),IF(AND(Events!$A365&lt;=$B$2,Events!$A365+$A363&gt;=$B$1),Events!$A365,"")),""))</f>
        <v/>
      </c>
      <c r="F363">
        <f>IF(E363="","",E363+A363)</f>
        <v/>
      </c>
      <c r="G363">
        <f>IF(E363="","",IF(AND(E363&lt;=EOMONTH(Calendar!$K$2,0),F363&gt;=Calendar!$K$2),E363+360/100000,""))</f>
        <v/>
      </c>
      <c r="H363">
        <f>H362+IF(AND($E363&lt;&gt;"",$E363&lt;=H$2,$F363&gt;=H$2),1,0)</f>
        <v/>
      </c>
      <c r="I363">
        <f>I362+IF(AND($E363&lt;&gt;"",$E363&lt;=I$2,$F363&gt;=I$2),1,0)</f>
        <v/>
      </c>
      <c r="J363">
        <f>J362+IF(AND($E363&lt;&gt;"",$E363&lt;=J$2,$F363&gt;=J$2),1,0)</f>
        <v/>
      </c>
      <c r="K363">
        <f>K362+IF(AND($E363&lt;&gt;"",$E363&lt;=K$2,$F363&gt;=K$2),1,0)</f>
        <v/>
      </c>
      <c r="L363">
        <f>L362+IF(AND($E363&lt;&gt;"",$E363&lt;=L$2,$F363&gt;=L$2),1,0)</f>
        <v/>
      </c>
      <c r="M363">
        <f>M362+IF(AND($E363&lt;&gt;"",$E363&lt;=M$2,$F363&gt;=M$2),1,0)</f>
        <v/>
      </c>
      <c r="N363">
        <f>N362+IF(AND($E363&lt;&gt;"",$E363&lt;=N$2,$F363&gt;=N$2),1,0)</f>
        <v/>
      </c>
      <c r="O363">
        <f>O362+IF(AND($E363&lt;&gt;"",$E363&lt;=O$2,$F363&gt;=O$2),1,0)</f>
        <v/>
      </c>
      <c r="P363">
        <f>P362+IF(AND($E363&lt;&gt;"",$E363&lt;=P$2,$F363&gt;=P$2),1,0)</f>
        <v/>
      </c>
      <c r="Q363">
        <f>Q362+IF(AND($E363&lt;&gt;"",$E363&lt;=Q$2,$F363&gt;=Q$2),1,0)</f>
        <v/>
      </c>
      <c r="R363">
        <f>R362+IF(AND($E363&lt;&gt;"",$E363&lt;=R$2,$F363&gt;=R$2),1,0)</f>
        <v/>
      </c>
      <c r="S363">
        <f>S362+IF(AND($E363&lt;&gt;"",$E363&lt;=S$2,$F363&gt;=S$2),1,0)</f>
        <v/>
      </c>
      <c r="T363">
        <f>T362+IF(AND($E363&lt;&gt;"",$E363&lt;=T$2,$F363&gt;=T$2),1,0)</f>
        <v/>
      </c>
      <c r="U363">
        <f>U362+IF(AND($E363&lt;&gt;"",$E363&lt;=U$2,$F363&gt;=U$2),1,0)</f>
        <v/>
      </c>
      <c r="V363">
        <f>V362+IF(AND($E363&lt;&gt;"",$E363&lt;=V$2,$F363&gt;=V$2),1,0)</f>
        <v/>
      </c>
      <c r="W363">
        <f>W362+IF(AND($E363&lt;&gt;"",$E363&lt;=W$2,$F363&gt;=W$2),1,0)</f>
        <v/>
      </c>
      <c r="X363">
        <f>X362+IF(AND($E363&lt;&gt;"",$E363&lt;=X$2,$F363&gt;=X$2),1,0)</f>
        <v/>
      </c>
      <c r="Y363">
        <f>Y362+IF(AND($E363&lt;&gt;"",$E363&lt;=Y$2,$F363&gt;=Y$2),1,0)</f>
        <v/>
      </c>
      <c r="Z363">
        <f>Z362+IF(AND($E363&lt;&gt;"",$E363&lt;=Z$2,$F363&gt;=Z$2),1,0)</f>
        <v/>
      </c>
      <c r="AA363">
        <f>AA362+IF(AND($E363&lt;&gt;"",$E363&lt;=AA$2,$F363&gt;=AA$2),1,0)</f>
        <v/>
      </c>
      <c r="AB363">
        <f>AB362+IF(AND($E363&lt;&gt;"",$E363&lt;=AB$2,$F363&gt;=AB$2),1,0)</f>
        <v/>
      </c>
      <c r="AC363">
        <f>AC362+IF(AND($E363&lt;&gt;"",$E363&lt;=AC$2,$F363&gt;=AC$2),1,0)</f>
        <v/>
      </c>
      <c r="AD363">
        <f>AD362+IF(AND($E363&lt;&gt;"",$E363&lt;=AD$2,$F363&gt;=AD$2),1,0)</f>
        <v/>
      </c>
      <c r="AE363">
        <f>AE362+IF(AND($E363&lt;&gt;"",$E363&lt;=AE$2,$F363&gt;=AE$2),1,0)</f>
        <v/>
      </c>
      <c r="AF363">
        <f>AF362+IF(AND($E363&lt;&gt;"",$E363&lt;=AF$2,$F363&gt;=AF$2),1,0)</f>
        <v/>
      </c>
      <c r="AG363">
        <f>AG362+IF(AND($E363&lt;&gt;"",$E363&lt;=AG$2,$F363&gt;=AG$2),1,0)</f>
        <v/>
      </c>
      <c r="AH363">
        <f>AH362+IF(AND($E363&lt;&gt;"",$E363&lt;=AH$2,$F363&gt;=AH$2),1,0)</f>
        <v/>
      </c>
      <c r="AI363">
        <f>AI362+IF(AND($E363&lt;&gt;"",$E363&lt;=AI$2,$F363&gt;=AI$2),1,0)</f>
        <v/>
      </c>
      <c r="AJ363">
        <f>AJ362+IF(AND($E363&lt;&gt;"",$E363&lt;=AJ$2,$F363&gt;=AJ$2),1,0)</f>
        <v/>
      </c>
      <c r="AK363">
        <f>AK362+IF(AND($E363&lt;&gt;"",$E363&lt;=AK$2,$F363&gt;=AK$2),1,0)</f>
        <v/>
      </c>
      <c r="AL363">
        <f>AL362+IF(AND($E363&lt;&gt;"",$E363&lt;=AL$2,$F363&gt;=AL$2),1,0)</f>
        <v/>
      </c>
      <c r="AM363">
        <f>AM362+IF(AND($E363&lt;&gt;"",$E363&lt;=AM$2,$F363&gt;=AM$2),1,0)</f>
        <v/>
      </c>
      <c r="AN363">
        <f>AN362+IF(AND($E363&lt;&gt;"",$E363&lt;=AN$2,$F363&gt;=AN$2),1,0)</f>
        <v/>
      </c>
      <c r="AO363">
        <f>AO362+IF(AND($E363&lt;&gt;"",$E363&lt;=AO$2,$F363&gt;=AO$2),1,0)</f>
        <v/>
      </c>
      <c r="AP363">
        <f>AP362+IF(AND($E363&lt;&gt;"",$E363&lt;=AP$2,$F363&gt;=AP$2),1,0)</f>
        <v/>
      </c>
      <c r="AQ363">
        <f>AQ362+IF(AND($E363&lt;&gt;"",$E363&lt;=AQ$2,$F363&gt;=AQ$2),1,0)</f>
        <v/>
      </c>
      <c r="AR363">
        <f>AR362+IF(AND($E363&lt;&gt;"",$E363&lt;=AR$2,$F363&gt;=AR$2),1,0)</f>
        <v/>
      </c>
      <c r="AS363">
        <f>AS362+IF(AND($E363&lt;&gt;"",$E363&lt;=AS$2,$F363&gt;=AS$2),1,0)</f>
        <v/>
      </c>
      <c r="AT363">
        <f>AT362+IF(AND($E363&lt;&gt;"",$E363&lt;=AT$2,$F363&gt;=AT$2),1,0)</f>
        <v/>
      </c>
      <c r="AU363">
        <f>AU362+IF(AND($E363&lt;&gt;"",$E363&lt;=AU$2,$F363&gt;=AU$2),1,0)</f>
        <v/>
      </c>
      <c r="AV363">
        <f>AV362+IF(AND($E363&lt;&gt;"",$E363&lt;=AV$2,$F363&gt;=AV$2),1,0)</f>
        <v/>
      </c>
      <c r="AW363">
        <f>AW362+IF(AND($E363&lt;&gt;"",$E363&lt;=AW$2,$F363&gt;=AW$2),1,0)</f>
        <v/>
      </c>
    </row>
    <row r="364">
      <c r="A364">
        <f>IF(AND(ISNUMBER(Events!$A366),ISNUMBER(Events!$B366)),MAX(0,Events!$B366-Events!$A366),0)</f>
        <v/>
      </c>
      <c r="B364">
        <f>IF(ISNUMBER(Events!$A366),DATE(YEAR($B$1)-1,MONTH(Events!$A366),DAY(Events!$A366)),"")</f>
        <v/>
      </c>
      <c r="C364">
        <f>IF(ISNUMBER(Events!$A366),DATE(YEAR($B$1),MONTH(Events!$A366),DAY(Events!$A366)),"")</f>
        <v/>
      </c>
      <c r="D364">
        <f>IF(ISNUMBER(Events!$A366),DATE(YEAR($B$2),MONTH(Events!$A366),DAY(Events!$A366)),"")</f>
        <v/>
      </c>
      <c r="E364">
        <f>IF(OR(NOT(ISNUMBER(Events!$A366)),Events!$G366="No",Calendar!$H$4="None"),"",IF(OR(Calendar!$H$4="All events",Events!$D366=Calendar!$H$4),IF(Events!$E366="Yes",IF(AND(B364&gt;=Events!$A366,B364&lt;=$B$2,B364+$A364&gt;=$B$1),B364,IF(AND(C364&gt;=Events!$A366,C364&lt;=$B$2,C364+$A364&gt;=$B$1),C364,IF(AND(D364&gt;=Events!$A366,D364&lt;=$B$2,D364+$A364&gt;=$B$1),D364,""))),IF(AND(Events!$A366&lt;=$B$2,Events!$A366+$A364&gt;=$B$1),Events!$A366,"")),""))</f>
        <v/>
      </c>
      <c r="F364">
        <f>IF(E364="","",E364+A364)</f>
        <v/>
      </c>
      <c r="G364">
        <f>IF(E364="","",IF(AND(E364&lt;=EOMONTH(Calendar!$K$2,0),F364&gt;=Calendar!$K$2),E364+361/100000,""))</f>
        <v/>
      </c>
      <c r="H364">
        <f>H363+IF(AND($E364&lt;&gt;"",$E364&lt;=H$2,$F364&gt;=H$2),1,0)</f>
        <v/>
      </c>
      <c r="I364">
        <f>I363+IF(AND($E364&lt;&gt;"",$E364&lt;=I$2,$F364&gt;=I$2),1,0)</f>
        <v/>
      </c>
      <c r="J364">
        <f>J363+IF(AND($E364&lt;&gt;"",$E364&lt;=J$2,$F364&gt;=J$2),1,0)</f>
        <v/>
      </c>
      <c r="K364">
        <f>K363+IF(AND($E364&lt;&gt;"",$E364&lt;=K$2,$F364&gt;=K$2),1,0)</f>
        <v/>
      </c>
      <c r="L364">
        <f>L363+IF(AND($E364&lt;&gt;"",$E364&lt;=L$2,$F364&gt;=L$2),1,0)</f>
        <v/>
      </c>
      <c r="M364">
        <f>M363+IF(AND($E364&lt;&gt;"",$E364&lt;=M$2,$F364&gt;=M$2),1,0)</f>
        <v/>
      </c>
      <c r="N364">
        <f>N363+IF(AND($E364&lt;&gt;"",$E364&lt;=N$2,$F364&gt;=N$2),1,0)</f>
        <v/>
      </c>
      <c r="O364">
        <f>O363+IF(AND($E364&lt;&gt;"",$E364&lt;=O$2,$F364&gt;=O$2),1,0)</f>
        <v/>
      </c>
      <c r="P364">
        <f>P363+IF(AND($E364&lt;&gt;"",$E364&lt;=P$2,$F364&gt;=P$2),1,0)</f>
        <v/>
      </c>
      <c r="Q364">
        <f>Q363+IF(AND($E364&lt;&gt;"",$E364&lt;=Q$2,$F364&gt;=Q$2),1,0)</f>
        <v/>
      </c>
      <c r="R364">
        <f>R363+IF(AND($E364&lt;&gt;"",$E364&lt;=R$2,$F364&gt;=R$2),1,0)</f>
        <v/>
      </c>
      <c r="S364">
        <f>S363+IF(AND($E364&lt;&gt;"",$E364&lt;=S$2,$F364&gt;=S$2),1,0)</f>
        <v/>
      </c>
      <c r="T364">
        <f>T363+IF(AND($E364&lt;&gt;"",$E364&lt;=T$2,$F364&gt;=T$2),1,0)</f>
        <v/>
      </c>
      <c r="U364">
        <f>U363+IF(AND($E364&lt;&gt;"",$E364&lt;=U$2,$F364&gt;=U$2),1,0)</f>
        <v/>
      </c>
      <c r="V364">
        <f>V363+IF(AND($E364&lt;&gt;"",$E364&lt;=V$2,$F364&gt;=V$2),1,0)</f>
        <v/>
      </c>
      <c r="W364">
        <f>W363+IF(AND($E364&lt;&gt;"",$E364&lt;=W$2,$F364&gt;=W$2),1,0)</f>
        <v/>
      </c>
      <c r="X364">
        <f>X363+IF(AND($E364&lt;&gt;"",$E364&lt;=X$2,$F364&gt;=X$2),1,0)</f>
        <v/>
      </c>
      <c r="Y364">
        <f>Y363+IF(AND($E364&lt;&gt;"",$E364&lt;=Y$2,$F364&gt;=Y$2),1,0)</f>
        <v/>
      </c>
      <c r="Z364">
        <f>Z363+IF(AND($E364&lt;&gt;"",$E364&lt;=Z$2,$F364&gt;=Z$2),1,0)</f>
        <v/>
      </c>
      <c r="AA364">
        <f>AA363+IF(AND($E364&lt;&gt;"",$E364&lt;=AA$2,$F364&gt;=AA$2),1,0)</f>
        <v/>
      </c>
      <c r="AB364">
        <f>AB363+IF(AND($E364&lt;&gt;"",$E364&lt;=AB$2,$F364&gt;=AB$2),1,0)</f>
        <v/>
      </c>
      <c r="AC364">
        <f>AC363+IF(AND($E364&lt;&gt;"",$E364&lt;=AC$2,$F364&gt;=AC$2),1,0)</f>
        <v/>
      </c>
      <c r="AD364">
        <f>AD363+IF(AND($E364&lt;&gt;"",$E364&lt;=AD$2,$F364&gt;=AD$2),1,0)</f>
        <v/>
      </c>
      <c r="AE364">
        <f>AE363+IF(AND($E364&lt;&gt;"",$E364&lt;=AE$2,$F364&gt;=AE$2),1,0)</f>
        <v/>
      </c>
      <c r="AF364">
        <f>AF363+IF(AND($E364&lt;&gt;"",$E364&lt;=AF$2,$F364&gt;=AF$2),1,0)</f>
        <v/>
      </c>
      <c r="AG364">
        <f>AG363+IF(AND($E364&lt;&gt;"",$E364&lt;=AG$2,$F364&gt;=AG$2),1,0)</f>
        <v/>
      </c>
      <c r="AH364">
        <f>AH363+IF(AND($E364&lt;&gt;"",$E364&lt;=AH$2,$F364&gt;=AH$2),1,0)</f>
        <v/>
      </c>
      <c r="AI364">
        <f>AI363+IF(AND($E364&lt;&gt;"",$E364&lt;=AI$2,$F364&gt;=AI$2),1,0)</f>
        <v/>
      </c>
      <c r="AJ364">
        <f>AJ363+IF(AND($E364&lt;&gt;"",$E364&lt;=AJ$2,$F364&gt;=AJ$2),1,0)</f>
        <v/>
      </c>
      <c r="AK364">
        <f>AK363+IF(AND($E364&lt;&gt;"",$E364&lt;=AK$2,$F364&gt;=AK$2),1,0)</f>
        <v/>
      </c>
      <c r="AL364">
        <f>AL363+IF(AND($E364&lt;&gt;"",$E364&lt;=AL$2,$F364&gt;=AL$2),1,0)</f>
        <v/>
      </c>
      <c r="AM364">
        <f>AM363+IF(AND($E364&lt;&gt;"",$E364&lt;=AM$2,$F364&gt;=AM$2),1,0)</f>
        <v/>
      </c>
      <c r="AN364">
        <f>AN363+IF(AND($E364&lt;&gt;"",$E364&lt;=AN$2,$F364&gt;=AN$2),1,0)</f>
        <v/>
      </c>
      <c r="AO364">
        <f>AO363+IF(AND($E364&lt;&gt;"",$E364&lt;=AO$2,$F364&gt;=AO$2),1,0)</f>
        <v/>
      </c>
      <c r="AP364">
        <f>AP363+IF(AND($E364&lt;&gt;"",$E364&lt;=AP$2,$F364&gt;=AP$2),1,0)</f>
        <v/>
      </c>
      <c r="AQ364">
        <f>AQ363+IF(AND($E364&lt;&gt;"",$E364&lt;=AQ$2,$F364&gt;=AQ$2),1,0)</f>
        <v/>
      </c>
      <c r="AR364">
        <f>AR363+IF(AND($E364&lt;&gt;"",$E364&lt;=AR$2,$F364&gt;=AR$2),1,0)</f>
        <v/>
      </c>
      <c r="AS364">
        <f>AS363+IF(AND($E364&lt;&gt;"",$E364&lt;=AS$2,$F364&gt;=AS$2),1,0)</f>
        <v/>
      </c>
      <c r="AT364">
        <f>AT363+IF(AND($E364&lt;&gt;"",$E364&lt;=AT$2,$F364&gt;=AT$2),1,0)</f>
        <v/>
      </c>
      <c r="AU364">
        <f>AU363+IF(AND($E364&lt;&gt;"",$E364&lt;=AU$2,$F364&gt;=AU$2),1,0)</f>
        <v/>
      </c>
      <c r="AV364">
        <f>AV363+IF(AND($E364&lt;&gt;"",$E364&lt;=AV$2,$F364&gt;=AV$2),1,0)</f>
        <v/>
      </c>
      <c r="AW364">
        <f>AW363+IF(AND($E364&lt;&gt;"",$E364&lt;=AW$2,$F364&gt;=AW$2),1,0)</f>
        <v/>
      </c>
    </row>
    <row r="365">
      <c r="A365">
        <f>IF(AND(ISNUMBER(Events!$A367),ISNUMBER(Events!$B367)),MAX(0,Events!$B367-Events!$A367),0)</f>
        <v/>
      </c>
      <c r="B365">
        <f>IF(ISNUMBER(Events!$A367),DATE(YEAR($B$1)-1,MONTH(Events!$A367),DAY(Events!$A367)),"")</f>
        <v/>
      </c>
      <c r="C365">
        <f>IF(ISNUMBER(Events!$A367),DATE(YEAR($B$1),MONTH(Events!$A367),DAY(Events!$A367)),"")</f>
        <v/>
      </c>
      <c r="D365">
        <f>IF(ISNUMBER(Events!$A367),DATE(YEAR($B$2),MONTH(Events!$A367),DAY(Events!$A367)),"")</f>
        <v/>
      </c>
      <c r="E365">
        <f>IF(OR(NOT(ISNUMBER(Events!$A367)),Events!$G367="No",Calendar!$H$4="None"),"",IF(OR(Calendar!$H$4="All events",Events!$D367=Calendar!$H$4),IF(Events!$E367="Yes",IF(AND(B365&gt;=Events!$A367,B365&lt;=$B$2,B365+$A365&gt;=$B$1),B365,IF(AND(C365&gt;=Events!$A367,C365&lt;=$B$2,C365+$A365&gt;=$B$1),C365,IF(AND(D365&gt;=Events!$A367,D365&lt;=$B$2,D365+$A365&gt;=$B$1),D365,""))),IF(AND(Events!$A367&lt;=$B$2,Events!$A367+$A365&gt;=$B$1),Events!$A367,"")),""))</f>
        <v/>
      </c>
      <c r="F365">
        <f>IF(E365="","",E365+A365)</f>
        <v/>
      </c>
      <c r="G365">
        <f>IF(E365="","",IF(AND(E365&lt;=EOMONTH(Calendar!$K$2,0),F365&gt;=Calendar!$K$2),E365+362/100000,""))</f>
        <v/>
      </c>
      <c r="H365">
        <f>H364+IF(AND($E365&lt;&gt;"",$E365&lt;=H$2,$F365&gt;=H$2),1,0)</f>
        <v/>
      </c>
      <c r="I365">
        <f>I364+IF(AND($E365&lt;&gt;"",$E365&lt;=I$2,$F365&gt;=I$2),1,0)</f>
        <v/>
      </c>
      <c r="J365">
        <f>J364+IF(AND($E365&lt;&gt;"",$E365&lt;=J$2,$F365&gt;=J$2),1,0)</f>
        <v/>
      </c>
      <c r="K365">
        <f>K364+IF(AND($E365&lt;&gt;"",$E365&lt;=K$2,$F365&gt;=K$2),1,0)</f>
        <v/>
      </c>
      <c r="L365">
        <f>L364+IF(AND($E365&lt;&gt;"",$E365&lt;=L$2,$F365&gt;=L$2),1,0)</f>
        <v/>
      </c>
      <c r="M365">
        <f>M364+IF(AND($E365&lt;&gt;"",$E365&lt;=M$2,$F365&gt;=M$2),1,0)</f>
        <v/>
      </c>
      <c r="N365">
        <f>N364+IF(AND($E365&lt;&gt;"",$E365&lt;=N$2,$F365&gt;=N$2),1,0)</f>
        <v/>
      </c>
      <c r="O365">
        <f>O364+IF(AND($E365&lt;&gt;"",$E365&lt;=O$2,$F365&gt;=O$2),1,0)</f>
        <v/>
      </c>
      <c r="P365">
        <f>P364+IF(AND($E365&lt;&gt;"",$E365&lt;=P$2,$F365&gt;=P$2),1,0)</f>
        <v/>
      </c>
      <c r="Q365">
        <f>Q364+IF(AND($E365&lt;&gt;"",$E365&lt;=Q$2,$F365&gt;=Q$2),1,0)</f>
        <v/>
      </c>
      <c r="R365">
        <f>R364+IF(AND($E365&lt;&gt;"",$E365&lt;=R$2,$F365&gt;=R$2),1,0)</f>
        <v/>
      </c>
      <c r="S365">
        <f>S364+IF(AND($E365&lt;&gt;"",$E365&lt;=S$2,$F365&gt;=S$2),1,0)</f>
        <v/>
      </c>
      <c r="T365">
        <f>T364+IF(AND($E365&lt;&gt;"",$E365&lt;=T$2,$F365&gt;=T$2),1,0)</f>
        <v/>
      </c>
      <c r="U365">
        <f>U364+IF(AND($E365&lt;&gt;"",$E365&lt;=U$2,$F365&gt;=U$2),1,0)</f>
        <v/>
      </c>
      <c r="V365">
        <f>V364+IF(AND($E365&lt;&gt;"",$E365&lt;=V$2,$F365&gt;=V$2),1,0)</f>
        <v/>
      </c>
      <c r="W365">
        <f>W364+IF(AND($E365&lt;&gt;"",$E365&lt;=W$2,$F365&gt;=W$2),1,0)</f>
        <v/>
      </c>
      <c r="X365">
        <f>X364+IF(AND($E365&lt;&gt;"",$E365&lt;=X$2,$F365&gt;=X$2),1,0)</f>
        <v/>
      </c>
      <c r="Y365">
        <f>Y364+IF(AND($E365&lt;&gt;"",$E365&lt;=Y$2,$F365&gt;=Y$2),1,0)</f>
        <v/>
      </c>
      <c r="Z365">
        <f>Z364+IF(AND($E365&lt;&gt;"",$E365&lt;=Z$2,$F365&gt;=Z$2),1,0)</f>
        <v/>
      </c>
      <c r="AA365">
        <f>AA364+IF(AND($E365&lt;&gt;"",$E365&lt;=AA$2,$F365&gt;=AA$2),1,0)</f>
        <v/>
      </c>
      <c r="AB365">
        <f>AB364+IF(AND($E365&lt;&gt;"",$E365&lt;=AB$2,$F365&gt;=AB$2),1,0)</f>
        <v/>
      </c>
      <c r="AC365">
        <f>AC364+IF(AND($E365&lt;&gt;"",$E365&lt;=AC$2,$F365&gt;=AC$2),1,0)</f>
        <v/>
      </c>
      <c r="AD365">
        <f>AD364+IF(AND($E365&lt;&gt;"",$E365&lt;=AD$2,$F365&gt;=AD$2),1,0)</f>
        <v/>
      </c>
      <c r="AE365">
        <f>AE364+IF(AND($E365&lt;&gt;"",$E365&lt;=AE$2,$F365&gt;=AE$2),1,0)</f>
        <v/>
      </c>
      <c r="AF365">
        <f>AF364+IF(AND($E365&lt;&gt;"",$E365&lt;=AF$2,$F365&gt;=AF$2),1,0)</f>
        <v/>
      </c>
      <c r="AG365">
        <f>AG364+IF(AND($E365&lt;&gt;"",$E365&lt;=AG$2,$F365&gt;=AG$2),1,0)</f>
        <v/>
      </c>
      <c r="AH365">
        <f>AH364+IF(AND($E365&lt;&gt;"",$E365&lt;=AH$2,$F365&gt;=AH$2),1,0)</f>
        <v/>
      </c>
      <c r="AI365">
        <f>AI364+IF(AND($E365&lt;&gt;"",$E365&lt;=AI$2,$F365&gt;=AI$2),1,0)</f>
        <v/>
      </c>
      <c r="AJ365">
        <f>AJ364+IF(AND($E365&lt;&gt;"",$E365&lt;=AJ$2,$F365&gt;=AJ$2),1,0)</f>
        <v/>
      </c>
      <c r="AK365">
        <f>AK364+IF(AND($E365&lt;&gt;"",$E365&lt;=AK$2,$F365&gt;=AK$2),1,0)</f>
        <v/>
      </c>
      <c r="AL365">
        <f>AL364+IF(AND($E365&lt;&gt;"",$E365&lt;=AL$2,$F365&gt;=AL$2),1,0)</f>
        <v/>
      </c>
      <c r="AM365">
        <f>AM364+IF(AND($E365&lt;&gt;"",$E365&lt;=AM$2,$F365&gt;=AM$2),1,0)</f>
        <v/>
      </c>
      <c r="AN365">
        <f>AN364+IF(AND($E365&lt;&gt;"",$E365&lt;=AN$2,$F365&gt;=AN$2),1,0)</f>
        <v/>
      </c>
      <c r="AO365">
        <f>AO364+IF(AND($E365&lt;&gt;"",$E365&lt;=AO$2,$F365&gt;=AO$2),1,0)</f>
        <v/>
      </c>
      <c r="AP365">
        <f>AP364+IF(AND($E365&lt;&gt;"",$E365&lt;=AP$2,$F365&gt;=AP$2),1,0)</f>
        <v/>
      </c>
      <c r="AQ365">
        <f>AQ364+IF(AND($E365&lt;&gt;"",$E365&lt;=AQ$2,$F365&gt;=AQ$2),1,0)</f>
        <v/>
      </c>
      <c r="AR365">
        <f>AR364+IF(AND($E365&lt;&gt;"",$E365&lt;=AR$2,$F365&gt;=AR$2),1,0)</f>
        <v/>
      </c>
      <c r="AS365">
        <f>AS364+IF(AND($E365&lt;&gt;"",$E365&lt;=AS$2,$F365&gt;=AS$2),1,0)</f>
        <v/>
      </c>
      <c r="AT365">
        <f>AT364+IF(AND($E365&lt;&gt;"",$E365&lt;=AT$2,$F365&gt;=AT$2),1,0)</f>
        <v/>
      </c>
      <c r="AU365">
        <f>AU364+IF(AND($E365&lt;&gt;"",$E365&lt;=AU$2,$F365&gt;=AU$2),1,0)</f>
        <v/>
      </c>
      <c r="AV365">
        <f>AV364+IF(AND($E365&lt;&gt;"",$E365&lt;=AV$2,$F365&gt;=AV$2),1,0)</f>
        <v/>
      </c>
      <c r="AW365">
        <f>AW364+IF(AND($E365&lt;&gt;"",$E365&lt;=AW$2,$F365&gt;=AW$2),1,0)</f>
        <v/>
      </c>
    </row>
    <row r="366">
      <c r="A366">
        <f>IF(AND(ISNUMBER(Events!$A368),ISNUMBER(Events!$B368)),MAX(0,Events!$B368-Events!$A368),0)</f>
        <v/>
      </c>
      <c r="B366">
        <f>IF(ISNUMBER(Events!$A368),DATE(YEAR($B$1)-1,MONTH(Events!$A368),DAY(Events!$A368)),"")</f>
        <v/>
      </c>
      <c r="C366">
        <f>IF(ISNUMBER(Events!$A368),DATE(YEAR($B$1),MONTH(Events!$A368),DAY(Events!$A368)),"")</f>
        <v/>
      </c>
      <c r="D366">
        <f>IF(ISNUMBER(Events!$A368),DATE(YEAR($B$2),MONTH(Events!$A368),DAY(Events!$A368)),"")</f>
        <v/>
      </c>
      <c r="E366">
        <f>IF(OR(NOT(ISNUMBER(Events!$A368)),Events!$G368="No",Calendar!$H$4="None"),"",IF(OR(Calendar!$H$4="All events",Events!$D368=Calendar!$H$4),IF(Events!$E368="Yes",IF(AND(B366&gt;=Events!$A368,B366&lt;=$B$2,B366+$A366&gt;=$B$1),B366,IF(AND(C366&gt;=Events!$A368,C366&lt;=$B$2,C366+$A366&gt;=$B$1),C366,IF(AND(D366&gt;=Events!$A368,D366&lt;=$B$2,D366+$A366&gt;=$B$1),D366,""))),IF(AND(Events!$A368&lt;=$B$2,Events!$A368+$A366&gt;=$B$1),Events!$A368,"")),""))</f>
        <v/>
      </c>
      <c r="F366">
        <f>IF(E366="","",E366+A366)</f>
        <v/>
      </c>
      <c r="G366">
        <f>IF(E366="","",IF(AND(E366&lt;=EOMONTH(Calendar!$K$2,0),F366&gt;=Calendar!$K$2),E366+363/100000,""))</f>
        <v/>
      </c>
      <c r="H366">
        <f>H365+IF(AND($E366&lt;&gt;"",$E366&lt;=H$2,$F366&gt;=H$2),1,0)</f>
        <v/>
      </c>
      <c r="I366">
        <f>I365+IF(AND($E366&lt;&gt;"",$E366&lt;=I$2,$F366&gt;=I$2),1,0)</f>
        <v/>
      </c>
      <c r="J366">
        <f>J365+IF(AND($E366&lt;&gt;"",$E366&lt;=J$2,$F366&gt;=J$2),1,0)</f>
        <v/>
      </c>
      <c r="K366">
        <f>K365+IF(AND($E366&lt;&gt;"",$E366&lt;=K$2,$F366&gt;=K$2),1,0)</f>
        <v/>
      </c>
      <c r="L366">
        <f>L365+IF(AND($E366&lt;&gt;"",$E366&lt;=L$2,$F366&gt;=L$2),1,0)</f>
        <v/>
      </c>
      <c r="M366">
        <f>M365+IF(AND($E366&lt;&gt;"",$E366&lt;=M$2,$F366&gt;=M$2),1,0)</f>
        <v/>
      </c>
      <c r="N366">
        <f>N365+IF(AND($E366&lt;&gt;"",$E366&lt;=N$2,$F366&gt;=N$2),1,0)</f>
        <v/>
      </c>
      <c r="O366">
        <f>O365+IF(AND($E366&lt;&gt;"",$E366&lt;=O$2,$F366&gt;=O$2),1,0)</f>
        <v/>
      </c>
      <c r="P366">
        <f>P365+IF(AND($E366&lt;&gt;"",$E366&lt;=P$2,$F366&gt;=P$2),1,0)</f>
        <v/>
      </c>
      <c r="Q366">
        <f>Q365+IF(AND($E366&lt;&gt;"",$E366&lt;=Q$2,$F366&gt;=Q$2),1,0)</f>
        <v/>
      </c>
      <c r="R366">
        <f>R365+IF(AND($E366&lt;&gt;"",$E366&lt;=R$2,$F366&gt;=R$2),1,0)</f>
        <v/>
      </c>
      <c r="S366">
        <f>S365+IF(AND($E366&lt;&gt;"",$E366&lt;=S$2,$F366&gt;=S$2),1,0)</f>
        <v/>
      </c>
      <c r="T366">
        <f>T365+IF(AND($E366&lt;&gt;"",$E366&lt;=T$2,$F366&gt;=T$2),1,0)</f>
        <v/>
      </c>
      <c r="U366">
        <f>U365+IF(AND($E366&lt;&gt;"",$E366&lt;=U$2,$F366&gt;=U$2),1,0)</f>
        <v/>
      </c>
      <c r="V366">
        <f>V365+IF(AND($E366&lt;&gt;"",$E366&lt;=V$2,$F366&gt;=V$2),1,0)</f>
        <v/>
      </c>
      <c r="W366">
        <f>W365+IF(AND($E366&lt;&gt;"",$E366&lt;=W$2,$F366&gt;=W$2),1,0)</f>
        <v/>
      </c>
      <c r="X366">
        <f>X365+IF(AND($E366&lt;&gt;"",$E366&lt;=X$2,$F366&gt;=X$2),1,0)</f>
        <v/>
      </c>
      <c r="Y366">
        <f>Y365+IF(AND($E366&lt;&gt;"",$E366&lt;=Y$2,$F366&gt;=Y$2),1,0)</f>
        <v/>
      </c>
      <c r="Z366">
        <f>Z365+IF(AND($E366&lt;&gt;"",$E366&lt;=Z$2,$F366&gt;=Z$2),1,0)</f>
        <v/>
      </c>
      <c r="AA366">
        <f>AA365+IF(AND($E366&lt;&gt;"",$E366&lt;=AA$2,$F366&gt;=AA$2),1,0)</f>
        <v/>
      </c>
      <c r="AB366">
        <f>AB365+IF(AND($E366&lt;&gt;"",$E366&lt;=AB$2,$F366&gt;=AB$2),1,0)</f>
        <v/>
      </c>
      <c r="AC366">
        <f>AC365+IF(AND($E366&lt;&gt;"",$E366&lt;=AC$2,$F366&gt;=AC$2),1,0)</f>
        <v/>
      </c>
      <c r="AD366">
        <f>AD365+IF(AND($E366&lt;&gt;"",$E366&lt;=AD$2,$F366&gt;=AD$2),1,0)</f>
        <v/>
      </c>
      <c r="AE366">
        <f>AE365+IF(AND($E366&lt;&gt;"",$E366&lt;=AE$2,$F366&gt;=AE$2),1,0)</f>
        <v/>
      </c>
      <c r="AF366">
        <f>AF365+IF(AND($E366&lt;&gt;"",$E366&lt;=AF$2,$F366&gt;=AF$2),1,0)</f>
        <v/>
      </c>
      <c r="AG366">
        <f>AG365+IF(AND($E366&lt;&gt;"",$E366&lt;=AG$2,$F366&gt;=AG$2),1,0)</f>
        <v/>
      </c>
      <c r="AH366">
        <f>AH365+IF(AND($E366&lt;&gt;"",$E366&lt;=AH$2,$F366&gt;=AH$2),1,0)</f>
        <v/>
      </c>
      <c r="AI366">
        <f>AI365+IF(AND($E366&lt;&gt;"",$E366&lt;=AI$2,$F366&gt;=AI$2),1,0)</f>
        <v/>
      </c>
      <c r="AJ366">
        <f>AJ365+IF(AND($E366&lt;&gt;"",$E366&lt;=AJ$2,$F366&gt;=AJ$2),1,0)</f>
        <v/>
      </c>
      <c r="AK366">
        <f>AK365+IF(AND($E366&lt;&gt;"",$E366&lt;=AK$2,$F366&gt;=AK$2),1,0)</f>
        <v/>
      </c>
      <c r="AL366">
        <f>AL365+IF(AND($E366&lt;&gt;"",$E366&lt;=AL$2,$F366&gt;=AL$2),1,0)</f>
        <v/>
      </c>
      <c r="AM366">
        <f>AM365+IF(AND($E366&lt;&gt;"",$E366&lt;=AM$2,$F366&gt;=AM$2),1,0)</f>
        <v/>
      </c>
      <c r="AN366">
        <f>AN365+IF(AND($E366&lt;&gt;"",$E366&lt;=AN$2,$F366&gt;=AN$2),1,0)</f>
        <v/>
      </c>
      <c r="AO366">
        <f>AO365+IF(AND($E366&lt;&gt;"",$E366&lt;=AO$2,$F366&gt;=AO$2),1,0)</f>
        <v/>
      </c>
      <c r="AP366">
        <f>AP365+IF(AND($E366&lt;&gt;"",$E366&lt;=AP$2,$F366&gt;=AP$2),1,0)</f>
        <v/>
      </c>
      <c r="AQ366">
        <f>AQ365+IF(AND($E366&lt;&gt;"",$E366&lt;=AQ$2,$F366&gt;=AQ$2),1,0)</f>
        <v/>
      </c>
      <c r="AR366">
        <f>AR365+IF(AND($E366&lt;&gt;"",$E366&lt;=AR$2,$F366&gt;=AR$2),1,0)</f>
        <v/>
      </c>
      <c r="AS366">
        <f>AS365+IF(AND($E366&lt;&gt;"",$E366&lt;=AS$2,$F366&gt;=AS$2),1,0)</f>
        <v/>
      </c>
      <c r="AT366">
        <f>AT365+IF(AND($E366&lt;&gt;"",$E366&lt;=AT$2,$F366&gt;=AT$2),1,0)</f>
        <v/>
      </c>
      <c r="AU366">
        <f>AU365+IF(AND($E366&lt;&gt;"",$E366&lt;=AU$2,$F366&gt;=AU$2),1,0)</f>
        <v/>
      </c>
      <c r="AV366">
        <f>AV365+IF(AND($E366&lt;&gt;"",$E366&lt;=AV$2,$F366&gt;=AV$2),1,0)</f>
        <v/>
      </c>
      <c r="AW366">
        <f>AW365+IF(AND($E366&lt;&gt;"",$E366&lt;=AW$2,$F366&gt;=AW$2),1,0)</f>
        <v/>
      </c>
    </row>
    <row r="367">
      <c r="A367">
        <f>IF(AND(ISNUMBER(Events!$A369),ISNUMBER(Events!$B369)),MAX(0,Events!$B369-Events!$A369),0)</f>
        <v/>
      </c>
      <c r="B367">
        <f>IF(ISNUMBER(Events!$A369),DATE(YEAR($B$1)-1,MONTH(Events!$A369),DAY(Events!$A369)),"")</f>
        <v/>
      </c>
      <c r="C367">
        <f>IF(ISNUMBER(Events!$A369),DATE(YEAR($B$1),MONTH(Events!$A369),DAY(Events!$A369)),"")</f>
        <v/>
      </c>
      <c r="D367">
        <f>IF(ISNUMBER(Events!$A369),DATE(YEAR($B$2),MONTH(Events!$A369),DAY(Events!$A369)),"")</f>
        <v/>
      </c>
      <c r="E367">
        <f>IF(OR(NOT(ISNUMBER(Events!$A369)),Events!$G369="No",Calendar!$H$4="None"),"",IF(OR(Calendar!$H$4="All events",Events!$D369=Calendar!$H$4),IF(Events!$E369="Yes",IF(AND(B367&gt;=Events!$A369,B367&lt;=$B$2,B367+$A367&gt;=$B$1),B367,IF(AND(C367&gt;=Events!$A369,C367&lt;=$B$2,C367+$A367&gt;=$B$1),C367,IF(AND(D367&gt;=Events!$A369,D367&lt;=$B$2,D367+$A367&gt;=$B$1),D367,""))),IF(AND(Events!$A369&lt;=$B$2,Events!$A369+$A367&gt;=$B$1),Events!$A369,"")),""))</f>
        <v/>
      </c>
      <c r="F367">
        <f>IF(E367="","",E367+A367)</f>
        <v/>
      </c>
      <c r="G367">
        <f>IF(E367="","",IF(AND(E367&lt;=EOMONTH(Calendar!$K$2,0),F367&gt;=Calendar!$K$2),E367+364/100000,""))</f>
        <v/>
      </c>
      <c r="H367">
        <f>H366+IF(AND($E367&lt;&gt;"",$E367&lt;=H$2,$F367&gt;=H$2),1,0)</f>
        <v/>
      </c>
      <c r="I367">
        <f>I366+IF(AND($E367&lt;&gt;"",$E367&lt;=I$2,$F367&gt;=I$2),1,0)</f>
        <v/>
      </c>
      <c r="J367">
        <f>J366+IF(AND($E367&lt;&gt;"",$E367&lt;=J$2,$F367&gt;=J$2),1,0)</f>
        <v/>
      </c>
      <c r="K367">
        <f>K366+IF(AND($E367&lt;&gt;"",$E367&lt;=K$2,$F367&gt;=K$2),1,0)</f>
        <v/>
      </c>
      <c r="L367">
        <f>L366+IF(AND($E367&lt;&gt;"",$E367&lt;=L$2,$F367&gt;=L$2),1,0)</f>
        <v/>
      </c>
      <c r="M367">
        <f>M366+IF(AND($E367&lt;&gt;"",$E367&lt;=M$2,$F367&gt;=M$2),1,0)</f>
        <v/>
      </c>
      <c r="N367">
        <f>N366+IF(AND($E367&lt;&gt;"",$E367&lt;=N$2,$F367&gt;=N$2),1,0)</f>
        <v/>
      </c>
      <c r="O367">
        <f>O366+IF(AND($E367&lt;&gt;"",$E367&lt;=O$2,$F367&gt;=O$2),1,0)</f>
        <v/>
      </c>
      <c r="P367">
        <f>P366+IF(AND($E367&lt;&gt;"",$E367&lt;=P$2,$F367&gt;=P$2),1,0)</f>
        <v/>
      </c>
      <c r="Q367">
        <f>Q366+IF(AND($E367&lt;&gt;"",$E367&lt;=Q$2,$F367&gt;=Q$2),1,0)</f>
        <v/>
      </c>
      <c r="R367">
        <f>R366+IF(AND($E367&lt;&gt;"",$E367&lt;=R$2,$F367&gt;=R$2),1,0)</f>
        <v/>
      </c>
      <c r="S367">
        <f>S366+IF(AND($E367&lt;&gt;"",$E367&lt;=S$2,$F367&gt;=S$2),1,0)</f>
        <v/>
      </c>
      <c r="T367">
        <f>T366+IF(AND($E367&lt;&gt;"",$E367&lt;=T$2,$F367&gt;=T$2),1,0)</f>
        <v/>
      </c>
      <c r="U367">
        <f>U366+IF(AND($E367&lt;&gt;"",$E367&lt;=U$2,$F367&gt;=U$2),1,0)</f>
        <v/>
      </c>
      <c r="V367">
        <f>V366+IF(AND($E367&lt;&gt;"",$E367&lt;=V$2,$F367&gt;=V$2),1,0)</f>
        <v/>
      </c>
      <c r="W367">
        <f>W366+IF(AND($E367&lt;&gt;"",$E367&lt;=W$2,$F367&gt;=W$2),1,0)</f>
        <v/>
      </c>
      <c r="X367">
        <f>X366+IF(AND($E367&lt;&gt;"",$E367&lt;=X$2,$F367&gt;=X$2),1,0)</f>
        <v/>
      </c>
      <c r="Y367">
        <f>Y366+IF(AND($E367&lt;&gt;"",$E367&lt;=Y$2,$F367&gt;=Y$2),1,0)</f>
        <v/>
      </c>
      <c r="Z367">
        <f>Z366+IF(AND($E367&lt;&gt;"",$E367&lt;=Z$2,$F367&gt;=Z$2),1,0)</f>
        <v/>
      </c>
      <c r="AA367">
        <f>AA366+IF(AND($E367&lt;&gt;"",$E367&lt;=AA$2,$F367&gt;=AA$2),1,0)</f>
        <v/>
      </c>
      <c r="AB367">
        <f>AB366+IF(AND($E367&lt;&gt;"",$E367&lt;=AB$2,$F367&gt;=AB$2),1,0)</f>
        <v/>
      </c>
      <c r="AC367">
        <f>AC366+IF(AND($E367&lt;&gt;"",$E367&lt;=AC$2,$F367&gt;=AC$2),1,0)</f>
        <v/>
      </c>
      <c r="AD367">
        <f>AD366+IF(AND($E367&lt;&gt;"",$E367&lt;=AD$2,$F367&gt;=AD$2),1,0)</f>
        <v/>
      </c>
      <c r="AE367">
        <f>AE366+IF(AND($E367&lt;&gt;"",$E367&lt;=AE$2,$F367&gt;=AE$2),1,0)</f>
        <v/>
      </c>
      <c r="AF367">
        <f>AF366+IF(AND($E367&lt;&gt;"",$E367&lt;=AF$2,$F367&gt;=AF$2),1,0)</f>
        <v/>
      </c>
      <c r="AG367">
        <f>AG366+IF(AND($E367&lt;&gt;"",$E367&lt;=AG$2,$F367&gt;=AG$2),1,0)</f>
        <v/>
      </c>
      <c r="AH367">
        <f>AH366+IF(AND($E367&lt;&gt;"",$E367&lt;=AH$2,$F367&gt;=AH$2),1,0)</f>
        <v/>
      </c>
      <c r="AI367">
        <f>AI366+IF(AND($E367&lt;&gt;"",$E367&lt;=AI$2,$F367&gt;=AI$2),1,0)</f>
        <v/>
      </c>
      <c r="AJ367">
        <f>AJ366+IF(AND($E367&lt;&gt;"",$E367&lt;=AJ$2,$F367&gt;=AJ$2),1,0)</f>
        <v/>
      </c>
      <c r="AK367">
        <f>AK366+IF(AND($E367&lt;&gt;"",$E367&lt;=AK$2,$F367&gt;=AK$2),1,0)</f>
        <v/>
      </c>
      <c r="AL367">
        <f>AL366+IF(AND($E367&lt;&gt;"",$E367&lt;=AL$2,$F367&gt;=AL$2),1,0)</f>
        <v/>
      </c>
      <c r="AM367">
        <f>AM366+IF(AND($E367&lt;&gt;"",$E367&lt;=AM$2,$F367&gt;=AM$2),1,0)</f>
        <v/>
      </c>
      <c r="AN367">
        <f>AN366+IF(AND($E367&lt;&gt;"",$E367&lt;=AN$2,$F367&gt;=AN$2),1,0)</f>
        <v/>
      </c>
      <c r="AO367">
        <f>AO366+IF(AND($E367&lt;&gt;"",$E367&lt;=AO$2,$F367&gt;=AO$2),1,0)</f>
        <v/>
      </c>
      <c r="AP367">
        <f>AP366+IF(AND($E367&lt;&gt;"",$E367&lt;=AP$2,$F367&gt;=AP$2),1,0)</f>
        <v/>
      </c>
      <c r="AQ367">
        <f>AQ366+IF(AND($E367&lt;&gt;"",$E367&lt;=AQ$2,$F367&gt;=AQ$2),1,0)</f>
        <v/>
      </c>
      <c r="AR367">
        <f>AR366+IF(AND($E367&lt;&gt;"",$E367&lt;=AR$2,$F367&gt;=AR$2),1,0)</f>
        <v/>
      </c>
      <c r="AS367">
        <f>AS366+IF(AND($E367&lt;&gt;"",$E367&lt;=AS$2,$F367&gt;=AS$2),1,0)</f>
        <v/>
      </c>
      <c r="AT367">
        <f>AT366+IF(AND($E367&lt;&gt;"",$E367&lt;=AT$2,$F367&gt;=AT$2),1,0)</f>
        <v/>
      </c>
      <c r="AU367">
        <f>AU366+IF(AND($E367&lt;&gt;"",$E367&lt;=AU$2,$F367&gt;=AU$2),1,0)</f>
        <v/>
      </c>
      <c r="AV367">
        <f>AV366+IF(AND($E367&lt;&gt;"",$E367&lt;=AV$2,$F367&gt;=AV$2),1,0)</f>
        <v/>
      </c>
      <c r="AW367">
        <f>AW366+IF(AND($E367&lt;&gt;"",$E367&lt;=AW$2,$F367&gt;=AW$2),1,0)</f>
        <v/>
      </c>
    </row>
    <row r="368">
      <c r="A368">
        <f>IF(AND(ISNUMBER(Events!$A370),ISNUMBER(Events!$B370)),MAX(0,Events!$B370-Events!$A370),0)</f>
        <v/>
      </c>
      <c r="B368">
        <f>IF(ISNUMBER(Events!$A370),DATE(YEAR($B$1)-1,MONTH(Events!$A370),DAY(Events!$A370)),"")</f>
        <v/>
      </c>
      <c r="C368">
        <f>IF(ISNUMBER(Events!$A370),DATE(YEAR($B$1),MONTH(Events!$A370),DAY(Events!$A370)),"")</f>
        <v/>
      </c>
      <c r="D368">
        <f>IF(ISNUMBER(Events!$A370),DATE(YEAR($B$2),MONTH(Events!$A370),DAY(Events!$A370)),"")</f>
        <v/>
      </c>
      <c r="E368">
        <f>IF(OR(NOT(ISNUMBER(Events!$A370)),Events!$G370="No",Calendar!$H$4="None"),"",IF(OR(Calendar!$H$4="All events",Events!$D370=Calendar!$H$4),IF(Events!$E370="Yes",IF(AND(B368&gt;=Events!$A370,B368&lt;=$B$2,B368+$A368&gt;=$B$1),B368,IF(AND(C368&gt;=Events!$A370,C368&lt;=$B$2,C368+$A368&gt;=$B$1),C368,IF(AND(D368&gt;=Events!$A370,D368&lt;=$B$2,D368+$A368&gt;=$B$1),D368,""))),IF(AND(Events!$A370&lt;=$B$2,Events!$A370+$A368&gt;=$B$1),Events!$A370,"")),""))</f>
        <v/>
      </c>
      <c r="F368">
        <f>IF(E368="","",E368+A368)</f>
        <v/>
      </c>
      <c r="G368">
        <f>IF(E368="","",IF(AND(E368&lt;=EOMONTH(Calendar!$K$2,0),F368&gt;=Calendar!$K$2),E368+365/100000,""))</f>
        <v/>
      </c>
      <c r="H368">
        <f>H367+IF(AND($E368&lt;&gt;"",$E368&lt;=H$2,$F368&gt;=H$2),1,0)</f>
        <v/>
      </c>
      <c r="I368">
        <f>I367+IF(AND($E368&lt;&gt;"",$E368&lt;=I$2,$F368&gt;=I$2),1,0)</f>
        <v/>
      </c>
      <c r="J368">
        <f>J367+IF(AND($E368&lt;&gt;"",$E368&lt;=J$2,$F368&gt;=J$2),1,0)</f>
        <v/>
      </c>
      <c r="K368">
        <f>K367+IF(AND($E368&lt;&gt;"",$E368&lt;=K$2,$F368&gt;=K$2),1,0)</f>
        <v/>
      </c>
      <c r="L368">
        <f>L367+IF(AND($E368&lt;&gt;"",$E368&lt;=L$2,$F368&gt;=L$2),1,0)</f>
        <v/>
      </c>
      <c r="M368">
        <f>M367+IF(AND($E368&lt;&gt;"",$E368&lt;=M$2,$F368&gt;=M$2),1,0)</f>
        <v/>
      </c>
      <c r="N368">
        <f>N367+IF(AND($E368&lt;&gt;"",$E368&lt;=N$2,$F368&gt;=N$2),1,0)</f>
        <v/>
      </c>
      <c r="O368">
        <f>O367+IF(AND($E368&lt;&gt;"",$E368&lt;=O$2,$F368&gt;=O$2),1,0)</f>
        <v/>
      </c>
      <c r="P368">
        <f>P367+IF(AND($E368&lt;&gt;"",$E368&lt;=P$2,$F368&gt;=P$2),1,0)</f>
        <v/>
      </c>
      <c r="Q368">
        <f>Q367+IF(AND($E368&lt;&gt;"",$E368&lt;=Q$2,$F368&gt;=Q$2),1,0)</f>
        <v/>
      </c>
      <c r="R368">
        <f>R367+IF(AND($E368&lt;&gt;"",$E368&lt;=R$2,$F368&gt;=R$2),1,0)</f>
        <v/>
      </c>
      <c r="S368">
        <f>S367+IF(AND($E368&lt;&gt;"",$E368&lt;=S$2,$F368&gt;=S$2),1,0)</f>
        <v/>
      </c>
      <c r="T368">
        <f>T367+IF(AND($E368&lt;&gt;"",$E368&lt;=T$2,$F368&gt;=T$2),1,0)</f>
        <v/>
      </c>
      <c r="U368">
        <f>U367+IF(AND($E368&lt;&gt;"",$E368&lt;=U$2,$F368&gt;=U$2),1,0)</f>
        <v/>
      </c>
      <c r="V368">
        <f>V367+IF(AND($E368&lt;&gt;"",$E368&lt;=V$2,$F368&gt;=V$2),1,0)</f>
        <v/>
      </c>
      <c r="W368">
        <f>W367+IF(AND($E368&lt;&gt;"",$E368&lt;=W$2,$F368&gt;=W$2),1,0)</f>
        <v/>
      </c>
      <c r="X368">
        <f>X367+IF(AND($E368&lt;&gt;"",$E368&lt;=X$2,$F368&gt;=X$2),1,0)</f>
        <v/>
      </c>
      <c r="Y368">
        <f>Y367+IF(AND($E368&lt;&gt;"",$E368&lt;=Y$2,$F368&gt;=Y$2),1,0)</f>
        <v/>
      </c>
      <c r="Z368">
        <f>Z367+IF(AND($E368&lt;&gt;"",$E368&lt;=Z$2,$F368&gt;=Z$2),1,0)</f>
        <v/>
      </c>
      <c r="AA368">
        <f>AA367+IF(AND($E368&lt;&gt;"",$E368&lt;=AA$2,$F368&gt;=AA$2),1,0)</f>
        <v/>
      </c>
      <c r="AB368">
        <f>AB367+IF(AND($E368&lt;&gt;"",$E368&lt;=AB$2,$F368&gt;=AB$2),1,0)</f>
        <v/>
      </c>
      <c r="AC368">
        <f>AC367+IF(AND($E368&lt;&gt;"",$E368&lt;=AC$2,$F368&gt;=AC$2),1,0)</f>
        <v/>
      </c>
      <c r="AD368">
        <f>AD367+IF(AND($E368&lt;&gt;"",$E368&lt;=AD$2,$F368&gt;=AD$2),1,0)</f>
        <v/>
      </c>
      <c r="AE368">
        <f>AE367+IF(AND($E368&lt;&gt;"",$E368&lt;=AE$2,$F368&gt;=AE$2),1,0)</f>
        <v/>
      </c>
      <c r="AF368">
        <f>AF367+IF(AND($E368&lt;&gt;"",$E368&lt;=AF$2,$F368&gt;=AF$2),1,0)</f>
        <v/>
      </c>
      <c r="AG368">
        <f>AG367+IF(AND($E368&lt;&gt;"",$E368&lt;=AG$2,$F368&gt;=AG$2),1,0)</f>
        <v/>
      </c>
      <c r="AH368">
        <f>AH367+IF(AND($E368&lt;&gt;"",$E368&lt;=AH$2,$F368&gt;=AH$2),1,0)</f>
        <v/>
      </c>
      <c r="AI368">
        <f>AI367+IF(AND($E368&lt;&gt;"",$E368&lt;=AI$2,$F368&gt;=AI$2),1,0)</f>
        <v/>
      </c>
      <c r="AJ368">
        <f>AJ367+IF(AND($E368&lt;&gt;"",$E368&lt;=AJ$2,$F368&gt;=AJ$2),1,0)</f>
        <v/>
      </c>
      <c r="AK368">
        <f>AK367+IF(AND($E368&lt;&gt;"",$E368&lt;=AK$2,$F368&gt;=AK$2),1,0)</f>
        <v/>
      </c>
      <c r="AL368">
        <f>AL367+IF(AND($E368&lt;&gt;"",$E368&lt;=AL$2,$F368&gt;=AL$2),1,0)</f>
        <v/>
      </c>
      <c r="AM368">
        <f>AM367+IF(AND($E368&lt;&gt;"",$E368&lt;=AM$2,$F368&gt;=AM$2),1,0)</f>
        <v/>
      </c>
      <c r="AN368">
        <f>AN367+IF(AND($E368&lt;&gt;"",$E368&lt;=AN$2,$F368&gt;=AN$2),1,0)</f>
        <v/>
      </c>
      <c r="AO368">
        <f>AO367+IF(AND($E368&lt;&gt;"",$E368&lt;=AO$2,$F368&gt;=AO$2),1,0)</f>
        <v/>
      </c>
      <c r="AP368">
        <f>AP367+IF(AND($E368&lt;&gt;"",$E368&lt;=AP$2,$F368&gt;=AP$2),1,0)</f>
        <v/>
      </c>
      <c r="AQ368">
        <f>AQ367+IF(AND($E368&lt;&gt;"",$E368&lt;=AQ$2,$F368&gt;=AQ$2),1,0)</f>
        <v/>
      </c>
      <c r="AR368">
        <f>AR367+IF(AND($E368&lt;&gt;"",$E368&lt;=AR$2,$F368&gt;=AR$2),1,0)</f>
        <v/>
      </c>
      <c r="AS368">
        <f>AS367+IF(AND($E368&lt;&gt;"",$E368&lt;=AS$2,$F368&gt;=AS$2),1,0)</f>
        <v/>
      </c>
      <c r="AT368">
        <f>AT367+IF(AND($E368&lt;&gt;"",$E368&lt;=AT$2,$F368&gt;=AT$2),1,0)</f>
        <v/>
      </c>
      <c r="AU368">
        <f>AU367+IF(AND($E368&lt;&gt;"",$E368&lt;=AU$2,$F368&gt;=AU$2),1,0)</f>
        <v/>
      </c>
      <c r="AV368">
        <f>AV367+IF(AND($E368&lt;&gt;"",$E368&lt;=AV$2,$F368&gt;=AV$2),1,0)</f>
        <v/>
      </c>
      <c r="AW368">
        <f>AW367+IF(AND($E368&lt;&gt;"",$E368&lt;=AW$2,$F368&gt;=AW$2),1,0)</f>
        <v/>
      </c>
    </row>
    <row r="369">
      <c r="A369">
        <f>IF(AND(ISNUMBER(Events!$A371),ISNUMBER(Events!$B371)),MAX(0,Events!$B371-Events!$A371),0)</f>
        <v/>
      </c>
      <c r="B369">
        <f>IF(ISNUMBER(Events!$A371),DATE(YEAR($B$1)-1,MONTH(Events!$A371),DAY(Events!$A371)),"")</f>
        <v/>
      </c>
      <c r="C369">
        <f>IF(ISNUMBER(Events!$A371),DATE(YEAR($B$1),MONTH(Events!$A371),DAY(Events!$A371)),"")</f>
        <v/>
      </c>
      <c r="D369">
        <f>IF(ISNUMBER(Events!$A371),DATE(YEAR($B$2),MONTH(Events!$A371),DAY(Events!$A371)),"")</f>
        <v/>
      </c>
      <c r="E369">
        <f>IF(OR(NOT(ISNUMBER(Events!$A371)),Events!$G371="No",Calendar!$H$4="None"),"",IF(OR(Calendar!$H$4="All events",Events!$D371=Calendar!$H$4),IF(Events!$E371="Yes",IF(AND(B369&gt;=Events!$A371,B369&lt;=$B$2,B369+$A369&gt;=$B$1),B369,IF(AND(C369&gt;=Events!$A371,C369&lt;=$B$2,C369+$A369&gt;=$B$1),C369,IF(AND(D369&gt;=Events!$A371,D369&lt;=$B$2,D369+$A369&gt;=$B$1),D369,""))),IF(AND(Events!$A371&lt;=$B$2,Events!$A371+$A369&gt;=$B$1),Events!$A371,"")),""))</f>
        <v/>
      </c>
      <c r="F369">
        <f>IF(E369="","",E369+A369)</f>
        <v/>
      </c>
      <c r="G369">
        <f>IF(E369="","",IF(AND(E369&lt;=EOMONTH(Calendar!$K$2,0),F369&gt;=Calendar!$K$2),E369+366/100000,""))</f>
        <v/>
      </c>
      <c r="H369">
        <f>H368+IF(AND($E369&lt;&gt;"",$E369&lt;=H$2,$F369&gt;=H$2),1,0)</f>
        <v/>
      </c>
      <c r="I369">
        <f>I368+IF(AND($E369&lt;&gt;"",$E369&lt;=I$2,$F369&gt;=I$2),1,0)</f>
        <v/>
      </c>
      <c r="J369">
        <f>J368+IF(AND($E369&lt;&gt;"",$E369&lt;=J$2,$F369&gt;=J$2),1,0)</f>
        <v/>
      </c>
      <c r="K369">
        <f>K368+IF(AND($E369&lt;&gt;"",$E369&lt;=K$2,$F369&gt;=K$2),1,0)</f>
        <v/>
      </c>
      <c r="L369">
        <f>L368+IF(AND($E369&lt;&gt;"",$E369&lt;=L$2,$F369&gt;=L$2),1,0)</f>
        <v/>
      </c>
      <c r="M369">
        <f>M368+IF(AND($E369&lt;&gt;"",$E369&lt;=M$2,$F369&gt;=M$2),1,0)</f>
        <v/>
      </c>
      <c r="N369">
        <f>N368+IF(AND($E369&lt;&gt;"",$E369&lt;=N$2,$F369&gt;=N$2),1,0)</f>
        <v/>
      </c>
      <c r="O369">
        <f>O368+IF(AND($E369&lt;&gt;"",$E369&lt;=O$2,$F369&gt;=O$2),1,0)</f>
        <v/>
      </c>
      <c r="P369">
        <f>P368+IF(AND($E369&lt;&gt;"",$E369&lt;=P$2,$F369&gt;=P$2),1,0)</f>
        <v/>
      </c>
      <c r="Q369">
        <f>Q368+IF(AND($E369&lt;&gt;"",$E369&lt;=Q$2,$F369&gt;=Q$2),1,0)</f>
        <v/>
      </c>
      <c r="R369">
        <f>R368+IF(AND($E369&lt;&gt;"",$E369&lt;=R$2,$F369&gt;=R$2),1,0)</f>
        <v/>
      </c>
      <c r="S369">
        <f>S368+IF(AND($E369&lt;&gt;"",$E369&lt;=S$2,$F369&gt;=S$2),1,0)</f>
        <v/>
      </c>
      <c r="T369">
        <f>T368+IF(AND($E369&lt;&gt;"",$E369&lt;=T$2,$F369&gt;=T$2),1,0)</f>
        <v/>
      </c>
      <c r="U369">
        <f>U368+IF(AND($E369&lt;&gt;"",$E369&lt;=U$2,$F369&gt;=U$2),1,0)</f>
        <v/>
      </c>
      <c r="V369">
        <f>V368+IF(AND($E369&lt;&gt;"",$E369&lt;=V$2,$F369&gt;=V$2),1,0)</f>
        <v/>
      </c>
      <c r="W369">
        <f>W368+IF(AND($E369&lt;&gt;"",$E369&lt;=W$2,$F369&gt;=W$2),1,0)</f>
        <v/>
      </c>
      <c r="X369">
        <f>X368+IF(AND($E369&lt;&gt;"",$E369&lt;=X$2,$F369&gt;=X$2),1,0)</f>
        <v/>
      </c>
      <c r="Y369">
        <f>Y368+IF(AND($E369&lt;&gt;"",$E369&lt;=Y$2,$F369&gt;=Y$2),1,0)</f>
        <v/>
      </c>
      <c r="Z369">
        <f>Z368+IF(AND($E369&lt;&gt;"",$E369&lt;=Z$2,$F369&gt;=Z$2),1,0)</f>
        <v/>
      </c>
      <c r="AA369">
        <f>AA368+IF(AND($E369&lt;&gt;"",$E369&lt;=AA$2,$F369&gt;=AA$2),1,0)</f>
        <v/>
      </c>
      <c r="AB369">
        <f>AB368+IF(AND($E369&lt;&gt;"",$E369&lt;=AB$2,$F369&gt;=AB$2),1,0)</f>
        <v/>
      </c>
      <c r="AC369">
        <f>AC368+IF(AND($E369&lt;&gt;"",$E369&lt;=AC$2,$F369&gt;=AC$2),1,0)</f>
        <v/>
      </c>
      <c r="AD369">
        <f>AD368+IF(AND($E369&lt;&gt;"",$E369&lt;=AD$2,$F369&gt;=AD$2),1,0)</f>
        <v/>
      </c>
      <c r="AE369">
        <f>AE368+IF(AND($E369&lt;&gt;"",$E369&lt;=AE$2,$F369&gt;=AE$2),1,0)</f>
        <v/>
      </c>
      <c r="AF369">
        <f>AF368+IF(AND($E369&lt;&gt;"",$E369&lt;=AF$2,$F369&gt;=AF$2),1,0)</f>
        <v/>
      </c>
      <c r="AG369">
        <f>AG368+IF(AND($E369&lt;&gt;"",$E369&lt;=AG$2,$F369&gt;=AG$2),1,0)</f>
        <v/>
      </c>
      <c r="AH369">
        <f>AH368+IF(AND($E369&lt;&gt;"",$E369&lt;=AH$2,$F369&gt;=AH$2),1,0)</f>
        <v/>
      </c>
      <c r="AI369">
        <f>AI368+IF(AND($E369&lt;&gt;"",$E369&lt;=AI$2,$F369&gt;=AI$2),1,0)</f>
        <v/>
      </c>
      <c r="AJ369">
        <f>AJ368+IF(AND($E369&lt;&gt;"",$E369&lt;=AJ$2,$F369&gt;=AJ$2),1,0)</f>
        <v/>
      </c>
      <c r="AK369">
        <f>AK368+IF(AND($E369&lt;&gt;"",$E369&lt;=AK$2,$F369&gt;=AK$2),1,0)</f>
        <v/>
      </c>
      <c r="AL369">
        <f>AL368+IF(AND($E369&lt;&gt;"",$E369&lt;=AL$2,$F369&gt;=AL$2),1,0)</f>
        <v/>
      </c>
      <c r="AM369">
        <f>AM368+IF(AND($E369&lt;&gt;"",$E369&lt;=AM$2,$F369&gt;=AM$2),1,0)</f>
        <v/>
      </c>
      <c r="AN369">
        <f>AN368+IF(AND($E369&lt;&gt;"",$E369&lt;=AN$2,$F369&gt;=AN$2),1,0)</f>
        <v/>
      </c>
      <c r="AO369">
        <f>AO368+IF(AND($E369&lt;&gt;"",$E369&lt;=AO$2,$F369&gt;=AO$2),1,0)</f>
        <v/>
      </c>
      <c r="AP369">
        <f>AP368+IF(AND($E369&lt;&gt;"",$E369&lt;=AP$2,$F369&gt;=AP$2),1,0)</f>
        <v/>
      </c>
      <c r="AQ369">
        <f>AQ368+IF(AND($E369&lt;&gt;"",$E369&lt;=AQ$2,$F369&gt;=AQ$2),1,0)</f>
        <v/>
      </c>
      <c r="AR369">
        <f>AR368+IF(AND($E369&lt;&gt;"",$E369&lt;=AR$2,$F369&gt;=AR$2),1,0)</f>
        <v/>
      </c>
      <c r="AS369">
        <f>AS368+IF(AND($E369&lt;&gt;"",$E369&lt;=AS$2,$F369&gt;=AS$2),1,0)</f>
        <v/>
      </c>
      <c r="AT369">
        <f>AT368+IF(AND($E369&lt;&gt;"",$E369&lt;=AT$2,$F369&gt;=AT$2),1,0)</f>
        <v/>
      </c>
      <c r="AU369">
        <f>AU368+IF(AND($E369&lt;&gt;"",$E369&lt;=AU$2,$F369&gt;=AU$2),1,0)</f>
        <v/>
      </c>
      <c r="AV369">
        <f>AV368+IF(AND($E369&lt;&gt;"",$E369&lt;=AV$2,$F369&gt;=AV$2),1,0)</f>
        <v/>
      </c>
      <c r="AW369">
        <f>AW368+IF(AND($E369&lt;&gt;"",$E369&lt;=AW$2,$F369&gt;=AW$2),1,0)</f>
        <v/>
      </c>
    </row>
    <row r="370">
      <c r="A370">
        <f>IF(AND(ISNUMBER(Events!$A372),ISNUMBER(Events!$B372)),MAX(0,Events!$B372-Events!$A372),0)</f>
        <v/>
      </c>
      <c r="B370">
        <f>IF(ISNUMBER(Events!$A372),DATE(YEAR($B$1)-1,MONTH(Events!$A372),DAY(Events!$A372)),"")</f>
        <v/>
      </c>
      <c r="C370">
        <f>IF(ISNUMBER(Events!$A372),DATE(YEAR($B$1),MONTH(Events!$A372),DAY(Events!$A372)),"")</f>
        <v/>
      </c>
      <c r="D370">
        <f>IF(ISNUMBER(Events!$A372),DATE(YEAR($B$2),MONTH(Events!$A372),DAY(Events!$A372)),"")</f>
        <v/>
      </c>
      <c r="E370">
        <f>IF(OR(NOT(ISNUMBER(Events!$A372)),Events!$G372="No",Calendar!$H$4="None"),"",IF(OR(Calendar!$H$4="All events",Events!$D372=Calendar!$H$4),IF(Events!$E372="Yes",IF(AND(B370&gt;=Events!$A372,B370&lt;=$B$2,B370+$A370&gt;=$B$1),B370,IF(AND(C370&gt;=Events!$A372,C370&lt;=$B$2,C370+$A370&gt;=$B$1),C370,IF(AND(D370&gt;=Events!$A372,D370&lt;=$B$2,D370+$A370&gt;=$B$1),D370,""))),IF(AND(Events!$A372&lt;=$B$2,Events!$A372+$A370&gt;=$B$1),Events!$A372,"")),""))</f>
        <v/>
      </c>
      <c r="F370">
        <f>IF(E370="","",E370+A370)</f>
        <v/>
      </c>
      <c r="G370">
        <f>IF(E370="","",IF(AND(E370&lt;=EOMONTH(Calendar!$K$2,0),F370&gt;=Calendar!$K$2),E370+367/100000,""))</f>
        <v/>
      </c>
      <c r="H370">
        <f>H369+IF(AND($E370&lt;&gt;"",$E370&lt;=H$2,$F370&gt;=H$2),1,0)</f>
        <v/>
      </c>
      <c r="I370">
        <f>I369+IF(AND($E370&lt;&gt;"",$E370&lt;=I$2,$F370&gt;=I$2),1,0)</f>
        <v/>
      </c>
      <c r="J370">
        <f>J369+IF(AND($E370&lt;&gt;"",$E370&lt;=J$2,$F370&gt;=J$2),1,0)</f>
        <v/>
      </c>
      <c r="K370">
        <f>K369+IF(AND($E370&lt;&gt;"",$E370&lt;=K$2,$F370&gt;=K$2),1,0)</f>
        <v/>
      </c>
      <c r="L370">
        <f>L369+IF(AND($E370&lt;&gt;"",$E370&lt;=L$2,$F370&gt;=L$2),1,0)</f>
        <v/>
      </c>
      <c r="M370">
        <f>M369+IF(AND($E370&lt;&gt;"",$E370&lt;=M$2,$F370&gt;=M$2),1,0)</f>
        <v/>
      </c>
      <c r="N370">
        <f>N369+IF(AND($E370&lt;&gt;"",$E370&lt;=N$2,$F370&gt;=N$2),1,0)</f>
        <v/>
      </c>
      <c r="O370">
        <f>O369+IF(AND($E370&lt;&gt;"",$E370&lt;=O$2,$F370&gt;=O$2),1,0)</f>
        <v/>
      </c>
      <c r="P370">
        <f>P369+IF(AND($E370&lt;&gt;"",$E370&lt;=P$2,$F370&gt;=P$2),1,0)</f>
        <v/>
      </c>
      <c r="Q370">
        <f>Q369+IF(AND($E370&lt;&gt;"",$E370&lt;=Q$2,$F370&gt;=Q$2),1,0)</f>
        <v/>
      </c>
      <c r="R370">
        <f>R369+IF(AND($E370&lt;&gt;"",$E370&lt;=R$2,$F370&gt;=R$2),1,0)</f>
        <v/>
      </c>
      <c r="S370">
        <f>S369+IF(AND($E370&lt;&gt;"",$E370&lt;=S$2,$F370&gt;=S$2),1,0)</f>
        <v/>
      </c>
      <c r="T370">
        <f>T369+IF(AND($E370&lt;&gt;"",$E370&lt;=T$2,$F370&gt;=T$2),1,0)</f>
        <v/>
      </c>
      <c r="U370">
        <f>U369+IF(AND($E370&lt;&gt;"",$E370&lt;=U$2,$F370&gt;=U$2),1,0)</f>
        <v/>
      </c>
      <c r="V370">
        <f>V369+IF(AND($E370&lt;&gt;"",$E370&lt;=V$2,$F370&gt;=V$2),1,0)</f>
        <v/>
      </c>
      <c r="W370">
        <f>W369+IF(AND($E370&lt;&gt;"",$E370&lt;=W$2,$F370&gt;=W$2),1,0)</f>
        <v/>
      </c>
      <c r="X370">
        <f>X369+IF(AND($E370&lt;&gt;"",$E370&lt;=X$2,$F370&gt;=X$2),1,0)</f>
        <v/>
      </c>
      <c r="Y370">
        <f>Y369+IF(AND($E370&lt;&gt;"",$E370&lt;=Y$2,$F370&gt;=Y$2),1,0)</f>
        <v/>
      </c>
      <c r="Z370">
        <f>Z369+IF(AND($E370&lt;&gt;"",$E370&lt;=Z$2,$F370&gt;=Z$2),1,0)</f>
        <v/>
      </c>
      <c r="AA370">
        <f>AA369+IF(AND($E370&lt;&gt;"",$E370&lt;=AA$2,$F370&gt;=AA$2),1,0)</f>
        <v/>
      </c>
      <c r="AB370">
        <f>AB369+IF(AND($E370&lt;&gt;"",$E370&lt;=AB$2,$F370&gt;=AB$2),1,0)</f>
        <v/>
      </c>
      <c r="AC370">
        <f>AC369+IF(AND($E370&lt;&gt;"",$E370&lt;=AC$2,$F370&gt;=AC$2),1,0)</f>
        <v/>
      </c>
      <c r="AD370">
        <f>AD369+IF(AND($E370&lt;&gt;"",$E370&lt;=AD$2,$F370&gt;=AD$2),1,0)</f>
        <v/>
      </c>
      <c r="AE370">
        <f>AE369+IF(AND($E370&lt;&gt;"",$E370&lt;=AE$2,$F370&gt;=AE$2),1,0)</f>
        <v/>
      </c>
      <c r="AF370">
        <f>AF369+IF(AND($E370&lt;&gt;"",$E370&lt;=AF$2,$F370&gt;=AF$2),1,0)</f>
        <v/>
      </c>
      <c r="AG370">
        <f>AG369+IF(AND($E370&lt;&gt;"",$E370&lt;=AG$2,$F370&gt;=AG$2),1,0)</f>
        <v/>
      </c>
      <c r="AH370">
        <f>AH369+IF(AND($E370&lt;&gt;"",$E370&lt;=AH$2,$F370&gt;=AH$2),1,0)</f>
        <v/>
      </c>
      <c r="AI370">
        <f>AI369+IF(AND($E370&lt;&gt;"",$E370&lt;=AI$2,$F370&gt;=AI$2),1,0)</f>
        <v/>
      </c>
      <c r="AJ370">
        <f>AJ369+IF(AND($E370&lt;&gt;"",$E370&lt;=AJ$2,$F370&gt;=AJ$2),1,0)</f>
        <v/>
      </c>
      <c r="AK370">
        <f>AK369+IF(AND($E370&lt;&gt;"",$E370&lt;=AK$2,$F370&gt;=AK$2),1,0)</f>
        <v/>
      </c>
      <c r="AL370">
        <f>AL369+IF(AND($E370&lt;&gt;"",$E370&lt;=AL$2,$F370&gt;=AL$2),1,0)</f>
        <v/>
      </c>
      <c r="AM370">
        <f>AM369+IF(AND($E370&lt;&gt;"",$E370&lt;=AM$2,$F370&gt;=AM$2),1,0)</f>
        <v/>
      </c>
      <c r="AN370">
        <f>AN369+IF(AND($E370&lt;&gt;"",$E370&lt;=AN$2,$F370&gt;=AN$2),1,0)</f>
        <v/>
      </c>
      <c r="AO370">
        <f>AO369+IF(AND($E370&lt;&gt;"",$E370&lt;=AO$2,$F370&gt;=AO$2),1,0)</f>
        <v/>
      </c>
      <c r="AP370">
        <f>AP369+IF(AND($E370&lt;&gt;"",$E370&lt;=AP$2,$F370&gt;=AP$2),1,0)</f>
        <v/>
      </c>
      <c r="AQ370">
        <f>AQ369+IF(AND($E370&lt;&gt;"",$E370&lt;=AQ$2,$F370&gt;=AQ$2),1,0)</f>
        <v/>
      </c>
      <c r="AR370">
        <f>AR369+IF(AND($E370&lt;&gt;"",$E370&lt;=AR$2,$F370&gt;=AR$2),1,0)</f>
        <v/>
      </c>
      <c r="AS370">
        <f>AS369+IF(AND($E370&lt;&gt;"",$E370&lt;=AS$2,$F370&gt;=AS$2),1,0)</f>
        <v/>
      </c>
      <c r="AT370">
        <f>AT369+IF(AND($E370&lt;&gt;"",$E370&lt;=AT$2,$F370&gt;=AT$2),1,0)</f>
        <v/>
      </c>
      <c r="AU370">
        <f>AU369+IF(AND($E370&lt;&gt;"",$E370&lt;=AU$2,$F370&gt;=AU$2),1,0)</f>
        <v/>
      </c>
      <c r="AV370">
        <f>AV369+IF(AND($E370&lt;&gt;"",$E370&lt;=AV$2,$F370&gt;=AV$2),1,0)</f>
        <v/>
      </c>
      <c r="AW370">
        <f>AW369+IF(AND($E370&lt;&gt;"",$E370&lt;=AW$2,$F370&gt;=AW$2),1,0)</f>
        <v/>
      </c>
    </row>
    <row r="371">
      <c r="A371">
        <f>IF(AND(ISNUMBER(Events!$A373),ISNUMBER(Events!$B373)),MAX(0,Events!$B373-Events!$A373),0)</f>
        <v/>
      </c>
      <c r="B371">
        <f>IF(ISNUMBER(Events!$A373),DATE(YEAR($B$1)-1,MONTH(Events!$A373),DAY(Events!$A373)),"")</f>
        <v/>
      </c>
      <c r="C371">
        <f>IF(ISNUMBER(Events!$A373),DATE(YEAR($B$1),MONTH(Events!$A373),DAY(Events!$A373)),"")</f>
        <v/>
      </c>
      <c r="D371">
        <f>IF(ISNUMBER(Events!$A373),DATE(YEAR($B$2),MONTH(Events!$A373),DAY(Events!$A373)),"")</f>
        <v/>
      </c>
      <c r="E371">
        <f>IF(OR(NOT(ISNUMBER(Events!$A373)),Events!$G373="No",Calendar!$H$4="None"),"",IF(OR(Calendar!$H$4="All events",Events!$D373=Calendar!$H$4),IF(Events!$E373="Yes",IF(AND(B371&gt;=Events!$A373,B371&lt;=$B$2,B371+$A371&gt;=$B$1),B371,IF(AND(C371&gt;=Events!$A373,C371&lt;=$B$2,C371+$A371&gt;=$B$1),C371,IF(AND(D371&gt;=Events!$A373,D371&lt;=$B$2,D371+$A371&gt;=$B$1),D371,""))),IF(AND(Events!$A373&lt;=$B$2,Events!$A373+$A371&gt;=$B$1),Events!$A373,"")),""))</f>
        <v/>
      </c>
      <c r="F371">
        <f>IF(E371="","",E371+A371)</f>
        <v/>
      </c>
      <c r="G371">
        <f>IF(E371="","",IF(AND(E371&lt;=EOMONTH(Calendar!$K$2,0),F371&gt;=Calendar!$K$2),E371+368/100000,""))</f>
        <v/>
      </c>
      <c r="H371">
        <f>H370+IF(AND($E371&lt;&gt;"",$E371&lt;=H$2,$F371&gt;=H$2),1,0)</f>
        <v/>
      </c>
      <c r="I371">
        <f>I370+IF(AND($E371&lt;&gt;"",$E371&lt;=I$2,$F371&gt;=I$2),1,0)</f>
        <v/>
      </c>
      <c r="J371">
        <f>J370+IF(AND($E371&lt;&gt;"",$E371&lt;=J$2,$F371&gt;=J$2),1,0)</f>
        <v/>
      </c>
      <c r="K371">
        <f>K370+IF(AND($E371&lt;&gt;"",$E371&lt;=K$2,$F371&gt;=K$2),1,0)</f>
        <v/>
      </c>
      <c r="L371">
        <f>L370+IF(AND($E371&lt;&gt;"",$E371&lt;=L$2,$F371&gt;=L$2),1,0)</f>
        <v/>
      </c>
      <c r="M371">
        <f>M370+IF(AND($E371&lt;&gt;"",$E371&lt;=M$2,$F371&gt;=M$2),1,0)</f>
        <v/>
      </c>
      <c r="N371">
        <f>N370+IF(AND($E371&lt;&gt;"",$E371&lt;=N$2,$F371&gt;=N$2),1,0)</f>
        <v/>
      </c>
      <c r="O371">
        <f>O370+IF(AND($E371&lt;&gt;"",$E371&lt;=O$2,$F371&gt;=O$2),1,0)</f>
        <v/>
      </c>
      <c r="P371">
        <f>P370+IF(AND($E371&lt;&gt;"",$E371&lt;=P$2,$F371&gt;=P$2),1,0)</f>
        <v/>
      </c>
      <c r="Q371">
        <f>Q370+IF(AND($E371&lt;&gt;"",$E371&lt;=Q$2,$F371&gt;=Q$2),1,0)</f>
        <v/>
      </c>
      <c r="R371">
        <f>R370+IF(AND($E371&lt;&gt;"",$E371&lt;=R$2,$F371&gt;=R$2),1,0)</f>
        <v/>
      </c>
      <c r="S371">
        <f>S370+IF(AND($E371&lt;&gt;"",$E371&lt;=S$2,$F371&gt;=S$2),1,0)</f>
        <v/>
      </c>
      <c r="T371">
        <f>T370+IF(AND($E371&lt;&gt;"",$E371&lt;=T$2,$F371&gt;=T$2),1,0)</f>
        <v/>
      </c>
      <c r="U371">
        <f>U370+IF(AND($E371&lt;&gt;"",$E371&lt;=U$2,$F371&gt;=U$2),1,0)</f>
        <v/>
      </c>
      <c r="V371">
        <f>V370+IF(AND($E371&lt;&gt;"",$E371&lt;=V$2,$F371&gt;=V$2),1,0)</f>
        <v/>
      </c>
      <c r="W371">
        <f>W370+IF(AND($E371&lt;&gt;"",$E371&lt;=W$2,$F371&gt;=W$2),1,0)</f>
        <v/>
      </c>
      <c r="X371">
        <f>X370+IF(AND($E371&lt;&gt;"",$E371&lt;=X$2,$F371&gt;=X$2),1,0)</f>
        <v/>
      </c>
      <c r="Y371">
        <f>Y370+IF(AND($E371&lt;&gt;"",$E371&lt;=Y$2,$F371&gt;=Y$2),1,0)</f>
        <v/>
      </c>
      <c r="Z371">
        <f>Z370+IF(AND($E371&lt;&gt;"",$E371&lt;=Z$2,$F371&gt;=Z$2),1,0)</f>
        <v/>
      </c>
      <c r="AA371">
        <f>AA370+IF(AND($E371&lt;&gt;"",$E371&lt;=AA$2,$F371&gt;=AA$2),1,0)</f>
        <v/>
      </c>
      <c r="AB371">
        <f>AB370+IF(AND($E371&lt;&gt;"",$E371&lt;=AB$2,$F371&gt;=AB$2),1,0)</f>
        <v/>
      </c>
      <c r="AC371">
        <f>AC370+IF(AND($E371&lt;&gt;"",$E371&lt;=AC$2,$F371&gt;=AC$2),1,0)</f>
        <v/>
      </c>
      <c r="AD371">
        <f>AD370+IF(AND($E371&lt;&gt;"",$E371&lt;=AD$2,$F371&gt;=AD$2),1,0)</f>
        <v/>
      </c>
      <c r="AE371">
        <f>AE370+IF(AND($E371&lt;&gt;"",$E371&lt;=AE$2,$F371&gt;=AE$2),1,0)</f>
        <v/>
      </c>
      <c r="AF371">
        <f>AF370+IF(AND($E371&lt;&gt;"",$E371&lt;=AF$2,$F371&gt;=AF$2),1,0)</f>
        <v/>
      </c>
      <c r="AG371">
        <f>AG370+IF(AND($E371&lt;&gt;"",$E371&lt;=AG$2,$F371&gt;=AG$2),1,0)</f>
        <v/>
      </c>
      <c r="AH371">
        <f>AH370+IF(AND($E371&lt;&gt;"",$E371&lt;=AH$2,$F371&gt;=AH$2),1,0)</f>
        <v/>
      </c>
      <c r="AI371">
        <f>AI370+IF(AND($E371&lt;&gt;"",$E371&lt;=AI$2,$F371&gt;=AI$2),1,0)</f>
        <v/>
      </c>
      <c r="AJ371">
        <f>AJ370+IF(AND($E371&lt;&gt;"",$E371&lt;=AJ$2,$F371&gt;=AJ$2),1,0)</f>
        <v/>
      </c>
      <c r="AK371">
        <f>AK370+IF(AND($E371&lt;&gt;"",$E371&lt;=AK$2,$F371&gt;=AK$2),1,0)</f>
        <v/>
      </c>
      <c r="AL371">
        <f>AL370+IF(AND($E371&lt;&gt;"",$E371&lt;=AL$2,$F371&gt;=AL$2),1,0)</f>
        <v/>
      </c>
      <c r="AM371">
        <f>AM370+IF(AND($E371&lt;&gt;"",$E371&lt;=AM$2,$F371&gt;=AM$2),1,0)</f>
        <v/>
      </c>
      <c r="AN371">
        <f>AN370+IF(AND($E371&lt;&gt;"",$E371&lt;=AN$2,$F371&gt;=AN$2),1,0)</f>
        <v/>
      </c>
      <c r="AO371">
        <f>AO370+IF(AND($E371&lt;&gt;"",$E371&lt;=AO$2,$F371&gt;=AO$2),1,0)</f>
        <v/>
      </c>
      <c r="AP371">
        <f>AP370+IF(AND($E371&lt;&gt;"",$E371&lt;=AP$2,$F371&gt;=AP$2),1,0)</f>
        <v/>
      </c>
      <c r="AQ371">
        <f>AQ370+IF(AND($E371&lt;&gt;"",$E371&lt;=AQ$2,$F371&gt;=AQ$2),1,0)</f>
        <v/>
      </c>
      <c r="AR371">
        <f>AR370+IF(AND($E371&lt;&gt;"",$E371&lt;=AR$2,$F371&gt;=AR$2),1,0)</f>
        <v/>
      </c>
      <c r="AS371">
        <f>AS370+IF(AND($E371&lt;&gt;"",$E371&lt;=AS$2,$F371&gt;=AS$2),1,0)</f>
        <v/>
      </c>
      <c r="AT371">
        <f>AT370+IF(AND($E371&lt;&gt;"",$E371&lt;=AT$2,$F371&gt;=AT$2),1,0)</f>
        <v/>
      </c>
      <c r="AU371">
        <f>AU370+IF(AND($E371&lt;&gt;"",$E371&lt;=AU$2,$F371&gt;=AU$2),1,0)</f>
        <v/>
      </c>
      <c r="AV371">
        <f>AV370+IF(AND($E371&lt;&gt;"",$E371&lt;=AV$2,$F371&gt;=AV$2),1,0)</f>
        <v/>
      </c>
      <c r="AW371">
        <f>AW370+IF(AND($E371&lt;&gt;"",$E371&lt;=AW$2,$F371&gt;=AW$2),1,0)</f>
        <v/>
      </c>
    </row>
    <row r="372">
      <c r="A372">
        <f>IF(AND(ISNUMBER(Events!$A374),ISNUMBER(Events!$B374)),MAX(0,Events!$B374-Events!$A374),0)</f>
        <v/>
      </c>
      <c r="B372">
        <f>IF(ISNUMBER(Events!$A374),DATE(YEAR($B$1)-1,MONTH(Events!$A374),DAY(Events!$A374)),"")</f>
        <v/>
      </c>
      <c r="C372">
        <f>IF(ISNUMBER(Events!$A374),DATE(YEAR($B$1),MONTH(Events!$A374),DAY(Events!$A374)),"")</f>
        <v/>
      </c>
      <c r="D372">
        <f>IF(ISNUMBER(Events!$A374),DATE(YEAR($B$2),MONTH(Events!$A374),DAY(Events!$A374)),"")</f>
        <v/>
      </c>
      <c r="E372">
        <f>IF(OR(NOT(ISNUMBER(Events!$A374)),Events!$G374="No",Calendar!$H$4="None"),"",IF(OR(Calendar!$H$4="All events",Events!$D374=Calendar!$H$4),IF(Events!$E374="Yes",IF(AND(B372&gt;=Events!$A374,B372&lt;=$B$2,B372+$A372&gt;=$B$1),B372,IF(AND(C372&gt;=Events!$A374,C372&lt;=$B$2,C372+$A372&gt;=$B$1),C372,IF(AND(D372&gt;=Events!$A374,D372&lt;=$B$2,D372+$A372&gt;=$B$1),D372,""))),IF(AND(Events!$A374&lt;=$B$2,Events!$A374+$A372&gt;=$B$1),Events!$A374,"")),""))</f>
        <v/>
      </c>
      <c r="F372">
        <f>IF(E372="","",E372+A372)</f>
        <v/>
      </c>
      <c r="G372">
        <f>IF(E372="","",IF(AND(E372&lt;=EOMONTH(Calendar!$K$2,0),F372&gt;=Calendar!$K$2),E372+369/100000,""))</f>
        <v/>
      </c>
      <c r="H372">
        <f>H371+IF(AND($E372&lt;&gt;"",$E372&lt;=H$2,$F372&gt;=H$2),1,0)</f>
        <v/>
      </c>
      <c r="I372">
        <f>I371+IF(AND($E372&lt;&gt;"",$E372&lt;=I$2,$F372&gt;=I$2),1,0)</f>
        <v/>
      </c>
      <c r="J372">
        <f>J371+IF(AND($E372&lt;&gt;"",$E372&lt;=J$2,$F372&gt;=J$2),1,0)</f>
        <v/>
      </c>
      <c r="K372">
        <f>K371+IF(AND($E372&lt;&gt;"",$E372&lt;=K$2,$F372&gt;=K$2),1,0)</f>
        <v/>
      </c>
      <c r="L372">
        <f>L371+IF(AND($E372&lt;&gt;"",$E372&lt;=L$2,$F372&gt;=L$2),1,0)</f>
        <v/>
      </c>
      <c r="M372">
        <f>M371+IF(AND($E372&lt;&gt;"",$E372&lt;=M$2,$F372&gt;=M$2),1,0)</f>
        <v/>
      </c>
      <c r="N372">
        <f>N371+IF(AND($E372&lt;&gt;"",$E372&lt;=N$2,$F372&gt;=N$2),1,0)</f>
        <v/>
      </c>
      <c r="O372">
        <f>O371+IF(AND($E372&lt;&gt;"",$E372&lt;=O$2,$F372&gt;=O$2),1,0)</f>
        <v/>
      </c>
      <c r="P372">
        <f>P371+IF(AND($E372&lt;&gt;"",$E372&lt;=P$2,$F372&gt;=P$2),1,0)</f>
        <v/>
      </c>
      <c r="Q372">
        <f>Q371+IF(AND($E372&lt;&gt;"",$E372&lt;=Q$2,$F372&gt;=Q$2),1,0)</f>
        <v/>
      </c>
      <c r="R372">
        <f>R371+IF(AND($E372&lt;&gt;"",$E372&lt;=R$2,$F372&gt;=R$2),1,0)</f>
        <v/>
      </c>
      <c r="S372">
        <f>S371+IF(AND($E372&lt;&gt;"",$E372&lt;=S$2,$F372&gt;=S$2),1,0)</f>
        <v/>
      </c>
      <c r="T372">
        <f>T371+IF(AND($E372&lt;&gt;"",$E372&lt;=T$2,$F372&gt;=T$2),1,0)</f>
        <v/>
      </c>
      <c r="U372">
        <f>U371+IF(AND($E372&lt;&gt;"",$E372&lt;=U$2,$F372&gt;=U$2),1,0)</f>
        <v/>
      </c>
      <c r="V372">
        <f>V371+IF(AND($E372&lt;&gt;"",$E372&lt;=V$2,$F372&gt;=V$2),1,0)</f>
        <v/>
      </c>
      <c r="W372">
        <f>W371+IF(AND($E372&lt;&gt;"",$E372&lt;=W$2,$F372&gt;=W$2),1,0)</f>
        <v/>
      </c>
      <c r="X372">
        <f>X371+IF(AND($E372&lt;&gt;"",$E372&lt;=X$2,$F372&gt;=X$2),1,0)</f>
        <v/>
      </c>
      <c r="Y372">
        <f>Y371+IF(AND($E372&lt;&gt;"",$E372&lt;=Y$2,$F372&gt;=Y$2),1,0)</f>
        <v/>
      </c>
      <c r="Z372">
        <f>Z371+IF(AND($E372&lt;&gt;"",$E372&lt;=Z$2,$F372&gt;=Z$2),1,0)</f>
        <v/>
      </c>
      <c r="AA372">
        <f>AA371+IF(AND($E372&lt;&gt;"",$E372&lt;=AA$2,$F372&gt;=AA$2),1,0)</f>
        <v/>
      </c>
      <c r="AB372">
        <f>AB371+IF(AND($E372&lt;&gt;"",$E372&lt;=AB$2,$F372&gt;=AB$2),1,0)</f>
        <v/>
      </c>
      <c r="AC372">
        <f>AC371+IF(AND($E372&lt;&gt;"",$E372&lt;=AC$2,$F372&gt;=AC$2),1,0)</f>
        <v/>
      </c>
      <c r="AD372">
        <f>AD371+IF(AND($E372&lt;&gt;"",$E372&lt;=AD$2,$F372&gt;=AD$2),1,0)</f>
        <v/>
      </c>
      <c r="AE372">
        <f>AE371+IF(AND($E372&lt;&gt;"",$E372&lt;=AE$2,$F372&gt;=AE$2),1,0)</f>
        <v/>
      </c>
      <c r="AF372">
        <f>AF371+IF(AND($E372&lt;&gt;"",$E372&lt;=AF$2,$F372&gt;=AF$2),1,0)</f>
        <v/>
      </c>
      <c r="AG372">
        <f>AG371+IF(AND($E372&lt;&gt;"",$E372&lt;=AG$2,$F372&gt;=AG$2),1,0)</f>
        <v/>
      </c>
      <c r="AH372">
        <f>AH371+IF(AND($E372&lt;&gt;"",$E372&lt;=AH$2,$F372&gt;=AH$2),1,0)</f>
        <v/>
      </c>
      <c r="AI372">
        <f>AI371+IF(AND($E372&lt;&gt;"",$E372&lt;=AI$2,$F372&gt;=AI$2),1,0)</f>
        <v/>
      </c>
      <c r="AJ372">
        <f>AJ371+IF(AND($E372&lt;&gt;"",$E372&lt;=AJ$2,$F372&gt;=AJ$2),1,0)</f>
        <v/>
      </c>
      <c r="AK372">
        <f>AK371+IF(AND($E372&lt;&gt;"",$E372&lt;=AK$2,$F372&gt;=AK$2),1,0)</f>
        <v/>
      </c>
      <c r="AL372">
        <f>AL371+IF(AND($E372&lt;&gt;"",$E372&lt;=AL$2,$F372&gt;=AL$2),1,0)</f>
        <v/>
      </c>
      <c r="AM372">
        <f>AM371+IF(AND($E372&lt;&gt;"",$E372&lt;=AM$2,$F372&gt;=AM$2),1,0)</f>
        <v/>
      </c>
      <c r="AN372">
        <f>AN371+IF(AND($E372&lt;&gt;"",$E372&lt;=AN$2,$F372&gt;=AN$2),1,0)</f>
        <v/>
      </c>
      <c r="AO372">
        <f>AO371+IF(AND($E372&lt;&gt;"",$E372&lt;=AO$2,$F372&gt;=AO$2),1,0)</f>
        <v/>
      </c>
      <c r="AP372">
        <f>AP371+IF(AND($E372&lt;&gt;"",$E372&lt;=AP$2,$F372&gt;=AP$2),1,0)</f>
        <v/>
      </c>
      <c r="AQ372">
        <f>AQ371+IF(AND($E372&lt;&gt;"",$E372&lt;=AQ$2,$F372&gt;=AQ$2),1,0)</f>
        <v/>
      </c>
      <c r="AR372">
        <f>AR371+IF(AND($E372&lt;&gt;"",$E372&lt;=AR$2,$F372&gt;=AR$2),1,0)</f>
        <v/>
      </c>
      <c r="AS372">
        <f>AS371+IF(AND($E372&lt;&gt;"",$E372&lt;=AS$2,$F372&gt;=AS$2),1,0)</f>
        <v/>
      </c>
      <c r="AT372">
        <f>AT371+IF(AND($E372&lt;&gt;"",$E372&lt;=AT$2,$F372&gt;=AT$2),1,0)</f>
        <v/>
      </c>
      <c r="AU372">
        <f>AU371+IF(AND($E372&lt;&gt;"",$E372&lt;=AU$2,$F372&gt;=AU$2),1,0)</f>
        <v/>
      </c>
      <c r="AV372">
        <f>AV371+IF(AND($E372&lt;&gt;"",$E372&lt;=AV$2,$F372&gt;=AV$2),1,0)</f>
        <v/>
      </c>
      <c r="AW372">
        <f>AW371+IF(AND($E372&lt;&gt;"",$E372&lt;=AW$2,$F372&gt;=AW$2),1,0)</f>
        <v/>
      </c>
    </row>
    <row r="373">
      <c r="A373">
        <f>IF(AND(ISNUMBER(Events!$A375),ISNUMBER(Events!$B375)),MAX(0,Events!$B375-Events!$A375),0)</f>
        <v/>
      </c>
      <c r="B373">
        <f>IF(ISNUMBER(Events!$A375),DATE(YEAR($B$1)-1,MONTH(Events!$A375),DAY(Events!$A375)),"")</f>
        <v/>
      </c>
      <c r="C373">
        <f>IF(ISNUMBER(Events!$A375),DATE(YEAR($B$1),MONTH(Events!$A375),DAY(Events!$A375)),"")</f>
        <v/>
      </c>
      <c r="D373">
        <f>IF(ISNUMBER(Events!$A375),DATE(YEAR($B$2),MONTH(Events!$A375),DAY(Events!$A375)),"")</f>
        <v/>
      </c>
      <c r="E373">
        <f>IF(OR(NOT(ISNUMBER(Events!$A375)),Events!$G375="No",Calendar!$H$4="None"),"",IF(OR(Calendar!$H$4="All events",Events!$D375=Calendar!$H$4),IF(Events!$E375="Yes",IF(AND(B373&gt;=Events!$A375,B373&lt;=$B$2,B373+$A373&gt;=$B$1),B373,IF(AND(C373&gt;=Events!$A375,C373&lt;=$B$2,C373+$A373&gt;=$B$1),C373,IF(AND(D373&gt;=Events!$A375,D373&lt;=$B$2,D373+$A373&gt;=$B$1),D373,""))),IF(AND(Events!$A375&lt;=$B$2,Events!$A375+$A373&gt;=$B$1),Events!$A375,"")),""))</f>
        <v/>
      </c>
      <c r="F373">
        <f>IF(E373="","",E373+A373)</f>
        <v/>
      </c>
      <c r="G373">
        <f>IF(E373="","",IF(AND(E373&lt;=EOMONTH(Calendar!$K$2,0),F373&gt;=Calendar!$K$2),E373+370/100000,""))</f>
        <v/>
      </c>
      <c r="H373">
        <f>H372+IF(AND($E373&lt;&gt;"",$E373&lt;=H$2,$F373&gt;=H$2),1,0)</f>
        <v/>
      </c>
      <c r="I373">
        <f>I372+IF(AND($E373&lt;&gt;"",$E373&lt;=I$2,$F373&gt;=I$2),1,0)</f>
        <v/>
      </c>
      <c r="J373">
        <f>J372+IF(AND($E373&lt;&gt;"",$E373&lt;=J$2,$F373&gt;=J$2),1,0)</f>
        <v/>
      </c>
      <c r="K373">
        <f>K372+IF(AND($E373&lt;&gt;"",$E373&lt;=K$2,$F373&gt;=K$2),1,0)</f>
        <v/>
      </c>
      <c r="L373">
        <f>L372+IF(AND($E373&lt;&gt;"",$E373&lt;=L$2,$F373&gt;=L$2),1,0)</f>
        <v/>
      </c>
      <c r="M373">
        <f>M372+IF(AND($E373&lt;&gt;"",$E373&lt;=M$2,$F373&gt;=M$2),1,0)</f>
        <v/>
      </c>
      <c r="N373">
        <f>N372+IF(AND($E373&lt;&gt;"",$E373&lt;=N$2,$F373&gt;=N$2),1,0)</f>
        <v/>
      </c>
      <c r="O373">
        <f>O372+IF(AND($E373&lt;&gt;"",$E373&lt;=O$2,$F373&gt;=O$2),1,0)</f>
        <v/>
      </c>
      <c r="P373">
        <f>P372+IF(AND($E373&lt;&gt;"",$E373&lt;=P$2,$F373&gt;=P$2),1,0)</f>
        <v/>
      </c>
      <c r="Q373">
        <f>Q372+IF(AND($E373&lt;&gt;"",$E373&lt;=Q$2,$F373&gt;=Q$2),1,0)</f>
        <v/>
      </c>
      <c r="R373">
        <f>R372+IF(AND($E373&lt;&gt;"",$E373&lt;=R$2,$F373&gt;=R$2),1,0)</f>
        <v/>
      </c>
      <c r="S373">
        <f>S372+IF(AND($E373&lt;&gt;"",$E373&lt;=S$2,$F373&gt;=S$2),1,0)</f>
        <v/>
      </c>
      <c r="T373">
        <f>T372+IF(AND($E373&lt;&gt;"",$E373&lt;=T$2,$F373&gt;=T$2),1,0)</f>
        <v/>
      </c>
      <c r="U373">
        <f>U372+IF(AND($E373&lt;&gt;"",$E373&lt;=U$2,$F373&gt;=U$2),1,0)</f>
        <v/>
      </c>
      <c r="V373">
        <f>V372+IF(AND($E373&lt;&gt;"",$E373&lt;=V$2,$F373&gt;=V$2),1,0)</f>
        <v/>
      </c>
      <c r="W373">
        <f>W372+IF(AND($E373&lt;&gt;"",$E373&lt;=W$2,$F373&gt;=W$2),1,0)</f>
        <v/>
      </c>
      <c r="X373">
        <f>X372+IF(AND($E373&lt;&gt;"",$E373&lt;=X$2,$F373&gt;=X$2),1,0)</f>
        <v/>
      </c>
      <c r="Y373">
        <f>Y372+IF(AND($E373&lt;&gt;"",$E373&lt;=Y$2,$F373&gt;=Y$2),1,0)</f>
        <v/>
      </c>
      <c r="Z373">
        <f>Z372+IF(AND($E373&lt;&gt;"",$E373&lt;=Z$2,$F373&gt;=Z$2),1,0)</f>
        <v/>
      </c>
      <c r="AA373">
        <f>AA372+IF(AND($E373&lt;&gt;"",$E373&lt;=AA$2,$F373&gt;=AA$2),1,0)</f>
        <v/>
      </c>
      <c r="AB373">
        <f>AB372+IF(AND($E373&lt;&gt;"",$E373&lt;=AB$2,$F373&gt;=AB$2),1,0)</f>
        <v/>
      </c>
      <c r="AC373">
        <f>AC372+IF(AND($E373&lt;&gt;"",$E373&lt;=AC$2,$F373&gt;=AC$2),1,0)</f>
        <v/>
      </c>
      <c r="AD373">
        <f>AD372+IF(AND($E373&lt;&gt;"",$E373&lt;=AD$2,$F373&gt;=AD$2),1,0)</f>
        <v/>
      </c>
      <c r="AE373">
        <f>AE372+IF(AND($E373&lt;&gt;"",$E373&lt;=AE$2,$F373&gt;=AE$2),1,0)</f>
        <v/>
      </c>
      <c r="AF373">
        <f>AF372+IF(AND($E373&lt;&gt;"",$E373&lt;=AF$2,$F373&gt;=AF$2),1,0)</f>
        <v/>
      </c>
      <c r="AG373">
        <f>AG372+IF(AND($E373&lt;&gt;"",$E373&lt;=AG$2,$F373&gt;=AG$2),1,0)</f>
        <v/>
      </c>
      <c r="AH373">
        <f>AH372+IF(AND($E373&lt;&gt;"",$E373&lt;=AH$2,$F373&gt;=AH$2),1,0)</f>
        <v/>
      </c>
      <c r="AI373">
        <f>AI372+IF(AND($E373&lt;&gt;"",$E373&lt;=AI$2,$F373&gt;=AI$2),1,0)</f>
        <v/>
      </c>
      <c r="AJ373">
        <f>AJ372+IF(AND($E373&lt;&gt;"",$E373&lt;=AJ$2,$F373&gt;=AJ$2),1,0)</f>
        <v/>
      </c>
      <c r="AK373">
        <f>AK372+IF(AND($E373&lt;&gt;"",$E373&lt;=AK$2,$F373&gt;=AK$2),1,0)</f>
        <v/>
      </c>
      <c r="AL373">
        <f>AL372+IF(AND($E373&lt;&gt;"",$E373&lt;=AL$2,$F373&gt;=AL$2),1,0)</f>
        <v/>
      </c>
      <c r="AM373">
        <f>AM372+IF(AND($E373&lt;&gt;"",$E373&lt;=AM$2,$F373&gt;=AM$2),1,0)</f>
        <v/>
      </c>
      <c r="AN373">
        <f>AN372+IF(AND($E373&lt;&gt;"",$E373&lt;=AN$2,$F373&gt;=AN$2),1,0)</f>
        <v/>
      </c>
      <c r="AO373">
        <f>AO372+IF(AND($E373&lt;&gt;"",$E373&lt;=AO$2,$F373&gt;=AO$2),1,0)</f>
        <v/>
      </c>
      <c r="AP373">
        <f>AP372+IF(AND($E373&lt;&gt;"",$E373&lt;=AP$2,$F373&gt;=AP$2),1,0)</f>
        <v/>
      </c>
      <c r="AQ373">
        <f>AQ372+IF(AND($E373&lt;&gt;"",$E373&lt;=AQ$2,$F373&gt;=AQ$2),1,0)</f>
        <v/>
      </c>
      <c r="AR373">
        <f>AR372+IF(AND($E373&lt;&gt;"",$E373&lt;=AR$2,$F373&gt;=AR$2),1,0)</f>
        <v/>
      </c>
      <c r="AS373">
        <f>AS372+IF(AND($E373&lt;&gt;"",$E373&lt;=AS$2,$F373&gt;=AS$2),1,0)</f>
        <v/>
      </c>
      <c r="AT373">
        <f>AT372+IF(AND($E373&lt;&gt;"",$E373&lt;=AT$2,$F373&gt;=AT$2),1,0)</f>
        <v/>
      </c>
      <c r="AU373">
        <f>AU372+IF(AND($E373&lt;&gt;"",$E373&lt;=AU$2,$F373&gt;=AU$2),1,0)</f>
        <v/>
      </c>
      <c r="AV373">
        <f>AV372+IF(AND($E373&lt;&gt;"",$E373&lt;=AV$2,$F373&gt;=AV$2),1,0)</f>
        <v/>
      </c>
      <c r="AW373">
        <f>AW372+IF(AND($E373&lt;&gt;"",$E373&lt;=AW$2,$F373&gt;=AW$2),1,0)</f>
        <v/>
      </c>
    </row>
    <row r="374">
      <c r="A374">
        <f>IF(AND(ISNUMBER(Events!$A376),ISNUMBER(Events!$B376)),MAX(0,Events!$B376-Events!$A376),0)</f>
        <v/>
      </c>
      <c r="B374">
        <f>IF(ISNUMBER(Events!$A376),DATE(YEAR($B$1)-1,MONTH(Events!$A376),DAY(Events!$A376)),"")</f>
        <v/>
      </c>
      <c r="C374">
        <f>IF(ISNUMBER(Events!$A376),DATE(YEAR($B$1),MONTH(Events!$A376),DAY(Events!$A376)),"")</f>
        <v/>
      </c>
      <c r="D374">
        <f>IF(ISNUMBER(Events!$A376),DATE(YEAR($B$2),MONTH(Events!$A376),DAY(Events!$A376)),"")</f>
        <v/>
      </c>
      <c r="E374">
        <f>IF(OR(NOT(ISNUMBER(Events!$A376)),Events!$G376="No",Calendar!$H$4="None"),"",IF(OR(Calendar!$H$4="All events",Events!$D376=Calendar!$H$4),IF(Events!$E376="Yes",IF(AND(B374&gt;=Events!$A376,B374&lt;=$B$2,B374+$A374&gt;=$B$1),B374,IF(AND(C374&gt;=Events!$A376,C374&lt;=$B$2,C374+$A374&gt;=$B$1),C374,IF(AND(D374&gt;=Events!$A376,D374&lt;=$B$2,D374+$A374&gt;=$B$1),D374,""))),IF(AND(Events!$A376&lt;=$B$2,Events!$A376+$A374&gt;=$B$1),Events!$A376,"")),""))</f>
        <v/>
      </c>
      <c r="F374">
        <f>IF(E374="","",E374+A374)</f>
        <v/>
      </c>
      <c r="G374">
        <f>IF(E374="","",IF(AND(E374&lt;=EOMONTH(Calendar!$K$2,0),F374&gt;=Calendar!$K$2),E374+371/100000,""))</f>
        <v/>
      </c>
      <c r="H374">
        <f>H373+IF(AND($E374&lt;&gt;"",$E374&lt;=H$2,$F374&gt;=H$2),1,0)</f>
        <v/>
      </c>
      <c r="I374">
        <f>I373+IF(AND($E374&lt;&gt;"",$E374&lt;=I$2,$F374&gt;=I$2),1,0)</f>
        <v/>
      </c>
      <c r="J374">
        <f>J373+IF(AND($E374&lt;&gt;"",$E374&lt;=J$2,$F374&gt;=J$2),1,0)</f>
        <v/>
      </c>
      <c r="K374">
        <f>K373+IF(AND($E374&lt;&gt;"",$E374&lt;=K$2,$F374&gt;=K$2),1,0)</f>
        <v/>
      </c>
      <c r="L374">
        <f>L373+IF(AND($E374&lt;&gt;"",$E374&lt;=L$2,$F374&gt;=L$2),1,0)</f>
        <v/>
      </c>
      <c r="M374">
        <f>M373+IF(AND($E374&lt;&gt;"",$E374&lt;=M$2,$F374&gt;=M$2),1,0)</f>
        <v/>
      </c>
      <c r="N374">
        <f>N373+IF(AND($E374&lt;&gt;"",$E374&lt;=N$2,$F374&gt;=N$2),1,0)</f>
        <v/>
      </c>
      <c r="O374">
        <f>O373+IF(AND($E374&lt;&gt;"",$E374&lt;=O$2,$F374&gt;=O$2),1,0)</f>
        <v/>
      </c>
      <c r="P374">
        <f>P373+IF(AND($E374&lt;&gt;"",$E374&lt;=P$2,$F374&gt;=P$2),1,0)</f>
        <v/>
      </c>
      <c r="Q374">
        <f>Q373+IF(AND($E374&lt;&gt;"",$E374&lt;=Q$2,$F374&gt;=Q$2),1,0)</f>
        <v/>
      </c>
      <c r="R374">
        <f>R373+IF(AND($E374&lt;&gt;"",$E374&lt;=R$2,$F374&gt;=R$2),1,0)</f>
        <v/>
      </c>
      <c r="S374">
        <f>S373+IF(AND($E374&lt;&gt;"",$E374&lt;=S$2,$F374&gt;=S$2),1,0)</f>
        <v/>
      </c>
      <c r="T374">
        <f>T373+IF(AND($E374&lt;&gt;"",$E374&lt;=T$2,$F374&gt;=T$2),1,0)</f>
        <v/>
      </c>
      <c r="U374">
        <f>U373+IF(AND($E374&lt;&gt;"",$E374&lt;=U$2,$F374&gt;=U$2),1,0)</f>
        <v/>
      </c>
      <c r="V374">
        <f>V373+IF(AND($E374&lt;&gt;"",$E374&lt;=V$2,$F374&gt;=V$2),1,0)</f>
        <v/>
      </c>
      <c r="W374">
        <f>W373+IF(AND($E374&lt;&gt;"",$E374&lt;=W$2,$F374&gt;=W$2),1,0)</f>
        <v/>
      </c>
      <c r="X374">
        <f>X373+IF(AND($E374&lt;&gt;"",$E374&lt;=X$2,$F374&gt;=X$2),1,0)</f>
        <v/>
      </c>
      <c r="Y374">
        <f>Y373+IF(AND($E374&lt;&gt;"",$E374&lt;=Y$2,$F374&gt;=Y$2),1,0)</f>
        <v/>
      </c>
      <c r="Z374">
        <f>Z373+IF(AND($E374&lt;&gt;"",$E374&lt;=Z$2,$F374&gt;=Z$2),1,0)</f>
        <v/>
      </c>
      <c r="AA374">
        <f>AA373+IF(AND($E374&lt;&gt;"",$E374&lt;=AA$2,$F374&gt;=AA$2),1,0)</f>
        <v/>
      </c>
      <c r="AB374">
        <f>AB373+IF(AND($E374&lt;&gt;"",$E374&lt;=AB$2,$F374&gt;=AB$2),1,0)</f>
        <v/>
      </c>
      <c r="AC374">
        <f>AC373+IF(AND($E374&lt;&gt;"",$E374&lt;=AC$2,$F374&gt;=AC$2),1,0)</f>
        <v/>
      </c>
      <c r="AD374">
        <f>AD373+IF(AND($E374&lt;&gt;"",$E374&lt;=AD$2,$F374&gt;=AD$2),1,0)</f>
        <v/>
      </c>
      <c r="AE374">
        <f>AE373+IF(AND($E374&lt;&gt;"",$E374&lt;=AE$2,$F374&gt;=AE$2),1,0)</f>
        <v/>
      </c>
      <c r="AF374">
        <f>AF373+IF(AND($E374&lt;&gt;"",$E374&lt;=AF$2,$F374&gt;=AF$2),1,0)</f>
        <v/>
      </c>
      <c r="AG374">
        <f>AG373+IF(AND($E374&lt;&gt;"",$E374&lt;=AG$2,$F374&gt;=AG$2),1,0)</f>
        <v/>
      </c>
      <c r="AH374">
        <f>AH373+IF(AND($E374&lt;&gt;"",$E374&lt;=AH$2,$F374&gt;=AH$2),1,0)</f>
        <v/>
      </c>
      <c r="AI374">
        <f>AI373+IF(AND($E374&lt;&gt;"",$E374&lt;=AI$2,$F374&gt;=AI$2),1,0)</f>
        <v/>
      </c>
      <c r="AJ374">
        <f>AJ373+IF(AND($E374&lt;&gt;"",$E374&lt;=AJ$2,$F374&gt;=AJ$2),1,0)</f>
        <v/>
      </c>
      <c r="AK374">
        <f>AK373+IF(AND($E374&lt;&gt;"",$E374&lt;=AK$2,$F374&gt;=AK$2),1,0)</f>
        <v/>
      </c>
      <c r="AL374">
        <f>AL373+IF(AND($E374&lt;&gt;"",$E374&lt;=AL$2,$F374&gt;=AL$2),1,0)</f>
        <v/>
      </c>
      <c r="AM374">
        <f>AM373+IF(AND($E374&lt;&gt;"",$E374&lt;=AM$2,$F374&gt;=AM$2),1,0)</f>
        <v/>
      </c>
      <c r="AN374">
        <f>AN373+IF(AND($E374&lt;&gt;"",$E374&lt;=AN$2,$F374&gt;=AN$2),1,0)</f>
        <v/>
      </c>
      <c r="AO374">
        <f>AO373+IF(AND($E374&lt;&gt;"",$E374&lt;=AO$2,$F374&gt;=AO$2),1,0)</f>
        <v/>
      </c>
      <c r="AP374">
        <f>AP373+IF(AND($E374&lt;&gt;"",$E374&lt;=AP$2,$F374&gt;=AP$2),1,0)</f>
        <v/>
      </c>
      <c r="AQ374">
        <f>AQ373+IF(AND($E374&lt;&gt;"",$E374&lt;=AQ$2,$F374&gt;=AQ$2),1,0)</f>
        <v/>
      </c>
      <c r="AR374">
        <f>AR373+IF(AND($E374&lt;&gt;"",$E374&lt;=AR$2,$F374&gt;=AR$2),1,0)</f>
        <v/>
      </c>
      <c r="AS374">
        <f>AS373+IF(AND($E374&lt;&gt;"",$E374&lt;=AS$2,$F374&gt;=AS$2),1,0)</f>
        <v/>
      </c>
      <c r="AT374">
        <f>AT373+IF(AND($E374&lt;&gt;"",$E374&lt;=AT$2,$F374&gt;=AT$2),1,0)</f>
        <v/>
      </c>
      <c r="AU374">
        <f>AU373+IF(AND($E374&lt;&gt;"",$E374&lt;=AU$2,$F374&gt;=AU$2),1,0)</f>
        <v/>
      </c>
      <c r="AV374">
        <f>AV373+IF(AND($E374&lt;&gt;"",$E374&lt;=AV$2,$F374&gt;=AV$2),1,0)</f>
        <v/>
      </c>
      <c r="AW374">
        <f>AW373+IF(AND($E374&lt;&gt;"",$E374&lt;=AW$2,$F374&gt;=AW$2),1,0)</f>
        <v/>
      </c>
    </row>
    <row r="375">
      <c r="A375">
        <f>IF(AND(ISNUMBER(Events!$A377),ISNUMBER(Events!$B377)),MAX(0,Events!$B377-Events!$A377),0)</f>
        <v/>
      </c>
      <c r="B375">
        <f>IF(ISNUMBER(Events!$A377),DATE(YEAR($B$1)-1,MONTH(Events!$A377),DAY(Events!$A377)),"")</f>
        <v/>
      </c>
      <c r="C375">
        <f>IF(ISNUMBER(Events!$A377),DATE(YEAR($B$1),MONTH(Events!$A377),DAY(Events!$A377)),"")</f>
        <v/>
      </c>
      <c r="D375">
        <f>IF(ISNUMBER(Events!$A377),DATE(YEAR($B$2),MONTH(Events!$A377),DAY(Events!$A377)),"")</f>
        <v/>
      </c>
      <c r="E375">
        <f>IF(OR(NOT(ISNUMBER(Events!$A377)),Events!$G377="No",Calendar!$H$4="None"),"",IF(OR(Calendar!$H$4="All events",Events!$D377=Calendar!$H$4),IF(Events!$E377="Yes",IF(AND(B375&gt;=Events!$A377,B375&lt;=$B$2,B375+$A375&gt;=$B$1),B375,IF(AND(C375&gt;=Events!$A377,C375&lt;=$B$2,C375+$A375&gt;=$B$1),C375,IF(AND(D375&gt;=Events!$A377,D375&lt;=$B$2,D375+$A375&gt;=$B$1),D375,""))),IF(AND(Events!$A377&lt;=$B$2,Events!$A377+$A375&gt;=$B$1),Events!$A377,"")),""))</f>
        <v/>
      </c>
      <c r="F375">
        <f>IF(E375="","",E375+A375)</f>
        <v/>
      </c>
      <c r="G375">
        <f>IF(E375="","",IF(AND(E375&lt;=EOMONTH(Calendar!$K$2,0),F375&gt;=Calendar!$K$2),E375+372/100000,""))</f>
        <v/>
      </c>
      <c r="H375">
        <f>H374+IF(AND($E375&lt;&gt;"",$E375&lt;=H$2,$F375&gt;=H$2),1,0)</f>
        <v/>
      </c>
      <c r="I375">
        <f>I374+IF(AND($E375&lt;&gt;"",$E375&lt;=I$2,$F375&gt;=I$2),1,0)</f>
        <v/>
      </c>
      <c r="J375">
        <f>J374+IF(AND($E375&lt;&gt;"",$E375&lt;=J$2,$F375&gt;=J$2),1,0)</f>
        <v/>
      </c>
      <c r="K375">
        <f>K374+IF(AND($E375&lt;&gt;"",$E375&lt;=K$2,$F375&gt;=K$2),1,0)</f>
        <v/>
      </c>
      <c r="L375">
        <f>L374+IF(AND($E375&lt;&gt;"",$E375&lt;=L$2,$F375&gt;=L$2),1,0)</f>
        <v/>
      </c>
      <c r="M375">
        <f>M374+IF(AND($E375&lt;&gt;"",$E375&lt;=M$2,$F375&gt;=M$2),1,0)</f>
        <v/>
      </c>
      <c r="N375">
        <f>N374+IF(AND($E375&lt;&gt;"",$E375&lt;=N$2,$F375&gt;=N$2),1,0)</f>
        <v/>
      </c>
      <c r="O375">
        <f>O374+IF(AND($E375&lt;&gt;"",$E375&lt;=O$2,$F375&gt;=O$2),1,0)</f>
        <v/>
      </c>
      <c r="P375">
        <f>P374+IF(AND($E375&lt;&gt;"",$E375&lt;=P$2,$F375&gt;=P$2),1,0)</f>
        <v/>
      </c>
      <c r="Q375">
        <f>Q374+IF(AND($E375&lt;&gt;"",$E375&lt;=Q$2,$F375&gt;=Q$2),1,0)</f>
        <v/>
      </c>
      <c r="R375">
        <f>R374+IF(AND($E375&lt;&gt;"",$E375&lt;=R$2,$F375&gt;=R$2),1,0)</f>
        <v/>
      </c>
      <c r="S375">
        <f>S374+IF(AND($E375&lt;&gt;"",$E375&lt;=S$2,$F375&gt;=S$2),1,0)</f>
        <v/>
      </c>
      <c r="T375">
        <f>T374+IF(AND($E375&lt;&gt;"",$E375&lt;=T$2,$F375&gt;=T$2),1,0)</f>
        <v/>
      </c>
      <c r="U375">
        <f>U374+IF(AND($E375&lt;&gt;"",$E375&lt;=U$2,$F375&gt;=U$2),1,0)</f>
        <v/>
      </c>
      <c r="V375">
        <f>V374+IF(AND($E375&lt;&gt;"",$E375&lt;=V$2,$F375&gt;=V$2),1,0)</f>
        <v/>
      </c>
      <c r="W375">
        <f>W374+IF(AND($E375&lt;&gt;"",$E375&lt;=W$2,$F375&gt;=W$2),1,0)</f>
        <v/>
      </c>
      <c r="X375">
        <f>X374+IF(AND($E375&lt;&gt;"",$E375&lt;=X$2,$F375&gt;=X$2),1,0)</f>
        <v/>
      </c>
      <c r="Y375">
        <f>Y374+IF(AND($E375&lt;&gt;"",$E375&lt;=Y$2,$F375&gt;=Y$2),1,0)</f>
        <v/>
      </c>
      <c r="Z375">
        <f>Z374+IF(AND($E375&lt;&gt;"",$E375&lt;=Z$2,$F375&gt;=Z$2),1,0)</f>
        <v/>
      </c>
      <c r="AA375">
        <f>AA374+IF(AND($E375&lt;&gt;"",$E375&lt;=AA$2,$F375&gt;=AA$2),1,0)</f>
        <v/>
      </c>
      <c r="AB375">
        <f>AB374+IF(AND($E375&lt;&gt;"",$E375&lt;=AB$2,$F375&gt;=AB$2),1,0)</f>
        <v/>
      </c>
      <c r="AC375">
        <f>AC374+IF(AND($E375&lt;&gt;"",$E375&lt;=AC$2,$F375&gt;=AC$2),1,0)</f>
        <v/>
      </c>
      <c r="AD375">
        <f>AD374+IF(AND($E375&lt;&gt;"",$E375&lt;=AD$2,$F375&gt;=AD$2),1,0)</f>
        <v/>
      </c>
      <c r="AE375">
        <f>AE374+IF(AND($E375&lt;&gt;"",$E375&lt;=AE$2,$F375&gt;=AE$2),1,0)</f>
        <v/>
      </c>
      <c r="AF375">
        <f>AF374+IF(AND($E375&lt;&gt;"",$E375&lt;=AF$2,$F375&gt;=AF$2),1,0)</f>
        <v/>
      </c>
      <c r="AG375">
        <f>AG374+IF(AND($E375&lt;&gt;"",$E375&lt;=AG$2,$F375&gt;=AG$2),1,0)</f>
        <v/>
      </c>
      <c r="AH375">
        <f>AH374+IF(AND($E375&lt;&gt;"",$E375&lt;=AH$2,$F375&gt;=AH$2),1,0)</f>
        <v/>
      </c>
      <c r="AI375">
        <f>AI374+IF(AND($E375&lt;&gt;"",$E375&lt;=AI$2,$F375&gt;=AI$2),1,0)</f>
        <v/>
      </c>
      <c r="AJ375">
        <f>AJ374+IF(AND($E375&lt;&gt;"",$E375&lt;=AJ$2,$F375&gt;=AJ$2),1,0)</f>
        <v/>
      </c>
      <c r="AK375">
        <f>AK374+IF(AND($E375&lt;&gt;"",$E375&lt;=AK$2,$F375&gt;=AK$2),1,0)</f>
        <v/>
      </c>
      <c r="AL375">
        <f>AL374+IF(AND($E375&lt;&gt;"",$E375&lt;=AL$2,$F375&gt;=AL$2),1,0)</f>
        <v/>
      </c>
      <c r="AM375">
        <f>AM374+IF(AND($E375&lt;&gt;"",$E375&lt;=AM$2,$F375&gt;=AM$2),1,0)</f>
        <v/>
      </c>
      <c r="AN375">
        <f>AN374+IF(AND($E375&lt;&gt;"",$E375&lt;=AN$2,$F375&gt;=AN$2),1,0)</f>
        <v/>
      </c>
      <c r="AO375">
        <f>AO374+IF(AND($E375&lt;&gt;"",$E375&lt;=AO$2,$F375&gt;=AO$2),1,0)</f>
        <v/>
      </c>
      <c r="AP375">
        <f>AP374+IF(AND($E375&lt;&gt;"",$E375&lt;=AP$2,$F375&gt;=AP$2),1,0)</f>
        <v/>
      </c>
      <c r="AQ375">
        <f>AQ374+IF(AND($E375&lt;&gt;"",$E375&lt;=AQ$2,$F375&gt;=AQ$2),1,0)</f>
        <v/>
      </c>
      <c r="AR375">
        <f>AR374+IF(AND($E375&lt;&gt;"",$E375&lt;=AR$2,$F375&gt;=AR$2),1,0)</f>
        <v/>
      </c>
      <c r="AS375">
        <f>AS374+IF(AND($E375&lt;&gt;"",$E375&lt;=AS$2,$F375&gt;=AS$2),1,0)</f>
        <v/>
      </c>
      <c r="AT375">
        <f>AT374+IF(AND($E375&lt;&gt;"",$E375&lt;=AT$2,$F375&gt;=AT$2),1,0)</f>
        <v/>
      </c>
      <c r="AU375">
        <f>AU374+IF(AND($E375&lt;&gt;"",$E375&lt;=AU$2,$F375&gt;=AU$2),1,0)</f>
        <v/>
      </c>
      <c r="AV375">
        <f>AV374+IF(AND($E375&lt;&gt;"",$E375&lt;=AV$2,$F375&gt;=AV$2),1,0)</f>
        <v/>
      </c>
      <c r="AW375">
        <f>AW374+IF(AND($E375&lt;&gt;"",$E375&lt;=AW$2,$F375&gt;=AW$2),1,0)</f>
        <v/>
      </c>
    </row>
    <row r="376">
      <c r="A376">
        <f>IF(AND(ISNUMBER(Events!$A378),ISNUMBER(Events!$B378)),MAX(0,Events!$B378-Events!$A378),0)</f>
        <v/>
      </c>
      <c r="B376">
        <f>IF(ISNUMBER(Events!$A378),DATE(YEAR($B$1)-1,MONTH(Events!$A378),DAY(Events!$A378)),"")</f>
        <v/>
      </c>
      <c r="C376">
        <f>IF(ISNUMBER(Events!$A378),DATE(YEAR($B$1),MONTH(Events!$A378),DAY(Events!$A378)),"")</f>
        <v/>
      </c>
      <c r="D376">
        <f>IF(ISNUMBER(Events!$A378),DATE(YEAR($B$2),MONTH(Events!$A378),DAY(Events!$A378)),"")</f>
        <v/>
      </c>
      <c r="E376">
        <f>IF(OR(NOT(ISNUMBER(Events!$A378)),Events!$G378="No",Calendar!$H$4="None"),"",IF(OR(Calendar!$H$4="All events",Events!$D378=Calendar!$H$4),IF(Events!$E378="Yes",IF(AND(B376&gt;=Events!$A378,B376&lt;=$B$2,B376+$A376&gt;=$B$1),B376,IF(AND(C376&gt;=Events!$A378,C376&lt;=$B$2,C376+$A376&gt;=$B$1),C376,IF(AND(D376&gt;=Events!$A378,D376&lt;=$B$2,D376+$A376&gt;=$B$1),D376,""))),IF(AND(Events!$A378&lt;=$B$2,Events!$A378+$A376&gt;=$B$1),Events!$A378,"")),""))</f>
        <v/>
      </c>
      <c r="F376">
        <f>IF(E376="","",E376+A376)</f>
        <v/>
      </c>
      <c r="G376">
        <f>IF(E376="","",IF(AND(E376&lt;=EOMONTH(Calendar!$K$2,0),F376&gt;=Calendar!$K$2),E376+373/100000,""))</f>
        <v/>
      </c>
      <c r="H376">
        <f>H375+IF(AND($E376&lt;&gt;"",$E376&lt;=H$2,$F376&gt;=H$2),1,0)</f>
        <v/>
      </c>
      <c r="I376">
        <f>I375+IF(AND($E376&lt;&gt;"",$E376&lt;=I$2,$F376&gt;=I$2),1,0)</f>
        <v/>
      </c>
      <c r="J376">
        <f>J375+IF(AND($E376&lt;&gt;"",$E376&lt;=J$2,$F376&gt;=J$2),1,0)</f>
        <v/>
      </c>
      <c r="K376">
        <f>K375+IF(AND($E376&lt;&gt;"",$E376&lt;=K$2,$F376&gt;=K$2),1,0)</f>
        <v/>
      </c>
      <c r="L376">
        <f>L375+IF(AND($E376&lt;&gt;"",$E376&lt;=L$2,$F376&gt;=L$2),1,0)</f>
        <v/>
      </c>
      <c r="M376">
        <f>M375+IF(AND($E376&lt;&gt;"",$E376&lt;=M$2,$F376&gt;=M$2),1,0)</f>
        <v/>
      </c>
      <c r="N376">
        <f>N375+IF(AND($E376&lt;&gt;"",$E376&lt;=N$2,$F376&gt;=N$2),1,0)</f>
        <v/>
      </c>
      <c r="O376">
        <f>O375+IF(AND($E376&lt;&gt;"",$E376&lt;=O$2,$F376&gt;=O$2),1,0)</f>
        <v/>
      </c>
      <c r="P376">
        <f>P375+IF(AND($E376&lt;&gt;"",$E376&lt;=P$2,$F376&gt;=P$2),1,0)</f>
        <v/>
      </c>
      <c r="Q376">
        <f>Q375+IF(AND($E376&lt;&gt;"",$E376&lt;=Q$2,$F376&gt;=Q$2),1,0)</f>
        <v/>
      </c>
      <c r="R376">
        <f>R375+IF(AND($E376&lt;&gt;"",$E376&lt;=R$2,$F376&gt;=R$2),1,0)</f>
        <v/>
      </c>
      <c r="S376">
        <f>S375+IF(AND($E376&lt;&gt;"",$E376&lt;=S$2,$F376&gt;=S$2),1,0)</f>
        <v/>
      </c>
      <c r="T376">
        <f>T375+IF(AND($E376&lt;&gt;"",$E376&lt;=T$2,$F376&gt;=T$2),1,0)</f>
        <v/>
      </c>
      <c r="U376">
        <f>U375+IF(AND($E376&lt;&gt;"",$E376&lt;=U$2,$F376&gt;=U$2),1,0)</f>
        <v/>
      </c>
      <c r="V376">
        <f>V375+IF(AND($E376&lt;&gt;"",$E376&lt;=V$2,$F376&gt;=V$2),1,0)</f>
        <v/>
      </c>
      <c r="W376">
        <f>W375+IF(AND($E376&lt;&gt;"",$E376&lt;=W$2,$F376&gt;=W$2),1,0)</f>
        <v/>
      </c>
      <c r="X376">
        <f>X375+IF(AND($E376&lt;&gt;"",$E376&lt;=X$2,$F376&gt;=X$2),1,0)</f>
        <v/>
      </c>
      <c r="Y376">
        <f>Y375+IF(AND($E376&lt;&gt;"",$E376&lt;=Y$2,$F376&gt;=Y$2),1,0)</f>
        <v/>
      </c>
      <c r="Z376">
        <f>Z375+IF(AND($E376&lt;&gt;"",$E376&lt;=Z$2,$F376&gt;=Z$2),1,0)</f>
        <v/>
      </c>
      <c r="AA376">
        <f>AA375+IF(AND($E376&lt;&gt;"",$E376&lt;=AA$2,$F376&gt;=AA$2),1,0)</f>
        <v/>
      </c>
      <c r="AB376">
        <f>AB375+IF(AND($E376&lt;&gt;"",$E376&lt;=AB$2,$F376&gt;=AB$2),1,0)</f>
        <v/>
      </c>
      <c r="AC376">
        <f>AC375+IF(AND($E376&lt;&gt;"",$E376&lt;=AC$2,$F376&gt;=AC$2),1,0)</f>
        <v/>
      </c>
      <c r="AD376">
        <f>AD375+IF(AND($E376&lt;&gt;"",$E376&lt;=AD$2,$F376&gt;=AD$2),1,0)</f>
        <v/>
      </c>
      <c r="AE376">
        <f>AE375+IF(AND($E376&lt;&gt;"",$E376&lt;=AE$2,$F376&gt;=AE$2),1,0)</f>
        <v/>
      </c>
      <c r="AF376">
        <f>AF375+IF(AND($E376&lt;&gt;"",$E376&lt;=AF$2,$F376&gt;=AF$2),1,0)</f>
        <v/>
      </c>
      <c r="AG376">
        <f>AG375+IF(AND($E376&lt;&gt;"",$E376&lt;=AG$2,$F376&gt;=AG$2),1,0)</f>
        <v/>
      </c>
      <c r="AH376">
        <f>AH375+IF(AND($E376&lt;&gt;"",$E376&lt;=AH$2,$F376&gt;=AH$2),1,0)</f>
        <v/>
      </c>
      <c r="AI376">
        <f>AI375+IF(AND($E376&lt;&gt;"",$E376&lt;=AI$2,$F376&gt;=AI$2),1,0)</f>
        <v/>
      </c>
      <c r="AJ376">
        <f>AJ375+IF(AND($E376&lt;&gt;"",$E376&lt;=AJ$2,$F376&gt;=AJ$2),1,0)</f>
        <v/>
      </c>
      <c r="AK376">
        <f>AK375+IF(AND($E376&lt;&gt;"",$E376&lt;=AK$2,$F376&gt;=AK$2),1,0)</f>
        <v/>
      </c>
      <c r="AL376">
        <f>AL375+IF(AND($E376&lt;&gt;"",$E376&lt;=AL$2,$F376&gt;=AL$2),1,0)</f>
        <v/>
      </c>
      <c r="AM376">
        <f>AM375+IF(AND($E376&lt;&gt;"",$E376&lt;=AM$2,$F376&gt;=AM$2),1,0)</f>
        <v/>
      </c>
      <c r="AN376">
        <f>AN375+IF(AND($E376&lt;&gt;"",$E376&lt;=AN$2,$F376&gt;=AN$2),1,0)</f>
        <v/>
      </c>
      <c r="AO376">
        <f>AO375+IF(AND($E376&lt;&gt;"",$E376&lt;=AO$2,$F376&gt;=AO$2),1,0)</f>
        <v/>
      </c>
      <c r="AP376">
        <f>AP375+IF(AND($E376&lt;&gt;"",$E376&lt;=AP$2,$F376&gt;=AP$2),1,0)</f>
        <v/>
      </c>
      <c r="AQ376">
        <f>AQ375+IF(AND($E376&lt;&gt;"",$E376&lt;=AQ$2,$F376&gt;=AQ$2),1,0)</f>
        <v/>
      </c>
      <c r="AR376">
        <f>AR375+IF(AND($E376&lt;&gt;"",$E376&lt;=AR$2,$F376&gt;=AR$2),1,0)</f>
        <v/>
      </c>
      <c r="AS376">
        <f>AS375+IF(AND($E376&lt;&gt;"",$E376&lt;=AS$2,$F376&gt;=AS$2),1,0)</f>
        <v/>
      </c>
      <c r="AT376">
        <f>AT375+IF(AND($E376&lt;&gt;"",$E376&lt;=AT$2,$F376&gt;=AT$2),1,0)</f>
        <v/>
      </c>
      <c r="AU376">
        <f>AU375+IF(AND($E376&lt;&gt;"",$E376&lt;=AU$2,$F376&gt;=AU$2),1,0)</f>
        <v/>
      </c>
      <c r="AV376">
        <f>AV375+IF(AND($E376&lt;&gt;"",$E376&lt;=AV$2,$F376&gt;=AV$2),1,0)</f>
        <v/>
      </c>
      <c r="AW376">
        <f>AW375+IF(AND($E376&lt;&gt;"",$E376&lt;=AW$2,$F376&gt;=AW$2),1,0)</f>
        <v/>
      </c>
    </row>
    <row r="377">
      <c r="A377">
        <f>IF(AND(ISNUMBER(Events!$A379),ISNUMBER(Events!$B379)),MAX(0,Events!$B379-Events!$A379),0)</f>
        <v/>
      </c>
      <c r="B377">
        <f>IF(ISNUMBER(Events!$A379),DATE(YEAR($B$1)-1,MONTH(Events!$A379),DAY(Events!$A379)),"")</f>
        <v/>
      </c>
      <c r="C377">
        <f>IF(ISNUMBER(Events!$A379),DATE(YEAR($B$1),MONTH(Events!$A379),DAY(Events!$A379)),"")</f>
        <v/>
      </c>
      <c r="D377">
        <f>IF(ISNUMBER(Events!$A379),DATE(YEAR($B$2),MONTH(Events!$A379),DAY(Events!$A379)),"")</f>
        <v/>
      </c>
      <c r="E377">
        <f>IF(OR(NOT(ISNUMBER(Events!$A379)),Events!$G379="No",Calendar!$H$4="None"),"",IF(OR(Calendar!$H$4="All events",Events!$D379=Calendar!$H$4),IF(Events!$E379="Yes",IF(AND(B377&gt;=Events!$A379,B377&lt;=$B$2,B377+$A377&gt;=$B$1),B377,IF(AND(C377&gt;=Events!$A379,C377&lt;=$B$2,C377+$A377&gt;=$B$1),C377,IF(AND(D377&gt;=Events!$A379,D377&lt;=$B$2,D377+$A377&gt;=$B$1),D377,""))),IF(AND(Events!$A379&lt;=$B$2,Events!$A379+$A377&gt;=$B$1),Events!$A379,"")),""))</f>
        <v/>
      </c>
      <c r="F377">
        <f>IF(E377="","",E377+A377)</f>
        <v/>
      </c>
      <c r="G377">
        <f>IF(E377="","",IF(AND(E377&lt;=EOMONTH(Calendar!$K$2,0),F377&gt;=Calendar!$K$2),E377+374/100000,""))</f>
        <v/>
      </c>
      <c r="H377">
        <f>H376+IF(AND($E377&lt;&gt;"",$E377&lt;=H$2,$F377&gt;=H$2),1,0)</f>
        <v/>
      </c>
      <c r="I377">
        <f>I376+IF(AND($E377&lt;&gt;"",$E377&lt;=I$2,$F377&gt;=I$2),1,0)</f>
        <v/>
      </c>
      <c r="J377">
        <f>J376+IF(AND($E377&lt;&gt;"",$E377&lt;=J$2,$F377&gt;=J$2),1,0)</f>
        <v/>
      </c>
      <c r="K377">
        <f>K376+IF(AND($E377&lt;&gt;"",$E377&lt;=K$2,$F377&gt;=K$2),1,0)</f>
        <v/>
      </c>
      <c r="L377">
        <f>L376+IF(AND($E377&lt;&gt;"",$E377&lt;=L$2,$F377&gt;=L$2),1,0)</f>
        <v/>
      </c>
      <c r="M377">
        <f>M376+IF(AND($E377&lt;&gt;"",$E377&lt;=M$2,$F377&gt;=M$2),1,0)</f>
        <v/>
      </c>
      <c r="N377">
        <f>N376+IF(AND($E377&lt;&gt;"",$E377&lt;=N$2,$F377&gt;=N$2),1,0)</f>
        <v/>
      </c>
      <c r="O377">
        <f>O376+IF(AND($E377&lt;&gt;"",$E377&lt;=O$2,$F377&gt;=O$2),1,0)</f>
        <v/>
      </c>
      <c r="P377">
        <f>P376+IF(AND($E377&lt;&gt;"",$E377&lt;=P$2,$F377&gt;=P$2),1,0)</f>
        <v/>
      </c>
      <c r="Q377">
        <f>Q376+IF(AND($E377&lt;&gt;"",$E377&lt;=Q$2,$F377&gt;=Q$2),1,0)</f>
        <v/>
      </c>
      <c r="R377">
        <f>R376+IF(AND($E377&lt;&gt;"",$E377&lt;=R$2,$F377&gt;=R$2),1,0)</f>
        <v/>
      </c>
      <c r="S377">
        <f>S376+IF(AND($E377&lt;&gt;"",$E377&lt;=S$2,$F377&gt;=S$2),1,0)</f>
        <v/>
      </c>
      <c r="T377">
        <f>T376+IF(AND($E377&lt;&gt;"",$E377&lt;=T$2,$F377&gt;=T$2),1,0)</f>
        <v/>
      </c>
      <c r="U377">
        <f>U376+IF(AND($E377&lt;&gt;"",$E377&lt;=U$2,$F377&gt;=U$2),1,0)</f>
        <v/>
      </c>
      <c r="V377">
        <f>V376+IF(AND($E377&lt;&gt;"",$E377&lt;=V$2,$F377&gt;=V$2),1,0)</f>
        <v/>
      </c>
      <c r="W377">
        <f>W376+IF(AND($E377&lt;&gt;"",$E377&lt;=W$2,$F377&gt;=W$2),1,0)</f>
        <v/>
      </c>
      <c r="X377">
        <f>X376+IF(AND($E377&lt;&gt;"",$E377&lt;=X$2,$F377&gt;=X$2),1,0)</f>
        <v/>
      </c>
      <c r="Y377">
        <f>Y376+IF(AND($E377&lt;&gt;"",$E377&lt;=Y$2,$F377&gt;=Y$2),1,0)</f>
        <v/>
      </c>
      <c r="Z377">
        <f>Z376+IF(AND($E377&lt;&gt;"",$E377&lt;=Z$2,$F377&gt;=Z$2),1,0)</f>
        <v/>
      </c>
      <c r="AA377">
        <f>AA376+IF(AND($E377&lt;&gt;"",$E377&lt;=AA$2,$F377&gt;=AA$2),1,0)</f>
        <v/>
      </c>
      <c r="AB377">
        <f>AB376+IF(AND($E377&lt;&gt;"",$E377&lt;=AB$2,$F377&gt;=AB$2),1,0)</f>
        <v/>
      </c>
      <c r="AC377">
        <f>AC376+IF(AND($E377&lt;&gt;"",$E377&lt;=AC$2,$F377&gt;=AC$2),1,0)</f>
        <v/>
      </c>
      <c r="AD377">
        <f>AD376+IF(AND($E377&lt;&gt;"",$E377&lt;=AD$2,$F377&gt;=AD$2),1,0)</f>
        <v/>
      </c>
      <c r="AE377">
        <f>AE376+IF(AND($E377&lt;&gt;"",$E377&lt;=AE$2,$F377&gt;=AE$2),1,0)</f>
        <v/>
      </c>
      <c r="AF377">
        <f>AF376+IF(AND($E377&lt;&gt;"",$E377&lt;=AF$2,$F377&gt;=AF$2),1,0)</f>
        <v/>
      </c>
      <c r="AG377">
        <f>AG376+IF(AND($E377&lt;&gt;"",$E377&lt;=AG$2,$F377&gt;=AG$2),1,0)</f>
        <v/>
      </c>
      <c r="AH377">
        <f>AH376+IF(AND($E377&lt;&gt;"",$E377&lt;=AH$2,$F377&gt;=AH$2),1,0)</f>
        <v/>
      </c>
      <c r="AI377">
        <f>AI376+IF(AND($E377&lt;&gt;"",$E377&lt;=AI$2,$F377&gt;=AI$2),1,0)</f>
        <v/>
      </c>
      <c r="AJ377">
        <f>AJ376+IF(AND($E377&lt;&gt;"",$E377&lt;=AJ$2,$F377&gt;=AJ$2),1,0)</f>
        <v/>
      </c>
      <c r="AK377">
        <f>AK376+IF(AND($E377&lt;&gt;"",$E377&lt;=AK$2,$F377&gt;=AK$2),1,0)</f>
        <v/>
      </c>
      <c r="AL377">
        <f>AL376+IF(AND($E377&lt;&gt;"",$E377&lt;=AL$2,$F377&gt;=AL$2),1,0)</f>
        <v/>
      </c>
      <c r="AM377">
        <f>AM376+IF(AND($E377&lt;&gt;"",$E377&lt;=AM$2,$F377&gt;=AM$2),1,0)</f>
        <v/>
      </c>
      <c r="AN377">
        <f>AN376+IF(AND($E377&lt;&gt;"",$E377&lt;=AN$2,$F377&gt;=AN$2),1,0)</f>
        <v/>
      </c>
      <c r="AO377">
        <f>AO376+IF(AND($E377&lt;&gt;"",$E377&lt;=AO$2,$F377&gt;=AO$2),1,0)</f>
        <v/>
      </c>
      <c r="AP377">
        <f>AP376+IF(AND($E377&lt;&gt;"",$E377&lt;=AP$2,$F377&gt;=AP$2),1,0)</f>
        <v/>
      </c>
      <c r="AQ377">
        <f>AQ376+IF(AND($E377&lt;&gt;"",$E377&lt;=AQ$2,$F377&gt;=AQ$2),1,0)</f>
        <v/>
      </c>
      <c r="AR377">
        <f>AR376+IF(AND($E377&lt;&gt;"",$E377&lt;=AR$2,$F377&gt;=AR$2),1,0)</f>
        <v/>
      </c>
      <c r="AS377">
        <f>AS376+IF(AND($E377&lt;&gt;"",$E377&lt;=AS$2,$F377&gt;=AS$2),1,0)</f>
        <v/>
      </c>
      <c r="AT377">
        <f>AT376+IF(AND($E377&lt;&gt;"",$E377&lt;=AT$2,$F377&gt;=AT$2),1,0)</f>
        <v/>
      </c>
      <c r="AU377">
        <f>AU376+IF(AND($E377&lt;&gt;"",$E377&lt;=AU$2,$F377&gt;=AU$2),1,0)</f>
        <v/>
      </c>
      <c r="AV377">
        <f>AV376+IF(AND($E377&lt;&gt;"",$E377&lt;=AV$2,$F377&gt;=AV$2),1,0)</f>
        <v/>
      </c>
      <c r="AW377">
        <f>AW376+IF(AND($E377&lt;&gt;"",$E377&lt;=AW$2,$F377&gt;=AW$2),1,0)</f>
        <v/>
      </c>
    </row>
    <row r="378">
      <c r="A378">
        <f>IF(AND(ISNUMBER(Events!$A380),ISNUMBER(Events!$B380)),MAX(0,Events!$B380-Events!$A380),0)</f>
        <v/>
      </c>
      <c r="B378">
        <f>IF(ISNUMBER(Events!$A380),DATE(YEAR($B$1)-1,MONTH(Events!$A380),DAY(Events!$A380)),"")</f>
        <v/>
      </c>
      <c r="C378">
        <f>IF(ISNUMBER(Events!$A380),DATE(YEAR($B$1),MONTH(Events!$A380),DAY(Events!$A380)),"")</f>
        <v/>
      </c>
      <c r="D378">
        <f>IF(ISNUMBER(Events!$A380),DATE(YEAR($B$2),MONTH(Events!$A380),DAY(Events!$A380)),"")</f>
        <v/>
      </c>
      <c r="E378">
        <f>IF(OR(NOT(ISNUMBER(Events!$A380)),Events!$G380="No",Calendar!$H$4="None"),"",IF(OR(Calendar!$H$4="All events",Events!$D380=Calendar!$H$4),IF(Events!$E380="Yes",IF(AND(B378&gt;=Events!$A380,B378&lt;=$B$2,B378+$A378&gt;=$B$1),B378,IF(AND(C378&gt;=Events!$A380,C378&lt;=$B$2,C378+$A378&gt;=$B$1),C378,IF(AND(D378&gt;=Events!$A380,D378&lt;=$B$2,D378+$A378&gt;=$B$1),D378,""))),IF(AND(Events!$A380&lt;=$B$2,Events!$A380+$A378&gt;=$B$1),Events!$A380,"")),""))</f>
        <v/>
      </c>
      <c r="F378">
        <f>IF(E378="","",E378+A378)</f>
        <v/>
      </c>
      <c r="G378">
        <f>IF(E378="","",IF(AND(E378&lt;=EOMONTH(Calendar!$K$2,0),F378&gt;=Calendar!$K$2),E378+375/100000,""))</f>
        <v/>
      </c>
      <c r="H378">
        <f>H377+IF(AND($E378&lt;&gt;"",$E378&lt;=H$2,$F378&gt;=H$2),1,0)</f>
        <v/>
      </c>
      <c r="I378">
        <f>I377+IF(AND($E378&lt;&gt;"",$E378&lt;=I$2,$F378&gt;=I$2),1,0)</f>
        <v/>
      </c>
      <c r="J378">
        <f>J377+IF(AND($E378&lt;&gt;"",$E378&lt;=J$2,$F378&gt;=J$2),1,0)</f>
        <v/>
      </c>
      <c r="K378">
        <f>K377+IF(AND($E378&lt;&gt;"",$E378&lt;=K$2,$F378&gt;=K$2),1,0)</f>
        <v/>
      </c>
      <c r="L378">
        <f>L377+IF(AND($E378&lt;&gt;"",$E378&lt;=L$2,$F378&gt;=L$2),1,0)</f>
        <v/>
      </c>
      <c r="M378">
        <f>M377+IF(AND($E378&lt;&gt;"",$E378&lt;=M$2,$F378&gt;=M$2),1,0)</f>
        <v/>
      </c>
      <c r="N378">
        <f>N377+IF(AND($E378&lt;&gt;"",$E378&lt;=N$2,$F378&gt;=N$2),1,0)</f>
        <v/>
      </c>
      <c r="O378">
        <f>O377+IF(AND($E378&lt;&gt;"",$E378&lt;=O$2,$F378&gt;=O$2),1,0)</f>
        <v/>
      </c>
      <c r="P378">
        <f>P377+IF(AND($E378&lt;&gt;"",$E378&lt;=P$2,$F378&gt;=P$2),1,0)</f>
        <v/>
      </c>
      <c r="Q378">
        <f>Q377+IF(AND($E378&lt;&gt;"",$E378&lt;=Q$2,$F378&gt;=Q$2),1,0)</f>
        <v/>
      </c>
      <c r="R378">
        <f>R377+IF(AND($E378&lt;&gt;"",$E378&lt;=R$2,$F378&gt;=R$2),1,0)</f>
        <v/>
      </c>
      <c r="S378">
        <f>S377+IF(AND($E378&lt;&gt;"",$E378&lt;=S$2,$F378&gt;=S$2),1,0)</f>
        <v/>
      </c>
      <c r="T378">
        <f>T377+IF(AND($E378&lt;&gt;"",$E378&lt;=T$2,$F378&gt;=T$2),1,0)</f>
        <v/>
      </c>
      <c r="U378">
        <f>U377+IF(AND($E378&lt;&gt;"",$E378&lt;=U$2,$F378&gt;=U$2),1,0)</f>
        <v/>
      </c>
      <c r="V378">
        <f>V377+IF(AND($E378&lt;&gt;"",$E378&lt;=V$2,$F378&gt;=V$2),1,0)</f>
        <v/>
      </c>
      <c r="W378">
        <f>W377+IF(AND($E378&lt;&gt;"",$E378&lt;=W$2,$F378&gt;=W$2),1,0)</f>
        <v/>
      </c>
      <c r="X378">
        <f>X377+IF(AND($E378&lt;&gt;"",$E378&lt;=X$2,$F378&gt;=X$2),1,0)</f>
        <v/>
      </c>
      <c r="Y378">
        <f>Y377+IF(AND($E378&lt;&gt;"",$E378&lt;=Y$2,$F378&gt;=Y$2),1,0)</f>
        <v/>
      </c>
      <c r="Z378">
        <f>Z377+IF(AND($E378&lt;&gt;"",$E378&lt;=Z$2,$F378&gt;=Z$2),1,0)</f>
        <v/>
      </c>
      <c r="AA378">
        <f>AA377+IF(AND($E378&lt;&gt;"",$E378&lt;=AA$2,$F378&gt;=AA$2),1,0)</f>
        <v/>
      </c>
      <c r="AB378">
        <f>AB377+IF(AND($E378&lt;&gt;"",$E378&lt;=AB$2,$F378&gt;=AB$2),1,0)</f>
        <v/>
      </c>
      <c r="AC378">
        <f>AC377+IF(AND($E378&lt;&gt;"",$E378&lt;=AC$2,$F378&gt;=AC$2),1,0)</f>
        <v/>
      </c>
      <c r="AD378">
        <f>AD377+IF(AND($E378&lt;&gt;"",$E378&lt;=AD$2,$F378&gt;=AD$2),1,0)</f>
        <v/>
      </c>
      <c r="AE378">
        <f>AE377+IF(AND($E378&lt;&gt;"",$E378&lt;=AE$2,$F378&gt;=AE$2),1,0)</f>
        <v/>
      </c>
      <c r="AF378">
        <f>AF377+IF(AND($E378&lt;&gt;"",$E378&lt;=AF$2,$F378&gt;=AF$2),1,0)</f>
        <v/>
      </c>
      <c r="AG378">
        <f>AG377+IF(AND($E378&lt;&gt;"",$E378&lt;=AG$2,$F378&gt;=AG$2),1,0)</f>
        <v/>
      </c>
      <c r="AH378">
        <f>AH377+IF(AND($E378&lt;&gt;"",$E378&lt;=AH$2,$F378&gt;=AH$2),1,0)</f>
        <v/>
      </c>
      <c r="AI378">
        <f>AI377+IF(AND($E378&lt;&gt;"",$E378&lt;=AI$2,$F378&gt;=AI$2),1,0)</f>
        <v/>
      </c>
      <c r="AJ378">
        <f>AJ377+IF(AND($E378&lt;&gt;"",$E378&lt;=AJ$2,$F378&gt;=AJ$2),1,0)</f>
        <v/>
      </c>
      <c r="AK378">
        <f>AK377+IF(AND($E378&lt;&gt;"",$E378&lt;=AK$2,$F378&gt;=AK$2),1,0)</f>
        <v/>
      </c>
      <c r="AL378">
        <f>AL377+IF(AND($E378&lt;&gt;"",$E378&lt;=AL$2,$F378&gt;=AL$2),1,0)</f>
        <v/>
      </c>
      <c r="AM378">
        <f>AM377+IF(AND($E378&lt;&gt;"",$E378&lt;=AM$2,$F378&gt;=AM$2),1,0)</f>
        <v/>
      </c>
      <c r="AN378">
        <f>AN377+IF(AND($E378&lt;&gt;"",$E378&lt;=AN$2,$F378&gt;=AN$2),1,0)</f>
        <v/>
      </c>
      <c r="AO378">
        <f>AO377+IF(AND($E378&lt;&gt;"",$E378&lt;=AO$2,$F378&gt;=AO$2),1,0)</f>
        <v/>
      </c>
      <c r="AP378">
        <f>AP377+IF(AND($E378&lt;&gt;"",$E378&lt;=AP$2,$F378&gt;=AP$2),1,0)</f>
        <v/>
      </c>
      <c r="AQ378">
        <f>AQ377+IF(AND($E378&lt;&gt;"",$E378&lt;=AQ$2,$F378&gt;=AQ$2),1,0)</f>
        <v/>
      </c>
      <c r="AR378">
        <f>AR377+IF(AND($E378&lt;&gt;"",$E378&lt;=AR$2,$F378&gt;=AR$2),1,0)</f>
        <v/>
      </c>
      <c r="AS378">
        <f>AS377+IF(AND($E378&lt;&gt;"",$E378&lt;=AS$2,$F378&gt;=AS$2),1,0)</f>
        <v/>
      </c>
      <c r="AT378">
        <f>AT377+IF(AND($E378&lt;&gt;"",$E378&lt;=AT$2,$F378&gt;=AT$2),1,0)</f>
        <v/>
      </c>
      <c r="AU378">
        <f>AU377+IF(AND($E378&lt;&gt;"",$E378&lt;=AU$2,$F378&gt;=AU$2),1,0)</f>
        <v/>
      </c>
      <c r="AV378">
        <f>AV377+IF(AND($E378&lt;&gt;"",$E378&lt;=AV$2,$F378&gt;=AV$2),1,0)</f>
        <v/>
      </c>
      <c r="AW378">
        <f>AW377+IF(AND($E378&lt;&gt;"",$E378&lt;=AW$2,$F378&gt;=AW$2),1,0)</f>
        <v/>
      </c>
    </row>
    <row r="379">
      <c r="A379">
        <f>IF(AND(ISNUMBER(Events!$A381),ISNUMBER(Events!$B381)),MAX(0,Events!$B381-Events!$A381),0)</f>
        <v/>
      </c>
      <c r="B379">
        <f>IF(ISNUMBER(Events!$A381),DATE(YEAR($B$1)-1,MONTH(Events!$A381),DAY(Events!$A381)),"")</f>
        <v/>
      </c>
      <c r="C379">
        <f>IF(ISNUMBER(Events!$A381),DATE(YEAR($B$1),MONTH(Events!$A381),DAY(Events!$A381)),"")</f>
        <v/>
      </c>
      <c r="D379">
        <f>IF(ISNUMBER(Events!$A381),DATE(YEAR($B$2),MONTH(Events!$A381),DAY(Events!$A381)),"")</f>
        <v/>
      </c>
      <c r="E379">
        <f>IF(OR(NOT(ISNUMBER(Events!$A381)),Events!$G381="No",Calendar!$H$4="None"),"",IF(OR(Calendar!$H$4="All events",Events!$D381=Calendar!$H$4),IF(Events!$E381="Yes",IF(AND(B379&gt;=Events!$A381,B379&lt;=$B$2,B379+$A379&gt;=$B$1),B379,IF(AND(C379&gt;=Events!$A381,C379&lt;=$B$2,C379+$A379&gt;=$B$1),C379,IF(AND(D379&gt;=Events!$A381,D379&lt;=$B$2,D379+$A379&gt;=$B$1),D379,""))),IF(AND(Events!$A381&lt;=$B$2,Events!$A381+$A379&gt;=$B$1),Events!$A381,"")),""))</f>
        <v/>
      </c>
      <c r="F379">
        <f>IF(E379="","",E379+A379)</f>
        <v/>
      </c>
      <c r="G379">
        <f>IF(E379="","",IF(AND(E379&lt;=EOMONTH(Calendar!$K$2,0),F379&gt;=Calendar!$K$2),E379+376/100000,""))</f>
        <v/>
      </c>
      <c r="H379">
        <f>H378+IF(AND($E379&lt;&gt;"",$E379&lt;=H$2,$F379&gt;=H$2),1,0)</f>
        <v/>
      </c>
      <c r="I379">
        <f>I378+IF(AND($E379&lt;&gt;"",$E379&lt;=I$2,$F379&gt;=I$2),1,0)</f>
        <v/>
      </c>
      <c r="J379">
        <f>J378+IF(AND($E379&lt;&gt;"",$E379&lt;=J$2,$F379&gt;=J$2),1,0)</f>
        <v/>
      </c>
      <c r="K379">
        <f>K378+IF(AND($E379&lt;&gt;"",$E379&lt;=K$2,$F379&gt;=K$2),1,0)</f>
        <v/>
      </c>
      <c r="L379">
        <f>L378+IF(AND($E379&lt;&gt;"",$E379&lt;=L$2,$F379&gt;=L$2),1,0)</f>
        <v/>
      </c>
      <c r="M379">
        <f>M378+IF(AND($E379&lt;&gt;"",$E379&lt;=M$2,$F379&gt;=M$2),1,0)</f>
        <v/>
      </c>
      <c r="N379">
        <f>N378+IF(AND($E379&lt;&gt;"",$E379&lt;=N$2,$F379&gt;=N$2),1,0)</f>
        <v/>
      </c>
      <c r="O379">
        <f>O378+IF(AND($E379&lt;&gt;"",$E379&lt;=O$2,$F379&gt;=O$2),1,0)</f>
        <v/>
      </c>
      <c r="P379">
        <f>P378+IF(AND($E379&lt;&gt;"",$E379&lt;=P$2,$F379&gt;=P$2),1,0)</f>
        <v/>
      </c>
      <c r="Q379">
        <f>Q378+IF(AND($E379&lt;&gt;"",$E379&lt;=Q$2,$F379&gt;=Q$2),1,0)</f>
        <v/>
      </c>
      <c r="R379">
        <f>R378+IF(AND($E379&lt;&gt;"",$E379&lt;=R$2,$F379&gt;=R$2),1,0)</f>
        <v/>
      </c>
      <c r="S379">
        <f>S378+IF(AND($E379&lt;&gt;"",$E379&lt;=S$2,$F379&gt;=S$2),1,0)</f>
        <v/>
      </c>
      <c r="T379">
        <f>T378+IF(AND($E379&lt;&gt;"",$E379&lt;=T$2,$F379&gt;=T$2),1,0)</f>
        <v/>
      </c>
      <c r="U379">
        <f>U378+IF(AND($E379&lt;&gt;"",$E379&lt;=U$2,$F379&gt;=U$2),1,0)</f>
        <v/>
      </c>
      <c r="V379">
        <f>V378+IF(AND($E379&lt;&gt;"",$E379&lt;=V$2,$F379&gt;=V$2),1,0)</f>
        <v/>
      </c>
      <c r="W379">
        <f>W378+IF(AND($E379&lt;&gt;"",$E379&lt;=W$2,$F379&gt;=W$2),1,0)</f>
        <v/>
      </c>
      <c r="X379">
        <f>X378+IF(AND($E379&lt;&gt;"",$E379&lt;=X$2,$F379&gt;=X$2),1,0)</f>
        <v/>
      </c>
      <c r="Y379">
        <f>Y378+IF(AND($E379&lt;&gt;"",$E379&lt;=Y$2,$F379&gt;=Y$2),1,0)</f>
        <v/>
      </c>
      <c r="Z379">
        <f>Z378+IF(AND($E379&lt;&gt;"",$E379&lt;=Z$2,$F379&gt;=Z$2),1,0)</f>
        <v/>
      </c>
      <c r="AA379">
        <f>AA378+IF(AND($E379&lt;&gt;"",$E379&lt;=AA$2,$F379&gt;=AA$2),1,0)</f>
        <v/>
      </c>
      <c r="AB379">
        <f>AB378+IF(AND($E379&lt;&gt;"",$E379&lt;=AB$2,$F379&gt;=AB$2),1,0)</f>
        <v/>
      </c>
      <c r="AC379">
        <f>AC378+IF(AND($E379&lt;&gt;"",$E379&lt;=AC$2,$F379&gt;=AC$2),1,0)</f>
        <v/>
      </c>
      <c r="AD379">
        <f>AD378+IF(AND($E379&lt;&gt;"",$E379&lt;=AD$2,$F379&gt;=AD$2),1,0)</f>
        <v/>
      </c>
      <c r="AE379">
        <f>AE378+IF(AND($E379&lt;&gt;"",$E379&lt;=AE$2,$F379&gt;=AE$2),1,0)</f>
        <v/>
      </c>
      <c r="AF379">
        <f>AF378+IF(AND($E379&lt;&gt;"",$E379&lt;=AF$2,$F379&gt;=AF$2),1,0)</f>
        <v/>
      </c>
      <c r="AG379">
        <f>AG378+IF(AND($E379&lt;&gt;"",$E379&lt;=AG$2,$F379&gt;=AG$2),1,0)</f>
        <v/>
      </c>
      <c r="AH379">
        <f>AH378+IF(AND($E379&lt;&gt;"",$E379&lt;=AH$2,$F379&gt;=AH$2),1,0)</f>
        <v/>
      </c>
      <c r="AI379">
        <f>AI378+IF(AND($E379&lt;&gt;"",$E379&lt;=AI$2,$F379&gt;=AI$2),1,0)</f>
        <v/>
      </c>
      <c r="AJ379">
        <f>AJ378+IF(AND($E379&lt;&gt;"",$E379&lt;=AJ$2,$F379&gt;=AJ$2),1,0)</f>
        <v/>
      </c>
      <c r="AK379">
        <f>AK378+IF(AND($E379&lt;&gt;"",$E379&lt;=AK$2,$F379&gt;=AK$2),1,0)</f>
        <v/>
      </c>
      <c r="AL379">
        <f>AL378+IF(AND($E379&lt;&gt;"",$E379&lt;=AL$2,$F379&gt;=AL$2),1,0)</f>
        <v/>
      </c>
      <c r="AM379">
        <f>AM378+IF(AND($E379&lt;&gt;"",$E379&lt;=AM$2,$F379&gt;=AM$2),1,0)</f>
        <v/>
      </c>
      <c r="AN379">
        <f>AN378+IF(AND($E379&lt;&gt;"",$E379&lt;=AN$2,$F379&gt;=AN$2),1,0)</f>
        <v/>
      </c>
      <c r="AO379">
        <f>AO378+IF(AND($E379&lt;&gt;"",$E379&lt;=AO$2,$F379&gt;=AO$2),1,0)</f>
        <v/>
      </c>
      <c r="AP379">
        <f>AP378+IF(AND($E379&lt;&gt;"",$E379&lt;=AP$2,$F379&gt;=AP$2),1,0)</f>
        <v/>
      </c>
      <c r="AQ379">
        <f>AQ378+IF(AND($E379&lt;&gt;"",$E379&lt;=AQ$2,$F379&gt;=AQ$2),1,0)</f>
        <v/>
      </c>
      <c r="AR379">
        <f>AR378+IF(AND($E379&lt;&gt;"",$E379&lt;=AR$2,$F379&gt;=AR$2),1,0)</f>
        <v/>
      </c>
      <c r="AS379">
        <f>AS378+IF(AND($E379&lt;&gt;"",$E379&lt;=AS$2,$F379&gt;=AS$2),1,0)</f>
        <v/>
      </c>
      <c r="AT379">
        <f>AT378+IF(AND($E379&lt;&gt;"",$E379&lt;=AT$2,$F379&gt;=AT$2),1,0)</f>
        <v/>
      </c>
      <c r="AU379">
        <f>AU378+IF(AND($E379&lt;&gt;"",$E379&lt;=AU$2,$F379&gt;=AU$2),1,0)</f>
        <v/>
      </c>
      <c r="AV379">
        <f>AV378+IF(AND($E379&lt;&gt;"",$E379&lt;=AV$2,$F379&gt;=AV$2),1,0)</f>
        <v/>
      </c>
      <c r="AW379">
        <f>AW378+IF(AND($E379&lt;&gt;"",$E379&lt;=AW$2,$F379&gt;=AW$2),1,0)</f>
        <v/>
      </c>
    </row>
    <row r="380">
      <c r="A380">
        <f>IF(AND(ISNUMBER(Events!$A382),ISNUMBER(Events!$B382)),MAX(0,Events!$B382-Events!$A382),0)</f>
        <v/>
      </c>
      <c r="B380">
        <f>IF(ISNUMBER(Events!$A382),DATE(YEAR($B$1)-1,MONTH(Events!$A382),DAY(Events!$A382)),"")</f>
        <v/>
      </c>
      <c r="C380">
        <f>IF(ISNUMBER(Events!$A382),DATE(YEAR($B$1),MONTH(Events!$A382),DAY(Events!$A382)),"")</f>
        <v/>
      </c>
      <c r="D380">
        <f>IF(ISNUMBER(Events!$A382),DATE(YEAR($B$2),MONTH(Events!$A382),DAY(Events!$A382)),"")</f>
        <v/>
      </c>
      <c r="E380">
        <f>IF(OR(NOT(ISNUMBER(Events!$A382)),Events!$G382="No",Calendar!$H$4="None"),"",IF(OR(Calendar!$H$4="All events",Events!$D382=Calendar!$H$4),IF(Events!$E382="Yes",IF(AND(B380&gt;=Events!$A382,B380&lt;=$B$2,B380+$A380&gt;=$B$1),B380,IF(AND(C380&gt;=Events!$A382,C380&lt;=$B$2,C380+$A380&gt;=$B$1),C380,IF(AND(D380&gt;=Events!$A382,D380&lt;=$B$2,D380+$A380&gt;=$B$1),D380,""))),IF(AND(Events!$A382&lt;=$B$2,Events!$A382+$A380&gt;=$B$1),Events!$A382,"")),""))</f>
        <v/>
      </c>
      <c r="F380">
        <f>IF(E380="","",E380+A380)</f>
        <v/>
      </c>
      <c r="G380">
        <f>IF(E380="","",IF(AND(E380&lt;=EOMONTH(Calendar!$K$2,0),F380&gt;=Calendar!$K$2),E380+377/100000,""))</f>
        <v/>
      </c>
      <c r="H380">
        <f>H379+IF(AND($E380&lt;&gt;"",$E380&lt;=H$2,$F380&gt;=H$2),1,0)</f>
        <v/>
      </c>
      <c r="I380">
        <f>I379+IF(AND($E380&lt;&gt;"",$E380&lt;=I$2,$F380&gt;=I$2),1,0)</f>
        <v/>
      </c>
      <c r="J380">
        <f>J379+IF(AND($E380&lt;&gt;"",$E380&lt;=J$2,$F380&gt;=J$2),1,0)</f>
        <v/>
      </c>
      <c r="K380">
        <f>K379+IF(AND($E380&lt;&gt;"",$E380&lt;=K$2,$F380&gt;=K$2),1,0)</f>
        <v/>
      </c>
      <c r="L380">
        <f>L379+IF(AND($E380&lt;&gt;"",$E380&lt;=L$2,$F380&gt;=L$2),1,0)</f>
        <v/>
      </c>
      <c r="M380">
        <f>M379+IF(AND($E380&lt;&gt;"",$E380&lt;=M$2,$F380&gt;=M$2),1,0)</f>
        <v/>
      </c>
      <c r="N380">
        <f>N379+IF(AND($E380&lt;&gt;"",$E380&lt;=N$2,$F380&gt;=N$2),1,0)</f>
        <v/>
      </c>
      <c r="O380">
        <f>O379+IF(AND($E380&lt;&gt;"",$E380&lt;=O$2,$F380&gt;=O$2),1,0)</f>
        <v/>
      </c>
      <c r="P380">
        <f>P379+IF(AND($E380&lt;&gt;"",$E380&lt;=P$2,$F380&gt;=P$2),1,0)</f>
        <v/>
      </c>
      <c r="Q380">
        <f>Q379+IF(AND($E380&lt;&gt;"",$E380&lt;=Q$2,$F380&gt;=Q$2),1,0)</f>
        <v/>
      </c>
      <c r="R380">
        <f>R379+IF(AND($E380&lt;&gt;"",$E380&lt;=R$2,$F380&gt;=R$2),1,0)</f>
        <v/>
      </c>
      <c r="S380">
        <f>S379+IF(AND($E380&lt;&gt;"",$E380&lt;=S$2,$F380&gt;=S$2),1,0)</f>
        <v/>
      </c>
      <c r="T380">
        <f>T379+IF(AND($E380&lt;&gt;"",$E380&lt;=T$2,$F380&gt;=T$2),1,0)</f>
        <v/>
      </c>
      <c r="U380">
        <f>U379+IF(AND($E380&lt;&gt;"",$E380&lt;=U$2,$F380&gt;=U$2),1,0)</f>
        <v/>
      </c>
      <c r="V380">
        <f>V379+IF(AND($E380&lt;&gt;"",$E380&lt;=V$2,$F380&gt;=V$2),1,0)</f>
        <v/>
      </c>
      <c r="W380">
        <f>W379+IF(AND($E380&lt;&gt;"",$E380&lt;=W$2,$F380&gt;=W$2),1,0)</f>
        <v/>
      </c>
      <c r="X380">
        <f>X379+IF(AND($E380&lt;&gt;"",$E380&lt;=X$2,$F380&gt;=X$2),1,0)</f>
        <v/>
      </c>
      <c r="Y380">
        <f>Y379+IF(AND($E380&lt;&gt;"",$E380&lt;=Y$2,$F380&gt;=Y$2),1,0)</f>
        <v/>
      </c>
      <c r="Z380">
        <f>Z379+IF(AND($E380&lt;&gt;"",$E380&lt;=Z$2,$F380&gt;=Z$2),1,0)</f>
        <v/>
      </c>
      <c r="AA380">
        <f>AA379+IF(AND($E380&lt;&gt;"",$E380&lt;=AA$2,$F380&gt;=AA$2),1,0)</f>
        <v/>
      </c>
      <c r="AB380">
        <f>AB379+IF(AND($E380&lt;&gt;"",$E380&lt;=AB$2,$F380&gt;=AB$2),1,0)</f>
        <v/>
      </c>
      <c r="AC380">
        <f>AC379+IF(AND($E380&lt;&gt;"",$E380&lt;=AC$2,$F380&gt;=AC$2),1,0)</f>
        <v/>
      </c>
      <c r="AD380">
        <f>AD379+IF(AND($E380&lt;&gt;"",$E380&lt;=AD$2,$F380&gt;=AD$2),1,0)</f>
        <v/>
      </c>
      <c r="AE380">
        <f>AE379+IF(AND($E380&lt;&gt;"",$E380&lt;=AE$2,$F380&gt;=AE$2),1,0)</f>
        <v/>
      </c>
      <c r="AF380">
        <f>AF379+IF(AND($E380&lt;&gt;"",$E380&lt;=AF$2,$F380&gt;=AF$2),1,0)</f>
        <v/>
      </c>
      <c r="AG380">
        <f>AG379+IF(AND($E380&lt;&gt;"",$E380&lt;=AG$2,$F380&gt;=AG$2),1,0)</f>
        <v/>
      </c>
      <c r="AH380">
        <f>AH379+IF(AND($E380&lt;&gt;"",$E380&lt;=AH$2,$F380&gt;=AH$2),1,0)</f>
        <v/>
      </c>
      <c r="AI380">
        <f>AI379+IF(AND($E380&lt;&gt;"",$E380&lt;=AI$2,$F380&gt;=AI$2),1,0)</f>
        <v/>
      </c>
      <c r="AJ380">
        <f>AJ379+IF(AND($E380&lt;&gt;"",$E380&lt;=AJ$2,$F380&gt;=AJ$2),1,0)</f>
        <v/>
      </c>
      <c r="AK380">
        <f>AK379+IF(AND($E380&lt;&gt;"",$E380&lt;=AK$2,$F380&gt;=AK$2),1,0)</f>
        <v/>
      </c>
      <c r="AL380">
        <f>AL379+IF(AND($E380&lt;&gt;"",$E380&lt;=AL$2,$F380&gt;=AL$2),1,0)</f>
        <v/>
      </c>
      <c r="AM380">
        <f>AM379+IF(AND($E380&lt;&gt;"",$E380&lt;=AM$2,$F380&gt;=AM$2),1,0)</f>
        <v/>
      </c>
      <c r="AN380">
        <f>AN379+IF(AND($E380&lt;&gt;"",$E380&lt;=AN$2,$F380&gt;=AN$2),1,0)</f>
        <v/>
      </c>
      <c r="AO380">
        <f>AO379+IF(AND($E380&lt;&gt;"",$E380&lt;=AO$2,$F380&gt;=AO$2),1,0)</f>
        <v/>
      </c>
      <c r="AP380">
        <f>AP379+IF(AND($E380&lt;&gt;"",$E380&lt;=AP$2,$F380&gt;=AP$2),1,0)</f>
        <v/>
      </c>
      <c r="AQ380">
        <f>AQ379+IF(AND($E380&lt;&gt;"",$E380&lt;=AQ$2,$F380&gt;=AQ$2),1,0)</f>
        <v/>
      </c>
      <c r="AR380">
        <f>AR379+IF(AND($E380&lt;&gt;"",$E380&lt;=AR$2,$F380&gt;=AR$2),1,0)</f>
        <v/>
      </c>
      <c r="AS380">
        <f>AS379+IF(AND($E380&lt;&gt;"",$E380&lt;=AS$2,$F380&gt;=AS$2),1,0)</f>
        <v/>
      </c>
      <c r="AT380">
        <f>AT379+IF(AND($E380&lt;&gt;"",$E380&lt;=AT$2,$F380&gt;=AT$2),1,0)</f>
        <v/>
      </c>
      <c r="AU380">
        <f>AU379+IF(AND($E380&lt;&gt;"",$E380&lt;=AU$2,$F380&gt;=AU$2),1,0)</f>
        <v/>
      </c>
      <c r="AV380">
        <f>AV379+IF(AND($E380&lt;&gt;"",$E380&lt;=AV$2,$F380&gt;=AV$2),1,0)</f>
        <v/>
      </c>
      <c r="AW380">
        <f>AW379+IF(AND($E380&lt;&gt;"",$E380&lt;=AW$2,$F380&gt;=AW$2),1,0)</f>
        <v/>
      </c>
    </row>
    <row r="381">
      <c r="A381">
        <f>IF(AND(ISNUMBER(Events!$A383),ISNUMBER(Events!$B383)),MAX(0,Events!$B383-Events!$A383),0)</f>
        <v/>
      </c>
      <c r="B381">
        <f>IF(ISNUMBER(Events!$A383),DATE(YEAR($B$1)-1,MONTH(Events!$A383),DAY(Events!$A383)),"")</f>
        <v/>
      </c>
      <c r="C381">
        <f>IF(ISNUMBER(Events!$A383),DATE(YEAR($B$1),MONTH(Events!$A383),DAY(Events!$A383)),"")</f>
        <v/>
      </c>
      <c r="D381">
        <f>IF(ISNUMBER(Events!$A383),DATE(YEAR($B$2),MONTH(Events!$A383),DAY(Events!$A383)),"")</f>
        <v/>
      </c>
      <c r="E381">
        <f>IF(OR(NOT(ISNUMBER(Events!$A383)),Events!$G383="No",Calendar!$H$4="None"),"",IF(OR(Calendar!$H$4="All events",Events!$D383=Calendar!$H$4),IF(Events!$E383="Yes",IF(AND(B381&gt;=Events!$A383,B381&lt;=$B$2,B381+$A381&gt;=$B$1),B381,IF(AND(C381&gt;=Events!$A383,C381&lt;=$B$2,C381+$A381&gt;=$B$1),C381,IF(AND(D381&gt;=Events!$A383,D381&lt;=$B$2,D381+$A381&gt;=$B$1),D381,""))),IF(AND(Events!$A383&lt;=$B$2,Events!$A383+$A381&gt;=$B$1),Events!$A383,"")),""))</f>
        <v/>
      </c>
      <c r="F381">
        <f>IF(E381="","",E381+A381)</f>
        <v/>
      </c>
      <c r="G381">
        <f>IF(E381="","",IF(AND(E381&lt;=EOMONTH(Calendar!$K$2,0),F381&gt;=Calendar!$K$2),E381+378/100000,""))</f>
        <v/>
      </c>
      <c r="H381">
        <f>H380+IF(AND($E381&lt;&gt;"",$E381&lt;=H$2,$F381&gt;=H$2),1,0)</f>
        <v/>
      </c>
      <c r="I381">
        <f>I380+IF(AND($E381&lt;&gt;"",$E381&lt;=I$2,$F381&gt;=I$2),1,0)</f>
        <v/>
      </c>
      <c r="J381">
        <f>J380+IF(AND($E381&lt;&gt;"",$E381&lt;=J$2,$F381&gt;=J$2),1,0)</f>
        <v/>
      </c>
      <c r="K381">
        <f>K380+IF(AND($E381&lt;&gt;"",$E381&lt;=K$2,$F381&gt;=K$2),1,0)</f>
        <v/>
      </c>
      <c r="L381">
        <f>L380+IF(AND($E381&lt;&gt;"",$E381&lt;=L$2,$F381&gt;=L$2),1,0)</f>
        <v/>
      </c>
      <c r="M381">
        <f>M380+IF(AND($E381&lt;&gt;"",$E381&lt;=M$2,$F381&gt;=M$2),1,0)</f>
        <v/>
      </c>
      <c r="N381">
        <f>N380+IF(AND($E381&lt;&gt;"",$E381&lt;=N$2,$F381&gt;=N$2),1,0)</f>
        <v/>
      </c>
      <c r="O381">
        <f>O380+IF(AND($E381&lt;&gt;"",$E381&lt;=O$2,$F381&gt;=O$2),1,0)</f>
        <v/>
      </c>
      <c r="P381">
        <f>P380+IF(AND($E381&lt;&gt;"",$E381&lt;=P$2,$F381&gt;=P$2),1,0)</f>
        <v/>
      </c>
      <c r="Q381">
        <f>Q380+IF(AND($E381&lt;&gt;"",$E381&lt;=Q$2,$F381&gt;=Q$2),1,0)</f>
        <v/>
      </c>
      <c r="R381">
        <f>R380+IF(AND($E381&lt;&gt;"",$E381&lt;=R$2,$F381&gt;=R$2),1,0)</f>
        <v/>
      </c>
      <c r="S381">
        <f>S380+IF(AND($E381&lt;&gt;"",$E381&lt;=S$2,$F381&gt;=S$2),1,0)</f>
        <v/>
      </c>
      <c r="T381">
        <f>T380+IF(AND($E381&lt;&gt;"",$E381&lt;=T$2,$F381&gt;=T$2),1,0)</f>
        <v/>
      </c>
      <c r="U381">
        <f>U380+IF(AND($E381&lt;&gt;"",$E381&lt;=U$2,$F381&gt;=U$2),1,0)</f>
        <v/>
      </c>
      <c r="V381">
        <f>V380+IF(AND($E381&lt;&gt;"",$E381&lt;=V$2,$F381&gt;=V$2),1,0)</f>
        <v/>
      </c>
      <c r="W381">
        <f>W380+IF(AND($E381&lt;&gt;"",$E381&lt;=W$2,$F381&gt;=W$2),1,0)</f>
        <v/>
      </c>
      <c r="X381">
        <f>X380+IF(AND($E381&lt;&gt;"",$E381&lt;=X$2,$F381&gt;=X$2),1,0)</f>
        <v/>
      </c>
      <c r="Y381">
        <f>Y380+IF(AND($E381&lt;&gt;"",$E381&lt;=Y$2,$F381&gt;=Y$2),1,0)</f>
        <v/>
      </c>
      <c r="Z381">
        <f>Z380+IF(AND($E381&lt;&gt;"",$E381&lt;=Z$2,$F381&gt;=Z$2),1,0)</f>
        <v/>
      </c>
      <c r="AA381">
        <f>AA380+IF(AND($E381&lt;&gt;"",$E381&lt;=AA$2,$F381&gt;=AA$2),1,0)</f>
        <v/>
      </c>
      <c r="AB381">
        <f>AB380+IF(AND($E381&lt;&gt;"",$E381&lt;=AB$2,$F381&gt;=AB$2),1,0)</f>
        <v/>
      </c>
      <c r="AC381">
        <f>AC380+IF(AND($E381&lt;&gt;"",$E381&lt;=AC$2,$F381&gt;=AC$2),1,0)</f>
        <v/>
      </c>
      <c r="AD381">
        <f>AD380+IF(AND($E381&lt;&gt;"",$E381&lt;=AD$2,$F381&gt;=AD$2),1,0)</f>
        <v/>
      </c>
      <c r="AE381">
        <f>AE380+IF(AND($E381&lt;&gt;"",$E381&lt;=AE$2,$F381&gt;=AE$2),1,0)</f>
        <v/>
      </c>
      <c r="AF381">
        <f>AF380+IF(AND($E381&lt;&gt;"",$E381&lt;=AF$2,$F381&gt;=AF$2),1,0)</f>
        <v/>
      </c>
      <c r="AG381">
        <f>AG380+IF(AND($E381&lt;&gt;"",$E381&lt;=AG$2,$F381&gt;=AG$2),1,0)</f>
        <v/>
      </c>
      <c r="AH381">
        <f>AH380+IF(AND($E381&lt;&gt;"",$E381&lt;=AH$2,$F381&gt;=AH$2),1,0)</f>
        <v/>
      </c>
      <c r="AI381">
        <f>AI380+IF(AND($E381&lt;&gt;"",$E381&lt;=AI$2,$F381&gt;=AI$2),1,0)</f>
        <v/>
      </c>
      <c r="AJ381">
        <f>AJ380+IF(AND($E381&lt;&gt;"",$E381&lt;=AJ$2,$F381&gt;=AJ$2),1,0)</f>
        <v/>
      </c>
      <c r="AK381">
        <f>AK380+IF(AND($E381&lt;&gt;"",$E381&lt;=AK$2,$F381&gt;=AK$2),1,0)</f>
        <v/>
      </c>
      <c r="AL381">
        <f>AL380+IF(AND($E381&lt;&gt;"",$E381&lt;=AL$2,$F381&gt;=AL$2),1,0)</f>
        <v/>
      </c>
      <c r="AM381">
        <f>AM380+IF(AND($E381&lt;&gt;"",$E381&lt;=AM$2,$F381&gt;=AM$2),1,0)</f>
        <v/>
      </c>
      <c r="AN381">
        <f>AN380+IF(AND($E381&lt;&gt;"",$E381&lt;=AN$2,$F381&gt;=AN$2),1,0)</f>
        <v/>
      </c>
      <c r="AO381">
        <f>AO380+IF(AND($E381&lt;&gt;"",$E381&lt;=AO$2,$F381&gt;=AO$2),1,0)</f>
        <v/>
      </c>
      <c r="AP381">
        <f>AP380+IF(AND($E381&lt;&gt;"",$E381&lt;=AP$2,$F381&gt;=AP$2),1,0)</f>
        <v/>
      </c>
      <c r="AQ381">
        <f>AQ380+IF(AND($E381&lt;&gt;"",$E381&lt;=AQ$2,$F381&gt;=AQ$2),1,0)</f>
        <v/>
      </c>
      <c r="AR381">
        <f>AR380+IF(AND($E381&lt;&gt;"",$E381&lt;=AR$2,$F381&gt;=AR$2),1,0)</f>
        <v/>
      </c>
      <c r="AS381">
        <f>AS380+IF(AND($E381&lt;&gt;"",$E381&lt;=AS$2,$F381&gt;=AS$2),1,0)</f>
        <v/>
      </c>
      <c r="AT381">
        <f>AT380+IF(AND($E381&lt;&gt;"",$E381&lt;=AT$2,$F381&gt;=AT$2),1,0)</f>
        <v/>
      </c>
      <c r="AU381">
        <f>AU380+IF(AND($E381&lt;&gt;"",$E381&lt;=AU$2,$F381&gt;=AU$2),1,0)</f>
        <v/>
      </c>
      <c r="AV381">
        <f>AV380+IF(AND($E381&lt;&gt;"",$E381&lt;=AV$2,$F381&gt;=AV$2),1,0)</f>
        <v/>
      </c>
      <c r="AW381">
        <f>AW380+IF(AND($E381&lt;&gt;"",$E381&lt;=AW$2,$F381&gt;=AW$2),1,0)</f>
        <v/>
      </c>
    </row>
    <row r="382">
      <c r="A382">
        <f>IF(AND(ISNUMBER(Events!$A384),ISNUMBER(Events!$B384)),MAX(0,Events!$B384-Events!$A384),0)</f>
        <v/>
      </c>
      <c r="B382">
        <f>IF(ISNUMBER(Events!$A384),DATE(YEAR($B$1)-1,MONTH(Events!$A384),DAY(Events!$A384)),"")</f>
        <v/>
      </c>
      <c r="C382">
        <f>IF(ISNUMBER(Events!$A384),DATE(YEAR($B$1),MONTH(Events!$A384),DAY(Events!$A384)),"")</f>
        <v/>
      </c>
      <c r="D382">
        <f>IF(ISNUMBER(Events!$A384),DATE(YEAR($B$2),MONTH(Events!$A384),DAY(Events!$A384)),"")</f>
        <v/>
      </c>
      <c r="E382">
        <f>IF(OR(NOT(ISNUMBER(Events!$A384)),Events!$G384="No",Calendar!$H$4="None"),"",IF(OR(Calendar!$H$4="All events",Events!$D384=Calendar!$H$4),IF(Events!$E384="Yes",IF(AND(B382&gt;=Events!$A384,B382&lt;=$B$2,B382+$A382&gt;=$B$1),B382,IF(AND(C382&gt;=Events!$A384,C382&lt;=$B$2,C382+$A382&gt;=$B$1),C382,IF(AND(D382&gt;=Events!$A384,D382&lt;=$B$2,D382+$A382&gt;=$B$1),D382,""))),IF(AND(Events!$A384&lt;=$B$2,Events!$A384+$A382&gt;=$B$1),Events!$A384,"")),""))</f>
        <v/>
      </c>
      <c r="F382">
        <f>IF(E382="","",E382+A382)</f>
        <v/>
      </c>
      <c r="G382">
        <f>IF(E382="","",IF(AND(E382&lt;=EOMONTH(Calendar!$K$2,0),F382&gt;=Calendar!$K$2),E382+379/100000,""))</f>
        <v/>
      </c>
      <c r="H382">
        <f>H381+IF(AND($E382&lt;&gt;"",$E382&lt;=H$2,$F382&gt;=H$2),1,0)</f>
        <v/>
      </c>
      <c r="I382">
        <f>I381+IF(AND($E382&lt;&gt;"",$E382&lt;=I$2,$F382&gt;=I$2),1,0)</f>
        <v/>
      </c>
      <c r="J382">
        <f>J381+IF(AND($E382&lt;&gt;"",$E382&lt;=J$2,$F382&gt;=J$2),1,0)</f>
        <v/>
      </c>
      <c r="K382">
        <f>K381+IF(AND($E382&lt;&gt;"",$E382&lt;=K$2,$F382&gt;=K$2),1,0)</f>
        <v/>
      </c>
      <c r="L382">
        <f>L381+IF(AND($E382&lt;&gt;"",$E382&lt;=L$2,$F382&gt;=L$2),1,0)</f>
        <v/>
      </c>
      <c r="M382">
        <f>M381+IF(AND($E382&lt;&gt;"",$E382&lt;=M$2,$F382&gt;=M$2),1,0)</f>
        <v/>
      </c>
      <c r="N382">
        <f>N381+IF(AND($E382&lt;&gt;"",$E382&lt;=N$2,$F382&gt;=N$2),1,0)</f>
        <v/>
      </c>
      <c r="O382">
        <f>O381+IF(AND($E382&lt;&gt;"",$E382&lt;=O$2,$F382&gt;=O$2),1,0)</f>
        <v/>
      </c>
      <c r="P382">
        <f>P381+IF(AND($E382&lt;&gt;"",$E382&lt;=P$2,$F382&gt;=P$2),1,0)</f>
        <v/>
      </c>
      <c r="Q382">
        <f>Q381+IF(AND($E382&lt;&gt;"",$E382&lt;=Q$2,$F382&gt;=Q$2),1,0)</f>
        <v/>
      </c>
      <c r="R382">
        <f>R381+IF(AND($E382&lt;&gt;"",$E382&lt;=R$2,$F382&gt;=R$2),1,0)</f>
        <v/>
      </c>
      <c r="S382">
        <f>S381+IF(AND($E382&lt;&gt;"",$E382&lt;=S$2,$F382&gt;=S$2),1,0)</f>
        <v/>
      </c>
      <c r="T382">
        <f>T381+IF(AND($E382&lt;&gt;"",$E382&lt;=T$2,$F382&gt;=T$2),1,0)</f>
        <v/>
      </c>
      <c r="U382">
        <f>U381+IF(AND($E382&lt;&gt;"",$E382&lt;=U$2,$F382&gt;=U$2),1,0)</f>
        <v/>
      </c>
      <c r="V382">
        <f>V381+IF(AND($E382&lt;&gt;"",$E382&lt;=V$2,$F382&gt;=V$2),1,0)</f>
        <v/>
      </c>
      <c r="W382">
        <f>W381+IF(AND($E382&lt;&gt;"",$E382&lt;=W$2,$F382&gt;=W$2),1,0)</f>
        <v/>
      </c>
      <c r="X382">
        <f>X381+IF(AND($E382&lt;&gt;"",$E382&lt;=X$2,$F382&gt;=X$2),1,0)</f>
        <v/>
      </c>
      <c r="Y382">
        <f>Y381+IF(AND($E382&lt;&gt;"",$E382&lt;=Y$2,$F382&gt;=Y$2),1,0)</f>
        <v/>
      </c>
      <c r="Z382">
        <f>Z381+IF(AND($E382&lt;&gt;"",$E382&lt;=Z$2,$F382&gt;=Z$2),1,0)</f>
        <v/>
      </c>
      <c r="AA382">
        <f>AA381+IF(AND($E382&lt;&gt;"",$E382&lt;=AA$2,$F382&gt;=AA$2),1,0)</f>
        <v/>
      </c>
      <c r="AB382">
        <f>AB381+IF(AND($E382&lt;&gt;"",$E382&lt;=AB$2,$F382&gt;=AB$2),1,0)</f>
        <v/>
      </c>
      <c r="AC382">
        <f>AC381+IF(AND($E382&lt;&gt;"",$E382&lt;=AC$2,$F382&gt;=AC$2),1,0)</f>
        <v/>
      </c>
      <c r="AD382">
        <f>AD381+IF(AND($E382&lt;&gt;"",$E382&lt;=AD$2,$F382&gt;=AD$2),1,0)</f>
        <v/>
      </c>
      <c r="AE382">
        <f>AE381+IF(AND($E382&lt;&gt;"",$E382&lt;=AE$2,$F382&gt;=AE$2),1,0)</f>
        <v/>
      </c>
      <c r="AF382">
        <f>AF381+IF(AND($E382&lt;&gt;"",$E382&lt;=AF$2,$F382&gt;=AF$2),1,0)</f>
        <v/>
      </c>
      <c r="AG382">
        <f>AG381+IF(AND($E382&lt;&gt;"",$E382&lt;=AG$2,$F382&gt;=AG$2),1,0)</f>
        <v/>
      </c>
      <c r="AH382">
        <f>AH381+IF(AND($E382&lt;&gt;"",$E382&lt;=AH$2,$F382&gt;=AH$2),1,0)</f>
        <v/>
      </c>
      <c r="AI382">
        <f>AI381+IF(AND($E382&lt;&gt;"",$E382&lt;=AI$2,$F382&gt;=AI$2),1,0)</f>
        <v/>
      </c>
      <c r="AJ382">
        <f>AJ381+IF(AND($E382&lt;&gt;"",$E382&lt;=AJ$2,$F382&gt;=AJ$2),1,0)</f>
        <v/>
      </c>
      <c r="AK382">
        <f>AK381+IF(AND($E382&lt;&gt;"",$E382&lt;=AK$2,$F382&gt;=AK$2),1,0)</f>
        <v/>
      </c>
      <c r="AL382">
        <f>AL381+IF(AND($E382&lt;&gt;"",$E382&lt;=AL$2,$F382&gt;=AL$2),1,0)</f>
        <v/>
      </c>
      <c r="AM382">
        <f>AM381+IF(AND($E382&lt;&gt;"",$E382&lt;=AM$2,$F382&gt;=AM$2),1,0)</f>
        <v/>
      </c>
      <c r="AN382">
        <f>AN381+IF(AND($E382&lt;&gt;"",$E382&lt;=AN$2,$F382&gt;=AN$2),1,0)</f>
        <v/>
      </c>
      <c r="AO382">
        <f>AO381+IF(AND($E382&lt;&gt;"",$E382&lt;=AO$2,$F382&gt;=AO$2),1,0)</f>
        <v/>
      </c>
      <c r="AP382">
        <f>AP381+IF(AND($E382&lt;&gt;"",$E382&lt;=AP$2,$F382&gt;=AP$2),1,0)</f>
        <v/>
      </c>
      <c r="AQ382">
        <f>AQ381+IF(AND($E382&lt;&gt;"",$E382&lt;=AQ$2,$F382&gt;=AQ$2),1,0)</f>
        <v/>
      </c>
      <c r="AR382">
        <f>AR381+IF(AND($E382&lt;&gt;"",$E382&lt;=AR$2,$F382&gt;=AR$2),1,0)</f>
        <v/>
      </c>
      <c r="AS382">
        <f>AS381+IF(AND($E382&lt;&gt;"",$E382&lt;=AS$2,$F382&gt;=AS$2),1,0)</f>
        <v/>
      </c>
      <c r="AT382">
        <f>AT381+IF(AND($E382&lt;&gt;"",$E382&lt;=AT$2,$F382&gt;=AT$2),1,0)</f>
        <v/>
      </c>
      <c r="AU382">
        <f>AU381+IF(AND($E382&lt;&gt;"",$E382&lt;=AU$2,$F382&gt;=AU$2),1,0)</f>
        <v/>
      </c>
      <c r="AV382">
        <f>AV381+IF(AND($E382&lt;&gt;"",$E382&lt;=AV$2,$F382&gt;=AV$2),1,0)</f>
        <v/>
      </c>
      <c r="AW382">
        <f>AW381+IF(AND($E382&lt;&gt;"",$E382&lt;=AW$2,$F382&gt;=AW$2),1,0)</f>
        <v/>
      </c>
    </row>
    <row r="383">
      <c r="A383">
        <f>IF(AND(ISNUMBER(Events!$A385),ISNUMBER(Events!$B385)),MAX(0,Events!$B385-Events!$A385),0)</f>
        <v/>
      </c>
      <c r="B383">
        <f>IF(ISNUMBER(Events!$A385),DATE(YEAR($B$1)-1,MONTH(Events!$A385),DAY(Events!$A385)),"")</f>
        <v/>
      </c>
      <c r="C383">
        <f>IF(ISNUMBER(Events!$A385),DATE(YEAR($B$1),MONTH(Events!$A385),DAY(Events!$A385)),"")</f>
        <v/>
      </c>
      <c r="D383">
        <f>IF(ISNUMBER(Events!$A385),DATE(YEAR($B$2),MONTH(Events!$A385),DAY(Events!$A385)),"")</f>
        <v/>
      </c>
      <c r="E383">
        <f>IF(OR(NOT(ISNUMBER(Events!$A385)),Events!$G385="No",Calendar!$H$4="None"),"",IF(OR(Calendar!$H$4="All events",Events!$D385=Calendar!$H$4),IF(Events!$E385="Yes",IF(AND(B383&gt;=Events!$A385,B383&lt;=$B$2,B383+$A383&gt;=$B$1),B383,IF(AND(C383&gt;=Events!$A385,C383&lt;=$B$2,C383+$A383&gt;=$B$1),C383,IF(AND(D383&gt;=Events!$A385,D383&lt;=$B$2,D383+$A383&gt;=$B$1),D383,""))),IF(AND(Events!$A385&lt;=$B$2,Events!$A385+$A383&gt;=$B$1),Events!$A385,"")),""))</f>
        <v/>
      </c>
      <c r="F383">
        <f>IF(E383="","",E383+A383)</f>
        <v/>
      </c>
      <c r="G383">
        <f>IF(E383="","",IF(AND(E383&lt;=EOMONTH(Calendar!$K$2,0),F383&gt;=Calendar!$K$2),E383+380/100000,""))</f>
        <v/>
      </c>
      <c r="H383">
        <f>H382+IF(AND($E383&lt;&gt;"",$E383&lt;=H$2,$F383&gt;=H$2),1,0)</f>
        <v/>
      </c>
      <c r="I383">
        <f>I382+IF(AND($E383&lt;&gt;"",$E383&lt;=I$2,$F383&gt;=I$2),1,0)</f>
        <v/>
      </c>
      <c r="J383">
        <f>J382+IF(AND($E383&lt;&gt;"",$E383&lt;=J$2,$F383&gt;=J$2),1,0)</f>
        <v/>
      </c>
      <c r="K383">
        <f>K382+IF(AND($E383&lt;&gt;"",$E383&lt;=K$2,$F383&gt;=K$2),1,0)</f>
        <v/>
      </c>
      <c r="L383">
        <f>L382+IF(AND($E383&lt;&gt;"",$E383&lt;=L$2,$F383&gt;=L$2),1,0)</f>
        <v/>
      </c>
      <c r="M383">
        <f>M382+IF(AND($E383&lt;&gt;"",$E383&lt;=M$2,$F383&gt;=M$2),1,0)</f>
        <v/>
      </c>
      <c r="N383">
        <f>N382+IF(AND($E383&lt;&gt;"",$E383&lt;=N$2,$F383&gt;=N$2),1,0)</f>
        <v/>
      </c>
      <c r="O383">
        <f>O382+IF(AND($E383&lt;&gt;"",$E383&lt;=O$2,$F383&gt;=O$2),1,0)</f>
        <v/>
      </c>
      <c r="P383">
        <f>P382+IF(AND($E383&lt;&gt;"",$E383&lt;=P$2,$F383&gt;=P$2),1,0)</f>
        <v/>
      </c>
      <c r="Q383">
        <f>Q382+IF(AND($E383&lt;&gt;"",$E383&lt;=Q$2,$F383&gt;=Q$2),1,0)</f>
        <v/>
      </c>
      <c r="R383">
        <f>R382+IF(AND($E383&lt;&gt;"",$E383&lt;=R$2,$F383&gt;=R$2),1,0)</f>
        <v/>
      </c>
      <c r="S383">
        <f>S382+IF(AND($E383&lt;&gt;"",$E383&lt;=S$2,$F383&gt;=S$2),1,0)</f>
        <v/>
      </c>
      <c r="T383">
        <f>T382+IF(AND($E383&lt;&gt;"",$E383&lt;=T$2,$F383&gt;=T$2),1,0)</f>
        <v/>
      </c>
      <c r="U383">
        <f>U382+IF(AND($E383&lt;&gt;"",$E383&lt;=U$2,$F383&gt;=U$2),1,0)</f>
        <v/>
      </c>
      <c r="V383">
        <f>V382+IF(AND($E383&lt;&gt;"",$E383&lt;=V$2,$F383&gt;=V$2),1,0)</f>
        <v/>
      </c>
      <c r="W383">
        <f>W382+IF(AND($E383&lt;&gt;"",$E383&lt;=W$2,$F383&gt;=W$2),1,0)</f>
        <v/>
      </c>
      <c r="X383">
        <f>X382+IF(AND($E383&lt;&gt;"",$E383&lt;=X$2,$F383&gt;=X$2),1,0)</f>
        <v/>
      </c>
      <c r="Y383">
        <f>Y382+IF(AND($E383&lt;&gt;"",$E383&lt;=Y$2,$F383&gt;=Y$2),1,0)</f>
        <v/>
      </c>
      <c r="Z383">
        <f>Z382+IF(AND($E383&lt;&gt;"",$E383&lt;=Z$2,$F383&gt;=Z$2),1,0)</f>
        <v/>
      </c>
      <c r="AA383">
        <f>AA382+IF(AND($E383&lt;&gt;"",$E383&lt;=AA$2,$F383&gt;=AA$2),1,0)</f>
        <v/>
      </c>
      <c r="AB383">
        <f>AB382+IF(AND($E383&lt;&gt;"",$E383&lt;=AB$2,$F383&gt;=AB$2),1,0)</f>
        <v/>
      </c>
      <c r="AC383">
        <f>AC382+IF(AND($E383&lt;&gt;"",$E383&lt;=AC$2,$F383&gt;=AC$2),1,0)</f>
        <v/>
      </c>
      <c r="AD383">
        <f>AD382+IF(AND($E383&lt;&gt;"",$E383&lt;=AD$2,$F383&gt;=AD$2),1,0)</f>
        <v/>
      </c>
      <c r="AE383">
        <f>AE382+IF(AND($E383&lt;&gt;"",$E383&lt;=AE$2,$F383&gt;=AE$2),1,0)</f>
        <v/>
      </c>
      <c r="AF383">
        <f>AF382+IF(AND($E383&lt;&gt;"",$E383&lt;=AF$2,$F383&gt;=AF$2),1,0)</f>
        <v/>
      </c>
      <c r="AG383">
        <f>AG382+IF(AND($E383&lt;&gt;"",$E383&lt;=AG$2,$F383&gt;=AG$2),1,0)</f>
        <v/>
      </c>
      <c r="AH383">
        <f>AH382+IF(AND($E383&lt;&gt;"",$E383&lt;=AH$2,$F383&gt;=AH$2),1,0)</f>
        <v/>
      </c>
      <c r="AI383">
        <f>AI382+IF(AND($E383&lt;&gt;"",$E383&lt;=AI$2,$F383&gt;=AI$2),1,0)</f>
        <v/>
      </c>
      <c r="AJ383">
        <f>AJ382+IF(AND($E383&lt;&gt;"",$E383&lt;=AJ$2,$F383&gt;=AJ$2),1,0)</f>
        <v/>
      </c>
      <c r="AK383">
        <f>AK382+IF(AND($E383&lt;&gt;"",$E383&lt;=AK$2,$F383&gt;=AK$2),1,0)</f>
        <v/>
      </c>
      <c r="AL383">
        <f>AL382+IF(AND($E383&lt;&gt;"",$E383&lt;=AL$2,$F383&gt;=AL$2),1,0)</f>
        <v/>
      </c>
      <c r="AM383">
        <f>AM382+IF(AND($E383&lt;&gt;"",$E383&lt;=AM$2,$F383&gt;=AM$2),1,0)</f>
        <v/>
      </c>
      <c r="AN383">
        <f>AN382+IF(AND($E383&lt;&gt;"",$E383&lt;=AN$2,$F383&gt;=AN$2),1,0)</f>
        <v/>
      </c>
      <c r="AO383">
        <f>AO382+IF(AND($E383&lt;&gt;"",$E383&lt;=AO$2,$F383&gt;=AO$2),1,0)</f>
        <v/>
      </c>
      <c r="AP383">
        <f>AP382+IF(AND($E383&lt;&gt;"",$E383&lt;=AP$2,$F383&gt;=AP$2),1,0)</f>
        <v/>
      </c>
      <c r="AQ383">
        <f>AQ382+IF(AND($E383&lt;&gt;"",$E383&lt;=AQ$2,$F383&gt;=AQ$2),1,0)</f>
        <v/>
      </c>
      <c r="AR383">
        <f>AR382+IF(AND($E383&lt;&gt;"",$E383&lt;=AR$2,$F383&gt;=AR$2),1,0)</f>
        <v/>
      </c>
      <c r="AS383">
        <f>AS382+IF(AND($E383&lt;&gt;"",$E383&lt;=AS$2,$F383&gt;=AS$2),1,0)</f>
        <v/>
      </c>
      <c r="AT383">
        <f>AT382+IF(AND($E383&lt;&gt;"",$E383&lt;=AT$2,$F383&gt;=AT$2),1,0)</f>
        <v/>
      </c>
      <c r="AU383">
        <f>AU382+IF(AND($E383&lt;&gt;"",$E383&lt;=AU$2,$F383&gt;=AU$2),1,0)</f>
        <v/>
      </c>
      <c r="AV383">
        <f>AV382+IF(AND($E383&lt;&gt;"",$E383&lt;=AV$2,$F383&gt;=AV$2),1,0)</f>
        <v/>
      </c>
      <c r="AW383">
        <f>AW382+IF(AND($E383&lt;&gt;"",$E383&lt;=AW$2,$F383&gt;=AW$2),1,0)</f>
        <v/>
      </c>
    </row>
    <row r="384">
      <c r="A384">
        <f>IF(AND(ISNUMBER(Events!$A386),ISNUMBER(Events!$B386)),MAX(0,Events!$B386-Events!$A386),0)</f>
        <v/>
      </c>
      <c r="B384">
        <f>IF(ISNUMBER(Events!$A386),DATE(YEAR($B$1)-1,MONTH(Events!$A386),DAY(Events!$A386)),"")</f>
        <v/>
      </c>
      <c r="C384">
        <f>IF(ISNUMBER(Events!$A386),DATE(YEAR($B$1),MONTH(Events!$A386),DAY(Events!$A386)),"")</f>
        <v/>
      </c>
      <c r="D384">
        <f>IF(ISNUMBER(Events!$A386),DATE(YEAR($B$2),MONTH(Events!$A386),DAY(Events!$A386)),"")</f>
        <v/>
      </c>
      <c r="E384">
        <f>IF(OR(NOT(ISNUMBER(Events!$A386)),Events!$G386="No",Calendar!$H$4="None"),"",IF(OR(Calendar!$H$4="All events",Events!$D386=Calendar!$H$4),IF(Events!$E386="Yes",IF(AND(B384&gt;=Events!$A386,B384&lt;=$B$2,B384+$A384&gt;=$B$1),B384,IF(AND(C384&gt;=Events!$A386,C384&lt;=$B$2,C384+$A384&gt;=$B$1),C384,IF(AND(D384&gt;=Events!$A386,D384&lt;=$B$2,D384+$A384&gt;=$B$1),D384,""))),IF(AND(Events!$A386&lt;=$B$2,Events!$A386+$A384&gt;=$B$1),Events!$A386,"")),""))</f>
        <v/>
      </c>
      <c r="F384">
        <f>IF(E384="","",E384+A384)</f>
        <v/>
      </c>
      <c r="G384">
        <f>IF(E384="","",IF(AND(E384&lt;=EOMONTH(Calendar!$K$2,0),F384&gt;=Calendar!$K$2),E384+381/100000,""))</f>
        <v/>
      </c>
      <c r="H384">
        <f>H383+IF(AND($E384&lt;&gt;"",$E384&lt;=H$2,$F384&gt;=H$2),1,0)</f>
        <v/>
      </c>
      <c r="I384">
        <f>I383+IF(AND($E384&lt;&gt;"",$E384&lt;=I$2,$F384&gt;=I$2),1,0)</f>
        <v/>
      </c>
      <c r="J384">
        <f>J383+IF(AND($E384&lt;&gt;"",$E384&lt;=J$2,$F384&gt;=J$2),1,0)</f>
        <v/>
      </c>
      <c r="K384">
        <f>K383+IF(AND($E384&lt;&gt;"",$E384&lt;=K$2,$F384&gt;=K$2),1,0)</f>
        <v/>
      </c>
      <c r="L384">
        <f>L383+IF(AND($E384&lt;&gt;"",$E384&lt;=L$2,$F384&gt;=L$2),1,0)</f>
        <v/>
      </c>
      <c r="M384">
        <f>M383+IF(AND($E384&lt;&gt;"",$E384&lt;=M$2,$F384&gt;=M$2),1,0)</f>
        <v/>
      </c>
      <c r="N384">
        <f>N383+IF(AND($E384&lt;&gt;"",$E384&lt;=N$2,$F384&gt;=N$2),1,0)</f>
        <v/>
      </c>
      <c r="O384">
        <f>O383+IF(AND($E384&lt;&gt;"",$E384&lt;=O$2,$F384&gt;=O$2),1,0)</f>
        <v/>
      </c>
      <c r="P384">
        <f>P383+IF(AND($E384&lt;&gt;"",$E384&lt;=P$2,$F384&gt;=P$2),1,0)</f>
        <v/>
      </c>
      <c r="Q384">
        <f>Q383+IF(AND($E384&lt;&gt;"",$E384&lt;=Q$2,$F384&gt;=Q$2),1,0)</f>
        <v/>
      </c>
      <c r="R384">
        <f>R383+IF(AND($E384&lt;&gt;"",$E384&lt;=R$2,$F384&gt;=R$2),1,0)</f>
        <v/>
      </c>
      <c r="S384">
        <f>S383+IF(AND($E384&lt;&gt;"",$E384&lt;=S$2,$F384&gt;=S$2),1,0)</f>
        <v/>
      </c>
      <c r="T384">
        <f>T383+IF(AND($E384&lt;&gt;"",$E384&lt;=T$2,$F384&gt;=T$2),1,0)</f>
        <v/>
      </c>
      <c r="U384">
        <f>U383+IF(AND($E384&lt;&gt;"",$E384&lt;=U$2,$F384&gt;=U$2),1,0)</f>
        <v/>
      </c>
      <c r="V384">
        <f>V383+IF(AND($E384&lt;&gt;"",$E384&lt;=V$2,$F384&gt;=V$2),1,0)</f>
        <v/>
      </c>
      <c r="W384">
        <f>W383+IF(AND($E384&lt;&gt;"",$E384&lt;=W$2,$F384&gt;=W$2),1,0)</f>
        <v/>
      </c>
      <c r="X384">
        <f>X383+IF(AND($E384&lt;&gt;"",$E384&lt;=X$2,$F384&gt;=X$2),1,0)</f>
        <v/>
      </c>
      <c r="Y384">
        <f>Y383+IF(AND($E384&lt;&gt;"",$E384&lt;=Y$2,$F384&gt;=Y$2),1,0)</f>
        <v/>
      </c>
      <c r="Z384">
        <f>Z383+IF(AND($E384&lt;&gt;"",$E384&lt;=Z$2,$F384&gt;=Z$2),1,0)</f>
        <v/>
      </c>
      <c r="AA384">
        <f>AA383+IF(AND($E384&lt;&gt;"",$E384&lt;=AA$2,$F384&gt;=AA$2),1,0)</f>
        <v/>
      </c>
      <c r="AB384">
        <f>AB383+IF(AND($E384&lt;&gt;"",$E384&lt;=AB$2,$F384&gt;=AB$2),1,0)</f>
        <v/>
      </c>
      <c r="AC384">
        <f>AC383+IF(AND($E384&lt;&gt;"",$E384&lt;=AC$2,$F384&gt;=AC$2),1,0)</f>
        <v/>
      </c>
      <c r="AD384">
        <f>AD383+IF(AND($E384&lt;&gt;"",$E384&lt;=AD$2,$F384&gt;=AD$2),1,0)</f>
        <v/>
      </c>
      <c r="AE384">
        <f>AE383+IF(AND($E384&lt;&gt;"",$E384&lt;=AE$2,$F384&gt;=AE$2),1,0)</f>
        <v/>
      </c>
      <c r="AF384">
        <f>AF383+IF(AND($E384&lt;&gt;"",$E384&lt;=AF$2,$F384&gt;=AF$2),1,0)</f>
        <v/>
      </c>
      <c r="AG384">
        <f>AG383+IF(AND($E384&lt;&gt;"",$E384&lt;=AG$2,$F384&gt;=AG$2),1,0)</f>
        <v/>
      </c>
      <c r="AH384">
        <f>AH383+IF(AND($E384&lt;&gt;"",$E384&lt;=AH$2,$F384&gt;=AH$2),1,0)</f>
        <v/>
      </c>
      <c r="AI384">
        <f>AI383+IF(AND($E384&lt;&gt;"",$E384&lt;=AI$2,$F384&gt;=AI$2),1,0)</f>
        <v/>
      </c>
      <c r="AJ384">
        <f>AJ383+IF(AND($E384&lt;&gt;"",$E384&lt;=AJ$2,$F384&gt;=AJ$2),1,0)</f>
        <v/>
      </c>
      <c r="AK384">
        <f>AK383+IF(AND($E384&lt;&gt;"",$E384&lt;=AK$2,$F384&gt;=AK$2),1,0)</f>
        <v/>
      </c>
      <c r="AL384">
        <f>AL383+IF(AND($E384&lt;&gt;"",$E384&lt;=AL$2,$F384&gt;=AL$2),1,0)</f>
        <v/>
      </c>
      <c r="AM384">
        <f>AM383+IF(AND($E384&lt;&gt;"",$E384&lt;=AM$2,$F384&gt;=AM$2),1,0)</f>
        <v/>
      </c>
      <c r="AN384">
        <f>AN383+IF(AND($E384&lt;&gt;"",$E384&lt;=AN$2,$F384&gt;=AN$2),1,0)</f>
        <v/>
      </c>
      <c r="AO384">
        <f>AO383+IF(AND($E384&lt;&gt;"",$E384&lt;=AO$2,$F384&gt;=AO$2),1,0)</f>
        <v/>
      </c>
      <c r="AP384">
        <f>AP383+IF(AND($E384&lt;&gt;"",$E384&lt;=AP$2,$F384&gt;=AP$2),1,0)</f>
        <v/>
      </c>
      <c r="AQ384">
        <f>AQ383+IF(AND($E384&lt;&gt;"",$E384&lt;=AQ$2,$F384&gt;=AQ$2),1,0)</f>
        <v/>
      </c>
      <c r="AR384">
        <f>AR383+IF(AND($E384&lt;&gt;"",$E384&lt;=AR$2,$F384&gt;=AR$2),1,0)</f>
        <v/>
      </c>
      <c r="AS384">
        <f>AS383+IF(AND($E384&lt;&gt;"",$E384&lt;=AS$2,$F384&gt;=AS$2),1,0)</f>
        <v/>
      </c>
      <c r="AT384">
        <f>AT383+IF(AND($E384&lt;&gt;"",$E384&lt;=AT$2,$F384&gt;=AT$2),1,0)</f>
        <v/>
      </c>
      <c r="AU384">
        <f>AU383+IF(AND($E384&lt;&gt;"",$E384&lt;=AU$2,$F384&gt;=AU$2),1,0)</f>
        <v/>
      </c>
      <c r="AV384">
        <f>AV383+IF(AND($E384&lt;&gt;"",$E384&lt;=AV$2,$F384&gt;=AV$2),1,0)</f>
        <v/>
      </c>
      <c r="AW384">
        <f>AW383+IF(AND($E384&lt;&gt;"",$E384&lt;=AW$2,$F384&gt;=AW$2),1,0)</f>
        <v/>
      </c>
    </row>
    <row r="385">
      <c r="A385">
        <f>IF(AND(ISNUMBER(Events!$A387),ISNUMBER(Events!$B387)),MAX(0,Events!$B387-Events!$A387),0)</f>
        <v/>
      </c>
      <c r="B385">
        <f>IF(ISNUMBER(Events!$A387),DATE(YEAR($B$1)-1,MONTH(Events!$A387),DAY(Events!$A387)),"")</f>
        <v/>
      </c>
      <c r="C385">
        <f>IF(ISNUMBER(Events!$A387),DATE(YEAR($B$1),MONTH(Events!$A387),DAY(Events!$A387)),"")</f>
        <v/>
      </c>
      <c r="D385">
        <f>IF(ISNUMBER(Events!$A387),DATE(YEAR($B$2),MONTH(Events!$A387),DAY(Events!$A387)),"")</f>
        <v/>
      </c>
      <c r="E385">
        <f>IF(OR(NOT(ISNUMBER(Events!$A387)),Events!$G387="No",Calendar!$H$4="None"),"",IF(OR(Calendar!$H$4="All events",Events!$D387=Calendar!$H$4),IF(Events!$E387="Yes",IF(AND(B385&gt;=Events!$A387,B385&lt;=$B$2,B385+$A385&gt;=$B$1),B385,IF(AND(C385&gt;=Events!$A387,C385&lt;=$B$2,C385+$A385&gt;=$B$1),C385,IF(AND(D385&gt;=Events!$A387,D385&lt;=$B$2,D385+$A385&gt;=$B$1),D385,""))),IF(AND(Events!$A387&lt;=$B$2,Events!$A387+$A385&gt;=$B$1),Events!$A387,"")),""))</f>
        <v/>
      </c>
      <c r="F385">
        <f>IF(E385="","",E385+A385)</f>
        <v/>
      </c>
      <c r="G385">
        <f>IF(E385="","",IF(AND(E385&lt;=EOMONTH(Calendar!$K$2,0),F385&gt;=Calendar!$K$2),E385+382/100000,""))</f>
        <v/>
      </c>
      <c r="H385">
        <f>H384+IF(AND($E385&lt;&gt;"",$E385&lt;=H$2,$F385&gt;=H$2),1,0)</f>
        <v/>
      </c>
      <c r="I385">
        <f>I384+IF(AND($E385&lt;&gt;"",$E385&lt;=I$2,$F385&gt;=I$2),1,0)</f>
        <v/>
      </c>
      <c r="J385">
        <f>J384+IF(AND($E385&lt;&gt;"",$E385&lt;=J$2,$F385&gt;=J$2),1,0)</f>
        <v/>
      </c>
      <c r="K385">
        <f>K384+IF(AND($E385&lt;&gt;"",$E385&lt;=K$2,$F385&gt;=K$2),1,0)</f>
        <v/>
      </c>
      <c r="L385">
        <f>L384+IF(AND($E385&lt;&gt;"",$E385&lt;=L$2,$F385&gt;=L$2),1,0)</f>
        <v/>
      </c>
      <c r="M385">
        <f>M384+IF(AND($E385&lt;&gt;"",$E385&lt;=M$2,$F385&gt;=M$2),1,0)</f>
        <v/>
      </c>
      <c r="N385">
        <f>N384+IF(AND($E385&lt;&gt;"",$E385&lt;=N$2,$F385&gt;=N$2),1,0)</f>
        <v/>
      </c>
      <c r="O385">
        <f>O384+IF(AND($E385&lt;&gt;"",$E385&lt;=O$2,$F385&gt;=O$2),1,0)</f>
        <v/>
      </c>
      <c r="P385">
        <f>P384+IF(AND($E385&lt;&gt;"",$E385&lt;=P$2,$F385&gt;=P$2),1,0)</f>
        <v/>
      </c>
      <c r="Q385">
        <f>Q384+IF(AND($E385&lt;&gt;"",$E385&lt;=Q$2,$F385&gt;=Q$2),1,0)</f>
        <v/>
      </c>
      <c r="R385">
        <f>R384+IF(AND($E385&lt;&gt;"",$E385&lt;=R$2,$F385&gt;=R$2),1,0)</f>
        <v/>
      </c>
      <c r="S385">
        <f>S384+IF(AND($E385&lt;&gt;"",$E385&lt;=S$2,$F385&gt;=S$2),1,0)</f>
        <v/>
      </c>
      <c r="T385">
        <f>T384+IF(AND($E385&lt;&gt;"",$E385&lt;=T$2,$F385&gt;=T$2),1,0)</f>
        <v/>
      </c>
      <c r="U385">
        <f>U384+IF(AND($E385&lt;&gt;"",$E385&lt;=U$2,$F385&gt;=U$2),1,0)</f>
        <v/>
      </c>
      <c r="V385">
        <f>V384+IF(AND($E385&lt;&gt;"",$E385&lt;=V$2,$F385&gt;=V$2),1,0)</f>
        <v/>
      </c>
      <c r="W385">
        <f>W384+IF(AND($E385&lt;&gt;"",$E385&lt;=W$2,$F385&gt;=W$2),1,0)</f>
        <v/>
      </c>
      <c r="X385">
        <f>X384+IF(AND($E385&lt;&gt;"",$E385&lt;=X$2,$F385&gt;=X$2),1,0)</f>
        <v/>
      </c>
      <c r="Y385">
        <f>Y384+IF(AND($E385&lt;&gt;"",$E385&lt;=Y$2,$F385&gt;=Y$2),1,0)</f>
        <v/>
      </c>
      <c r="Z385">
        <f>Z384+IF(AND($E385&lt;&gt;"",$E385&lt;=Z$2,$F385&gt;=Z$2),1,0)</f>
        <v/>
      </c>
      <c r="AA385">
        <f>AA384+IF(AND($E385&lt;&gt;"",$E385&lt;=AA$2,$F385&gt;=AA$2),1,0)</f>
        <v/>
      </c>
      <c r="AB385">
        <f>AB384+IF(AND($E385&lt;&gt;"",$E385&lt;=AB$2,$F385&gt;=AB$2),1,0)</f>
        <v/>
      </c>
      <c r="AC385">
        <f>AC384+IF(AND($E385&lt;&gt;"",$E385&lt;=AC$2,$F385&gt;=AC$2),1,0)</f>
        <v/>
      </c>
      <c r="AD385">
        <f>AD384+IF(AND($E385&lt;&gt;"",$E385&lt;=AD$2,$F385&gt;=AD$2),1,0)</f>
        <v/>
      </c>
      <c r="AE385">
        <f>AE384+IF(AND($E385&lt;&gt;"",$E385&lt;=AE$2,$F385&gt;=AE$2),1,0)</f>
        <v/>
      </c>
      <c r="AF385">
        <f>AF384+IF(AND($E385&lt;&gt;"",$E385&lt;=AF$2,$F385&gt;=AF$2),1,0)</f>
        <v/>
      </c>
      <c r="AG385">
        <f>AG384+IF(AND($E385&lt;&gt;"",$E385&lt;=AG$2,$F385&gt;=AG$2),1,0)</f>
        <v/>
      </c>
      <c r="AH385">
        <f>AH384+IF(AND($E385&lt;&gt;"",$E385&lt;=AH$2,$F385&gt;=AH$2),1,0)</f>
        <v/>
      </c>
      <c r="AI385">
        <f>AI384+IF(AND($E385&lt;&gt;"",$E385&lt;=AI$2,$F385&gt;=AI$2),1,0)</f>
        <v/>
      </c>
      <c r="AJ385">
        <f>AJ384+IF(AND($E385&lt;&gt;"",$E385&lt;=AJ$2,$F385&gt;=AJ$2),1,0)</f>
        <v/>
      </c>
      <c r="AK385">
        <f>AK384+IF(AND($E385&lt;&gt;"",$E385&lt;=AK$2,$F385&gt;=AK$2),1,0)</f>
        <v/>
      </c>
      <c r="AL385">
        <f>AL384+IF(AND($E385&lt;&gt;"",$E385&lt;=AL$2,$F385&gt;=AL$2),1,0)</f>
        <v/>
      </c>
      <c r="AM385">
        <f>AM384+IF(AND($E385&lt;&gt;"",$E385&lt;=AM$2,$F385&gt;=AM$2),1,0)</f>
        <v/>
      </c>
      <c r="AN385">
        <f>AN384+IF(AND($E385&lt;&gt;"",$E385&lt;=AN$2,$F385&gt;=AN$2),1,0)</f>
        <v/>
      </c>
      <c r="AO385">
        <f>AO384+IF(AND($E385&lt;&gt;"",$E385&lt;=AO$2,$F385&gt;=AO$2),1,0)</f>
        <v/>
      </c>
      <c r="AP385">
        <f>AP384+IF(AND($E385&lt;&gt;"",$E385&lt;=AP$2,$F385&gt;=AP$2),1,0)</f>
        <v/>
      </c>
      <c r="AQ385">
        <f>AQ384+IF(AND($E385&lt;&gt;"",$E385&lt;=AQ$2,$F385&gt;=AQ$2),1,0)</f>
        <v/>
      </c>
      <c r="AR385">
        <f>AR384+IF(AND($E385&lt;&gt;"",$E385&lt;=AR$2,$F385&gt;=AR$2),1,0)</f>
        <v/>
      </c>
      <c r="AS385">
        <f>AS384+IF(AND($E385&lt;&gt;"",$E385&lt;=AS$2,$F385&gt;=AS$2),1,0)</f>
        <v/>
      </c>
      <c r="AT385">
        <f>AT384+IF(AND($E385&lt;&gt;"",$E385&lt;=AT$2,$F385&gt;=AT$2),1,0)</f>
        <v/>
      </c>
      <c r="AU385">
        <f>AU384+IF(AND($E385&lt;&gt;"",$E385&lt;=AU$2,$F385&gt;=AU$2),1,0)</f>
        <v/>
      </c>
      <c r="AV385">
        <f>AV384+IF(AND($E385&lt;&gt;"",$E385&lt;=AV$2,$F385&gt;=AV$2),1,0)</f>
        <v/>
      </c>
      <c r="AW385">
        <f>AW384+IF(AND($E385&lt;&gt;"",$E385&lt;=AW$2,$F385&gt;=AW$2),1,0)</f>
        <v/>
      </c>
    </row>
    <row r="386">
      <c r="A386">
        <f>IF(AND(ISNUMBER(Events!$A388),ISNUMBER(Events!$B388)),MAX(0,Events!$B388-Events!$A388),0)</f>
        <v/>
      </c>
      <c r="B386">
        <f>IF(ISNUMBER(Events!$A388),DATE(YEAR($B$1)-1,MONTH(Events!$A388),DAY(Events!$A388)),"")</f>
        <v/>
      </c>
      <c r="C386">
        <f>IF(ISNUMBER(Events!$A388),DATE(YEAR($B$1),MONTH(Events!$A388),DAY(Events!$A388)),"")</f>
        <v/>
      </c>
      <c r="D386">
        <f>IF(ISNUMBER(Events!$A388),DATE(YEAR($B$2),MONTH(Events!$A388),DAY(Events!$A388)),"")</f>
        <v/>
      </c>
      <c r="E386">
        <f>IF(OR(NOT(ISNUMBER(Events!$A388)),Events!$G388="No",Calendar!$H$4="None"),"",IF(OR(Calendar!$H$4="All events",Events!$D388=Calendar!$H$4),IF(Events!$E388="Yes",IF(AND(B386&gt;=Events!$A388,B386&lt;=$B$2,B386+$A386&gt;=$B$1),B386,IF(AND(C386&gt;=Events!$A388,C386&lt;=$B$2,C386+$A386&gt;=$B$1),C386,IF(AND(D386&gt;=Events!$A388,D386&lt;=$B$2,D386+$A386&gt;=$B$1),D386,""))),IF(AND(Events!$A388&lt;=$B$2,Events!$A388+$A386&gt;=$B$1),Events!$A388,"")),""))</f>
        <v/>
      </c>
      <c r="F386">
        <f>IF(E386="","",E386+A386)</f>
        <v/>
      </c>
      <c r="G386">
        <f>IF(E386="","",IF(AND(E386&lt;=EOMONTH(Calendar!$K$2,0),F386&gt;=Calendar!$K$2),E386+383/100000,""))</f>
        <v/>
      </c>
      <c r="H386">
        <f>H385+IF(AND($E386&lt;&gt;"",$E386&lt;=H$2,$F386&gt;=H$2),1,0)</f>
        <v/>
      </c>
      <c r="I386">
        <f>I385+IF(AND($E386&lt;&gt;"",$E386&lt;=I$2,$F386&gt;=I$2),1,0)</f>
        <v/>
      </c>
      <c r="J386">
        <f>J385+IF(AND($E386&lt;&gt;"",$E386&lt;=J$2,$F386&gt;=J$2),1,0)</f>
        <v/>
      </c>
      <c r="K386">
        <f>K385+IF(AND($E386&lt;&gt;"",$E386&lt;=K$2,$F386&gt;=K$2),1,0)</f>
        <v/>
      </c>
      <c r="L386">
        <f>L385+IF(AND($E386&lt;&gt;"",$E386&lt;=L$2,$F386&gt;=L$2),1,0)</f>
        <v/>
      </c>
      <c r="M386">
        <f>M385+IF(AND($E386&lt;&gt;"",$E386&lt;=M$2,$F386&gt;=M$2),1,0)</f>
        <v/>
      </c>
      <c r="N386">
        <f>N385+IF(AND($E386&lt;&gt;"",$E386&lt;=N$2,$F386&gt;=N$2),1,0)</f>
        <v/>
      </c>
      <c r="O386">
        <f>O385+IF(AND($E386&lt;&gt;"",$E386&lt;=O$2,$F386&gt;=O$2),1,0)</f>
        <v/>
      </c>
      <c r="P386">
        <f>P385+IF(AND($E386&lt;&gt;"",$E386&lt;=P$2,$F386&gt;=P$2),1,0)</f>
        <v/>
      </c>
      <c r="Q386">
        <f>Q385+IF(AND($E386&lt;&gt;"",$E386&lt;=Q$2,$F386&gt;=Q$2),1,0)</f>
        <v/>
      </c>
      <c r="R386">
        <f>R385+IF(AND($E386&lt;&gt;"",$E386&lt;=R$2,$F386&gt;=R$2),1,0)</f>
        <v/>
      </c>
      <c r="S386">
        <f>S385+IF(AND($E386&lt;&gt;"",$E386&lt;=S$2,$F386&gt;=S$2),1,0)</f>
        <v/>
      </c>
      <c r="T386">
        <f>T385+IF(AND($E386&lt;&gt;"",$E386&lt;=T$2,$F386&gt;=T$2),1,0)</f>
        <v/>
      </c>
      <c r="U386">
        <f>U385+IF(AND($E386&lt;&gt;"",$E386&lt;=U$2,$F386&gt;=U$2),1,0)</f>
        <v/>
      </c>
      <c r="V386">
        <f>V385+IF(AND($E386&lt;&gt;"",$E386&lt;=V$2,$F386&gt;=V$2),1,0)</f>
        <v/>
      </c>
      <c r="W386">
        <f>W385+IF(AND($E386&lt;&gt;"",$E386&lt;=W$2,$F386&gt;=W$2),1,0)</f>
        <v/>
      </c>
      <c r="X386">
        <f>X385+IF(AND($E386&lt;&gt;"",$E386&lt;=X$2,$F386&gt;=X$2),1,0)</f>
        <v/>
      </c>
      <c r="Y386">
        <f>Y385+IF(AND($E386&lt;&gt;"",$E386&lt;=Y$2,$F386&gt;=Y$2),1,0)</f>
        <v/>
      </c>
      <c r="Z386">
        <f>Z385+IF(AND($E386&lt;&gt;"",$E386&lt;=Z$2,$F386&gt;=Z$2),1,0)</f>
        <v/>
      </c>
      <c r="AA386">
        <f>AA385+IF(AND($E386&lt;&gt;"",$E386&lt;=AA$2,$F386&gt;=AA$2),1,0)</f>
        <v/>
      </c>
      <c r="AB386">
        <f>AB385+IF(AND($E386&lt;&gt;"",$E386&lt;=AB$2,$F386&gt;=AB$2),1,0)</f>
        <v/>
      </c>
      <c r="AC386">
        <f>AC385+IF(AND($E386&lt;&gt;"",$E386&lt;=AC$2,$F386&gt;=AC$2),1,0)</f>
        <v/>
      </c>
      <c r="AD386">
        <f>AD385+IF(AND($E386&lt;&gt;"",$E386&lt;=AD$2,$F386&gt;=AD$2),1,0)</f>
        <v/>
      </c>
      <c r="AE386">
        <f>AE385+IF(AND($E386&lt;&gt;"",$E386&lt;=AE$2,$F386&gt;=AE$2),1,0)</f>
        <v/>
      </c>
      <c r="AF386">
        <f>AF385+IF(AND($E386&lt;&gt;"",$E386&lt;=AF$2,$F386&gt;=AF$2),1,0)</f>
        <v/>
      </c>
      <c r="AG386">
        <f>AG385+IF(AND($E386&lt;&gt;"",$E386&lt;=AG$2,$F386&gt;=AG$2),1,0)</f>
        <v/>
      </c>
      <c r="AH386">
        <f>AH385+IF(AND($E386&lt;&gt;"",$E386&lt;=AH$2,$F386&gt;=AH$2),1,0)</f>
        <v/>
      </c>
      <c r="AI386">
        <f>AI385+IF(AND($E386&lt;&gt;"",$E386&lt;=AI$2,$F386&gt;=AI$2),1,0)</f>
        <v/>
      </c>
      <c r="AJ386">
        <f>AJ385+IF(AND($E386&lt;&gt;"",$E386&lt;=AJ$2,$F386&gt;=AJ$2),1,0)</f>
        <v/>
      </c>
      <c r="AK386">
        <f>AK385+IF(AND($E386&lt;&gt;"",$E386&lt;=AK$2,$F386&gt;=AK$2),1,0)</f>
        <v/>
      </c>
      <c r="AL386">
        <f>AL385+IF(AND($E386&lt;&gt;"",$E386&lt;=AL$2,$F386&gt;=AL$2),1,0)</f>
        <v/>
      </c>
      <c r="AM386">
        <f>AM385+IF(AND($E386&lt;&gt;"",$E386&lt;=AM$2,$F386&gt;=AM$2),1,0)</f>
        <v/>
      </c>
      <c r="AN386">
        <f>AN385+IF(AND($E386&lt;&gt;"",$E386&lt;=AN$2,$F386&gt;=AN$2),1,0)</f>
        <v/>
      </c>
      <c r="AO386">
        <f>AO385+IF(AND($E386&lt;&gt;"",$E386&lt;=AO$2,$F386&gt;=AO$2),1,0)</f>
        <v/>
      </c>
      <c r="AP386">
        <f>AP385+IF(AND($E386&lt;&gt;"",$E386&lt;=AP$2,$F386&gt;=AP$2),1,0)</f>
        <v/>
      </c>
      <c r="AQ386">
        <f>AQ385+IF(AND($E386&lt;&gt;"",$E386&lt;=AQ$2,$F386&gt;=AQ$2),1,0)</f>
        <v/>
      </c>
      <c r="AR386">
        <f>AR385+IF(AND($E386&lt;&gt;"",$E386&lt;=AR$2,$F386&gt;=AR$2),1,0)</f>
        <v/>
      </c>
      <c r="AS386">
        <f>AS385+IF(AND($E386&lt;&gt;"",$E386&lt;=AS$2,$F386&gt;=AS$2),1,0)</f>
        <v/>
      </c>
      <c r="AT386">
        <f>AT385+IF(AND($E386&lt;&gt;"",$E386&lt;=AT$2,$F386&gt;=AT$2),1,0)</f>
        <v/>
      </c>
      <c r="AU386">
        <f>AU385+IF(AND($E386&lt;&gt;"",$E386&lt;=AU$2,$F386&gt;=AU$2),1,0)</f>
        <v/>
      </c>
      <c r="AV386">
        <f>AV385+IF(AND($E386&lt;&gt;"",$E386&lt;=AV$2,$F386&gt;=AV$2),1,0)</f>
        <v/>
      </c>
      <c r="AW386">
        <f>AW385+IF(AND($E386&lt;&gt;"",$E386&lt;=AW$2,$F386&gt;=AW$2),1,0)</f>
        <v/>
      </c>
    </row>
    <row r="387">
      <c r="A387">
        <f>IF(AND(ISNUMBER(Events!$A389),ISNUMBER(Events!$B389)),MAX(0,Events!$B389-Events!$A389),0)</f>
        <v/>
      </c>
      <c r="B387">
        <f>IF(ISNUMBER(Events!$A389),DATE(YEAR($B$1)-1,MONTH(Events!$A389),DAY(Events!$A389)),"")</f>
        <v/>
      </c>
      <c r="C387">
        <f>IF(ISNUMBER(Events!$A389),DATE(YEAR($B$1),MONTH(Events!$A389),DAY(Events!$A389)),"")</f>
        <v/>
      </c>
      <c r="D387">
        <f>IF(ISNUMBER(Events!$A389),DATE(YEAR($B$2),MONTH(Events!$A389),DAY(Events!$A389)),"")</f>
        <v/>
      </c>
      <c r="E387">
        <f>IF(OR(NOT(ISNUMBER(Events!$A389)),Events!$G389="No",Calendar!$H$4="None"),"",IF(OR(Calendar!$H$4="All events",Events!$D389=Calendar!$H$4),IF(Events!$E389="Yes",IF(AND(B387&gt;=Events!$A389,B387&lt;=$B$2,B387+$A387&gt;=$B$1),B387,IF(AND(C387&gt;=Events!$A389,C387&lt;=$B$2,C387+$A387&gt;=$B$1),C387,IF(AND(D387&gt;=Events!$A389,D387&lt;=$B$2,D387+$A387&gt;=$B$1),D387,""))),IF(AND(Events!$A389&lt;=$B$2,Events!$A389+$A387&gt;=$B$1),Events!$A389,"")),""))</f>
        <v/>
      </c>
      <c r="F387">
        <f>IF(E387="","",E387+A387)</f>
        <v/>
      </c>
      <c r="G387">
        <f>IF(E387="","",IF(AND(E387&lt;=EOMONTH(Calendar!$K$2,0),F387&gt;=Calendar!$K$2),E387+384/100000,""))</f>
        <v/>
      </c>
      <c r="H387">
        <f>H386+IF(AND($E387&lt;&gt;"",$E387&lt;=H$2,$F387&gt;=H$2),1,0)</f>
        <v/>
      </c>
      <c r="I387">
        <f>I386+IF(AND($E387&lt;&gt;"",$E387&lt;=I$2,$F387&gt;=I$2),1,0)</f>
        <v/>
      </c>
      <c r="J387">
        <f>J386+IF(AND($E387&lt;&gt;"",$E387&lt;=J$2,$F387&gt;=J$2),1,0)</f>
        <v/>
      </c>
      <c r="K387">
        <f>K386+IF(AND($E387&lt;&gt;"",$E387&lt;=K$2,$F387&gt;=K$2),1,0)</f>
        <v/>
      </c>
      <c r="L387">
        <f>L386+IF(AND($E387&lt;&gt;"",$E387&lt;=L$2,$F387&gt;=L$2),1,0)</f>
        <v/>
      </c>
      <c r="M387">
        <f>M386+IF(AND($E387&lt;&gt;"",$E387&lt;=M$2,$F387&gt;=M$2),1,0)</f>
        <v/>
      </c>
      <c r="N387">
        <f>N386+IF(AND($E387&lt;&gt;"",$E387&lt;=N$2,$F387&gt;=N$2),1,0)</f>
        <v/>
      </c>
      <c r="O387">
        <f>O386+IF(AND($E387&lt;&gt;"",$E387&lt;=O$2,$F387&gt;=O$2),1,0)</f>
        <v/>
      </c>
      <c r="P387">
        <f>P386+IF(AND($E387&lt;&gt;"",$E387&lt;=P$2,$F387&gt;=P$2),1,0)</f>
        <v/>
      </c>
      <c r="Q387">
        <f>Q386+IF(AND($E387&lt;&gt;"",$E387&lt;=Q$2,$F387&gt;=Q$2),1,0)</f>
        <v/>
      </c>
      <c r="R387">
        <f>R386+IF(AND($E387&lt;&gt;"",$E387&lt;=R$2,$F387&gt;=R$2),1,0)</f>
        <v/>
      </c>
      <c r="S387">
        <f>S386+IF(AND($E387&lt;&gt;"",$E387&lt;=S$2,$F387&gt;=S$2),1,0)</f>
        <v/>
      </c>
      <c r="T387">
        <f>T386+IF(AND($E387&lt;&gt;"",$E387&lt;=T$2,$F387&gt;=T$2),1,0)</f>
        <v/>
      </c>
      <c r="U387">
        <f>U386+IF(AND($E387&lt;&gt;"",$E387&lt;=U$2,$F387&gt;=U$2),1,0)</f>
        <v/>
      </c>
      <c r="V387">
        <f>V386+IF(AND($E387&lt;&gt;"",$E387&lt;=V$2,$F387&gt;=V$2),1,0)</f>
        <v/>
      </c>
      <c r="W387">
        <f>W386+IF(AND($E387&lt;&gt;"",$E387&lt;=W$2,$F387&gt;=W$2),1,0)</f>
        <v/>
      </c>
      <c r="X387">
        <f>X386+IF(AND($E387&lt;&gt;"",$E387&lt;=X$2,$F387&gt;=X$2),1,0)</f>
        <v/>
      </c>
      <c r="Y387">
        <f>Y386+IF(AND($E387&lt;&gt;"",$E387&lt;=Y$2,$F387&gt;=Y$2),1,0)</f>
        <v/>
      </c>
      <c r="Z387">
        <f>Z386+IF(AND($E387&lt;&gt;"",$E387&lt;=Z$2,$F387&gt;=Z$2),1,0)</f>
        <v/>
      </c>
      <c r="AA387">
        <f>AA386+IF(AND($E387&lt;&gt;"",$E387&lt;=AA$2,$F387&gt;=AA$2),1,0)</f>
        <v/>
      </c>
      <c r="AB387">
        <f>AB386+IF(AND($E387&lt;&gt;"",$E387&lt;=AB$2,$F387&gt;=AB$2),1,0)</f>
        <v/>
      </c>
      <c r="AC387">
        <f>AC386+IF(AND($E387&lt;&gt;"",$E387&lt;=AC$2,$F387&gt;=AC$2),1,0)</f>
        <v/>
      </c>
      <c r="AD387">
        <f>AD386+IF(AND($E387&lt;&gt;"",$E387&lt;=AD$2,$F387&gt;=AD$2),1,0)</f>
        <v/>
      </c>
      <c r="AE387">
        <f>AE386+IF(AND($E387&lt;&gt;"",$E387&lt;=AE$2,$F387&gt;=AE$2),1,0)</f>
        <v/>
      </c>
      <c r="AF387">
        <f>AF386+IF(AND($E387&lt;&gt;"",$E387&lt;=AF$2,$F387&gt;=AF$2),1,0)</f>
        <v/>
      </c>
      <c r="AG387">
        <f>AG386+IF(AND($E387&lt;&gt;"",$E387&lt;=AG$2,$F387&gt;=AG$2),1,0)</f>
        <v/>
      </c>
      <c r="AH387">
        <f>AH386+IF(AND($E387&lt;&gt;"",$E387&lt;=AH$2,$F387&gt;=AH$2),1,0)</f>
        <v/>
      </c>
      <c r="AI387">
        <f>AI386+IF(AND($E387&lt;&gt;"",$E387&lt;=AI$2,$F387&gt;=AI$2),1,0)</f>
        <v/>
      </c>
      <c r="AJ387">
        <f>AJ386+IF(AND($E387&lt;&gt;"",$E387&lt;=AJ$2,$F387&gt;=AJ$2),1,0)</f>
        <v/>
      </c>
      <c r="AK387">
        <f>AK386+IF(AND($E387&lt;&gt;"",$E387&lt;=AK$2,$F387&gt;=AK$2),1,0)</f>
        <v/>
      </c>
      <c r="AL387">
        <f>AL386+IF(AND($E387&lt;&gt;"",$E387&lt;=AL$2,$F387&gt;=AL$2),1,0)</f>
        <v/>
      </c>
      <c r="AM387">
        <f>AM386+IF(AND($E387&lt;&gt;"",$E387&lt;=AM$2,$F387&gt;=AM$2),1,0)</f>
        <v/>
      </c>
      <c r="AN387">
        <f>AN386+IF(AND($E387&lt;&gt;"",$E387&lt;=AN$2,$F387&gt;=AN$2),1,0)</f>
        <v/>
      </c>
      <c r="AO387">
        <f>AO386+IF(AND($E387&lt;&gt;"",$E387&lt;=AO$2,$F387&gt;=AO$2),1,0)</f>
        <v/>
      </c>
      <c r="AP387">
        <f>AP386+IF(AND($E387&lt;&gt;"",$E387&lt;=AP$2,$F387&gt;=AP$2),1,0)</f>
        <v/>
      </c>
      <c r="AQ387">
        <f>AQ386+IF(AND($E387&lt;&gt;"",$E387&lt;=AQ$2,$F387&gt;=AQ$2),1,0)</f>
        <v/>
      </c>
      <c r="AR387">
        <f>AR386+IF(AND($E387&lt;&gt;"",$E387&lt;=AR$2,$F387&gt;=AR$2),1,0)</f>
        <v/>
      </c>
      <c r="AS387">
        <f>AS386+IF(AND($E387&lt;&gt;"",$E387&lt;=AS$2,$F387&gt;=AS$2),1,0)</f>
        <v/>
      </c>
      <c r="AT387">
        <f>AT386+IF(AND($E387&lt;&gt;"",$E387&lt;=AT$2,$F387&gt;=AT$2),1,0)</f>
        <v/>
      </c>
      <c r="AU387">
        <f>AU386+IF(AND($E387&lt;&gt;"",$E387&lt;=AU$2,$F387&gt;=AU$2),1,0)</f>
        <v/>
      </c>
      <c r="AV387">
        <f>AV386+IF(AND($E387&lt;&gt;"",$E387&lt;=AV$2,$F387&gt;=AV$2),1,0)</f>
        <v/>
      </c>
      <c r="AW387">
        <f>AW386+IF(AND($E387&lt;&gt;"",$E387&lt;=AW$2,$F387&gt;=AW$2),1,0)</f>
        <v/>
      </c>
    </row>
    <row r="388">
      <c r="A388">
        <f>IF(AND(ISNUMBER(Events!$A390),ISNUMBER(Events!$B390)),MAX(0,Events!$B390-Events!$A390),0)</f>
        <v/>
      </c>
      <c r="B388">
        <f>IF(ISNUMBER(Events!$A390),DATE(YEAR($B$1)-1,MONTH(Events!$A390),DAY(Events!$A390)),"")</f>
        <v/>
      </c>
      <c r="C388">
        <f>IF(ISNUMBER(Events!$A390),DATE(YEAR($B$1),MONTH(Events!$A390),DAY(Events!$A390)),"")</f>
        <v/>
      </c>
      <c r="D388">
        <f>IF(ISNUMBER(Events!$A390),DATE(YEAR($B$2),MONTH(Events!$A390),DAY(Events!$A390)),"")</f>
        <v/>
      </c>
      <c r="E388">
        <f>IF(OR(NOT(ISNUMBER(Events!$A390)),Events!$G390="No",Calendar!$H$4="None"),"",IF(OR(Calendar!$H$4="All events",Events!$D390=Calendar!$H$4),IF(Events!$E390="Yes",IF(AND(B388&gt;=Events!$A390,B388&lt;=$B$2,B388+$A388&gt;=$B$1),B388,IF(AND(C388&gt;=Events!$A390,C388&lt;=$B$2,C388+$A388&gt;=$B$1),C388,IF(AND(D388&gt;=Events!$A390,D388&lt;=$B$2,D388+$A388&gt;=$B$1),D388,""))),IF(AND(Events!$A390&lt;=$B$2,Events!$A390+$A388&gt;=$B$1),Events!$A390,"")),""))</f>
        <v/>
      </c>
      <c r="F388">
        <f>IF(E388="","",E388+A388)</f>
        <v/>
      </c>
      <c r="G388">
        <f>IF(E388="","",IF(AND(E388&lt;=EOMONTH(Calendar!$K$2,0),F388&gt;=Calendar!$K$2),E388+385/100000,""))</f>
        <v/>
      </c>
      <c r="H388">
        <f>H387+IF(AND($E388&lt;&gt;"",$E388&lt;=H$2,$F388&gt;=H$2),1,0)</f>
        <v/>
      </c>
      <c r="I388">
        <f>I387+IF(AND($E388&lt;&gt;"",$E388&lt;=I$2,$F388&gt;=I$2),1,0)</f>
        <v/>
      </c>
      <c r="J388">
        <f>J387+IF(AND($E388&lt;&gt;"",$E388&lt;=J$2,$F388&gt;=J$2),1,0)</f>
        <v/>
      </c>
      <c r="K388">
        <f>K387+IF(AND($E388&lt;&gt;"",$E388&lt;=K$2,$F388&gt;=K$2),1,0)</f>
        <v/>
      </c>
      <c r="L388">
        <f>L387+IF(AND($E388&lt;&gt;"",$E388&lt;=L$2,$F388&gt;=L$2),1,0)</f>
        <v/>
      </c>
      <c r="M388">
        <f>M387+IF(AND($E388&lt;&gt;"",$E388&lt;=M$2,$F388&gt;=M$2),1,0)</f>
        <v/>
      </c>
      <c r="N388">
        <f>N387+IF(AND($E388&lt;&gt;"",$E388&lt;=N$2,$F388&gt;=N$2),1,0)</f>
        <v/>
      </c>
      <c r="O388">
        <f>O387+IF(AND($E388&lt;&gt;"",$E388&lt;=O$2,$F388&gt;=O$2),1,0)</f>
        <v/>
      </c>
      <c r="P388">
        <f>P387+IF(AND($E388&lt;&gt;"",$E388&lt;=P$2,$F388&gt;=P$2),1,0)</f>
        <v/>
      </c>
      <c r="Q388">
        <f>Q387+IF(AND($E388&lt;&gt;"",$E388&lt;=Q$2,$F388&gt;=Q$2),1,0)</f>
        <v/>
      </c>
      <c r="R388">
        <f>R387+IF(AND($E388&lt;&gt;"",$E388&lt;=R$2,$F388&gt;=R$2),1,0)</f>
        <v/>
      </c>
      <c r="S388">
        <f>S387+IF(AND($E388&lt;&gt;"",$E388&lt;=S$2,$F388&gt;=S$2),1,0)</f>
        <v/>
      </c>
      <c r="T388">
        <f>T387+IF(AND($E388&lt;&gt;"",$E388&lt;=T$2,$F388&gt;=T$2),1,0)</f>
        <v/>
      </c>
      <c r="U388">
        <f>U387+IF(AND($E388&lt;&gt;"",$E388&lt;=U$2,$F388&gt;=U$2),1,0)</f>
        <v/>
      </c>
      <c r="V388">
        <f>V387+IF(AND($E388&lt;&gt;"",$E388&lt;=V$2,$F388&gt;=V$2),1,0)</f>
        <v/>
      </c>
      <c r="W388">
        <f>W387+IF(AND($E388&lt;&gt;"",$E388&lt;=W$2,$F388&gt;=W$2),1,0)</f>
        <v/>
      </c>
      <c r="X388">
        <f>X387+IF(AND($E388&lt;&gt;"",$E388&lt;=X$2,$F388&gt;=X$2),1,0)</f>
        <v/>
      </c>
      <c r="Y388">
        <f>Y387+IF(AND($E388&lt;&gt;"",$E388&lt;=Y$2,$F388&gt;=Y$2),1,0)</f>
        <v/>
      </c>
      <c r="Z388">
        <f>Z387+IF(AND($E388&lt;&gt;"",$E388&lt;=Z$2,$F388&gt;=Z$2),1,0)</f>
        <v/>
      </c>
      <c r="AA388">
        <f>AA387+IF(AND($E388&lt;&gt;"",$E388&lt;=AA$2,$F388&gt;=AA$2),1,0)</f>
        <v/>
      </c>
      <c r="AB388">
        <f>AB387+IF(AND($E388&lt;&gt;"",$E388&lt;=AB$2,$F388&gt;=AB$2),1,0)</f>
        <v/>
      </c>
      <c r="AC388">
        <f>AC387+IF(AND($E388&lt;&gt;"",$E388&lt;=AC$2,$F388&gt;=AC$2),1,0)</f>
        <v/>
      </c>
      <c r="AD388">
        <f>AD387+IF(AND($E388&lt;&gt;"",$E388&lt;=AD$2,$F388&gt;=AD$2),1,0)</f>
        <v/>
      </c>
      <c r="AE388">
        <f>AE387+IF(AND($E388&lt;&gt;"",$E388&lt;=AE$2,$F388&gt;=AE$2),1,0)</f>
        <v/>
      </c>
      <c r="AF388">
        <f>AF387+IF(AND($E388&lt;&gt;"",$E388&lt;=AF$2,$F388&gt;=AF$2),1,0)</f>
        <v/>
      </c>
      <c r="AG388">
        <f>AG387+IF(AND($E388&lt;&gt;"",$E388&lt;=AG$2,$F388&gt;=AG$2),1,0)</f>
        <v/>
      </c>
      <c r="AH388">
        <f>AH387+IF(AND($E388&lt;&gt;"",$E388&lt;=AH$2,$F388&gt;=AH$2),1,0)</f>
        <v/>
      </c>
      <c r="AI388">
        <f>AI387+IF(AND($E388&lt;&gt;"",$E388&lt;=AI$2,$F388&gt;=AI$2),1,0)</f>
        <v/>
      </c>
      <c r="AJ388">
        <f>AJ387+IF(AND($E388&lt;&gt;"",$E388&lt;=AJ$2,$F388&gt;=AJ$2),1,0)</f>
        <v/>
      </c>
      <c r="AK388">
        <f>AK387+IF(AND($E388&lt;&gt;"",$E388&lt;=AK$2,$F388&gt;=AK$2),1,0)</f>
        <v/>
      </c>
      <c r="AL388">
        <f>AL387+IF(AND($E388&lt;&gt;"",$E388&lt;=AL$2,$F388&gt;=AL$2),1,0)</f>
        <v/>
      </c>
      <c r="AM388">
        <f>AM387+IF(AND($E388&lt;&gt;"",$E388&lt;=AM$2,$F388&gt;=AM$2),1,0)</f>
        <v/>
      </c>
      <c r="AN388">
        <f>AN387+IF(AND($E388&lt;&gt;"",$E388&lt;=AN$2,$F388&gt;=AN$2),1,0)</f>
        <v/>
      </c>
      <c r="AO388">
        <f>AO387+IF(AND($E388&lt;&gt;"",$E388&lt;=AO$2,$F388&gt;=AO$2),1,0)</f>
        <v/>
      </c>
      <c r="AP388">
        <f>AP387+IF(AND($E388&lt;&gt;"",$E388&lt;=AP$2,$F388&gt;=AP$2),1,0)</f>
        <v/>
      </c>
      <c r="AQ388">
        <f>AQ387+IF(AND($E388&lt;&gt;"",$E388&lt;=AQ$2,$F388&gt;=AQ$2),1,0)</f>
        <v/>
      </c>
      <c r="AR388">
        <f>AR387+IF(AND($E388&lt;&gt;"",$E388&lt;=AR$2,$F388&gt;=AR$2),1,0)</f>
        <v/>
      </c>
      <c r="AS388">
        <f>AS387+IF(AND($E388&lt;&gt;"",$E388&lt;=AS$2,$F388&gt;=AS$2),1,0)</f>
        <v/>
      </c>
      <c r="AT388">
        <f>AT387+IF(AND($E388&lt;&gt;"",$E388&lt;=AT$2,$F388&gt;=AT$2),1,0)</f>
        <v/>
      </c>
      <c r="AU388">
        <f>AU387+IF(AND($E388&lt;&gt;"",$E388&lt;=AU$2,$F388&gt;=AU$2),1,0)</f>
        <v/>
      </c>
      <c r="AV388">
        <f>AV387+IF(AND($E388&lt;&gt;"",$E388&lt;=AV$2,$F388&gt;=AV$2),1,0)</f>
        <v/>
      </c>
      <c r="AW388">
        <f>AW387+IF(AND($E388&lt;&gt;"",$E388&lt;=AW$2,$F388&gt;=AW$2),1,0)</f>
        <v/>
      </c>
    </row>
    <row r="389">
      <c r="A389">
        <f>IF(AND(ISNUMBER(Events!$A391),ISNUMBER(Events!$B391)),MAX(0,Events!$B391-Events!$A391),0)</f>
        <v/>
      </c>
      <c r="B389">
        <f>IF(ISNUMBER(Events!$A391),DATE(YEAR($B$1)-1,MONTH(Events!$A391),DAY(Events!$A391)),"")</f>
        <v/>
      </c>
      <c r="C389">
        <f>IF(ISNUMBER(Events!$A391),DATE(YEAR($B$1),MONTH(Events!$A391),DAY(Events!$A391)),"")</f>
        <v/>
      </c>
      <c r="D389">
        <f>IF(ISNUMBER(Events!$A391),DATE(YEAR($B$2),MONTH(Events!$A391),DAY(Events!$A391)),"")</f>
        <v/>
      </c>
      <c r="E389">
        <f>IF(OR(NOT(ISNUMBER(Events!$A391)),Events!$G391="No",Calendar!$H$4="None"),"",IF(OR(Calendar!$H$4="All events",Events!$D391=Calendar!$H$4),IF(Events!$E391="Yes",IF(AND(B389&gt;=Events!$A391,B389&lt;=$B$2,B389+$A389&gt;=$B$1),B389,IF(AND(C389&gt;=Events!$A391,C389&lt;=$B$2,C389+$A389&gt;=$B$1),C389,IF(AND(D389&gt;=Events!$A391,D389&lt;=$B$2,D389+$A389&gt;=$B$1),D389,""))),IF(AND(Events!$A391&lt;=$B$2,Events!$A391+$A389&gt;=$B$1),Events!$A391,"")),""))</f>
        <v/>
      </c>
      <c r="F389">
        <f>IF(E389="","",E389+A389)</f>
        <v/>
      </c>
      <c r="G389">
        <f>IF(E389="","",IF(AND(E389&lt;=EOMONTH(Calendar!$K$2,0),F389&gt;=Calendar!$K$2),E389+386/100000,""))</f>
        <v/>
      </c>
      <c r="H389">
        <f>H388+IF(AND($E389&lt;&gt;"",$E389&lt;=H$2,$F389&gt;=H$2),1,0)</f>
        <v/>
      </c>
      <c r="I389">
        <f>I388+IF(AND($E389&lt;&gt;"",$E389&lt;=I$2,$F389&gt;=I$2),1,0)</f>
        <v/>
      </c>
      <c r="J389">
        <f>J388+IF(AND($E389&lt;&gt;"",$E389&lt;=J$2,$F389&gt;=J$2),1,0)</f>
        <v/>
      </c>
      <c r="K389">
        <f>K388+IF(AND($E389&lt;&gt;"",$E389&lt;=K$2,$F389&gt;=K$2),1,0)</f>
        <v/>
      </c>
      <c r="L389">
        <f>L388+IF(AND($E389&lt;&gt;"",$E389&lt;=L$2,$F389&gt;=L$2),1,0)</f>
        <v/>
      </c>
      <c r="M389">
        <f>M388+IF(AND($E389&lt;&gt;"",$E389&lt;=M$2,$F389&gt;=M$2),1,0)</f>
        <v/>
      </c>
      <c r="N389">
        <f>N388+IF(AND($E389&lt;&gt;"",$E389&lt;=N$2,$F389&gt;=N$2),1,0)</f>
        <v/>
      </c>
      <c r="O389">
        <f>O388+IF(AND($E389&lt;&gt;"",$E389&lt;=O$2,$F389&gt;=O$2),1,0)</f>
        <v/>
      </c>
      <c r="P389">
        <f>P388+IF(AND($E389&lt;&gt;"",$E389&lt;=P$2,$F389&gt;=P$2),1,0)</f>
        <v/>
      </c>
      <c r="Q389">
        <f>Q388+IF(AND($E389&lt;&gt;"",$E389&lt;=Q$2,$F389&gt;=Q$2),1,0)</f>
        <v/>
      </c>
      <c r="R389">
        <f>R388+IF(AND($E389&lt;&gt;"",$E389&lt;=R$2,$F389&gt;=R$2),1,0)</f>
        <v/>
      </c>
      <c r="S389">
        <f>S388+IF(AND($E389&lt;&gt;"",$E389&lt;=S$2,$F389&gt;=S$2),1,0)</f>
        <v/>
      </c>
      <c r="T389">
        <f>T388+IF(AND($E389&lt;&gt;"",$E389&lt;=T$2,$F389&gt;=T$2),1,0)</f>
        <v/>
      </c>
      <c r="U389">
        <f>U388+IF(AND($E389&lt;&gt;"",$E389&lt;=U$2,$F389&gt;=U$2),1,0)</f>
        <v/>
      </c>
      <c r="V389">
        <f>V388+IF(AND($E389&lt;&gt;"",$E389&lt;=V$2,$F389&gt;=V$2),1,0)</f>
        <v/>
      </c>
      <c r="W389">
        <f>W388+IF(AND($E389&lt;&gt;"",$E389&lt;=W$2,$F389&gt;=W$2),1,0)</f>
        <v/>
      </c>
      <c r="X389">
        <f>X388+IF(AND($E389&lt;&gt;"",$E389&lt;=X$2,$F389&gt;=X$2),1,0)</f>
        <v/>
      </c>
      <c r="Y389">
        <f>Y388+IF(AND($E389&lt;&gt;"",$E389&lt;=Y$2,$F389&gt;=Y$2),1,0)</f>
        <v/>
      </c>
      <c r="Z389">
        <f>Z388+IF(AND($E389&lt;&gt;"",$E389&lt;=Z$2,$F389&gt;=Z$2),1,0)</f>
        <v/>
      </c>
      <c r="AA389">
        <f>AA388+IF(AND($E389&lt;&gt;"",$E389&lt;=AA$2,$F389&gt;=AA$2),1,0)</f>
        <v/>
      </c>
      <c r="AB389">
        <f>AB388+IF(AND($E389&lt;&gt;"",$E389&lt;=AB$2,$F389&gt;=AB$2),1,0)</f>
        <v/>
      </c>
      <c r="AC389">
        <f>AC388+IF(AND($E389&lt;&gt;"",$E389&lt;=AC$2,$F389&gt;=AC$2),1,0)</f>
        <v/>
      </c>
      <c r="AD389">
        <f>AD388+IF(AND($E389&lt;&gt;"",$E389&lt;=AD$2,$F389&gt;=AD$2),1,0)</f>
        <v/>
      </c>
      <c r="AE389">
        <f>AE388+IF(AND($E389&lt;&gt;"",$E389&lt;=AE$2,$F389&gt;=AE$2),1,0)</f>
        <v/>
      </c>
      <c r="AF389">
        <f>AF388+IF(AND($E389&lt;&gt;"",$E389&lt;=AF$2,$F389&gt;=AF$2),1,0)</f>
        <v/>
      </c>
      <c r="AG389">
        <f>AG388+IF(AND($E389&lt;&gt;"",$E389&lt;=AG$2,$F389&gt;=AG$2),1,0)</f>
        <v/>
      </c>
      <c r="AH389">
        <f>AH388+IF(AND($E389&lt;&gt;"",$E389&lt;=AH$2,$F389&gt;=AH$2),1,0)</f>
        <v/>
      </c>
      <c r="AI389">
        <f>AI388+IF(AND($E389&lt;&gt;"",$E389&lt;=AI$2,$F389&gt;=AI$2),1,0)</f>
        <v/>
      </c>
      <c r="AJ389">
        <f>AJ388+IF(AND($E389&lt;&gt;"",$E389&lt;=AJ$2,$F389&gt;=AJ$2),1,0)</f>
        <v/>
      </c>
      <c r="AK389">
        <f>AK388+IF(AND($E389&lt;&gt;"",$E389&lt;=AK$2,$F389&gt;=AK$2),1,0)</f>
        <v/>
      </c>
      <c r="AL389">
        <f>AL388+IF(AND($E389&lt;&gt;"",$E389&lt;=AL$2,$F389&gt;=AL$2),1,0)</f>
        <v/>
      </c>
      <c r="AM389">
        <f>AM388+IF(AND($E389&lt;&gt;"",$E389&lt;=AM$2,$F389&gt;=AM$2),1,0)</f>
        <v/>
      </c>
      <c r="AN389">
        <f>AN388+IF(AND($E389&lt;&gt;"",$E389&lt;=AN$2,$F389&gt;=AN$2),1,0)</f>
        <v/>
      </c>
      <c r="AO389">
        <f>AO388+IF(AND($E389&lt;&gt;"",$E389&lt;=AO$2,$F389&gt;=AO$2),1,0)</f>
        <v/>
      </c>
      <c r="AP389">
        <f>AP388+IF(AND($E389&lt;&gt;"",$E389&lt;=AP$2,$F389&gt;=AP$2),1,0)</f>
        <v/>
      </c>
      <c r="AQ389">
        <f>AQ388+IF(AND($E389&lt;&gt;"",$E389&lt;=AQ$2,$F389&gt;=AQ$2),1,0)</f>
        <v/>
      </c>
      <c r="AR389">
        <f>AR388+IF(AND($E389&lt;&gt;"",$E389&lt;=AR$2,$F389&gt;=AR$2),1,0)</f>
        <v/>
      </c>
      <c r="AS389">
        <f>AS388+IF(AND($E389&lt;&gt;"",$E389&lt;=AS$2,$F389&gt;=AS$2),1,0)</f>
        <v/>
      </c>
      <c r="AT389">
        <f>AT388+IF(AND($E389&lt;&gt;"",$E389&lt;=AT$2,$F389&gt;=AT$2),1,0)</f>
        <v/>
      </c>
      <c r="AU389">
        <f>AU388+IF(AND($E389&lt;&gt;"",$E389&lt;=AU$2,$F389&gt;=AU$2),1,0)</f>
        <v/>
      </c>
      <c r="AV389">
        <f>AV388+IF(AND($E389&lt;&gt;"",$E389&lt;=AV$2,$F389&gt;=AV$2),1,0)</f>
        <v/>
      </c>
      <c r="AW389">
        <f>AW388+IF(AND($E389&lt;&gt;"",$E389&lt;=AW$2,$F389&gt;=AW$2),1,0)</f>
        <v/>
      </c>
    </row>
    <row r="390">
      <c r="A390">
        <f>IF(AND(ISNUMBER(Events!$A392),ISNUMBER(Events!$B392)),MAX(0,Events!$B392-Events!$A392),0)</f>
        <v/>
      </c>
      <c r="B390">
        <f>IF(ISNUMBER(Events!$A392),DATE(YEAR($B$1)-1,MONTH(Events!$A392),DAY(Events!$A392)),"")</f>
        <v/>
      </c>
      <c r="C390">
        <f>IF(ISNUMBER(Events!$A392),DATE(YEAR($B$1),MONTH(Events!$A392),DAY(Events!$A392)),"")</f>
        <v/>
      </c>
      <c r="D390">
        <f>IF(ISNUMBER(Events!$A392),DATE(YEAR($B$2),MONTH(Events!$A392),DAY(Events!$A392)),"")</f>
        <v/>
      </c>
      <c r="E390">
        <f>IF(OR(NOT(ISNUMBER(Events!$A392)),Events!$G392="No",Calendar!$H$4="None"),"",IF(OR(Calendar!$H$4="All events",Events!$D392=Calendar!$H$4),IF(Events!$E392="Yes",IF(AND(B390&gt;=Events!$A392,B390&lt;=$B$2,B390+$A390&gt;=$B$1),B390,IF(AND(C390&gt;=Events!$A392,C390&lt;=$B$2,C390+$A390&gt;=$B$1),C390,IF(AND(D390&gt;=Events!$A392,D390&lt;=$B$2,D390+$A390&gt;=$B$1),D390,""))),IF(AND(Events!$A392&lt;=$B$2,Events!$A392+$A390&gt;=$B$1),Events!$A392,"")),""))</f>
        <v/>
      </c>
      <c r="F390">
        <f>IF(E390="","",E390+A390)</f>
        <v/>
      </c>
      <c r="G390">
        <f>IF(E390="","",IF(AND(E390&lt;=EOMONTH(Calendar!$K$2,0),F390&gt;=Calendar!$K$2),E390+387/100000,""))</f>
        <v/>
      </c>
      <c r="H390">
        <f>H389+IF(AND($E390&lt;&gt;"",$E390&lt;=H$2,$F390&gt;=H$2),1,0)</f>
        <v/>
      </c>
      <c r="I390">
        <f>I389+IF(AND($E390&lt;&gt;"",$E390&lt;=I$2,$F390&gt;=I$2),1,0)</f>
        <v/>
      </c>
      <c r="J390">
        <f>J389+IF(AND($E390&lt;&gt;"",$E390&lt;=J$2,$F390&gt;=J$2),1,0)</f>
        <v/>
      </c>
      <c r="K390">
        <f>K389+IF(AND($E390&lt;&gt;"",$E390&lt;=K$2,$F390&gt;=K$2),1,0)</f>
        <v/>
      </c>
      <c r="L390">
        <f>L389+IF(AND($E390&lt;&gt;"",$E390&lt;=L$2,$F390&gt;=L$2),1,0)</f>
        <v/>
      </c>
      <c r="M390">
        <f>M389+IF(AND($E390&lt;&gt;"",$E390&lt;=M$2,$F390&gt;=M$2),1,0)</f>
        <v/>
      </c>
      <c r="N390">
        <f>N389+IF(AND($E390&lt;&gt;"",$E390&lt;=N$2,$F390&gt;=N$2),1,0)</f>
        <v/>
      </c>
      <c r="O390">
        <f>O389+IF(AND($E390&lt;&gt;"",$E390&lt;=O$2,$F390&gt;=O$2),1,0)</f>
        <v/>
      </c>
      <c r="P390">
        <f>P389+IF(AND($E390&lt;&gt;"",$E390&lt;=P$2,$F390&gt;=P$2),1,0)</f>
        <v/>
      </c>
      <c r="Q390">
        <f>Q389+IF(AND($E390&lt;&gt;"",$E390&lt;=Q$2,$F390&gt;=Q$2),1,0)</f>
        <v/>
      </c>
      <c r="R390">
        <f>R389+IF(AND($E390&lt;&gt;"",$E390&lt;=R$2,$F390&gt;=R$2),1,0)</f>
        <v/>
      </c>
      <c r="S390">
        <f>S389+IF(AND($E390&lt;&gt;"",$E390&lt;=S$2,$F390&gt;=S$2),1,0)</f>
        <v/>
      </c>
      <c r="T390">
        <f>T389+IF(AND($E390&lt;&gt;"",$E390&lt;=T$2,$F390&gt;=T$2),1,0)</f>
        <v/>
      </c>
      <c r="U390">
        <f>U389+IF(AND($E390&lt;&gt;"",$E390&lt;=U$2,$F390&gt;=U$2),1,0)</f>
        <v/>
      </c>
      <c r="V390">
        <f>V389+IF(AND($E390&lt;&gt;"",$E390&lt;=V$2,$F390&gt;=V$2),1,0)</f>
        <v/>
      </c>
      <c r="W390">
        <f>W389+IF(AND($E390&lt;&gt;"",$E390&lt;=W$2,$F390&gt;=W$2),1,0)</f>
        <v/>
      </c>
      <c r="X390">
        <f>X389+IF(AND($E390&lt;&gt;"",$E390&lt;=X$2,$F390&gt;=X$2),1,0)</f>
        <v/>
      </c>
      <c r="Y390">
        <f>Y389+IF(AND($E390&lt;&gt;"",$E390&lt;=Y$2,$F390&gt;=Y$2),1,0)</f>
        <v/>
      </c>
      <c r="Z390">
        <f>Z389+IF(AND($E390&lt;&gt;"",$E390&lt;=Z$2,$F390&gt;=Z$2),1,0)</f>
        <v/>
      </c>
      <c r="AA390">
        <f>AA389+IF(AND($E390&lt;&gt;"",$E390&lt;=AA$2,$F390&gt;=AA$2),1,0)</f>
        <v/>
      </c>
      <c r="AB390">
        <f>AB389+IF(AND($E390&lt;&gt;"",$E390&lt;=AB$2,$F390&gt;=AB$2),1,0)</f>
        <v/>
      </c>
      <c r="AC390">
        <f>AC389+IF(AND($E390&lt;&gt;"",$E390&lt;=AC$2,$F390&gt;=AC$2),1,0)</f>
        <v/>
      </c>
      <c r="AD390">
        <f>AD389+IF(AND($E390&lt;&gt;"",$E390&lt;=AD$2,$F390&gt;=AD$2),1,0)</f>
        <v/>
      </c>
      <c r="AE390">
        <f>AE389+IF(AND($E390&lt;&gt;"",$E390&lt;=AE$2,$F390&gt;=AE$2),1,0)</f>
        <v/>
      </c>
      <c r="AF390">
        <f>AF389+IF(AND($E390&lt;&gt;"",$E390&lt;=AF$2,$F390&gt;=AF$2),1,0)</f>
        <v/>
      </c>
      <c r="AG390">
        <f>AG389+IF(AND($E390&lt;&gt;"",$E390&lt;=AG$2,$F390&gt;=AG$2),1,0)</f>
        <v/>
      </c>
      <c r="AH390">
        <f>AH389+IF(AND($E390&lt;&gt;"",$E390&lt;=AH$2,$F390&gt;=AH$2),1,0)</f>
        <v/>
      </c>
      <c r="AI390">
        <f>AI389+IF(AND($E390&lt;&gt;"",$E390&lt;=AI$2,$F390&gt;=AI$2),1,0)</f>
        <v/>
      </c>
      <c r="AJ390">
        <f>AJ389+IF(AND($E390&lt;&gt;"",$E390&lt;=AJ$2,$F390&gt;=AJ$2),1,0)</f>
        <v/>
      </c>
      <c r="AK390">
        <f>AK389+IF(AND($E390&lt;&gt;"",$E390&lt;=AK$2,$F390&gt;=AK$2),1,0)</f>
        <v/>
      </c>
      <c r="AL390">
        <f>AL389+IF(AND($E390&lt;&gt;"",$E390&lt;=AL$2,$F390&gt;=AL$2),1,0)</f>
        <v/>
      </c>
      <c r="AM390">
        <f>AM389+IF(AND($E390&lt;&gt;"",$E390&lt;=AM$2,$F390&gt;=AM$2),1,0)</f>
        <v/>
      </c>
      <c r="AN390">
        <f>AN389+IF(AND($E390&lt;&gt;"",$E390&lt;=AN$2,$F390&gt;=AN$2),1,0)</f>
        <v/>
      </c>
      <c r="AO390">
        <f>AO389+IF(AND($E390&lt;&gt;"",$E390&lt;=AO$2,$F390&gt;=AO$2),1,0)</f>
        <v/>
      </c>
      <c r="AP390">
        <f>AP389+IF(AND($E390&lt;&gt;"",$E390&lt;=AP$2,$F390&gt;=AP$2),1,0)</f>
        <v/>
      </c>
      <c r="AQ390">
        <f>AQ389+IF(AND($E390&lt;&gt;"",$E390&lt;=AQ$2,$F390&gt;=AQ$2),1,0)</f>
        <v/>
      </c>
      <c r="AR390">
        <f>AR389+IF(AND($E390&lt;&gt;"",$E390&lt;=AR$2,$F390&gt;=AR$2),1,0)</f>
        <v/>
      </c>
      <c r="AS390">
        <f>AS389+IF(AND($E390&lt;&gt;"",$E390&lt;=AS$2,$F390&gt;=AS$2),1,0)</f>
        <v/>
      </c>
      <c r="AT390">
        <f>AT389+IF(AND($E390&lt;&gt;"",$E390&lt;=AT$2,$F390&gt;=AT$2),1,0)</f>
        <v/>
      </c>
      <c r="AU390">
        <f>AU389+IF(AND($E390&lt;&gt;"",$E390&lt;=AU$2,$F390&gt;=AU$2),1,0)</f>
        <v/>
      </c>
      <c r="AV390">
        <f>AV389+IF(AND($E390&lt;&gt;"",$E390&lt;=AV$2,$F390&gt;=AV$2),1,0)</f>
        <v/>
      </c>
      <c r="AW390">
        <f>AW389+IF(AND($E390&lt;&gt;"",$E390&lt;=AW$2,$F390&gt;=AW$2),1,0)</f>
        <v/>
      </c>
    </row>
    <row r="391">
      <c r="A391">
        <f>IF(AND(ISNUMBER(Events!$A393),ISNUMBER(Events!$B393)),MAX(0,Events!$B393-Events!$A393),0)</f>
        <v/>
      </c>
      <c r="B391">
        <f>IF(ISNUMBER(Events!$A393),DATE(YEAR($B$1)-1,MONTH(Events!$A393),DAY(Events!$A393)),"")</f>
        <v/>
      </c>
      <c r="C391">
        <f>IF(ISNUMBER(Events!$A393),DATE(YEAR($B$1),MONTH(Events!$A393),DAY(Events!$A393)),"")</f>
        <v/>
      </c>
      <c r="D391">
        <f>IF(ISNUMBER(Events!$A393),DATE(YEAR($B$2),MONTH(Events!$A393),DAY(Events!$A393)),"")</f>
        <v/>
      </c>
      <c r="E391">
        <f>IF(OR(NOT(ISNUMBER(Events!$A393)),Events!$G393="No",Calendar!$H$4="None"),"",IF(OR(Calendar!$H$4="All events",Events!$D393=Calendar!$H$4),IF(Events!$E393="Yes",IF(AND(B391&gt;=Events!$A393,B391&lt;=$B$2,B391+$A391&gt;=$B$1),B391,IF(AND(C391&gt;=Events!$A393,C391&lt;=$B$2,C391+$A391&gt;=$B$1),C391,IF(AND(D391&gt;=Events!$A393,D391&lt;=$B$2,D391+$A391&gt;=$B$1),D391,""))),IF(AND(Events!$A393&lt;=$B$2,Events!$A393+$A391&gt;=$B$1),Events!$A393,"")),""))</f>
        <v/>
      </c>
      <c r="F391">
        <f>IF(E391="","",E391+A391)</f>
        <v/>
      </c>
      <c r="G391">
        <f>IF(E391="","",IF(AND(E391&lt;=EOMONTH(Calendar!$K$2,0),F391&gt;=Calendar!$K$2),E391+388/100000,""))</f>
        <v/>
      </c>
      <c r="H391">
        <f>H390+IF(AND($E391&lt;&gt;"",$E391&lt;=H$2,$F391&gt;=H$2),1,0)</f>
        <v/>
      </c>
      <c r="I391">
        <f>I390+IF(AND($E391&lt;&gt;"",$E391&lt;=I$2,$F391&gt;=I$2),1,0)</f>
        <v/>
      </c>
      <c r="J391">
        <f>J390+IF(AND($E391&lt;&gt;"",$E391&lt;=J$2,$F391&gt;=J$2),1,0)</f>
        <v/>
      </c>
      <c r="K391">
        <f>K390+IF(AND($E391&lt;&gt;"",$E391&lt;=K$2,$F391&gt;=K$2),1,0)</f>
        <v/>
      </c>
      <c r="L391">
        <f>L390+IF(AND($E391&lt;&gt;"",$E391&lt;=L$2,$F391&gt;=L$2),1,0)</f>
        <v/>
      </c>
      <c r="M391">
        <f>M390+IF(AND($E391&lt;&gt;"",$E391&lt;=M$2,$F391&gt;=M$2),1,0)</f>
        <v/>
      </c>
      <c r="N391">
        <f>N390+IF(AND($E391&lt;&gt;"",$E391&lt;=N$2,$F391&gt;=N$2),1,0)</f>
        <v/>
      </c>
      <c r="O391">
        <f>O390+IF(AND($E391&lt;&gt;"",$E391&lt;=O$2,$F391&gt;=O$2),1,0)</f>
        <v/>
      </c>
      <c r="P391">
        <f>P390+IF(AND($E391&lt;&gt;"",$E391&lt;=P$2,$F391&gt;=P$2),1,0)</f>
        <v/>
      </c>
      <c r="Q391">
        <f>Q390+IF(AND($E391&lt;&gt;"",$E391&lt;=Q$2,$F391&gt;=Q$2),1,0)</f>
        <v/>
      </c>
      <c r="R391">
        <f>R390+IF(AND($E391&lt;&gt;"",$E391&lt;=R$2,$F391&gt;=R$2),1,0)</f>
        <v/>
      </c>
      <c r="S391">
        <f>S390+IF(AND($E391&lt;&gt;"",$E391&lt;=S$2,$F391&gt;=S$2),1,0)</f>
        <v/>
      </c>
      <c r="T391">
        <f>T390+IF(AND($E391&lt;&gt;"",$E391&lt;=T$2,$F391&gt;=T$2),1,0)</f>
        <v/>
      </c>
      <c r="U391">
        <f>U390+IF(AND($E391&lt;&gt;"",$E391&lt;=U$2,$F391&gt;=U$2),1,0)</f>
        <v/>
      </c>
      <c r="V391">
        <f>V390+IF(AND($E391&lt;&gt;"",$E391&lt;=V$2,$F391&gt;=V$2),1,0)</f>
        <v/>
      </c>
      <c r="W391">
        <f>W390+IF(AND($E391&lt;&gt;"",$E391&lt;=W$2,$F391&gt;=W$2),1,0)</f>
        <v/>
      </c>
      <c r="X391">
        <f>X390+IF(AND($E391&lt;&gt;"",$E391&lt;=X$2,$F391&gt;=X$2),1,0)</f>
        <v/>
      </c>
      <c r="Y391">
        <f>Y390+IF(AND($E391&lt;&gt;"",$E391&lt;=Y$2,$F391&gt;=Y$2),1,0)</f>
        <v/>
      </c>
      <c r="Z391">
        <f>Z390+IF(AND($E391&lt;&gt;"",$E391&lt;=Z$2,$F391&gt;=Z$2),1,0)</f>
        <v/>
      </c>
      <c r="AA391">
        <f>AA390+IF(AND($E391&lt;&gt;"",$E391&lt;=AA$2,$F391&gt;=AA$2),1,0)</f>
        <v/>
      </c>
      <c r="AB391">
        <f>AB390+IF(AND($E391&lt;&gt;"",$E391&lt;=AB$2,$F391&gt;=AB$2),1,0)</f>
        <v/>
      </c>
      <c r="AC391">
        <f>AC390+IF(AND($E391&lt;&gt;"",$E391&lt;=AC$2,$F391&gt;=AC$2),1,0)</f>
        <v/>
      </c>
      <c r="AD391">
        <f>AD390+IF(AND($E391&lt;&gt;"",$E391&lt;=AD$2,$F391&gt;=AD$2),1,0)</f>
        <v/>
      </c>
      <c r="AE391">
        <f>AE390+IF(AND($E391&lt;&gt;"",$E391&lt;=AE$2,$F391&gt;=AE$2),1,0)</f>
        <v/>
      </c>
      <c r="AF391">
        <f>AF390+IF(AND($E391&lt;&gt;"",$E391&lt;=AF$2,$F391&gt;=AF$2),1,0)</f>
        <v/>
      </c>
      <c r="AG391">
        <f>AG390+IF(AND($E391&lt;&gt;"",$E391&lt;=AG$2,$F391&gt;=AG$2),1,0)</f>
        <v/>
      </c>
      <c r="AH391">
        <f>AH390+IF(AND($E391&lt;&gt;"",$E391&lt;=AH$2,$F391&gt;=AH$2),1,0)</f>
        <v/>
      </c>
      <c r="AI391">
        <f>AI390+IF(AND($E391&lt;&gt;"",$E391&lt;=AI$2,$F391&gt;=AI$2),1,0)</f>
        <v/>
      </c>
      <c r="AJ391">
        <f>AJ390+IF(AND($E391&lt;&gt;"",$E391&lt;=AJ$2,$F391&gt;=AJ$2),1,0)</f>
        <v/>
      </c>
      <c r="AK391">
        <f>AK390+IF(AND($E391&lt;&gt;"",$E391&lt;=AK$2,$F391&gt;=AK$2),1,0)</f>
        <v/>
      </c>
      <c r="AL391">
        <f>AL390+IF(AND($E391&lt;&gt;"",$E391&lt;=AL$2,$F391&gt;=AL$2),1,0)</f>
        <v/>
      </c>
      <c r="AM391">
        <f>AM390+IF(AND($E391&lt;&gt;"",$E391&lt;=AM$2,$F391&gt;=AM$2),1,0)</f>
        <v/>
      </c>
      <c r="AN391">
        <f>AN390+IF(AND($E391&lt;&gt;"",$E391&lt;=AN$2,$F391&gt;=AN$2),1,0)</f>
        <v/>
      </c>
      <c r="AO391">
        <f>AO390+IF(AND($E391&lt;&gt;"",$E391&lt;=AO$2,$F391&gt;=AO$2),1,0)</f>
        <v/>
      </c>
      <c r="AP391">
        <f>AP390+IF(AND($E391&lt;&gt;"",$E391&lt;=AP$2,$F391&gt;=AP$2),1,0)</f>
        <v/>
      </c>
      <c r="AQ391">
        <f>AQ390+IF(AND($E391&lt;&gt;"",$E391&lt;=AQ$2,$F391&gt;=AQ$2),1,0)</f>
        <v/>
      </c>
      <c r="AR391">
        <f>AR390+IF(AND($E391&lt;&gt;"",$E391&lt;=AR$2,$F391&gt;=AR$2),1,0)</f>
        <v/>
      </c>
      <c r="AS391">
        <f>AS390+IF(AND($E391&lt;&gt;"",$E391&lt;=AS$2,$F391&gt;=AS$2),1,0)</f>
        <v/>
      </c>
      <c r="AT391">
        <f>AT390+IF(AND($E391&lt;&gt;"",$E391&lt;=AT$2,$F391&gt;=AT$2),1,0)</f>
        <v/>
      </c>
      <c r="AU391">
        <f>AU390+IF(AND($E391&lt;&gt;"",$E391&lt;=AU$2,$F391&gt;=AU$2),1,0)</f>
        <v/>
      </c>
      <c r="AV391">
        <f>AV390+IF(AND($E391&lt;&gt;"",$E391&lt;=AV$2,$F391&gt;=AV$2),1,0)</f>
        <v/>
      </c>
      <c r="AW391">
        <f>AW390+IF(AND($E391&lt;&gt;"",$E391&lt;=AW$2,$F391&gt;=AW$2),1,0)</f>
        <v/>
      </c>
    </row>
    <row r="392">
      <c r="A392">
        <f>IF(AND(ISNUMBER(Events!$A394),ISNUMBER(Events!$B394)),MAX(0,Events!$B394-Events!$A394),0)</f>
        <v/>
      </c>
      <c r="B392">
        <f>IF(ISNUMBER(Events!$A394),DATE(YEAR($B$1)-1,MONTH(Events!$A394),DAY(Events!$A394)),"")</f>
        <v/>
      </c>
      <c r="C392">
        <f>IF(ISNUMBER(Events!$A394),DATE(YEAR($B$1),MONTH(Events!$A394),DAY(Events!$A394)),"")</f>
        <v/>
      </c>
      <c r="D392">
        <f>IF(ISNUMBER(Events!$A394),DATE(YEAR($B$2),MONTH(Events!$A394),DAY(Events!$A394)),"")</f>
        <v/>
      </c>
      <c r="E392">
        <f>IF(OR(NOT(ISNUMBER(Events!$A394)),Events!$G394="No",Calendar!$H$4="None"),"",IF(OR(Calendar!$H$4="All events",Events!$D394=Calendar!$H$4),IF(Events!$E394="Yes",IF(AND(B392&gt;=Events!$A394,B392&lt;=$B$2,B392+$A392&gt;=$B$1),B392,IF(AND(C392&gt;=Events!$A394,C392&lt;=$B$2,C392+$A392&gt;=$B$1),C392,IF(AND(D392&gt;=Events!$A394,D392&lt;=$B$2,D392+$A392&gt;=$B$1),D392,""))),IF(AND(Events!$A394&lt;=$B$2,Events!$A394+$A392&gt;=$B$1),Events!$A394,"")),""))</f>
        <v/>
      </c>
      <c r="F392">
        <f>IF(E392="","",E392+A392)</f>
        <v/>
      </c>
      <c r="G392">
        <f>IF(E392="","",IF(AND(E392&lt;=EOMONTH(Calendar!$K$2,0),F392&gt;=Calendar!$K$2),E392+389/100000,""))</f>
        <v/>
      </c>
      <c r="H392">
        <f>H391+IF(AND($E392&lt;&gt;"",$E392&lt;=H$2,$F392&gt;=H$2),1,0)</f>
        <v/>
      </c>
      <c r="I392">
        <f>I391+IF(AND($E392&lt;&gt;"",$E392&lt;=I$2,$F392&gt;=I$2),1,0)</f>
        <v/>
      </c>
      <c r="J392">
        <f>J391+IF(AND($E392&lt;&gt;"",$E392&lt;=J$2,$F392&gt;=J$2),1,0)</f>
        <v/>
      </c>
      <c r="K392">
        <f>K391+IF(AND($E392&lt;&gt;"",$E392&lt;=K$2,$F392&gt;=K$2),1,0)</f>
        <v/>
      </c>
      <c r="L392">
        <f>L391+IF(AND($E392&lt;&gt;"",$E392&lt;=L$2,$F392&gt;=L$2),1,0)</f>
        <v/>
      </c>
      <c r="M392">
        <f>M391+IF(AND($E392&lt;&gt;"",$E392&lt;=M$2,$F392&gt;=M$2),1,0)</f>
        <v/>
      </c>
      <c r="N392">
        <f>N391+IF(AND($E392&lt;&gt;"",$E392&lt;=N$2,$F392&gt;=N$2),1,0)</f>
        <v/>
      </c>
      <c r="O392">
        <f>O391+IF(AND($E392&lt;&gt;"",$E392&lt;=O$2,$F392&gt;=O$2),1,0)</f>
        <v/>
      </c>
      <c r="P392">
        <f>P391+IF(AND($E392&lt;&gt;"",$E392&lt;=P$2,$F392&gt;=P$2),1,0)</f>
        <v/>
      </c>
      <c r="Q392">
        <f>Q391+IF(AND($E392&lt;&gt;"",$E392&lt;=Q$2,$F392&gt;=Q$2),1,0)</f>
        <v/>
      </c>
      <c r="R392">
        <f>R391+IF(AND($E392&lt;&gt;"",$E392&lt;=R$2,$F392&gt;=R$2),1,0)</f>
        <v/>
      </c>
      <c r="S392">
        <f>S391+IF(AND($E392&lt;&gt;"",$E392&lt;=S$2,$F392&gt;=S$2),1,0)</f>
        <v/>
      </c>
      <c r="T392">
        <f>T391+IF(AND($E392&lt;&gt;"",$E392&lt;=T$2,$F392&gt;=T$2),1,0)</f>
        <v/>
      </c>
      <c r="U392">
        <f>U391+IF(AND($E392&lt;&gt;"",$E392&lt;=U$2,$F392&gt;=U$2),1,0)</f>
        <v/>
      </c>
      <c r="V392">
        <f>V391+IF(AND($E392&lt;&gt;"",$E392&lt;=V$2,$F392&gt;=V$2),1,0)</f>
        <v/>
      </c>
      <c r="W392">
        <f>W391+IF(AND($E392&lt;&gt;"",$E392&lt;=W$2,$F392&gt;=W$2),1,0)</f>
        <v/>
      </c>
      <c r="X392">
        <f>X391+IF(AND($E392&lt;&gt;"",$E392&lt;=X$2,$F392&gt;=X$2),1,0)</f>
        <v/>
      </c>
      <c r="Y392">
        <f>Y391+IF(AND($E392&lt;&gt;"",$E392&lt;=Y$2,$F392&gt;=Y$2),1,0)</f>
        <v/>
      </c>
      <c r="Z392">
        <f>Z391+IF(AND($E392&lt;&gt;"",$E392&lt;=Z$2,$F392&gt;=Z$2),1,0)</f>
        <v/>
      </c>
      <c r="AA392">
        <f>AA391+IF(AND($E392&lt;&gt;"",$E392&lt;=AA$2,$F392&gt;=AA$2),1,0)</f>
        <v/>
      </c>
      <c r="AB392">
        <f>AB391+IF(AND($E392&lt;&gt;"",$E392&lt;=AB$2,$F392&gt;=AB$2),1,0)</f>
        <v/>
      </c>
      <c r="AC392">
        <f>AC391+IF(AND($E392&lt;&gt;"",$E392&lt;=AC$2,$F392&gt;=AC$2),1,0)</f>
        <v/>
      </c>
      <c r="AD392">
        <f>AD391+IF(AND($E392&lt;&gt;"",$E392&lt;=AD$2,$F392&gt;=AD$2),1,0)</f>
        <v/>
      </c>
      <c r="AE392">
        <f>AE391+IF(AND($E392&lt;&gt;"",$E392&lt;=AE$2,$F392&gt;=AE$2),1,0)</f>
        <v/>
      </c>
      <c r="AF392">
        <f>AF391+IF(AND($E392&lt;&gt;"",$E392&lt;=AF$2,$F392&gt;=AF$2),1,0)</f>
        <v/>
      </c>
      <c r="AG392">
        <f>AG391+IF(AND($E392&lt;&gt;"",$E392&lt;=AG$2,$F392&gt;=AG$2),1,0)</f>
        <v/>
      </c>
      <c r="AH392">
        <f>AH391+IF(AND($E392&lt;&gt;"",$E392&lt;=AH$2,$F392&gt;=AH$2),1,0)</f>
        <v/>
      </c>
      <c r="AI392">
        <f>AI391+IF(AND($E392&lt;&gt;"",$E392&lt;=AI$2,$F392&gt;=AI$2),1,0)</f>
        <v/>
      </c>
      <c r="AJ392">
        <f>AJ391+IF(AND($E392&lt;&gt;"",$E392&lt;=AJ$2,$F392&gt;=AJ$2),1,0)</f>
        <v/>
      </c>
      <c r="AK392">
        <f>AK391+IF(AND($E392&lt;&gt;"",$E392&lt;=AK$2,$F392&gt;=AK$2),1,0)</f>
        <v/>
      </c>
      <c r="AL392">
        <f>AL391+IF(AND($E392&lt;&gt;"",$E392&lt;=AL$2,$F392&gt;=AL$2),1,0)</f>
        <v/>
      </c>
      <c r="AM392">
        <f>AM391+IF(AND($E392&lt;&gt;"",$E392&lt;=AM$2,$F392&gt;=AM$2),1,0)</f>
        <v/>
      </c>
      <c r="AN392">
        <f>AN391+IF(AND($E392&lt;&gt;"",$E392&lt;=AN$2,$F392&gt;=AN$2),1,0)</f>
        <v/>
      </c>
      <c r="AO392">
        <f>AO391+IF(AND($E392&lt;&gt;"",$E392&lt;=AO$2,$F392&gt;=AO$2),1,0)</f>
        <v/>
      </c>
      <c r="AP392">
        <f>AP391+IF(AND($E392&lt;&gt;"",$E392&lt;=AP$2,$F392&gt;=AP$2),1,0)</f>
        <v/>
      </c>
      <c r="AQ392">
        <f>AQ391+IF(AND($E392&lt;&gt;"",$E392&lt;=AQ$2,$F392&gt;=AQ$2),1,0)</f>
        <v/>
      </c>
      <c r="AR392">
        <f>AR391+IF(AND($E392&lt;&gt;"",$E392&lt;=AR$2,$F392&gt;=AR$2),1,0)</f>
        <v/>
      </c>
      <c r="AS392">
        <f>AS391+IF(AND($E392&lt;&gt;"",$E392&lt;=AS$2,$F392&gt;=AS$2),1,0)</f>
        <v/>
      </c>
      <c r="AT392">
        <f>AT391+IF(AND($E392&lt;&gt;"",$E392&lt;=AT$2,$F392&gt;=AT$2),1,0)</f>
        <v/>
      </c>
      <c r="AU392">
        <f>AU391+IF(AND($E392&lt;&gt;"",$E392&lt;=AU$2,$F392&gt;=AU$2),1,0)</f>
        <v/>
      </c>
      <c r="AV392">
        <f>AV391+IF(AND($E392&lt;&gt;"",$E392&lt;=AV$2,$F392&gt;=AV$2),1,0)</f>
        <v/>
      </c>
      <c r="AW392">
        <f>AW391+IF(AND($E392&lt;&gt;"",$E392&lt;=AW$2,$F392&gt;=AW$2),1,0)</f>
        <v/>
      </c>
    </row>
    <row r="393">
      <c r="A393">
        <f>IF(AND(ISNUMBER(Events!$A395),ISNUMBER(Events!$B395)),MAX(0,Events!$B395-Events!$A395),0)</f>
        <v/>
      </c>
      <c r="B393">
        <f>IF(ISNUMBER(Events!$A395),DATE(YEAR($B$1)-1,MONTH(Events!$A395),DAY(Events!$A395)),"")</f>
        <v/>
      </c>
      <c r="C393">
        <f>IF(ISNUMBER(Events!$A395),DATE(YEAR($B$1),MONTH(Events!$A395),DAY(Events!$A395)),"")</f>
        <v/>
      </c>
      <c r="D393">
        <f>IF(ISNUMBER(Events!$A395),DATE(YEAR($B$2),MONTH(Events!$A395),DAY(Events!$A395)),"")</f>
        <v/>
      </c>
      <c r="E393">
        <f>IF(OR(NOT(ISNUMBER(Events!$A395)),Events!$G395="No",Calendar!$H$4="None"),"",IF(OR(Calendar!$H$4="All events",Events!$D395=Calendar!$H$4),IF(Events!$E395="Yes",IF(AND(B393&gt;=Events!$A395,B393&lt;=$B$2,B393+$A393&gt;=$B$1),B393,IF(AND(C393&gt;=Events!$A395,C393&lt;=$B$2,C393+$A393&gt;=$B$1),C393,IF(AND(D393&gt;=Events!$A395,D393&lt;=$B$2,D393+$A393&gt;=$B$1),D393,""))),IF(AND(Events!$A395&lt;=$B$2,Events!$A395+$A393&gt;=$B$1),Events!$A395,"")),""))</f>
        <v/>
      </c>
      <c r="F393">
        <f>IF(E393="","",E393+A393)</f>
        <v/>
      </c>
      <c r="G393">
        <f>IF(E393="","",IF(AND(E393&lt;=EOMONTH(Calendar!$K$2,0),F393&gt;=Calendar!$K$2),E393+390/100000,""))</f>
        <v/>
      </c>
      <c r="H393">
        <f>H392+IF(AND($E393&lt;&gt;"",$E393&lt;=H$2,$F393&gt;=H$2),1,0)</f>
        <v/>
      </c>
      <c r="I393">
        <f>I392+IF(AND($E393&lt;&gt;"",$E393&lt;=I$2,$F393&gt;=I$2),1,0)</f>
        <v/>
      </c>
      <c r="J393">
        <f>J392+IF(AND($E393&lt;&gt;"",$E393&lt;=J$2,$F393&gt;=J$2),1,0)</f>
        <v/>
      </c>
      <c r="K393">
        <f>K392+IF(AND($E393&lt;&gt;"",$E393&lt;=K$2,$F393&gt;=K$2),1,0)</f>
        <v/>
      </c>
      <c r="L393">
        <f>L392+IF(AND($E393&lt;&gt;"",$E393&lt;=L$2,$F393&gt;=L$2),1,0)</f>
        <v/>
      </c>
      <c r="M393">
        <f>M392+IF(AND($E393&lt;&gt;"",$E393&lt;=M$2,$F393&gt;=M$2),1,0)</f>
        <v/>
      </c>
      <c r="N393">
        <f>N392+IF(AND($E393&lt;&gt;"",$E393&lt;=N$2,$F393&gt;=N$2),1,0)</f>
        <v/>
      </c>
      <c r="O393">
        <f>O392+IF(AND($E393&lt;&gt;"",$E393&lt;=O$2,$F393&gt;=O$2),1,0)</f>
        <v/>
      </c>
      <c r="P393">
        <f>P392+IF(AND($E393&lt;&gt;"",$E393&lt;=P$2,$F393&gt;=P$2),1,0)</f>
        <v/>
      </c>
      <c r="Q393">
        <f>Q392+IF(AND($E393&lt;&gt;"",$E393&lt;=Q$2,$F393&gt;=Q$2),1,0)</f>
        <v/>
      </c>
      <c r="R393">
        <f>R392+IF(AND($E393&lt;&gt;"",$E393&lt;=R$2,$F393&gt;=R$2),1,0)</f>
        <v/>
      </c>
      <c r="S393">
        <f>S392+IF(AND($E393&lt;&gt;"",$E393&lt;=S$2,$F393&gt;=S$2),1,0)</f>
        <v/>
      </c>
      <c r="T393">
        <f>T392+IF(AND($E393&lt;&gt;"",$E393&lt;=T$2,$F393&gt;=T$2),1,0)</f>
        <v/>
      </c>
      <c r="U393">
        <f>U392+IF(AND($E393&lt;&gt;"",$E393&lt;=U$2,$F393&gt;=U$2),1,0)</f>
        <v/>
      </c>
      <c r="V393">
        <f>V392+IF(AND($E393&lt;&gt;"",$E393&lt;=V$2,$F393&gt;=V$2),1,0)</f>
        <v/>
      </c>
      <c r="W393">
        <f>W392+IF(AND($E393&lt;&gt;"",$E393&lt;=W$2,$F393&gt;=W$2),1,0)</f>
        <v/>
      </c>
      <c r="X393">
        <f>X392+IF(AND($E393&lt;&gt;"",$E393&lt;=X$2,$F393&gt;=X$2),1,0)</f>
        <v/>
      </c>
      <c r="Y393">
        <f>Y392+IF(AND($E393&lt;&gt;"",$E393&lt;=Y$2,$F393&gt;=Y$2),1,0)</f>
        <v/>
      </c>
      <c r="Z393">
        <f>Z392+IF(AND($E393&lt;&gt;"",$E393&lt;=Z$2,$F393&gt;=Z$2),1,0)</f>
        <v/>
      </c>
      <c r="AA393">
        <f>AA392+IF(AND($E393&lt;&gt;"",$E393&lt;=AA$2,$F393&gt;=AA$2),1,0)</f>
        <v/>
      </c>
      <c r="AB393">
        <f>AB392+IF(AND($E393&lt;&gt;"",$E393&lt;=AB$2,$F393&gt;=AB$2),1,0)</f>
        <v/>
      </c>
      <c r="AC393">
        <f>AC392+IF(AND($E393&lt;&gt;"",$E393&lt;=AC$2,$F393&gt;=AC$2),1,0)</f>
        <v/>
      </c>
      <c r="AD393">
        <f>AD392+IF(AND($E393&lt;&gt;"",$E393&lt;=AD$2,$F393&gt;=AD$2),1,0)</f>
        <v/>
      </c>
      <c r="AE393">
        <f>AE392+IF(AND($E393&lt;&gt;"",$E393&lt;=AE$2,$F393&gt;=AE$2),1,0)</f>
        <v/>
      </c>
      <c r="AF393">
        <f>AF392+IF(AND($E393&lt;&gt;"",$E393&lt;=AF$2,$F393&gt;=AF$2),1,0)</f>
        <v/>
      </c>
      <c r="AG393">
        <f>AG392+IF(AND($E393&lt;&gt;"",$E393&lt;=AG$2,$F393&gt;=AG$2),1,0)</f>
        <v/>
      </c>
      <c r="AH393">
        <f>AH392+IF(AND($E393&lt;&gt;"",$E393&lt;=AH$2,$F393&gt;=AH$2),1,0)</f>
        <v/>
      </c>
      <c r="AI393">
        <f>AI392+IF(AND($E393&lt;&gt;"",$E393&lt;=AI$2,$F393&gt;=AI$2),1,0)</f>
        <v/>
      </c>
      <c r="AJ393">
        <f>AJ392+IF(AND($E393&lt;&gt;"",$E393&lt;=AJ$2,$F393&gt;=AJ$2),1,0)</f>
        <v/>
      </c>
      <c r="AK393">
        <f>AK392+IF(AND($E393&lt;&gt;"",$E393&lt;=AK$2,$F393&gt;=AK$2),1,0)</f>
        <v/>
      </c>
      <c r="AL393">
        <f>AL392+IF(AND($E393&lt;&gt;"",$E393&lt;=AL$2,$F393&gt;=AL$2),1,0)</f>
        <v/>
      </c>
      <c r="AM393">
        <f>AM392+IF(AND($E393&lt;&gt;"",$E393&lt;=AM$2,$F393&gt;=AM$2),1,0)</f>
        <v/>
      </c>
      <c r="AN393">
        <f>AN392+IF(AND($E393&lt;&gt;"",$E393&lt;=AN$2,$F393&gt;=AN$2),1,0)</f>
        <v/>
      </c>
      <c r="AO393">
        <f>AO392+IF(AND($E393&lt;&gt;"",$E393&lt;=AO$2,$F393&gt;=AO$2),1,0)</f>
        <v/>
      </c>
      <c r="AP393">
        <f>AP392+IF(AND($E393&lt;&gt;"",$E393&lt;=AP$2,$F393&gt;=AP$2),1,0)</f>
        <v/>
      </c>
      <c r="AQ393">
        <f>AQ392+IF(AND($E393&lt;&gt;"",$E393&lt;=AQ$2,$F393&gt;=AQ$2),1,0)</f>
        <v/>
      </c>
      <c r="AR393">
        <f>AR392+IF(AND($E393&lt;&gt;"",$E393&lt;=AR$2,$F393&gt;=AR$2),1,0)</f>
        <v/>
      </c>
      <c r="AS393">
        <f>AS392+IF(AND($E393&lt;&gt;"",$E393&lt;=AS$2,$F393&gt;=AS$2),1,0)</f>
        <v/>
      </c>
      <c r="AT393">
        <f>AT392+IF(AND($E393&lt;&gt;"",$E393&lt;=AT$2,$F393&gt;=AT$2),1,0)</f>
        <v/>
      </c>
      <c r="AU393">
        <f>AU392+IF(AND($E393&lt;&gt;"",$E393&lt;=AU$2,$F393&gt;=AU$2),1,0)</f>
        <v/>
      </c>
      <c r="AV393">
        <f>AV392+IF(AND($E393&lt;&gt;"",$E393&lt;=AV$2,$F393&gt;=AV$2),1,0)</f>
        <v/>
      </c>
      <c r="AW393">
        <f>AW392+IF(AND($E393&lt;&gt;"",$E393&lt;=AW$2,$F393&gt;=AW$2),1,0)</f>
        <v/>
      </c>
    </row>
    <row r="394">
      <c r="A394">
        <f>IF(AND(ISNUMBER(Events!$A396),ISNUMBER(Events!$B396)),MAX(0,Events!$B396-Events!$A396),0)</f>
        <v/>
      </c>
      <c r="B394">
        <f>IF(ISNUMBER(Events!$A396),DATE(YEAR($B$1)-1,MONTH(Events!$A396),DAY(Events!$A396)),"")</f>
        <v/>
      </c>
      <c r="C394">
        <f>IF(ISNUMBER(Events!$A396),DATE(YEAR($B$1),MONTH(Events!$A396),DAY(Events!$A396)),"")</f>
        <v/>
      </c>
      <c r="D394">
        <f>IF(ISNUMBER(Events!$A396),DATE(YEAR($B$2),MONTH(Events!$A396),DAY(Events!$A396)),"")</f>
        <v/>
      </c>
      <c r="E394">
        <f>IF(OR(NOT(ISNUMBER(Events!$A396)),Events!$G396="No",Calendar!$H$4="None"),"",IF(OR(Calendar!$H$4="All events",Events!$D396=Calendar!$H$4),IF(Events!$E396="Yes",IF(AND(B394&gt;=Events!$A396,B394&lt;=$B$2,B394+$A394&gt;=$B$1),B394,IF(AND(C394&gt;=Events!$A396,C394&lt;=$B$2,C394+$A394&gt;=$B$1),C394,IF(AND(D394&gt;=Events!$A396,D394&lt;=$B$2,D394+$A394&gt;=$B$1),D394,""))),IF(AND(Events!$A396&lt;=$B$2,Events!$A396+$A394&gt;=$B$1),Events!$A396,"")),""))</f>
        <v/>
      </c>
      <c r="F394">
        <f>IF(E394="","",E394+A394)</f>
        <v/>
      </c>
      <c r="G394">
        <f>IF(E394="","",IF(AND(E394&lt;=EOMONTH(Calendar!$K$2,0),F394&gt;=Calendar!$K$2),E394+391/100000,""))</f>
        <v/>
      </c>
      <c r="H394">
        <f>H393+IF(AND($E394&lt;&gt;"",$E394&lt;=H$2,$F394&gt;=H$2),1,0)</f>
        <v/>
      </c>
      <c r="I394">
        <f>I393+IF(AND($E394&lt;&gt;"",$E394&lt;=I$2,$F394&gt;=I$2),1,0)</f>
        <v/>
      </c>
      <c r="J394">
        <f>J393+IF(AND($E394&lt;&gt;"",$E394&lt;=J$2,$F394&gt;=J$2),1,0)</f>
        <v/>
      </c>
      <c r="K394">
        <f>K393+IF(AND($E394&lt;&gt;"",$E394&lt;=K$2,$F394&gt;=K$2),1,0)</f>
        <v/>
      </c>
      <c r="L394">
        <f>L393+IF(AND($E394&lt;&gt;"",$E394&lt;=L$2,$F394&gt;=L$2),1,0)</f>
        <v/>
      </c>
      <c r="M394">
        <f>M393+IF(AND($E394&lt;&gt;"",$E394&lt;=M$2,$F394&gt;=M$2),1,0)</f>
        <v/>
      </c>
      <c r="N394">
        <f>N393+IF(AND($E394&lt;&gt;"",$E394&lt;=N$2,$F394&gt;=N$2),1,0)</f>
        <v/>
      </c>
      <c r="O394">
        <f>O393+IF(AND($E394&lt;&gt;"",$E394&lt;=O$2,$F394&gt;=O$2),1,0)</f>
        <v/>
      </c>
      <c r="P394">
        <f>P393+IF(AND($E394&lt;&gt;"",$E394&lt;=P$2,$F394&gt;=P$2),1,0)</f>
        <v/>
      </c>
      <c r="Q394">
        <f>Q393+IF(AND($E394&lt;&gt;"",$E394&lt;=Q$2,$F394&gt;=Q$2),1,0)</f>
        <v/>
      </c>
      <c r="R394">
        <f>R393+IF(AND($E394&lt;&gt;"",$E394&lt;=R$2,$F394&gt;=R$2),1,0)</f>
        <v/>
      </c>
      <c r="S394">
        <f>S393+IF(AND($E394&lt;&gt;"",$E394&lt;=S$2,$F394&gt;=S$2),1,0)</f>
        <v/>
      </c>
      <c r="T394">
        <f>T393+IF(AND($E394&lt;&gt;"",$E394&lt;=T$2,$F394&gt;=T$2),1,0)</f>
        <v/>
      </c>
      <c r="U394">
        <f>U393+IF(AND($E394&lt;&gt;"",$E394&lt;=U$2,$F394&gt;=U$2),1,0)</f>
        <v/>
      </c>
      <c r="V394">
        <f>V393+IF(AND($E394&lt;&gt;"",$E394&lt;=V$2,$F394&gt;=V$2),1,0)</f>
        <v/>
      </c>
      <c r="W394">
        <f>W393+IF(AND($E394&lt;&gt;"",$E394&lt;=W$2,$F394&gt;=W$2),1,0)</f>
        <v/>
      </c>
      <c r="X394">
        <f>X393+IF(AND($E394&lt;&gt;"",$E394&lt;=X$2,$F394&gt;=X$2),1,0)</f>
        <v/>
      </c>
      <c r="Y394">
        <f>Y393+IF(AND($E394&lt;&gt;"",$E394&lt;=Y$2,$F394&gt;=Y$2),1,0)</f>
        <v/>
      </c>
      <c r="Z394">
        <f>Z393+IF(AND($E394&lt;&gt;"",$E394&lt;=Z$2,$F394&gt;=Z$2),1,0)</f>
        <v/>
      </c>
      <c r="AA394">
        <f>AA393+IF(AND($E394&lt;&gt;"",$E394&lt;=AA$2,$F394&gt;=AA$2),1,0)</f>
        <v/>
      </c>
      <c r="AB394">
        <f>AB393+IF(AND($E394&lt;&gt;"",$E394&lt;=AB$2,$F394&gt;=AB$2),1,0)</f>
        <v/>
      </c>
      <c r="AC394">
        <f>AC393+IF(AND($E394&lt;&gt;"",$E394&lt;=AC$2,$F394&gt;=AC$2),1,0)</f>
        <v/>
      </c>
      <c r="AD394">
        <f>AD393+IF(AND($E394&lt;&gt;"",$E394&lt;=AD$2,$F394&gt;=AD$2),1,0)</f>
        <v/>
      </c>
      <c r="AE394">
        <f>AE393+IF(AND($E394&lt;&gt;"",$E394&lt;=AE$2,$F394&gt;=AE$2),1,0)</f>
        <v/>
      </c>
      <c r="AF394">
        <f>AF393+IF(AND($E394&lt;&gt;"",$E394&lt;=AF$2,$F394&gt;=AF$2),1,0)</f>
        <v/>
      </c>
      <c r="AG394">
        <f>AG393+IF(AND($E394&lt;&gt;"",$E394&lt;=AG$2,$F394&gt;=AG$2),1,0)</f>
        <v/>
      </c>
      <c r="AH394">
        <f>AH393+IF(AND($E394&lt;&gt;"",$E394&lt;=AH$2,$F394&gt;=AH$2),1,0)</f>
        <v/>
      </c>
      <c r="AI394">
        <f>AI393+IF(AND($E394&lt;&gt;"",$E394&lt;=AI$2,$F394&gt;=AI$2),1,0)</f>
        <v/>
      </c>
      <c r="AJ394">
        <f>AJ393+IF(AND($E394&lt;&gt;"",$E394&lt;=AJ$2,$F394&gt;=AJ$2),1,0)</f>
        <v/>
      </c>
      <c r="AK394">
        <f>AK393+IF(AND($E394&lt;&gt;"",$E394&lt;=AK$2,$F394&gt;=AK$2),1,0)</f>
        <v/>
      </c>
      <c r="AL394">
        <f>AL393+IF(AND($E394&lt;&gt;"",$E394&lt;=AL$2,$F394&gt;=AL$2),1,0)</f>
        <v/>
      </c>
      <c r="AM394">
        <f>AM393+IF(AND($E394&lt;&gt;"",$E394&lt;=AM$2,$F394&gt;=AM$2),1,0)</f>
        <v/>
      </c>
      <c r="AN394">
        <f>AN393+IF(AND($E394&lt;&gt;"",$E394&lt;=AN$2,$F394&gt;=AN$2),1,0)</f>
        <v/>
      </c>
      <c r="AO394">
        <f>AO393+IF(AND($E394&lt;&gt;"",$E394&lt;=AO$2,$F394&gt;=AO$2),1,0)</f>
        <v/>
      </c>
      <c r="AP394">
        <f>AP393+IF(AND($E394&lt;&gt;"",$E394&lt;=AP$2,$F394&gt;=AP$2),1,0)</f>
        <v/>
      </c>
      <c r="AQ394">
        <f>AQ393+IF(AND($E394&lt;&gt;"",$E394&lt;=AQ$2,$F394&gt;=AQ$2),1,0)</f>
        <v/>
      </c>
      <c r="AR394">
        <f>AR393+IF(AND($E394&lt;&gt;"",$E394&lt;=AR$2,$F394&gt;=AR$2),1,0)</f>
        <v/>
      </c>
      <c r="AS394">
        <f>AS393+IF(AND($E394&lt;&gt;"",$E394&lt;=AS$2,$F394&gt;=AS$2),1,0)</f>
        <v/>
      </c>
      <c r="AT394">
        <f>AT393+IF(AND($E394&lt;&gt;"",$E394&lt;=AT$2,$F394&gt;=AT$2),1,0)</f>
        <v/>
      </c>
      <c r="AU394">
        <f>AU393+IF(AND($E394&lt;&gt;"",$E394&lt;=AU$2,$F394&gt;=AU$2),1,0)</f>
        <v/>
      </c>
      <c r="AV394">
        <f>AV393+IF(AND($E394&lt;&gt;"",$E394&lt;=AV$2,$F394&gt;=AV$2),1,0)</f>
        <v/>
      </c>
      <c r="AW394">
        <f>AW393+IF(AND($E394&lt;&gt;"",$E394&lt;=AW$2,$F394&gt;=AW$2),1,0)</f>
        <v/>
      </c>
    </row>
    <row r="395">
      <c r="A395">
        <f>IF(AND(ISNUMBER(Events!$A397),ISNUMBER(Events!$B397)),MAX(0,Events!$B397-Events!$A397),0)</f>
        <v/>
      </c>
      <c r="B395">
        <f>IF(ISNUMBER(Events!$A397),DATE(YEAR($B$1)-1,MONTH(Events!$A397),DAY(Events!$A397)),"")</f>
        <v/>
      </c>
      <c r="C395">
        <f>IF(ISNUMBER(Events!$A397),DATE(YEAR($B$1),MONTH(Events!$A397),DAY(Events!$A397)),"")</f>
        <v/>
      </c>
      <c r="D395">
        <f>IF(ISNUMBER(Events!$A397),DATE(YEAR($B$2),MONTH(Events!$A397),DAY(Events!$A397)),"")</f>
        <v/>
      </c>
      <c r="E395">
        <f>IF(OR(NOT(ISNUMBER(Events!$A397)),Events!$G397="No",Calendar!$H$4="None"),"",IF(OR(Calendar!$H$4="All events",Events!$D397=Calendar!$H$4),IF(Events!$E397="Yes",IF(AND(B395&gt;=Events!$A397,B395&lt;=$B$2,B395+$A395&gt;=$B$1),B395,IF(AND(C395&gt;=Events!$A397,C395&lt;=$B$2,C395+$A395&gt;=$B$1),C395,IF(AND(D395&gt;=Events!$A397,D395&lt;=$B$2,D395+$A395&gt;=$B$1),D395,""))),IF(AND(Events!$A397&lt;=$B$2,Events!$A397+$A395&gt;=$B$1),Events!$A397,"")),""))</f>
        <v/>
      </c>
      <c r="F395">
        <f>IF(E395="","",E395+A395)</f>
        <v/>
      </c>
      <c r="G395">
        <f>IF(E395="","",IF(AND(E395&lt;=EOMONTH(Calendar!$K$2,0),F395&gt;=Calendar!$K$2),E395+392/100000,""))</f>
        <v/>
      </c>
      <c r="H395">
        <f>H394+IF(AND($E395&lt;&gt;"",$E395&lt;=H$2,$F395&gt;=H$2),1,0)</f>
        <v/>
      </c>
      <c r="I395">
        <f>I394+IF(AND($E395&lt;&gt;"",$E395&lt;=I$2,$F395&gt;=I$2),1,0)</f>
        <v/>
      </c>
      <c r="J395">
        <f>J394+IF(AND($E395&lt;&gt;"",$E395&lt;=J$2,$F395&gt;=J$2),1,0)</f>
        <v/>
      </c>
      <c r="K395">
        <f>K394+IF(AND($E395&lt;&gt;"",$E395&lt;=K$2,$F395&gt;=K$2),1,0)</f>
        <v/>
      </c>
      <c r="L395">
        <f>L394+IF(AND($E395&lt;&gt;"",$E395&lt;=L$2,$F395&gt;=L$2),1,0)</f>
        <v/>
      </c>
      <c r="M395">
        <f>M394+IF(AND($E395&lt;&gt;"",$E395&lt;=M$2,$F395&gt;=M$2),1,0)</f>
        <v/>
      </c>
      <c r="N395">
        <f>N394+IF(AND($E395&lt;&gt;"",$E395&lt;=N$2,$F395&gt;=N$2),1,0)</f>
        <v/>
      </c>
      <c r="O395">
        <f>O394+IF(AND($E395&lt;&gt;"",$E395&lt;=O$2,$F395&gt;=O$2),1,0)</f>
        <v/>
      </c>
      <c r="P395">
        <f>P394+IF(AND($E395&lt;&gt;"",$E395&lt;=P$2,$F395&gt;=P$2),1,0)</f>
        <v/>
      </c>
      <c r="Q395">
        <f>Q394+IF(AND($E395&lt;&gt;"",$E395&lt;=Q$2,$F395&gt;=Q$2),1,0)</f>
        <v/>
      </c>
      <c r="R395">
        <f>R394+IF(AND($E395&lt;&gt;"",$E395&lt;=R$2,$F395&gt;=R$2),1,0)</f>
        <v/>
      </c>
      <c r="S395">
        <f>S394+IF(AND($E395&lt;&gt;"",$E395&lt;=S$2,$F395&gt;=S$2),1,0)</f>
        <v/>
      </c>
      <c r="T395">
        <f>T394+IF(AND($E395&lt;&gt;"",$E395&lt;=T$2,$F395&gt;=T$2),1,0)</f>
        <v/>
      </c>
      <c r="U395">
        <f>U394+IF(AND($E395&lt;&gt;"",$E395&lt;=U$2,$F395&gt;=U$2),1,0)</f>
        <v/>
      </c>
      <c r="V395">
        <f>V394+IF(AND($E395&lt;&gt;"",$E395&lt;=V$2,$F395&gt;=V$2),1,0)</f>
        <v/>
      </c>
      <c r="W395">
        <f>W394+IF(AND($E395&lt;&gt;"",$E395&lt;=W$2,$F395&gt;=W$2),1,0)</f>
        <v/>
      </c>
      <c r="X395">
        <f>X394+IF(AND($E395&lt;&gt;"",$E395&lt;=X$2,$F395&gt;=X$2),1,0)</f>
        <v/>
      </c>
      <c r="Y395">
        <f>Y394+IF(AND($E395&lt;&gt;"",$E395&lt;=Y$2,$F395&gt;=Y$2),1,0)</f>
        <v/>
      </c>
      <c r="Z395">
        <f>Z394+IF(AND($E395&lt;&gt;"",$E395&lt;=Z$2,$F395&gt;=Z$2),1,0)</f>
        <v/>
      </c>
      <c r="AA395">
        <f>AA394+IF(AND($E395&lt;&gt;"",$E395&lt;=AA$2,$F395&gt;=AA$2),1,0)</f>
        <v/>
      </c>
      <c r="AB395">
        <f>AB394+IF(AND($E395&lt;&gt;"",$E395&lt;=AB$2,$F395&gt;=AB$2),1,0)</f>
        <v/>
      </c>
      <c r="AC395">
        <f>AC394+IF(AND($E395&lt;&gt;"",$E395&lt;=AC$2,$F395&gt;=AC$2),1,0)</f>
        <v/>
      </c>
      <c r="AD395">
        <f>AD394+IF(AND($E395&lt;&gt;"",$E395&lt;=AD$2,$F395&gt;=AD$2),1,0)</f>
        <v/>
      </c>
      <c r="AE395">
        <f>AE394+IF(AND($E395&lt;&gt;"",$E395&lt;=AE$2,$F395&gt;=AE$2),1,0)</f>
        <v/>
      </c>
      <c r="AF395">
        <f>AF394+IF(AND($E395&lt;&gt;"",$E395&lt;=AF$2,$F395&gt;=AF$2),1,0)</f>
        <v/>
      </c>
      <c r="AG395">
        <f>AG394+IF(AND($E395&lt;&gt;"",$E395&lt;=AG$2,$F395&gt;=AG$2),1,0)</f>
        <v/>
      </c>
      <c r="AH395">
        <f>AH394+IF(AND($E395&lt;&gt;"",$E395&lt;=AH$2,$F395&gt;=AH$2),1,0)</f>
        <v/>
      </c>
      <c r="AI395">
        <f>AI394+IF(AND($E395&lt;&gt;"",$E395&lt;=AI$2,$F395&gt;=AI$2),1,0)</f>
        <v/>
      </c>
      <c r="AJ395">
        <f>AJ394+IF(AND($E395&lt;&gt;"",$E395&lt;=AJ$2,$F395&gt;=AJ$2),1,0)</f>
        <v/>
      </c>
      <c r="AK395">
        <f>AK394+IF(AND($E395&lt;&gt;"",$E395&lt;=AK$2,$F395&gt;=AK$2),1,0)</f>
        <v/>
      </c>
      <c r="AL395">
        <f>AL394+IF(AND($E395&lt;&gt;"",$E395&lt;=AL$2,$F395&gt;=AL$2),1,0)</f>
        <v/>
      </c>
      <c r="AM395">
        <f>AM394+IF(AND($E395&lt;&gt;"",$E395&lt;=AM$2,$F395&gt;=AM$2),1,0)</f>
        <v/>
      </c>
      <c r="AN395">
        <f>AN394+IF(AND($E395&lt;&gt;"",$E395&lt;=AN$2,$F395&gt;=AN$2),1,0)</f>
        <v/>
      </c>
      <c r="AO395">
        <f>AO394+IF(AND($E395&lt;&gt;"",$E395&lt;=AO$2,$F395&gt;=AO$2),1,0)</f>
        <v/>
      </c>
      <c r="AP395">
        <f>AP394+IF(AND($E395&lt;&gt;"",$E395&lt;=AP$2,$F395&gt;=AP$2),1,0)</f>
        <v/>
      </c>
      <c r="AQ395">
        <f>AQ394+IF(AND($E395&lt;&gt;"",$E395&lt;=AQ$2,$F395&gt;=AQ$2),1,0)</f>
        <v/>
      </c>
      <c r="AR395">
        <f>AR394+IF(AND($E395&lt;&gt;"",$E395&lt;=AR$2,$F395&gt;=AR$2),1,0)</f>
        <v/>
      </c>
      <c r="AS395">
        <f>AS394+IF(AND($E395&lt;&gt;"",$E395&lt;=AS$2,$F395&gt;=AS$2),1,0)</f>
        <v/>
      </c>
      <c r="AT395">
        <f>AT394+IF(AND($E395&lt;&gt;"",$E395&lt;=AT$2,$F395&gt;=AT$2),1,0)</f>
        <v/>
      </c>
      <c r="AU395">
        <f>AU394+IF(AND($E395&lt;&gt;"",$E395&lt;=AU$2,$F395&gt;=AU$2),1,0)</f>
        <v/>
      </c>
      <c r="AV395">
        <f>AV394+IF(AND($E395&lt;&gt;"",$E395&lt;=AV$2,$F395&gt;=AV$2),1,0)</f>
        <v/>
      </c>
      <c r="AW395">
        <f>AW394+IF(AND($E395&lt;&gt;"",$E395&lt;=AW$2,$F395&gt;=AW$2),1,0)</f>
        <v/>
      </c>
    </row>
    <row r="396">
      <c r="A396">
        <f>IF(AND(ISNUMBER(Events!$A398),ISNUMBER(Events!$B398)),MAX(0,Events!$B398-Events!$A398),0)</f>
        <v/>
      </c>
      <c r="B396">
        <f>IF(ISNUMBER(Events!$A398),DATE(YEAR($B$1)-1,MONTH(Events!$A398),DAY(Events!$A398)),"")</f>
        <v/>
      </c>
      <c r="C396">
        <f>IF(ISNUMBER(Events!$A398),DATE(YEAR($B$1),MONTH(Events!$A398),DAY(Events!$A398)),"")</f>
        <v/>
      </c>
      <c r="D396">
        <f>IF(ISNUMBER(Events!$A398),DATE(YEAR($B$2),MONTH(Events!$A398),DAY(Events!$A398)),"")</f>
        <v/>
      </c>
      <c r="E396">
        <f>IF(OR(NOT(ISNUMBER(Events!$A398)),Events!$G398="No",Calendar!$H$4="None"),"",IF(OR(Calendar!$H$4="All events",Events!$D398=Calendar!$H$4),IF(Events!$E398="Yes",IF(AND(B396&gt;=Events!$A398,B396&lt;=$B$2,B396+$A396&gt;=$B$1),B396,IF(AND(C396&gt;=Events!$A398,C396&lt;=$B$2,C396+$A396&gt;=$B$1),C396,IF(AND(D396&gt;=Events!$A398,D396&lt;=$B$2,D396+$A396&gt;=$B$1),D396,""))),IF(AND(Events!$A398&lt;=$B$2,Events!$A398+$A396&gt;=$B$1),Events!$A398,"")),""))</f>
        <v/>
      </c>
      <c r="F396">
        <f>IF(E396="","",E396+A396)</f>
        <v/>
      </c>
      <c r="G396">
        <f>IF(E396="","",IF(AND(E396&lt;=EOMONTH(Calendar!$K$2,0),F396&gt;=Calendar!$K$2),E396+393/100000,""))</f>
        <v/>
      </c>
      <c r="H396">
        <f>H395+IF(AND($E396&lt;&gt;"",$E396&lt;=H$2,$F396&gt;=H$2),1,0)</f>
        <v/>
      </c>
      <c r="I396">
        <f>I395+IF(AND($E396&lt;&gt;"",$E396&lt;=I$2,$F396&gt;=I$2),1,0)</f>
        <v/>
      </c>
      <c r="J396">
        <f>J395+IF(AND($E396&lt;&gt;"",$E396&lt;=J$2,$F396&gt;=J$2),1,0)</f>
        <v/>
      </c>
      <c r="K396">
        <f>K395+IF(AND($E396&lt;&gt;"",$E396&lt;=K$2,$F396&gt;=K$2),1,0)</f>
        <v/>
      </c>
      <c r="L396">
        <f>L395+IF(AND($E396&lt;&gt;"",$E396&lt;=L$2,$F396&gt;=L$2),1,0)</f>
        <v/>
      </c>
      <c r="M396">
        <f>M395+IF(AND($E396&lt;&gt;"",$E396&lt;=M$2,$F396&gt;=M$2),1,0)</f>
        <v/>
      </c>
      <c r="N396">
        <f>N395+IF(AND($E396&lt;&gt;"",$E396&lt;=N$2,$F396&gt;=N$2),1,0)</f>
        <v/>
      </c>
      <c r="O396">
        <f>O395+IF(AND($E396&lt;&gt;"",$E396&lt;=O$2,$F396&gt;=O$2),1,0)</f>
        <v/>
      </c>
      <c r="P396">
        <f>P395+IF(AND($E396&lt;&gt;"",$E396&lt;=P$2,$F396&gt;=P$2),1,0)</f>
        <v/>
      </c>
      <c r="Q396">
        <f>Q395+IF(AND($E396&lt;&gt;"",$E396&lt;=Q$2,$F396&gt;=Q$2),1,0)</f>
        <v/>
      </c>
      <c r="R396">
        <f>R395+IF(AND($E396&lt;&gt;"",$E396&lt;=R$2,$F396&gt;=R$2),1,0)</f>
        <v/>
      </c>
      <c r="S396">
        <f>S395+IF(AND($E396&lt;&gt;"",$E396&lt;=S$2,$F396&gt;=S$2),1,0)</f>
        <v/>
      </c>
      <c r="T396">
        <f>T395+IF(AND($E396&lt;&gt;"",$E396&lt;=T$2,$F396&gt;=T$2),1,0)</f>
        <v/>
      </c>
      <c r="U396">
        <f>U395+IF(AND($E396&lt;&gt;"",$E396&lt;=U$2,$F396&gt;=U$2),1,0)</f>
        <v/>
      </c>
      <c r="V396">
        <f>V395+IF(AND($E396&lt;&gt;"",$E396&lt;=V$2,$F396&gt;=V$2),1,0)</f>
        <v/>
      </c>
      <c r="W396">
        <f>W395+IF(AND($E396&lt;&gt;"",$E396&lt;=W$2,$F396&gt;=W$2),1,0)</f>
        <v/>
      </c>
      <c r="X396">
        <f>X395+IF(AND($E396&lt;&gt;"",$E396&lt;=X$2,$F396&gt;=X$2),1,0)</f>
        <v/>
      </c>
      <c r="Y396">
        <f>Y395+IF(AND($E396&lt;&gt;"",$E396&lt;=Y$2,$F396&gt;=Y$2),1,0)</f>
        <v/>
      </c>
      <c r="Z396">
        <f>Z395+IF(AND($E396&lt;&gt;"",$E396&lt;=Z$2,$F396&gt;=Z$2),1,0)</f>
        <v/>
      </c>
      <c r="AA396">
        <f>AA395+IF(AND($E396&lt;&gt;"",$E396&lt;=AA$2,$F396&gt;=AA$2),1,0)</f>
        <v/>
      </c>
      <c r="AB396">
        <f>AB395+IF(AND($E396&lt;&gt;"",$E396&lt;=AB$2,$F396&gt;=AB$2),1,0)</f>
        <v/>
      </c>
      <c r="AC396">
        <f>AC395+IF(AND($E396&lt;&gt;"",$E396&lt;=AC$2,$F396&gt;=AC$2),1,0)</f>
        <v/>
      </c>
      <c r="AD396">
        <f>AD395+IF(AND($E396&lt;&gt;"",$E396&lt;=AD$2,$F396&gt;=AD$2),1,0)</f>
        <v/>
      </c>
      <c r="AE396">
        <f>AE395+IF(AND($E396&lt;&gt;"",$E396&lt;=AE$2,$F396&gt;=AE$2),1,0)</f>
        <v/>
      </c>
      <c r="AF396">
        <f>AF395+IF(AND($E396&lt;&gt;"",$E396&lt;=AF$2,$F396&gt;=AF$2),1,0)</f>
        <v/>
      </c>
      <c r="AG396">
        <f>AG395+IF(AND($E396&lt;&gt;"",$E396&lt;=AG$2,$F396&gt;=AG$2),1,0)</f>
        <v/>
      </c>
      <c r="AH396">
        <f>AH395+IF(AND($E396&lt;&gt;"",$E396&lt;=AH$2,$F396&gt;=AH$2),1,0)</f>
        <v/>
      </c>
      <c r="AI396">
        <f>AI395+IF(AND($E396&lt;&gt;"",$E396&lt;=AI$2,$F396&gt;=AI$2),1,0)</f>
        <v/>
      </c>
      <c r="AJ396">
        <f>AJ395+IF(AND($E396&lt;&gt;"",$E396&lt;=AJ$2,$F396&gt;=AJ$2),1,0)</f>
        <v/>
      </c>
      <c r="AK396">
        <f>AK395+IF(AND($E396&lt;&gt;"",$E396&lt;=AK$2,$F396&gt;=AK$2),1,0)</f>
        <v/>
      </c>
      <c r="AL396">
        <f>AL395+IF(AND($E396&lt;&gt;"",$E396&lt;=AL$2,$F396&gt;=AL$2),1,0)</f>
        <v/>
      </c>
      <c r="AM396">
        <f>AM395+IF(AND($E396&lt;&gt;"",$E396&lt;=AM$2,$F396&gt;=AM$2),1,0)</f>
        <v/>
      </c>
      <c r="AN396">
        <f>AN395+IF(AND($E396&lt;&gt;"",$E396&lt;=AN$2,$F396&gt;=AN$2),1,0)</f>
        <v/>
      </c>
      <c r="AO396">
        <f>AO395+IF(AND($E396&lt;&gt;"",$E396&lt;=AO$2,$F396&gt;=AO$2),1,0)</f>
        <v/>
      </c>
      <c r="AP396">
        <f>AP395+IF(AND($E396&lt;&gt;"",$E396&lt;=AP$2,$F396&gt;=AP$2),1,0)</f>
        <v/>
      </c>
      <c r="AQ396">
        <f>AQ395+IF(AND($E396&lt;&gt;"",$E396&lt;=AQ$2,$F396&gt;=AQ$2),1,0)</f>
        <v/>
      </c>
      <c r="AR396">
        <f>AR395+IF(AND($E396&lt;&gt;"",$E396&lt;=AR$2,$F396&gt;=AR$2),1,0)</f>
        <v/>
      </c>
      <c r="AS396">
        <f>AS395+IF(AND($E396&lt;&gt;"",$E396&lt;=AS$2,$F396&gt;=AS$2),1,0)</f>
        <v/>
      </c>
      <c r="AT396">
        <f>AT395+IF(AND($E396&lt;&gt;"",$E396&lt;=AT$2,$F396&gt;=AT$2),1,0)</f>
        <v/>
      </c>
      <c r="AU396">
        <f>AU395+IF(AND($E396&lt;&gt;"",$E396&lt;=AU$2,$F396&gt;=AU$2),1,0)</f>
        <v/>
      </c>
      <c r="AV396">
        <f>AV395+IF(AND($E396&lt;&gt;"",$E396&lt;=AV$2,$F396&gt;=AV$2),1,0)</f>
        <v/>
      </c>
      <c r="AW396">
        <f>AW395+IF(AND($E396&lt;&gt;"",$E396&lt;=AW$2,$F396&gt;=AW$2),1,0)</f>
        <v/>
      </c>
    </row>
    <row r="397">
      <c r="A397">
        <f>IF(AND(ISNUMBER(Events!$A399),ISNUMBER(Events!$B399)),MAX(0,Events!$B399-Events!$A399),0)</f>
        <v/>
      </c>
      <c r="B397">
        <f>IF(ISNUMBER(Events!$A399),DATE(YEAR($B$1)-1,MONTH(Events!$A399),DAY(Events!$A399)),"")</f>
        <v/>
      </c>
      <c r="C397">
        <f>IF(ISNUMBER(Events!$A399),DATE(YEAR($B$1),MONTH(Events!$A399),DAY(Events!$A399)),"")</f>
        <v/>
      </c>
      <c r="D397">
        <f>IF(ISNUMBER(Events!$A399),DATE(YEAR($B$2),MONTH(Events!$A399),DAY(Events!$A399)),"")</f>
        <v/>
      </c>
      <c r="E397">
        <f>IF(OR(NOT(ISNUMBER(Events!$A399)),Events!$G399="No",Calendar!$H$4="None"),"",IF(OR(Calendar!$H$4="All events",Events!$D399=Calendar!$H$4),IF(Events!$E399="Yes",IF(AND(B397&gt;=Events!$A399,B397&lt;=$B$2,B397+$A397&gt;=$B$1),B397,IF(AND(C397&gt;=Events!$A399,C397&lt;=$B$2,C397+$A397&gt;=$B$1),C397,IF(AND(D397&gt;=Events!$A399,D397&lt;=$B$2,D397+$A397&gt;=$B$1),D397,""))),IF(AND(Events!$A399&lt;=$B$2,Events!$A399+$A397&gt;=$B$1),Events!$A399,"")),""))</f>
        <v/>
      </c>
      <c r="F397">
        <f>IF(E397="","",E397+A397)</f>
        <v/>
      </c>
      <c r="G397">
        <f>IF(E397="","",IF(AND(E397&lt;=EOMONTH(Calendar!$K$2,0),F397&gt;=Calendar!$K$2),E397+394/100000,""))</f>
        <v/>
      </c>
      <c r="H397">
        <f>H396+IF(AND($E397&lt;&gt;"",$E397&lt;=H$2,$F397&gt;=H$2),1,0)</f>
        <v/>
      </c>
      <c r="I397">
        <f>I396+IF(AND($E397&lt;&gt;"",$E397&lt;=I$2,$F397&gt;=I$2),1,0)</f>
        <v/>
      </c>
      <c r="J397">
        <f>J396+IF(AND($E397&lt;&gt;"",$E397&lt;=J$2,$F397&gt;=J$2),1,0)</f>
        <v/>
      </c>
      <c r="K397">
        <f>K396+IF(AND($E397&lt;&gt;"",$E397&lt;=K$2,$F397&gt;=K$2),1,0)</f>
        <v/>
      </c>
      <c r="L397">
        <f>L396+IF(AND($E397&lt;&gt;"",$E397&lt;=L$2,$F397&gt;=L$2),1,0)</f>
        <v/>
      </c>
      <c r="M397">
        <f>M396+IF(AND($E397&lt;&gt;"",$E397&lt;=M$2,$F397&gt;=M$2),1,0)</f>
        <v/>
      </c>
      <c r="N397">
        <f>N396+IF(AND($E397&lt;&gt;"",$E397&lt;=N$2,$F397&gt;=N$2),1,0)</f>
        <v/>
      </c>
      <c r="O397">
        <f>O396+IF(AND($E397&lt;&gt;"",$E397&lt;=O$2,$F397&gt;=O$2),1,0)</f>
        <v/>
      </c>
      <c r="P397">
        <f>P396+IF(AND($E397&lt;&gt;"",$E397&lt;=P$2,$F397&gt;=P$2),1,0)</f>
        <v/>
      </c>
      <c r="Q397">
        <f>Q396+IF(AND($E397&lt;&gt;"",$E397&lt;=Q$2,$F397&gt;=Q$2),1,0)</f>
        <v/>
      </c>
      <c r="R397">
        <f>R396+IF(AND($E397&lt;&gt;"",$E397&lt;=R$2,$F397&gt;=R$2),1,0)</f>
        <v/>
      </c>
      <c r="S397">
        <f>S396+IF(AND($E397&lt;&gt;"",$E397&lt;=S$2,$F397&gt;=S$2),1,0)</f>
        <v/>
      </c>
      <c r="T397">
        <f>T396+IF(AND($E397&lt;&gt;"",$E397&lt;=T$2,$F397&gt;=T$2),1,0)</f>
        <v/>
      </c>
      <c r="U397">
        <f>U396+IF(AND($E397&lt;&gt;"",$E397&lt;=U$2,$F397&gt;=U$2),1,0)</f>
        <v/>
      </c>
      <c r="V397">
        <f>V396+IF(AND($E397&lt;&gt;"",$E397&lt;=V$2,$F397&gt;=V$2),1,0)</f>
        <v/>
      </c>
      <c r="W397">
        <f>W396+IF(AND($E397&lt;&gt;"",$E397&lt;=W$2,$F397&gt;=W$2),1,0)</f>
        <v/>
      </c>
      <c r="X397">
        <f>X396+IF(AND($E397&lt;&gt;"",$E397&lt;=X$2,$F397&gt;=X$2),1,0)</f>
        <v/>
      </c>
      <c r="Y397">
        <f>Y396+IF(AND($E397&lt;&gt;"",$E397&lt;=Y$2,$F397&gt;=Y$2),1,0)</f>
        <v/>
      </c>
      <c r="Z397">
        <f>Z396+IF(AND($E397&lt;&gt;"",$E397&lt;=Z$2,$F397&gt;=Z$2),1,0)</f>
        <v/>
      </c>
      <c r="AA397">
        <f>AA396+IF(AND($E397&lt;&gt;"",$E397&lt;=AA$2,$F397&gt;=AA$2),1,0)</f>
        <v/>
      </c>
      <c r="AB397">
        <f>AB396+IF(AND($E397&lt;&gt;"",$E397&lt;=AB$2,$F397&gt;=AB$2),1,0)</f>
        <v/>
      </c>
      <c r="AC397">
        <f>AC396+IF(AND($E397&lt;&gt;"",$E397&lt;=AC$2,$F397&gt;=AC$2),1,0)</f>
        <v/>
      </c>
      <c r="AD397">
        <f>AD396+IF(AND($E397&lt;&gt;"",$E397&lt;=AD$2,$F397&gt;=AD$2),1,0)</f>
        <v/>
      </c>
      <c r="AE397">
        <f>AE396+IF(AND($E397&lt;&gt;"",$E397&lt;=AE$2,$F397&gt;=AE$2),1,0)</f>
        <v/>
      </c>
      <c r="AF397">
        <f>AF396+IF(AND($E397&lt;&gt;"",$E397&lt;=AF$2,$F397&gt;=AF$2),1,0)</f>
        <v/>
      </c>
      <c r="AG397">
        <f>AG396+IF(AND($E397&lt;&gt;"",$E397&lt;=AG$2,$F397&gt;=AG$2),1,0)</f>
        <v/>
      </c>
      <c r="AH397">
        <f>AH396+IF(AND($E397&lt;&gt;"",$E397&lt;=AH$2,$F397&gt;=AH$2),1,0)</f>
        <v/>
      </c>
      <c r="AI397">
        <f>AI396+IF(AND($E397&lt;&gt;"",$E397&lt;=AI$2,$F397&gt;=AI$2),1,0)</f>
        <v/>
      </c>
      <c r="AJ397">
        <f>AJ396+IF(AND($E397&lt;&gt;"",$E397&lt;=AJ$2,$F397&gt;=AJ$2),1,0)</f>
        <v/>
      </c>
      <c r="AK397">
        <f>AK396+IF(AND($E397&lt;&gt;"",$E397&lt;=AK$2,$F397&gt;=AK$2),1,0)</f>
        <v/>
      </c>
      <c r="AL397">
        <f>AL396+IF(AND($E397&lt;&gt;"",$E397&lt;=AL$2,$F397&gt;=AL$2),1,0)</f>
        <v/>
      </c>
      <c r="AM397">
        <f>AM396+IF(AND($E397&lt;&gt;"",$E397&lt;=AM$2,$F397&gt;=AM$2),1,0)</f>
        <v/>
      </c>
      <c r="AN397">
        <f>AN396+IF(AND($E397&lt;&gt;"",$E397&lt;=AN$2,$F397&gt;=AN$2),1,0)</f>
        <v/>
      </c>
      <c r="AO397">
        <f>AO396+IF(AND($E397&lt;&gt;"",$E397&lt;=AO$2,$F397&gt;=AO$2),1,0)</f>
        <v/>
      </c>
      <c r="AP397">
        <f>AP396+IF(AND($E397&lt;&gt;"",$E397&lt;=AP$2,$F397&gt;=AP$2),1,0)</f>
        <v/>
      </c>
      <c r="AQ397">
        <f>AQ396+IF(AND($E397&lt;&gt;"",$E397&lt;=AQ$2,$F397&gt;=AQ$2),1,0)</f>
        <v/>
      </c>
      <c r="AR397">
        <f>AR396+IF(AND($E397&lt;&gt;"",$E397&lt;=AR$2,$F397&gt;=AR$2),1,0)</f>
        <v/>
      </c>
      <c r="AS397">
        <f>AS396+IF(AND($E397&lt;&gt;"",$E397&lt;=AS$2,$F397&gt;=AS$2),1,0)</f>
        <v/>
      </c>
      <c r="AT397">
        <f>AT396+IF(AND($E397&lt;&gt;"",$E397&lt;=AT$2,$F397&gt;=AT$2),1,0)</f>
        <v/>
      </c>
      <c r="AU397">
        <f>AU396+IF(AND($E397&lt;&gt;"",$E397&lt;=AU$2,$F397&gt;=AU$2),1,0)</f>
        <v/>
      </c>
      <c r="AV397">
        <f>AV396+IF(AND($E397&lt;&gt;"",$E397&lt;=AV$2,$F397&gt;=AV$2),1,0)</f>
        <v/>
      </c>
      <c r="AW397">
        <f>AW396+IF(AND($E397&lt;&gt;"",$E397&lt;=AW$2,$F397&gt;=AW$2),1,0)</f>
        <v/>
      </c>
    </row>
    <row r="398">
      <c r="A398">
        <f>IF(AND(ISNUMBER(Events!$A400),ISNUMBER(Events!$B400)),MAX(0,Events!$B400-Events!$A400),0)</f>
        <v/>
      </c>
      <c r="B398">
        <f>IF(ISNUMBER(Events!$A400),DATE(YEAR($B$1)-1,MONTH(Events!$A400),DAY(Events!$A400)),"")</f>
        <v/>
      </c>
      <c r="C398">
        <f>IF(ISNUMBER(Events!$A400),DATE(YEAR($B$1),MONTH(Events!$A400),DAY(Events!$A400)),"")</f>
        <v/>
      </c>
      <c r="D398">
        <f>IF(ISNUMBER(Events!$A400),DATE(YEAR($B$2),MONTH(Events!$A400),DAY(Events!$A400)),"")</f>
        <v/>
      </c>
      <c r="E398">
        <f>IF(OR(NOT(ISNUMBER(Events!$A400)),Events!$G400="No",Calendar!$H$4="None"),"",IF(OR(Calendar!$H$4="All events",Events!$D400=Calendar!$H$4),IF(Events!$E400="Yes",IF(AND(B398&gt;=Events!$A400,B398&lt;=$B$2,B398+$A398&gt;=$B$1),B398,IF(AND(C398&gt;=Events!$A400,C398&lt;=$B$2,C398+$A398&gt;=$B$1),C398,IF(AND(D398&gt;=Events!$A400,D398&lt;=$B$2,D398+$A398&gt;=$B$1),D398,""))),IF(AND(Events!$A400&lt;=$B$2,Events!$A400+$A398&gt;=$B$1),Events!$A400,"")),""))</f>
        <v/>
      </c>
      <c r="F398">
        <f>IF(E398="","",E398+A398)</f>
        <v/>
      </c>
      <c r="G398">
        <f>IF(E398="","",IF(AND(E398&lt;=EOMONTH(Calendar!$K$2,0),F398&gt;=Calendar!$K$2),E398+395/100000,""))</f>
        <v/>
      </c>
      <c r="H398">
        <f>H397+IF(AND($E398&lt;&gt;"",$E398&lt;=H$2,$F398&gt;=H$2),1,0)</f>
        <v/>
      </c>
      <c r="I398">
        <f>I397+IF(AND($E398&lt;&gt;"",$E398&lt;=I$2,$F398&gt;=I$2),1,0)</f>
        <v/>
      </c>
      <c r="J398">
        <f>J397+IF(AND($E398&lt;&gt;"",$E398&lt;=J$2,$F398&gt;=J$2),1,0)</f>
        <v/>
      </c>
      <c r="K398">
        <f>K397+IF(AND($E398&lt;&gt;"",$E398&lt;=K$2,$F398&gt;=K$2),1,0)</f>
        <v/>
      </c>
      <c r="L398">
        <f>L397+IF(AND($E398&lt;&gt;"",$E398&lt;=L$2,$F398&gt;=L$2),1,0)</f>
        <v/>
      </c>
      <c r="M398">
        <f>M397+IF(AND($E398&lt;&gt;"",$E398&lt;=M$2,$F398&gt;=M$2),1,0)</f>
        <v/>
      </c>
      <c r="N398">
        <f>N397+IF(AND($E398&lt;&gt;"",$E398&lt;=N$2,$F398&gt;=N$2),1,0)</f>
        <v/>
      </c>
      <c r="O398">
        <f>O397+IF(AND($E398&lt;&gt;"",$E398&lt;=O$2,$F398&gt;=O$2),1,0)</f>
        <v/>
      </c>
      <c r="P398">
        <f>P397+IF(AND($E398&lt;&gt;"",$E398&lt;=P$2,$F398&gt;=P$2),1,0)</f>
        <v/>
      </c>
      <c r="Q398">
        <f>Q397+IF(AND($E398&lt;&gt;"",$E398&lt;=Q$2,$F398&gt;=Q$2),1,0)</f>
        <v/>
      </c>
      <c r="R398">
        <f>R397+IF(AND($E398&lt;&gt;"",$E398&lt;=R$2,$F398&gt;=R$2),1,0)</f>
        <v/>
      </c>
      <c r="S398">
        <f>S397+IF(AND($E398&lt;&gt;"",$E398&lt;=S$2,$F398&gt;=S$2),1,0)</f>
        <v/>
      </c>
      <c r="T398">
        <f>T397+IF(AND($E398&lt;&gt;"",$E398&lt;=T$2,$F398&gt;=T$2),1,0)</f>
        <v/>
      </c>
      <c r="U398">
        <f>U397+IF(AND($E398&lt;&gt;"",$E398&lt;=U$2,$F398&gt;=U$2),1,0)</f>
        <v/>
      </c>
      <c r="V398">
        <f>V397+IF(AND($E398&lt;&gt;"",$E398&lt;=V$2,$F398&gt;=V$2),1,0)</f>
        <v/>
      </c>
      <c r="W398">
        <f>W397+IF(AND($E398&lt;&gt;"",$E398&lt;=W$2,$F398&gt;=W$2),1,0)</f>
        <v/>
      </c>
      <c r="X398">
        <f>X397+IF(AND($E398&lt;&gt;"",$E398&lt;=X$2,$F398&gt;=X$2),1,0)</f>
        <v/>
      </c>
      <c r="Y398">
        <f>Y397+IF(AND($E398&lt;&gt;"",$E398&lt;=Y$2,$F398&gt;=Y$2),1,0)</f>
        <v/>
      </c>
      <c r="Z398">
        <f>Z397+IF(AND($E398&lt;&gt;"",$E398&lt;=Z$2,$F398&gt;=Z$2),1,0)</f>
        <v/>
      </c>
      <c r="AA398">
        <f>AA397+IF(AND($E398&lt;&gt;"",$E398&lt;=AA$2,$F398&gt;=AA$2),1,0)</f>
        <v/>
      </c>
      <c r="AB398">
        <f>AB397+IF(AND($E398&lt;&gt;"",$E398&lt;=AB$2,$F398&gt;=AB$2),1,0)</f>
        <v/>
      </c>
      <c r="AC398">
        <f>AC397+IF(AND($E398&lt;&gt;"",$E398&lt;=AC$2,$F398&gt;=AC$2),1,0)</f>
        <v/>
      </c>
      <c r="AD398">
        <f>AD397+IF(AND($E398&lt;&gt;"",$E398&lt;=AD$2,$F398&gt;=AD$2),1,0)</f>
        <v/>
      </c>
      <c r="AE398">
        <f>AE397+IF(AND($E398&lt;&gt;"",$E398&lt;=AE$2,$F398&gt;=AE$2),1,0)</f>
        <v/>
      </c>
      <c r="AF398">
        <f>AF397+IF(AND($E398&lt;&gt;"",$E398&lt;=AF$2,$F398&gt;=AF$2),1,0)</f>
        <v/>
      </c>
      <c r="AG398">
        <f>AG397+IF(AND($E398&lt;&gt;"",$E398&lt;=AG$2,$F398&gt;=AG$2),1,0)</f>
        <v/>
      </c>
      <c r="AH398">
        <f>AH397+IF(AND($E398&lt;&gt;"",$E398&lt;=AH$2,$F398&gt;=AH$2),1,0)</f>
        <v/>
      </c>
      <c r="AI398">
        <f>AI397+IF(AND($E398&lt;&gt;"",$E398&lt;=AI$2,$F398&gt;=AI$2),1,0)</f>
        <v/>
      </c>
      <c r="AJ398">
        <f>AJ397+IF(AND($E398&lt;&gt;"",$E398&lt;=AJ$2,$F398&gt;=AJ$2),1,0)</f>
        <v/>
      </c>
      <c r="AK398">
        <f>AK397+IF(AND($E398&lt;&gt;"",$E398&lt;=AK$2,$F398&gt;=AK$2),1,0)</f>
        <v/>
      </c>
      <c r="AL398">
        <f>AL397+IF(AND($E398&lt;&gt;"",$E398&lt;=AL$2,$F398&gt;=AL$2),1,0)</f>
        <v/>
      </c>
      <c r="AM398">
        <f>AM397+IF(AND($E398&lt;&gt;"",$E398&lt;=AM$2,$F398&gt;=AM$2),1,0)</f>
        <v/>
      </c>
      <c r="AN398">
        <f>AN397+IF(AND($E398&lt;&gt;"",$E398&lt;=AN$2,$F398&gt;=AN$2),1,0)</f>
        <v/>
      </c>
      <c r="AO398">
        <f>AO397+IF(AND($E398&lt;&gt;"",$E398&lt;=AO$2,$F398&gt;=AO$2),1,0)</f>
        <v/>
      </c>
      <c r="AP398">
        <f>AP397+IF(AND($E398&lt;&gt;"",$E398&lt;=AP$2,$F398&gt;=AP$2),1,0)</f>
        <v/>
      </c>
      <c r="AQ398">
        <f>AQ397+IF(AND($E398&lt;&gt;"",$E398&lt;=AQ$2,$F398&gt;=AQ$2),1,0)</f>
        <v/>
      </c>
      <c r="AR398">
        <f>AR397+IF(AND($E398&lt;&gt;"",$E398&lt;=AR$2,$F398&gt;=AR$2),1,0)</f>
        <v/>
      </c>
      <c r="AS398">
        <f>AS397+IF(AND($E398&lt;&gt;"",$E398&lt;=AS$2,$F398&gt;=AS$2),1,0)</f>
        <v/>
      </c>
      <c r="AT398">
        <f>AT397+IF(AND($E398&lt;&gt;"",$E398&lt;=AT$2,$F398&gt;=AT$2),1,0)</f>
        <v/>
      </c>
      <c r="AU398">
        <f>AU397+IF(AND($E398&lt;&gt;"",$E398&lt;=AU$2,$F398&gt;=AU$2),1,0)</f>
        <v/>
      </c>
      <c r="AV398">
        <f>AV397+IF(AND($E398&lt;&gt;"",$E398&lt;=AV$2,$F398&gt;=AV$2),1,0)</f>
        <v/>
      </c>
      <c r="AW398">
        <f>AW397+IF(AND($E398&lt;&gt;"",$E398&lt;=AW$2,$F398&gt;=AW$2),1,0)</f>
        <v/>
      </c>
    </row>
    <row r="399">
      <c r="A399">
        <f>IF(AND(ISNUMBER(Events!$A401),ISNUMBER(Events!$B401)),MAX(0,Events!$B401-Events!$A401),0)</f>
        <v/>
      </c>
      <c r="B399">
        <f>IF(ISNUMBER(Events!$A401),DATE(YEAR($B$1)-1,MONTH(Events!$A401),DAY(Events!$A401)),"")</f>
        <v/>
      </c>
      <c r="C399">
        <f>IF(ISNUMBER(Events!$A401),DATE(YEAR($B$1),MONTH(Events!$A401),DAY(Events!$A401)),"")</f>
        <v/>
      </c>
      <c r="D399">
        <f>IF(ISNUMBER(Events!$A401),DATE(YEAR($B$2),MONTH(Events!$A401),DAY(Events!$A401)),"")</f>
        <v/>
      </c>
      <c r="E399">
        <f>IF(OR(NOT(ISNUMBER(Events!$A401)),Events!$G401="No",Calendar!$H$4="None"),"",IF(OR(Calendar!$H$4="All events",Events!$D401=Calendar!$H$4),IF(Events!$E401="Yes",IF(AND(B399&gt;=Events!$A401,B399&lt;=$B$2,B399+$A399&gt;=$B$1),B399,IF(AND(C399&gt;=Events!$A401,C399&lt;=$B$2,C399+$A399&gt;=$B$1),C399,IF(AND(D399&gt;=Events!$A401,D399&lt;=$B$2,D399+$A399&gt;=$B$1),D399,""))),IF(AND(Events!$A401&lt;=$B$2,Events!$A401+$A399&gt;=$B$1),Events!$A401,"")),""))</f>
        <v/>
      </c>
      <c r="F399">
        <f>IF(E399="","",E399+A399)</f>
        <v/>
      </c>
      <c r="G399">
        <f>IF(E399="","",IF(AND(E399&lt;=EOMONTH(Calendar!$K$2,0),F399&gt;=Calendar!$K$2),E399+396/100000,""))</f>
        <v/>
      </c>
      <c r="H399">
        <f>H398+IF(AND($E399&lt;&gt;"",$E399&lt;=H$2,$F399&gt;=H$2),1,0)</f>
        <v/>
      </c>
      <c r="I399">
        <f>I398+IF(AND($E399&lt;&gt;"",$E399&lt;=I$2,$F399&gt;=I$2),1,0)</f>
        <v/>
      </c>
      <c r="J399">
        <f>J398+IF(AND($E399&lt;&gt;"",$E399&lt;=J$2,$F399&gt;=J$2),1,0)</f>
        <v/>
      </c>
      <c r="K399">
        <f>K398+IF(AND($E399&lt;&gt;"",$E399&lt;=K$2,$F399&gt;=K$2),1,0)</f>
        <v/>
      </c>
      <c r="L399">
        <f>L398+IF(AND($E399&lt;&gt;"",$E399&lt;=L$2,$F399&gt;=L$2),1,0)</f>
        <v/>
      </c>
      <c r="M399">
        <f>M398+IF(AND($E399&lt;&gt;"",$E399&lt;=M$2,$F399&gt;=M$2),1,0)</f>
        <v/>
      </c>
      <c r="N399">
        <f>N398+IF(AND($E399&lt;&gt;"",$E399&lt;=N$2,$F399&gt;=N$2),1,0)</f>
        <v/>
      </c>
      <c r="O399">
        <f>O398+IF(AND($E399&lt;&gt;"",$E399&lt;=O$2,$F399&gt;=O$2),1,0)</f>
        <v/>
      </c>
      <c r="P399">
        <f>P398+IF(AND($E399&lt;&gt;"",$E399&lt;=P$2,$F399&gt;=P$2),1,0)</f>
        <v/>
      </c>
      <c r="Q399">
        <f>Q398+IF(AND($E399&lt;&gt;"",$E399&lt;=Q$2,$F399&gt;=Q$2),1,0)</f>
        <v/>
      </c>
      <c r="R399">
        <f>R398+IF(AND($E399&lt;&gt;"",$E399&lt;=R$2,$F399&gt;=R$2),1,0)</f>
        <v/>
      </c>
      <c r="S399">
        <f>S398+IF(AND($E399&lt;&gt;"",$E399&lt;=S$2,$F399&gt;=S$2),1,0)</f>
        <v/>
      </c>
      <c r="T399">
        <f>T398+IF(AND($E399&lt;&gt;"",$E399&lt;=T$2,$F399&gt;=T$2),1,0)</f>
        <v/>
      </c>
      <c r="U399">
        <f>U398+IF(AND($E399&lt;&gt;"",$E399&lt;=U$2,$F399&gt;=U$2),1,0)</f>
        <v/>
      </c>
      <c r="V399">
        <f>V398+IF(AND($E399&lt;&gt;"",$E399&lt;=V$2,$F399&gt;=V$2),1,0)</f>
        <v/>
      </c>
      <c r="W399">
        <f>W398+IF(AND($E399&lt;&gt;"",$E399&lt;=W$2,$F399&gt;=W$2),1,0)</f>
        <v/>
      </c>
      <c r="X399">
        <f>X398+IF(AND($E399&lt;&gt;"",$E399&lt;=X$2,$F399&gt;=X$2),1,0)</f>
        <v/>
      </c>
      <c r="Y399">
        <f>Y398+IF(AND($E399&lt;&gt;"",$E399&lt;=Y$2,$F399&gt;=Y$2),1,0)</f>
        <v/>
      </c>
      <c r="Z399">
        <f>Z398+IF(AND($E399&lt;&gt;"",$E399&lt;=Z$2,$F399&gt;=Z$2),1,0)</f>
        <v/>
      </c>
      <c r="AA399">
        <f>AA398+IF(AND($E399&lt;&gt;"",$E399&lt;=AA$2,$F399&gt;=AA$2),1,0)</f>
        <v/>
      </c>
      <c r="AB399">
        <f>AB398+IF(AND($E399&lt;&gt;"",$E399&lt;=AB$2,$F399&gt;=AB$2),1,0)</f>
        <v/>
      </c>
      <c r="AC399">
        <f>AC398+IF(AND($E399&lt;&gt;"",$E399&lt;=AC$2,$F399&gt;=AC$2),1,0)</f>
        <v/>
      </c>
      <c r="AD399">
        <f>AD398+IF(AND($E399&lt;&gt;"",$E399&lt;=AD$2,$F399&gt;=AD$2),1,0)</f>
        <v/>
      </c>
      <c r="AE399">
        <f>AE398+IF(AND($E399&lt;&gt;"",$E399&lt;=AE$2,$F399&gt;=AE$2),1,0)</f>
        <v/>
      </c>
      <c r="AF399">
        <f>AF398+IF(AND($E399&lt;&gt;"",$E399&lt;=AF$2,$F399&gt;=AF$2),1,0)</f>
        <v/>
      </c>
      <c r="AG399">
        <f>AG398+IF(AND($E399&lt;&gt;"",$E399&lt;=AG$2,$F399&gt;=AG$2),1,0)</f>
        <v/>
      </c>
      <c r="AH399">
        <f>AH398+IF(AND($E399&lt;&gt;"",$E399&lt;=AH$2,$F399&gt;=AH$2),1,0)</f>
        <v/>
      </c>
      <c r="AI399">
        <f>AI398+IF(AND($E399&lt;&gt;"",$E399&lt;=AI$2,$F399&gt;=AI$2),1,0)</f>
        <v/>
      </c>
      <c r="AJ399">
        <f>AJ398+IF(AND($E399&lt;&gt;"",$E399&lt;=AJ$2,$F399&gt;=AJ$2),1,0)</f>
        <v/>
      </c>
      <c r="AK399">
        <f>AK398+IF(AND($E399&lt;&gt;"",$E399&lt;=AK$2,$F399&gt;=AK$2),1,0)</f>
        <v/>
      </c>
      <c r="AL399">
        <f>AL398+IF(AND($E399&lt;&gt;"",$E399&lt;=AL$2,$F399&gt;=AL$2),1,0)</f>
        <v/>
      </c>
      <c r="AM399">
        <f>AM398+IF(AND($E399&lt;&gt;"",$E399&lt;=AM$2,$F399&gt;=AM$2),1,0)</f>
        <v/>
      </c>
      <c r="AN399">
        <f>AN398+IF(AND($E399&lt;&gt;"",$E399&lt;=AN$2,$F399&gt;=AN$2),1,0)</f>
        <v/>
      </c>
      <c r="AO399">
        <f>AO398+IF(AND($E399&lt;&gt;"",$E399&lt;=AO$2,$F399&gt;=AO$2),1,0)</f>
        <v/>
      </c>
      <c r="AP399">
        <f>AP398+IF(AND($E399&lt;&gt;"",$E399&lt;=AP$2,$F399&gt;=AP$2),1,0)</f>
        <v/>
      </c>
      <c r="AQ399">
        <f>AQ398+IF(AND($E399&lt;&gt;"",$E399&lt;=AQ$2,$F399&gt;=AQ$2),1,0)</f>
        <v/>
      </c>
      <c r="AR399">
        <f>AR398+IF(AND($E399&lt;&gt;"",$E399&lt;=AR$2,$F399&gt;=AR$2),1,0)</f>
        <v/>
      </c>
      <c r="AS399">
        <f>AS398+IF(AND($E399&lt;&gt;"",$E399&lt;=AS$2,$F399&gt;=AS$2),1,0)</f>
        <v/>
      </c>
      <c r="AT399">
        <f>AT398+IF(AND($E399&lt;&gt;"",$E399&lt;=AT$2,$F399&gt;=AT$2),1,0)</f>
        <v/>
      </c>
      <c r="AU399">
        <f>AU398+IF(AND($E399&lt;&gt;"",$E399&lt;=AU$2,$F399&gt;=AU$2),1,0)</f>
        <v/>
      </c>
      <c r="AV399">
        <f>AV398+IF(AND($E399&lt;&gt;"",$E399&lt;=AV$2,$F399&gt;=AV$2),1,0)</f>
        <v/>
      </c>
      <c r="AW399">
        <f>AW398+IF(AND($E399&lt;&gt;"",$E399&lt;=AW$2,$F399&gt;=AW$2),1,0)</f>
        <v/>
      </c>
    </row>
    <row r="400">
      <c r="A400">
        <f>IF(AND(ISNUMBER(Events!$A402),ISNUMBER(Events!$B402)),MAX(0,Events!$B402-Events!$A402),0)</f>
        <v/>
      </c>
      <c r="B400">
        <f>IF(ISNUMBER(Events!$A402),DATE(YEAR($B$1)-1,MONTH(Events!$A402),DAY(Events!$A402)),"")</f>
        <v/>
      </c>
      <c r="C400">
        <f>IF(ISNUMBER(Events!$A402),DATE(YEAR($B$1),MONTH(Events!$A402),DAY(Events!$A402)),"")</f>
        <v/>
      </c>
      <c r="D400">
        <f>IF(ISNUMBER(Events!$A402),DATE(YEAR($B$2),MONTH(Events!$A402),DAY(Events!$A402)),"")</f>
        <v/>
      </c>
      <c r="E400">
        <f>IF(OR(NOT(ISNUMBER(Events!$A402)),Events!$G402="No",Calendar!$H$4="None"),"",IF(OR(Calendar!$H$4="All events",Events!$D402=Calendar!$H$4),IF(Events!$E402="Yes",IF(AND(B400&gt;=Events!$A402,B400&lt;=$B$2,B400+$A400&gt;=$B$1),B400,IF(AND(C400&gt;=Events!$A402,C400&lt;=$B$2,C400+$A400&gt;=$B$1),C400,IF(AND(D400&gt;=Events!$A402,D400&lt;=$B$2,D400+$A400&gt;=$B$1),D400,""))),IF(AND(Events!$A402&lt;=$B$2,Events!$A402+$A400&gt;=$B$1),Events!$A402,"")),""))</f>
        <v/>
      </c>
      <c r="F400">
        <f>IF(E400="","",E400+A400)</f>
        <v/>
      </c>
      <c r="G400">
        <f>IF(E400="","",IF(AND(E400&lt;=EOMONTH(Calendar!$K$2,0),F400&gt;=Calendar!$K$2),E400+397/100000,""))</f>
        <v/>
      </c>
      <c r="H400">
        <f>H399+IF(AND($E400&lt;&gt;"",$E400&lt;=H$2,$F400&gt;=H$2),1,0)</f>
        <v/>
      </c>
      <c r="I400">
        <f>I399+IF(AND($E400&lt;&gt;"",$E400&lt;=I$2,$F400&gt;=I$2),1,0)</f>
        <v/>
      </c>
      <c r="J400">
        <f>J399+IF(AND($E400&lt;&gt;"",$E400&lt;=J$2,$F400&gt;=J$2),1,0)</f>
        <v/>
      </c>
      <c r="K400">
        <f>K399+IF(AND($E400&lt;&gt;"",$E400&lt;=K$2,$F400&gt;=K$2),1,0)</f>
        <v/>
      </c>
      <c r="L400">
        <f>L399+IF(AND($E400&lt;&gt;"",$E400&lt;=L$2,$F400&gt;=L$2),1,0)</f>
        <v/>
      </c>
      <c r="M400">
        <f>M399+IF(AND($E400&lt;&gt;"",$E400&lt;=M$2,$F400&gt;=M$2),1,0)</f>
        <v/>
      </c>
      <c r="N400">
        <f>N399+IF(AND($E400&lt;&gt;"",$E400&lt;=N$2,$F400&gt;=N$2),1,0)</f>
        <v/>
      </c>
      <c r="O400">
        <f>O399+IF(AND($E400&lt;&gt;"",$E400&lt;=O$2,$F400&gt;=O$2),1,0)</f>
        <v/>
      </c>
      <c r="P400">
        <f>P399+IF(AND($E400&lt;&gt;"",$E400&lt;=P$2,$F400&gt;=P$2),1,0)</f>
        <v/>
      </c>
      <c r="Q400">
        <f>Q399+IF(AND($E400&lt;&gt;"",$E400&lt;=Q$2,$F400&gt;=Q$2),1,0)</f>
        <v/>
      </c>
      <c r="R400">
        <f>R399+IF(AND($E400&lt;&gt;"",$E400&lt;=R$2,$F400&gt;=R$2),1,0)</f>
        <v/>
      </c>
      <c r="S400">
        <f>S399+IF(AND($E400&lt;&gt;"",$E400&lt;=S$2,$F400&gt;=S$2),1,0)</f>
        <v/>
      </c>
      <c r="T400">
        <f>T399+IF(AND($E400&lt;&gt;"",$E400&lt;=T$2,$F400&gt;=T$2),1,0)</f>
        <v/>
      </c>
      <c r="U400">
        <f>U399+IF(AND($E400&lt;&gt;"",$E400&lt;=U$2,$F400&gt;=U$2),1,0)</f>
        <v/>
      </c>
      <c r="V400">
        <f>V399+IF(AND($E400&lt;&gt;"",$E400&lt;=V$2,$F400&gt;=V$2),1,0)</f>
        <v/>
      </c>
      <c r="W400">
        <f>W399+IF(AND($E400&lt;&gt;"",$E400&lt;=W$2,$F400&gt;=W$2),1,0)</f>
        <v/>
      </c>
      <c r="X400">
        <f>X399+IF(AND($E400&lt;&gt;"",$E400&lt;=X$2,$F400&gt;=X$2),1,0)</f>
        <v/>
      </c>
      <c r="Y400">
        <f>Y399+IF(AND($E400&lt;&gt;"",$E400&lt;=Y$2,$F400&gt;=Y$2),1,0)</f>
        <v/>
      </c>
      <c r="Z400">
        <f>Z399+IF(AND($E400&lt;&gt;"",$E400&lt;=Z$2,$F400&gt;=Z$2),1,0)</f>
        <v/>
      </c>
      <c r="AA400">
        <f>AA399+IF(AND($E400&lt;&gt;"",$E400&lt;=AA$2,$F400&gt;=AA$2),1,0)</f>
        <v/>
      </c>
      <c r="AB400">
        <f>AB399+IF(AND($E400&lt;&gt;"",$E400&lt;=AB$2,$F400&gt;=AB$2),1,0)</f>
        <v/>
      </c>
      <c r="AC400">
        <f>AC399+IF(AND($E400&lt;&gt;"",$E400&lt;=AC$2,$F400&gt;=AC$2),1,0)</f>
        <v/>
      </c>
      <c r="AD400">
        <f>AD399+IF(AND($E400&lt;&gt;"",$E400&lt;=AD$2,$F400&gt;=AD$2),1,0)</f>
        <v/>
      </c>
      <c r="AE400">
        <f>AE399+IF(AND($E400&lt;&gt;"",$E400&lt;=AE$2,$F400&gt;=AE$2),1,0)</f>
        <v/>
      </c>
      <c r="AF400">
        <f>AF399+IF(AND($E400&lt;&gt;"",$E400&lt;=AF$2,$F400&gt;=AF$2),1,0)</f>
        <v/>
      </c>
      <c r="AG400">
        <f>AG399+IF(AND($E400&lt;&gt;"",$E400&lt;=AG$2,$F400&gt;=AG$2),1,0)</f>
        <v/>
      </c>
      <c r="AH400">
        <f>AH399+IF(AND($E400&lt;&gt;"",$E400&lt;=AH$2,$F400&gt;=AH$2),1,0)</f>
        <v/>
      </c>
      <c r="AI400">
        <f>AI399+IF(AND($E400&lt;&gt;"",$E400&lt;=AI$2,$F400&gt;=AI$2),1,0)</f>
        <v/>
      </c>
      <c r="AJ400">
        <f>AJ399+IF(AND($E400&lt;&gt;"",$E400&lt;=AJ$2,$F400&gt;=AJ$2),1,0)</f>
        <v/>
      </c>
      <c r="AK400">
        <f>AK399+IF(AND($E400&lt;&gt;"",$E400&lt;=AK$2,$F400&gt;=AK$2),1,0)</f>
        <v/>
      </c>
      <c r="AL400">
        <f>AL399+IF(AND($E400&lt;&gt;"",$E400&lt;=AL$2,$F400&gt;=AL$2),1,0)</f>
        <v/>
      </c>
      <c r="AM400">
        <f>AM399+IF(AND($E400&lt;&gt;"",$E400&lt;=AM$2,$F400&gt;=AM$2),1,0)</f>
        <v/>
      </c>
      <c r="AN400">
        <f>AN399+IF(AND($E400&lt;&gt;"",$E400&lt;=AN$2,$F400&gt;=AN$2),1,0)</f>
        <v/>
      </c>
      <c r="AO400">
        <f>AO399+IF(AND($E400&lt;&gt;"",$E400&lt;=AO$2,$F400&gt;=AO$2),1,0)</f>
        <v/>
      </c>
      <c r="AP400">
        <f>AP399+IF(AND($E400&lt;&gt;"",$E400&lt;=AP$2,$F400&gt;=AP$2),1,0)</f>
        <v/>
      </c>
      <c r="AQ400">
        <f>AQ399+IF(AND($E400&lt;&gt;"",$E400&lt;=AQ$2,$F400&gt;=AQ$2),1,0)</f>
        <v/>
      </c>
      <c r="AR400">
        <f>AR399+IF(AND($E400&lt;&gt;"",$E400&lt;=AR$2,$F400&gt;=AR$2),1,0)</f>
        <v/>
      </c>
      <c r="AS400">
        <f>AS399+IF(AND($E400&lt;&gt;"",$E400&lt;=AS$2,$F400&gt;=AS$2),1,0)</f>
        <v/>
      </c>
      <c r="AT400">
        <f>AT399+IF(AND($E400&lt;&gt;"",$E400&lt;=AT$2,$F400&gt;=AT$2),1,0)</f>
        <v/>
      </c>
      <c r="AU400">
        <f>AU399+IF(AND($E400&lt;&gt;"",$E400&lt;=AU$2,$F400&gt;=AU$2),1,0)</f>
        <v/>
      </c>
      <c r="AV400">
        <f>AV399+IF(AND($E400&lt;&gt;"",$E400&lt;=AV$2,$F400&gt;=AV$2),1,0)</f>
        <v/>
      </c>
      <c r="AW400">
        <f>AW399+IF(AND($E400&lt;&gt;"",$E400&lt;=AW$2,$F400&gt;=AW$2),1,0)</f>
        <v/>
      </c>
    </row>
    <row r="401">
      <c r="A401">
        <f>IF(AND(ISNUMBER(Events!$A403),ISNUMBER(Events!$B403)),MAX(0,Events!$B403-Events!$A403),0)</f>
        <v/>
      </c>
      <c r="B401">
        <f>IF(ISNUMBER(Events!$A403),DATE(YEAR($B$1)-1,MONTH(Events!$A403),DAY(Events!$A403)),"")</f>
        <v/>
      </c>
      <c r="C401">
        <f>IF(ISNUMBER(Events!$A403),DATE(YEAR($B$1),MONTH(Events!$A403),DAY(Events!$A403)),"")</f>
        <v/>
      </c>
      <c r="D401">
        <f>IF(ISNUMBER(Events!$A403),DATE(YEAR($B$2),MONTH(Events!$A403),DAY(Events!$A403)),"")</f>
        <v/>
      </c>
      <c r="E401">
        <f>IF(OR(NOT(ISNUMBER(Events!$A403)),Events!$G403="No",Calendar!$H$4="None"),"",IF(OR(Calendar!$H$4="All events",Events!$D403=Calendar!$H$4),IF(Events!$E403="Yes",IF(AND(B401&gt;=Events!$A403,B401&lt;=$B$2,B401+$A401&gt;=$B$1),B401,IF(AND(C401&gt;=Events!$A403,C401&lt;=$B$2,C401+$A401&gt;=$B$1),C401,IF(AND(D401&gt;=Events!$A403,D401&lt;=$B$2,D401+$A401&gt;=$B$1),D401,""))),IF(AND(Events!$A403&lt;=$B$2,Events!$A403+$A401&gt;=$B$1),Events!$A403,"")),""))</f>
        <v/>
      </c>
      <c r="F401">
        <f>IF(E401="","",E401+A401)</f>
        <v/>
      </c>
      <c r="G401">
        <f>IF(E401="","",IF(AND(E401&lt;=EOMONTH(Calendar!$K$2,0),F401&gt;=Calendar!$K$2),E401+398/100000,""))</f>
        <v/>
      </c>
      <c r="H401">
        <f>H400+IF(AND($E401&lt;&gt;"",$E401&lt;=H$2,$F401&gt;=H$2),1,0)</f>
        <v/>
      </c>
      <c r="I401">
        <f>I400+IF(AND($E401&lt;&gt;"",$E401&lt;=I$2,$F401&gt;=I$2),1,0)</f>
        <v/>
      </c>
      <c r="J401">
        <f>J400+IF(AND($E401&lt;&gt;"",$E401&lt;=J$2,$F401&gt;=J$2),1,0)</f>
        <v/>
      </c>
      <c r="K401">
        <f>K400+IF(AND($E401&lt;&gt;"",$E401&lt;=K$2,$F401&gt;=K$2),1,0)</f>
        <v/>
      </c>
      <c r="L401">
        <f>L400+IF(AND($E401&lt;&gt;"",$E401&lt;=L$2,$F401&gt;=L$2),1,0)</f>
        <v/>
      </c>
      <c r="M401">
        <f>M400+IF(AND($E401&lt;&gt;"",$E401&lt;=M$2,$F401&gt;=M$2),1,0)</f>
        <v/>
      </c>
      <c r="N401">
        <f>N400+IF(AND($E401&lt;&gt;"",$E401&lt;=N$2,$F401&gt;=N$2),1,0)</f>
        <v/>
      </c>
      <c r="O401">
        <f>O400+IF(AND($E401&lt;&gt;"",$E401&lt;=O$2,$F401&gt;=O$2),1,0)</f>
        <v/>
      </c>
      <c r="P401">
        <f>P400+IF(AND($E401&lt;&gt;"",$E401&lt;=P$2,$F401&gt;=P$2),1,0)</f>
        <v/>
      </c>
      <c r="Q401">
        <f>Q400+IF(AND($E401&lt;&gt;"",$E401&lt;=Q$2,$F401&gt;=Q$2),1,0)</f>
        <v/>
      </c>
      <c r="R401">
        <f>R400+IF(AND($E401&lt;&gt;"",$E401&lt;=R$2,$F401&gt;=R$2),1,0)</f>
        <v/>
      </c>
      <c r="S401">
        <f>S400+IF(AND($E401&lt;&gt;"",$E401&lt;=S$2,$F401&gt;=S$2),1,0)</f>
        <v/>
      </c>
      <c r="T401">
        <f>T400+IF(AND($E401&lt;&gt;"",$E401&lt;=T$2,$F401&gt;=T$2),1,0)</f>
        <v/>
      </c>
      <c r="U401">
        <f>U400+IF(AND($E401&lt;&gt;"",$E401&lt;=U$2,$F401&gt;=U$2),1,0)</f>
        <v/>
      </c>
      <c r="V401">
        <f>V400+IF(AND($E401&lt;&gt;"",$E401&lt;=V$2,$F401&gt;=V$2),1,0)</f>
        <v/>
      </c>
      <c r="W401">
        <f>W400+IF(AND($E401&lt;&gt;"",$E401&lt;=W$2,$F401&gt;=W$2),1,0)</f>
        <v/>
      </c>
      <c r="X401">
        <f>X400+IF(AND($E401&lt;&gt;"",$E401&lt;=X$2,$F401&gt;=X$2),1,0)</f>
        <v/>
      </c>
      <c r="Y401">
        <f>Y400+IF(AND($E401&lt;&gt;"",$E401&lt;=Y$2,$F401&gt;=Y$2),1,0)</f>
        <v/>
      </c>
      <c r="Z401">
        <f>Z400+IF(AND($E401&lt;&gt;"",$E401&lt;=Z$2,$F401&gt;=Z$2),1,0)</f>
        <v/>
      </c>
      <c r="AA401">
        <f>AA400+IF(AND($E401&lt;&gt;"",$E401&lt;=AA$2,$F401&gt;=AA$2),1,0)</f>
        <v/>
      </c>
      <c r="AB401">
        <f>AB400+IF(AND($E401&lt;&gt;"",$E401&lt;=AB$2,$F401&gt;=AB$2),1,0)</f>
        <v/>
      </c>
      <c r="AC401">
        <f>AC400+IF(AND($E401&lt;&gt;"",$E401&lt;=AC$2,$F401&gt;=AC$2),1,0)</f>
        <v/>
      </c>
      <c r="AD401">
        <f>AD400+IF(AND($E401&lt;&gt;"",$E401&lt;=AD$2,$F401&gt;=AD$2),1,0)</f>
        <v/>
      </c>
      <c r="AE401">
        <f>AE400+IF(AND($E401&lt;&gt;"",$E401&lt;=AE$2,$F401&gt;=AE$2),1,0)</f>
        <v/>
      </c>
      <c r="AF401">
        <f>AF400+IF(AND($E401&lt;&gt;"",$E401&lt;=AF$2,$F401&gt;=AF$2),1,0)</f>
        <v/>
      </c>
      <c r="AG401">
        <f>AG400+IF(AND($E401&lt;&gt;"",$E401&lt;=AG$2,$F401&gt;=AG$2),1,0)</f>
        <v/>
      </c>
      <c r="AH401">
        <f>AH400+IF(AND($E401&lt;&gt;"",$E401&lt;=AH$2,$F401&gt;=AH$2),1,0)</f>
        <v/>
      </c>
      <c r="AI401">
        <f>AI400+IF(AND($E401&lt;&gt;"",$E401&lt;=AI$2,$F401&gt;=AI$2),1,0)</f>
        <v/>
      </c>
      <c r="AJ401">
        <f>AJ400+IF(AND($E401&lt;&gt;"",$E401&lt;=AJ$2,$F401&gt;=AJ$2),1,0)</f>
        <v/>
      </c>
      <c r="AK401">
        <f>AK400+IF(AND($E401&lt;&gt;"",$E401&lt;=AK$2,$F401&gt;=AK$2),1,0)</f>
        <v/>
      </c>
      <c r="AL401">
        <f>AL400+IF(AND($E401&lt;&gt;"",$E401&lt;=AL$2,$F401&gt;=AL$2),1,0)</f>
        <v/>
      </c>
      <c r="AM401">
        <f>AM400+IF(AND($E401&lt;&gt;"",$E401&lt;=AM$2,$F401&gt;=AM$2),1,0)</f>
        <v/>
      </c>
      <c r="AN401">
        <f>AN400+IF(AND($E401&lt;&gt;"",$E401&lt;=AN$2,$F401&gt;=AN$2),1,0)</f>
        <v/>
      </c>
      <c r="AO401">
        <f>AO400+IF(AND($E401&lt;&gt;"",$E401&lt;=AO$2,$F401&gt;=AO$2),1,0)</f>
        <v/>
      </c>
      <c r="AP401">
        <f>AP400+IF(AND($E401&lt;&gt;"",$E401&lt;=AP$2,$F401&gt;=AP$2),1,0)</f>
        <v/>
      </c>
      <c r="AQ401">
        <f>AQ400+IF(AND($E401&lt;&gt;"",$E401&lt;=AQ$2,$F401&gt;=AQ$2),1,0)</f>
        <v/>
      </c>
      <c r="AR401">
        <f>AR400+IF(AND($E401&lt;&gt;"",$E401&lt;=AR$2,$F401&gt;=AR$2),1,0)</f>
        <v/>
      </c>
      <c r="AS401">
        <f>AS400+IF(AND($E401&lt;&gt;"",$E401&lt;=AS$2,$F401&gt;=AS$2),1,0)</f>
        <v/>
      </c>
      <c r="AT401">
        <f>AT400+IF(AND($E401&lt;&gt;"",$E401&lt;=AT$2,$F401&gt;=AT$2),1,0)</f>
        <v/>
      </c>
      <c r="AU401">
        <f>AU400+IF(AND($E401&lt;&gt;"",$E401&lt;=AU$2,$F401&gt;=AU$2),1,0)</f>
        <v/>
      </c>
      <c r="AV401">
        <f>AV400+IF(AND($E401&lt;&gt;"",$E401&lt;=AV$2,$F401&gt;=AV$2),1,0)</f>
        <v/>
      </c>
      <c r="AW401">
        <f>AW400+IF(AND($E401&lt;&gt;"",$E401&lt;=AW$2,$F401&gt;=AW$2),1,0)</f>
        <v/>
      </c>
    </row>
    <row r="402">
      <c r="A402">
        <f>IF(AND(ISNUMBER(Events!$A404),ISNUMBER(Events!$B404)),MAX(0,Events!$B404-Events!$A404),0)</f>
        <v/>
      </c>
      <c r="B402">
        <f>IF(ISNUMBER(Events!$A404),DATE(YEAR($B$1)-1,MONTH(Events!$A404),DAY(Events!$A404)),"")</f>
        <v/>
      </c>
      <c r="C402">
        <f>IF(ISNUMBER(Events!$A404),DATE(YEAR($B$1),MONTH(Events!$A404),DAY(Events!$A404)),"")</f>
        <v/>
      </c>
      <c r="D402">
        <f>IF(ISNUMBER(Events!$A404),DATE(YEAR($B$2),MONTH(Events!$A404),DAY(Events!$A404)),"")</f>
        <v/>
      </c>
      <c r="E402">
        <f>IF(OR(NOT(ISNUMBER(Events!$A404)),Events!$G404="No",Calendar!$H$4="None"),"",IF(OR(Calendar!$H$4="All events",Events!$D404=Calendar!$H$4),IF(Events!$E404="Yes",IF(AND(B402&gt;=Events!$A404,B402&lt;=$B$2,B402+$A402&gt;=$B$1),B402,IF(AND(C402&gt;=Events!$A404,C402&lt;=$B$2,C402+$A402&gt;=$B$1),C402,IF(AND(D402&gt;=Events!$A404,D402&lt;=$B$2,D402+$A402&gt;=$B$1),D402,""))),IF(AND(Events!$A404&lt;=$B$2,Events!$A404+$A402&gt;=$B$1),Events!$A404,"")),""))</f>
        <v/>
      </c>
      <c r="F402">
        <f>IF(E402="","",E402+A402)</f>
        <v/>
      </c>
      <c r="G402">
        <f>IF(E402="","",IF(AND(E402&lt;=EOMONTH(Calendar!$K$2,0),F402&gt;=Calendar!$K$2),E402+399/100000,""))</f>
        <v/>
      </c>
      <c r="H402">
        <f>H401+IF(AND($E402&lt;&gt;"",$E402&lt;=H$2,$F402&gt;=H$2),1,0)</f>
        <v/>
      </c>
      <c r="I402">
        <f>I401+IF(AND($E402&lt;&gt;"",$E402&lt;=I$2,$F402&gt;=I$2),1,0)</f>
        <v/>
      </c>
      <c r="J402">
        <f>J401+IF(AND($E402&lt;&gt;"",$E402&lt;=J$2,$F402&gt;=J$2),1,0)</f>
        <v/>
      </c>
      <c r="K402">
        <f>K401+IF(AND($E402&lt;&gt;"",$E402&lt;=K$2,$F402&gt;=K$2),1,0)</f>
        <v/>
      </c>
      <c r="L402">
        <f>L401+IF(AND($E402&lt;&gt;"",$E402&lt;=L$2,$F402&gt;=L$2),1,0)</f>
        <v/>
      </c>
      <c r="M402">
        <f>M401+IF(AND($E402&lt;&gt;"",$E402&lt;=M$2,$F402&gt;=M$2),1,0)</f>
        <v/>
      </c>
      <c r="N402">
        <f>N401+IF(AND($E402&lt;&gt;"",$E402&lt;=N$2,$F402&gt;=N$2),1,0)</f>
        <v/>
      </c>
      <c r="O402">
        <f>O401+IF(AND($E402&lt;&gt;"",$E402&lt;=O$2,$F402&gt;=O$2),1,0)</f>
        <v/>
      </c>
      <c r="P402">
        <f>P401+IF(AND($E402&lt;&gt;"",$E402&lt;=P$2,$F402&gt;=P$2),1,0)</f>
        <v/>
      </c>
      <c r="Q402">
        <f>Q401+IF(AND($E402&lt;&gt;"",$E402&lt;=Q$2,$F402&gt;=Q$2),1,0)</f>
        <v/>
      </c>
      <c r="R402">
        <f>R401+IF(AND($E402&lt;&gt;"",$E402&lt;=R$2,$F402&gt;=R$2),1,0)</f>
        <v/>
      </c>
      <c r="S402">
        <f>S401+IF(AND($E402&lt;&gt;"",$E402&lt;=S$2,$F402&gt;=S$2),1,0)</f>
        <v/>
      </c>
      <c r="T402">
        <f>T401+IF(AND($E402&lt;&gt;"",$E402&lt;=T$2,$F402&gt;=T$2),1,0)</f>
        <v/>
      </c>
      <c r="U402">
        <f>U401+IF(AND($E402&lt;&gt;"",$E402&lt;=U$2,$F402&gt;=U$2),1,0)</f>
        <v/>
      </c>
      <c r="V402">
        <f>V401+IF(AND($E402&lt;&gt;"",$E402&lt;=V$2,$F402&gt;=V$2),1,0)</f>
        <v/>
      </c>
      <c r="W402">
        <f>W401+IF(AND($E402&lt;&gt;"",$E402&lt;=W$2,$F402&gt;=W$2),1,0)</f>
        <v/>
      </c>
      <c r="X402">
        <f>X401+IF(AND($E402&lt;&gt;"",$E402&lt;=X$2,$F402&gt;=X$2),1,0)</f>
        <v/>
      </c>
      <c r="Y402">
        <f>Y401+IF(AND($E402&lt;&gt;"",$E402&lt;=Y$2,$F402&gt;=Y$2),1,0)</f>
        <v/>
      </c>
      <c r="Z402">
        <f>Z401+IF(AND($E402&lt;&gt;"",$E402&lt;=Z$2,$F402&gt;=Z$2),1,0)</f>
        <v/>
      </c>
      <c r="AA402">
        <f>AA401+IF(AND($E402&lt;&gt;"",$E402&lt;=AA$2,$F402&gt;=AA$2),1,0)</f>
        <v/>
      </c>
      <c r="AB402">
        <f>AB401+IF(AND($E402&lt;&gt;"",$E402&lt;=AB$2,$F402&gt;=AB$2),1,0)</f>
        <v/>
      </c>
      <c r="AC402">
        <f>AC401+IF(AND($E402&lt;&gt;"",$E402&lt;=AC$2,$F402&gt;=AC$2),1,0)</f>
        <v/>
      </c>
      <c r="AD402">
        <f>AD401+IF(AND($E402&lt;&gt;"",$E402&lt;=AD$2,$F402&gt;=AD$2),1,0)</f>
        <v/>
      </c>
      <c r="AE402">
        <f>AE401+IF(AND($E402&lt;&gt;"",$E402&lt;=AE$2,$F402&gt;=AE$2),1,0)</f>
        <v/>
      </c>
      <c r="AF402">
        <f>AF401+IF(AND($E402&lt;&gt;"",$E402&lt;=AF$2,$F402&gt;=AF$2),1,0)</f>
        <v/>
      </c>
      <c r="AG402">
        <f>AG401+IF(AND($E402&lt;&gt;"",$E402&lt;=AG$2,$F402&gt;=AG$2),1,0)</f>
        <v/>
      </c>
      <c r="AH402">
        <f>AH401+IF(AND($E402&lt;&gt;"",$E402&lt;=AH$2,$F402&gt;=AH$2),1,0)</f>
        <v/>
      </c>
      <c r="AI402">
        <f>AI401+IF(AND($E402&lt;&gt;"",$E402&lt;=AI$2,$F402&gt;=AI$2),1,0)</f>
        <v/>
      </c>
      <c r="AJ402">
        <f>AJ401+IF(AND($E402&lt;&gt;"",$E402&lt;=AJ$2,$F402&gt;=AJ$2),1,0)</f>
        <v/>
      </c>
      <c r="AK402">
        <f>AK401+IF(AND($E402&lt;&gt;"",$E402&lt;=AK$2,$F402&gt;=AK$2),1,0)</f>
        <v/>
      </c>
      <c r="AL402">
        <f>AL401+IF(AND($E402&lt;&gt;"",$E402&lt;=AL$2,$F402&gt;=AL$2),1,0)</f>
        <v/>
      </c>
      <c r="AM402">
        <f>AM401+IF(AND($E402&lt;&gt;"",$E402&lt;=AM$2,$F402&gt;=AM$2),1,0)</f>
        <v/>
      </c>
      <c r="AN402">
        <f>AN401+IF(AND($E402&lt;&gt;"",$E402&lt;=AN$2,$F402&gt;=AN$2),1,0)</f>
        <v/>
      </c>
      <c r="AO402">
        <f>AO401+IF(AND($E402&lt;&gt;"",$E402&lt;=AO$2,$F402&gt;=AO$2),1,0)</f>
        <v/>
      </c>
      <c r="AP402">
        <f>AP401+IF(AND($E402&lt;&gt;"",$E402&lt;=AP$2,$F402&gt;=AP$2),1,0)</f>
        <v/>
      </c>
      <c r="AQ402">
        <f>AQ401+IF(AND($E402&lt;&gt;"",$E402&lt;=AQ$2,$F402&gt;=AQ$2),1,0)</f>
        <v/>
      </c>
      <c r="AR402">
        <f>AR401+IF(AND($E402&lt;&gt;"",$E402&lt;=AR$2,$F402&gt;=AR$2),1,0)</f>
        <v/>
      </c>
      <c r="AS402">
        <f>AS401+IF(AND($E402&lt;&gt;"",$E402&lt;=AS$2,$F402&gt;=AS$2),1,0)</f>
        <v/>
      </c>
      <c r="AT402">
        <f>AT401+IF(AND($E402&lt;&gt;"",$E402&lt;=AT$2,$F402&gt;=AT$2),1,0)</f>
        <v/>
      </c>
      <c r="AU402">
        <f>AU401+IF(AND($E402&lt;&gt;"",$E402&lt;=AU$2,$F402&gt;=AU$2),1,0)</f>
        <v/>
      </c>
      <c r="AV402">
        <f>AV401+IF(AND($E402&lt;&gt;"",$E402&lt;=AV$2,$F402&gt;=AV$2),1,0)</f>
        <v/>
      </c>
      <c r="AW402">
        <f>AW401+IF(AND($E402&lt;&gt;"",$E402&lt;=AW$2,$F402&gt;=AW$2),1,0)</f>
        <v/>
      </c>
    </row>
    <row r="403">
      <c r="A403">
        <f>IF(AND(ISNUMBER(Events!$A405),ISNUMBER(Events!$B405)),MAX(0,Events!$B405-Events!$A405),0)</f>
        <v/>
      </c>
      <c r="B403">
        <f>IF(ISNUMBER(Events!$A405),DATE(YEAR($B$1)-1,MONTH(Events!$A405),DAY(Events!$A405)),"")</f>
        <v/>
      </c>
      <c r="C403">
        <f>IF(ISNUMBER(Events!$A405),DATE(YEAR($B$1),MONTH(Events!$A405),DAY(Events!$A405)),"")</f>
        <v/>
      </c>
      <c r="D403">
        <f>IF(ISNUMBER(Events!$A405),DATE(YEAR($B$2),MONTH(Events!$A405),DAY(Events!$A405)),"")</f>
        <v/>
      </c>
      <c r="E403">
        <f>IF(OR(NOT(ISNUMBER(Events!$A405)),Events!$G405="No",Calendar!$H$4="None"),"",IF(OR(Calendar!$H$4="All events",Events!$D405=Calendar!$H$4),IF(Events!$E405="Yes",IF(AND(B403&gt;=Events!$A405,B403&lt;=$B$2,B403+$A403&gt;=$B$1),B403,IF(AND(C403&gt;=Events!$A405,C403&lt;=$B$2,C403+$A403&gt;=$B$1),C403,IF(AND(D403&gt;=Events!$A405,D403&lt;=$B$2,D403+$A403&gt;=$B$1),D403,""))),IF(AND(Events!$A405&lt;=$B$2,Events!$A405+$A403&gt;=$B$1),Events!$A405,"")),""))</f>
        <v/>
      </c>
      <c r="F403">
        <f>IF(E403="","",E403+A403)</f>
        <v/>
      </c>
      <c r="G403">
        <f>IF(E403="","",IF(AND(E403&lt;=EOMONTH(Calendar!$K$2,0),F403&gt;=Calendar!$K$2),E403+400/100000,""))</f>
        <v/>
      </c>
      <c r="H403">
        <f>H402+IF(AND($E403&lt;&gt;"",$E403&lt;=H$2,$F403&gt;=H$2),1,0)</f>
        <v/>
      </c>
      <c r="I403">
        <f>I402+IF(AND($E403&lt;&gt;"",$E403&lt;=I$2,$F403&gt;=I$2),1,0)</f>
        <v/>
      </c>
      <c r="J403">
        <f>J402+IF(AND($E403&lt;&gt;"",$E403&lt;=J$2,$F403&gt;=J$2),1,0)</f>
        <v/>
      </c>
      <c r="K403">
        <f>K402+IF(AND($E403&lt;&gt;"",$E403&lt;=K$2,$F403&gt;=K$2),1,0)</f>
        <v/>
      </c>
      <c r="L403">
        <f>L402+IF(AND($E403&lt;&gt;"",$E403&lt;=L$2,$F403&gt;=L$2),1,0)</f>
        <v/>
      </c>
      <c r="M403">
        <f>M402+IF(AND($E403&lt;&gt;"",$E403&lt;=M$2,$F403&gt;=M$2),1,0)</f>
        <v/>
      </c>
      <c r="N403">
        <f>N402+IF(AND($E403&lt;&gt;"",$E403&lt;=N$2,$F403&gt;=N$2),1,0)</f>
        <v/>
      </c>
      <c r="O403">
        <f>O402+IF(AND($E403&lt;&gt;"",$E403&lt;=O$2,$F403&gt;=O$2),1,0)</f>
        <v/>
      </c>
      <c r="P403">
        <f>P402+IF(AND($E403&lt;&gt;"",$E403&lt;=P$2,$F403&gt;=P$2),1,0)</f>
        <v/>
      </c>
      <c r="Q403">
        <f>Q402+IF(AND($E403&lt;&gt;"",$E403&lt;=Q$2,$F403&gt;=Q$2),1,0)</f>
        <v/>
      </c>
      <c r="R403">
        <f>R402+IF(AND($E403&lt;&gt;"",$E403&lt;=R$2,$F403&gt;=R$2),1,0)</f>
        <v/>
      </c>
      <c r="S403">
        <f>S402+IF(AND($E403&lt;&gt;"",$E403&lt;=S$2,$F403&gt;=S$2),1,0)</f>
        <v/>
      </c>
      <c r="T403">
        <f>T402+IF(AND($E403&lt;&gt;"",$E403&lt;=T$2,$F403&gt;=T$2),1,0)</f>
        <v/>
      </c>
      <c r="U403">
        <f>U402+IF(AND($E403&lt;&gt;"",$E403&lt;=U$2,$F403&gt;=U$2),1,0)</f>
        <v/>
      </c>
      <c r="V403">
        <f>V402+IF(AND($E403&lt;&gt;"",$E403&lt;=V$2,$F403&gt;=V$2),1,0)</f>
        <v/>
      </c>
      <c r="W403">
        <f>W402+IF(AND($E403&lt;&gt;"",$E403&lt;=W$2,$F403&gt;=W$2),1,0)</f>
        <v/>
      </c>
      <c r="X403">
        <f>X402+IF(AND($E403&lt;&gt;"",$E403&lt;=X$2,$F403&gt;=X$2),1,0)</f>
        <v/>
      </c>
      <c r="Y403">
        <f>Y402+IF(AND($E403&lt;&gt;"",$E403&lt;=Y$2,$F403&gt;=Y$2),1,0)</f>
        <v/>
      </c>
      <c r="Z403">
        <f>Z402+IF(AND($E403&lt;&gt;"",$E403&lt;=Z$2,$F403&gt;=Z$2),1,0)</f>
        <v/>
      </c>
      <c r="AA403">
        <f>AA402+IF(AND($E403&lt;&gt;"",$E403&lt;=AA$2,$F403&gt;=AA$2),1,0)</f>
        <v/>
      </c>
      <c r="AB403">
        <f>AB402+IF(AND($E403&lt;&gt;"",$E403&lt;=AB$2,$F403&gt;=AB$2),1,0)</f>
        <v/>
      </c>
      <c r="AC403">
        <f>AC402+IF(AND($E403&lt;&gt;"",$E403&lt;=AC$2,$F403&gt;=AC$2),1,0)</f>
        <v/>
      </c>
      <c r="AD403">
        <f>AD402+IF(AND($E403&lt;&gt;"",$E403&lt;=AD$2,$F403&gt;=AD$2),1,0)</f>
        <v/>
      </c>
      <c r="AE403">
        <f>AE402+IF(AND($E403&lt;&gt;"",$E403&lt;=AE$2,$F403&gt;=AE$2),1,0)</f>
        <v/>
      </c>
      <c r="AF403">
        <f>AF402+IF(AND($E403&lt;&gt;"",$E403&lt;=AF$2,$F403&gt;=AF$2),1,0)</f>
        <v/>
      </c>
      <c r="AG403">
        <f>AG402+IF(AND($E403&lt;&gt;"",$E403&lt;=AG$2,$F403&gt;=AG$2),1,0)</f>
        <v/>
      </c>
      <c r="AH403">
        <f>AH402+IF(AND($E403&lt;&gt;"",$E403&lt;=AH$2,$F403&gt;=AH$2),1,0)</f>
        <v/>
      </c>
      <c r="AI403">
        <f>AI402+IF(AND($E403&lt;&gt;"",$E403&lt;=AI$2,$F403&gt;=AI$2),1,0)</f>
        <v/>
      </c>
      <c r="AJ403">
        <f>AJ402+IF(AND($E403&lt;&gt;"",$E403&lt;=AJ$2,$F403&gt;=AJ$2),1,0)</f>
        <v/>
      </c>
      <c r="AK403">
        <f>AK402+IF(AND($E403&lt;&gt;"",$E403&lt;=AK$2,$F403&gt;=AK$2),1,0)</f>
        <v/>
      </c>
      <c r="AL403">
        <f>AL402+IF(AND($E403&lt;&gt;"",$E403&lt;=AL$2,$F403&gt;=AL$2),1,0)</f>
        <v/>
      </c>
      <c r="AM403">
        <f>AM402+IF(AND($E403&lt;&gt;"",$E403&lt;=AM$2,$F403&gt;=AM$2),1,0)</f>
        <v/>
      </c>
      <c r="AN403">
        <f>AN402+IF(AND($E403&lt;&gt;"",$E403&lt;=AN$2,$F403&gt;=AN$2),1,0)</f>
        <v/>
      </c>
      <c r="AO403">
        <f>AO402+IF(AND($E403&lt;&gt;"",$E403&lt;=AO$2,$F403&gt;=AO$2),1,0)</f>
        <v/>
      </c>
      <c r="AP403">
        <f>AP402+IF(AND($E403&lt;&gt;"",$E403&lt;=AP$2,$F403&gt;=AP$2),1,0)</f>
        <v/>
      </c>
      <c r="AQ403">
        <f>AQ402+IF(AND($E403&lt;&gt;"",$E403&lt;=AQ$2,$F403&gt;=AQ$2),1,0)</f>
        <v/>
      </c>
      <c r="AR403">
        <f>AR402+IF(AND($E403&lt;&gt;"",$E403&lt;=AR$2,$F403&gt;=AR$2),1,0)</f>
        <v/>
      </c>
      <c r="AS403">
        <f>AS402+IF(AND($E403&lt;&gt;"",$E403&lt;=AS$2,$F403&gt;=AS$2),1,0)</f>
        <v/>
      </c>
      <c r="AT403">
        <f>AT402+IF(AND($E403&lt;&gt;"",$E403&lt;=AT$2,$F403&gt;=AT$2),1,0)</f>
        <v/>
      </c>
      <c r="AU403">
        <f>AU402+IF(AND($E403&lt;&gt;"",$E403&lt;=AU$2,$F403&gt;=AU$2),1,0)</f>
        <v/>
      </c>
      <c r="AV403">
        <f>AV402+IF(AND($E403&lt;&gt;"",$E403&lt;=AV$2,$F403&gt;=AV$2),1,0)</f>
        <v/>
      </c>
      <c r="AW403">
        <f>AW402+IF(AND($E403&lt;&gt;"",$E403&lt;=AW$2,$F403&gt;=AW$2),1,0)</f>
        <v/>
      </c>
    </row>
    <row r="404">
      <c r="A404">
        <f>IF(AND(ISNUMBER(Events!$A406),ISNUMBER(Events!$B406)),MAX(0,Events!$B406-Events!$A406),0)</f>
        <v/>
      </c>
      <c r="B404">
        <f>IF(ISNUMBER(Events!$A406),DATE(YEAR($B$1)-1,MONTH(Events!$A406),DAY(Events!$A406)),"")</f>
        <v/>
      </c>
      <c r="C404">
        <f>IF(ISNUMBER(Events!$A406),DATE(YEAR($B$1),MONTH(Events!$A406),DAY(Events!$A406)),"")</f>
        <v/>
      </c>
      <c r="D404">
        <f>IF(ISNUMBER(Events!$A406),DATE(YEAR($B$2),MONTH(Events!$A406),DAY(Events!$A406)),"")</f>
        <v/>
      </c>
      <c r="E404">
        <f>IF(OR(NOT(ISNUMBER(Events!$A406)),Events!$G406="No",Calendar!$H$4="None"),"",IF(OR(Calendar!$H$4="All events",Events!$D406=Calendar!$H$4),IF(Events!$E406="Yes",IF(AND(B404&gt;=Events!$A406,B404&lt;=$B$2,B404+$A404&gt;=$B$1),B404,IF(AND(C404&gt;=Events!$A406,C404&lt;=$B$2,C404+$A404&gt;=$B$1),C404,IF(AND(D404&gt;=Events!$A406,D404&lt;=$B$2,D404+$A404&gt;=$B$1),D404,""))),IF(AND(Events!$A406&lt;=$B$2,Events!$A406+$A404&gt;=$B$1),Events!$A406,"")),""))</f>
        <v/>
      </c>
      <c r="F404">
        <f>IF(E404="","",E404+A404)</f>
        <v/>
      </c>
      <c r="G404">
        <f>IF(E404="","",IF(AND(E404&lt;=EOMONTH(Calendar!$K$2,0),F404&gt;=Calendar!$K$2),E404+401/100000,""))</f>
        <v/>
      </c>
      <c r="H404">
        <f>H403+IF(AND($E404&lt;&gt;"",$E404&lt;=H$2,$F404&gt;=H$2),1,0)</f>
        <v/>
      </c>
      <c r="I404">
        <f>I403+IF(AND($E404&lt;&gt;"",$E404&lt;=I$2,$F404&gt;=I$2),1,0)</f>
        <v/>
      </c>
      <c r="J404">
        <f>J403+IF(AND($E404&lt;&gt;"",$E404&lt;=J$2,$F404&gt;=J$2),1,0)</f>
        <v/>
      </c>
      <c r="K404">
        <f>K403+IF(AND($E404&lt;&gt;"",$E404&lt;=K$2,$F404&gt;=K$2),1,0)</f>
        <v/>
      </c>
      <c r="L404">
        <f>L403+IF(AND($E404&lt;&gt;"",$E404&lt;=L$2,$F404&gt;=L$2),1,0)</f>
        <v/>
      </c>
      <c r="M404">
        <f>M403+IF(AND($E404&lt;&gt;"",$E404&lt;=M$2,$F404&gt;=M$2),1,0)</f>
        <v/>
      </c>
      <c r="N404">
        <f>N403+IF(AND($E404&lt;&gt;"",$E404&lt;=N$2,$F404&gt;=N$2),1,0)</f>
        <v/>
      </c>
      <c r="O404">
        <f>O403+IF(AND($E404&lt;&gt;"",$E404&lt;=O$2,$F404&gt;=O$2),1,0)</f>
        <v/>
      </c>
      <c r="P404">
        <f>P403+IF(AND($E404&lt;&gt;"",$E404&lt;=P$2,$F404&gt;=P$2),1,0)</f>
        <v/>
      </c>
      <c r="Q404">
        <f>Q403+IF(AND($E404&lt;&gt;"",$E404&lt;=Q$2,$F404&gt;=Q$2),1,0)</f>
        <v/>
      </c>
      <c r="R404">
        <f>R403+IF(AND($E404&lt;&gt;"",$E404&lt;=R$2,$F404&gt;=R$2),1,0)</f>
        <v/>
      </c>
      <c r="S404">
        <f>S403+IF(AND($E404&lt;&gt;"",$E404&lt;=S$2,$F404&gt;=S$2),1,0)</f>
        <v/>
      </c>
      <c r="T404">
        <f>T403+IF(AND($E404&lt;&gt;"",$E404&lt;=T$2,$F404&gt;=T$2),1,0)</f>
        <v/>
      </c>
      <c r="U404">
        <f>U403+IF(AND($E404&lt;&gt;"",$E404&lt;=U$2,$F404&gt;=U$2),1,0)</f>
        <v/>
      </c>
      <c r="V404">
        <f>V403+IF(AND($E404&lt;&gt;"",$E404&lt;=V$2,$F404&gt;=V$2),1,0)</f>
        <v/>
      </c>
      <c r="W404">
        <f>W403+IF(AND($E404&lt;&gt;"",$E404&lt;=W$2,$F404&gt;=W$2),1,0)</f>
        <v/>
      </c>
      <c r="X404">
        <f>X403+IF(AND($E404&lt;&gt;"",$E404&lt;=X$2,$F404&gt;=X$2),1,0)</f>
        <v/>
      </c>
      <c r="Y404">
        <f>Y403+IF(AND($E404&lt;&gt;"",$E404&lt;=Y$2,$F404&gt;=Y$2),1,0)</f>
        <v/>
      </c>
      <c r="Z404">
        <f>Z403+IF(AND($E404&lt;&gt;"",$E404&lt;=Z$2,$F404&gt;=Z$2),1,0)</f>
        <v/>
      </c>
      <c r="AA404">
        <f>AA403+IF(AND($E404&lt;&gt;"",$E404&lt;=AA$2,$F404&gt;=AA$2),1,0)</f>
        <v/>
      </c>
      <c r="AB404">
        <f>AB403+IF(AND($E404&lt;&gt;"",$E404&lt;=AB$2,$F404&gt;=AB$2),1,0)</f>
        <v/>
      </c>
      <c r="AC404">
        <f>AC403+IF(AND($E404&lt;&gt;"",$E404&lt;=AC$2,$F404&gt;=AC$2),1,0)</f>
        <v/>
      </c>
      <c r="AD404">
        <f>AD403+IF(AND($E404&lt;&gt;"",$E404&lt;=AD$2,$F404&gt;=AD$2),1,0)</f>
        <v/>
      </c>
      <c r="AE404">
        <f>AE403+IF(AND($E404&lt;&gt;"",$E404&lt;=AE$2,$F404&gt;=AE$2),1,0)</f>
        <v/>
      </c>
      <c r="AF404">
        <f>AF403+IF(AND($E404&lt;&gt;"",$E404&lt;=AF$2,$F404&gt;=AF$2),1,0)</f>
        <v/>
      </c>
      <c r="AG404">
        <f>AG403+IF(AND($E404&lt;&gt;"",$E404&lt;=AG$2,$F404&gt;=AG$2),1,0)</f>
        <v/>
      </c>
      <c r="AH404">
        <f>AH403+IF(AND($E404&lt;&gt;"",$E404&lt;=AH$2,$F404&gt;=AH$2),1,0)</f>
        <v/>
      </c>
      <c r="AI404">
        <f>AI403+IF(AND($E404&lt;&gt;"",$E404&lt;=AI$2,$F404&gt;=AI$2),1,0)</f>
        <v/>
      </c>
      <c r="AJ404">
        <f>AJ403+IF(AND($E404&lt;&gt;"",$E404&lt;=AJ$2,$F404&gt;=AJ$2),1,0)</f>
        <v/>
      </c>
      <c r="AK404">
        <f>AK403+IF(AND($E404&lt;&gt;"",$E404&lt;=AK$2,$F404&gt;=AK$2),1,0)</f>
        <v/>
      </c>
      <c r="AL404">
        <f>AL403+IF(AND($E404&lt;&gt;"",$E404&lt;=AL$2,$F404&gt;=AL$2),1,0)</f>
        <v/>
      </c>
      <c r="AM404">
        <f>AM403+IF(AND($E404&lt;&gt;"",$E404&lt;=AM$2,$F404&gt;=AM$2),1,0)</f>
        <v/>
      </c>
      <c r="AN404">
        <f>AN403+IF(AND($E404&lt;&gt;"",$E404&lt;=AN$2,$F404&gt;=AN$2),1,0)</f>
        <v/>
      </c>
      <c r="AO404">
        <f>AO403+IF(AND($E404&lt;&gt;"",$E404&lt;=AO$2,$F404&gt;=AO$2),1,0)</f>
        <v/>
      </c>
      <c r="AP404">
        <f>AP403+IF(AND($E404&lt;&gt;"",$E404&lt;=AP$2,$F404&gt;=AP$2),1,0)</f>
        <v/>
      </c>
      <c r="AQ404">
        <f>AQ403+IF(AND($E404&lt;&gt;"",$E404&lt;=AQ$2,$F404&gt;=AQ$2),1,0)</f>
        <v/>
      </c>
      <c r="AR404">
        <f>AR403+IF(AND($E404&lt;&gt;"",$E404&lt;=AR$2,$F404&gt;=AR$2),1,0)</f>
        <v/>
      </c>
      <c r="AS404">
        <f>AS403+IF(AND($E404&lt;&gt;"",$E404&lt;=AS$2,$F404&gt;=AS$2),1,0)</f>
        <v/>
      </c>
      <c r="AT404">
        <f>AT403+IF(AND($E404&lt;&gt;"",$E404&lt;=AT$2,$F404&gt;=AT$2),1,0)</f>
        <v/>
      </c>
      <c r="AU404">
        <f>AU403+IF(AND($E404&lt;&gt;"",$E404&lt;=AU$2,$F404&gt;=AU$2),1,0)</f>
        <v/>
      </c>
      <c r="AV404">
        <f>AV403+IF(AND($E404&lt;&gt;"",$E404&lt;=AV$2,$F404&gt;=AV$2),1,0)</f>
        <v/>
      </c>
      <c r="AW404">
        <f>AW403+IF(AND($E404&lt;&gt;"",$E404&lt;=AW$2,$F404&gt;=AW$2),1,0)</f>
        <v/>
      </c>
    </row>
    <row r="405">
      <c r="A405">
        <f>IF(AND(ISNUMBER(Events!$A407),ISNUMBER(Events!$B407)),MAX(0,Events!$B407-Events!$A407),0)</f>
        <v/>
      </c>
      <c r="B405">
        <f>IF(ISNUMBER(Events!$A407),DATE(YEAR($B$1)-1,MONTH(Events!$A407),DAY(Events!$A407)),"")</f>
        <v/>
      </c>
      <c r="C405">
        <f>IF(ISNUMBER(Events!$A407),DATE(YEAR($B$1),MONTH(Events!$A407),DAY(Events!$A407)),"")</f>
        <v/>
      </c>
      <c r="D405">
        <f>IF(ISNUMBER(Events!$A407),DATE(YEAR($B$2),MONTH(Events!$A407),DAY(Events!$A407)),"")</f>
        <v/>
      </c>
      <c r="E405">
        <f>IF(OR(NOT(ISNUMBER(Events!$A407)),Events!$G407="No",Calendar!$H$4="None"),"",IF(OR(Calendar!$H$4="All events",Events!$D407=Calendar!$H$4),IF(Events!$E407="Yes",IF(AND(B405&gt;=Events!$A407,B405&lt;=$B$2,B405+$A405&gt;=$B$1),B405,IF(AND(C405&gt;=Events!$A407,C405&lt;=$B$2,C405+$A405&gt;=$B$1),C405,IF(AND(D405&gt;=Events!$A407,D405&lt;=$B$2,D405+$A405&gt;=$B$1),D405,""))),IF(AND(Events!$A407&lt;=$B$2,Events!$A407+$A405&gt;=$B$1),Events!$A407,"")),""))</f>
        <v/>
      </c>
      <c r="F405">
        <f>IF(E405="","",E405+A405)</f>
        <v/>
      </c>
      <c r="G405">
        <f>IF(E405="","",IF(AND(E405&lt;=EOMONTH(Calendar!$K$2,0),F405&gt;=Calendar!$K$2),E405+402/100000,""))</f>
        <v/>
      </c>
      <c r="H405">
        <f>H404+IF(AND($E405&lt;&gt;"",$E405&lt;=H$2,$F405&gt;=H$2),1,0)</f>
        <v/>
      </c>
      <c r="I405">
        <f>I404+IF(AND($E405&lt;&gt;"",$E405&lt;=I$2,$F405&gt;=I$2),1,0)</f>
        <v/>
      </c>
      <c r="J405">
        <f>J404+IF(AND($E405&lt;&gt;"",$E405&lt;=J$2,$F405&gt;=J$2),1,0)</f>
        <v/>
      </c>
      <c r="K405">
        <f>K404+IF(AND($E405&lt;&gt;"",$E405&lt;=K$2,$F405&gt;=K$2),1,0)</f>
        <v/>
      </c>
      <c r="L405">
        <f>L404+IF(AND($E405&lt;&gt;"",$E405&lt;=L$2,$F405&gt;=L$2),1,0)</f>
        <v/>
      </c>
      <c r="M405">
        <f>M404+IF(AND($E405&lt;&gt;"",$E405&lt;=M$2,$F405&gt;=M$2),1,0)</f>
        <v/>
      </c>
      <c r="N405">
        <f>N404+IF(AND($E405&lt;&gt;"",$E405&lt;=N$2,$F405&gt;=N$2),1,0)</f>
        <v/>
      </c>
      <c r="O405">
        <f>O404+IF(AND($E405&lt;&gt;"",$E405&lt;=O$2,$F405&gt;=O$2),1,0)</f>
        <v/>
      </c>
      <c r="P405">
        <f>P404+IF(AND($E405&lt;&gt;"",$E405&lt;=P$2,$F405&gt;=P$2),1,0)</f>
        <v/>
      </c>
      <c r="Q405">
        <f>Q404+IF(AND($E405&lt;&gt;"",$E405&lt;=Q$2,$F405&gt;=Q$2),1,0)</f>
        <v/>
      </c>
      <c r="R405">
        <f>R404+IF(AND($E405&lt;&gt;"",$E405&lt;=R$2,$F405&gt;=R$2),1,0)</f>
        <v/>
      </c>
      <c r="S405">
        <f>S404+IF(AND($E405&lt;&gt;"",$E405&lt;=S$2,$F405&gt;=S$2),1,0)</f>
        <v/>
      </c>
      <c r="T405">
        <f>T404+IF(AND($E405&lt;&gt;"",$E405&lt;=T$2,$F405&gt;=T$2),1,0)</f>
        <v/>
      </c>
      <c r="U405">
        <f>U404+IF(AND($E405&lt;&gt;"",$E405&lt;=U$2,$F405&gt;=U$2),1,0)</f>
        <v/>
      </c>
      <c r="V405">
        <f>V404+IF(AND($E405&lt;&gt;"",$E405&lt;=V$2,$F405&gt;=V$2),1,0)</f>
        <v/>
      </c>
      <c r="W405">
        <f>W404+IF(AND($E405&lt;&gt;"",$E405&lt;=W$2,$F405&gt;=W$2),1,0)</f>
        <v/>
      </c>
      <c r="X405">
        <f>X404+IF(AND($E405&lt;&gt;"",$E405&lt;=X$2,$F405&gt;=X$2),1,0)</f>
        <v/>
      </c>
      <c r="Y405">
        <f>Y404+IF(AND($E405&lt;&gt;"",$E405&lt;=Y$2,$F405&gt;=Y$2),1,0)</f>
        <v/>
      </c>
      <c r="Z405">
        <f>Z404+IF(AND($E405&lt;&gt;"",$E405&lt;=Z$2,$F405&gt;=Z$2),1,0)</f>
        <v/>
      </c>
      <c r="AA405">
        <f>AA404+IF(AND($E405&lt;&gt;"",$E405&lt;=AA$2,$F405&gt;=AA$2),1,0)</f>
        <v/>
      </c>
      <c r="AB405">
        <f>AB404+IF(AND($E405&lt;&gt;"",$E405&lt;=AB$2,$F405&gt;=AB$2),1,0)</f>
        <v/>
      </c>
      <c r="AC405">
        <f>AC404+IF(AND($E405&lt;&gt;"",$E405&lt;=AC$2,$F405&gt;=AC$2),1,0)</f>
        <v/>
      </c>
      <c r="AD405">
        <f>AD404+IF(AND($E405&lt;&gt;"",$E405&lt;=AD$2,$F405&gt;=AD$2),1,0)</f>
        <v/>
      </c>
      <c r="AE405">
        <f>AE404+IF(AND($E405&lt;&gt;"",$E405&lt;=AE$2,$F405&gt;=AE$2),1,0)</f>
        <v/>
      </c>
      <c r="AF405">
        <f>AF404+IF(AND($E405&lt;&gt;"",$E405&lt;=AF$2,$F405&gt;=AF$2),1,0)</f>
        <v/>
      </c>
      <c r="AG405">
        <f>AG404+IF(AND($E405&lt;&gt;"",$E405&lt;=AG$2,$F405&gt;=AG$2),1,0)</f>
        <v/>
      </c>
      <c r="AH405">
        <f>AH404+IF(AND($E405&lt;&gt;"",$E405&lt;=AH$2,$F405&gt;=AH$2),1,0)</f>
        <v/>
      </c>
      <c r="AI405">
        <f>AI404+IF(AND($E405&lt;&gt;"",$E405&lt;=AI$2,$F405&gt;=AI$2),1,0)</f>
        <v/>
      </c>
      <c r="AJ405">
        <f>AJ404+IF(AND($E405&lt;&gt;"",$E405&lt;=AJ$2,$F405&gt;=AJ$2),1,0)</f>
        <v/>
      </c>
      <c r="AK405">
        <f>AK404+IF(AND($E405&lt;&gt;"",$E405&lt;=AK$2,$F405&gt;=AK$2),1,0)</f>
        <v/>
      </c>
      <c r="AL405">
        <f>AL404+IF(AND($E405&lt;&gt;"",$E405&lt;=AL$2,$F405&gt;=AL$2),1,0)</f>
        <v/>
      </c>
      <c r="AM405">
        <f>AM404+IF(AND($E405&lt;&gt;"",$E405&lt;=AM$2,$F405&gt;=AM$2),1,0)</f>
        <v/>
      </c>
      <c r="AN405">
        <f>AN404+IF(AND($E405&lt;&gt;"",$E405&lt;=AN$2,$F405&gt;=AN$2),1,0)</f>
        <v/>
      </c>
      <c r="AO405">
        <f>AO404+IF(AND($E405&lt;&gt;"",$E405&lt;=AO$2,$F405&gt;=AO$2),1,0)</f>
        <v/>
      </c>
      <c r="AP405">
        <f>AP404+IF(AND($E405&lt;&gt;"",$E405&lt;=AP$2,$F405&gt;=AP$2),1,0)</f>
        <v/>
      </c>
      <c r="AQ405">
        <f>AQ404+IF(AND($E405&lt;&gt;"",$E405&lt;=AQ$2,$F405&gt;=AQ$2),1,0)</f>
        <v/>
      </c>
      <c r="AR405">
        <f>AR404+IF(AND($E405&lt;&gt;"",$E405&lt;=AR$2,$F405&gt;=AR$2),1,0)</f>
        <v/>
      </c>
      <c r="AS405">
        <f>AS404+IF(AND($E405&lt;&gt;"",$E405&lt;=AS$2,$F405&gt;=AS$2),1,0)</f>
        <v/>
      </c>
      <c r="AT405">
        <f>AT404+IF(AND($E405&lt;&gt;"",$E405&lt;=AT$2,$F405&gt;=AT$2),1,0)</f>
        <v/>
      </c>
      <c r="AU405">
        <f>AU404+IF(AND($E405&lt;&gt;"",$E405&lt;=AU$2,$F405&gt;=AU$2),1,0)</f>
        <v/>
      </c>
      <c r="AV405">
        <f>AV404+IF(AND($E405&lt;&gt;"",$E405&lt;=AV$2,$F405&gt;=AV$2),1,0)</f>
        <v/>
      </c>
      <c r="AW405">
        <f>AW404+IF(AND($E405&lt;&gt;"",$E405&lt;=AW$2,$F405&gt;=AW$2),1,0)</f>
        <v/>
      </c>
    </row>
    <row r="406">
      <c r="A406">
        <f>IF(AND(ISNUMBER(Events!$A408),ISNUMBER(Events!$B408)),MAX(0,Events!$B408-Events!$A408),0)</f>
        <v/>
      </c>
      <c r="B406">
        <f>IF(ISNUMBER(Events!$A408),DATE(YEAR($B$1)-1,MONTH(Events!$A408),DAY(Events!$A408)),"")</f>
        <v/>
      </c>
      <c r="C406">
        <f>IF(ISNUMBER(Events!$A408),DATE(YEAR($B$1),MONTH(Events!$A408),DAY(Events!$A408)),"")</f>
        <v/>
      </c>
      <c r="D406">
        <f>IF(ISNUMBER(Events!$A408),DATE(YEAR($B$2),MONTH(Events!$A408),DAY(Events!$A408)),"")</f>
        <v/>
      </c>
      <c r="E406">
        <f>IF(OR(NOT(ISNUMBER(Events!$A408)),Events!$G408="No",Calendar!$H$4="None"),"",IF(OR(Calendar!$H$4="All events",Events!$D408=Calendar!$H$4),IF(Events!$E408="Yes",IF(AND(B406&gt;=Events!$A408,B406&lt;=$B$2,B406+$A406&gt;=$B$1),B406,IF(AND(C406&gt;=Events!$A408,C406&lt;=$B$2,C406+$A406&gt;=$B$1),C406,IF(AND(D406&gt;=Events!$A408,D406&lt;=$B$2,D406+$A406&gt;=$B$1),D406,""))),IF(AND(Events!$A408&lt;=$B$2,Events!$A408+$A406&gt;=$B$1),Events!$A408,"")),""))</f>
        <v/>
      </c>
      <c r="F406">
        <f>IF(E406="","",E406+A406)</f>
        <v/>
      </c>
      <c r="G406">
        <f>IF(E406="","",IF(AND(E406&lt;=EOMONTH(Calendar!$K$2,0),F406&gt;=Calendar!$K$2),E406+403/100000,""))</f>
        <v/>
      </c>
      <c r="H406">
        <f>H405+IF(AND($E406&lt;&gt;"",$E406&lt;=H$2,$F406&gt;=H$2),1,0)</f>
        <v/>
      </c>
      <c r="I406">
        <f>I405+IF(AND($E406&lt;&gt;"",$E406&lt;=I$2,$F406&gt;=I$2),1,0)</f>
        <v/>
      </c>
      <c r="J406">
        <f>J405+IF(AND($E406&lt;&gt;"",$E406&lt;=J$2,$F406&gt;=J$2),1,0)</f>
        <v/>
      </c>
      <c r="K406">
        <f>K405+IF(AND($E406&lt;&gt;"",$E406&lt;=K$2,$F406&gt;=K$2),1,0)</f>
        <v/>
      </c>
      <c r="L406">
        <f>L405+IF(AND($E406&lt;&gt;"",$E406&lt;=L$2,$F406&gt;=L$2),1,0)</f>
        <v/>
      </c>
      <c r="M406">
        <f>M405+IF(AND($E406&lt;&gt;"",$E406&lt;=M$2,$F406&gt;=M$2),1,0)</f>
        <v/>
      </c>
      <c r="N406">
        <f>N405+IF(AND($E406&lt;&gt;"",$E406&lt;=N$2,$F406&gt;=N$2),1,0)</f>
        <v/>
      </c>
      <c r="O406">
        <f>O405+IF(AND($E406&lt;&gt;"",$E406&lt;=O$2,$F406&gt;=O$2),1,0)</f>
        <v/>
      </c>
      <c r="P406">
        <f>P405+IF(AND($E406&lt;&gt;"",$E406&lt;=P$2,$F406&gt;=P$2),1,0)</f>
        <v/>
      </c>
      <c r="Q406">
        <f>Q405+IF(AND($E406&lt;&gt;"",$E406&lt;=Q$2,$F406&gt;=Q$2),1,0)</f>
        <v/>
      </c>
      <c r="R406">
        <f>R405+IF(AND($E406&lt;&gt;"",$E406&lt;=R$2,$F406&gt;=R$2),1,0)</f>
        <v/>
      </c>
      <c r="S406">
        <f>S405+IF(AND($E406&lt;&gt;"",$E406&lt;=S$2,$F406&gt;=S$2),1,0)</f>
        <v/>
      </c>
      <c r="T406">
        <f>T405+IF(AND($E406&lt;&gt;"",$E406&lt;=T$2,$F406&gt;=T$2),1,0)</f>
        <v/>
      </c>
      <c r="U406">
        <f>U405+IF(AND($E406&lt;&gt;"",$E406&lt;=U$2,$F406&gt;=U$2),1,0)</f>
        <v/>
      </c>
      <c r="V406">
        <f>V405+IF(AND($E406&lt;&gt;"",$E406&lt;=V$2,$F406&gt;=V$2),1,0)</f>
        <v/>
      </c>
      <c r="W406">
        <f>W405+IF(AND($E406&lt;&gt;"",$E406&lt;=W$2,$F406&gt;=W$2),1,0)</f>
        <v/>
      </c>
      <c r="X406">
        <f>X405+IF(AND($E406&lt;&gt;"",$E406&lt;=X$2,$F406&gt;=X$2),1,0)</f>
        <v/>
      </c>
      <c r="Y406">
        <f>Y405+IF(AND($E406&lt;&gt;"",$E406&lt;=Y$2,$F406&gt;=Y$2),1,0)</f>
        <v/>
      </c>
      <c r="Z406">
        <f>Z405+IF(AND($E406&lt;&gt;"",$E406&lt;=Z$2,$F406&gt;=Z$2),1,0)</f>
        <v/>
      </c>
      <c r="AA406">
        <f>AA405+IF(AND($E406&lt;&gt;"",$E406&lt;=AA$2,$F406&gt;=AA$2),1,0)</f>
        <v/>
      </c>
      <c r="AB406">
        <f>AB405+IF(AND($E406&lt;&gt;"",$E406&lt;=AB$2,$F406&gt;=AB$2),1,0)</f>
        <v/>
      </c>
      <c r="AC406">
        <f>AC405+IF(AND($E406&lt;&gt;"",$E406&lt;=AC$2,$F406&gt;=AC$2),1,0)</f>
        <v/>
      </c>
      <c r="AD406">
        <f>AD405+IF(AND($E406&lt;&gt;"",$E406&lt;=AD$2,$F406&gt;=AD$2),1,0)</f>
        <v/>
      </c>
      <c r="AE406">
        <f>AE405+IF(AND($E406&lt;&gt;"",$E406&lt;=AE$2,$F406&gt;=AE$2),1,0)</f>
        <v/>
      </c>
      <c r="AF406">
        <f>AF405+IF(AND($E406&lt;&gt;"",$E406&lt;=AF$2,$F406&gt;=AF$2),1,0)</f>
        <v/>
      </c>
      <c r="AG406">
        <f>AG405+IF(AND($E406&lt;&gt;"",$E406&lt;=AG$2,$F406&gt;=AG$2),1,0)</f>
        <v/>
      </c>
      <c r="AH406">
        <f>AH405+IF(AND($E406&lt;&gt;"",$E406&lt;=AH$2,$F406&gt;=AH$2),1,0)</f>
        <v/>
      </c>
      <c r="AI406">
        <f>AI405+IF(AND($E406&lt;&gt;"",$E406&lt;=AI$2,$F406&gt;=AI$2),1,0)</f>
        <v/>
      </c>
      <c r="AJ406">
        <f>AJ405+IF(AND($E406&lt;&gt;"",$E406&lt;=AJ$2,$F406&gt;=AJ$2),1,0)</f>
        <v/>
      </c>
      <c r="AK406">
        <f>AK405+IF(AND($E406&lt;&gt;"",$E406&lt;=AK$2,$F406&gt;=AK$2),1,0)</f>
        <v/>
      </c>
      <c r="AL406">
        <f>AL405+IF(AND($E406&lt;&gt;"",$E406&lt;=AL$2,$F406&gt;=AL$2),1,0)</f>
        <v/>
      </c>
      <c r="AM406">
        <f>AM405+IF(AND($E406&lt;&gt;"",$E406&lt;=AM$2,$F406&gt;=AM$2),1,0)</f>
        <v/>
      </c>
      <c r="AN406">
        <f>AN405+IF(AND($E406&lt;&gt;"",$E406&lt;=AN$2,$F406&gt;=AN$2),1,0)</f>
        <v/>
      </c>
      <c r="AO406">
        <f>AO405+IF(AND($E406&lt;&gt;"",$E406&lt;=AO$2,$F406&gt;=AO$2),1,0)</f>
        <v/>
      </c>
      <c r="AP406">
        <f>AP405+IF(AND($E406&lt;&gt;"",$E406&lt;=AP$2,$F406&gt;=AP$2),1,0)</f>
        <v/>
      </c>
      <c r="AQ406">
        <f>AQ405+IF(AND($E406&lt;&gt;"",$E406&lt;=AQ$2,$F406&gt;=AQ$2),1,0)</f>
        <v/>
      </c>
      <c r="AR406">
        <f>AR405+IF(AND($E406&lt;&gt;"",$E406&lt;=AR$2,$F406&gt;=AR$2),1,0)</f>
        <v/>
      </c>
      <c r="AS406">
        <f>AS405+IF(AND($E406&lt;&gt;"",$E406&lt;=AS$2,$F406&gt;=AS$2),1,0)</f>
        <v/>
      </c>
      <c r="AT406">
        <f>AT405+IF(AND($E406&lt;&gt;"",$E406&lt;=AT$2,$F406&gt;=AT$2),1,0)</f>
        <v/>
      </c>
      <c r="AU406">
        <f>AU405+IF(AND($E406&lt;&gt;"",$E406&lt;=AU$2,$F406&gt;=AU$2),1,0)</f>
        <v/>
      </c>
      <c r="AV406">
        <f>AV405+IF(AND($E406&lt;&gt;"",$E406&lt;=AV$2,$F406&gt;=AV$2),1,0)</f>
        <v/>
      </c>
      <c r="AW406">
        <f>AW405+IF(AND($E406&lt;&gt;"",$E406&lt;=AW$2,$F406&gt;=AW$2),1,0)</f>
        <v/>
      </c>
    </row>
    <row r="407">
      <c r="A407">
        <f>IF(AND(ISNUMBER(Events!$A409),ISNUMBER(Events!$B409)),MAX(0,Events!$B409-Events!$A409),0)</f>
        <v/>
      </c>
      <c r="B407">
        <f>IF(ISNUMBER(Events!$A409),DATE(YEAR($B$1)-1,MONTH(Events!$A409),DAY(Events!$A409)),"")</f>
        <v/>
      </c>
      <c r="C407">
        <f>IF(ISNUMBER(Events!$A409),DATE(YEAR($B$1),MONTH(Events!$A409),DAY(Events!$A409)),"")</f>
        <v/>
      </c>
      <c r="D407">
        <f>IF(ISNUMBER(Events!$A409),DATE(YEAR($B$2),MONTH(Events!$A409),DAY(Events!$A409)),"")</f>
        <v/>
      </c>
      <c r="E407">
        <f>IF(OR(NOT(ISNUMBER(Events!$A409)),Events!$G409="No",Calendar!$H$4="None"),"",IF(OR(Calendar!$H$4="All events",Events!$D409=Calendar!$H$4),IF(Events!$E409="Yes",IF(AND(B407&gt;=Events!$A409,B407&lt;=$B$2,B407+$A407&gt;=$B$1),B407,IF(AND(C407&gt;=Events!$A409,C407&lt;=$B$2,C407+$A407&gt;=$B$1),C407,IF(AND(D407&gt;=Events!$A409,D407&lt;=$B$2,D407+$A407&gt;=$B$1),D407,""))),IF(AND(Events!$A409&lt;=$B$2,Events!$A409+$A407&gt;=$B$1),Events!$A409,"")),""))</f>
        <v/>
      </c>
      <c r="F407">
        <f>IF(E407="","",E407+A407)</f>
        <v/>
      </c>
      <c r="G407">
        <f>IF(E407="","",IF(AND(E407&lt;=EOMONTH(Calendar!$K$2,0),F407&gt;=Calendar!$K$2),E407+404/100000,""))</f>
        <v/>
      </c>
      <c r="H407">
        <f>H406+IF(AND($E407&lt;&gt;"",$E407&lt;=H$2,$F407&gt;=H$2),1,0)</f>
        <v/>
      </c>
      <c r="I407">
        <f>I406+IF(AND($E407&lt;&gt;"",$E407&lt;=I$2,$F407&gt;=I$2),1,0)</f>
        <v/>
      </c>
      <c r="J407">
        <f>J406+IF(AND($E407&lt;&gt;"",$E407&lt;=J$2,$F407&gt;=J$2),1,0)</f>
        <v/>
      </c>
      <c r="K407">
        <f>K406+IF(AND($E407&lt;&gt;"",$E407&lt;=K$2,$F407&gt;=K$2),1,0)</f>
        <v/>
      </c>
      <c r="L407">
        <f>L406+IF(AND($E407&lt;&gt;"",$E407&lt;=L$2,$F407&gt;=L$2),1,0)</f>
        <v/>
      </c>
      <c r="M407">
        <f>M406+IF(AND($E407&lt;&gt;"",$E407&lt;=M$2,$F407&gt;=M$2),1,0)</f>
        <v/>
      </c>
      <c r="N407">
        <f>N406+IF(AND($E407&lt;&gt;"",$E407&lt;=N$2,$F407&gt;=N$2),1,0)</f>
        <v/>
      </c>
      <c r="O407">
        <f>O406+IF(AND($E407&lt;&gt;"",$E407&lt;=O$2,$F407&gt;=O$2),1,0)</f>
        <v/>
      </c>
      <c r="P407">
        <f>P406+IF(AND($E407&lt;&gt;"",$E407&lt;=P$2,$F407&gt;=P$2),1,0)</f>
        <v/>
      </c>
      <c r="Q407">
        <f>Q406+IF(AND($E407&lt;&gt;"",$E407&lt;=Q$2,$F407&gt;=Q$2),1,0)</f>
        <v/>
      </c>
      <c r="R407">
        <f>R406+IF(AND($E407&lt;&gt;"",$E407&lt;=R$2,$F407&gt;=R$2),1,0)</f>
        <v/>
      </c>
      <c r="S407">
        <f>S406+IF(AND($E407&lt;&gt;"",$E407&lt;=S$2,$F407&gt;=S$2),1,0)</f>
        <v/>
      </c>
      <c r="T407">
        <f>T406+IF(AND($E407&lt;&gt;"",$E407&lt;=T$2,$F407&gt;=T$2),1,0)</f>
        <v/>
      </c>
      <c r="U407">
        <f>U406+IF(AND($E407&lt;&gt;"",$E407&lt;=U$2,$F407&gt;=U$2),1,0)</f>
        <v/>
      </c>
      <c r="V407">
        <f>V406+IF(AND($E407&lt;&gt;"",$E407&lt;=V$2,$F407&gt;=V$2),1,0)</f>
        <v/>
      </c>
      <c r="W407">
        <f>W406+IF(AND($E407&lt;&gt;"",$E407&lt;=W$2,$F407&gt;=W$2),1,0)</f>
        <v/>
      </c>
      <c r="X407">
        <f>X406+IF(AND($E407&lt;&gt;"",$E407&lt;=X$2,$F407&gt;=X$2),1,0)</f>
        <v/>
      </c>
      <c r="Y407">
        <f>Y406+IF(AND($E407&lt;&gt;"",$E407&lt;=Y$2,$F407&gt;=Y$2),1,0)</f>
        <v/>
      </c>
      <c r="Z407">
        <f>Z406+IF(AND($E407&lt;&gt;"",$E407&lt;=Z$2,$F407&gt;=Z$2),1,0)</f>
        <v/>
      </c>
      <c r="AA407">
        <f>AA406+IF(AND($E407&lt;&gt;"",$E407&lt;=AA$2,$F407&gt;=AA$2),1,0)</f>
        <v/>
      </c>
      <c r="AB407">
        <f>AB406+IF(AND($E407&lt;&gt;"",$E407&lt;=AB$2,$F407&gt;=AB$2),1,0)</f>
        <v/>
      </c>
      <c r="AC407">
        <f>AC406+IF(AND($E407&lt;&gt;"",$E407&lt;=AC$2,$F407&gt;=AC$2),1,0)</f>
        <v/>
      </c>
      <c r="AD407">
        <f>AD406+IF(AND($E407&lt;&gt;"",$E407&lt;=AD$2,$F407&gt;=AD$2),1,0)</f>
        <v/>
      </c>
      <c r="AE407">
        <f>AE406+IF(AND($E407&lt;&gt;"",$E407&lt;=AE$2,$F407&gt;=AE$2),1,0)</f>
        <v/>
      </c>
      <c r="AF407">
        <f>AF406+IF(AND($E407&lt;&gt;"",$E407&lt;=AF$2,$F407&gt;=AF$2),1,0)</f>
        <v/>
      </c>
      <c r="AG407">
        <f>AG406+IF(AND($E407&lt;&gt;"",$E407&lt;=AG$2,$F407&gt;=AG$2),1,0)</f>
        <v/>
      </c>
      <c r="AH407">
        <f>AH406+IF(AND($E407&lt;&gt;"",$E407&lt;=AH$2,$F407&gt;=AH$2),1,0)</f>
        <v/>
      </c>
      <c r="AI407">
        <f>AI406+IF(AND($E407&lt;&gt;"",$E407&lt;=AI$2,$F407&gt;=AI$2),1,0)</f>
        <v/>
      </c>
      <c r="AJ407">
        <f>AJ406+IF(AND($E407&lt;&gt;"",$E407&lt;=AJ$2,$F407&gt;=AJ$2),1,0)</f>
        <v/>
      </c>
      <c r="AK407">
        <f>AK406+IF(AND($E407&lt;&gt;"",$E407&lt;=AK$2,$F407&gt;=AK$2),1,0)</f>
        <v/>
      </c>
      <c r="AL407">
        <f>AL406+IF(AND($E407&lt;&gt;"",$E407&lt;=AL$2,$F407&gt;=AL$2),1,0)</f>
        <v/>
      </c>
      <c r="AM407">
        <f>AM406+IF(AND($E407&lt;&gt;"",$E407&lt;=AM$2,$F407&gt;=AM$2),1,0)</f>
        <v/>
      </c>
      <c r="AN407">
        <f>AN406+IF(AND($E407&lt;&gt;"",$E407&lt;=AN$2,$F407&gt;=AN$2),1,0)</f>
        <v/>
      </c>
      <c r="AO407">
        <f>AO406+IF(AND($E407&lt;&gt;"",$E407&lt;=AO$2,$F407&gt;=AO$2),1,0)</f>
        <v/>
      </c>
      <c r="AP407">
        <f>AP406+IF(AND($E407&lt;&gt;"",$E407&lt;=AP$2,$F407&gt;=AP$2),1,0)</f>
        <v/>
      </c>
      <c r="AQ407">
        <f>AQ406+IF(AND($E407&lt;&gt;"",$E407&lt;=AQ$2,$F407&gt;=AQ$2),1,0)</f>
        <v/>
      </c>
      <c r="AR407">
        <f>AR406+IF(AND($E407&lt;&gt;"",$E407&lt;=AR$2,$F407&gt;=AR$2),1,0)</f>
        <v/>
      </c>
      <c r="AS407">
        <f>AS406+IF(AND($E407&lt;&gt;"",$E407&lt;=AS$2,$F407&gt;=AS$2),1,0)</f>
        <v/>
      </c>
      <c r="AT407">
        <f>AT406+IF(AND($E407&lt;&gt;"",$E407&lt;=AT$2,$F407&gt;=AT$2),1,0)</f>
        <v/>
      </c>
      <c r="AU407">
        <f>AU406+IF(AND($E407&lt;&gt;"",$E407&lt;=AU$2,$F407&gt;=AU$2),1,0)</f>
        <v/>
      </c>
      <c r="AV407">
        <f>AV406+IF(AND($E407&lt;&gt;"",$E407&lt;=AV$2,$F407&gt;=AV$2),1,0)</f>
        <v/>
      </c>
      <c r="AW407">
        <f>AW406+IF(AND($E407&lt;&gt;"",$E407&lt;=AW$2,$F407&gt;=AW$2),1,0)</f>
        <v/>
      </c>
    </row>
    <row r="408">
      <c r="A408">
        <f>IF(AND(ISNUMBER(Events!$A410),ISNUMBER(Events!$B410)),MAX(0,Events!$B410-Events!$A410),0)</f>
        <v/>
      </c>
      <c r="B408">
        <f>IF(ISNUMBER(Events!$A410),DATE(YEAR($B$1)-1,MONTH(Events!$A410),DAY(Events!$A410)),"")</f>
        <v/>
      </c>
      <c r="C408">
        <f>IF(ISNUMBER(Events!$A410),DATE(YEAR($B$1),MONTH(Events!$A410),DAY(Events!$A410)),"")</f>
        <v/>
      </c>
      <c r="D408">
        <f>IF(ISNUMBER(Events!$A410),DATE(YEAR($B$2),MONTH(Events!$A410),DAY(Events!$A410)),"")</f>
        <v/>
      </c>
      <c r="E408">
        <f>IF(OR(NOT(ISNUMBER(Events!$A410)),Events!$G410="No",Calendar!$H$4="None"),"",IF(OR(Calendar!$H$4="All events",Events!$D410=Calendar!$H$4),IF(Events!$E410="Yes",IF(AND(B408&gt;=Events!$A410,B408&lt;=$B$2,B408+$A408&gt;=$B$1),B408,IF(AND(C408&gt;=Events!$A410,C408&lt;=$B$2,C408+$A408&gt;=$B$1),C408,IF(AND(D408&gt;=Events!$A410,D408&lt;=$B$2,D408+$A408&gt;=$B$1),D408,""))),IF(AND(Events!$A410&lt;=$B$2,Events!$A410+$A408&gt;=$B$1),Events!$A410,"")),""))</f>
        <v/>
      </c>
      <c r="F408">
        <f>IF(E408="","",E408+A408)</f>
        <v/>
      </c>
      <c r="G408">
        <f>IF(E408="","",IF(AND(E408&lt;=EOMONTH(Calendar!$K$2,0),F408&gt;=Calendar!$K$2),E408+405/100000,""))</f>
        <v/>
      </c>
      <c r="H408">
        <f>H407+IF(AND($E408&lt;&gt;"",$E408&lt;=H$2,$F408&gt;=H$2),1,0)</f>
        <v/>
      </c>
      <c r="I408">
        <f>I407+IF(AND($E408&lt;&gt;"",$E408&lt;=I$2,$F408&gt;=I$2),1,0)</f>
        <v/>
      </c>
      <c r="J408">
        <f>J407+IF(AND($E408&lt;&gt;"",$E408&lt;=J$2,$F408&gt;=J$2),1,0)</f>
        <v/>
      </c>
      <c r="K408">
        <f>K407+IF(AND($E408&lt;&gt;"",$E408&lt;=K$2,$F408&gt;=K$2),1,0)</f>
        <v/>
      </c>
      <c r="L408">
        <f>L407+IF(AND($E408&lt;&gt;"",$E408&lt;=L$2,$F408&gt;=L$2),1,0)</f>
        <v/>
      </c>
      <c r="M408">
        <f>M407+IF(AND($E408&lt;&gt;"",$E408&lt;=M$2,$F408&gt;=M$2),1,0)</f>
        <v/>
      </c>
      <c r="N408">
        <f>N407+IF(AND($E408&lt;&gt;"",$E408&lt;=N$2,$F408&gt;=N$2),1,0)</f>
        <v/>
      </c>
      <c r="O408">
        <f>O407+IF(AND($E408&lt;&gt;"",$E408&lt;=O$2,$F408&gt;=O$2),1,0)</f>
        <v/>
      </c>
      <c r="P408">
        <f>P407+IF(AND($E408&lt;&gt;"",$E408&lt;=P$2,$F408&gt;=P$2),1,0)</f>
        <v/>
      </c>
      <c r="Q408">
        <f>Q407+IF(AND($E408&lt;&gt;"",$E408&lt;=Q$2,$F408&gt;=Q$2),1,0)</f>
        <v/>
      </c>
      <c r="R408">
        <f>R407+IF(AND($E408&lt;&gt;"",$E408&lt;=R$2,$F408&gt;=R$2),1,0)</f>
        <v/>
      </c>
      <c r="S408">
        <f>S407+IF(AND($E408&lt;&gt;"",$E408&lt;=S$2,$F408&gt;=S$2),1,0)</f>
        <v/>
      </c>
      <c r="T408">
        <f>T407+IF(AND($E408&lt;&gt;"",$E408&lt;=T$2,$F408&gt;=T$2),1,0)</f>
        <v/>
      </c>
      <c r="U408">
        <f>U407+IF(AND($E408&lt;&gt;"",$E408&lt;=U$2,$F408&gt;=U$2),1,0)</f>
        <v/>
      </c>
      <c r="V408">
        <f>V407+IF(AND($E408&lt;&gt;"",$E408&lt;=V$2,$F408&gt;=V$2),1,0)</f>
        <v/>
      </c>
      <c r="W408">
        <f>W407+IF(AND($E408&lt;&gt;"",$E408&lt;=W$2,$F408&gt;=W$2),1,0)</f>
        <v/>
      </c>
      <c r="X408">
        <f>X407+IF(AND($E408&lt;&gt;"",$E408&lt;=X$2,$F408&gt;=X$2),1,0)</f>
        <v/>
      </c>
      <c r="Y408">
        <f>Y407+IF(AND($E408&lt;&gt;"",$E408&lt;=Y$2,$F408&gt;=Y$2),1,0)</f>
        <v/>
      </c>
      <c r="Z408">
        <f>Z407+IF(AND($E408&lt;&gt;"",$E408&lt;=Z$2,$F408&gt;=Z$2),1,0)</f>
        <v/>
      </c>
      <c r="AA408">
        <f>AA407+IF(AND($E408&lt;&gt;"",$E408&lt;=AA$2,$F408&gt;=AA$2),1,0)</f>
        <v/>
      </c>
      <c r="AB408">
        <f>AB407+IF(AND($E408&lt;&gt;"",$E408&lt;=AB$2,$F408&gt;=AB$2),1,0)</f>
        <v/>
      </c>
      <c r="AC408">
        <f>AC407+IF(AND($E408&lt;&gt;"",$E408&lt;=AC$2,$F408&gt;=AC$2),1,0)</f>
        <v/>
      </c>
      <c r="AD408">
        <f>AD407+IF(AND($E408&lt;&gt;"",$E408&lt;=AD$2,$F408&gt;=AD$2),1,0)</f>
        <v/>
      </c>
      <c r="AE408">
        <f>AE407+IF(AND($E408&lt;&gt;"",$E408&lt;=AE$2,$F408&gt;=AE$2),1,0)</f>
        <v/>
      </c>
      <c r="AF408">
        <f>AF407+IF(AND($E408&lt;&gt;"",$E408&lt;=AF$2,$F408&gt;=AF$2),1,0)</f>
        <v/>
      </c>
      <c r="AG408">
        <f>AG407+IF(AND($E408&lt;&gt;"",$E408&lt;=AG$2,$F408&gt;=AG$2),1,0)</f>
        <v/>
      </c>
      <c r="AH408">
        <f>AH407+IF(AND($E408&lt;&gt;"",$E408&lt;=AH$2,$F408&gt;=AH$2),1,0)</f>
        <v/>
      </c>
      <c r="AI408">
        <f>AI407+IF(AND($E408&lt;&gt;"",$E408&lt;=AI$2,$F408&gt;=AI$2),1,0)</f>
        <v/>
      </c>
      <c r="AJ408">
        <f>AJ407+IF(AND($E408&lt;&gt;"",$E408&lt;=AJ$2,$F408&gt;=AJ$2),1,0)</f>
        <v/>
      </c>
      <c r="AK408">
        <f>AK407+IF(AND($E408&lt;&gt;"",$E408&lt;=AK$2,$F408&gt;=AK$2),1,0)</f>
        <v/>
      </c>
      <c r="AL408">
        <f>AL407+IF(AND($E408&lt;&gt;"",$E408&lt;=AL$2,$F408&gt;=AL$2),1,0)</f>
        <v/>
      </c>
      <c r="AM408">
        <f>AM407+IF(AND($E408&lt;&gt;"",$E408&lt;=AM$2,$F408&gt;=AM$2),1,0)</f>
        <v/>
      </c>
      <c r="AN408">
        <f>AN407+IF(AND($E408&lt;&gt;"",$E408&lt;=AN$2,$F408&gt;=AN$2),1,0)</f>
        <v/>
      </c>
      <c r="AO408">
        <f>AO407+IF(AND($E408&lt;&gt;"",$E408&lt;=AO$2,$F408&gt;=AO$2),1,0)</f>
        <v/>
      </c>
      <c r="AP408">
        <f>AP407+IF(AND($E408&lt;&gt;"",$E408&lt;=AP$2,$F408&gt;=AP$2),1,0)</f>
        <v/>
      </c>
      <c r="AQ408">
        <f>AQ407+IF(AND($E408&lt;&gt;"",$E408&lt;=AQ$2,$F408&gt;=AQ$2),1,0)</f>
        <v/>
      </c>
      <c r="AR408">
        <f>AR407+IF(AND($E408&lt;&gt;"",$E408&lt;=AR$2,$F408&gt;=AR$2),1,0)</f>
        <v/>
      </c>
      <c r="AS408">
        <f>AS407+IF(AND($E408&lt;&gt;"",$E408&lt;=AS$2,$F408&gt;=AS$2),1,0)</f>
        <v/>
      </c>
      <c r="AT408">
        <f>AT407+IF(AND($E408&lt;&gt;"",$E408&lt;=AT$2,$F408&gt;=AT$2),1,0)</f>
        <v/>
      </c>
      <c r="AU408">
        <f>AU407+IF(AND($E408&lt;&gt;"",$E408&lt;=AU$2,$F408&gt;=AU$2),1,0)</f>
        <v/>
      </c>
      <c r="AV408">
        <f>AV407+IF(AND($E408&lt;&gt;"",$E408&lt;=AV$2,$F408&gt;=AV$2),1,0)</f>
        <v/>
      </c>
      <c r="AW408">
        <f>AW407+IF(AND($E408&lt;&gt;"",$E408&lt;=AW$2,$F408&gt;=AW$2),1,0)</f>
        <v/>
      </c>
    </row>
    <row r="409">
      <c r="A409">
        <f>IF(AND(ISNUMBER(Events!$A411),ISNUMBER(Events!$B411)),MAX(0,Events!$B411-Events!$A411),0)</f>
        <v/>
      </c>
      <c r="B409">
        <f>IF(ISNUMBER(Events!$A411),DATE(YEAR($B$1)-1,MONTH(Events!$A411),DAY(Events!$A411)),"")</f>
        <v/>
      </c>
      <c r="C409">
        <f>IF(ISNUMBER(Events!$A411),DATE(YEAR($B$1),MONTH(Events!$A411),DAY(Events!$A411)),"")</f>
        <v/>
      </c>
      <c r="D409">
        <f>IF(ISNUMBER(Events!$A411),DATE(YEAR($B$2),MONTH(Events!$A411),DAY(Events!$A411)),"")</f>
        <v/>
      </c>
      <c r="E409">
        <f>IF(OR(NOT(ISNUMBER(Events!$A411)),Events!$G411="No",Calendar!$H$4="None"),"",IF(OR(Calendar!$H$4="All events",Events!$D411=Calendar!$H$4),IF(Events!$E411="Yes",IF(AND(B409&gt;=Events!$A411,B409&lt;=$B$2,B409+$A409&gt;=$B$1),B409,IF(AND(C409&gt;=Events!$A411,C409&lt;=$B$2,C409+$A409&gt;=$B$1),C409,IF(AND(D409&gt;=Events!$A411,D409&lt;=$B$2,D409+$A409&gt;=$B$1),D409,""))),IF(AND(Events!$A411&lt;=$B$2,Events!$A411+$A409&gt;=$B$1),Events!$A411,"")),""))</f>
        <v/>
      </c>
      <c r="F409">
        <f>IF(E409="","",E409+A409)</f>
        <v/>
      </c>
      <c r="G409">
        <f>IF(E409="","",IF(AND(E409&lt;=EOMONTH(Calendar!$K$2,0),F409&gt;=Calendar!$K$2),E409+406/100000,""))</f>
        <v/>
      </c>
      <c r="H409">
        <f>H408+IF(AND($E409&lt;&gt;"",$E409&lt;=H$2,$F409&gt;=H$2),1,0)</f>
        <v/>
      </c>
      <c r="I409">
        <f>I408+IF(AND($E409&lt;&gt;"",$E409&lt;=I$2,$F409&gt;=I$2),1,0)</f>
        <v/>
      </c>
      <c r="J409">
        <f>J408+IF(AND($E409&lt;&gt;"",$E409&lt;=J$2,$F409&gt;=J$2),1,0)</f>
        <v/>
      </c>
      <c r="K409">
        <f>K408+IF(AND($E409&lt;&gt;"",$E409&lt;=K$2,$F409&gt;=K$2),1,0)</f>
        <v/>
      </c>
      <c r="L409">
        <f>L408+IF(AND($E409&lt;&gt;"",$E409&lt;=L$2,$F409&gt;=L$2),1,0)</f>
        <v/>
      </c>
      <c r="M409">
        <f>M408+IF(AND($E409&lt;&gt;"",$E409&lt;=M$2,$F409&gt;=M$2),1,0)</f>
        <v/>
      </c>
      <c r="N409">
        <f>N408+IF(AND($E409&lt;&gt;"",$E409&lt;=N$2,$F409&gt;=N$2),1,0)</f>
        <v/>
      </c>
      <c r="O409">
        <f>O408+IF(AND($E409&lt;&gt;"",$E409&lt;=O$2,$F409&gt;=O$2),1,0)</f>
        <v/>
      </c>
      <c r="P409">
        <f>P408+IF(AND($E409&lt;&gt;"",$E409&lt;=P$2,$F409&gt;=P$2),1,0)</f>
        <v/>
      </c>
      <c r="Q409">
        <f>Q408+IF(AND($E409&lt;&gt;"",$E409&lt;=Q$2,$F409&gt;=Q$2),1,0)</f>
        <v/>
      </c>
      <c r="R409">
        <f>R408+IF(AND($E409&lt;&gt;"",$E409&lt;=R$2,$F409&gt;=R$2),1,0)</f>
        <v/>
      </c>
      <c r="S409">
        <f>S408+IF(AND($E409&lt;&gt;"",$E409&lt;=S$2,$F409&gt;=S$2),1,0)</f>
        <v/>
      </c>
      <c r="T409">
        <f>T408+IF(AND($E409&lt;&gt;"",$E409&lt;=T$2,$F409&gt;=T$2),1,0)</f>
        <v/>
      </c>
      <c r="U409">
        <f>U408+IF(AND($E409&lt;&gt;"",$E409&lt;=U$2,$F409&gt;=U$2),1,0)</f>
        <v/>
      </c>
      <c r="V409">
        <f>V408+IF(AND($E409&lt;&gt;"",$E409&lt;=V$2,$F409&gt;=V$2),1,0)</f>
        <v/>
      </c>
      <c r="W409">
        <f>W408+IF(AND($E409&lt;&gt;"",$E409&lt;=W$2,$F409&gt;=W$2),1,0)</f>
        <v/>
      </c>
      <c r="X409">
        <f>X408+IF(AND($E409&lt;&gt;"",$E409&lt;=X$2,$F409&gt;=X$2),1,0)</f>
        <v/>
      </c>
      <c r="Y409">
        <f>Y408+IF(AND($E409&lt;&gt;"",$E409&lt;=Y$2,$F409&gt;=Y$2),1,0)</f>
        <v/>
      </c>
      <c r="Z409">
        <f>Z408+IF(AND($E409&lt;&gt;"",$E409&lt;=Z$2,$F409&gt;=Z$2),1,0)</f>
        <v/>
      </c>
      <c r="AA409">
        <f>AA408+IF(AND($E409&lt;&gt;"",$E409&lt;=AA$2,$F409&gt;=AA$2),1,0)</f>
        <v/>
      </c>
      <c r="AB409">
        <f>AB408+IF(AND($E409&lt;&gt;"",$E409&lt;=AB$2,$F409&gt;=AB$2),1,0)</f>
        <v/>
      </c>
      <c r="AC409">
        <f>AC408+IF(AND($E409&lt;&gt;"",$E409&lt;=AC$2,$F409&gt;=AC$2),1,0)</f>
        <v/>
      </c>
      <c r="AD409">
        <f>AD408+IF(AND($E409&lt;&gt;"",$E409&lt;=AD$2,$F409&gt;=AD$2),1,0)</f>
        <v/>
      </c>
      <c r="AE409">
        <f>AE408+IF(AND($E409&lt;&gt;"",$E409&lt;=AE$2,$F409&gt;=AE$2),1,0)</f>
        <v/>
      </c>
      <c r="AF409">
        <f>AF408+IF(AND($E409&lt;&gt;"",$E409&lt;=AF$2,$F409&gt;=AF$2),1,0)</f>
        <v/>
      </c>
      <c r="AG409">
        <f>AG408+IF(AND($E409&lt;&gt;"",$E409&lt;=AG$2,$F409&gt;=AG$2),1,0)</f>
        <v/>
      </c>
      <c r="AH409">
        <f>AH408+IF(AND($E409&lt;&gt;"",$E409&lt;=AH$2,$F409&gt;=AH$2),1,0)</f>
        <v/>
      </c>
      <c r="AI409">
        <f>AI408+IF(AND($E409&lt;&gt;"",$E409&lt;=AI$2,$F409&gt;=AI$2),1,0)</f>
        <v/>
      </c>
      <c r="AJ409">
        <f>AJ408+IF(AND($E409&lt;&gt;"",$E409&lt;=AJ$2,$F409&gt;=AJ$2),1,0)</f>
        <v/>
      </c>
      <c r="AK409">
        <f>AK408+IF(AND($E409&lt;&gt;"",$E409&lt;=AK$2,$F409&gt;=AK$2),1,0)</f>
        <v/>
      </c>
      <c r="AL409">
        <f>AL408+IF(AND($E409&lt;&gt;"",$E409&lt;=AL$2,$F409&gt;=AL$2),1,0)</f>
        <v/>
      </c>
      <c r="AM409">
        <f>AM408+IF(AND($E409&lt;&gt;"",$E409&lt;=AM$2,$F409&gt;=AM$2),1,0)</f>
        <v/>
      </c>
      <c r="AN409">
        <f>AN408+IF(AND($E409&lt;&gt;"",$E409&lt;=AN$2,$F409&gt;=AN$2),1,0)</f>
        <v/>
      </c>
      <c r="AO409">
        <f>AO408+IF(AND($E409&lt;&gt;"",$E409&lt;=AO$2,$F409&gt;=AO$2),1,0)</f>
        <v/>
      </c>
      <c r="AP409">
        <f>AP408+IF(AND($E409&lt;&gt;"",$E409&lt;=AP$2,$F409&gt;=AP$2),1,0)</f>
        <v/>
      </c>
      <c r="AQ409">
        <f>AQ408+IF(AND($E409&lt;&gt;"",$E409&lt;=AQ$2,$F409&gt;=AQ$2),1,0)</f>
        <v/>
      </c>
      <c r="AR409">
        <f>AR408+IF(AND($E409&lt;&gt;"",$E409&lt;=AR$2,$F409&gt;=AR$2),1,0)</f>
        <v/>
      </c>
      <c r="AS409">
        <f>AS408+IF(AND($E409&lt;&gt;"",$E409&lt;=AS$2,$F409&gt;=AS$2),1,0)</f>
        <v/>
      </c>
      <c r="AT409">
        <f>AT408+IF(AND($E409&lt;&gt;"",$E409&lt;=AT$2,$F409&gt;=AT$2),1,0)</f>
        <v/>
      </c>
      <c r="AU409">
        <f>AU408+IF(AND($E409&lt;&gt;"",$E409&lt;=AU$2,$F409&gt;=AU$2),1,0)</f>
        <v/>
      </c>
      <c r="AV409">
        <f>AV408+IF(AND($E409&lt;&gt;"",$E409&lt;=AV$2,$F409&gt;=AV$2),1,0)</f>
        <v/>
      </c>
      <c r="AW409">
        <f>AW408+IF(AND($E409&lt;&gt;"",$E409&lt;=AW$2,$F409&gt;=AW$2),1,0)</f>
        <v/>
      </c>
    </row>
    <row r="410">
      <c r="A410">
        <f>IF(AND(ISNUMBER(Events!$A412),ISNUMBER(Events!$B412)),MAX(0,Events!$B412-Events!$A412),0)</f>
        <v/>
      </c>
      <c r="B410">
        <f>IF(ISNUMBER(Events!$A412),DATE(YEAR($B$1)-1,MONTH(Events!$A412),DAY(Events!$A412)),"")</f>
        <v/>
      </c>
      <c r="C410">
        <f>IF(ISNUMBER(Events!$A412),DATE(YEAR($B$1),MONTH(Events!$A412),DAY(Events!$A412)),"")</f>
        <v/>
      </c>
      <c r="D410">
        <f>IF(ISNUMBER(Events!$A412),DATE(YEAR($B$2),MONTH(Events!$A412),DAY(Events!$A412)),"")</f>
        <v/>
      </c>
      <c r="E410">
        <f>IF(OR(NOT(ISNUMBER(Events!$A412)),Events!$G412="No",Calendar!$H$4="None"),"",IF(OR(Calendar!$H$4="All events",Events!$D412=Calendar!$H$4),IF(Events!$E412="Yes",IF(AND(B410&gt;=Events!$A412,B410&lt;=$B$2,B410+$A410&gt;=$B$1),B410,IF(AND(C410&gt;=Events!$A412,C410&lt;=$B$2,C410+$A410&gt;=$B$1),C410,IF(AND(D410&gt;=Events!$A412,D410&lt;=$B$2,D410+$A410&gt;=$B$1),D410,""))),IF(AND(Events!$A412&lt;=$B$2,Events!$A412+$A410&gt;=$B$1),Events!$A412,"")),""))</f>
        <v/>
      </c>
      <c r="F410">
        <f>IF(E410="","",E410+A410)</f>
        <v/>
      </c>
      <c r="G410">
        <f>IF(E410="","",IF(AND(E410&lt;=EOMONTH(Calendar!$K$2,0),F410&gt;=Calendar!$K$2),E410+407/100000,""))</f>
        <v/>
      </c>
      <c r="H410">
        <f>H409+IF(AND($E410&lt;&gt;"",$E410&lt;=H$2,$F410&gt;=H$2),1,0)</f>
        <v/>
      </c>
      <c r="I410">
        <f>I409+IF(AND($E410&lt;&gt;"",$E410&lt;=I$2,$F410&gt;=I$2),1,0)</f>
        <v/>
      </c>
      <c r="J410">
        <f>J409+IF(AND($E410&lt;&gt;"",$E410&lt;=J$2,$F410&gt;=J$2),1,0)</f>
        <v/>
      </c>
      <c r="K410">
        <f>K409+IF(AND($E410&lt;&gt;"",$E410&lt;=K$2,$F410&gt;=K$2),1,0)</f>
        <v/>
      </c>
      <c r="L410">
        <f>L409+IF(AND($E410&lt;&gt;"",$E410&lt;=L$2,$F410&gt;=L$2),1,0)</f>
        <v/>
      </c>
      <c r="M410">
        <f>M409+IF(AND($E410&lt;&gt;"",$E410&lt;=M$2,$F410&gt;=M$2),1,0)</f>
        <v/>
      </c>
      <c r="N410">
        <f>N409+IF(AND($E410&lt;&gt;"",$E410&lt;=N$2,$F410&gt;=N$2),1,0)</f>
        <v/>
      </c>
      <c r="O410">
        <f>O409+IF(AND($E410&lt;&gt;"",$E410&lt;=O$2,$F410&gt;=O$2),1,0)</f>
        <v/>
      </c>
      <c r="P410">
        <f>P409+IF(AND($E410&lt;&gt;"",$E410&lt;=P$2,$F410&gt;=P$2),1,0)</f>
        <v/>
      </c>
      <c r="Q410">
        <f>Q409+IF(AND($E410&lt;&gt;"",$E410&lt;=Q$2,$F410&gt;=Q$2),1,0)</f>
        <v/>
      </c>
      <c r="R410">
        <f>R409+IF(AND($E410&lt;&gt;"",$E410&lt;=R$2,$F410&gt;=R$2),1,0)</f>
        <v/>
      </c>
      <c r="S410">
        <f>S409+IF(AND($E410&lt;&gt;"",$E410&lt;=S$2,$F410&gt;=S$2),1,0)</f>
        <v/>
      </c>
      <c r="T410">
        <f>T409+IF(AND($E410&lt;&gt;"",$E410&lt;=T$2,$F410&gt;=T$2),1,0)</f>
        <v/>
      </c>
      <c r="U410">
        <f>U409+IF(AND($E410&lt;&gt;"",$E410&lt;=U$2,$F410&gt;=U$2),1,0)</f>
        <v/>
      </c>
      <c r="V410">
        <f>V409+IF(AND($E410&lt;&gt;"",$E410&lt;=V$2,$F410&gt;=V$2),1,0)</f>
        <v/>
      </c>
      <c r="W410">
        <f>W409+IF(AND($E410&lt;&gt;"",$E410&lt;=W$2,$F410&gt;=W$2),1,0)</f>
        <v/>
      </c>
      <c r="X410">
        <f>X409+IF(AND($E410&lt;&gt;"",$E410&lt;=X$2,$F410&gt;=X$2),1,0)</f>
        <v/>
      </c>
      <c r="Y410">
        <f>Y409+IF(AND($E410&lt;&gt;"",$E410&lt;=Y$2,$F410&gt;=Y$2),1,0)</f>
        <v/>
      </c>
      <c r="Z410">
        <f>Z409+IF(AND($E410&lt;&gt;"",$E410&lt;=Z$2,$F410&gt;=Z$2),1,0)</f>
        <v/>
      </c>
      <c r="AA410">
        <f>AA409+IF(AND($E410&lt;&gt;"",$E410&lt;=AA$2,$F410&gt;=AA$2),1,0)</f>
        <v/>
      </c>
      <c r="AB410">
        <f>AB409+IF(AND($E410&lt;&gt;"",$E410&lt;=AB$2,$F410&gt;=AB$2),1,0)</f>
        <v/>
      </c>
      <c r="AC410">
        <f>AC409+IF(AND($E410&lt;&gt;"",$E410&lt;=AC$2,$F410&gt;=AC$2),1,0)</f>
        <v/>
      </c>
      <c r="AD410">
        <f>AD409+IF(AND($E410&lt;&gt;"",$E410&lt;=AD$2,$F410&gt;=AD$2),1,0)</f>
        <v/>
      </c>
      <c r="AE410">
        <f>AE409+IF(AND($E410&lt;&gt;"",$E410&lt;=AE$2,$F410&gt;=AE$2),1,0)</f>
        <v/>
      </c>
      <c r="AF410">
        <f>AF409+IF(AND($E410&lt;&gt;"",$E410&lt;=AF$2,$F410&gt;=AF$2),1,0)</f>
        <v/>
      </c>
      <c r="AG410">
        <f>AG409+IF(AND($E410&lt;&gt;"",$E410&lt;=AG$2,$F410&gt;=AG$2),1,0)</f>
        <v/>
      </c>
      <c r="AH410">
        <f>AH409+IF(AND($E410&lt;&gt;"",$E410&lt;=AH$2,$F410&gt;=AH$2),1,0)</f>
        <v/>
      </c>
      <c r="AI410">
        <f>AI409+IF(AND($E410&lt;&gt;"",$E410&lt;=AI$2,$F410&gt;=AI$2),1,0)</f>
        <v/>
      </c>
      <c r="AJ410">
        <f>AJ409+IF(AND($E410&lt;&gt;"",$E410&lt;=AJ$2,$F410&gt;=AJ$2),1,0)</f>
        <v/>
      </c>
      <c r="AK410">
        <f>AK409+IF(AND($E410&lt;&gt;"",$E410&lt;=AK$2,$F410&gt;=AK$2),1,0)</f>
        <v/>
      </c>
      <c r="AL410">
        <f>AL409+IF(AND($E410&lt;&gt;"",$E410&lt;=AL$2,$F410&gt;=AL$2),1,0)</f>
        <v/>
      </c>
      <c r="AM410">
        <f>AM409+IF(AND($E410&lt;&gt;"",$E410&lt;=AM$2,$F410&gt;=AM$2),1,0)</f>
        <v/>
      </c>
      <c r="AN410">
        <f>AN409+IF(AND($E410&lt;&gt;"",$E410&lt;=AN$2,$F410&gt;=AN$2),1,0)</f>
        <v/>
      </c>
      <c r="AO410">
        <f>AO409+IF(AND($E410&lt;&gt;"",$E410&lt;=AO$2,$F410&gt;=AO$2),1,0)</f>
        <v/>
      </c>
      <c r="AP410">
        <f>AP409+IF(AND($E410&lt;&gt;"",$E410&lt;=AP$2,$F410&gt;=AP$2),1,0)</f>
        <v/>
      </c>
      <c r="AQ410">
        <f>AQ409+IF(AND($E410&lt;&gt;"",$E410&lt;=AQ$2,$F410&gt;=AQ$2),1,0)</f>
        <v/>
      </c>
      <c r="AR410">
        <f>AR409+IF(AND($E410&lt;&gt;"",$E410&lt;=AR$2,$F410&gt;=AR$2),1,0)</f>
        <v/>
      </c>
      <c r="AS410">
        <f>AS409+IF(AND($E410&lt;&gt;"",$E410&lt;=AS$2,$F410&gt;=AS$2),1,0)</f>
        <v/>
      </c>
      <c r="AT410">
        <f>AT409+IF(AND($E410&lt;&gt;"",$E410&lt;=AT$2,$F410&gt;=AT$2),1,0)</f>
        <v/>
      </c>
      <c r="AU410">
        <f>AU409+IF(AND($E410&lt;&gt;"",$E410&lt;=AU$2,$F410&gt;=AU$2),1,0)</f>
        <v/>
      </c>
      <c r="AV410">
        <f>AV409+IF(AND($E410&lt;&gt;"",$E410&lt;=AV$2,$F410&gt;=AV$2),1,0)</f>
        <v/>
      </c>
      <c r="AW410">
        <f>AW409+IF(AND($E410&lt;&gt;"",$E410&lt;=AW$2,$F410&gt;=AW$2),1,0)</f>
        <v/>
      </c>
    </row>
    <row r="411">
      <c r="A411">
        <f>IF(AND(ISNUMBER(Events!$A413),ISNUMBER(Events!$B413)),MAX(0,Events!$B413-Events!$A413),0)</f>
        <v/>
      </c>
      <c r="B411">
        <f>IF(ISNUMBER(Events!$A413),DATE(YEAR($B$1)-1,MONTH(Events!$A413),DAY(Events!$A413)),"")</f>
        <v/>
      </c>
      <c r="C411">
        <f>IF(ISNUMBER(Events!$A413),DATE(YEAR($B$1),MONTH(Events!$A413),DAY(Events!$A413)),"")</f>
        <v/>
      </c>
      <c r="D411">
        <f>IF(ISNUMBER(Events!$A413),DATE(YEAR($B$2),MONTH(Events!$A413),DAY(Events!$A413)),"")</f>
        <v/>
      </c>
      <c r="E411">
        <f>IF(OR(NOT(ISNUMBER(Events!$A413)),Events!$G413="No",Calendar!$H$4="None"),"",IF(OR(Calendar!$H$4="All events",Events!$D413=Calendar!$H$4),IF(Events!$E413="Yes",IF(AND(B411&gt;=Events!$A413,B411&lt;=$B$2,B411+$A411&gt;=$B$1),B411,IF(AND(C411&gt;=Events!$A413,C411&lt;=$B$2,C411+$A411&gt;=$B$1),C411,IF(AND(D411&gt;=Events!$A413,D411&lt;=$B$2,D411+$A411&gt;=$B$1),D411,""))),IF(AND(Events!$A413&lt;=$B$2,Events!$A413+$A411&gt;=$B$1),Events!$A413,"")),""))</f>
        <v/>
      </c>
      <c r="F411">
        <f>IF(E411="","",E411+A411)</f>
        <v/>
      </c>
      <c r="G411">
        <f>IF(E411="","",IF(AND(E411&lt;=EOMONTH(Calendar!$K$2,0),F411&gt;=Calendar!$K$2),E411+408/100000,""))</f>
        <v/>
      </c>
      <c r="H411">
        <f>H410+IF(AND($E411&lt;&gt;"",$E411&lt;=H$2,$F411&gt;=H$2),1,0)</f>
        <v/>
      </c>
      <c r="I411">
        <f>I410+IF(AND($E411&lt;&gt;"",$E411&lt;=I$2,$F411&gt;=I$2),1,0)</f>
        <v/>
      </c>
      <c r="J411">
        <f>J410+IF(AND($E411&lt;&gt;"",$E411&lt;=J$2,$F411&gt;=J$2),1,0)</f>
        <v/>
      </c>
      <c r="K411">
        <f>K410+IF(AND($E411&lt;&gt;"",$E411&lt;=K$2,$F411&gt;=K$2),1,0)</f>
        <v/>
      </c>
      <c r="L411">
        <f>L410+IF(AND($E411&lt;&gt;"",$E411&lt;=L$2,$F411&gt;=L$2),1,0)</f>
        <v/>
      </c>
      <c r="M411">
        <f>M410+IF(AND($E411&lt;&gt;"",$E411&lt;=M$2,$F411&gt;=M$2),1,0)</f>
        <v/>
      </c>
      <c r="N411">
        <f>N410+IF(AND($E411&lt;&gt;"",$E411&lt;=N$2,$F411&gt;=N$2),1,0)</f>
        <v/>
      </c>
      <c r="O411">
        <f>O410+IF(AND($E411&lt;&gt;"",$E411&lt;=O$2,$F411&gt;=O$2),1,0)</f>
        <v/>
      </c>
      <c r="P411">
        <f>P410+IF(AND($E411&lt;&gt;"",$E411&lt;=P$2,$F411&gt;=P$2),1,0)</f>
        <v/>
      </c>
      <c r="Q411">
        <f>Q410+IF(AND($E411&lt;&gt;"",$E411&lt;=Q$2,$F411&gt;=Q$2),1,0)</f>
        <v/>
      </c>
      <c r="R411">
        <f>R410+IF(AND($E411&lt;&gt;"",$E411&lt;=R$2,$F411&gt;=R$2),1,0)</f>
        <v/>
      </c>
      <c r="S411">
        <f>S410+IF(AND($E411&lt;&gt;"",$E411&lt;=S$2,$F411&gt;=S$2),1,0)</f>
        <v/>
      </c>
      <c r="T411">
        <f>T410+IF(AND($E411&lt;&gt;"",$E411&lt;=T$2,$F411&gt;=T$2),1,0)</f>
        <v/>
      </c>
      <c r="U411">
        <f>U410+IF(AND($E411&lt;&gt;"",$E411&lt;=U$2,$F411&gt;=U$2),1,0)</f>
        <v/>
      </c>
      <c r="V411">
        <f>V410+IF(AND($E411&lt;&gt;"",$E411&lt;=V$2,$F411&gt;=V$2),1,0)</f>
        <v/>
      </c>
      <c r="W411">
        <f>W410+IF(AND($E411&lt;&gt;"",$E411&lt;=W$2,$F411&gt;=W$2),1,0)</f>
        <v/>
      </c>
      <c r="X411">
        <f>X410+IF(AND($E411&lt;&gt;"",$E411&lt;=X$2,$F411&gt;=X$2),1,0)</f>
        <v/>
      </c>
      <c r="Y411">
        <f>Y410+IF(AND($E411&lt;&gt;"",$E411&lt;=Y$2,$F411&gt;=Y$2),1,0)</f>
        <v/>
      </c>
      <c r="Z411">
        <f>Z410+IF(AND($E411&lt;&gt;"",$E411&lt;=Z$2,$F411&gt;=Z$2),1,0)</f>
        <v/>
      </c>
      <c r="AA411">
        <f>AA410+IF(AND($E411&lt;&gt;"",$E411&lt;=AA$2,$F411&gt;=AA$2),1,0)</f>
        <v/>
      </c>
      <c r="AB411">
        <f>AB410+IF(AND($E411&lt;&gt;"",$E411&lt;=AB$2,$F411&gt;=AB$2),1,0)</f>
        <v/>
      </c>
      <c r="AC411">
        <f>AC410+IF(AND($E411&lt;&gt;"",$E411&lt;=AC$2,$F411&gt;=AC$2),1,0)</f>
        <v/>
      </c>
      <c r="AD411">
        <f>AD410+IF(AND($E411&lt;&gt;"",$E411&lt;=AD$2,$F411&gt;=AD$2),1,0)</f>
        <v/>
      </c>
      <c r="AE411">
        <f>AE410+IF(AND($E411&lt;&gt;"",$E411&lt;=AE$2,$F411&gt;=AE$2),1,0)</f>
        <v/>
      </c>
      <c r="AF411">
        <f>AF410+IF(AND($E411&lt;&gt;"",$E411&lt;=AF$2,$F411&gt;=AF$2),1,0)</f>
        <v/>
      </c>
      <c r="AG411">
        <f>AG410+IF(AND($E411&lt;&gt;"",$E411&lt;=AG$2,$F411&gt;=AG$2),1,0)</f>
        <v/>
      </c>
      <c r="AH411">
        <f>AH410+IF(AND($E411&lt;&gt;"",$E411&lt;=AH$2,$F411&gt;=AH$2),1,0)</f>
        <v/>
      </c>
      <c r="AI411">
        <f>AI410+IF(AND($E411&lt;&gt;"",$E411&lt;=AI$2,$F411&gt;=AI$2),1,0)</f>
        <v/>
      </c>
      <c r="AJ411">
        <f>AJ410+IF(AND($E411&lt;&gt;"",$E411&lt;=AJ$2,$F411&gt;=AJ$2),1,0)</f>
        <v/>
      </c>
      <c r="AK411">
        <f>AK410+IF(AND($E411&lt;&gt;"",$E411&lt;=AK$2,$F411&gt;=AK$2),1,0)</f>
        <v/>
      </c>
      <c r="AL411">
        <f>AL410+IF(AND($E411&lt;&gt;"",$E411&lt;=AL$2,$F411&gt;=AL$2),1,0)</f>
        <v/>
      </c>
      <c r="AM411">
        <f>AM410+IF(AND($E411&lt;&gt;"",$E411&lt;=AM$2,$F411&gt;=AM$2),1,0)</f>
        <v/>
      </c>
      <c r="AN411">
        <f>AN410+IF(AND($E411&lt;&gt;"",$E411&lt;=AN$2,$F411&gt;=AN$2),1,0)</f>
        <v/>
      </c>
      <c r="AO411">
        <f>AO410+IF(AND($E411&lt;&gt;"",$E411&lt;=AO$2,$F411&gt;=AO$2),1,0)</f>
        <v/>
      </c>
      <c r="AP411">
        <f>AP410+IF(AND($E411&lt;&gt;"",$E411&lt;=AP$2,$F411&gt;=AP$2),1,0)</f>
        <v/>
      </c>
      <c r="AQ411">
        <f>AQ410+IF(AND($E411&lt;&gt;"",$E411&lt;=AQ$2,$F411&gt;=AQ$2),1,0)</f>
        <v/>
      </c>
      <c r="AR411">
        <f>AR410+IF(AND($E411&lt;&gt;"",$E411&lt;=AR$2,$F411&gt;=AR$2),1,0)</f>
        <v/>
      </c>
      <c r="AS411">
        <f>AS410+IF(AND($E411&lt;&gt;"",$E411&lt;=AS$2,$F411&gt;=AS$2),1,0)</f>
        <v/>
      </c>
      <c r="AT411">
        <f>AT410+IF(AND($E411&lt;&gt;"",$E411&lt;=AT$2,$F411&gt;=AT$2),1,0)</f>
        <v/>
      </c>
      <c r="AU411">
        <f>AU410+IF(AND($E411&lt;&gt;"",$E411&lt;=AU$2,$F411&gt;=AU$2),1,0)</f>
        <v/>
      </c>
      <c r="AV411">
        <f>AV410+IF(AND($E411&lt;&gt;"",$E411&lt;=AV$2,$F411&gt;=AV$2),1,0)</f>
        <v/>
      </c>
      <c r="AW411">
        <f>AW410+IF(AND($E411&lt;&gt;"",$E411&lt;=AW$2,$F411&gt;=AW$2),1,0)</f>
        <v/>
      </c>
    </row>
    <row r="412">
      <c r="A412">
        <f>IF(AND(ISNUMBER(Events!$A414),ISNUMBER(Events!$B414)),MAX(0,Events!$B414-Events!$A414),0)</f>
        <v/>
      </c>
      <c r="B412">
        <f>IF(ISNUMBER(Events!$A414),DATE(YEAR($B$1)-1,MONTH(Events!$A414),DAY(Events!$A414)),"")</f>
        <v/>
      </c>
      <c r="C412">
        <f>IF(ISNUMBER(Events!$A414),DATE(YEAR($B$1),MONTH(Events!$A414),DAY(Events!$A414)),"")</f>
        <v/>
      </c>
      <c r="D412">
        <f>IF(ISNUMBER(Events!$A414),DATE(YEAR($B$2),MONTH(Events!$A414),DAY(Events!$A414)),"")</f>
        <v/>
      </c>
      <c r="E412">
        <f>IF(OR(NOT(ISNUMBER(Events!$A414)),Events!$G414="No",Calendar!$H$4="None"),"",IF(OR(Calendar!$H$4="All events",Events!$D414=Calendar!$H$4),IF(Events!$E414="Yes",IF(AND(B412&gt;=Events!$A414,B412&lt;=$B$2,B412+$A412&gt;=$B$1),B412,IF(AND(C412&gt;=Events!$A414,C412&lt;=$B$2,C412+$A412&gt;=$B$1),C412,IF(AND(D412&gt;=Events!$A414,D412&lt;=$B$2,D412+$A412&gt;=$B$1),D412,""))),IF(AND(Events!$A414&lt;=$B$2,Events!$A414+$A412&gt;=$B$1),Events!$A414,"")),""))</f>
        <v/>
      </c>
      <c r="F412">
        <f>IF(E412="","",E412+A412)</f>
        <v/>
      </c>
      <c r="G412">
        <f>IF(E412="","",IF(AND(E412&lt;=EOMONTH(Calendar!$K$2,0),F412&gt;=Calendar!$K$2),E412+409/100000,""))</f>
        <v/>
      </c>
      <c r="H412">
        <f>H411+IF(AND($E412&lt;&gt;"",$E412&lt;=H$2,$F412&gt;=H$2),1,0)</f>
        <v/>
      </c>
      <c r="I412">
        <f>I411+IF(AND($E412&lt;&gt;"",$E412&lt;=I$2,$F412&gt;=I$2),1,0)</f>
        <v/>
      </c>
      <c r="J412">
        <f>J411+IF(AND($E412&lt;&gt;"",$E412&lt;=J$2,$F412&gt;=J$2),1,0)</f>
        <v/>
      </c>
      <c r="K412">
        <f>K411+IF(AND($E412&lt;&gt;"",$E412&lt;=K$2,$F412&gt;=K$2),1,0)</f>
        <v/>
      </c>
      <c r="L412">
        <f>L411+IF(AND($E412&lt;&gt;"",$E412&lt;=L$2,$F412&gt;=L$2),1,0)</f>
        <v/>
      </c>
      <c r="M412">
        <f>M411+IF(AND($E412&lt;&gt;"",$E412&lt;=M$2,$F412&gt;=M$2),1,0)</f>
        <v/>
      </c>
      <c r="N412">
        <f>N411+IF(AND($E412&lt;&gt;"",$E412&lt;=N$2,$F412&gt;=N$2),1,0)</f>
        <v/>
      </c>
      <c r="O412">
        <f>O411+IF(AND($E412&lt;&gt;"",$E412&lt;=O$2,$F412&gt;=O$2),1,0)</f>
        <v/>
      </c>
      <c r="P412">
        <f>P411+IF(AND($E412&lt;&gt;"",$E412&lt;=P$2,$F412&gt;=P$2),1,0)</f>
        <v/>
      </c>
      <c r="Q412">
        <f>Q411+IF(AND($E412&lt;&gt;"",$E412&lt;=Q$2,$F412&gt;=Q$2),1,0)</f>
        <v/>
      </c>
      <c r="R412">
        <f>R411+IF(AND($E412&lt;&gt;"",$E412&lt;=R$2,$F412&gt;=R$2),1,0)</f>
        <v/>
      </c>
      <c r="S412">
        <f>S411+IF(AND($E412&lt;&gt;"",$E412&lt;=S$2,$F412&gt;=S$2),1,0)</f>
        <v/>
      </c>
      <c r="T412">
        <f>T411+IF(AND($E412&lt;&gt;"",$E412&lt;=T$2,$F412&gt;=T$2),1,0)</f>
        <v/>
      </c>
      <c r="U412">
        <f>U411+IF(AND($E412&lt;&gt;"",$E412&lt;=U$2,$F412&gt;=U$2),1,0)</f>
        <v/>
      </c>
      <c r="V412">
        <f>V411+IF(AND($E412&lt;&gt;"",$E412&lt;=V$2,$F412&gt;=V$2),1,0)</f>
        <v/>
      </c>
      <c r="W412">
        <f>W411+IF(AND($E412&lt;&gt;"",$E412&lt;=W$2,$F412&gt;=W$2),1,0)</f>
        <v/>
      </c>
      <c r="X412">
        <f>X411+IF(AND($E412&lt;&gt;"",$E412&lt;=X$2,$F412&gt;=X$2),1,0)</f>
        <v/>
      </c>
      <c r="Y412">
        <f>Y411+IF(AND($E412&lt;&gt;"",$E412&lt;=Y$2,$F412&gt;=Y$2),1,0)</f>
        <v/>
      </c>
      <c r="Z412">
        <f>Z411+IF(AND($E412&lt;&gt;"",$E412&lt;=Z$2,$F412&gt;=Z$2),1,0)</f>
        <v/>
      </c>
      <c r="AA412">
        <f>AA411+IF(AND($E412&lt;&gt;"",$E412&lt;=AA$2,$F412&gt;=AA$2),1,0)</f>
        <v/>
      </c>
      <c r="AB412">
        <f>AB411+IF(AND($E412&lt;&gt;"",$E412&lt;=AB$2,$F412&gt;=AB$2),1,0)</f>
        <v/>
      </c>
      <c r="AC412">
        <f>AC411+IF(AND($E412&lt;&gt;"",$E412&lt;=AC$2,$F412&gt;=AC$2),1,0)</f>
        <v/>
      </c>
      <c r="AD412">
        <f>AD411+IF(AND($E412&lt;&gt;"",$E412&lt;=AD$2,$F412&gt;=AD$2),1,0)</f>
        <v/>
      </c>
      <c r="AE412">
        <f>AE411+IF(AND($E412&lt;&gt;"",$E412&lt;=AE$2,$F412&gt;=AE$2),1,0)</f>
        <v/>
      </c>
      <c r="AF412">
        <f>AF411+IF(AND($E412&lt;&gt;"",$E412&lt;=AF$2,$F412&gt;=AF$2),1,0)</f>
        <v/>
      </c>
      <c r="AG412">
        <f>AG411+IF(AND($E412&lt;&gt;"",$E412&lt;=AG$2,$F412&gt;=AG$2),1,0)</f>
        <v/>
      </c>
      <c r="AH412">
        <f>AH411+IF(AND($E412&lt;&gt;"",$E412&lt;=AH$2,$F412&gt;=AH$2),1,0)</f>
        <v/>
      </c>
      <c r="AI412">
        <f>AI411+IF(AND($E412&lt;&gt;"",$E412&lt;=AI$2,$F412&gt;=AI$2),1,0)</f>
        <v/>
      </c>
      <c r="AJ412">
        <f>AJ411+IF(AND($E412&lt;&gt;"",$E412&lt;=AJ$2,$F412&gt;=AJ$2),1,0)</f>
        <v/>
      </c>
      <c r="AK412">
        <f>AK411+IF(AND($E412&lt;&gt;"",$E412&lt;=AK$2,$F412&gt;=AK$2),1,0)</f>
        <v/>
      </c>
      <c r="AL412">
        <f>AL411+IF(AND($E412&lt;&gt;"",$E412&lt;=AL$2,$F412&gt;=AL$2),1,0)</f>
        <v/>
      </c>
      <c r="AM412">
        <f>AM411+IF(AND($E412&lt;&gt;"",$E412&lt;=AM$2,$F412&gt;=AM$2),1,0)</f>
        <v/>
      </c>
      <c r="AN412">
        <f>AN411+IF(AND($E412&lt;&gt;"",$E412&lt;=AN$2,$F412&gt;=AN$2),1,0)</f>
        <v/>
      </c>
      <c r="AO412">
        <f>AO411+IF(AND($E412&lt;&gt;"",$E412&lt;=AO$2,$F412&gt;=AO$2),1,0)</f>
        <v/>
      </c>
      <c r="AP412">
        <f>AP411+IF(AND($E412&lt;&gt;"",$E412&lt;=AP$2,$F412&gt;=AP$2),1,0)</f>
        <v/>
      </c>
      <c r="AQ412">
        <f>AQ411+IF(AND($E412&lt;&gt;"",$E412&lt;=AQ$2,$F412&gt;=AQ$2),1,0)</f>
        <v/>
      </c>
      <c r="AR412">
        <f>AR411+IF(AND($E412&lt;&gt;"",$E412&lt;=AR$2,$F412&gt;=AR$2),1,0)</f>
        <v/>
      </c>
      <c r="AS412">
        <f>AS411+IF(AND($E412&lt;&gt;"",$E412&lt;=AS$2,$F412&gt;=AS$2),1,0)</f>
        <v/>
      </c>
      <c r="AT412">
        <f>AT411+IF(AND($E412&lt;&gt;"",$E412&lt;=AT$2,$F412&gt;=AT$2),1,0)</f>
        <v/>
      </c>
      <c r="AU412">
        <f>AU411+IF(AND($E412&lt;&gt;"",$E412&lt;=AU$2,$F412&gt;=AU$2),1,0)</f>
        <v/>
      </c>
      <c r="AV412">
        <f>AV411+IF(AND($E412&lt;&gt;"",$E412&lt;=AV$2,$F412&gt;=AV$2),1,0)</f>
        <v/>
      </c>
      <c r="AW412">
        <f>AW411+IF(AND($E412&lt;&gt;"",$E412&lt;=AW$2,$F412&gt;=AW$2),1,0)</f>
        <v/>
      </c>
    </row>
    <row r="413">
      <c r="A413">
        <f>IF(AND(ISNUMBER(Events!$A415),ISNUMBER(Events!$B415)),MAX(0,Events!$B415-Events!$A415),0)</f>
        <v/>
      </c>
      <c r="B413">
        <f>IF(ISNUMBER(Events!$A415),DATE(YEAR($B$1)-1,MONTH(Events!$A415),DAY(Events!$A415)),"")</f>
        <v/>
      </c>
      <c r="C413">
        <f>IF(ISNUMBER(Events!$A415),DATE(YEAR($B$1),MONTH(Events!$A415),DAY(Events!$A415)),"")</f>
        <v/>
      </c>
      <c r="D413">
        <f>IF(ISNUMBER(Events!$A415),DATE(YEAR($B$2),MONTH(Events!$A415),DAY(Events!$A415)),"")</f>
        <v/>
      </c>
      <c r="E413">
        <f>IF(OR(NOT(ISNUMBER(Events!$A415)),Events!$G415="No",Calendar!$H$4="None"),"",IF(OR(Calendar!$H$4="All events",Events!$D415=Calendar!$H$4),IF(Events!$E415="Yes",IF(AND(B413&gt;=Events!$A415,B413&lt;=$B$2,B413+$A413&gt;=$B$1),B413,IF(AND(C413&gt;=Events!$A415,C413&lt;=$B$2,C413+$A413&gt;=$B$1),C413,IF(AND(D413&gt;=Events!$A415,D413&lt;=$B$2,D413+$A413&gt;=$B$1),D413,""))),IF(AND(Events!$A415&lt;=$B$2,Events!$A415+$A413&gt;=$B$1),Events!$A415,"")),""))</f>
        <v/>
      </c>
      <c r="F413">
        <f>IF(E413="","",E413+A413)</f>
        <v/>
      </c>
      <c r="G413">
        <f>IF(E413="","",IF(AND(E413&lt;=EOMONTH(Calendar!$K$2,0),F413&gt;=Calendar!$K$2),E413+410/100000,""))</f>
        <v/>
      </c>
      <c r="H413">
        <f>H412+IF(AND($E413&lt;&gt;"",$E413&lt;=H$2,$F413&gt;=H$2),1,0)</f>
        <v/>
      </c>
      <c r="I413">
        <f>I412+IF(AND($E413&lt;&gt;"",$E413&lt;=I$2,$F413&gt;=I$2),1,0)</f>
        <v/>
      </c>
      <c r="J413">
        <f>J412+IF(AND($E413&lt;&gt;"",$E413&lt;=J$2,$F413&gt;=J$2),1,0)</f>
        <v/>
      </c>
      <c r="K413">
        <f>K412+IF(AND($E413&lt;&gt;"",$E413&lt;=K$2,$F413&gt;=K$2),1,0)</f>
        <v/>
      </c>
      <c r="L413">
        <f>L412+IF(AND($E413&lt;&gt;"",$E413&lt;=L$2,$F413&gt;=L$2),1,0)</f>
        <v/>
      </c>
      <c r="M413">
        <f>M412+IF(AND($E413&lt;&gt;"",$E413&lt;=M$2,$F413&gt;=M$2),1,0)</f>
        <v/>
      </c>
      <c r="N413">
        <f>N412+IF(AND($E413&lt;&gt;"",$E413&lt;=N$2,$F413&gt;=N$2),1,0)</f>
        <v/>
      </c>
      <c r="O413">
        <f>O412+IF(AND($E413&lt;&gt;"",$E413&lt;=O$2,$F413&gt;=O$2),1,0)</f>
        <v/>
      </c>
      <c r="P413">
        <f>P412+IF(AND($E413&lt;&gt;"",$E413&lt;=P$2,$F413&gt;=P$2),1,0)</f>
        <v/>
      </c>
      <c r="Q413">
        <f>Q412+IF(AND($E413&lt;&gt;"",$E413&lt;=Q$2,$F413&gt;=Q$2),1,0)</f>
        <v/>
      </c>
      <c r="R413">
        <f>R412+IF(AND($E413&lt;&gt;"",$E413&lt;=R$2,$F413&gt;=R$2),1,0)</f>
        <v/>
      </c>
      <c r="S413">
        <f>S412+IF(AND($E413&lt;&gt;"",$E413&lt;=S$2,$F413&gt;=S$2),1,0)</f>
        <v/>
      </c>
      <c r="T413">
        <f>T412+IF(AND($E413&lt;&gt;"",$E413&lt;=T$2,$F413&gt;=T$2),1,0)</f>
        <v/>
      </c>
      <c r="U413">
        <f>U412+IF(AND($E413&lt;&gt;"",$E413&lt;=U$2,$F413&gt;=U$2),1,0)</f>
        <v/>
      </c>
      <c r="V413">
        <f>V412+IF(AND($E413&lt;&gt;"",$E413&lt;=V$2,$F413&gt;=V$2),1,0)</f>
        <v/>
      </c>
      <c r="W413">
        <f>W412+IF(AND($E413&lt;&gt;"",$E413&lt;=W$2,$F413&gt;=W$2),1,0)</f>
        <v/>
      </c>
      <c r="X413">
        <f>X412+IF(AND($E413&lt;&gt;"",$E413&lt;=X$2,$F413&gt;=X$2),1,0)</f>
        <v/>
      </c>
      <c r="Y413">
        <f>Y412+IF(AND($E413&lt;&gt;"",$E413&lt;=Y$2,$F413&gt;=Y$2),1,0)</f>
        <v/>
      </c>
      <c r="Z413">
        <f>Z412+IF(AND($E413&lt;&gt;"",$E413&lt;=Z$2,$F413&gt;=Z$2),1,0)</f>
        <v/>
      </c>
      <c r="AA413">
        <f>AA412+IF(AND($E413&lt;&gt;"",$E413&lt;=AA$2,$F413&gt;=AA$2),1,0)</f>
        <v/>
      </c>
      <c r="AB413">
        <f>AB412+IF(AND($E413&lt;&gt;"",$E413&lt;=AB$2,$F413&gt;=AB$2),1,0)</f>
        <v/>
      </c>
      <c r="AC413">
        <f>AC412+IF(AND($E413&lt;&gt;"",$E413&lt;=AC$2,$F413&gt;=AC$2),1,0)</f>
        <v/>
      </c>
      <c r="AD413">
        <f>AD412+IF(AND($E413&lt;&gt;"",$E413&lt;=AD$2,$F413&gt;=AD$2),1,0)</f>
        <v/>
      </c>
      <c r="AE413">
        <f>AE412+IF(AND($E413&lt;&gt;"",$E413&lt;=AE$2,$F413&gt;=AE$2),1,0)</f>
        <v/>
      </c>
      <c r="AF413">
        <f>AF412+IF(AND($E413&lt;&gt;"",$E413&lt;=AF$2,$F413&gt;=AF$2),1,0)</f>
        <v/>
      </c>
      <c r="AG413">
        <f>AG412+IF(AND($E413&lt;&gt;"",$E413&lt;=AG$2,$F413&gt;=AG$2),1,0)</f>
        <v/>
      </c>
      <c r="AH413">
        <f>AH412+IF(AND($E413&lt;&gt;"",$E413&lt;=AH$2,$F413&gt;=AH$2),1,0)</f>
        <v/>
      </c>
      <c r="AI413">
        <f>AI412+IF(AND($E413&lt;&gt;"",$E413&lt;=AI$2,$F413&gt;=AI$2),1,0)</f>
        <v/>
      </c>
      <c r="AJ413">
        <f>AJ412+IF(AND($E413&lt;&gt;"",$E413&lt;=AJ$2,$F413&gt;=AJ$2),1,0)</f>
        <v/>
      </c>
      <c r="AK413">
        <f>AK412+IF(AND($E413&lt;&gt;"",$E413&lt;=AK$2,$F413&gt;=AK$2),1,0)</f>
        <v/>
      </c>
      <c r="AL413">
        <f>AL412+IF(AND($E413&lt;&gt;"",$E413&lt;=AL$2,$F413&gt;=AL$2),1,0)</f>
        <v/>
      </c>
      <c r="AM413">
        <f>AM412+IF(AND($E413&lt;&gt;"",$E413&lt;=AM$2,$F413&gt;=AM$2),1,0)</f>
        <v/>
      </c>
      <c r="AN413">
        <f>AN412+IF(AND($E413&lt;&gt;"",$E413&lt;=AN$2,$F413&gt;=AN$2),1,0)</f>
        <v/>
      </c>
      <c r="AO413">
        <f>AO412+IF(AND($E413&lt;&gt;"",$E413&lt;=AO$2,$F413&gt;=AO$2),1,0)</f>
        <v/>
      </c>
      <c r="AP413">
        <f>AP412+IF(AND($E413&lt;&gt;"",$E413&lt;=AP$2,$F413&gt;=AP$2),1,0)</f>
        <v/>
      </c>
      <c r="AQ413">
        <f>AQ412+IF(AND($E413&lt;&gt;"",$E413&lt;=AQ$2,$F413&gt;=AQ$2),1,0)</f>
        <v/>
      </c>
      <c r="AR413">
        <f>AR412+IF(AND($E413&lt;&gt;"",$E413&lt;=AR$2,$F413&gt;=AR$2),1,0)</f>
        <v/>
      </c>
      <c r="AS413">
        <f>AS412+IF(AND($E413&lt;&gt;"",$E413&lt;=AS$2,$F413&gt;=AS$2),1,0)</f>
        <v/>
      </c>
      <c r="AT413">
        <f>AT412+IF(AND($E413&lt;&gt;"",$E413&lt;=AT$2,$F413&gt;=AT$2),1,0)</f>
        <v/>
      </c>
      <c r="AU413">
        <f>AU412+IF(AND($E413&lt;&gt;"",$E413&lt;=AU$2,$F413&gt;=AU$2),1,0)</f>
        <v/>
      </c>
      <c r="AV413">
        <f>AV412+IF(AND($E413&lt;&gt;"",$E413&lt;=AV$2,$F413&gt;=AV$2),1,0)</f>
        <v/>
      </c>
      <c r="AW413">
        <f>AW412+IF(AND($E413&lt;&gt;"",$E413&lt;=AW$2,$F413&gt;=AW$2),1,0)</f>
        <v/>
      </c>
    </row>
    <row r="414">
      <c r="A414">
        <f>IF(AND(ISNUMBER(Events!$A416),ISNUMBER(Events!$B416)),MAX(0,Events!$B416-Events!$A416),0)</f>
        <v/>
      </c>
      <c r="B414">
        <f>IF(ISNUMBER(Events!$A416),DATE(YEAR($B$1)-1,MONTH(Events!$A416),DAY(Events!$A416)),"")</f>
        <v/>
      </c>
      <c r="C414">
        <f>IF(ISNUMBER(Events!$A416),DATE(YEAR($B$1),MONTH(Events!$A416),DAY(Events!$A416)),"")</f>
        <v/>
      </c>
      <c r="D414">
        <f>IF(ISNUMBER(Events!$A416),DATE(YEAR($B$2),MONTH(Events!$A416),DAY(Events!$A416)),"")</f>
        <v/>
      </c>
      <c r="E414">
        <f>IF(OR(NOT(ISNUMBER(Events!$A416)),Events!$G416="No",Calendar!$H$4="None"),"",IF(OR(Calendar!$H$4="All events",Events!$D416=Calendar!$H$4),IF(Events!$E416="Yes",IF(AND(B414&gt;=Events!$A416,B414&lt;=$B$2,B414+$A414&gt;=$B$1),B414,IF(AND(C414&gt;=Events!$A416,C414&lt;=$B$2,C414+$A414&gt;=$B$1),C414,IF(AND(D414&gt;=Events!$A416,D414&lt;=$B$2,D414+$A414&gt;=$B$1),D414,""))),IF(AND(Events!$A416&lt;=$B$2,Events!$A416+$A414&gt;=$B$1),Events!$A416,"")),""))</f>
        <v/>
      </c>
      <c r="F414">
        <f>IF(E414="","",E414+A414)</f>
        <v/>
      </c>
      <c r="G414">
        <f>IF(E414="","",IF(AND(E414&lt;=EOMONTH(Calendar!$K$2,0),F414&gt;=Calendar!$K$2),E414+411/100000,""))</f>
        <v/>
      </c>
      <c r="H414">
        <f>H413+IF(AND($E414&lt;&gt;"",$E414&lt;=H$2,$F414&gt;=H$2),1,0)</f>
        <v/>
      </c>
      <c r="I414">
        <f>I413+IF(AND($E414&lt;&gt;"",$E414&lt;=I$2,$F414&gt;=I$2),1,0)</f>
        <v/>
      </c>
      <c r="J414">
        <f>J413+IF(AND($E414&lt;&gt;"",$E414&lt;=J$2,$F414&gt;=J$2),1,0)</f>
        <v/>
      </c>
      <c r="K414">
        <f>K413+IF(AND($E414&lt;&gt;"",$E414&lt;=K$2,$F414&gt;=K$2),1,0)</f>
        <v/>
      </c>
      <c r="L414">
        <f>L413+IF(AND($E414&lt;&gt;"",$E414&lt;=L$2,$F414&gt;=L$2),1,0)</f>
        <v/>
      </c>
      <c r="M414">
        <f>M413+IF(AND($E414&lt;&gt;"",$E414&lt;=M$2,$F414&gt;=M$2),1,0)</f>
        <v/>
      </c>
      <c r="N414">
        <f>N413+IF(AND($E414&lt;&gt;"",$E414&lt;=N$2,$F414&gt;=N$2),1,0)</f>
        <v/>
      </c>
      <c r="O414">
        <f>O413+IF(AND($E414&lt;&gt;"",$E414&lt;=O$2,$F414&gt;=O$2),1,0)</f>
        <v/>
      </c>
      <c r="P414">
        <f>P413+IF(AND($E414&lt;&gt;"",$E414&lt;=P$2,$F414&gt;=P$2),1,0)</f>
        <v/>
      </c>
      <c r="Q414">
        <f>Q413+IF(AND($E414&lt;&gt;"",$E414&lt;=Q$2,$F414&gt;=Q$2),1,0)</f>
        <v/>
      </c>
      <c r="R414">
        <f>R413+IF(AND($E414&lt;&gt;"",$E414&lt;=R$2,$F414&gt;=R$2),1,0)</f>
        <v/>
      </c>
      <c r="S414">
        <f>S413+IF(AND($E414&lt;&gt;"",$E414&lt;=S$2,$F414&gt;=S$2),1,0)</f>
        <v/>
      </c>
      <c r="T414">
        <f>T413+IF(AND($E414&lt;&gt;"",$E414&lt;=T$2,$F414&gt;=T$2),1,0)</f>
        <v/>
      </c>
      <c r="U414">
        <f>U413+IF(AND($E414&lt;&gt;"",$E414&lt;=U$2,$F414&gt;=U$2),1,0)</f>
        <v/>
      </c>
      <c r="V414">
        <f>V413+IF(AND($E414&lt;&gt;"",$E414&lt;=V$2,$F414&gt;=V$2),1,0)</f>
        <v/>
      </c>
      <c r="W414">
        <f>W413+IF(AND($E414&lt;&gt;"",$E414&lt;=W$2,$F414&gt;=W$2),1,0)</f>
        <v/>
      </c>
      <c r="X414">
        <f>X413+IF(AND($E414&lt;&gt;"",$E414&lt;=X$2,$F414&gt;=X$2),1,0)</f>
        <v/>
      </c>
      <c r="Y414">
        <f>Y413+IF(AND($E414&lt;&gt;"",$E414&lt;=Y$2,$F414&gt;=Y$2),1,0)</f>
        <v/>
      </c>
      <c r="Z414">
        <f>Z413+IF(AND($E414&lt;&gt;"",$E414&lt;=Z$2,$F414&gt;=Z$2),1,0)</f>
        <v/>
      </c>
      <c r="AA414">
        <f>AA413+IF(AND($E414&lt;&gt;"",$E414&lt;=AA$2,$F414&gt;=AA$2),1,0)</f>
        <v/>
      </c>
      <c r="AB414">
        <f>AB413+IF(AND($E414&lt;&gt;"",$E414&lt;=AB$2,$F414&gt;=AB$2),1,0)</f>
        <v/>
      </c>
      <c r="AC414">
        <f>AC413+IF(AND($E414&lt;&gt;"",$E414&lt;=AC$2,$F414&gt;=AC$2),1,0)</f>
        <v/>
      </c>
      <c r="AD414">
        <f>AD413+IF(AND($E414&lt;&gt;"",$E414&lt;=AD$2,$F414&gt;=AD$2),1,0)</f>
        <v/>
      </c>
      <c r="AE414">
        <f>AE413+IF(AND($E414&lt;&gt;"",$E414&lt;=AE$2,$F414&gt;=AE$2),1,0)</f>
        <v/>
      </c>
      <c r="AF414">
        <f>AF413+IF(AND($E414&lt;&gt;"",$E414&lt;=AF$2,$F414&gt;=AF$2),1,0)</f>
        <v/>
      </c>
      <c r="AG414">
        <f>AG413+IF(AND($E414&lt;&gt;"",$E414&lt;=AG$2,$F414&gt;=AG$2),1,0)</f>
        <v/>
      </c>
      <c r="AH414">
        <f>AH413+IF(AND($E414&lt;&gt;"",$E414&lt;=AH$2,$F414&gt;=AH$2),1,0)</f>
        <v/>
      </c>
      <c r="AI414">
        <f>AI413+IF(AND($E414&lt;&gt;"",$E414&lt;=AI$2,$F414&gt;=AI$2),1,0)</f>
        <v/>
      </c>
      <c r="AJ414">
        <f>AJ413+IF(AND($E414&lt;&gt;"",$E414&lt;=AJ$2,$F414&gt;=AJ$2),1,0)</f>
        <v/>
      </c>
      <c r="AK414">
        <f>AK413+IF(AND($E414&lt;&gt;"",$E414&lt;=AK$2,$F414&gt;=AK$2),1,0)</f>
        <v/>
      </c>
      <c r="AL414">
        <f>AL413+IF(AND($E414&lt;&gt;"",$E414&lt;=AL$2,$F414&gt;=AL$2),1,0)</f>
        <v/>
      </c>
      <c r="AM414">
        <f>AM413+IF(AND($E414&lt;&gt;"",$E414&lt;=AM$2,$F414&gt;=AM$2),1,0)</f>
        <v/>
      </c>
      <c r="AN414">
        <f>AN413+IF(AND($E414&lt;&gt;"",$E414&lt;=AN$2,$F414&gt;=AN$2),1,0)</f>
        <v/>
      </c>
      <c r="AO414">
        <f>AO413+IF(AND($E414&lt;&gt;"",$E414&lt;=AO$2,$F414&gt;=AO$2),1,0)</f>
        <v/>
      </c>
      <c r="AP414">
        <f>AP413+IF(AND($E414&lt;&gt;"",$E414&lt;=AP$2,$F414&gt;=AP$2),1,0)</f>
        <v/>
      </c>
      <c r="AQ414">
        <f>AQ413+IF(AND($E414&lt;&gt;"",$E414&lt;=AQ$2,$F414&gt;=AQ$2),1,0)</f>
        <v/>
      </c>
      <c r="AR414">
        <f>AR413+IF(AND($E414&lt;&gt;"",$E414&lt;=AR$2,$F414&gt;=AR$2),1,0)</f>
        <v/>
      </c>
      <c r="AS414">
        <f>AS413+IF(AND($E414&lt;&gt;"",$E414&lt;=AS$2,$F414&gt;=AS$2),1,0)</f>
        <v/>
      </c>
      <c r="AT414">
        <f>AT413+IF(AND($E414&lt;&gt;"",$E414&lt;=AT$2,$F414&gt;=AT$2),1,0)</f>
        <v/>
      </c>
      <c r="AU414">
        <f>AU413+IF(AND($E414&lt;&gt;"",$E414&lt;=AU$2,$F414&gt;=AU$2),1,0)</f>
        <v/>
      </c>
      <c r="AV414">
        <f>AV413+IF(AND($E414&lt;&gt;"",$E414&lt;=AV$2,$F414&gt;=AV$2),1,0)</f>
        <v/>
      </c>
      <c r="AW414">
        <f>AW413+IF(AND($E414&lt;&gt;"",$E414&lt;=AW$2,$F414&gt;=AW$2),1,0)</f>
        <v/>
      </c>
    </row>
    <row r="415">
      <c r="A415">
        <f>IF(AND(ISNUMBER(Events!$A417),ISNUMBER(Events!$B417)),MAX(0,Events!$B417-Events!$A417),0)</f>
        <v/>
      </c>
      <c r="B415">
        <f>IF(ISNUMBER(Events!$A417),DATE(YEAR($B$1)-1,MONTH(Events!$A417),DAY(Events!$A417)),"")</f>
        <v/>
      </c>
      <c r="C415">
        <f>IF(ISNUMBER(Events!$A417),DATE(YEAR($B$1),MONTH(Events!$A417),DAY(Events!$A417)),"")</f>
        <v/>
      </c>
      <c r="D415">
        <f>IF(ISNUMBER(Events!$A417),DATE(YEAR($B$2),MONTH(Events!$A417),DAY(Events!$A417)),"")</f>
        <v/>
      </c>
      <c r="E415">
        <f>IF(OR(NOT(ISNUMBER(Events!$A417)),Events!$G417="No",Calendar!$H$4="None"),"",IF(OR(Calendar!$H$4="All events",Events!$D417=Calendar!$H$4),IF(Events!$E417="Yes",IF(AND(B415&gt;=Events!$A417,B415&lt;=$B$2,B415+$A415&gt;=$B$1),B415,IF(AND(C415&gt;=Events!$A417,C415&lt;=$B$2,C415+$A415&gt;=$B$1),C415,IF(AND(D415&gt;=Events!$A417,D415&lt;=$B$2,D415+$A415&gt;=$B$1),D415,""))),IF(AND(Events!$A417&lt;=$B$2,Events!$A417+$A415&gt;=$B$1),Events!$A417,"")),""))</f>
        <v/>
      </c>
      <c r="F415">
        <f>IF(E415="","",E415+A415)</f>
        <v/>
      </c>
      <c r="G415">
        <f>IF(E415="","",IF(AND(E415&lt;=EOMONTH(Calendar!$K$2,0),F415&gt;=Calendar!$K$2),E415+412/100000,""))</f>
        <v/>
      </c>
      <c r="H415">
        <f>H414+IF(AND($E415&lt;&gt;"",$E415&lt;=H$2,$F415&gt;=H$2),1,0)</f>
        <v/>
      </c>
      <c r="I415">
        <f>I414+IF(AND($E415&lt;&gt;"",$E415&lt;=I$2,$F415&gt;=I$2),1,0)</f>
        <v/>
      </c>
      <c r="J415">
        <f>J414+IF(AND($E415&lt;&gt;"",$E415&lt;=J$2,$F415&gt;=J$2),1,0)</f>
        <v/>
      </c>
      <c r="K415">
        <f>K414+IF(AND($E415&lt;&gt;"",$E415&lt;=K$2,$F415&gt;=K$2),1,0)</f>
        <v/>
      </c>
      <c r="L415">
        <f>L414+IF(AND($E415&lt;&gt;"",$E415&lt;=L$2,$F415&gt;=L$2),1,0)</f>
        <v/>
      </c>
      <c r="M415">
        <f>M414+IF(AND($E415&lt;&gt;"",$E415&lt;=M$2,$F415&gt;=M$2),1,0)</f>
        <v/>
      </c>
      <c r="N415">
        <f>N414+IF(AND($E415&lt;&gt;"",$E415&lt;=N$2,$F415&gt;=N$2),1,0)</f>
        <v/>
      </c>
      <c r="O415">
        <f>O414+IF(AND($E415&lt;&gt;"",$E415&lt;=O$2,$F415&gt;=O$2),1,0)</f>
        <v/>
      </c>
      <c r="P415">
        <f>P414+IF(AND($E415&lt;&gt;"",$E415&lt;=P$2,$F415&gt;=P$2),1,0)</f>
        <v/>
      </c>
      <c r="Q415">
        <f>Q414+IF(AND($E415&lt;&gt;"",$E415&lt;=Q$2,$F415&gt;=Q$2),1,0)</f>
        <v/>
      </c>
      <c r="R415">
        <f>R414+IF(AND($E415&lt;&gt;"",$E415&lt;=R$2,$F415&gt;=R$2),1,0)</f>
        <v/>
      </c>
      <c r="S415">
        <f>S414+IF(AND($E415&lt;&gt;"",$E415&lt;=S$2,$F415&gt;=S$2),1,0)</f>
        <v/>
      </c>
      <c r="T415">
        <f>T414+IF(AND($E415&lt;&gt;"",$E415&lt;=T$2,$F415&gt;=T$2),1,0)</f>
        <v/>
      </c>
      <c r="U415">
        <f>U414+IF(AND($E415&lt;&gt;"",$E415&lt;=U$2,$F415&gt;=U$2),1,0)</f>
        <v/>
      </c>
      <c r="V415">
        <f>V414+IF(AND($E415&lt;&gt;"",$E415&lt;=V$2,$F415&gt;=V$2),1,0)</f>
        <v/>
      </c>
      <c r="W415">
        <f>W414+IF(AND($E415&lt;&gt;"",$E415&lt;=W$2,$F415&gt;=W$2),1,0)</f>
        <v/>
      </c>
      <c r="X415">
        <f>X414+IF(AND($E415&lt;&gt;"",$E415&lt;=X$2,$F415&gt;=X$2),1,0)</f>
        <v/>
      </c>
      <c r="Y415">
        <f>Y414+IF(AND($E415&lt;&gt;"",$E415&lt;=Y$2,$F415&gt;=Y$2),1,0)</f>
        <v/>
      </c>
      <c r="Z415">
        <f>Z414+IF(AND($E415&lt;&gt;"",$E415&lt;=Z$2,$F415&gt;=Z$2),1,0)</f>
        <v/>
      </c>
      <c r="AA415">
        <f>AA414+IF(AND($E415&lt;&gt;"",$E415&lt;=AA$2,$F415&gt;=AA$2),1,0)</f>
        <v/>
      </c>
      <c r="AB415">
        <f>AB414+IF(AND($E415&lt;&gt;"",$E415&lt;=AB$2,$F415&gt;=AB$2),1,0)</f>
        <v/>
      </c>
      <c r="AC415">
        <f>AC414+IF(AND($E415&lt;&gt;"",$E415&lt;=AC$2,$F415&gt;=AC$2),1,0)</f>
        <v/>
      </c>
      <c r="AD415">
        <f>AD414+IF(AND($E415&lt;&gt;"",$E415&lt;=AD$2,$F415&gt;=AD$2),1,0)</f>
        <v/>
      </c>
      <c r="AE415">
        <f>AE414+IF(AND($E415&lt;&gt;"",$E415&lt;=AE$2,$F415&gt;=AE$2),1,0)</f>
        <v/>
      </c>
      <c r="AF415">
        <f>AF414+IF(AND($E415&lt;&gt;"",$E415&lt;=AF$2,$F415&gt;=AF$2),1,0)</f>
        <v/>
      </c>
      <c r="AG415">
        <f>AG414+IF(AND($E415&lt;&gt;"",$E415&lt;=AG$2,$F415&gt;=AG$2),1,0)</f>
        <v/>
      </c>
      <c r="AH415">
        <f>AH414+IF(AND($E415&lt;&gt;"",$E415&lt;=AH$2,$F415&gt;=AH$2),1,0)</f>
        <v/>
      </c>
      <c r="AI415">
        <f>AI414+IF(AND($E415&lt;&gt;"",$E415&lt;=AI$2,$F415&gt;=AI$2),1,0)</f>
        <v/>
      </c>
      <c r="AJ415">
        <f>AJ414+IF(AND($E415&lt;&gt;"",$E415&lt;=AJ$2,$F415&gt;=AJ$2),1,0)</f>
        <v/>
      </c>
      <c r="AK415">
        <f>AK414+IF(AND($E415&lt;&gt;"",$E415&lt;=AK$2,$F415&gt;=AK$2),1,0)</f>
        <v/>
      </c>
      <c r="AL415">
        <f>AL414+IF(AND($E415&lt;&gt;"",$E415&lt;=AL$2,$F415&gt;=AL$2),1,0)</f>
        <v/>
      </c>
      <c r="AM415">
        <f>AM414+IF(AND($E415&lt;&gt;"",$E415&lt;=AM$2,$F415&gt;=AM$2),1,0)</f>
        <v/>
      </c>
      <c r="AN415">
        <f>AN414+IF(AND($E415&lt;&gt;"",$E415&lt;=AN$2,$F415&gt;=AN$2),1,0)</f>
        <v/>
      </c>
      <c r="AO415">
        <f>AO414+IF(AND($E415&lt;&gt;"",$E415&lt;=AO$2,$F415&gt;=AO$2),1,0)</f>
        <v/>
      </c>
      <c r="AP415">
        <f>AP414+IF(AND($E415&lt;&gt;"",$E415&lt;=AP$2,$F415&gt;=AP$2),1,0)</f>
        <v/>
      </c>
      <c r="AQ415">
        <f>AQ414+IF(AND($E415&lt;&gt;"",$E415&lt;=AQ$2,$F415&gt;=AQ$2),1,0)</f>
        <v/>
      </c>
      <c r="AR415">
        <f>AR414+IF(AND($E415&lt;&gt;"",$E415&lt;=AR$2,$F415&gt;=AR$2),1,0)</f>
        <v/>
      </c>
      <c r="AS415">
        <f>AS414+IF(AND($E415&lt;&gt;"",$E415&lt;=AS$2,$F415&gt;=AS$2),1,0)</f>
        <v/>
      </c>
      <c r="AT415">
        <f>AT414+IF(AND($E415&lt;&gt;"",$E415&lt;=AT$2,$F415&gt;=AT$2),1,0)</f>
        <v/>
      </c>
      <c r="AU415">
        <f>AU414+IF(AND($E415&lt;&gt;"",$E415&lt;=AU$2,$F415&gt;=AU$2),1,0)</f>
        <v/>
      </c>
      <c r="AV415">
        <f>AV414+IF(AND($E415&lt;&gt;"",$E415&lt;=AV$2,$F415&gt;=AV$2),1,0)</f>
        <v/>
      </c>
      <c r="AW415">
        <f>AW414+IF(AND($E415&lt;&gt;"",$E415&lt;=AW$2,$F415&gt;=AW$2),1,0)</f>
        <v/>
      </c>
    </row>
    <row r="416">
      <c r="A416">
        <f>IF(AND(ISNUMBER(Events!$A418),ISNUMBER(Events!$B418)),MAX(0,Events!$B418-Events!$A418),0)</f>
        <v/>
      </c>
      <c r="B416">
        <f>IF(ISNUMBER(Events!$A418),DATE(YEAR($B$1)-1,MONTH(Events!$A418),DAY(Events!$A418)),"")</f>
        <v/>
      </c>
      <c r="C416">
        <f>IF(ISNUMBER(Events!$A418),DATE(YEAR($B$1),MONTH(Events!$A418),DAY(Events!$A418)),"")</f>
        <v/>
      </c>
      <c r="D416">
        <f>IF(ISNUMBER(Events!$A418),DATE(YEAR($B$2),MONTH(Events!$A418),DAY(Events!$A418)),"")</f>
        <v/>
      </c>
      <c r="E416">
        <f>IF(OR(NOT(ISNUMBER(Events!$A418)),Events!$G418="No",Calendar!$H$4="None"),"",IF(OR(Calendar!$H$4="All events",Events!$D418=Calendar!$H$4),IF(Events!$E418="Yes",IF(AND(B416&gt;=Events!$A418,B416&lt;=$B$2,B416+$A416&gt;=$B$1),B416,IF(AND(C416&gt;=Events!$A418,C416&lt;=$B$2,C416+$A416&gt;=$B$1),C416,IF(AND(D416&gt;=Events!$A418,D416&lt;=$B$2,D416+$A416&gt;=$B$1),D416,""))),IF(AND(Events!$A418&lt;=$B$2,Events!$A418+$A416&gt;=$B$1),Events!$A418,"")),""))</f>
        <v/>
      </c>
      <c r="F416">
        <f>IF(E416="","",E416+A416)</f>
        <v/>
      </c>
      <c r="G416">
        <f>IF(E416="","",IF(AND(E416&lt;=EOMONTH(Calendar!$K$2,0),F416&gt;=Calendar!$K$2),E416+413/100000,""))</f>
        <v/>
      </c>
      <c r="H416">
        <f>H415+IF(AND($E416&lt;&gt;"",$E416&lt;=H$2,$F416&gt;=H$2),1,0)</f>
        <v/>
      </c>
      <c r="I416">
        <f>I415+IF(AND($E416&lt;&gt;"",$E416&lt;=I$2,$F416&gt;=I$2),1,0)</f>
        <v/>
      </c>
      <c r="J416">
        <f>J415+IF(AND($E416&lt;&gt;"",$E416&lt;=J$2,$F416&gt;=J$2),1,0)</f>
        <v/>
      </c>
      <c r="K416">
        <f>K415+IF(AND($E416&lt;&gt;"",$E416&lt;=K$2,$F416&gt;=K$2),1,0)</f>
        <v/>
      </c>
      <c r="L416">
        <f>L415+IF(AND($E416&lt;&gt;"",$E416&lt;=L$2,$F416&gt;=L$2),1,0)</f>
        <v/>
      </c>
      <c r="M416">
        <f>M415+IF(AND($E416&lt;&gt;"",$E416&lt;=M$2,$F416&gt;=M$2),1,0)</f>
        <v/>
      </c>
      <c r="N416">
        <f>N415+IF(AND($E416&lt;&gt;"",$E416&lt;=N$2,$F416&gt;=N$2),1,0)</f>
        <v/>
      </c>
      <c r="O416">
        <f>O415+IF(AND($E416&lt;&gt;"",$E416&lt;=O$2,$F416&gt;=O$2),1,0)</f>
        <v/>
      </c>
      <c r="P416">
        <f>P415+IF(AND($E416&lt;&gt;"",$E416&lt;=P$2,$F416&gt;=P$2),1,0)</f>
        <v/>
      </c>
      <c r="Q416">
        <f>Q415+IF(AND($E416&lt;&gt;"",$E416&lt;=Q$2,$F416&gt;=Q$2),1,0)</f>
        <v/>
      </c>
      <c r="R416">
        <f>R415+IF(AND($E416&lt;&gt;"",$E416&lt;=R$2,$F416&gt;=R$2),1,0)</f>
        <v/>
      </c>
      <c r="S416">
        <f>S415+IF(AND($E416&lt;&gt;"",$E416&lt;=S$2,$F416&gt;=S$2),1,0)</f>
        <v/>
      </c>
      <c r="T416">
        <f>T415+IF(AND($E416&lt;&gt;"",$E416&lt;=T$2,$F416&gt;=T$2),1,0)</f>
        <v/>
      </c>
      <c r="U416">
        <f>U415+IF(AND($E416&lt;&gt;"",$E416&lt;=U$2,$F416&gt;=U$2),1,0)</f>
        <v/>
      </c>
      <c r="V416">
        <f>V415+IF(AND($E416&lt;&gt;"",$E416&lt;=V$2,$F416&gt;=V$2),1,0)</f>
        <v/>
      </c>
      <c r="W416">
        <f>W415+IF(AND($E416&lt;&gt;"",$E416&lt;=W$2,$F416&gt;=W$2),1,0)</f>
        <v/>
      </c>
      <c r="X416">
        <f>X415+IF(AND($E416&lt;&gt;"",$E416&lt;=X$2,$F416&gt;=X$2),1,0)</f>
        <v/>
      </c>
      <c r="Y416">
        <f>Y415+IF(AND($E416&lt;&gt;"",$E416&lt;=Y$2,$F416&gt;=Y$2),1,0)</f>
        <v/>
      </c>
      <c r="Z416">
        <f>Z415+IF(AND($E416&lt;&gt;"",$E416&lt;=Z$2,$F416&gt;=Z$2),1,0)</f>
        <v/>
      </c>
      <c r="AA416">
        <f>AA415+IF(AND($E416&lt;&gt;"",$E416&lt;=AA$2,$F416&gt;=AA$2),1,0)</f>
        <v/>
      </c>
      <c r="AB416">
        <f>AB415+IF(AND($E416&lt;&gt;"",$E416&lt;=AB$2,$F416&gt;=AB$2),1,0)</f>
        <v/>
      </c>
      <c r="AC416">
        <f>AC415+IF(AND($E416&lt;&gt;"",$E416&lt;=AC$2,$F416&gt;=AC$2),1,0)</f>
        <v/>
      </c>
      <c r="AD416">
        <f>AD415+IF(AND($E416&lt;&gt;"",$E416&lt;=AD$2,$F416&gt;=AD$2),1,0)</f>
        <v/>
      </c>
      <c r="AE416">
        <f>AE415+IF(AND($E416&lt;&gt;"",$E416&lt;=AE$2,$F416&gt;=AE$2),1,0)</f>
        <v/>
      </c>
      <c r="AF416">
        <f>AF415+IF(AND($E416&lt;&gt;"",$E416&lt;=AF$2,$F416&gt;=AF$2),1,0)</f>
        <v/>
      </c>
      <c r="AG416">
        <f>AG415+IF(AND($E416&lt;&gt;"",$E416&lt;=AG$2,$F416&gt;=AG$2),1,0)</f>
        <v/>
      </c>
      <c r="AH416">
        <f>AH415+IF(AND($E416&lt;&gt;"",$E416&lt;=AH$2,$F416&gt;=AH$2),1,0)</f>
        <v/>
      </c>
      <c r="AI416">
        <f>AI415+IF(AND($E416&lt;&gt;"",$E416&lt;=AI$2,$F416&gt;=AI$2),1,0)</f>
        <v/>
      </c>
      <c r="AJ416">
        <f>AJ415+IF(AND($E416&lt;&gt;"",$E416&lt;=AJ$2,$F416&gt;=AJ$2),1,0)</f>
        <v/>
      </c>
      <c r="AK416">
        <f>AK415+IF(AND($E416&lt;&gt;"",$E416&lt;=AK$2,$F416&gt;=AK$2),1,0)</f>
        <v/>
      </c>
      <c r="AL416">
        <f>AL415+IF(AND($E416&lt;&gt;"",$E416&lt;=AL$2,$F416&gt;=AL$2),1,0)</f>
        <v/>
      </c>
      <c r="AM416">
        <f>AM415+IF(AND($E416&lt;&gt;"",$E416&lt;=AM$2,$F416&gt;=AM$2),1,0)</f>
        <v/>
      </c>
      <c r="AN416">
        <f>AN415+IF(AND($E416&lt;&gt;"",$E416&lt;=AN$2,$F416&gt;=AN$2),1,0)</f>
        <v/>
      </c>
      <c r="AO416">
        <f>AO415+IF(AND($E416&lt;&gt;"",$E416&lt;=AO$2,$F416&gt;=AO$2),1,0)</f>
        <v/>
      </c>
      <c r="AP416">
        <f>AP415+IF(AND($E416&lt;&gt;"",$E416&lt;=AP$2,$F416&gt;=AP$2),1,0)</f>
        <v/>
      </c>
      <c r="AQ416">
        <f>AQ415+IF(AND($E416&lt;&gt;"",$E416&lt;=AQ$2,$F416&gt;=AQ$2),1,0)</f>
        <v/>
      </c>
      <c r="AR416">
        <f>AR415+IF(AND($E416&lt;&gt;"",$E416&lt;=AR$2,$F416&gt;=AR$2),1,0)</f>
        <v/>
      </c>
      <c r="AS416">
        <f>AS415+IF(AND($E416&lt;&gt;"",$E416&lt;=AS$2,$F416&gt;=AS$2),1,0)</f>
        <v/>
      </c>
      <c r="AT416">
        <f>AT415+IF(AND($E416&lt;&gt;"",$E416&lt;=AT$2,$F416&gt;=AT$2),1,0)</f>
        <v/>
      </c>
      <c r="AU416">
        <f>AU415+IF(AND($E416&lt;&gt;"",$E416&lt;=AU$2,$F416&gt;=AU$2),1,0)</f>
        <v/>
      </c>
      <c r="AV416">
        <f>AV415+IF(AND($E416&lt;&gt;"",$E416&lt;=AV$2,$F416&gt;=AV$2),1,0)</f>
        <v/>
      </c>
      <c r="AW416">
        <f>AW415+IF(AND($E416&lt;&gt;"",$E416&lt;=AW$2,$F416&gt;=AW$2),1,0)</f>
        <v/>
      </c>
    </row>
    <row r="417">
      <c r="A417">
        <f>IF(AND(ISNUMBER(Events!$A419),ISNUMBER(Events!$B419)),MAX(0,Events!$B419-Events!$A419),0)</f>
        <v/>
      </c>
      <c r="B417">
        <f>IF(ISNUMBER(Events!$A419),DATE(YEAR($B$1)-1,MONTH(Events!$A419),DAY(Events!$A419)),"")</f>
        <v/>
      </c>
      <c r="C417">
        <f>IF(ISNUMBER(Events!$A419),DATE(YEAR($B$1),MONTH(Events!$A419),DAY(Events!$A419)),"")</f>
        <v/>
      </c>
      <c r="D417">
        <f>IF(ISNUMBER(Events!$A419),DATE(YEAR($B$2),MONTH(Events!$A419),DAY(Events!$A419)),"")</f>
        <v/>
      </c>
      <c r="E417">
        <f>IF(OR(NOT(ISNUMBER(Events!$A419)),Events!$G419="No",Calendar!$H$4="None"),"",IF(OR(Calendar!$H$4="All events",Events!$D419=Calendar!$H$4),IF(Events!$E419="Yes",IF(AND(B417&gt;=Events!$A419,B417&lt;=$B$2,B417+$A417&gt;=$B$1),B417,IF(AND(C417&gt;=Events!$A419,C417&lt;=$B$2,C417+$A417&gt;=$B$1),C417,IF(AND(D417&gt;=Events!$A419,D417&lt;=$B$2,D417+$A417&gt;=$B$1),D417,""))),IF(AND(Events!$A419&lt;=$B$2,Events!$A419+$A417&gt;=$B$1),Events!$A419,"")),""))</f>
        <v/>
      </c>
      <c r="F417">
        <f>IF(E417="","",E417+A417)</f>
        <v/>
      </c>
      <c r="G417">
        <f>IF(E417="","",IF(AND(E417&lt;=EOMONTH(Calendar!$K$2,0),F417&gt;=Calendar!$K$2),E417+414/100000,""))</f>
        <v/>
      </c>
      <c r="H417">
        <f>H416+IF(AND($E417&lt;&gt;"",$E417&lt;=H$2,$F417&gt;=H$2),1,0)</f>
        <v/>
      </c>
      <c r="I417">
        <f>I416+IF(AND($E417&lt;&gt;"",$E417&lt;=I$2,$F417&gt;=I$2),1,0)</f>
        <v/>
      </c>
      <c r="J417">
        <f>J416+IF(AND($E417&lt;&gt;"",$E417&lt;=J$2,$F417&gt;=J$2),1,0)</f>
        <v/>
      </c>
      <c r="K417">
        <f>K416+IF(AND($E417&lt;&gt;"",$E417&lt;=K$2,$F417&gt;=K$2),1,0)</f>
        <v/>
      </c>
      <c r="L417">
        <f>L416+IF(AND($E417&lt;&gt;"",$E417&lt;=L$2,$F417&gt;=L$2),1,0)</f>
        <v/>
      </c>
      <c r="M417">
        <f>M416+IF(AND($E417&lt;&gt;"",$E417&lt;=M$2,$F417&gt;=M$2),1,0)</f>
        <v/>
      </c>
      <c r="N417">
        <f>N416+IF(AND($E417&lt;&gt;"",$E417&lt;=N$2,$F417&gt;=N$2),1,0)</f>
        <v/>
      </c>
      <c r="O417">
        <f>O416+IF(AND($E417&lt;&gt;"",$E417&lt;=O$2,$F417&gt;=O$2),1,0)</f>
        <v/>
      </c>
      <c r="P417">
        <f>P416+IF(AND($E417&lt;&gt;"",$E417&lt;=P$2,$F417&gt;=P$2),1,0)</f>
        <v/>
      </c>
      <c r="Q417">
        <f>Q416+IF(AND($E417&lt;&gt;"",$E417&lt;=Q$2,$F417&gt;=Q$2),1,0)</f>
        <v/>
      </c>
      <c r="R417">
        <f>R416+IF(AND($E417&lt;&gt;"",$E417&lt;=R$2,$F417&gt;=R$2),1,0)</f>
        <v/>
      </c>
      <c r="S417">
        <f>S416+IF(AND($E417&lt;&gt;"",$E417&lt;=S$2,$F417&gt;=S$2),1,0)</f>
        <v/>
      </c>
      <c r="T417">
        <f>T416+IF(AND($E417&lt;&gt;"",$E417&lt;=T$2,$F417&gt;=T$2),1,0)</f>
        <v/>
      </c>
      <c r="U417">
        <f>U416+IF(AND($E417&lt;&gt;"",$E417&lt;=U$2,$F417&gt;=U$2),1,0)</f>
        <v/>
      </c>
      <c r="V417">
        <f>V416+IF(AND($E417&lt;&gt;"",$E417&lt;=V$2,$F417&gt;=V$2),1,0)</f>
        <v/>
      </c>
      <c r="W417">
        <f>W416+IF(AND($E417&lt;&gt;"",$E417&lt;=W$2,$F417&gt;=W$2),1,0)</f>
        <v/>
      </c>
      <c r="X417">
        <f>X416+IF(AND($E417&lt;&gt;"",$E417&lt;=X$2,$F417&gt;=X$2),1,0)</f>
        <v/>
      </c>
      <c r="Y417">
        <f>Y416+IF(AND($E417&lt;&gt;"",$E417&lt;=Y$2,$F417&gt;=Y$2),1,0)</f>
        <v/>
      </c>
      <c r="Z417">
        <f>Z416+IF(AND($E417&lt;&gt;"",$E417&lt;=Z$2,$F417&gt;=Z$2),1,0)</f>
        <v/>
      </c>
      <c r="AA417">
        <f>AA416+IF(AND($E417&lt;&gt;"",$E417&lt;=AA$2,$F417&gt;=AA$2),1,0)</f>
        <v/>
      </c>
      <c r="AB417">
        <f>AB416+IF(AND($E417&lt;&gt;"",$E417&lt;=AB$2,$F417&gt;=AB$2),1,0)</f>
        <v/>
      </c>
      <c r="AC417">
        <f>AC416+IF(AND($E417&lt;&gt;"",$E417&lt;=AC$2,$F417&gt;=AC$2),1,0)</f>
        <v/>
      </c>
      <c r="AD417">
        <f>AD416+IF(AND($E417&lt;&gt;"",$E417&lt;=AD$2,$F417&gt;=AD$2),1,0)</f>
        <v/>
      </c>
      <c r="AE417">
        <f>AE416+IF(AND($E417&lt;&gt;"",$E417&lt;=AE$2,$F417&gt;=AE$2),1,0)</f>
        <v/>
      </c>
      <c r="AF417">
        <f>AF416+IF(AND($E417&lt;&gt;"",$E417&lt;=AF$2,$F417&gt;=AF$2),1,0)</f>
        <v/>
      </c>
      <c r="AG417">
        <f>AG416+IF(AND($E417&lt;&gt;"",$E417&lt;=AG$2,$F417&gt;=AG$2),1,0)</f>
        <v/>
      </c>
      <c r="AH417">
        <f>AH416+IF(AND($E417&lt;&gt;"",$E417&lt;=AH$2,$F417&gt;=AH$2),1,0)</f>
        <v/>
      </c>
      <c r="AI417">
        <f>AI416+IF(AND($E417&lt;&gt;"",$E417&lt;=AI$2,$F417&gt;=AI$2),1,0)</f>
        <v/>
      </c>
      <c r="AJ417">
        <f>AJ416+IF(AND($E417&lt;&gt;"",$E417&lt;=AJ$2,$F417&gt;=AJ$2),1,0)</f>
        <v/>
      </c>
      <c r="AK417">
        <f>AK416+IF(AND($E417&lt;&gt;"",$E417&lt;=AK$2,$F417&gt;=AK$2),1,0)</f>
        <v/>
      </c>
      <c r="AL417">
        <f>AL416+IF(AND($E417&lt;&gt;"",$E417&lt;=AL$2,$F417&gt;=AL$2),1,0)</f>
        <v/>
      </c>
      <c r="AM417">
        <f>AM416+IF(AND($E417&lt;&gt;"",$E417&lt;=AM$2,$F417&gt;=AM$2),1,0)</f>
        <v/>
      </c>
      <c r="AN417">
        <f>AN416+IF(AND($E417&lt;&gt;"",$E417&lt;=AN$2,$F417&gt;=AN$2),1,0)</f>
        <v/>
      </c>
      <c r="AO417">
        <f>AO416+IF(AND($E417&lt;&gt;"",$E417&lt;=AO$2,$F417&gt;=AO$2),1,0)</f>
        <v/>
      </c>
      <c r="AP417">
        <f>AP416+IF(AND($E417&lt;&gt;"",$E417&lt;=AP$2,$F417&gt;=AP$2),1,0)</f>
        <v/>
      </c>
      <c r="AQ417">
        <f>AQ416+IF(AND($E417&lt;&gt;"",$E417&lt;=AQ$2,$F417&gt;=AQ$2),1,0)</f>
        <v/>
      </c>
      <c r="AR417">
        <f>AR416+IF(AND($E417&lt;&gt;"",$E417&lt;=AR$2,$F417&gt;=AR$2),1,0)</f>
        <v/>
      </c>
      <c r="AS417">
        <f>AS416+IF(AND($E417&lt;&gt;"",$E417&lt;=AS$2,$F417&gt;=AS$2),1,0)</f>
        <v/>
      </c>
      <c r="AT417">
        <f>AT416+IF(AND($E417&lt;&gt;"",$E417&lt;=AT$2,$F417&gt;=AT$2),1,0)</f>
        <v/>
      </c>
      <c r="AU417">
        <f>AU416+IF(AND($E417&lt;&gt;"",$E417&lt;=AU$2,$F417&gt;=AU$2),1,0)</f>
        <v/>
      </c>
      <c r="AV417">
        <f>AV416+IF(AND($E417&lt;&gt;"",$E417&lt;=AV$2,$F417&gt;=AV$2),1,0)</f>
        <v/>
      </c>
      <c r="AW417">
        <f>AW416+IF(AND($E417&lt;&gt;"",$E417&lt;=AW$2,$F417&gt;=AW$2),1,0)</f>
        <v/>
      </c>
    </row>
    <row r="418">
      <c r="A418">
        <f>IF(AND(ISNUMBER(Events!$A420),ISNUMBER(Events!$B420)),MAX(0,Events!$B420-Events!$A420),0)</f>
        <v/>
      </c>
      <c r="B418">
        <f>IF(ISNUMBER(Events!$A420),DATE(YEAR($B$1)-1,MONTH(Events!$A420),DAY(Events!$A420)),"")</f>
        <v/>
      </c>
      <c r="C418">
        <f>IF(ISNUMBER(Events!$A420),DATE(YEAR($B$1),MONTH(Events!$A420),DAY(Events!$A420)),"")</f>
        <v/>
      </c>
      <c r="D418">
        <f>IF(ISNUMBER(Events!$A420),DATE(YEAR($B$2),MONTH(Events!$A420),DAY(Events!$A420)),"")</f>
        <v/>
      </c>
      <c r="E418">
        <f>IF(OR(NOT(ISNUMBER(Events!$A420)),Events!$G420="No",Calendar!$H$4="None"),"",IF(OR(Calendar!$H$4="All events",Events!$D420=Calendar!$H$4),IF(Events!$E420="Yes",IF(AND(B418&gt;=Events!$A420,B418&lt;=$B$2,B418+$A418&gt;=$B$1),B418,IF(AND(C418&gt;=Events!$A420,C418&lt;=$B$2,C418+$A418&gt;=$B$1),C418,IF(AND(D418&gt;=Events!$A420,D418&lt;=$B$2,D418+$A418&gt;=$B$1),D418,""))),IF(AND(Events!$A420&lt;=$B$2,Events!$A420+$A418&gt;=$B$1),Events!$A420,"")),""))</f>
        <v/>
      </c>
      <c r="F418">
        <f>IF(E418="","",E418+A418)</f>
        <v/>
      </c>
      <c r="G418">
        <f>IF(E418="","",IF(AND(E418&lt;=EOMONTH(Calendar!$K$2,0),F418&gt;=Calendar!$K$2),E418+415/100000,""))</f>
        <v/>
      </c>
      <c r="H418">
        <f>H417+IF(AND($E418&lt;&gt;"",$E418&lt;=H$2,$F418&gt;=H$2),1,0)</f>
        <v/>
      </c>
      <c r="I418">
        <f>I417+IF(AND($E418&lt;&gt;"",$E418&lt;=I$2,$F418&gt;=I$2),1,0)</f>
        <v/>
      </c>
      <c r="J418">
        <f>J417+IF(AND($E418&lt;&gt;"",$E418&lt;=J$2,$F418&gt;=J$2),1,0)</f>
        <v/>
      </c>
      <c r="K418">
        <f>K417+IF(AND($E418&lt;&gt;"",$E418&lt;=K$2,$F418&gt;=K$2),1,0)</f>
        <v/>
      </c>
      <c r="L418">
        <f>L417+IF(AND($E418&lt;&gt;"",$E418&lt;=L$2,$F418&gt;=L$2),1,0)</f>
        <v/>
      </c>
      <c r="M418">
        <f>M417+IF(AND($E418&lt;&gt;"",$E418&lt;=M$2,$F418&gt;=M$2),1,0)</f>
        <v/>
      </c>
      <c r="N418">
        <f>N417+IF(AND($E418&lt;&gt;"",$E418&lt;=N$2,$F418&gt;=N$2),1,0)</f>
        <v/>
      </c>
      <c r="O418">
        <f>O417+IF(AND($E418&lt;&gt;"",$E418&lt;=O$2,$F418&gt;=O$2),1,0)</f>
        <v/>
      </c>
      <c r="P418">
        <f>P417+IF(AND($E418&lt;&gt;"",$E418&lt;=P$2,$F418&gt;=P$2),1,0)</f>
        <v/>
      </c>
      <c r="Q418">
        <f>Q417+IF(AND($E418&lt;&gt;"",$E418&lt;=Q$2,$F418&gt;=Q$2),1,0)</f>
        <v/>
      </c>
      <c r="R418">
        <f>R417+IF(AND($E418&lt;&gt;"",$E418&lt;=R$2,$F418&gt;=R$2),1,0)</f>
        <v/>
      </c>
      <c r="S418">
        <f>S417+IF(AND($E418&lt;&gt;"",$E418&lt;=S$2,$F418&gt;=S$2),1,0)</f>
        <v/>
      </c>
      <c r="T418">
        <f>T417+IF(AND($E418&lt;&gt;"",$E418&lt;=T$2,$F418&gt;=T$2),1,0)</f>
        <v/>
      </c>
      <c r="U418">
        <f>U417+IF(AND($E418&lt;&gt;"",$E418&lt;=U$2,$F418&gt;=U$2),1,0)</f>
        <v/>
      </c>
      <c r="V418">
        <f>V417+IF(AND($E418&lt;&gt;"",$E418&lt;=V$2,$F418&gt;=V$2),1,0)</f>
        <v/>
      </c>
      <c r="W418">
        <f>W417+IF(AND($E418&lt;&gt;"",$E418&lt;=W$2,$F418&gt;=W$2),1,0)</f>
        <v/>
      </c>
      <c r="X418">
        <f>X417+IF(AND($E418&lt;&gt;"",$E418&lt;=X$2,$F418&gt;=X$2),1,0)</f>
        <v/>
      </c>
      <c r="Y418">
        <f>Y417+IF(AND($E418&lt;&gt;"",$E418&lt;=Y$2,$F418&gt;=Y$2),1,0)</f>
        <v/>
      </c>
      <c r="Z418">
        <f>Z417+IF(AND($E418&lt;&gt;"",$E418&lt;=Z$2,$F418&gt;=Z$2),1,0)</f>
        <v/>
      </c>
      <c r="AA418">
        <f>AA417+IF(AND($E418&lt;&gt;"",$E418&lt;=AA$2,$F418&gt;=AA$2),1,0)</f>
        <v/>
      </c>
      <c r="AB418">
        <f>AB417+IF(AND($E418&lt;&gt;"",$E418&lt;=AB$2,$F418&gt;=AB$2),1,0)</f>
        <v/>
      </c>
      <c r="AC418">
        <f>AC417+IF(AND($E418&lt;&gt;"",$E418&lt;=AC$2,$F418&gt;=AC$2),1,0)</f>
        <v/>
      </c>
      <c r="AD418">
        <f>AD417+IF(AND($E418&lt;&gt;"",$E418&lt;=AD$2,$F418&gt;=AD$2),1,0)</f>
        <v/>
      </c>
      <c r="AE418">
        <f>AE417+IF(AND($E418&lt;&gt;"",$E418&lt;=AE$2,$F418&gt;=AE$2),1,0)</f>
        <v/>
      </c>
      <c r="AF418">
        <f>AF417+IF(AND($E418&lt;&gt;"",$E418&lt;=AF$2,$F418&gt;=AF$2),1,0)</f>
        <v/>
      </c>
      <c r="AG418">
        <f>AG417+IF(AND($E418&lt;&gt;"",$E418&lt;=AG$2,$F418&gt;=AG$2),1,0)</f>
        <v/>
      </c>
      <c r="AH418">
        <f>AH417+IF(AND($E418&lt;&gt;"",$E418&lt;=AH$2,$F418&gt;=AH$2),1,0)</f>
        <v/>
      </c>
      <c r="AI418">
        <f>AI417+IF(AND($E418&lt;&gt;"",$E418&lt;=AI$2,$F418&gt;=AI$2),1,0)</f>
        <v/>
      </c>
      <c r="AJ418">
        <f>AJ417+IF(AND($E418&lt;&gt;"",$E418&lt;=AJ$2,$F418&gt;=AJ$2),1,0)</f>
        <v/>
      </c>
      <c r="AK418">
        <f>AK417+IF(AND($E418&lt;&gt;"",$E418&lt;=AK$2,$F418&gt;=AK$2),1,0)</f>
        <v/>
      </c>
      <c r="AL418">
        <f>AL417+IF(AND($E418&lt;&gt;"",$E418&lt;=AL$2,$F418&gt;=AL$2),1,0)</f>
        <v/>
      </c>
      <c r="AM418">
        <f>AM417+IF(AND($E418&lt;&gt;"",$E418&lt;=AM$2,$F418&gt;=AM$2),1,0)</f>
        <v/>
      </c>
      <c r="AN418">
        <f>AN417+IF(AND($E418&lt;&gt;"",$E418&lt;=AN$2,$F418&gt;=AN$2),1,0)</f>
        <v/>
      </c>
      <c r="AO418">
        <f>AO417+IF(AND($E418&lt;&gt;"",$E418&lt;=AO$2,$F418&gt;=AO$2),1,0)</f>
        <v/>
      </c>
      <c r="AP418">
        <f>AP417+IF(AND($E418&lt;&gt;"",$E418&lt;=AP$2,$F418&gt;=AP$2),1,0)</f>
        <v/>
      </c>
      <c r="AQ418">
        <f>AQ417+IF(AND($E418&lt;&gt;"",$E418&lt;=AQ$2,$F418&gt;=AQ$2),1,0)</f>
        <v/>
      </c>
      <c r="AR418">
        <f>AR417+IF(AND($E418&lt;&gt;"",$E418&lt;=AR$2,$F418&gt;=AR$2),1,0)</f>
        <v/>
      </c>
      <c r="AS418">
        <f>AS417+IF(AND($E418&lt;&gt;"",$E418&lt;=AS$2,$F418&gt;=AS$2),1,0)</f>
        <v/>
      </c>
      <c r="AT418">
        <f>AT417+IF(AND($E418&lt;&gt;"",$E418&lt;=AT$2,$F418&gt;=AT$2),1,0)</f>
        <v/>
      </c>
      <c r="AU418">
        <f>AU417+IF(AND($E418&lt;&gt;"",$E418&lt;=AU$2,$F418&gt;=AU$2),1,0)</f>
        <v/>
      </c>
      <c r="AV418">
        <f>AV417+IF(AND($E418&lt;&gt;"",$E418&lt;=AV$2,$F418&gt;=AV$2),1,0)</f>
        <v/>
      </c>
      <c r="AW418">
        <f>AW417+IF(AND($E418&lt;&gt;"",$E418&lt;=AW$2,$F418&gt;=AW$2),1,0)</f>
        <v/>
      </c>
    </row>
    <row r="419">
      <c r="A419">
        <f>IF(AND(ISNUMBER(Events!$A421),ISNUMBER(Events!$B421)),MAX(0,Events!$B421-Events!$A421),0)</f>
        <v/>
      </c>
      <c r="B419">
        <f>IF(ISNUMBER(Events!$A421),DATE(YEAR($B$1)-1,MONTH(Events!$A421),DAY(Events!$A421)),"")</f>
        <v/>
      </c>
      <c r="C419">
        <f>IF(ISNUMBER(Events!$A421),DATE(YEAR($B$1),MONTH(Events!$A421),DAY(Events!$A421)),"")</f>
        <v/>
      </c>
      <c r="D419">
        <f>IF(ISNUMBER(Events!$A421),DATE(YEAR($B$2),MONTH(Events!$A421),DAY(Events!$A421)),"")</f>
        <v/>
      </c>
      <c r="E419">
        <f>IF(OR(NOT(ISNUMBER(Events!$A421)),Events!$G421="No",Calendar!$H$4="None"),"",IF(OR(Calendar!$H$4="All events",Events!$D421=Calendar!$H$4),IF(Events!$E421="Yes",IF(AND(B419&gt;=Events!$A421,B419&lt;=$B$2,B419+$A419&gt;=$B$1),B419,IF(AND(C419&gt;=Events!$A421,C419&lt;=$B$2,C419+$A419&gt;=$B$1),C419,IF(AND(D419&gt;=Events!$A421,D419&lt;=$B$2,D419+$A419&gt;=$B$1),D419,""))),IF(AND(Events!$A421&lt;=$B$2,Events!$A421+$A419&gt;=$B$1),Events!$A421,"")),""))</f>
        <v/>
      </c>
      <c r="F419">
        <f>IF(E419="","",E419+A419)</f>
        <v/>
      </c>
      <c r="G419">
        <f>IF(E419="","",IF(AND(E419&lt;=EOMONTH(Calendar!$K$2,0),F419&gt;=Calendar!$K$2),E419+416/100000,""))</f>
        <v/>
      </c>
      <c r="H419">
        <f>H418+IF(AND($E419&lt;&gt;"",$E419&lt;=H$2,$F419&gt;=H$2),1,0)</f>
        <v/>
      </c>
      <c r="I419">
        <f>I418+IF(AND($E419&lt;&gt;"",$E419&lt;=I$2,$F419&gt;=I$2),1,0)</f>
        <v/>
      </c>
      <c r="J419">
        <f>J418+IF(AND($E419&lt;&gt;"",$E419&lt;=J$2,$F419&gt;=J$2),1,0)</f>
        <v/>
      </c>
      <c r="K419">
        <f>K418+IF(AND($E419&lt;&gt;"",$E419&lt;=K$2,$F419&gt;=K$2),1,0)</f>
        <v/>
      </c>
      <c r="L419">
        <f>L418+IF(AND($E419&lt;&gt;"",$E419&lt;=L$2,$F419&gt;=L$2),1,0)</f>
        <v/>
      </c>
      <c r="M419">
        <f>M418+IF(AND($E419&lt;&gt;"",$E419&lt;=M$2,$F419&gt;=M$2),1,0)</f>
        <v/>
      </c>
      <c r="N419">
        <f>N418+IF(AND($E419&lt;&gt;"",$E419&lt;=N$2,$F419&gt;=N$2),1,0)</f>
        <v/>
      </c>
      <c r="O419">
        <f>O418+IF(AND($E419&lt;&gt;"",$E419&lt;=O$2,$F419&gt;=O$2),1,0)</f>
        <v/>
      </c>
      <c r="P419">
        <f>P418+IF(AND($E419&lt;&gt;"",$E419&lt;=P$2,$F419&gt;=P$2),1,0)</f>
        <v/>
      </c>
      <c r="Q419">
        <f>Q418+IF(AND($E419&lt;&gt;"",$E419&lt;=Q$2,$F419&gt;=Q$2),1,0)</f>
        <v/>
      </c>
      <c r="R419">
        <f>R418+IF(AND($E419&lt;&gt;"",$E419&lt;=R$2,$F419&gt;=R$2),1,0)</f>
        <v/>
      </c>
      <c r="S419">
        <f>S418+IF(AND($E419&lt;&gt;"",$E419&lt;=S$2,$F419&gt;=S$2),1,0)</f>
        <v/>
      </c>
      <c r="T419">
        <f>T418+IF(AND($E419&lt;&gt;"",$E419&lt;=T$2,$F419&gt;=T$2),1,0)</f>
        <v/>
      </c>
      <c r="U419">
        <f>U418+IF(AND($E419&lt;&gt;"",$E419&lt;=U$2,$F419&gt;=U$2),1,0)</f>
        <v/>
      </c>
      <c r="V419">
        <f>V418+IF(AND($E419&lt;&gt;"",$E419&lt;=V$2,$F419&gt;=V$2),1,0)</f>
        <v/>
      </c>
      <c r="W419">
        <f>W418+IF(AND($E419&lt;&gt;"",$E419&lt;=W$2,$F419&gt;=W$2),1,0)</f>
        <v/>
      </c>
      <c r="X419">
        <f>X418+IF(AND($E419&lt;&gt;"",$E419&lt;=X$2,$F419&gt;=X$2),1,0)</f>
        <v/>
      </c>
      <c r="Y419">
        <f>Y418+IF(AND($E419&lt;&gt;"",$E419&lt;=Y$2,$F419&gt;=Y$2),1,0)</f>
        <v/>
      </c>
      <c r="Z419">
        <f>Z418+IF(AND($E419&lt;&gt;"",$E419&lt;=Z$2,$F419&gt;=Z$2),1,0)</f>
        <v/>
      </c>
      <c r="AA419">
        <f>AA418+IF(AND($E419&lt;&gt;"",$E419&lt;=AA$2,$F419&gt;=AA$2),1,0)</f>
        <v/>
      </c>
      <c r="AB419">
        <f>AB418+IF(AND($E419&lt;&gt;"",$E419&lt;=AB$2,$F419&gt;=AB$2),1,0)</f>
        <v/>
      </c>
      <c r="AC419">
        <f>AC418+IF(AND($E419&lt;&gt;"",$E419&lt;=AC$2,$F419&gt;=AC$2),1,0)</f>
        <v/>
      </c>
      <c r="AD419">
        <f>AD418+IF(AND($E419&lt;&gt;"",$E419&lt;=AD$2,$F419&gt;=AD$2),1,0)</f>
        <v/>
      </c>
      <c r="AE419">
        <f>AE418+IF(AND($E419&lt;&gt;"",$E419&lt;=AE$2,$F419&gt;=AE$2),1,0)</f>
        <v/>
      </c>
      <c r="AF419">
        <f>AF418+IF(AND($E419&lt;&gt;"",$E419&lt;=AF$2,$F419&gt;=AF$2),1,0)</f>
        <v/>
      </c>
      <c r="AG419">
        <f>AG418+IF(AND($E419&lt;&gt;"",$E419&lt;=AG$2,$F419&gt;=AG$2),1,0)</f>
        <v/>
      </c>
      <c r="AH419">
        <f>AH418+IF(AND($E419&lt;&gt;"",$E419&lt;=AH$2,$F419&gt;=AH$2),1,0)</f>
        <v/>
      </c>
      <c r="AI419">
        <f>AI418+IF(AND($E419&lt;&gt;"",$E419&lt;=AI$2,$F419&gt;=AI$2),1,0)</f>
        <v/>
      </c>
      <c r="AJ419">
        <f>AJ418+IF(AND($E419&lt;&gt;"",$E419&lt;=AJ$2,$F419&gt;=AJ$2),1,0)</f>
        <v/>
      </c>
      <c r="AK419">
        <f>AK418+IF(AND($E419&lt;&gt;"",$E419&lt;=AK$2,$F419&gt;=AK$2),1,0)</f>
        <v/>
      </c>
      <c r="AL419">
        <f>AL418+IF(AND($E419&lt;&gt;"",$E419&lt;=AL$2,$F419&gt;=AL$2),1,0)</f>
        <v/>
      </c>
      <c r="AM419">
        <f>AM418+IF(AND($E419&lt;&gt;"",$E419&lt;=AM$2,$F419&gt;=AM$2),1,0)</f>
        <v/>
      </c>
      <c r="AN419">
        <f>AN418+IF(AND($E419&lt;&gt;"",$E419&lt;=AN$2,$F419&gt;=AN$2),1,0)</f>
        <v/>
      </c>
      <c r="AO419">
        <f>AO418+IF(AND($E419&lt;&gt;"",$E419&lt;=AO$2,$F419&gt;=AO$2),1,0)</f>
        <v/>
      </c>
      <c r="AP419">
        <f>AP418+IF(AND($E419&lt;&gt;"",$E419&lt;=AP$2,$F419&gt;=AP$2),1,0)</f>
        <v/>
      </c>
      <c r="AQ419">
        <f>AQ418+IF(AND($E419&lt;&gt;"",$E419&lt;=AQ$2,$F419&gt;=AQ$2),1,0)</f>
        <v/>
      </c>
      <c r="AR419">
        <f>AR418+IF(AND($E419&lt;&gt;"",$E419&lt;=AR$2,$F419&gt;=AR$2),1,0)</f>
        <v/>
      </c>
      <c r="AS419">
        <f>AS418+IF(AND($E419&lt;&gt;"",$E419&lt;=AS$2,$F419&gt;=AS$2),1,0)</f>
        <v/>
      </c>
      <c r="AT419">
        <f>AT418+IF(AND($E419&lt;&gt;"",$E419&lt;=AT$2,$F419&gt;=AT$2),1,0)</f>
        <v/>
      </c>
      <c r="AU419">
        <f>AU418+IF(AND($E419&lt;&gt;"",$E419&lt;=AU$2,$F419&gt;=AU$2),1,0)</f>
        <v/>
      </c>
      <c r="AV419">
        <f>AV418+IF(AND($E419&lt;&gt;"",$E419&lt;=AV$2,$F419&gt;=AV$2),1,0)</f>
        <v/>
      </c>
      <c r="AW419">
        <f>AW418+IF(AND($E419&lt;&gt;"",$E419&lt;=AW$2,$F419&gt;=AW$2),1,0)</f>
        <v/>
      </c>
    </row>
    <row r="420">
      <c r="A420">
        <f>IF(AND(ISNUMBER(Events!$A422),ISNUMBER(Events!$B422)),MAX(0,Events!$B422-Events!$A422),0)</f>
        <v/>
      </c>
      <c r="B420">
        <f>IF(ISNUMBER(Events!$A422),DATE(YEAR($B$1)-1,MONTH(Events!$A422),DAY(Events!$A422)),"")</f>
        <v/>
      </c>
      <c r="C420">
        <f>IF(ISNUMBER(Events!$A422),DATE(YEAR($B$1),MONTH(Events!$A422),DAY(Events!$A422)),"")</f>
        <v/>
      </c>
      <c r="D420">
        <f>IF(ISNUMBER(Events!$A422),DATE(YEAR($B$2),MONTH(Events!$A422),DAY(Events!$A422)),"")</f>
        <v/>
      </c>
      <c r="E420">
        <f>IF(OR(NOT(ISNUMBER(Events!$A422)),Events!$G422="No",Calendar!$H$4="None"),"",IF(OR(Calendar!$H$4="All events",Events!$D422=Calendar!$H$4),IF(Events!$E422="Yes",IF(AND(B420&gt;=Events!$A422,B420&lt;=$B$2,B420+$A420&gt;=$B$1),B420,IF(AND(C420&gt;=Events!$A422,C420&lt;=$B$2,C420+$A420&gt;=$B$1),C420,IF(AND(D420&gt;=Events!$A422,D420&lt;=$B$2,D420+$A420&gt;=$B$1),D420,""))),IF(AND(Events!$A422&lt;=$B$2,Events!$A422+$A420&gt;=$B$1),Events!$A422,"")),""))</f>
        <v/>
      </c>
      <c r="F420">
        <f>IF(E420="","",E420+A420)</f>
        <v/>
      </c>
      <c r="G420">
        <f>IF(E420="","",IF(AND(E420&lt;=EOMONTH(Calendar!$K$2,0),F420&gt;=Calendar!$K$2),E420+417/100000,""))</f>
        <v/>
      </c>
      <c r="H420">
        <f>H419+IF(AND($E420&lt;&gt;"",$E420&lt;=H$2,$F420&gt;=H$2),1,0)</f>
        <v/>
      </c>
      <c r="I420">
        <f>I419+IF(AND($E420&lt;&gt;"",$E420&lt;=I$2,$F420&gt;=I$2),1,0)</f>
        <v/>
      </c>
      <c r="J420">
        <f>J419+IF(AND($E420&lt;&gt;"",$E420&lt;=J$2,$F420&gt;=J$2),1,0)</f>
        <v/>
      </c>
      <c r="K420">
        <f>K419+IF(AND($E420&lt;&gt;"",$E420&lt;=K$2,$F420&gt;=K$2),1,0)</f>
        <v/>
      </c>
      <c r="L420">
        <f>L419+IF(AND($E420&lt;&gt;"",$E420&lt;=L$2,$F420&gt;=L$2),1,0)</f>
        <v/>
      </c>
      <c r="M420">
        <f>M419+IF(AND($E420&lt;&gt;"",$E420&lt;=M$2,$F420&gt;=M$2),1,0)</f>
        <v/>
      </c>
      <c r="N420">
        <f>N419+IF(AND($E420&lt;&gt;"",$E420&lt;=N$2,$F420&gt;=N$2),1,0)</f>
        <v/>
      </c>
      <c r="O420">
        <f>O419+IF(AND($E420&lt;&gt;"",$E420&lt;=O$2,$F420&gt;=O$2),1,0)</f>
        <v/>
      </c>
      <c r="P420">
        <f>P419+IF(AND($E420&lt;&gt;"",$E420&lt;=P$2,$F420&gt;=P$2),1,0)</f>
        <v/>
      </c>
      <c r="Q420">
        <f>Q419+IF(AND($E420&lt;&gt;"",$E420&lt;=Q$2,$F420&gt;=Q$2),1,0)</f>
        <v/>
      </c>
      <c r="R420">
        <f>R419+IF(AND($E420&lt;&gt;"",$E420&lt;=R$2,$F420&gt;=R$2),1,0)</f>
        <v/>
      </c>
      <c r="S420">
        <f>S419+IF(AND($E420&lt;&gt;"",$E420&lt;=S$2,$F420&gt;=S$2),1,0)</f>
        <v/>
      </c>
      <c r="T420">
        <f>T419+IF(AND($E420&lt;&gt;"",$E420&lt;=T$2,$F420&gt;=T$2),1,0)</f>
        <v/>
      </c>
      <c r="U420">
        <f>U419+IF(AND($E420&lt;&gt;"",$E420&lt;=U$2,$F420&gt;=U$2),1,0)</f>
        <v/>
      </c>
      <c r="V420">
        <f>V419+IF(AND($E420&lt;&gt;"",$E420&lt;=V$2,$F420&gt;=V$2),1,0)</f>
        <v/>
      </c>
      <c r="W420">
        <f>W419+IF(AND($E420&lt;&gt;"",$E420&lt;=W$2,$F420&gt;=W$2),1,0)</f>
        <v/>
      </c>
      <c r="X420">
        <f>X419+IF(AND($E420&lt;&gt;"",$E420&lt;=X$2,$F420&gt;=X$2),1,0)</f>
        <v/>
      </c>
      <c r="Y420">
        <f>Y419+IF(AND($E420&lt;&gt;"",$E420&lt;=Y$2,$F420&gt;=Y$2),1,0)</f>
        <v/>
      </c>
      <c r="Z420">
        <f>Z419+IF(AND($E420&lt;&gt;"",$E420&lt;=Z$2,$F420&gt;=Z$2),1,0)</f>
        <v/>
      </c>
      <c r="AA420">
        <f>AA419+IF(AND($E420&lt;&gt;"",$E420&lt;=AA$2,$F420&gt;=AA$2),1,0)</f>
        <v/>
      </c>
      <c r="AB420">
        <f>AB419+IF(AND($E420&lt;&gt;"",$E420&lt;=AB$2,$F420&gt;=AB$2),1,0)</f>
        <v/>
      </c>
      <c r="AC420">
        <f>AC419+IF(AND($E420&lt;&gt;"",$E420&lt;=AC$2,$F420&gt;=AC$2),1,0)</f>
        <v/>
      </c>
      <c r="AD420">
        <f>AD419+IF(AND($E420&lt;&gt;"",$E420&lt;=AD$2,$F420&gt;=AD$2),1,0)</f>
        <v/>
      </c>
      <c r="AE420">
        <f>AE419+IF(AND($E420&lt;&gt;"",$E420&lt;=AE$2,$F420&gt;=AE$2),1,0)</f>
        <v/>
      </c>
      <c r="AF420">
        <f>AF419+IF(AND($E420&lt;&gt;"",$E420&lt;=AF$2,$F420&gt;=AF$2),1,0)</f>
        <v/>
      </c>
      <c r="AG420">
        <f>AG419+IF(AND($E420&lt;&gt;"",$E420&lt;=AG$2,$F420&gt;=AG$2),1,0)</f>
        <v/>
      </c>
      <c r="AH420">
        <f>AH419+IF(AND($E420&lt;&gt;"",$E420&lt;=AH$2,$F420&gt;=AH$2),1,0)</f>
        <v/>
      </c>
      <c r="AI420">
        <f>AI419+IF(AND($E420&lt;&gt;"",$E420&lt;=AI$2,$F420&gt;=AI$2),1,0)</f>
        <v/>
      </c>
      <c r="AJ420">
        <f>AJ419+IF(AND($E420&lt;&gt;"",$E420&lt;=AJ$2,$F420&gt;=AJ$2),1,0)</f>
        <v/>
      </c>
      <c r="AK420">
        <f>AK419+IF(AND($E420&lt;&gt;"",$E420&lt;=AK$2,$F420&gt;=AK$2),1,0)</f>
        <v/>
      </c>
      <c r="AL420">
        <f>AL419+IF(AND($E420&lt;&gt;"",$E420&lt;=AL$2,$F420&gt;=AL$2),1,0)</f>
        <v/>
      </c>
      <c r="AM420">
        <f>AM419+IF(AND($E420&lt;&gt;"",$E420&lt;=AM$2,$F420&gt;=AM$2),1,0)</f>
        <v/>
      </c>
      <c r="AN420">
        <f>AN419+IF(AND($E420&lt;&gt;"",$E420&lt;=AN$2,$F420&gt;=AN$2),1,0)</f>
        <v/>
      </c>
      <c r="AO420">
        <f>AO419+IF(AND($E420&lt;&gt;"",$E420&lt;=AO$2,$F420&gt;=AO$2),1,0)</f>
        <v/>
      </c>
      <c r="AP420">
        <f>AP419+IF(AND($E420&lt;&gt;"",$E420&lt;=AP$2,$F420&gt;=AP$2),1,0)</f>
        <v/>
      </c>
      <c r="AQ420">
        <f>AQ419+IF(AND($E420&lt;&gt;"",$E420&lt;=AQ$2,$F420&gt;=AQ$2),1,0)</f>
        <v/>
      </c>
      <c r="AR420">
        <f>AR419+IF(AND($E420&lt;&gt;"",$E420&lt;=AR$2,$F420&gt;=AR$2),1,0)</f>
        <v/>
      </c>
      <c r="AS420">
        <f>AS419+IF(AND($E420&lt;&gt;"",$E420&lt;=AS$2,$F420&gt;=AS$2),1,0)</f>
        <v/>
      </c>
      <c r="AT420">
        <f>AT419+IF(AND($E420&lt;&gt;"",$E420&lt;=AT$2,$F420&gt;=AT$2),1,0)</f>
        <v/>
      </c>
      <c r="AU420">
        <f>AU419+IF(AND($E420&lt;&gt;"",$E420&lt;=AU$2,$F420&gt;=AU$2),1,0)</f>
        <v/>
      </c>
      <c r="AV420">
        <f>AV419+IF(AND($E420&lt;&gt;"",$E420&lt;=AV$2,$F420&gt;=AV$2),1,0)</f>
        <v/>
      </c>
      <c r="AW420">
        <f>AW419+IF(AND($E420&lt;&gt;"",$E420&lt;=AW$2,$F420&gt;=AW$2),1,0)</f>
        <v/>
      </c>
    </row>
    <row r="421">
      <c r="A421">
        <f>IF(AND(ISNUMBER(Events!$A423),ISNUMBER(Events!$B423)),MAX(0,Events!$B423-Events!$A423),0)</f>
        <v/>
      </c>
      <c r="B421">
        <f>IF(ISNUMBER(Events!$A423),DATE(YEAR($B$1)-1,MONTH(Events!$A423),DAY(Events!$A423)),"")</f>
        <v/>
      </c>
      <c r="C421">
        <f>IF(ISNUMBER(Events!$A423),DATE(YEAR($B$1),MONTH(Events!$A423),DAY(Events!$A423)),"")</f>
        <v/>
      </c>
      <c r="D421">
        <f>IF(ISNUMBER(Events!$A423),DATE(YEAR($B$2),MONTH(Events!$A423),DAY(Events!$A423)),"")</f>
        <v/>
      </c>
      <c r="E421">
        <f>IF(OR(NOT(ISNUMBER(Events!$A423)),Events!$G423="No",Calendar!$H$4="None"),"",IF(OR(Calendar!$H$4="All events",Events!$D423=Calendar!$H$4),IF(Events!$E423="Yes",IF(AND(B421&gt;=Events!$A423,B421&lt;=$B$2,B421+$A421&gt;=$B$1),B421,IF(AND(C421&gt;=Events!$A423,C421&lt;=$B$2,C421+$A421&gt;=$B$1),C421,IF(AND(D421&gt;=Events!$A423,D421&lt;=$B$2,D421+$A421&gt;=$B$1),D421,""))),IF(AND(Events!$A423&lt;=$B$2,Events!$A423+$A421&gt;=$B$1),Events!$A423,"")),""))</f>
        <v/>
      </c>
      <c r="F421">
        <f>IF(E421="","",E421+A421)</f>
        <v/>
      </c>
      <c r="G421">
        <f>IF(E421="","",IF(AND(E421&lt;=EOMONTH(Calendar!$K$2,0),F421&gt;=Calendar!$K$2),E421+418/100000,""))</f>
        <v/>
      </c>
      <c r="H421">
        <f>H420+IF(AND($E421&lt;&gt;"",$E421&lt;=H$2,$F421&gt;=H$2),1,0)</f>
        <v/>
      </c>
      <c r="I421">
        <f>I420+IF(AND($E421&lt;&gt;"",$E421&lt;=I$2,$F421&gt;=I$2),1,0)</f>
        <v/>
      </c>
      <c r="J421">
        <f>J420+IF(AND($E421&lt;&gt;"",$E421&lt;=J$2,$F421&gt;=J$2),1,0)</f>
        <v/>
      </c>
      <c r="K421">
        <f>K420+IF(AND($E421&lt;&gt;"",$E421&lt;=K$2,$F421&gt;=K$2),1,0)</f>
        <v/>
      </c>
      <c r="L421">
        <f>L420+IF(AND($E421&lt;&gt;"",$E421&lt;=L$2,$F421&gt;=L$2),1,0)</f>
        <v/>
      </c>
      <c r="M421">
        <f>M420+IF(AND($E421&lt;&gt;"",$E421&lt;=M$2,$F421&gt;=M$2),1,0)</f>
        <v/>
      </c>
      <c r="N421">
        <f>N420+IF(AND($E421&lt;&gt;"",$E421&lt;=N$2,$F421&gt;=N$2),1,0)</f>
        <v/>
      </c>
      <c r="O421">
        <f>O420+IF(AND($E421&lt;&gt;"",$E421&lt;=O$2,$F421&gt;=O$2),1,0)</f>
        <v/>
      </c>
      <c r="P421">
        <f>P420+IF(AND($E421&lt;&gt;"",$E421&lt;=P$2,$F421&gt;=P$2),1,0)</f>
        <v/>
      </c>
      <c r="Q421">
        <f>Q420+IF(AND($E421&lt;&gt;"",$E421&lt;=Q$2,$F421&gt;=Q$2),1,0)</f>
        <v/>
      </c>
      <c r="R421">
        <f>R420+IF(AND($E421&lt;&gt;"",$E421&lt;=R$2,$F421&gt;=R$2),1,0)</f>
        <v/>
      </c>
      <c r="S421">
        <f>S420+IF(AND($E421&lt;&gt;"",$E421&lt;=S$2,$F421&gt;=S$2),1,0)</f>
        <v/>
      </c>
      <c r="T421">
        <f>T420+IF(AND($E421&lt;&gt;"",$E421&lt;=T$2,$F421&gt;=T$2),1,0)</f>
        <v/>
      </c>
      <c r="U421">
        <f>U420+IF(AND($E421&lt;&gt;"",$E421&lt;=U$2,$F421&gt;=U$2),1,0)</f>
        <v/>
      </c>
      <c r="V421">
        <f>V420+IF(AND($E421&lt;&gt;"",$E421&lt;=V$2,$F421&gt;=V$2),1,0)</f>
        <v/>
      </c>
      <c r="W421">
        <f>W420+IF(AND($E421&lt;&gt;"",$E421&lt;=W$2,$F421&gt;=W$2),1,0)</f>
        <v/>
      </c>
      <c r="X421">
        <f>X420+IF(AND($E421&lt;&gt;"",$E421&lt;=X$2,$F421&gt;=X$2),1,0)</f>
        <v/>
      </c>
      <c r="Y421">
        <f>Y420+IF(AND($E421&lt;&gt;"",$E421&lt;=Y$2,$F421&gt;=Y$2),1,0)</f>
        <v/>
      </c>
      <c r="Z421">
        <f>Z420+IF(AND($E421&lt;&gt;"",$E421&lt;=Z$2,$F421&gt;=Z$2),1,0)</f>
        <v/>
      </c>
      <c r="AA421">
        <f>AA420+IF(AND($E421&lt;&gt;"",$E421&lt;=AA$2,$F421&gt;=AA$2),1,0)</f>
        <v/>
      </c>
      <c r="AB421">
        <f>AB420+IF(AND($E421&lt;&gt;"",$E421&lt;=AB$2,$F421&gt;=AB$2),1,0)</f>
        <v/>
      </c>
      <c r="AC421">
        <f>AC420+IF(AND($E421&lt;&gt;"",$E421&lt;=AC$2,$F421&gt;=AC$2),1,0)</f>
        <v/>
      </c>
      <c r="AD421">
        <f>AD420+IF(AND($E421&lt;&gt;"",$E421&lt;=AD$2,$F421&gt;=AD$2),1,0)</f>
        <v/>
      </c>
      <c r="AE421">
        <f>AE420+IF(AND($E421&lt;&gt;"",$E421&lt;=AE$2,$F421&gt;=AE$2),1,0)</f>
        <v/>
      </c>
      <c r="AF421">
        <f>AF420+IF(AND($E421&lt;&gt;"",$E421&lt;=AF$2,$F421&gt;=AF$2),1,0)</f>
        <v/>
      </c>
      <c r="AG421">
        <f>AG420+IF(AND($E421&lt;&gt;"",$E421&lt;=AG$2,$F421&gt;=AG$2),1,0)</f>
        <v/>
      </c>
      <c r="AH421">
        <f>AH420+IF(AND($E421&lt;&gt;"",$E421&lt;=AH$2,$F421&gt;=AH$2),1,0)</f>
        <v/>
      </c>
      <c r="AI421">
        <f>AI420+IF(AND($E421&lt;&gt;"",$E421&lt;=AI$2,$F421&gt;=AI$2),1,0)</f>
        <v/>
      </c>
      <c r="AJ421">
        <f>AJ420+IF(AND($E421&lt;&gt;"",$E421&lt;=AJ$2,$F421&gt;=AJ$2),1,0)</f>
        <v/>
      </c>
      <c r="AK421">
        <f>AK420+IF(AND($E421&lt;&gt;"",$E421&lt;=AK$2,$F421&gt;=AK$2),1,0)</f>
        <v/>
      </c>
      <c r="AL421">
        <f>AL420+IF(AND($E421&lt;&gt;"",$E421&lt;=AL$2,$F421&gt;=AL$2),1,0)</f>
        <v/>
      </c>
      <c r="AM421">
        <f>AM420+IF(AND($E421&lt;&gt;"",$E421&lt;=AM$2,$F421&gt;=AM$2),1,0)</f>
        <v/>
      </c>
      <c r="AN421">
        <f>AN420+IF(AND($E421&lt;&gt;"",$E421&lt;=AN$2,$F421&gt;=AN$2),1,0)</f>
        <v/>
      </c>
      <c r="AO421">
        <f>AO420+IF(AND($E421&lt;&gt;"",$E421&lt;=AO$2,$F421&gt;=AO$2),1,0)</f>
        <v/>
      </c>
      <c r="AP421">
        <f>AP420+IF(AND($E421&lt;&gt;"",$E421&lt;=AP$2,$F421&gt;=AP$2),1,0)</f>
        <v/>
      </c>
      <c r="AQ421">
        <f>AQ420+IF(AND($E421&lt;&gt;"",$E421&lt;=AQ$2,$F421&gt;=AQ$2),1,0)</f>
        <v/>
      </c>
      <c r="AR421">
        <f>AR420+IF(AND($E421&lt;&gt;"",$E421&lt;=AR$2,$F421&gt;=AR$2),1,0)</f>
        <v/>
      </c>
      <c r="AS421">
        <f>AS420+IF(AND($E421&lt;&gt;"",$E421&lt;=AS$2,$F421&gt;=AS$2),1,0)</f>
        <v/>
      </c>
      <c r="AT421">
        <f>AT420+IF(AND($E421&lt;&gt;"",$E421&lt;=AT$2,$F421&gt;=AT$2),1,0)</f>
        <v/>
      </c>
      <c r="AU421">
        <f>AU420+IF(AND($E421&lt;&gt;"",$E421&lt;=AU$2,$F421&gt;=AU$2),1,0)</f>
        <v/>
      </c>
      <c r="AV421">
        <f>AV420+IF(AND($E421&lt;&gt;"",$E421&lt;=AV$2,$F421&gt;=AV$2),1,0)</f>
        <v/>
      </c>
      <c r="AW421">
        <f>AW420+IF(AND($E421&lt;&gt;"",$E421&lt;=AW$2,$F421&gt;=AW$2),1,0)</f>
        <v/>
      </c>
    </row>
    <row r="422">
      <c r="A422">
        <f>IF(AND(ISNUMBER(Events!$A424),ISNUMBER(Events!$B424)),MAX(0,Events!$B424-Events!$A424),0)</f>
        <v/>
      </c>
      <c r="B422">
        <f>IF(ISNUMBER(Events!$A424),DATE(YEAR($B$1)-1,MONTH(Events!$A424),DAY(Events!$A424)),"")</f>
        <v/>
      </c>
      <c r="C422">
        <f>IF(ISNUMBER(Events!$A424),DATE(YEAR($B$1),MONTH(Events!$A424),DAY(Events!$A424)),"")</f>
        <v/>
      </c>
      <c r="D422">
        <f>IF(ISNUMBER(Events!$A424),DATE(YEAR($B$2),MONTH(Events!$A424),DAY(Events!$A424)),"")</f>
        <v/>
      </c>
      <c r="E422">
        <f>IF(OR(NOT(ISNUMBER(Events!$A424)),Events!$G424="No",Calendar!$H$4="None"),"",IF(OR(Calendar!$H$4="All events",Events!$D424=Calendar!$H$4),IF(Events!$E424="Yes",IF(AND(B422&gt;=Events!$A424,B422&lt;=$B$2,B422+$A422&gt;=$B$1),B422,IF(AND(C422&gt;=Events!$A424,C422&lt;=$B$2,C422+$A422&gt;=$B$1),C422,IF(AND(D422&gt;=Events!$A424,D422&lt;=$B$2,D422+$A422&gt;=$B$1),D422,""))),IF(AND(Events!$A424&lt;=$B$2,Events!$A424+$A422&gt;=$B$1),Events!$A424,"")),""))</f>
        <v/>
      </c>
      <c r="F422">
        <f>IF(E422="","",E422+A422)</f>
        <v/>
      </c>
      <c r="G422">
        <f>IF(E422="","",IF(AND(E422&lt;=EOMONTH(Calendar!$K$2,0),F422&gt;=Calendar!$K$2),E422+419/100000,""))</f>
        <v/>
      </c>
      <c r="H422">
        <f>H421+IF(AND($E422&lt;&gt;"",$E422&lt;=H$2,$F422&gt;=H$2),1,0)</f>
        <v/>
      </c>
      <c r="I422">
        <f>I421+IF(AND($E422&lt;&gt;"",$E422&lt;=I$2,$F422&gt;=I$2),1,0)</f>
        <v/>
      </c>
      <c r="J422">
        <f>J421+IF(AND($E422&lt;&gt;"",$E422&lt;=J$2,$F422&gt;=J$2),1,0)</f>
        <v/>
      </c>
      <c r="K422">
        <f>K421+IF(AND($E422&lt;&gt;"",$E422&lt;=K$2,$F422&gt;=K$2),1,0)</f>
        <v/>
      </c>
      <c r="L422">
        <f>L421+IF(AND($E422&lt;&gt;"",$E422&lt;=L$2,$F422&gt;=L$2),1,0)</f>
        <v/>
      </c>
      <c r="M422">
        <f>M421+IF(AND($E422&lt;&gt;"",$E422&lt;=M$2,$F422&gt;=M$2),1,0)</f>
        <v/>
      </c>
      <c r="N422">
        <f>N421+IF(AND($E422&lt;&gt;"",$E422&lt;=N$2,$F422&gt;=N$2),1,0)</f>
        <v/>
      </c>
      <c r="O422">
        <f>O421+IF(AND($E422&lt;&gt;"",$E422&lt;=O$2,$F422&gt;=O$2),1,0)</f>
        <v/>
      </c>
      <c r="P422">
        <f>P421+IF(AND($E422&lt;&gt;"",$E422&lt;=P$2,$F422&gt;=P$2),1,0)</f>
        <v/>
      </c>
      <c r="Q422">
        <f>Q421+IF(AND($E422&lt;&gt;"",$E422&lt;=Q$2,$F422&gt;=Q$2),1,0)</f>
        <v/>
      </c>
      <c r="R422">
        <f>R421+IF(AND($E422&lt;&gt;"",$E422&lt;=R$2,$F422&gt;=R$2),1,0)</f>
        <v/>
      </c>
      <c r="S422">
        <f>S421+IF(AND($E422&lt;&gt;"",$E422&lt;=S$2,$F422&gt;=S$2),1,0)</f>
        <v/>
      </c>
      <c r="T422">
        <f>T421+IF(AND($E422&lt;&gt;"",$E422&lt;=T$2,$F422&gt;=T$2),1,0)</f>
        <v/>
      </c>
      <c r="U422">
        <f>U421+IF(AND($E422&lt;&gt;"",$E422&lt;=U$2,$F422&gt;=U$2),1,0)</f>
        <v/>
      </c>
      <c r="V422">
        <f>V421+IF(AND($E422&lt;&gt;"",$E422&lt;=V$2,$F422&gt;=V$2),1,0)</f>
        <v/>
      </c>
      <c r="W422">
        <f>W421+IF(AND($E422&lt;&gt;"",$E422&lt;=W$2,$F422&gt;=W$2),1,0)</f>
        <v/>
      </c>
      <c r="X422">
        <f>X421+IF(AND($E422&lt;&gt;"",$E422&lt;=X$2,$F422&gt;=X$2),1,0)</f>
        <v/>
      </c>
      <c r="Y422">
        <f>Y421+IF(AND($E422&lt;&gt;"",$E422&lt;=Y$2,$F422&gt;=Y$2),1,0)</f>
        <v/>
      </c>
      <c r="Z422">
        <f>Z421+IF(AND($E422&lt;&gt;"",$E422&lt;=Z$2,$F422&gt;=Z$2),1,0)</f>
        <v/>
      </c>
      <c r="AA422">
        <f>AA421+IF(AND($E422&lt;&gt;"",$E422&lt;=AA$2,$F422&gt;=AA$2),1,0)</f>
        <v/>
      </c>
      <c r="AB422">
        <f>AB421+IF(AND($E422&lt;&gt;"",$E422&lt;=AB$2,$F422&gt;=AB$2),1,0)</f>
        <v/>
      </c>
      <c r="AC422">
        <f>AC421+IF(AND($E422&lt;&gt;"",$E422&lt;=AC$2,$F422&gt;=AC$2),1,0)</f>
        <v/>
      </c>
      <c r="AD422">
        <f>AD421+IF(AND($E422&lt;&gt;"",$E422&lt;=AD$2,$F422&gt;=AD$2),1,0)</f>
        <v/>
      </c>
      <c r="AE422">
        <f>AE421+IF(AND($E422&lt;&gt;"",$E422&lt;=AE$2,$F422&gt;=AE$2),1,0)</f>
        <v/>
      </c>
      <c r="AF422">
        <f>AF421+IF(AND($E422&lt;&gt;"",$E422&lt;=AF$2,$F422&gt;=AF$2),1,0)</f>
        <v/>
      </c>
      <c r="AG422">
        <f>AG421+IF(AND($E422&lt;&gt;"",$E422&lt;=AG$2,$F422&gt;=AG$2),1,0)</f>
        <v/>
      </c>
      <c r="AH422">
        <f>AH421+IF(AND($E422&lt;&gt;"",$E422&lt;=AH$2,$F422&gt;=AH$2),1,0)</f>
        <v/>
      </c>
      <c r="AI422">
        <f>AI421+IF(AND($E422&lt;&gt;"",$E422&lt;=AI$2,$F422&gt;=AI$2),1,0)</f>
        <v/>
      </c>
      <c r="AJ422">
        <f>AJ421+IF(AND($E422&lt;&gt;"",$E422&lt;=AJ$2,$F422&gt;=AJ$2),1,0)</f>
        <v/>
      </c>
      <c r="AK422">
        <f>AK421+IF(AND($E422&lt;&gt;"",$E422&lt;=AK$2,$F422&gt;=AK$2),1,0)</f>
        <v/>
      </c>
      <c r="AL422">
        <f>AL421+IF(AND($E422&lt;&gt;"",$E422&lt;=AL$2,$F422&gt;=AL$2),1,0)</f>
        <v/>
      </c>
      <c r="AM422">
        <f>AM421+IF(AND($E422&lt;&gt;"",$E422&lt;=AM$2,$F422&gt;=AM$2),1,0)</f>
        <v/>
      </c>
      <c r="AN422">
        <f>AN421+IF(AND($E422&lt;&gt;"",$E422&lt;=AN$2,$F422&gt;=AN$2),1,0)</f>
        <v/>
      </c>
      <c r="AO422">
        <f>AO421+IF(AND($E422&lt;&gt;"",$E422&lt;=AO$2,$F422&gt;=AO$2),1,0)</f>
        <v/>
      </c>
      <c r="AP422">
        <f>AP421+IF(AND($E422&lt;&gt;"",$E422&lt;=AP$2,$F422&gt;=AP$2),1,0)</f>
        <v/>
      </c>
      <c r="AQ422">
        <f>AQ421+IF(AND($E422&lt;&gt;"",$E422&lt;=AQ$2,$F422&gt;=AQ$2),1,0)</f>
        <v/>
      </c>
      <c r="AR422">
        <f>AR421+IF(AND($E422&lt;&gt;"",$E422&lt;=AR$2,$F422&gt;=AR$2),1,0)</f>
        <v/>
      </c>
      <c r="AS422">
        <f>AS421+IF(AND($E422&lt;&gt;"",$E422&lt;=AS$2,$F422&gt;=AS$2),1,0)</f>
        <v/>
      </c>
      <c r="AT422">
        <f>AT421+IF(AND($E422&lt;&gt;"",$E422&lt;=AT$2,$F422&gt;=AT$2),1,0)</f>
        <v/>
      </c>
      <c r="AU422">
        <f>AU421+IF(AND($E422&lt;&gt;"",$E422&lt;=AU$2,$F422&gt;=AU$2),1,0)</f>
        <v/>
      </c>
      <c r="AV422">
        <f>AV421+IF(AND($E422&lt;&gt;"",$E422&lt;=AV$2,$F422&gt;=AV$2),1,0)</f>
        <v/>
      </c>
      <c r="AW422">
        <f>AW421+IF(AND($E422&lt;&gt;"",$E422&lt;=AW$2,$F422&gt;=AW$2),1,0)</f>
        <v/>
      </c>
    </row>
    <row r="423">
      <c r="A423">
        <f>IF(AND(ISNUMBER(Events!$A425),ISNUMBER(Events!$B425)),MAX(0,Events!$B425-Events!$A425),0)</f>
        <v/>
      </c>
      <c r="B423">
        <f>IF(ISNUMBER(Events!$A425),DATE(YEAR($B$1)-1,MONTH(Events!$A425),DAY(Events!$A425)),"")</f>
        <v/>
      </c>
      <c r="C423">
        <f>IF(ISNUMBER(Events!$A425),DATE(YEAR($B$1),MONTH(Events!$A425),DAY(Events!$A425)),"")</f>
        <v/>
      </c>
      <c r="D423">
        <f>IF(ISNUMBER(Events!$A425),DATE(YEAR($B$2),MONTH(Events!$A425),DAY(Events!$A425)),"")</f>
        <v/>
      </c>
      <c r="E423">
        <f>IF(OR(NOT(ISNUMBER(Events!$A425)),Events!$G425="No",Calendar!$H$4="None"),"",IF(OR(Calendar!$H$4="All events",Events!$D425=Calendar!$H$4),IF(Events!$E425="Yes",IF(AND(B423&gt;=Events!$A425,B423&lt;=$B$2,B423+$A423&gt;=$B$1),B423,IF(AND(C423&gt;=Events!$A425,C423&lt;=$B$2,C423+$A423&gt;=$B$1),C423,IF(AND(D423&gt;=Events!$A425,D423&lt;=$B$2,D423+$A423&gt;=$B$1),D423,""))),IF(AND(Events!$A425&lt;=$B$2,Events!$A425+$A423&gt;=$B$1),Events!$A425,"")),""))</f>
        <v/>
      </c>
      <c r="F423">
        <f>IF(E423="","",E423+A423)</f>
        <v/>
      </c>
      <c r="G423">
        <f>IF(E423="","",IF(AND(E423&lt;=EOMONTH(Calendar!$K$2,0),F423&gt;=Calendar!$K$2),E423+420/100000,""))</f>
        <v/>
      </c>
      <c r="H423">
        <f>H422+IF(AND($E423&lt;&gt;"",$E423&lt;=H$2,$F423&gt;=H$2),1,0)</f>
        <v/>
      </c>
      <c r="I423">
        <f>I422+IF(AND($E423&lt;&gt;"",$E423&lt;=I$2,$F423&gt;=I$2),1,0)</f>
        <v/>
      </c>
      <c r="J423">
        <f>J422+IF(AND($E423&lt;&gt;"",$E423&lt;=J$2,$F423&gt;=J$2),1,0)</f>
        <v/>
      </c>
      <c r="K423">
        <f>K422+IF(AND($E423&lt;&gt;"",$E423&lt;=K$2,$F423&gt;=K$2),1,0)</f>
        <v/>
      </c>
      <c r="L423">
        <f>L422+IF(AND($E423&lt;&gt;"",$E423&lt;=L$2,$F423&gt;=L$2),1,0)</f>
        <v/>
      </c>
      <c r="M423">
        <f>M422+IF(AND($E423&lt;&gt;"",$E423&lt;=M$2,$F423&gt;=M$2),1,0)</f>
        <v/>
      </c>
      <c r="N423">
        <f>N422+IF(AND($E423&lt;&gt;"",$E423&lt;=N$2,$F423&gt;=N$2),1,0)</f>
        <v/>
      </c>
      <c r="O423">
        <f>O422+IF(AND($E423&lt;&gt;"",$E423&lt;=O$2,$F423&gt;=O$2),1,0)</f>
        <v/>
      </c>
      <c r="P423">
        <f>P422+IF(AND($E423&lt;&gt;"",$E423&lt;=P$2,$F423&gt;=P$2),1,0)</f>
        <v/>
      </c>
      <c r="Q423">
        <f>Q422+IF(AND($E423&lt;&gt;"",$E423&lt;=Q$2,$F423&gt;=Q$2),1,0)</f>
        <v/>
      </c>
      <c r="R423">
        <f>R422+IF(AND($E423&lt;&gt;"",$E423&lt;=R$2,$F423&gt;=R$2),1,0)</f>
        <v/>
      </c>
      <c r="S423">
        <f>S422+IF(AND($E423&lt;&gt;"",$E423&lt;=S$2,$F423&gt;=S$2),1,0)</f>
        <v/>
      </c>
      <c r="T423">
        <f>T422+IF(AND($E423&lt;&gt;"",$E423&lt;=T$2,$F423&gt;=T$2),1,0)</f>
        <v/>
      </c>
      <c r="U423">
        <f>U422+IF(AND($E423&lt;&gt;"",$E423&lt;=U$2,$F423&gt;=U$2),1,0)</f>
        <v/>
      </c>
      <c r="V423">
        <f>V422+IF(AND($E423&lt;&gt;"",$E423&lt;=V$2,$F423&gt;=V$2),1,0)</f>
        <v/>
      </c>
      <c r="W423">
        <f>W422+IF(AND($E423&lt;&gt;"",$E423&lt;=W$2,$F423&gt;=W$2),1,0)</f>
        <v/>
      </c>
      <c r="X423">
        <f>X422+IF(AND($E423&lt;&gt;"",$E423&lt;=X$2,$F423&gt;=X$2),1,0)</f>
        <v/>
      </c>
      <c r="Y423">
        <f>Y422+IF(AND($E423&lt;&gt;"",$E423&lt;=Y$2,$F423&gt;=Y$2),1,0)</f>
        <v/>
      </c>
      <c r="Z423">
        <f>Z422+IF(AND($E423&lt;&gt;"",$E423&lt;=Z$2,$F423&gt;=Z$2),1,0)</f>
        <v/>
      </c>
      <c r="AA423">
        <f>AA422+IF(AND($E423&lt;&gt;"",$E423&lt;=AA$2,$F423&gt;=AA$2),1,0)</f>
        <v/>
      </c>
      <c r="AB423">
        <f>AB422+IF(AND($E423&lt;&gt;"",$E423&lt;=AB$2,$F423&gt;=AB$2),1,0)</f>
        <v/>
      </c>
      <c r="AC423">
        <f>AC422+IF(AND($E423&lt;&gt;"",$E423&lt;=AC$2,$F423&gt;=AC$2),1,0)</f>
        <v/>
      </c>
      <c r="AD423">
        <f>AD422+IF(AND($E423&lt;&gt;"",$E423&lt;=AD$2,$F423&gt;=AD$2),1,0)</f>
        <v/>
      </c>
      <c r="AE423">
        <f>AE422+IF(AND($E423&lt;&gt;"",$E423&lt;=AE$2,$F423&gt;=AE$2),1,0)</f>
        <v/>
      </c>
      <c r="AF423">
        <f>AF422+IF(AND($E423&lt;&gt;"",$E423&lt;=AF$2,$F423&gt;=AF$2),1,0)</f>
        <v/>
      </c>
      <c r="AG423">
        <f>AG422+IF(AND($E423&lt;&gt;"",$E423&lt;=AG$2,$F423&gt;=AG$2),1,0)</f>
        <v/>
      </c>
      <c r="AH423">
        <f>AH422+IF(AND($E423&lt;&gt;"",$E423&lt;=AH$2,$F423&gt;=AH$2),1,0)</f>
        <v/>
      </c>
      <c r="AI423">
        <f>AI422+IF(AND($E423&lt;&gt;"",$E423&lt;=AI$2,$F423&gt;=AI$2),1,0)</f>
        <v/>
      </c>
      <c r="AJ423">
        <f>AJ422+IF(AND($E423&lt;&gt;"",$E423&lt;=AJ$2,$F423&gt;=AJ$2),1,0)</f>
        <v/>
      </c>
      <c r="AK423">
        <f>AK422+IF(AND($E423&lt;&gt;"",$E423&lt;=AK$2,$F423&gt;=AK$2),1,0)</f>
        <v/>
      </c>
      <c r="AL423">
        <f>AL422+IF(AND($E423&lt;&gt;"",$E423&lt;=AL$2,$F423&gt;=AL$2),1,0)</f>
        <v/>
      </c>
      <c r="AM423">
        <f>AM422+IF(AND($E423&lt;&gt;"",$E423&lt;=AM$2,$F423&gt;=AM$2),1,0)</f>
        <v/>
      </c>
      <c r="AN423">
        <f>AN422+IF(AND($E423&lt;&gt;"",$E423&lt;=AN$2,$F423&gt;=AN$2),1,0)</f>
        <v/>
      </c>
      <c r="AO423">
        <f>AO422+IF(AND($E423&lt;&gt;"",$E423&lt;=AO$2,$F423&gt;=AO$2),1,0)</f>
        <v/>
      </c>
      <c r="AP423">
        <f>AP422+IF(AND($E423&lt;&gt;"",$E423&lt;=AP$2,$F423&gt;=AP$2),1,0)</f>
        <v/>
      </c>
      <c r="AQ423">
        <f>AQ422+IF(AND($E423&lt;&gt;"",$E423&lt;=AQ$2,$F423&gt;=AQ$2),1,0)</f>
        <v/>
      </c>
      <c r="AR423">
        <f>AR422+IF(AND($E423&lt;&gt;"",$E423&lt;=AR$2,$F423&gt;=AR$2),1,0)</f>
        <v/>
      </c>
      <c r="AS423">
        <f>AS422+IF(AND($E423&lt;&gt;"",$E423&lt;=AS$2,$F423&gt;=AS$2),1,0)</f>
        <v/>
      </c>
      <c r="AT423">
        <f>AT422+IF(AND($E423&lt;&gt;"",$E423&lt;=AT$2,$F423&gt;=AT$2),1,0)</f>
        <v/>
      </c>
      <c r="AU423">
        <f>AU422+IF(AND($E423&lt;&gt;"",$E423&lt;=AU$2,$F423&gt;=AU$2),1,0)</f>
        <v/>
      </c>
      <c r="AV423">
        <f>AV422+IF(AND($E423&lt;&gt;"",$E423&lt;=AV$2,$F423&gt;=AV$2),1,0)</f>
        <v/>
      </c>
      <c r="AW423">
        <f>AW422+IF(AND($E423&lt;&gt;"",$E423&lt;=AW$2,$F423&gt;=AW$2),1,0)</f>
        <v/>
      </c>
    </row>
    <row r="424">
      <c r="A424">
        <f>IF(AND(ISNUMBER(Events!$A426),ISNUMBER(Events!$B426)),MAX(0,Events!$B426-Events!$A426),0)</f>
        <v/>
      </c>
      <c r="B424">
        <f>IF(ISNUMBER(Events!$A426),DATE(YEAR($B$1)-1,MONTH(Events!$A426),DAY(Events!$A426)),"")</f>
        <v/>
      </c>
      <c r="C424">
        <f>IF(ISNUMBER(Events!$A426),DATE(YEAR($B$1),MONTH(Events!$A426),DAY(Events!$A426)),"")</f>
        <v/>
      </c>
      <c r="D424">
        <f>IF(ISNUMBER(Events!$A426),DATE(YEAR($B$2),MONTH(Events!$A426),DAY(Events!$A426)),"")</f>
        <v/>
      </c>
      <c r="E424">
        <f>IF(OR(NOT(ISNUMBER(Events!$A426)),Events!$G426="No",Calendar!$H$4="None"),"",IF(OR(Calendar!$H$4="All events",Events!$D426=Calendar!$H$4),IF(Events!$E426="Yes",IF(AND(B424&gt;=Events!$A426,B424&lt;=$B$2,B424+$A424&gt;=$B$1),B424,IF(AND(C424&gt;=Events!$A426,C424&lt;=$B$2,C424+$A424&gt;=$B$1),C424,IF(AND(D424&gt;=Events!$A426,D424&lt;=$B$2,D424+$A424&gt;=$B$1),D424,""))),IF(AND(Events!$A426&lt;=$B$2,Events!$A426+$A424&gt;=$B$1),Events!$A426,"")),""))</f>
        <v/>
      </c>
      <c r="F424">
        <f>IF(E424="","",E424+A424)</f>
        <v/>
      </c>
      <c r="G424">
        <f>IF(E424="","",IF(AND(E424&lt;=EOMONTH(Calendar!$K$2,0),F424&gt;=Calendar!$K$2),E424+421/100000,""))</f>
        <v/>
      </c>
      <c r="H424">
        <f>H423+IF(AND($E424&lt;&gt;"",$E424&lt;=H$2,$F424&gt;=H$2),1,0)</f>
        <v/>
      </c>
      <c r="I424">
        <f>I423+IF(AND($E424&lt;&gt;"",$E424&lt;=I$2,$F424&gt;=I$2),1,0)</f>
        <v/>
      </c>
      <c r="J424">
        <f>J423+IF(AND($E424&lt;&gt;"",$E424&lt;=J$2,$F424&gt;=J$2),1,0)</f>
        <v/>
      </c>
      <c r="K424">
        <f>K423+IF(AND($E424&lt;&gt;"",$E424&lt;=K$2,$F424&gt;=K$2),1,0)</f>
        <v/>
      </c>
      <c r="L424">
        <f>L423+IF(AND($E424&lt;&gt;"",$E424&lt;=L$2,$F424&gt;=L$2),1,0)</f>
        <v/>
      </c>
      <c r="M424">
        <f>M423+IF(AND($E424&lt;&gt;"",$E424&lt;=M$2,$F424&gt;=M$2),1,0)</f>
        <v/>
      </c>
      <c r="N424">
        <f>N423+IF(AND($E424&lt;&gt;"",$E424&lt;=N$2,$F424&gt;=N$2),1,0)</f>
        <v/>
      </c>
      <c r="O424">
        <f>O423+IF(AND($E424&lt;&gt;"",$E424&lt;=O$2,$F424&gt;=O$2),1,0)</f>
        <v/>
      </c>
      <c r="P424">
        <f>P423+IF(AND($E424&lt;&gt;"",$E424&lt;=P$2,$F424&gt;=P$2),1,0)</f>
        <v/>
      </c>
      <c r="Q424">
        <f>Q423+IF(AND($E424&lt;&gt;"",$E424&lt;=Q$2,$F424&gt;=Q$2),1,0)</f>
        <v/>
      </c>
      <c r="R424">
        <f>R423+IF(AND($E424&lt;&gt;"",$E424&lt;=R$2,$F424&gt;=R$2),1,0)</f>
        <v/>
      </c>
      <c r="S424">
        <f>S423+IF(AND($E424&lt;&gt;"",$E424&lt;=S$2,$F424&gt;=S$2),1,0)</f>
        <v/>
      </c>
      <c r="T424">
        <f>T423+IF(AND($E424&lt;&gt;"",$E424&lt;=T$2,$F424&gt;=T$2),1,0)</f>
        <v/>
      </c>
      <c r="U424">
        <f>U423+IF(AND($E424&lt;&gt;"",$E424&lt;=U$2,$F424&gt;=U$2),1,0)</f>
        <v/>
      </c>
      <c r="V424">
        <f>V423+IF(AND($E424&lt;&gt;"",$E424&lt;=V$2,$F424&gt;=V$2),1,0)</f>
        <v/>
      </c>
      <c r="W424">
        <f>W423+IF(AND($E424&lt;&gt;"",$E424&lt;=W$2,$F424&gt;=W$2),1,0)</f>
        <v/>
      </c>
      <c r="X424">
        <f>X423+IF(AND($E424&lt;&gt;"",$E424&lt;=X$2,$F424&gt;=X$2),1,0)</f>
        <v/>
      </c>
      <c r="Y424">
        <f>Y423+IF(AND($E424&lt;&gt;"",$E424&lt;=Y$2,$F424&gt;=Y$2),1,0)</f>
        <v/>
      </c>
      <c r="Z424">
        <f>Z423+IF(AND($E424&lt;&gt;"",$E424&lt;=Z$2,$F424&gt;=Z$2),1,0)</f>
        <v/>
      </c>
      <c r="AA424">
        <f>AA423+IF(AND($E424&lt;&gt;"",$E424&lt;=AA$2,$F424&gt;=AA$2),1,0)</f>
        <v/>
      </c>
      <c r="AB424">
        <f>AB423+IF(AND($E424&lt;&gt;"",$E424&lt;=AB$2,$F424&gt;=AB$2),1,0)</f>
        <v/>
      </c>
      <c r="AC424">
        <f>AC423+IF(AND($E424&lt;&gt;"",$E424&lt;=AC$2,$F424&gt;=AC$2),1,0)</f>
        <v/>
      </c>
      <c r="AD424">
        <f>AD423+IF(AND($E424&lt;&gt;"",$E424&lt;=AD$2,$F424&gt;=AD$2),1,0)</f>
        <v/>
      </c>
      <c r="AE424">
        <f>AE423+IF(AND($E424&lt;&gt;"",$E424&lt;=AE$2,$F424&gt;=AE$2),1,0)</f>
        <v/>
      </c>
      <c r="AF424">
        <f>AF423+IF(AND($E424&lt;&gt;"",$E424&lt;=AF$2,$F424&gt;=AF$2),1,0)</f>
        <v/>
      </c>
      <c r="AG424">
        <f>AG423+IF(AND($E424&lt;&gt;"",$E424&lt;=AG$2,$F424&gt;=AG$2),1,0)</f>
        <v/>
      </c>
      <c r="AH424">
        <f>AH423+IF(AND($E424&lt;&gt;"",$E424&lt;=AH$2,$F424&gt;=AH$2),1,0)</f>
        <v/>
      </c>
      <c r="AI424">
        <f>AI423+IF(AND($E424&lt;&gt;"",$E424&lt;=AI$2,$F424&gt;=AI$2),1,0)</f>
        <v/>
      </c>
      <c r="AJ424">
        <f>AJ423+IF(AND($E424&lt;&gt;"",$E424&lt;=AJ$2,$F424&gt;=AJ$2),1,0)</f>
        <v/>
      </c>
      <c r="AK424">
        <f>AK423+IF(AND($E424&lt;&gt;"",$E424&lt;=AK$2,$F424&gt;=AK$2),1,0)</f>
        <v/>
      </c>
      <c r="AL424">
        <f>AL423+IF(AND($E424&lt;&gt;"",$E424&lt;=AL$2,$F424&gt;=AL$2),1,0)</f>
        <v/>
      </c>
      <c r="AM424">
        <f>AM423+IF(AND($E424&lt;&gt;"",$E424&lt;=AM$2,$F424&gt;=AM$2),1,0)</f>
        <v/>
      </c>
      <c r="AN424">
        <f>AN423+IF(AND($E424&lt;&gt;"",$E424&lt;=AN$2,$F424&gt;=AN$2),1,0)</f>
        <v/>
      </c>
      <c r="AO424">
        <f>AO423+IF(AND($E424&lt;&gt;"",$E424&lt;=AO$2,$F424&gt;=AO$2),1,0)</f>
        <v/>
      </c>
      <c r="AP424">
        <f>AP423+IF(AND($E424&lt;&gt;"",$E424&lt;=AP$2,$F424&gt;=AP$2),1,0)</f>
        <v/>
      </c>
      <c r="AQ424">
        <f>AQ423+IF(AND($E424&lt;&gt;"",$E424&lt;=AQ$2,$F424&gt;=AQ$2),1,0)</f>
        <v/>
      </c>
      <c r="AR424">
        <f>AR423+IF(AND($E424&lt;&gt;"",$E424&lt;=AR$2,$F424&gt;=AR$2),1,0)</f>
        <v/>
      </c>
      <c r="AS424">
        <f>AS423+IF(AND($E424&lt;&gt;"",$E424&lt;=AS$2,$F424&gt;=AS$2),1,0)</f>
        <v/>
      </c>
      <c r="AT424">
        <f>AT423+IF(AND($E424&lt;&gt;"",$E424&lt;=AT$2,$F424&gt;=AT$2),1,0)</f>
        <v/>
      </c>
      <c r="AU424">
        <f>AU423+IF(AND($E424&lt;&gt;"",$E424&lt;=AU$2,$F424&gt;=AU$2),1,0)</f>
        <v/>
      </c>
      <c r="AV424">
        <f>AV423+IF(AND($E424&lt;&gt;"",$E424&lt;=AV$2,$F424&gt;=AV$2),1,0)</f>
        <v/>
      </c>
      <c r="AW424">
        <f>AW423+IF(AND($E424&lt;&gt;"",$E424&lt;=AW$2,$F424&gt;=AW$2),1,0)</f>
        <v/>
      </c>
    </row>
    <row r="425">
      <c r="A425">
        <f>IF(AND(ISNUMBER(Events!$A427),ISNUMBER(Events!$B427)),MAX(0,Events!$B427-Events!$A427),0)</f>
        <v/>
      </c>
      <c r="B425">
        <f>IF(ISNUMBER(Events!$A427),DATE(YEAR($B$1)-1,MONTH(Events!$A427),DAY(Events!$A427)),"")</f>
        <v/>
      </c>
      <c r="C425">
        <f>IF(ISNUMBER(Events!$A427),DATE(YEAR($B$1),MONTH(Events!$A427),DAY(Events!$A427)),"")</f>
        <v/>
      </c>
      <c r="D425">
        <f>IF(ISNUMBER(Events!$A427),DATE(YEAR($B$2),MONTH(Events!$A427),DAY(Events!$A427)),"")</f>
        <v/>
      </c>
      <c r="E425">
        <f>IF(OR(NOT(ISNUMBER(Events!$A427)),Events!$G427="No",Calendar!$H$4="None"),"",IF(OR(Calendar!$H$4="All events",Events!$D427=Calendar!$H$4),IF(Events!$E427="Yes",IF(AND(B425&gt;=Events!$A427,B425&lt;=$B$2,B425+$A425&gt;=$B$1),B425,IF(AND(C425&gt;=Events!$A427,C425&lt;=$B$2,C425+$A425&gt;=$B$1),C425,IF(AND(D425&gt;=Events!$A427,D425&lt;=$B$2,D425+$A425&gt;=$B$1),D425,""))),IF(AND(Events!$A427&lt;=$B$2,Events!$A427+$A425&gt;=$B$1),Events!$A427,"")),""))</f>
        <v/>
      </c>
      <c r="F425">
        <f>IF(E425="","",E425+A425)</f>
        <v/>
      </c>
      <c r="G425">
        <f>IF(E425="","",IF(AND(E425&lt;=EOMONTH(Calendar!$K$2,0),F425&gt;=Calendar!$K$2),E425+422/100000,""))</f>
        <v/>
      </c>
      <c r="H425">
        <f>H424+IF(AND($E425&lt;&gt;"",$E425&lt;=H$2,$F425&gt;=H$2),1,0)</f>
        <v/>
      </c>
      <c r="I425">
        <f>I424+IF(AND($E425&lt;&gt;"",$E425&lt;=I$2,$F425&gt;=I$2),1,0)</f>
        <v/>
      </c>
      <c r="J425">
        <f>J424+IF(AND($E425&lt;&gt;"",$E425&lt;=J$2,$F425&gt;=J$2),1,0)</f>
        <v/>
      </c>
      <c r="K425">
        <f>K424+IF(AND($E425&lt;&gt;"",$E425&lt;=K$2,$F425&gt;=K$2),1,0)</f>
        <v/>
      </c>
      <c r="L425">
        <f>L424+IF(AND($E425&lt;&gt;"",$E425&lt;=L$2,$F425&gt;=L$2),1,0)</f>
        <v/>
      </c>
      <c r="M425">
        <f>M424+IF(AND($E425&lt;&gt;"",$E425&lt;=M$2,$F425&gt;=M$2),1,0)</f>
        <v/>
      </c>
      <c r="N425">
        <f>N424+IF(AND($E425&lt;&gt;"",$E425&lt;=N$2,$F425&gt;=N$2),1,0)</f>
        <v/>
      </c>
      <c r="O425">
        <f>O424+IF(AND($E425&lt;&gt;"",$E425&lt;=O$2,$F425&gt;=O$2),1,0)</f>
        <v/>
      </c>
      <c r="P425">
        <f>P424+IF(AND($E425&lt;&gt;"",$E425&lt;=P$2,$F425&gt;=P$2),1,0)</f>
        <v/>
      </c>
      <c r="Q425">
        <f>Q424+IF(AND($E425&lt;&gt;"",$E425&lt;=Q$2,$F425&gt;=Q$2),1,0)</f>
        <v/>
      </c>
      <c r="R425">
        <f>R424+IF(AND($E425&lt;&gt;"",$E425&lt;=R$2,$F425&gt;=R$2),1,0)</f>
        <v/>
      </c>
      <c r="S425">
        <f>S424+IF(AND($E425&lt;&gt;"",$E425&lt;=S$2,$F425&gt;=S$2),1,0)</f>
        <v/>
      </c>
      <c r="T425">
        <f>T424+IF(AND($E425&lt;&gt;"",$E425&lt;=T$2,$F425&gt;=T$2),1,0)</f>
        <v/>
      </c>
      <c r="U425">
        <f>U424+IF(AND($E425&lt;&gt;"",$E425&lt;=U$2,$F425&gt;=U$2),1,0)</f>
        <v/>
      </c>
      <c r="V425">
        <f>V424+IF(AND($E425&lt;&gt;"",$E425&lt;=V$2,$F425&gt;=V$2),1,0)</f>
        <v/>
      </c>
      <c r="W425">
        <f>W424+IF(AND($E425&lt;&gt;"",$E425&lt;=W$2,$F425&gt;=W$2),1,0)</f>
        <v/>
      </c>
      <c r="X425">
        <f>X424+IF(AND($E425&lt;&gt;"",$E425&lt;=X$2,$F425&gt;=X$2),1,0)</f>
        <v/>
      </c>
      <c r="Y425">
        <f>Y424+IF(AND($E425&lt;&gt;"",$E425&lt;=Y$2,$F425&gt;=Y$2),1,0)</f>
        <v/>
      </c>
      <c r="Z425">
        <f>Z424+IF(AND($E425&lt;&gt;"",$E425&lt;=Z$2,$F425&gt;=Z$2),1,0)</f>
        <v/>
      </c>
      <c r="AA425">
        <f>AA424+IF(AND($E425&lt;&gt;"",$E425&lt;=AA$2,$F425&gt;=AA$2),1,0)</f>
        <v/>
      </c>
      <c r="AB425">
        <f>AB424+IF(AND($E425&lt;&gt;"",$E425&lt;=AB$2,$F425&gt;=AB$2),1,0)</f>
        <v/>
      </c>
      <c r="AC425">
        <f>AC424+IF(AND($E425&lt;&gt;"",$E425&lt;=AC$2,$F425&gt;=AC$2),1,0)</f>
        <v/>
      </c>
      <c r="AD425">
        <f>AD424+IF(AND($E425&lt;&gt;"",$E425&lt;=AD$2,$F425&gt;=AD$2),1,0)</f>
        <v/>
      </c>
      <c r="AE425">
        <f>AE424+IF(AND($E425&lt;&gt;"",$E425&lt;=AE$2,$F425&gt;=AE$2),1,0)</f>
        <v/>
      </c>
      <c r="AF425">
        <f>AF424+IF(AND($E425&lt;&gt;"",$E425&lt;=AF$2,$F425&gt;=AF$2),1,0)</f>
        <v/>
      </c>
      <c r="AG425">
        <f>AG424+IF(AND($E425&lt;&gt;"",$E425&lt;=AG$2,$F425&gt;=AG$2),1,0)</f>
        <v/>
      </c>
      <c r="AH425">
        <f>AH424+IF(AND($E425&lt;&gt;"",$E425&lt;=AH$2,$F425&gt;=AH$2),1,0)</f>
        <v/>
      </c>
      <c r="AI425">
        <f>AI424+IF(AND($E425&lt;&gt;"",$E425&lt;=AI$2,$F425&gt;=AI$2),1,0)</f>
        <v/>
      </c>
      <c r="AJ425">
        <f>AJ424+IF(AND($E425&lt;&gt;"",$E425&lt;=AJ$2,$F425&gt;=AJ$2),1,0)</f>
        <v/>
      </c>
      <c r="AK425">
        <f>AK424+IF(AND($E425&lt;&gt;"",$E425&lt;=AK$2,$F425&gt;=AK$2),1,0)</f>
        <v/>
      </c>
      <c r="AL425">
        <f>AL424+IF(AND($E425&lt;&gt;"",$E425&lt;=AL$2,$F425&gt;=AL$2),1,0)</f>
        <v/>
      </c>
      <c r="AM425">
        <f>AM424+IF(AND($E425&lt;&gt;"",$E425&lt;=AM$2,$F425&gt;=AM$2),1,0)</f>
        <v/>
      </c>
      <c r="AN425">
        <f>AN424+IF(AND($E425&lt;&gt;"",$E425&lt;=AN$2,$F425&gt;=AN$2),1,0)</f>
        <v/>
      </c>
      <c r="AO425">
        <f>AO424+IF(AND($E425&lt;&gt;"",$E425&lt;=AO$2,$F425&gt;=AO$2),1,0)</f>
        <v/>
      </c>
      <c r="AP425">
        <f>AP424+IF(AND($E425&lt;&gt;"",$E425&lt;=AP$2,$F425&gt;=AP$2),1,0)</f>
        <v/>
      </c>
      <c r="AQ425">
        <f>AQ424+IF(AND($E425&lt;&gt;"",$E425&lt;=AQ$2,$F425&gt;=AQ$2),1,0)</f>
        <v/>
      </c>
      <c r="AR425">
        <f>AR424+IF(AND($E425&lt;&gt;"",$E425&lt;=AR$2,$F425&gt;=AR$2),1,0)</f>
        <v/>
      </c>
      <c r="AS425">
        <f>AS424+IF(AND($E425&lt;&gt;"",$E425&lt;=AS$2,$F425&gt;=AS$2),1,0)</f>
        <v/>
      </c>
      <c r="AT425">
        <f>AT424+IF(AND($E425&lt;&gt;"",$E425&lt;=AT$2,$F425&gt;=AT$2),1,0)</f>
        <v/>
      </c>
      <c r="AU425">
        <f>AU424+IF(AND($E425&lt;&gt;"",$E425&lt;=AU$2,$F425&gt;=AU$2),1,0)</f>
        <v/>
      </c>
      <c r="AV425">
        <f>AV424+IF(AND($E425&lt;&gt;"",$E425&lt;=AV$2,$F425&gt;=AV$2),1,0)</f>
        <v/>
      </c>
      <c r="AW425">
        <f>AW424+IF(AND($E425&lt;&gt;"",$E425&lt;=AW$2,$F425&gt;=AW$2),1,0)</f>
        <v/>
      </c>
    </row>
    <row r="426">
      <c r="A426">
        <f>IF(AND(ISNUMBER(Events!$A428),ISNUMBER(Events!$B428)),MAX(0,Events!$B428-Events!$A428),0)</f>
        <v/>
      </c>
      <c r="B426">
        <f>IF(ISNUMBER(Events!$A428),DATE(YEAR($B$1)-1,MONTH(Events!$A428),DAY(Events!$A428)),"")</f>
        <v/>
      </c>
      <c r="C426">
        <f>IF(ISNUMBER(Events!$A428),DATE(YEAR($B$1),MONTH(Events!$A428),DAY(Events!$A428)),"")</f>
        <v/>
      </c>
      <c r="D426">
        <f>IF(ISNUMBER(Events!$A428),DATE(YEAR($B$2),MONTH(Events!$A428),DAY(Events!$A428)),"")</f>
        <v/>
      </c>
      <c r="E426">
        <f>IF(OR(NOT(ISNUMBER(Events!$A428)),Events!$G428="No",Calendar!$H$4="None"),"",IF(OR(Calendar!$H$4="All events",Events!$D428=Calendar!$H$4),IF(Events!$E428="Yes",IF(AND(B426&gt;=Events!$A428,B426&lt;=$B$2,B426+$A426&gt;=$B$1),B426,IF(AND(C426&gt;=Events!$A428,C426&lt;=$B$2,C426+$A426&gt;=$B$1),C426,IF(AND(D426&gt;=Events!$A428,D426&lt;=$B$2,D426+$A426&gt;=$B$1),D426,""))),IF(AND(Events!$A428&lt;=$B$2,Events!$A428+$A426&gt;=$B$1),Events!$A428,"")),""))</f>
        <v/>
      </c>
      <c r="F426">
        <f>IF(E426="","",E426+A426)</f>
        <v/>
      </c>
      <c r="G426">
        <f>IF(E426="","",IF(AND(E426&lt;=EOMONTH(Calendar!$K$2,0),F426&gt;=Calendar!$K$2),E426+423/100000,""))</f>
        <v/>
      </c>
      <c r="H426">
        <f>H425+IF(AND($E426&lt;&gt;"",$E426&lt;=H$2,$F426&gt;=H$2),1,0)</f>
        <v/>
      </c>
      <c r="I426">
        <f>I425+IF(AND($E426&lt;&gt;"",$E426&lt;=I$2,$F426&gt;=I$2),1,0)</f>
        <v/>
      </c>
      <c r="J426">
        <f>J425+IF(AND($E426&lt;&gt;"",$E426&lt;=J$2,$F426&gt;=J$2),1,0)</f>
        <v/>
      </c>
      <c r="K426">
        <f>K425+IF(AND($E426&lt;&gt;"",$E426&lt;=K$2,$F426&gt;=K$2),1,0)</f>
        <v/>
      </c>
      <c r="L426">
        <f>L425+IF(AND($E426&lt;&gt;"",$E426&lt;=L$2,$F426&gt;=L$2),1,0)</f>
        <v/>
      </c>
      <c r="M426">
        <f>M425+IF(AND($E426&lt;&gt;"",$E426&lt;=M$2,$F426&gt;=M$2),1,0)</f>
        <v/>
      </c>
      <c r="N426">
        <f>N425+IF(AND($E426&lt;&gt;"",$E426&lt;=N$2,$F426&gt;=N$2),1,0)</f>
        <v/>
      </c>
      <c r="O426">
        <f>O425+IF(AND($E426&lt;&gt;"",$E426&lt;=O$2,$F426&gt;=O$2),1,0)</f>
        <v/>
      </c>
      <c r="P426">
        <f>P425+IF(AND($E426&lt;&gt;"",$E426&lt;=P$2,$F426&gt;=P$2),1,0)</f>
        <v/>
      </c>
      <c r="Q426">
        <f>Q425+IF(AND($E426&lt;&gt;"",$E426&lt;=Q$2,$F426&gt;=Q$2),1,0)</f>
        <v/>
      </c>
      <c r="R426">
        <f>R425+IF(AND($E426&lt;&gt;"",$E426&lt;=R$2,$F426&gt;=R$2),1,0)</f>
        <v/>
      </c>
      <c r="S426">
        <f>S425+IF(AND($E426&lt;&gt;"",$E426&lt;=S$2,$F426&gt;=S$2),1,0)</f>
        <v/>
      </c>
      <c r="T426">
        <f>T425+IF(AND($E426&lt;&gt;"",$E426&lt;=T$2,$F426&gt;=T$2),1,0)</f>
        <v/>
      </c>
      <c r="U426">
        <f>U425+IF(AND($E426&lt;&gt;"",$E426&lt;=U$2,$F426&gt;=U$2),1,0)</f>
        <v/>
      </c>
      <c r="V426">
        <f>V425+IF(AND($E426&lt;&gt;"",$E426&lt;=V$2,$F426&gt;=V$2),1,0)</f>
        <v/>
      </c>
      <c r="W426">
        <f>W425+IF(AND($E426&lt;&gt;"",$E426&lt;=W$2,$F426&gt;=W$2),1,0)</f>
        <v/>
      </c>
      <c r="X426">
        <f>X425+IF(AND($E426&lt;&gt;"",$E426&lt;=X$2,$F426&gt;=X$2),1,0)</f>
        <v/>
      </c>
      <c r="Y426">
        <f>Y425+IF(AND($E426&lt;&gt;"",$E426&lt;=Y$2,$F426&gt;=Y$2),1,0)</f>
        <v/>
      </c>
      <c r="Z426">
        <f>Z425+IF(AND($E426&lt;&gt;"",$E426&lt;=Z$2,$F426&gt;=Z$2),1,0)</f>
        <v/>
      </c>
      <c r="AA426">
        <f>AA425+IF(AND($E426&lt;&gt;"",$E426&lt;=AA$2,$F426&gt;=AA$2),1,0)</f>
        <v/>
      </c>
      <c r="AB426">
        <f>AB425+IF(AND($E426&lt;&gt;"",$E426&lt;=AB$2,$F426&gt;=AB$2),1,0)</f>
        <v/>
      </c>
      <c r="AC426">
        <f>AC425+IF(AND($E426&lt;&gt;"",$E426&lt;=AC$2,$F426&gt;=AC$2),1,0)</f>
        <v/>
      </c>
      <c r="AD426">
        <f>AD425+IF(AND($E426&lt;&gt;"",$E426&lt;=AD$2,$F426&gt;=AD$2),1,0)</f>
        <v/>
      </c>
      <c r="AE426">
        <f>AE425+IF(AND($E426&lt;&gt;"",$E426&lt;=AE$2,$F426&gt;=AE$2),1,0)</f>
        <v/>
      </c>
      <c r="AF426">
        <f>AF425+IF(AND($E426&lt;&gt;"",$E426&lt;=AF$2,$F426&gt;=AF$2),1,0)</f>
        <v/>
      </c>
      <c r="AG426">
        <f>AG425+IF(AND($E426&lt;&gt;"",$E426&lt;=AG$2,$F426&gt;=AG$2),1,0)</f>
        <v/>
      </c>
      <c r="AH426">
        <f>AH425+IF(AND($E426&lt;&gt;"",$E426&lt;=AH$2,$F426&gt;=AH$2),1,0)</f>
        <v/>
      </c>
      <c r="AI426">
        <f>AI425+IF(AND($E426&lt;&gt;"",$E426&lt;=AI$2,$F426&gt;=AI$2),1,0)</f>
        <v/>
      </c>
      <c r="AJ426">
        <f>AJ425+IF(AND($E426&lt;&gt;"",$E426&lt;=AJ$2,$F426&gt;=AJ$2),1,0)</f>
        <v/>
      </c>
      <c r="AK426">
        <f>AK425+IF(AND($E426&lt;&gt;"",$E426&lt;=AK$2,$F426&gt;=AK$2),1,0)</f>
        <v/>
      </c>
      <c r="AL426">
        <f>AL425+IF(AND($E426&lt;&gt;"",$E426&lt;=AL$2,$F426&gt;=AL$2),1,0)</f>
        <v/>
      </c>
      <c r="AM426">
        <f>AM425+IF(AND($E426&lt;&gt;"",$E426&lt;=AM$2,$F426&gt;=AM$2),1,0)</f>
        <v/>
      </c>
      <c r="AN426">
        <f>AN425+IF(AND($E426&lt;&gt;"",$E426&lt;=AN$2,$F426&gt;=AN$2),1,0)</f>
        <v/>
      </c>
      <c r="AO426">
        <f>AO425+IF(AND($E426&lt;&gt;"",$E426&lt;=AO$2,$F426&gt;=AO$2),1,0)</f>
        <v/>
      </c>
      <c r="AP426">
        <f>AP425+IF(AND($E426&lt;&gt;"",$E426&lt;=AP$2,$F426&gt;=AP$2),1,0)</f>
        <v/>
      </c>
      <c r="AQ426">
        <f>AQ425+IF(AND($E426&lt;&gt;"",$E426&lt;=AQ$2,$F426&gt;=AQ$2),1,0)</f>
        <v/>
      </c>
      <c r="AR426">
        <f>AR425+IF(AND($E426&lt;&gt;"",$E426&lt;=AR$2,$F426&gt;=AR$2),1,0)</f>
        <v/>
      </c>
      <c r="AS426">
        <f>AS425+IF(AND($E426&lt;&gt;"",$E426&lt;=AS$2,$F426&gt;=AS$2),1,0)</f>
        <v/>
      </c>
      <c r="AT426">
        <f>AT425+IF(AND($E426&lt;&gt;"",$E426&lt;=AT$2,$F426&gt;=AT$2),1,0)</f>
        <v/>
      </c>
      <c r="AU426">
        <f>AU425+IF(AND($E426&lt;&gt;"",$E426&lt;=AU$2,$F426&gt;=AU$2),1,0)</f>
        <v/>
      </c>
      <c r="AV426">
        <f>AV425+IF(AND($E426&lt;&gt;"",$E426&lt;=AV$2,$F426&gt;=AV$2),1,0)</f>
        <v/>
      </c>
      <c r="AW426">
        <f>AW425+IF(AND($E426&lt;&gt;"",$E426&lt;=AW$2,$F426&gt;=AW$2),1,0)</f>
        <v/>
      </c>
    </row>
    <row r="427">
      <c r="A427">
        <f>IF(AND(ISNUMBER(Events!$A429),ISNUMBER(Events!$B429)),MAX(0,Events!$B429-Events!$A429),0)</f>
        <v/>
      </c>
      <c r="B427">
        <f>IF(ISNUMBER(Events!$A429),DATE(YEAR($B$1)-1,MONTH(Events!$A429),DAY(Events!$A429)),"")</f>
        <v/>
      </c>
      <c r="C427">
        <f>IF(ISNUMBER(Events!$A429),DATE(YEAR($B$1),MONTH(Events!$A429),DAY(Events!$A429)),"")</f>
        <v/>
      </c>
      <c r="D427">
        <f>IF(ISNUMBER(Events!$A429),DATE(YEAR($B$2),MONTH(Events!$A429),DAY(Events!$A429)),"")</f>
        <v/>
      </c>
      <c r="E427">
        <f>IF(OR(NOT(ISNUMBER(Events!$A429)),Events!$G429="No",Calendar!$H$4="None"),"",IF(OR(Calendar!$H$4="All events",Events!$D429=Calendar!$H$4),IF(Events!$E429="Yes",IF(AND(B427&gt;=Events!$A429,B427&lt;=$B$2,B427+$A427&gt;=$B$1),B427,IF(AND(C427&gt;=Events!$A429,C427&lt;=$B$2,C427+$A427&gt;=$B$1),C427,IF(AND(D427&gt;=Events!$A429,D427&lt;=$B$2,D427+$A427&gt;=$B$1),D427,""))),IF(AND(Events!$A429&lt;=$B$2,Events!$A429+$A427&gt;=$B$1),Events!$A429,"")),""))</f>
        <v/>
      </c>
      <c r="F427">
        <f>IF(E427="","",E427+A427)</f>
        <v/>
      </c>
      <c r="G427">
        <f>IF(E427="","",IF(AND(E427&lt;=EOMONTH(Calendar!$K$2,0),F427&gt;=Calendar!$K$2),E427+424/100000,""))</f>
        <v/>
      </c>
      <c r="H427">
        <f>H426+IF(AND($E427&lt;&gt;"",$E427&lt;=H$2,$F427&gt;=H$2),1,0)</f>
        <v/>
      </c>
      <c r="I427">
        <f>I426+IF(AND($E427&lt;&gt;"",$E427&lt;=I$2,$F427&gt;=I$2),1,0)</f>
        <v/>
      </c>
      <c r="J427">
        <f>J426+IF(AND($E427&lt;&gt;"",$E427&lt;=J$2,$F427&gt;=J$2),1,0)</f>
        <v/>
      </c>
      <c r="K427">
        <f>K426+IF(AND($E427&lt;&gt;"",$E427&lt;=K$2,$F427&gt;=K$2),1,0)</f>
        <v/>
      </c>
      <c r="L427">
        <f>L426+IF(AND($E427&lt;&gt;"",$E427&lt;=L$2,$F427&gt;=L$2),1,0)</f>
        <v/>
      </c>
      <c r="M427">
        <f>M426+IF(AND($E427&lt;&gt;"",$E427&lt;=M$2,$F427&gt;=M$2),1,0)</f>
        <v/>
      </c>
      <c r="N427">
        <f>N426+IF(AND($E427&lt;&gt;"",$E427&lt;=N$2,$F427&gt;=N$2),1,0)</f>
        <v/>
      </c>
      <c r="O427">
        <f>O426+IF(AND($E427&lt;&gt;"",$E427&lt;=O$2,$F427&gt;=O$2),1,0)</f>
        <v/>
      </c>
      <c r="P427">
        <f>P426+IF(AND($E427&lt;&gt;"",$E427&lt;=P$2,$F427&gt;=P$2),1,0)</f>
        <v/>
      </c>
      <c r="Q427">
        <f>Q426+IF(AND($E427&lt;&gt;"",$E427&lt;=Q$2,$F427&gt;=Q$2),1,0)</f>
        <v/>
      </c>
      <c r="R427">
        <f>R426+IF(AND($E427&lt;&gt;"",$E427&lt;=R$2,$F427&gt;=R$2),1,0)</f>
        <v/>
      </c>
      <c r="S427">
        <f>S426+IF(AND($E427&lt;&gt;"",$E427&lt;=S$2,$F427&gt;=S$2),1,0)</f>
        <v/>
      </c>
      <c r="T427">
        <f>T426+IF(AND($E427&lt;&gt;"",$E427&lt;=T$2,$F427&gt;=T$2),1,0)</f>
        <v/>
      </c>
      <c r="U427">
        <f>U426+IF(AND($E427&lt;&gt;"",$E427&lt;=U$2,$F427&gt;=U$2),1,0)</f>
        <v/>
      </c>
      <c r="V427">
        <f>V426+IF(AND($E427&lt;&gt;"",$E427&lt;=V$2,$F427&gt;=V$2),1,0)</f>
        <v/>
      </c>
      <c r="W427">
        <f>W426+IF(AND($E427&lt;&gt;"",$E427&lt;=W$2,$F427&gt;=W$2),1,0)</f>
        <v/>
      </c>
      <c r="X427">
        <f>X426+IF(AND($E427&lt;&gt;"",$E427&lt;=X$2,$F427&gt;=X$2),1,0)</f>
        <v/>
      </c>
      <c r="Y427">
        <f>Y426+IF(AND($E427&lt;&gt;"",$E427&lt;=Y$2,$F427&gt;=Y$2),1,0)</f>
        <v/>
      </c>
      <c r="Z427">
        <f>Z426+IF(AND($E427&lt;&gt;"",$E427&lt;=Z$2,$F427&gt;=Z$2),1,0)</f>
        <v/>
      </c>
      <c r="AA427">
        <f>AA426+IF(AND($E427&lt;&gt;"",$E427&lt;=AA$2,$F427&gt;=AA$2),1,0)</f>
        <v/>
      </c>
      <c r="AB427">
        <f>AB426+IF(AND($E427&lt;&gt;"",$E427&lt;=AB$2,$F427&gt;=AB$2),1,0)</f>
        <v/>
      </c>
      <c r="AC427">
        <f>AC426+IF(AND($E427&lt;&gt;"",$E427&lt;=AC$2,$F427&gt;=AC$2),1,0)</f>
        <v/>
      </c>
      <c r="AD427">
        <f>AD426+IF(AND($E427&lt;&gt;"",$E427&lt;=AD$2,$F427&gt;=AD$2),1,0)</f>
        <v/>
      </c>
      <c r="AE427">
        <f>AE426+IF(AND($E427&lt;&gt;"",$E427&lt;=AE$2,$F427&gt;=AE$2),1,0)</f>
        <v/>
      </c>
      <c r="AF427">
        <f>AF426+IF(AND($E427&lt;&gt;"",$E427&lt;=AF$2,$F427&gt;=AF$2),1,0)</f>
        <v/>
      </c>
      <c r="AG427">
        <f>AG426+IF(AND($E427&lt;&gt;"",$E427&lt;=AG$2,$F427&gt;=AG$2),1,0)</f>
        <v/>
      </c>
      <c r="AH427">
        <f>AH426+IF(AND($E427&lt;&gt;"",$E427&lt;=AH$2,$F427&gt;=AH$2),1,0)</f>
        <v/>
      </c>
      <c r="AI427">
        <f>AI426+IF(AND($E427&lt;&gt;"",$E427&lt;=AI$2,$F427&gt;=AI$2),1,0)</f>
        <v/>
      </c>
      <c r="AJ427">
        <f>AJ426+IF(AND($E427&lt;&gt;"",$E427&lt;=AJ$2,$F427&gt;=AJ$2),1,0)</f>
        <v/>
      </c>
      <c r="AK427">
        <f>AK426+IF(AND($E427&lt;&gt;"",$E427&lt;=AK$2,$F427&gt;=AK$2),1,0)</f>
        <v/>
      </c>
      <c r="AL427">
        <f>AL426+IF(AND($E427&lt;&gt;"",$E427&lt;=AL$2,$F427&gt;=AL$2),1,0)</f>
        <v/>
      </c>
      <c r="AM427">
        <f>AM426+IF(AND($E427&lt;&gt;"",$E427&lt;=AM$2,$F427&gt;=AM$2),1,0)</f>
        <v/>
      </c>
      <c r="AN427">
        <f>AN426+IF(AND($E427&lt;&gt;"",$E427&lt;=AN$2,$F427&gt;=AN$2),1,0)</f>
        <v/>
      </c>
      <c r="AO427">
        <f>AO426+IF(AND($E427&lt;&gt;"",$E427&lt;=AO$2,$F427&gt;=AO$2),1,0)</f>
        <v/>
      </c>
      <c r="AP427">
        <f>AP426+IF(AND($E427&lt;&gt;"",$E427&lt;=AP$2,$F427&gt;=AP$2),1,0)</f>
        <v/>
      </c>
      <c r="AQ427">
        <f>AQ426+IF(AND($E427&lt;&gt;"",$E427&lt;=AQ$2,$F427&gt;=AQ$2),1,0)</f>
        <v/>
      </c>
      <c r="AR427">
        <f>AR426+IF(AND($E427&lt;&gt;"",$E427&lt;=AR$2,$F427&gt;=AR$2),1,0)</f>
        <v/>
      </c>
      <c r="AS427">
        <f>AS426+IF(AND($E427&lt;&gt;"",$E427&lt;=AS$2,$F427&gt;=AS$2),1,0)</f>
        <v/>
      </c>
      <c r="AT427">
        <f>AT426+IF(AND($E427&lt;&gt;"",$E427&lt;=AT$2,$F427&gt;=AT$2),1,0)</f>
        <v/>
      </c>
      <c r="AU427">
        <f>AU426+IF(AND($E427&lt;&gt;"",$E427&lt;=AU$2,$F427&gt;=AU$2),1,0)</f>
        <v/>
      </c>
      <c r="AV427">
        <f>AV426+IF(AND($E427&lt;&gt;"",$E427&lt;=AV$2,$F427&gt;=AV$2),1,0)</f>
        <v/>
      </c>
      <c r="AW427">
        <f>AW426+IF(AND($E427&lt;&gt;"",$E427&lt;=AW$2,$F427&gt;=AW$2),1,0)</f>
        <v/>
      </c>
    </row>
    <row r="428">
      <c r="A428">
        <f>IF(AND(ISNUMBER(Events!$A430),ISNUMBER(Events!$B430)),MAX(0,Events!$B430-Events!$A430),0)</f>
        <v/>
      </c>
      <c r="B428">
        <f>IF(ISNUMBER(Events!$A430),DATE(YEAR($B$1)-1,MONTH(Events!$A430),DAY(Events!$A430)),"")</f>
        <v/>
      </c>
      <c r="C428">
        <f>IF(ISNUMBER(Events!$A430),DATE(YEAR($B$1),MONTH(Events!$A430),DAY(Events!$A430)),"")</f>
        <v/>
      </c>
      <c r="D428">
        <f>IF(ISNUMBER(Events!$A430),DATE(YEAR($B$2),MONTH(Events!$A430),DAY(Events!$A430)),"")</f>
        <v/>
      </c>
      <c r="E428">
        <f>IF(OR(NOT(ISNUMBER(Events!$A430)),Events!$G430="No",Calendar!$H$4="None"),"",IF(OR(Calendar!$H$4="All events",Events!$D430=Calendar!$H$4),IF(Events!$E430="Yes",IF(AND(B428&gt;=Events!$A430,B428&lt;=$B$2,B428+$A428&gt;=$B$1),B428,IF(AND(C428&gt;=Events!$A430,C428&lt;=$B$2,C428+$A428&gt;=$B$1),C428,IF(AND(D428&gt;=Events!$A430,D428&lt;=$B$2,D428+$A428&gt;=$B$1),D428,""))),IF(AND(Events!$A430&lt;=$B$2,Events!$A430+$A428&gt;=$B$1),Events!$A430,"")),""))</f>
        <v/>
      </c>
      <c r="F428">
        <f>IF(E428="","",E428+A428)</f>
        <v/>
      </c>
      <c r="G428">
        <f>IF(E428="","",IF(AND(E428&lt;=EOMONTH(Calendar!$K$2,0),F428&gt;=Calendar!$K$2),E428+425/100000,""))</f>
        <v/>
      </c>
      <c r="H428">
        <f>H427+IF(AND($E428&lt;&gt;"",$E428&lt;=H$2,$F428&gt;=H$2),1,0)</f>
        <v/>
      </c>
      <c r="I428">
        <f>I427+IF(AND($E428&lt;&gt;"",$E428&lt;=I$2,$F428&gt;=I$2),1,0)</f>
        <v/>
      </c>
      <c r="J428">
        <f>J427+IF(AND($E428&lt;&gt;"",$E428&lt;=J$2,$F428&gt;=J$2),1,0)</f>
        <v/>
      </c>
      <c r="K428">
        <f>K427+IF(AND($E428&lt;&gt;"",$E428&lt;=K$2,$F428&gt;=K$2),1,0)</f>
        <v/>
      </c>
      <c r="L428">
        <f>L427+IF(AND($E428&lt;&gt;"",$E428&lt;=L$2,$F428&gt;=L$2),1,0)</f>
        <v/>
      </c>
      <c r="M428">
        <f>M427+IF(AND($E428&lt;&gt;"",$E428&lt;=M$2,$F428&gt;=M$2),1,0)</f>
        <v/>
      </c>
      <c r="N428">
        <f>N427+IF(AND($E428&lt;&gt;"",$E428&lt;=N$2,$F428&gt;=N$2),1,0)</f>
        <v/>
      </c>
      <c r="O428">
        <f>O427+IF(AND($E428&lt;&gt;"",$E428&lt;=O$2,$F428&gt;=O$2),1,0)</f>
        <v/>
      </c>
      <c r="P428">
        <f>P427+IF(AND($E428&lt;&gt;"",$E428&lt;=P$2,$F428&gt;=P$2),1,0)</f>
        <v/>
      </c>
      <c r="Q428">
        <f>Q427+IF(AND($E428&lt;&gt;"",$E428&lt;=Q$2,$F428&gt;=Q$2),1,0)</f>
        <v/>
      </c>
      <c r="R428">
        <f>R427+IF(AND($E428&lt;&gt;"",$E428&lt;=R$2,$F428&gt;=R$2),1,0)</f>
        <v/>
      </c>
      <c r="S428">
        <f>S427+IF(AND($E428&lt;&gt;"",$E428&lt;=S$2,$F428&gt;=S$2),1,0)</f>
        <v/>
      </c>
      <c r="T428">
        <f>T427+IF(AND($E428&lt;&gt;"",$E428&lt;=T$2,$F428&gt;=T$2),1,0)</f>
        <v/>
      </c>
      <c r="U428">
        <f>U427+IF(AND($E428&lt;&gt;"",$E428&lt;=U$2,$F428&gt;=U$2),1,0)</f>
        <v/>
      </c>
      <c r="V428">
        <f>V427+IF(AND($E428&lt;&gt;"",$E428&lt;=V$2,$F428&gt;=V$2),1,0)</f>
        <v/>
      </c>
      <c r="W428">
        <f>W427+IF(AND($E428&lt;&gt;"",$E428&lt;=W$2,$F428&gt;=W$2),1,0)</f>
        <v/>
      </c>
      <c r="X428">
        <f>X427+IF(AND($E428&lt;&gt;"",$E428&lt;=X$2,$F428&gt;=X$2),1,0)</f>
        <v/>
      </c>
      <c r="Y428">
        <f>Y427+IF(AND($E428&lt;&gt;"",$E428&lt;=Y$2,$F428&gt;=Y$2),1,0)</f>
        <v/>
      </c>
      <c r="Z428">
        <f>Z427+IF(AND($E428&lt;&gt;"",$E428&lt;=Z$2,$F428&gt;=Z$2),1,0)</f>
        <v/>
      </c>
      <c r="AA428">
        <f>AA427+IF(AND($E428&lt;&gt;"",$E428&lt;=AA$2,$F428&gt;=AA$2),1,0)</f>
        <v/>
      </c>
      <c r="AB428">
        <f>AB427+IF(AND($E428&lt;&gt;"",$E428&lt;=AB$2,$F428&gt;=AB$2),1,0)</f>
        <v/>
      </c>
      <c r="AC428">
        <f>AC427+IF(AND($E428&lt;&gt;"",$E428&lt;=AC$2,$F428&gt;=AC$2),1,0)</f>
        <v/>
      </c>
      <c r="AD428">
        <f>AD427+IF(AND($E428&lt;&gt;"",$E428&lt;=AD$2,$F428&gt;=AD$2),1,0)</f>
        <v/>
      </c>
      <c r="AE428">
        <f>AE427+IF(AND($E428&lt;&gt;"",$E428&lt;=AE$2,$F428&gt;=AE$2),1,0)</f>
        <v/>
      </c>
      <c r="AF428">
        <f>AF427+IF(AND($E428&lt;&gt;"",$E428&lt;=AF$2,$F428&gt;=AF$2),1,0)</f>
        <v/>
      </c>
      <c r="AG428">
        <f>AG427+IF(AND($E428&lt;&gt;"",$E428&lt;=AG$2,$F428&gt;=AG$2),1,0)</f>
        <v/>
      </c>
      <c r="AH428">
        <f>AH427+IF(AND($E428&lt;&gt;"",$E428&lt;=AH$2,$F428&gt;=AH$2),1,0)</f>
        <v/>
      </c>
      <c r="AI428">
        <f>AI427+IF(AND($E428&lt;&gt;"",$E428&lt;=AI$2,$F428&gt;=AI$2),1,0)</f>
        <v/>
      </c>
      <c r="AJ428">
        <f>AJ427+IF(AND($E428&lt;&gt;"",$E428&lt;=AJ$2,$F428&gt;=AJ$2),1,0)</f>
        <v/>
      </c>
      <c r="AK428">
        <f>AK427+IF(AND($E428&lt;&gt;"",$E428&lt;=AK$2,$F428&gt;=AK$2),1,0)</f>
        <v/>
      </c>
      <c r="AL428">
        <f>AL427+IF(AND($E428&lt;&gt;"",$E428&lt;=AL$2,$F428&gt;=AL$2),1,0)</f>
        <v/>
      </c>
      <c r="AM428">
        <f>AM427+IF(AND($E428&lt;&gt;"",$E428&lt;=AM$2,$F428&gt;=AM$2),1,0)</f>
        <v/>
      </c>
      <c r="AN428">
        <f>AN427+IF(AND($E428&lt;&gt;"",$E428&lt;=AN$2,$F428&gt;=AN$2),1,0)</f>
        <v/>
      </c>
      <c r="AO428">
        <f>AO427+IF(AND($E428&lt;&gt;"",$E428&lt;=AO$2,$F428&gt;=AO$2),1,0)</f>
        <v/>
      </c>
      <c r="AP428">
        <f>AP427+IF(AND($E428&lt;&gt;"",$E428&lt;=AP$2,$F428&gt;=AP$2),1,0)</f>
        <v/>
      </c>
      <c r="AQ428">
        <f>AQ427+IF(AND($E428&lt;&gt;"",$E428&lt;=AQ$2,$F428&gt;=AQ$2),1,0)</f>
        <v/>
      </c>
      <c r="AR428">
        <f>AR427+IF(AND($E428&lt;&gt;"",$E428&lt;=AR$2,$F428&gt;=AR$2),1,0)</f>
        <v/>
      </c>
      <c r="AS428">
        <f>AS427+IF(AND($E428&lt;&gt;"",$E428&lt;=AS$2,$F428&gt;=AS$2),1,0)</f>
        <v/>
      </c>
      <c r="AT428">
        <f>AT427+IF(AND($E428&lt;&gt;"",$E428&lt;=AT$2,$F428&gt;=AT$2),1,0)</f>
        <v/>
      </c>
      <c r="AU428">
        <f>AU427+IF(AND($E428&lt;&gt;"",$E428&lt;=AU$2,$F428&gt;=AU$2),1,0)</f>
        <v/>
      </c>
      <c r="AV428">
        <f>AV427+IF(AND($E428&lt;&gt;"",$E428&lt;=AV$2,$F428&gt;=AV$2),1,0)</f>
        <v/>
      </c>
      <c r="AW428">
        <f>AW427+IF(AND($E428&lt;&gt;"",$E428&lt;=AW$2,$F428&gt;=AW$2),1,0)</f>
        <v/>
      </c>
    </row>
    <row r="429">
      <c r="A429">
        <f>IF(AND(ISNUMBER(Events!$A431),ISNUMBER(Events!$B431)),MAX(0,Events!$B431-Events!$A431),0)</f>
        <v/>
      </c>
      <c r="B429">
        <f>IF(ISNUMBER(Events!$A431),DATE(YEAR($B$1)-1,MONTH(Events!$A431),DAY(Events!$A431)),"")</f>
        <v/>
      </c>
      <c r="C429">
        <f>IF(ISNUMBER(Events!$A431),DATE(YEAR($B$1),MONTH(Events!$A431),DAY(Events!$A431)),"")</f>
        <v/>
      </c>
      <c r="D429">
        <f>IF(ISNUMBER(Events!$A431),DATE(YEAR($B$2),MONTH(Events!$A431),DAY(Events!$A431)),"")</f>
        <v/>
      </c>
      <c r="E429">
        <f>IF(OR(NOT(ISNUMBER(Events!$A431)),Events!$G431="No",Calendar!$H$4="None"),"",IF(OR(Calendar!$H$4="All events",Events!$D431=Calendar!$H$4),IF(Events!$E431="Yes",IF(AND(B429&gt;=Events!$A431,B429&lt;=$B$2,B429+$A429&gt;=$B$1),B429,IF(AND(C429&gt;=Events!$A431,C429&lt;=$B$2,C429+$A429&gt;=$B$1),C429,IF(AND(D429&gt;=Events!$A431,D429&lt;=$B$2,D429+$A429&gt;=$B$1),D429,""))),IF(AND(Events!$A431&lt;=$B$2,Events!$A431+$A429&gt;=$B$1),Events!$A431,"")),""))</f>
        <v/>
      </c>
      <c r="F429">
        <f>IF(E429="","",E429+A429)</f>
        <v/>
      </c>
      <c r="G429">
        <f>IF(E429="","",IF(AND(E429&lt;=EOMONTH(Calendar!$K$2,0),F429&gt;=Calendar!$K$2),E429+426/100000,""))</f>
        <v/>
      </c>
      <c r="H429">
        <f>H428+IF(AND($E429&lt;&gt;"",$E429&lt;=H$2,$F429&gt;=H$2),1,0)</f>
        <v/>
      </c>
      <c r="I429">
        <f>I428+IF(AND($E429&lt;&gt;"",$E429&lt;=I$2,$F429&gt;=I$2),1,0)</f>
        <v/>
      </c>
      <c r="J429">
        <f>J428+IF(AND($E429&lt;&gt;"",$E429&lt;=J$2,$F429&gt;=J$2),1,0)</f>
        <v/>
      </c>
      <c r="K429">
        <f>K428+IF(AND($E429&lt;&gt;"",$E429&lt;=K$2,$F429&gt;=K$2),1,0)</f>
        <v/>
      </c>
      <c r="L429">
        <f>L428+IF(AND($E429&lt;&gt;"",$E429&lt;=L$2,$F429&gt;=L$2),1,0)</f>
        <v/>
      </c>
      <c r="M429">
        <f>M428+IF(AND($E429&lt;&gt;"",$E429&lt;=M$2,$F429&gt;=M$2),1,0)</f>
        <v/>
      </c>
      <c r="N429">
        <f>N428+IF(AND($E429&lt;&gt;"",$E429&lt;=N$2,$F429&gt;=N$2),1,0)</f>
        <v/>
      </c>
      <c r="O429">
        <f>O428+IF(AND($E429&lt;&gt;"",$E429&lt;=O$2,$F429&gt;=O$2),1,0)</f>
        <v/>
      </c>
      <c r="P429">
        <f>P428+IF(AND($E429&lt;&gt;"",$E429&lt;=P$2,$F429&gt;=P$2),1,0)</f>
        <v/>
      </c>
      <c r="Q429">
        <f>Q428+IF(AND($E429&lt;&gt;"",$E429&lt;=Q$2,$F429&gt;=Q$2),1,0)</f>
        <v/>
      </c>
      <c r="R429">
        <f>R428+IF(AND($E429&lt;&gt;"",$E429&lt;=R$2,$F429&gt;=R$2),1,0)</f>
        <v/>
      </c>
      <c r="S429">
        <f>S428+IF(AND($E429&lt;&gt;"",$E429&lt;=S$2,$F429&gt;=S$2),1,0)</f>
        <v/>
      </c>
      <c r="T429">
        <f>T428+IF(AND($E429&lt;&gt;"",$E429&lt;=T$2,$F429&gt;=T$2),1,0)</f>
        <v/>
      </c>
      <c r="U429">
        <f>U428+IF(AND($E429&lt;&gt;"",$E429&lt;=U$2,$F429&gt;=U$2),1,0)</f>
        <v/>
      </c>
      <c r="V429">
        <f>V428+IF(AND($E429&lt;&gt;"",$E429&lt;=V$2,$F429&gt;=V$2),1,0)</f>
        <v/>
      </c>
      <c r="W429">
        <f>W428+IF(AND($E429&lt;&gt;"",$E429&lt;=W$2,$F429&gt;=W$2),1,0)</f>
        <v/>
      </c>
      <c r="X429">
        <f>X428+IF(AND($E429&lt;&gt;"",$E429&lt;=X$2,$F429&gt;=X$2),1,0)</f>
        <v/>
      </c>
      <c r="Y429">
        <f>Y428+IF(AND($E429&lt;&gt;"",$E429&lt;=Y$2,$F429&gt;=Y$2),1,0)</f>
        <v/>
      </c>
      <c r="Z429">
        <f>Z428+IF(AND($E429&lt;&gt;"",$E429&lt;=Z$2,$F429&gt;=Z$2),1,0)</f>
        <v/>
      </c>
      <c r="AA429">
        <f>AA428+IF(AND($E429&lt;&gt;"",$E429&lt;=AA$2,$F429&gt;=AA$2),1,0)</f>
        <v/>
      </c>
      <c r="AB429">
        <f>AB428+IF(AND($E429&lt;&gt;"",$E429&lt;=AB$2,$F429&gt;=AB$2),1,0)</f>
        <v/>
      </c>
      <c r="AC429">
        <f>AC428+IF(AND($E429&lt;&gt;"",$E429&lt;=AC$2,$F429&gt;=AC$2),1,0)</f>
        <v/>
      </c>
      <c r="AD429">
        <f>AD428+IF(AND($E429&lt;&gt;"",$E429&lt;=AD$2,$F429&gt;=AD$2),1,0)</f>
        <v/>
      </c>
      <c r="AE429">
        <f>AE428+IF(AND($E429&lt;&gt;"",$E429&lt;=AE$2,$F429&gt;=AE$2),1,0)</f>
        <v/>
      </c>
      <c r="AF429">
        <f>AF428+IF(AND($E429&lt;&gt;"",$E429&lt;=AF$2,$F429&gt;=AF$2),1,0)</f>
        <v/>
      </c>
      <c r="AG429">
        <f>AG428+IF(AND($E429&lt;&gt;"",$E429&lt;=AG$2,$F429&gt;=AG$2),1,0)</f>
        <v/>
      </c>
      <c r="AH429">
        <f>AH428+IF(AND($E429&lt;&gt;"",$E429&lt;=AH$2,$F429&gt;=AH$2),1,0)</f>
        <v/>
      </c>
      <c r="AI429">
        <f>AI428+IF(AND($E429&lt;&gt;"",$E429&lt;=AI$2,$F429&gt;=AI$2),1,0)</f>
        <v/>
      </c>
      <c r="AJ429">
        <f>AJ428+IF(AND($E429&lt;&gt;"",$E429&lt;=AJ$2,$F429&gt;=AJ$2),1,0)</f>
        <v/>
      </c>
      <c r="AK429">
        <f>AK428+IF(AND($E429&lt;&gt;"",$E429&lt;=AK$2,$F429&gt;=AK$2),1,0)</f>
        <v/>
      </c>
      <c r="AL429">
        <f>AL428+IF(AND($E429&lt;&gt;"",$E429&lt;=AL$2,$F429&gt;=AL$2),1,0)</f>
        <v/>
      </c>
      <c r="AM429">
        <f>AM428+IF(AND($E429&lt;&gt;"",$E429&lt;=AM$2,$F429&gt;=AM$2),1,0)</f>
        <v/>
      </c>
      <c r="AN429">
        <f>AN428+IF(AND($E429&lt;&gt;"",$E429&lt;=AN$2,$F429&gt;=AN$2),1,0)</f>
        <v/>
      </c>
      <c r="AO429">
        <f>AO428+IF(AND($E429&lt;&gt;"",$E429&lt;=AO$2,$F429&gt;=AO$2),1,0)</f>
        <v/>
      </c>
      <c r="AP429">
        <f>AP428+IF(AND($E429&lt;&gt;"",$E429&lt;=AP$2,$F429&gt;=AP$2),1,0)</f>
        <v/>
      </c>
      <c r="AQ429">
        <f>AQ428+IF(AND($E429&lt;&gt;"",$E429&lt;=AQ$2,$F429&gt;=AQ$2),1,0)</f>
        <v/>
      </c>
      <c r="AR429">
        <f>AR428+IF(AND($E429&lt;&gt;"",$E429&lt;=AR$2,$F429&gt;=AR$2),1,0)</f>
        <v/>
      </c>
      <c r="AS429">
        <f>AS428+IF(AND($E429&lt;&gt;"",$E429&lt;=AS$2,$F429&gt;=AS$2),1,0)</f>
        <v/>
      </c>
      <c r="AT429">
        <f>AT428+IF(AND($E429&lt;&gt;"",$E429&lt;=AT$2,$F429&gt;=AT$2),1,0)</f>
        <v/>
      </c>
      <c r="AU429">
        <f>AU428+IF(AND($E429&lt;&gt;"",$E429&lt;=AU$2,$F429&gt;=AU$2),1,0)</f>
        <v/>
      </c>
      <c r="AV429">
        <f>AV428+IF(AND($E429&lt;&gt;"",$E429&lt;=AV$2,$F429&gt;=AV$2),1,0)</f>
        <v/>
      </c>
      <c r="AW429">
        <f>AW428+IF(AND($E429&lt;&gt;"",$E429&lt;=AW$2,$F429&gt;=AW$2),1,0)</f>
        <v/>
      </c>
    </row>
    <row r="430">
      <c r="A430">
        <f>IF(AND(ISNUMBER(Events!$A432),ISNUMBER(Events!$B432)),MAX(0,Events!$B432-Events!$A432),0)</f>
        <v/>
      </c>
      <c r="B430">
        <f>IF(ISNUMBER(Events!$A432),DATE(YEAR($B$1)-1,MONTH(Events!$A432),DAY(Events!$A432)),"")</f>
        <v/>
      </c>
      <c r="C430">
        <f>IF(ISNUMBER(Events!$A432),DATE(YEAR($B$1),MONTH(Events!$A432),DAY(Events!$A432)),"")</f>
        <v/>
      </c>
      <c r="D430">
        <f>IF(ISNUMBER(Events!$A432),DATE(YEAR($B$2),MONTH(Events!$A432),DAY(Events!$A432)),"")</f>
        <v/>
      </c>
      <c r="E430">
        <f>IF(OR(NOT(ISNUMBER(Events!$A432)),Events!$G432="No",Calendar!$H$4="None"),"",IF(OR(Calendar!$H$4="All events",Events!$D432=Calendar!$H$4),IF(Events!$E432="Yes",IF(AND(B430&gt;=Events!$A432,B430&lt;=$B$2,B430+$A430&gt;=$B$1),B430,IF(AND(C430&gt;=Events!$A432,C430&lt;=$B$2,C430+$A430&gt;=$B$1),C430,IF(AND(D430&gt;=Events!$A432,D430&lt;=$B$2,D430+$A430&gt;=$B$1),D430,""))),IF(AND(Events!$A432&lt;=$B$2,Events!$A432+$A430&gt;=$B$1),Events!$A432,"")),""))</f>
        <v/>
      </c>
      <c r="F430">
        <f>IF(E430="","",E430+A430)</f>
        <v/>
      </c>
      <c r="G430">
        <f>IF(E430="","",IF(AND(E430&lt;=EOMONTH(Calendar!$K$2,0),F430&gt;=Calendar!$K$2),E430+427/100000,""))</f>
        <v/>
      </c>
      <c r="H430">
        <f>H429+IF(AND($E430&lt;&gt;"",$E430&lt;=H$2,$F430&gt;=H$2),1,0)</f>
        <v/>
      </c>
      <c r="I430">
        <f>I429+IF(AND($E430&lt;&gt;"",$E430&lt;=I$2,$F430&gt;=I$2),1,0)</f>
        <v/>
      </c>
      <c r="J430">
        <f>J429+IF(AND($E430&lt;&gt;"",$E430&lt;=J$2,$F430&gt;=J$2),1,0)</f>
        <v/>
      </c>
      <c r="K430">
        <f>K429+IF(AND($E430&lt;&gt;"",$E430&lt;=K$2,$F430&gt;=K$2),1,0)</f>
        <v/>
      </c>
      <c r="L430">
        <f>L429+IF(AND($E430&lt;&gt;"",$E430&lt;=L$2,$F430&gt;=L$2),1,0)</f>
        <v/>
      </c>
      <c r="M430">
        <f>M429+IF(AND($E430&lt;&gt;"",$E430&lt;=M$2,$F430&gt;=M$2),1,0)</f>
        <v/>
      </c>
      <c r="N430">
        <f>N429+IF(AND($E430&lt;&gt;"",$E430&lt;=N$2,$F430&gt;=N$2),1,0)</f>
        <v/>
      </c>
      <c r="O430">
        <f>O429+IF(AND($E430&lt;&gt;"",$E430&lt;=O$2,$F430&gt;=O$2),1,0)</f>
        <v/>
      </c>
      <c r="P430">
        <f>P429+IF(AND($E430&lt;&gt;"",$E430&lt;=P$2,$F430&gt;=P$2),1,0)</f>
        <v/>
      </c>
      <c r="Q430">
        <f>Q429+IF(AND($E430&lt;&gt;"",$E430&lt;=Q$2,$F430&gt;=Q$2),1,0)</f>
        <v/>
      </c>
      <c r="R430">
        <f>R429+IF(AND($E430&lt;&gt;"",$E430&lt;=R$2,$F430&gt;=R$2),1,0)</f>
        <v/>
      </c>
      <c r="S430">
        <f>S429+IF(AND($E430&lt;&gt;"",$E430&lt;=S$2,$F430&gt;=S$2),1,0)</f>
        <v/>
      </c>
      <c r="T430">
        <f>T429+IF(AND($E430&lt;&gt;"",$E430&lt;=T$2,$F430&gt;=T$2),1,0)</f>
        <v/>
      </c>
      <c r="U430">
        <f>U429+IF(AND($E430&lt;&gt;"",$E430&lt;=U$2,$F430&gt;=U$2),1,0)</f>
        <v/>
      </c>
      <c r="V430">
        <f>V429+IF(AND($E430&lt;&gt;"",$E430&lt;=V$2,$F430&gt;=V$2),1,0)</f>
        <v/>
      </c>
      <c r="W430">
        <f>W429+IF(AND($E430&lt;&gt;"",$E430&lt;=W$2,$F430&gt;=W$2),1,0)</f>
        <v/>
      </c>
      <c r="X430">
        <f>X429+IF(AND($E430&lt;&gt;"",$E430&lt;=X$2,$F430&gt;=X$2),1,0)</f>
        <v/>
      </c>
      <c r="Y430">
        <f>Y429+IF(AND($E430&lt;&gt;"",$E430&lt;=Y$2,$F430&gt;=Y$2),1,0)</f>
        <v/>
      </c>
      <c r="Z430">
        <f>Z429+IF(AND($E430&lt;&gt;"",$E430&lt;=Z$2,$F430&gt;=Z$2),1,0)</f>
        <v/>
      </c>
      <c r="AA430">
        <f>AA429+IF(AND($E430&lt;&gt;"",$E430&lt;=AA$2,$F430&gt;=AA$2),1,0)</f>
        <v/>
      </c>
      <c r="AB430">
        <f>AB429+IF(AND($E430&lt;&gt;"",$E430&lt;=AB$2,$F430&gt;=AB$2),1,0)</f>
        <v/>
      </c>
      <c r="AC430">
        <f>AC429+IF(AND($E430&lt;&gt;"",$E430&lt;=AC$2,$F430&gt;=AC$2),1,0)</f>
        <v/>
      </c>
      <c r="AD430">
        <f>AD429+IF(AND($E430&lt;&gt;"",$E430&lt;=AD$2,$F430&gt;=AD$2),1,0)</f>
        <v/>
      </c>
      <c r="AE430">
        <f>AE429+IF(AND($E430&lt;&gt;"",$E430&lt;=AE$2,$F430&gt;=AE$2),1,0)</f>
        <v/>
      </c>
      <c r="AF430">
        <f>AF429+IF(AND($E430&lt;&gt;"",$E430&lt;=AF$2,$F430&gt;=AF$2),1,0)</f>
        <v/>
      </c>
      <c r="AG430">
        <f>AG429+IF(AND($E430&lt;&gt;"",$E430&lt;=AG$2,$F430&gt;=AG$2),1,0)</f>
        <v/>
      </c>
      <c r="AH430">
        <f>AH429+IF(AND($E430&lt;&gt;"",$E430&lt;=AH$2,$F430&gt;=AH$2),1,0)</f>
        <v/>
      </c>
      <c r="AI430">
        <f>AI429+IF(AND($E430&lt;&gt;"",$E430&lt;=AI$2,$F430&gt;=AI$2),1,0)</f>
        <v/>
      </c>
      <c r="AJ430">
        <f>AJ429+IF(AND($E430&lt;&gt;"",$E430&lt;=AJ$2,$F430&gt;=AJ$2),1,0)</f>
        <v/>
      </c>
      <c r="AK430">
        <f>AK429+IF(AND($E430&lt;&gt;"",$E430&lt;=AK$2,$F430&gt;=AK$2),1,0)</f>
        <v/>
      </c>
      <c r="AL430">
        <f>AL429+IF(AND($E430&lt;&gt;"",$E430&lt;=AL$2,$F430&gt;=AL$2),1,0)</f>
        <v/>
      </c>
      <c r="AM430">
        <f>AM429+IF(AND($E430&lt;&gt;"",$E430&lt;=AM$2,$F430&gt;=AM$2),1,0)</f>
        <v/>
      </c>
      <c r="AN430">
        <f>AN429+IF(AND($E430&lt;&gt;"",$E430&lt;=AN$2,$F430&gt;=AN$2),1,0)</f>
        <v/>
      </c>
      <c r="AO430">
        <f>AO429+IF(AND($E430&lt;&gt;"",$E430&lt;=AO$2,$F430&gt;=AO$2),1,0)</f>
        <v/>
      </c>
      <c r="AP430">
        <f>AP429+IF(AND($E430&lt;&gt;"",$E430&lt;=AP$2,$F430&gt;=AP$2),1,0)</f>
        <v/>
      </c>
      <c r="AQ430">
        <f>AQ429+IF(AND($E430&lt;&gt;"",$E430&lt;=AQ$2,$F430&gt;=AQ$2),1,0)</f>
        <v/>
      </c>
      <c r="AR430">
        <f>AR429+IF(AND($E430&lt;&gt;"",$E430&lt;=AR$2,$F430&gt;=AR$2),1,0)</f>
        <v/>
      </c>
      <c r="AS430">
        <f>AS429+IF(AND($E430&lt;&gt;"",$E430&lt;=AS$2,$F430&gt;=AS$2),1,0)</f>
        <v/>
      </c>
      <c r="AT430">
        <f>AT429+IF(AND($E430&lt;&gt;"",$E430&lt;=AT$2,$F430&gt;=AT$2),1,0)</f>
        <v/>
      </c>
      <c r="AU430">
        <f>AU429+IF(AND($E430&lt;&gt;"",$E430&lt;=AU$2,$F430&gt;=AU$2),1,0)</f>
        <v/>
      </c>
      <c r="AV430">
        <f>AV429+IF(AND($E430&lt;&gt;"",$E430&lt;=AV$2,$F430&gt;=AV$2),1,0)</f>
        <v/>
      </c>
      <c r="AW430">
        <f>AW429+IF(AND($E430&lt;&gt;"",$E430&lt;=AW$2,$F430&gt;=AW$2),1,0)</f>
        <v/>
      </c>
    </row>
    <row r="431">
      <c r="A431">
        <f>IF(AND(ISNUMBER(Events!$A433),ISNUMBER(Events!$B433)),MAX(0,Events!$B433-Events!$A433),0)</f>
        <v/>
      </c>
      <c r="B431">
        <f>IF(ISNUMBER(Events!$A433),DATE(YEAR($B$1)-1,MONTH(Events!$A433),DAY(Events!$A433)),"")</f>
        <v/>
      </c>
      <c r="C431">
        <f>IF(ISNUMBER(Events!$A433),DATE(YEAR($B$1),MONTH(Events!$A433),DAY(Events!$A433)),"")</f>
        <v/>
      </c>
      <c r="D431">
        <f>IF(ISNUMBER(Events!$A433),DATE(YEAR($B$2),MONTH(Events!$A433),DAY(Events!$A433)),"")</f>
        <v/>
      </c>
      <c r="E431">
        <f>IF(OR(NOT(ISNUMBER(Events!$A433)),Events!$G433="No",Calendar!$H$4="None"),"",IF(OR(Calendar!$H$4="All events",Events!$D433=Calendar!$H$4),IF(Events!$E433="Yes",IF(AND(B431&gt;=Events!$A433,B431&lt;=$B$2,B431+$A431&gt;=$B$1),B431,IF(AND(C431&gt;=Events!$A433,C431&lt;=$B$2,C431+$A431&gt;=$B$1),C431,IF(AND(D431&gt;=Events!$A433,D431&lt;=$B$2,D431+$A431&gt;=$B$1),D431,""))),IF(AND(Events!$A433&lt;=$B$2,Events!$A433+$A431&gt;=$B$1),Events!$A433,"")),""))</f>
        <v/>
      </c>
      <c r="F431">
        <f>IF(E431="","",E431+A431)</f>
        <v/>
      </c>
      <c r="G431">
        <f>IF(E431="","",IF(AND(E431&lt;=EOMONTH(Calendar!$K$2,0),F431&gt;=Calendar!$K$2),E431+428/100000,""))</f>
        <v/>
      </c>
      <c r="H431">
        <f>H430+IF(AND($E431&lt;&gt;"",$E431&lt;=H$2,$F431&gt;=H$2),1,0)</f>
        <v/>
      </c>
      <c r="I431">
        <f>I430+IF(AND($E431&lt;&gt;"",$E431&lt;=I$2,$F431&gt;=I$2),1,0)</f>
        <v/>
      </c>
      <c r="J431">
        <f>J430+IF(AND($E431&lt;&gt;"",$E431&lt;=J$2,$F431&gt;=J$2),1,0)</f>
        <v/>
      </c>
      <c r="K431">
        <f>K430+IF(AND($E431&lt;&gt;"",$E431&lt;=K$2,$F431&gt;=K$2),1,0)</f>
        <v/>
      </c>
      <c r="L431">
        <f>L430+IF(AND($E431&lt;&gt;"",$E431&lt;=L$2,$F431&gt;=L$2),1,0)</f>
        <v/>
      </c>
      <c r="M431">
        <f>M430+IF(AND($E431&lt;&gt;"",$E431&lt;=M$2,$F431&gt;=M$2),1,0)</f>
        <v/>
      </c>
      <c r="N431">
        <f>N430+IF(AND($E431&lt;&gt;"",$E431&lt;=N$2,$F431&gt;=N$2),1,0)</f>
        <v/>
      </c>
      <c r="O431">
        <f>O430+IF(AND($E431&lt;&gt;"",$E431&lt;=O$2,$F431&gt;=O$2),1,0)</f>
        <v/>
      </c>
      <c r="P431">
        <f>P430+IF(AND($E431&lt;&gt;"",$E431&lt;=P$2,$F431&gt;=P$2),1,0)</f>
        <v/>
      </c>
      <c r="Q431">
        <f>Q430+IF(AND($E431&lt;&gt;"",$E431&lt;=Q$2,$F431&gt;=Q$2),1,0)</f>
        <v/>
      </c>
      <c r="R431">
        <f>R430+IF(AND($E431&lt;&gt;"",$E431&lt;=R$2,$F431&gt;=R$2),1,0)</f>
        <v/>
      </c>
      <c r="S431">
        <f>S430+IF(AND($E431&lt;&gt;"",$E431&lt;=S$2,$F431&gt;=S$2),1,0)</f>
        <v/>
      </c>
      <c r="T431">
        <f>T430+IF(AND($E431&lt;&gt;"",$E431&lt;=T$2,$F431&gt;=T$2),1,0)</f>
        <v/>
      </c>
      <c r="U431">
        <f>U430+IF(AND($E431&lt;&gt;"",$E431&lt;=U$2,$F431&gt;=U$2),1,0)</f>
        <v/>
      </c>
      <c r="V431">
        <f>V430+IF(AND($E431&lt;&gt;"",$E431&lt;=V$2,$F431&gt;=V$2),1,0)</f>
        <v/>
      </c>
      <c r="W431">
        <f>W430+IF(AND($E431&lt;&gt;"",$E431&lt;=W$2,$F431&gt;=W$2),1,0)</f>
        <v/>
      </c>
      <c r="X431">
        <f>X430+IF(AND($E431&lt;&gt;"",$E431&lt;=X$2,$F431&gt;=X$2),1,0)</f>
        <v/>
      </c>
      <c r="Y431">
        <f>Y430+IF(AND($E431&lt;&gt;"",$E431&lt;=Y$2,$F431&gt;=Y$2),1,0)</f>
        <v/>
      </c>
      <c r="Z431">
        <f>Z430+IF(AND($E431&lt;&gt;"",$E431&lt;=Z$2,$F431&gt;=Z$2),1,0)</f>
        <v/>
      </c>
      <c r="AA431">
        <f>AA430+IF(AND($E431&lt;&gt;"",$E431&lt;=AA$2,$F431&gt;=AA$2),1,0)</f>
        <v/>
      </c>
      <c r="AB431">
        <f>AB430+IF(AND($E431&lt;&gt;"",$E431&lt;=AB$2,$F431&gt;=AB$2),1,0)</f>
        <v/>
      </c>
      <c r="AC431">
        <f>AC430+IF(AND($E431&lt;&gt;"",$E431&lt;=AC$2,$F431&gt;=AC$2),1,0)</f>
        <v/>
      </c>
      <c r="AD431">
        <f>AD430+IF(AND($E431&lt;&gt;"",$E431&lt;=AD$2,$F431&gt;=AD$2),1,0)</f>
        <v/>
      </c>
      <c r="AE431">
        <f>AE430+IF(AND($E431&lt;&gt;"",$E431&lt;=AE$2,$F431&gt;=AE$2),1,0)</f>
        <v/>
      </c>
      <c r="AF431">
        <f>AF430+IF(AND($E431&lt;&gt;"",$E431&lt;=AF$2,$F431&gt;=AF$2),1,0)</f>
        <v/>
      </c>
      <c r="AG431">
        <f>AG430+IF(AND($E431&lt;&gt;"",$E431&lt;=AG$2,$F431&gt;=AG$2),1,0)</f>
        <v/>
      </c>
      <c r="AH431">
        <f>AH430+IF(AND($E431&lt;&gt;"",$E431&lt;=AH$2,$F431&gt;=AH$2),1,0)</f>
        <v/>
      </c>
      <c r="AI431">
        <f>AI430+IF(AND($E431&lt;&gt;"",$E431&lt;=AI$2,$F431&gt;=AI$2),1,0)</f>
        <v/>
      </c>
      <c r="AJ431">
        <f>AJ430+IF(AND($E431&lt;&gt;"",$E431&lt;=AJ$2,$F431&gt;=AJ$2),1,0)</f>
        <v/>
      </c>
      <c r="AK431">
        <f>AK430+IF(AND($E431&lt;&gt;"",$E431&lt;=AK$2,$F431&gt;=AK$2),1,0)</f>
        <v/>
      </c>
      <c r="AL431">
        <f>AL430+IF(AND($E431&lt;&gt;"",$E431&lt;=AL$2,$F431&gt;=AL$2),1,0)</f>
        <v/>
      </c>
      <c r="AM431">
        <f>AM430+IF(AND($E431&lt;&gt;"",$E431&lt;=AM$2,$F431&gt;=AM$2),1,0)</f>
        <v/>
      </c>
      <c r="AN431">
        <f>AN430+IF(AND($E431&lt;&gt;"",$E431&lt;=AN$2,$F431&gt;=AN$2),1,0)</f>
        <v/>
      </c>
      <c r="AO431">
        <f>AO430+IF(AND($E431&lt;&gt;"",$E431&lt;=AO$2,$F431&gt;=AO$2),1,0)</f>
        <v/>
      </c>
      <c r="AP431">
        <f>AP430+IF(AND($E431&lt;&gt;"",$E431&lt;=AP$2,$F431&gt;=AP$2),1,0)</f>
        <v/>
      </c>
      <c r="AQ431">
        <f>AQ430+IF(AND($E431&lt;&gt;"",$E431&lt;=AQ$2,$F431&gt;=AQ$2),1,0)</f>
        <v/>
      </c>
      <c r="AR431">
        <f>AR430+IF(AND($E431&lt;&gt;"",$E431&lt;=AR$2,$F431&gt;=AR$2),1,0)</f>
        <v/>
      </c>
      <c r="AS431">
        <f>AS430+IF(AND($E431&lt;&gt;"",$E431&lt;=AS$2,$F431&gt;=AS$2),1,0)</f>
        <v/>
      </c>
      <c r="AT431">
        <f>AT430+IF(AND($E431&lt;&gt;"",$E431&lt;=AT$2,$F431&gt;=AT$2),1,0)</f>
        <v/>
      </c>
      <c r="AU431">
        <f>AU430+IF(AND($E431&lt;&gt;"",$E431&lt;=AU$2,$F431&gt;=AU$2),1,0)</f>
        <v/>
      </c>
      <c r="AV431">
        <f>AV430+IF(AND($E431&lt;&gt;"",$E431&lt;=AV$2,$F431&gt;=AV$2),1,0)</f>
        <v/>
      </c>
      <c r="AW431">
        <f>AW430+IF(AND($E431&lt;&gt;"",$E431&lt;=AW$2,$F431&gt;=AW$2),1,0)</f>
        <v/>
      </c>
    </row>
    <row r="432">
      <c r="A432">
        <f>IF(AND(ISNUMBER(Events!$A434),ISNUMBER(Events!$B434)),MAX(0,Events!$B434-Events!$A434),0)</f>
        <v/>
      </c>
      <c r="B432">
        <f>IF(ISNUMBER(Events!$A434),DATE(YEAR($B$1)-1,MONTH(Events!$A434),DAY(Events!$A434)),"")</f>
        <v/>
      </c>
      <c r="C432">
        <f>IF(ISNUMBER(Events!$A434),DATE(YEAR($B$1),MONTH(Events!$A434),DAY(Events!$A434)),"")</f>
        <v/>
      </c>
      <c r="D432">
        <f>IF(ISNUMBER(Events!$A434),DATE(YEAR($B$2),MONTH(Events!$A434),DAY(Events!$A434)),"")</f>
        <v/>
      </c>
      <c r="E432">
        <f>IF(OR(NOT(ISNUMBER(Events!$A434)),Events!$G434="No",Calendar!$H$4="None"),"",IF(OR(Calendar!$H$4="All events",Events!$D434=Calendar!$H$4),IF(Events!$E434="Yes",IF(AND(B432&gt;=Events!$A434,B432&lt;=$B$2,B432+$A432&gt;=$B$1),B432,IF(AND(C432&gt;=Events!$A434,C432&lt;=$B$2,C432+$A432&gt;=$B$1),C432,IF(AND(D432&gt;=Events!$A434,D432&lt;=$B$2,D432+$A432&gt;=$B$1),D432,""))),IF(AND(Events!$A434&lt;=$B$2,Events!$A434+$A432&gt;=$B$1),Events!$A434,"")),""))</f>
        <v/>
      </c>
      <c r="F432">
        <f>IF(E432="","",E432+A432)</f>
        <v/>
      </c>
      <c r="G432">
        <f>IF(E432="","",IF(AND(E432&lt;=EOMONTH(Calendar!$K$2,0),F432&gt;=Calendar!$K$2),E432+429/100000,""))</f>
        <v/>
      </c>
      <c r="H432">
        <f>H431+IF(AND($E432&lt;&gt;"",$E432&lt;=H$2,$F432&gt;=H$2),1,0)</f>
        <v/>
      </c>
      <c r="I432">
        <f>I431+IF(AND($E432&lt;&gt;"",$E432&lt;=I$2,$F432&gt;=I$2),1,0)</f>
        <v/>
      </c>
      <c r="J432">
        <f>J431+IF(AND($E432&lt;&gt;"",$E432&lt;=J$2,$F432&gt;=J$2),1,0)</f>
        <v/>
      </c>
      <c r="K432">
        <f>K431+IF(AND($E432&lt;&gt;"",$E432&lt;=K$2,$F432&gt;=K$2),1,0)</f>
        <v/>
      </c>
      <c r="L432">
        <f>L431+IF(AND($E432&lt;&gt;"",$E432&lt;=L$2,$F432&gt;=L$2),1,0)</f>
        <v/>
      </c>
      <c r="M432">
        <f>M431+IF(AND($E432&lt;&gt;"",$E432&lt;=M$2,$F432&gt;=M$2),1,0)</f>
        <v/>
      </c>
      <c r="N432">
        <f>N431+IF(AND($E432&lt;&gt;"",$E432&lt;=N$2,$F432&gt;=N$2),1,0)</f>
        <v/>
      </c>
      <c r="O432">
        <f>O431+IF(AND($E432&lt;&gt;"",$E432&lt;=O$2,$F432&gt;=O$2),1,0)</f>
        <v/>
      </c>
      <c r="P432">
        <f>P431+IF(AND($E432&lt;&gt;"",$E432&lt;=P$2,$F432&gt;=P$2),1,0)</f>
        <v/>
      </c>
      <c r="Q432">
        <f>Q431+IF(AND($E432&lt;&gt;"",$E432&lt;=Q$2,$F432&gt;=Q$2),1,0)</f>
        <v/>
      </c>
      <c r="R432">
        <f>R431+IF(AND($E432&lt;&gt;"",$E432&lt;=R$2,$F432&gt;=R$2),1,0)</f>
        <v/>
      </c>
      <c r="S432">
        <f>S431+IF(AND($E432&lt;&gt;"",$E432&lt;=S$2,$F432&gt;=S$2),1,0)</f>
        <v/>
      </c>
      <c r="T432">
        <f>T431+IF(AND($E432&lt;&gt;"",$E432&lt;=T$2,$F432&gt;=T$2),1,0)</f>
        <v/>
      </c>
      <c r="U432">
        <f>U431+IF(AND($E432&lt;&gt;"",$E432&lt;=U$2,$F432&gt;=U$2),1,0)</f>
        <v/>
      </c>
      <c r="V432">
        <f>V431+IF(AND($E432&lt;&gt;"",$E432&lt;=V$2,$F432&gt;=V$2),1,0)</f>
        <v/>
      </c>
      <c r="W432">
        <f>W431+IF(AND($E432&lt;&gt;"",$E432&lt;=W$2,$F432&gt;=W$2),1,0)</f>
        <v/>
      </c>
      <c r="X432">
        <f>X431+IF(AND($E432&lt;&gt;"",$E432&lt;=X$2,$F432&gt;=X$2),1,0)</f>
        <v/>
      </c>
      <c r="Y432">
        <f>Y431+IF(AND($E432&lt;&gt;"",$E432&lt;=Y$2,$F432&gt;=Y$2),1,0)</f>
        <v/>
      </c>
      <c r="Z432">
        <f>Z431+IF(AND($E432&lt;&gt;"",$E432&lt;=Z$2,$F432&gt;=Z$2),1,0)</f>
        <v/>
      </c>
      <c r="AA432">
        <f>AA431+IF(AND($E432&lt;&gt;"",$E432&lt;=AA$2,$F432&gt;=AA$2),1,0)</f>
        <v/>
      </c>
      <c r="AB432">
        <f>AB431+IF(AND($E432&lt;&gt;"",$E432&lt;=AB$2,$F432&gt;=AB$2),1,0)</f>
        <v/>
      </c>
      <c r="AC432">
        <f>AC431+IF(AND($E432&lt;&gt;"",$E432&lt;=AC$2,$F432&gt;=AC$2),1,0)</f>
        <v/>
      </c>
      <c r="AD432">
        <f>AD431+IF(AND($E432&lt;&gt;"",$E432&lt;=AD$2,$F432&gt;=AD$2),1,0)</f>
        <v/>
      </c>
      <c r="AE432">
        <f>AE431+IF(AND($E432&lt;&gt;"",$E432&lt;=AE$2,$F432&gt;=AE$2),1,0)</f>
        <v/>
      </c>
      <c r="AF432">
        <f>AF431+IF(AND($E432&lt;&gt;"",$E432&lt;=AF$2,$F432&gt;=AF$2),1,0)</f>
        <v/>
      </c>
      <c r="AG432">
        <f>AG431+IF(AND($E432&lt;&gt;"",$E432&lt;=AG$2,$F432&gt;=AG$2),1,0)</f>
        <v/>
      </c>
      <c r="AH432">
        <f>AH431+IF(AND($E432&lt;&gt;"",$E432&lt;=AH$2,$F432&gt;=AH$2),1,0)</f>
        <v/>
      </c>
      <c r="AI432">
        <f>AI431+IF(AND($E432&lt;&gt;"",$E432&lt;=AI$2,$F432&gt;=AI$2),1,0)</f>
        <v/>
      </c>
      <c r="AJ432">
        <f>AJ431+IF(AND($E432&lt;&gt;"",$E432&lt;=AJ$2,$F432&gt;=AJ$2),1,0)</f>
        <v/>
      </c>
      <c r="AK432">
        <f>AK431+IF(AND($E432&lt;&gt;"",$E432&lt;=AK$2,$F432&gt;=AK$2),1,0)</f>
        <v/>
      </c>
      <c r="AL432">
        <f>AL431+IF(AND($E432&lt;&gt;"",$E432&lt;=AL$2,$F432&gt;=AL$2),1,0)</f>
        <v/>
      </c>
      <c r="AM432">
        <f>AM431+IF(AND($E432&lt;&gt;"",$E432&lt;=AM$2,$F432&gt;=AM$2),1,0)</f>
        <v/>
      </c>
      <c r="AN432">
        <f>AN431+IF(AND($E432&lt;&gt;"",$E432&lt;=AN$2,$F432&gt;=AN$2),1,0)</f>
        <v/>
      </c>
      <c r="AO432">
        <f>AO431+IF(AND($E432&lt;&gt;"",$E432&lt;=AO$2,$F432&gt;=AO$2),1,0)</f>
        <v/>
      </c>
      <c r="AP432">
        <f>AP431+IF(AND($E432&lt;&gt;"",$E432&lt;=AP$2,$F432&gt;=AP$2),1,0)</f>
        <v/>
      </c>
      <c r="AQ432">
        <f>AQ431+IF(AND($E432&lt;&gt;"",$E432&lt;=AQ$2,$F432&gt;=AQ$2),1,0)</f>
        <v/>
      </c>
      <c r="AR432">
        <f>AR431+IF(AND($E432&lt;&gt;"",$E432&lt;=AR$2,$F432&gt;=AR$2),1,0)</f>
        <v/>
      </c>
      <c r="AS432">
        <f>AS431+IF(AND($E432&lt;&gt;"",$E432&lt;=AS$2,$F432&gt;=AS$2),1,0)</f>
        <v/>
      </c>
      <c r="AT432">
        <f>AT431+IF(AND($E432&lt;&gt;"",$E432&lt;=AT$2,$F432&gt;=AT$2),1,0)</f>
        <v/>
      </c>
      <c r="AU432">
        <f>AU431+IF(AND($E432&lt;&gt;"",$E432&lt;=AU$2,$F432&gt;=AU$2),1,0)</f>
        <v/>
      </c>
      <c r="AV432">
        <f>AV431+IF(AND($E432&lt;&gt;"",$E432&lt;=AV$2,$F432&gt;=AV$2),1,0)</f>
        <v/>
      </c>
      <c r="AW432">
        <f>AW431+IF(AND($E432&lt;&gt;"",$E432&lt;=AW$2,$F432&gt;=AW$2),1,0)</f>
        <v/>
      </c>
    </row>
    <row r="433">
      <c r="A433">
        <f>IF(AND(ISNUMBER(Events!$A435),ISNUMBER(Events!$B435)),MAX(0,Events!$B435-Events!$A435),0)</f>
        <v/>
      </c>
      <c r="B433">
        <f>IF(ISNUMBER(Events!$A435),DATE(YEAR($B$1)-1,MONTH(Events!$A435),DAY(Events!$A435)),"")</f>
        <v/>
      </c>
      <c r="C433">
        <f>IF(ISNUMBER(Events!$A435),DATE(YEAR($B$1),MONTH(Events!$A435),DAY(Events!$A435)),"")</f>
        <v/>
      </c>
      <c r="D433">
        <f>IF(ISNUMBER(Events!$A435),DATE(YEAR($B$2),MONTH(Events!$A435),DAY(Events!$A435)),"")</f>
        <v/>
      </c>
      <c r="E433">
        <f>IF(OR(NOT(ISNUMBER(Events!$A435)),Events!$G435="No",Calendar!$H$4="None"),"",IF(OR(Calendar!$H$4="All events",Events!$D435=Calendar!$H$4),IF(Events!$E435="Yes",IF(AND(B433&gt;=Events!$A435,B433&lt;=$B$2,B433+$A433&gt;=$B$1),B433,IF(AND(C433&gt;=Events!$A435,C433&lt;=$B$2,C433+$A433&gt;=$B$1),C433,IF(AND(D433&gt;=Events!$A435,D433&lt;=$B$2,D433+$A433&gt;=$B$1),D433,""))),IF(AND(Events!$A435&lt;=$B$2,Events!$A435+$A433&gt;=$B$1),Events!$A435,"")),""))</f>
        <v/>
      </c>
      <c r="F433">
        <f>IF(E433="","",E433+A433)</f>
        <v/>
      </c>
      <c r="G433">
        <f>IF(E433="","",IF(AND(E433&lt;=EOMONTH(Calendar!$K$2,0),F433&gt;=Calendar!$K$2),E433+430/100000,""))</f>
        <v/>
      </c>
      <c r="H433">
        <f>H432+IF(AND($E433&lt;&gt;"",$E433&lt;=H$2,$F433&gt;=H$2),1,0)</f>
        <v/>
      </c>
      <c r="I433">
        <f>I432+IF(AND($E433&lt;&gt;"",$E433&lt;=I$2,$F433&gt;=I$2),1,0)</f>
        <v/>
      </c>
      <c r="J433">
        <f>J432+IF(AND($E433&lt;&gt;"",$E433&lt;=J$2,$F433&gt;=J$2),1,0)</f>
        <v/>
      </c>
      <c r="K433">
        <f>K432+IF(AND($E433&lt;&gt;"",$E433&lt;=K$2,$F433&gt;=K$2),1,0)</f>
        <v/>
      </c>
      <c r="L433">
        <f>L432+IF(AND($E433&lt;&gt;"",$E433&lt;=L$2,$F433&gt;=L$2),1,0)</f>
        <v/>
      </c>
      <c r="M433">
        <f>M432+IF(AND($E433&lt;&gt;"",$E433&lt;=M$2,$F433&gt;=M$2),1,0)</f>
        <v/>
      </c>
      <c r="N433">
        <f>N432+IF(AND($E433&lt;&gt;"",$E433&lt;=N$2,$F433&gt;=N$2),1,0)</f>
        <v/>
      </c>
      <c r="O433">
        <f>O432+IF(AND($E433&lt;&gt;"",$E433&lt;=O$2,$F433&gt;=O$2),1,0)</f>
        <v/>
      </c>
      <c r="P433">
        <f>P432+IF(AND($E433&lt;&gt;"",$E433&lt;=P$2,$F433&gt;=P$2),1,0)</f>
        <v/>
      </c>
      <c r="Q433">
        <f>Q432+IF(AND($E433&lt;&gt;"",$E433&lt;=Q$2,$F433&gt;=Q$2),1,0)</f>
        <v/>
      </c>
      <c r="R433">
        <f>R432+IF(AND($E433&lt;&gt;"",$E433&lt;=R$2,$F433&gt;=R$2),1,0)</f>
        <v/>
      </c>
      <c r="S433">
        <f>S432+IF(AND($E433&lt;&gt;"",$E433&lt;=S$2,$F433&gt;=S$2),1,0)</f>
        <v/>
      </c>
      <c r="T433">
        <f>T432+IF(AND($E433&lt;&gt;"",$E433&lt;=T$2,$F433&gt;=T$2),1,0)</f>
        <v/>
      </c>
      <c r="U433">
        <f>U432+IF(AND($E433&lt;&gt;"",$E433&lt;=U$2,$F433&gt;=U$2),1,0)</f>
        <v/>
      </c>
      <c r="V433">
        <f>V432+IF(AND($E433&lt;&gt;"",$E433&lt;=V$2,$F433&gt;=V$2),1,0)</f>
        <v/>
      </c>
      <c r="W433">
        <f>W432+IF(AND($E433&lt;&gt;"",$E433&lt;=W$2,$F433&gt;=W$2),1,0)</f>
        <v/>
      </c>
      <c r="X433">
        <f>X432+IF(AND($E433&lt;&gt;"",$E433&lt;=X$2,$F433&gt;=X$2),1,0)</f>
        <v/>
      </c>
      <c r="Y433">
        <f>Y432+IF(AND($E433&lt;&gt;"",$E433&lt;=Y$2,$F433&gt;=Y$2),1,0)</f>
        <v/>
      </c>
      <c r="Z433">
        <f>Z432+IF(AND($E433&lt;&gt;"",$E433&lt;=Z$2,$F433&gt;=Z$2),1,0)</f>
        <v/>
      </c>
      <c r="AA433">
        <f>AA432+IF(AND($E433&lt;&gt;"",$E433&lt;=AA$2,$F433&gt;=AA$2),1,0)</f>
        <v/>
      </c>
      <c r="AB433">
        <f>AB432+IF(AND($E433&lt;&gt;"",$E433&lt;=AB$2,$F433&gt;=AB$2),1,0)</f>
        <v/>
      </c>
      <c r="AC433">
        <f>AC432+IF(AND($E433&lt;&gt;"",$E433&lt;=AC$2,$F433&gt;=AC$2),1,0)</f>
        <v/>
      </c>
      <c r="AD433">
        <f>AD432+IF(AND($E433&lt;&gt;"",$E433&lt;=AD$2,$F433&gt;=AD$2),1,0)</f>
        <v/>
      </c>
      <c r="AE433">
        <f>AE432+IF(AND($E433&lt;&gt;"",$E433&lt;=AE$2,$F433&gt;=AE$2),1,0)</f>
        <v/>
      </c>
      <c r="AF433">
        <f>AF432+IF(AND($E433&lt;&gt;"",$E433&lt;=AF$2,$F433&gt;=AF$2),1,0)</f>
        <v/>
      </c>
      <c r="AG433">
        <f>AG432+IF(AND($E433&lt;&gt;"",$E433&lt;=AG$2,$F433&gt;=AG$2),1,0)</f>
        <v/>
      </c>
      <c r="AH433">
        <f>AH432+IF(AND($E433&lt;&gt;"",$E433&lt;=AH$2,$F433&gt;=AH$2),1,0)</f>
        <v/>
      </c>
      <c r="AI433">
        <f>AI432+IF(AND($E433&lt;&gt;"",$E433&lt;=AI$2,$F433&gt;=AI$2),1,0)</f>
        <v/>
      </c>
      <c r="AJ433">
        <f>AJ432+IF(AND($E433&lt;&gt;"",$E433&lt;=AJ$2,$F433&gt;=AJ$2),1,0)</f>
        <v/>
      </c>
      <c r="AK433">
        <f>AK432+IF(AND($E433&lt;&gt;"",$E433&lt;=AK$2,$F433&gt;=AK$2),1,0)</f>
        <v/>
      </c>
      <c r="AL433">
        <f>AL432+IF(AND($E433&lt;&gt;"",$E433&lt;=AL$2,$F433&gt;=AL$2),1,0)</f>
        <v/>
      </c>
      <c r="AM433">
        <f>AM432+IF(AND($E433&lt;&gt;"",$E433&lt;=AM$2,$F433&gt;=AM$2),1,0)</f>
        <v/>
      </c>
      <c r="AN433">
        <f>AN432+IF(AND($E433&lt;&gt;"",$E433&lt;=AN$2,$F433&gt;=AN$2),1,0)</f>
        <v/>
      </c>
      <c r="AO433">
        <f>AO432+IF(AND($E433&lt;&gt;"",$E433&lt;=AO$2,$F433&gt;=AO$2),1,0)</f>
        <v/>
      </c>
      <c r="AP433">
        <f>AP432+IF(AND($E433&lt;&gt;"",$E433&lt;=AP$2,$F433&gt;=AP$2),1,0)</f>
        <v/>
      </c>
      <c r="AQ433">
        <f>AQ432+IF(AND($E433&lt;&gt;"",$E433&lt;=AQ$2,$F433&gt;=AQ$2),1,0)</f>
        <v/>
      </c>
      <c r="AR433">
        <f>AR432+IF(AND($E433&lt;&gt;"",$E433&lt;=AR$2,$F433&gt;=AR$2),1,0)</f>
        <v/>
      </c>
      <c r="AS433">
        <f>AS432+IF(AND($E433&lt;&gt;"",$E433&lt;=AS$2,$F433&gt;=AS$2),1,0)</f>
        <v/>
      </c>
      <c r="AT433">
        <f>AT432+IF(AND($E433&lt;&gt;"",$E433&lt;=AT$2,$F433&gt;=AT$2),1,0)</f>
        <v/>
      </c>
      <c r="AU433">
        <f>AU432+IF(AND($E433&lt;&gt;"",$E433&lt;=AU$2,$F433&gt;=AU$2),1,0)</f>
        <v/>
      </c>
      <c r="AV433">
        <f>AV432+IF(AND($E433&lt;&gt;"",$E433&lt;=AV$2,$F433&gt;=AV$2),1,0)</f>
        <v/>
      </c>
      <c r="AW433">
        <f>AW432+IF(AND($E433&lt;&gt;"",$E433&lt;=AW$2,$F433&gt;=AW$2),1,0)</f>
        <v/>
      </c>
    </row>
    <row r="434">
      <c r="A434">
        <f>IF(AND(ISNUMBER(Events!$A436),ISNUMBER(Events!$B436)),MAX(0,Events!$B436-Events!$A436),0)</f>
        <v/>
      </c>
      <c r="B434">
        <f>IF(ISNUMBER(Events!$A436),DATE(YEAR($B$1)-1,MONTH(Events!$A436),DAY(Events!$A436)),"")</f>
        <v/>
      </c>
      <c r="C434">
        <f>IF(ISNUMBER(Events!$A436),DATE(YEAR($B$1),MONTH(Events!$A436),DAY(Events!$A436)),"")</f>
        <v/>
      </c>
      <c r="D434">
        <f>IF(ISNUMBER(Events!$A436),DATE(YEAR($B$2),MONTH(Events!$A436),DAY(Events!$A436)),"")</f>
        <v/>
      </c>
      <c r="E434">
        <f>IF(OR(NOT(ISNUMBER(Events!$A436)),Events!$G436="No",Calendar!$H$4="None"),"",IF(OR(Calendar!$H$4="All events",Events!$D436=Calendar!$H$4),IF(Events!$E436="Yes",IF(AND(B434&gt;=Events!$A436,B434&lt;=$B$2,B434+$A434&gt;=$B$1),B434,IF(AND(C434&gt;=Events!$A436,C434&lt;=$B$2,C434+$A434&gt;=$B$1),C434,IF(AND(D434&gt;=Events!$A436,D434&lt;=$B$2,D434+$A434&gt;=$B$1),D434,""))),IF(AND(Events!$A436&lt;=$B$2,Events!$A436+$A434&gt;=$B$1),Events!$A436,"")),""))</f>
        <v/>
      </c>
      <c r="F434">
        <f>IF(E434="","",E434+A434)</f>
        <v/>
      </c>
      <c r="G434">
        <f>IF(E434="","",IF(AND(E434&lt;=EOMONTH(Calendar!$K$2,0),F434&gt;=Calendar!$K$2),E434+431/100000,""))</f>
        <v/>
      </c>
      <c r="H434">
        <f>H433+IF(AND($E434&lt;&gt;"",$E434&lt;=H$2,$F434&gt;=H$2),1,0)</f>
        <v/>
      </c>
      <c r="I434">
        <f>I433+IF(AND($E434&lt;&gt;"",$E434&lt;=I$2,$F434&gt;=I$2),1,0)</f>
        <v/>
      </c>
      <c r="J434">
        <f>J433+IF(AND($E434&lt;&gt;"",$E434&lt;=J$2,$F434&gt;=J$2),1,0)</f>
        <v/>
      </c>
      <c r="K434">
        <f>K433+IF(AND($E434&lt;&gt;"",$E434&lt;=K$2,$F434&gt;=K$2),1,0)</f>
        <v/>
      </c>
      <c r="L434">
        <f>L433+IF(AND($E434&lt;&gt;"",$E434&lt;=L$2,$F434&gt;=L$2),1,0)</f>
        <v/>
      </c>
      <c r="M434">
        <f>M433+IF(AND($E434&lt;&gt;"",$E434&lt;=M$2,$F434&gt;=M$2),1,0)</f>
        <v/>
      </c>
      <c r="N434">
        <f>N433+IF(AND($E434&lt;&gt;"",$E434&lt;=N$2,$F434&gt;=N$2),1,0)</f>
        <v/>
      </c>
      <c r="O434">
        <f>O433+IF(AND($E434&lt;&gt;"",$E434&lt;=O$2,$F434&gt;=O$2),1,0)</f>
        <v/>
      </c>
      <c r="P434">
        <f>P433+IF(AND($E434&lt;&gt;"",$E434&lt;=P$2,$F434&gt;=P$2),1,0)</f>
        <v/>
      </c>
      <c r="Q434">
        <f>Q433+IF(AND($E434&lt;&gt;"",$E434&lt;=Q$2,$F434&gt;=Q$2),1,0)</f>
        <v/>
      </c>
      <c r="R434">
        <f>R433+IF(AND($E434&lt;&gt;"",$E434&lt;=R$2,$F434&gt;=R$2),1,0)</f>
        <v/>
      </c>
      <c r="S434">
        <f>S433+IF(AND($E434&lt;&gt;"",$E434&lt;=S$2,$F434&gt;=S$2),1,0)</f>
        <v/>
      </c>
      <c r="T434">
        <f>T433+IF(AND($E434&lt;&gt;"",$E434&lt;=T$2,$F434&gt;=T$2),1,0)</f>
        <v/>
      </c>
      <c r="U434">
        <f>U433+IF(AND($E434&lt;&gt;"",$E434&lt;=U$2,$F434&gt;=U$2),1,0)</f>
        <v/>
      </c>
      <c r="V434">
        <f>V433+IF(AND($E434&lt;&gt;"",$E434&lt;=V$2,$F434&gt;=V$2),1,0)</f>
        <v/>
      </c>
      <c r="W434">
        <f>W433+IF(AND($E434&lt;&gt;"",$E434&lt;=W$2,$F434&gt;=W$2),1,0)</f>
        <v/>
      </c>
      <c r="X434">
        <f>X433+IF(AND($E434&lt;&gt;"",$E434&lt;=X$2,$F434&gt;=X$2),1,0)</f>
        <v/>
      </c>
      <c r="Y434">
        <f>Y433+IF(AND($E434&lt;&gt;"",$E434&lt;=Y$2,$F434&gt;=Y$2),1,0)</f>
        <v/>
      </c>
      <c r="Z434">
        <f>Z433+IF(AND($E434&lt;&gt;"",$E434&lt;=Z$2,$F434&gt;=Z$2),1,0)</f>
        <v/>
      </c>
      <c r="AA434">
        <f>AA433+IF(AND($E434&lt;&gt;"",$E434&lt;=AA$2,$F434&gt;=AA$2),1,0)</f>
        <v/>
      </c>
      <c r="AB434">
        <f>AB433+IF(AND($E434&lt;&gt;"",$E434&lt;=AB$2,$F434&gt;=AB$2),1,0)</f>
        <v/>
      </c>
      <c r="AC434">
        <f>AC433+IF(AND($E434&lt;&gt;"",$E434&lt;=AC$2,$F434&gt;=AC$2),1,0)</f>
        <v/>
      </c>
      <c r="AD434">
        <f>AD433+IF(AND($E434&lt;&gt;"",$E434&lt;=AD$2,$F434&gt;=AD$2),1,0)</f>
        <v/>
      </c>
      <c r="AE434">
        <f>AE433+IF(AND($E434&lt;&gt;"",$E434&lt;=AE$2,$F434&gt;=AE$2),1,0)</f>
        <v/>
      </c>
      <c r="AF434">
        <f>AF433+IF(AND($E434&lt;&gt;"",$E434&lt;=AF$2,$F434&gt;=AF$2),1,0)</f>
        <v/>
      </c>
      <c r="AG434">
        <f>AG433+IF(AND($E434&lt;&gt;"",$E434&lt;=AG$2,$F434&gt;=AG$2),1,0)</f>
        <v/>
      </c>
      <c r="AH434">
        <f>AH433+IF(AND($E434&lt;&gt;"",$E434&lt;=AH$2,$F434&gt;=AH$2),1,0)</f>
        <v/>
      </c>
      <c r="AI434">
        <f>AI433+IF(AND($E434&lt;&gt;"",$E434&lt;=AI$2,$F434&gt;=AI$2),1,0)</f>
        <v/>
      </c>
      <c r="AJ434">
        <f>AJ433+IF(AND($E434&lt;&gt;"",$E434&lt;=AJ$2,$F434&gt;=AJ$2),1,0)</f>
        <v/>
      </c>
      <c r="AK434">
        <f>AK433+IF(AND($E434&lt;&gt;"",$E434&lt;=AK$2,$F434&gt;=AK$2),1,0)</f>
        <v/>
      </c>
      <c r="AL434">
        <f>AL433+IF(AND($E434&lt;&gt;"",$E434&lt;=AL$2,$F434&gt;=AL$2),1,0)</f>
        <v/>
      </c>
      <c r="AM434">
        <f>AM433+IF(AND($E434&lt;&gt;"",$E434&lt;=AM$2,$F434&gt;=AM$2),1,0)</f>
        <v/>
      </c>
      <c r="AN434">
        <f>AN433+IF(AND($E434&lt;&gt;"",$E434&lt;=AN$2,$F434&gt;=AN$2),1,0)</f>
        <v/>
      </c>
      <c r="AO434">
        <f>AO433+IF(AND($E434&lt;&gt;"",$E434&lt;=AO$2,$F434&gt;=AO$2),1,0)</f>
        <v/>
      </c>
      <c r="AP434">
        <f>AP433+IF(AND($E434&lt;&gt;"",$E434&lt;=AP$2,$F434&gt;=AP$2),1,0)</f>
        <v/>
      </c>
      <c r="AQ434">
        <f>AQ433+IF(AND($E434&lt;&gt;"",$E434&lt;=AQ$2,$F434&gt;=AQ$2),1,0)</f>
        <v/>
      </c>
      <c r="AR434">
        <f>AR433+IF(AND($E434&lt;&gt;"",$E434&lt;=AR$2,$F434&gt;=AR$2),1,0)</f>
        <v/>
      </c>
      <c r="AS434">
        <f>AS433+IF(AND($E434&lt;&gt;"",$E434&lt;=AS$2,$F434&gt;=AS$2),1,0)</f>
        <v/>
      </c>
      <c r="AT434">
        <f>AT433+IF(AND($E434&lt;&gt;"",$E434&lt;=AT$2,$F434&gt;=AT$2),1,0)</f>
        <v/>
      </c>
      <c r="AU434">
        <f>AU433+IF(AND($E434&lt;&gt;"",$E434&lt;=AU$2,$F434&gt;=AU$2),1,0)</f>
        <v/>
      </c>
      <c r="AV434">
        <f>AV433+IF(AND($E434&lt;&gt;"",$E434&lt;=AV$2,$F434&gt;=AV$2),1,0)</f>
        <v/>
      </c>
      <c r="AW434">
        <f>AW433+IF(AND($E434&lt;&gt;"",$E434&lt;=AW$2,$F434&gt;=AW$2),1,0)</f>
        <v/>
      </c>
    </row>
    <row r="435">
      <c r="A435">
        <f>IF(AND(ISNUMBER(Events!$A437),ISNUMBER(Events!$B437)),MAX(0,Events!$B437-Events!$A437),0)</f>
        <v/>
      </c>
      <c r="B435">
        <f>IF(ISNUMBER(Events!$A437),DATE(YEAR($B$1)-1,MONTH(Events!$A437),DAY(Events!$A437)),"")</f>
        <v/>
      </c>
      <c r="C435">
        <f>IF(ISNUMBER(Events!$A437),DATE(YEAR($B$1),MONTH(Events!$A437),DAY(Events!$A437)),"")</f>
        <v/>
      </c>
      <c r="D435">
        <f>IF(ISNUMBER(Events!$A437),DATE(YEAR($B$2),MONTH(Events!$A437),DAY(Events!$A437)),"")</f>
        <v/>
      </c>
      <c r="E435">
        <f>IF(OR(NOT(ISNUMBER(Events!$A437)),Events!$G437="No",Calendar!$H$4="None"),"",IF(OR(Calendar!$H$4="All events",Events!$D437=Calendar!$H$4),IF(Events!$E437="Yes",IF(AND(B435&gt;=Events!$A437,B435&lt;=$B$2,B435+$A435&gt;=$B$1),B435,IF(AND(C435&gt;=Events!$A437,C435&lt;=$B$2,C435+$A435&gt;=$B$1),C435,IF(AND(D435&gt;=Events!$A437,D435&lt;=$B$2,D435+$A435&gt;=$B$1),D435,""))),IF(AND(Events!$A437&lt;=$B$2,Events!$A437+$A435&gt;=$B$1),Events!$A437,"")),""))</f>
        <v/>
      </c>
      <c r="F435">
        <f>IF(E435="","",E435+A435)</f>
        <v/>
      </c>
      <c r="G435">
        <f>IF(E435="","",IF(AND(E435&lt;=EOMONTH(Calendar!$K$2,0),F435&gt;=Calendar!$K$2),E435+432/100000,""))</f>
        <v/>
      </c>
      <c r="H435">
        <f>H434+IF(AND($E435&lt;&gt;"",$E435&lt;=H$2,$F435&gt;=H$2),1,0)</f>
        <v/>
      </c>
      <c r="I435">
        <f>I434+IF(AND($E435&lt;&gt;"",$E435&lt;=I$2,$F435&gt;=I$2),1,0)</f>
        <v/>
      </c>
      <c r="J435">
        <f>J434+IF(AND($E435&lt;&gt;"",$E435&lt;=J$2,$F435&gt;=J$2),1,0)</f>
        <v/>
      </c>
      <c r="K435">
        <f>K434+IF(AND($E435&lt;&gt;"",$E435&lt;=K$2,$F435&gt;=K$2),1,0)</f>
        <v/>
      </c>
      <c r="L435">
        <f>L434+IF(AND($E435&lt;&gt;"",$E435&lt;=L$2,$F435&gt;=L$2),1,0)</f>
        <v/>
      </c>
      <c r="M435">
        <f>M434+IF(AND($E435&lt;&gt;"",$E435&lt;=M$2,$F435&gt;=M$2),1,0)</f>
        <v/>
      </c>
      <c r="N435">
        <f>N434+IF(AND($E435&lt;&gt;"",$E435&lt;=N$2,$F435&gt;=N$2),1,0)</f>
        <v/>
      </c>
      <c r="O435">
        <f>O434+IF(AND($E435&lt;&gt;"",$E435&lt;=O$2,$F435&gt;=O$2),1,0)</f>
        <v/>
      </c>
      <c r="P435">
        <f>P434+IF(AND($E435&lt;&gt;"",$E435&lt;=P$2,$F435&gt;=P$2),1,0)</f>
        <v/>
      </c>
      <c r="Q435">
        <f>Q434+IF(AND($E435&lt;&gt;"",$E435&lt;=Q$2,$F435&gt;=Q$2),1,0)</f>
        <v/>
      </c>
      <c r="R435">
        <f>R434+IF(AND($E435&lt;&gt;"",$E435&lt;=R$2,$F435&gt;=R$2),1,0)</f>
        <v/>
      </c>
      <c r="S435">
        <f>S434+IF(AND($E435&lt;&gt;"",$E435&lt;=S$2,$F435&gt;=S$2),1,0)</f>
        <v/>
      </c>
      <c r="T435">
        <f>T434+IF(AND($E435&lt;&gt;"",$E435&lt;=T$2,$F435&gt;=T$2),1,0)</f>
        <v/>
      </c>
      <c r="U435">
        <f>U434+IF(AND($E435&lt;&gt;"",$E435&lt;=U$2,$F435&gt;=U$2),1,0)</f>
        <v/>
      </c>
      <c r="V435">
        <f>V434+IF(AND($E435&lt;&gt;"",$E435&lt;=V$2,$F435&gt;=V$2),1,0)</f>
        <v/>
      </c>
      <c r="W435">
        <f>W434+IF(AND($E435&lt;&gt;"",$E435&lt;=W$2,$F435&gt;=W$2),1,0)</f>
        <v/>
      </c>
      <c r="X435">
        <f>X434+IF(AND($E435&lt;&gt;"",$E435&lt;=X$2,$F435&gt;=X$2),1,0)</f>
        <v/>
      </c>
      <c r="Y435">
        <f>Y434+IF(AND($E435&lt;&gt;"",$E435&lt;=Y$2,$F435&gt;=Y$2),1,0)</f>
        <v/>
      </c>
      <c r="Z435">
        <f>Z434+IF(AND($E435&lt;&gt;"",$E435&lt;=Z$2,$F435&gt;=Z$2),1,0)</f>
        <v/>
      </c>
      <c r="AA435">
        <f>AA434+IF(AND($E435&lt;&gt;"",$E435&lt;=AA$2,$F435&gt;=AA$2),1,0)</f>
        <v/>
      </c>
      <c r="AB435">
        <f>AB434+IF(AND($E435&lt;&gt;"",$E435&lt;=AB$2,$F435&gt;=AB$2),1,0)</f>
        <v/>
      </c>
      <c r="AC435">
        <f>AC434+IF(AND($E435&lt;&gt;"",$E435&lt;=AC$2,$F435&gt;=AC$2),1,0)</f>
        <v/>
      </c>
      <c r="AD435">
        <f>AD434+IF(AND($E435&lt;&gt;"",$E435&lt;=AD$2,$F435&gt;=AD$2),1,0)</f>
        <v/>
      </c>
      <c r="AE435">
        <f>AE434+IF(AND($E435&lt;&gt;"",$E435&lt;=AE$2,$F435&gt;=AE$2),1,0)</f>
        <v/>
      </c>
      <c r="AF435">
        <f>AF434+IF(AND($E435&lt;&gt;"",$E435&lt;=AF$2,$F435&gt;=AF$2),1,0)</f>
        <v/>
      </c>
      <c r="AG435">
        <f>AG434+IF(AND($E435&lt;&gt;"",$E435&lt;=AG$2,$F435&gt;=AG$2),1,0)</f>
        <v/>
      </c>
      <c r="AH435">
        <f>AH434+IF(AND($E435&lt;&gt;"",$E435&lt;=AH$2,$F435&gt;=AH$2),1,0)</f>
        <v/>
      </c>
      <c r="AI435">
        <f>AI434+IF(AND($E435&lt;&gt;"",$E435&lt;=AI$2,$F435&gt;=AI$2),1,0)</f>
        <v/>
      </c>
      <c r="AJ435">
        <f>AJ434+IF(AND($E435&lt;&gt;"",$E435&lt;=AJ$2,$F435&gt;=AJ$2),1,0)</f>
        <v/>
      </c>
      <c r="AK435">
        <f>AK434+IF(AND($E435&lt;&gt;"",$E435&lt;=AK$2,$F435&gt;=AK$2),1,0)</f>
        <v/>
      </c>
      <c r="AL435">
        <f>AL434+IF(AND($E435&lt;&gt;"",$E435&lt;=AL$2,$F435&gt;=AL$2),1,0)</f>
        <v/>
      </c>
      <c r="AM435">
        <f>AM434+IF(AND($E435&lt;&gt;"",$E435&lt;=AM$2,$F435&gt;=AM$2),1,0)</f>
        <v/>
      </c>
      <c r="AN435">
        <f>AN434+IF(AND($E435&lt;&gt;"",$E435&lt;=AN$2,$F435&gt;=AN$2),1,0)</f>
        <v/>
      </c>
      <c r="AO435">
        <f>AO434+IF(AND($E435&lt;&gt;"",$E435&lt;=AO$2,$F435&gt;=AO$2),1,0)</f>
        <v/>
      </c>
      <c r="AP435">
        <f>AP434+IF(AND($E435&lt;&gt;"",$E435&lt;=AP$2,$F435&gt;=AP$2),1,0)</f>
        <v/>
      </c>
      <c r="AQ435">
        <f>AQ434+IF(AND($E435&lt;&gt;"",$E435&lt;=AQ$2,$F435&gt;=AQ$2),1,0)</f>
        <v/>
      </c>
      <c r="AR435">
        <f>AR434+IF(AND($E435&lt;&gt;"",$E435&lt;=AR$2,$F435&gt;=AR$2),1,0)</f>
        <v/>
      </c>
      <c r="AS435">
        <f>AS434+IF(AND($E435&lt;&gt;"",$E435&lt;=AS$2,$F435&gt;=AS$2),1,0)</f>
        <v/>
      </c>
      <c r="AT435">
        <f>AT434+IF(AND($E435&lt;&gt;"",$E435&lt;=AT$2,$F435&gt;=AT$2),1,0)</f>
        <v/>
      </c>
      <c r="AU435">
        <f>AU434+IF(AND($E435&lt;&gt;"",$E435&lt;=AU$2,$F435&gt;=AU$2),1,0)</f>
        <v/>
      </c>
      <c r="AV435">
        <f>AV434+IF(AND($E435&lt;&gt;"",$E435&lt;=AV$2,$F435&gt;=AV$2),1,0)</f>
        <v/>
      </c>
      <c r="AW435">
        <f>AW434+IF(AND($E435&lt;&gt;"",$E435&lt;=AW$2,$F435&gt;=AW$2),1,0)</f>
        <v/>
      </c>
    </row>
    <row r="436">
      <c r="A436">
        <f>IF(AND(ISNUMBER(Events!$A438),ISNUMBER(Events!$B438)),MAX(0,Events!$B438-Events!$A438),0)</f>
        <v/>
      </c>
      <c r="B436">
        <f>IF(ISNUMBER(Events!$A438),DATE(YEAR($B$1)-1,MONTH(Events!$A438),DAY(Events!$A438)),"")</f>
        <v/>
      </c>
      <c r="C436">
        <f>IF(ISNUMBER(Events!$A438),DATE(YEAR($B$1),MONTH(Events!$A438),DAY(Events!$A438)),"")</f>
        <v/>
      </c>
      <c r="D436">
        <f>IF(ISNUMBER(Events!$A438),DATE(YEAR($B$2),MONTH(Events!$A438),DAY(Events!$A438)),"")</f>
        <v/>
      </c>
      <c r="E436">
        <f>IF(OR(NOT(ISNUMBER(Events!$A438)),Events!$G438="No",Calendar!$H$4="None"),"",IF(OR(Calendar!$H$4="All events",Events!$D438=Calendar!$H$4),IF(Events!$E438="Yes",IF(AND(B436&gt;=Events!$A438,B436&lt;=$B$2,B436+$A436&gt;=$B$1),B436,IF(AND(C436&gt;=Events!$A438,C436&lt;=$B$2,C436+$A436&gt;=$B$1),C436,IF(AND(D436&gt;=Events!$A438,D436&lt;=$B$2,D436+$A436&gt;=$B$1),D436,""))),IF(AND(Events!$A438&lt;=$B$2,Events!$A438+$A436&gt;=$B$1),Events!$A438,"")),""))</f>
        <v/>
      </c>
      <c r="F436">
        <f>IF(E436="","",E436+A436)</f>
        <v/>
      </c>
      <c r="G436">
        <f>IF(E436="","",IF(AND(E436&lt;=EOMONTH(Calendar!$K$2,0),F436&gt;=Calendar!$K$2),E436+433/100000,""))</f>
        <v/>
      </c>
      <c r="H436">
        <f>H435+IF(AND($E436&lt;&gt;"",$E436&lt;=H$2,$F436&gt;=H$2),1,0)</f>
        <v/>
      </c>
      <c r="I436">
        <f>I435+IF(AND($E436&lt;&gt;"",$E436&lt;=I$2,$F436&gt;=I$2),1,0)</f>
        <v/>
      </c>
      <c r="J436">
        <f>J435+IF(AND($E436&lt;&gt;"",$E436&lt;=J$2,$F436&gt;=J$2),1,0)</f>
        <v/>
      </c>
      <c r="K436">
        <f>K435+IF(AND($E436&lt;&gt;"",$E436&lt;=K$2,$F436&gt;=K$2),1,0)</f>
        <v/>
      </c>
      <c r="L436">
        <f>L435+IF(AND($E436&lt;&gt;"",$E436&lt;=L$2,$F436&gt;=L$2),1,0)</f>
        <v/>
      </c>
      <c r="M436">
        <f>M435+IF(AND($E436&lt;&gt;"",$E436&lt;=M$2,$F436&gt;=M$2),1,0)</f>
        <v/>
      </c>
      <c r="N436">
        <f>N435+IF(AND($E436&lt;&gt;"",$E436&lt;=N$2,$F436&gt;=N$2),1,0)</f>
        <v/>
      </c>
      <c r="O436">
        <f>O435+IF(AND($E436&lt;&gt;"",$E436&lt;=O$2,$F436&gt;=O$2),1,0)</f>
        <v/>
      </c>
      <c r="P436">
        <f>P435+IF(AND($E436&lt;&gt;"",$E436&lt;=P$2,$F436&gt;=P$2),1,0)</f>
        <v/>
      </c>
      <c r="Q436">
        <f>Q435+IF(AND($E436&lt;&gt;"",$E436&lt;=Q$2,$F436&gt;=Q$2),1,0)</f>
        <v/>
      </c>
      <c r="R436">
        <f>R435+IF(AND($E436&lt;&gt;"",$E436&lt;=R$2,$F436&gt;=R$2),1,0)</f>
        <v/>
      </c>
      <c r="S436">
        <f>S435+IF(AND($E436&lt;&gt;"",$E436&lt;=S$2,$F436&gt;=S$2),1,0)</f>
        <v/>
      </c>
      <c r="T436">
        <f>T435+IF(AND($E436&lt;&gt;"",$E436&lt;=T$2,$F436&gt;=T$2),1,0)</f>
        <v/>
      </c>
      <c r="U436">
        <f>U435+IF(AND($E436&lt;&gt;"",$E436&lt;=U$2,$F436&gt;=U$2),1,0)</f>
        <v/>
      </c>
      <c r="V436">
        <f>V435+IF(AND($E436&lt;&gt;"",$E436&lt;=V$2,$F436&gt;=V$2),1,0)</f>
        <v/>
      </c>
      <c r="W436">
        <f>W435+IF(AND($E436&lt;&gt;"",$E436&lt;=W$2,$F436&gt;=W$2),1,0)</f>
        <v/>
      </c>
      <c r="X436">
        <f>X435+IF(AND($E436&lt;&gt;"",$E436&lt;=X$2,$F436&gt;=X$2),1,0)</f>
        <v/>
      </c>
      <c r="Y436">
        <f>Y435+IF(AND($E436&lt;&gt;"",$E436&lt;=Y$2,$F436&gt;=Y$2),1,0)</f>
        <v/>
      </c>
      <c r="Z436">
        <f>Z435+IF(AND($E436&lt;&gt;"",$E436&lt;=Z$2,$F436&gt;=Z$2),1,0)</f>
        <v/>
      </c>
      <c r="AA436">
        <f>AA435+IF(AND($E436&lt;&gt;"",$E436&lt;=AA$2,$F436&gt;=AA$2),1,0)</f>
        <v/>
      </c>
      <c r="AB436">
        <f>AB435+IF(AND($E436&lt;&gt;"",$E436&lt;=AB$2,$F436&gt;=AB$2),1,0)</f>
        <v/>
      </c>
      <c r="AC436">
        <f>AC435+IF(AND($E436&lt;&gt;"",$E436&lt;=AC$2,$F436&gt;=AC$2),1,0)</f>
        <v/>
      </c>
      <c r="AD436">
        <f>AD435+IF(AND($E436&lt;&gt;"",$E436&lt;=AD$2,$F436&gt;=AD$2),1,0)</f>
        <v/>
      </c>
      <c r="AE436">
        <f>AE435+IF(AND($E436&lt;&gt;"",$E436&lt;=AE$2,$F436&gt;=AE$2),1,0)</f>
        <v/>
      </c>
      <c r="AF436">
        <f>AF435+IF(AND($E436&lt;&gt;"",$E436&lt;=AF$2,$F436&gt;=AF$2),1,0)</f>
        <v/>
      </c>
      <c r="AG436">
        <f>AG435+IF(AND($E436&lt;&gt;"",$E436&lt;=AG$2,$F436&gt;=AG$2),1,0)</f>
        <v/>
      </c>
      <c r="AH436">
        <f>AH435+IF(AND($E436&lt;&gt;"",$E436&lt;=AH$2,$F436&gt;=AH$2),1,0)</f>
        <v/>
      </c>
      <c r="AI436">
        <f>AI435+IF(AND($E436&lt;&gt;"",$E436&lt;=AI$2,$F436&gt;=AI$2),1,0)</f>
        <v/>
      </c>
      <c r="AJ436">
        <f>AJ435+IF(AND($E436&lt;&gt;"",$E436&lt;=AJ$2,$F436&gt;=AJ$2),1,0)</f>
        <v/>
      </c>
      <c r="AK436">
        <f>AK435+IF(AND($E436&lt;&gt;"",$E436&lt;=AK$2,$F436&gt;=AK$2),1,0)</f>
        <v/>
      </c>
      <c r="AL436">
        <f>AL435+IF(AND($E436&lt;&gt;"",$E436&lt;=AL$2,$F436&gt;=AL$2),1,0)</f>
        <v/>
      </c>
      <c r="AM436">
        <f>AM435+IF(AND($E436&lt;&gt;"",$E436&lt;=AM$2,$F436&gt;=AM$2),1,0)</f>
        <v/>
      </c>
      <c r="AN436">
        <f>AN435+IF(AND($E436&lt;&gt;"",$E436&lt;=AN$2,$F436&gt;=AN$2),1,0)</f>
        <v/>
      </c>
      <c r="AO436">
        <f>AO435+IF(AND($E436&lt;&gt;"",$E436&lt;=AO$2,$F436&gt;=AO$2),1,0)</f>
        <v/>
      </c>
      <c r="AP436">
        <f>AP435+IF(AND($E436&lt;&gt;"",$E436&lt;=AP$2,$F436&gt;=AP$2),1,0)</f>
        <v/>
      </c>
      <c r="AQ436">
        <f>AQ435+IF(AND($E436&lt;&gt;"",$E436&lt;=AQ$2,$F436&gt;=AQ$2),1,0)</f>
        <v/>
      </c>
      <c r="AR436">
        <f>AR435+IF(AND($E436&lt;&gt;"",$E436&lt;=AR$2,$F436&gt;=AR$2),1,0)</f>
        <v/>
      </c>
      <c r="AS436">
        <f>AS435+IF(AND($E436&lt;&gt;"",$E436&lt;=AS$2,$F436&gt;=AS$2),1,0)</f>
        <v/>
      </c>
      <c r="AT436">
        <f>AT435+IF(AND($E436&lt;&gt;"",$E436&lt;=AT$2,$F436&gt;=AT$2),1,0)</f>
        <v/>
      </c>
      <c r="AU436">
        <f>AU435+IF(AND($E436&lt;&gt;"",$E436&lt;=AU$2,$F436&gt;=AU$2),1,0)</f>
        <v/>
      </c>
      <c r="AV436">
        <f>AV435+IF(AND($E436&lt;&gt;"",$E436&lt;=AV$2,$F436&gt;=AV$2),1,0)</f>
        <v/>
      </c>
      <c r="AW436">
        <f>AW435+IF(AND($E436&lt;&gt;"",$E436&lt;=AW$2,$F436&gt;=AW$2),1,0)</f>
        <v/>
      </c>
    </row>
    <row r="437">
      <c r="A437">
        <f>IF(AND(ISNUMBER(Events!$A439),ISNUMBER(Events!$B439)),MAX(0,Events!$B439-Events!$A439),0)</f>
        <v/>
      </c>
      <c r="B437">
        <f>IF(ISNUMBER(Events!$A439),DATE(YEAR($B$1)-1,MONTH(Events!$A439),DAY(Events!$A439)),"")</f>
        <v/>
      </c>
      <c r="C437">
        <f>IF(ISNUMBER(Events!$A439),DATE(YEAR($B$1),MONTH(Events!$A439),DAY(Events!$A439)),"")</f>
        <v/>
      </c>
      <c r="D437">
        <f>IF(ISNUMBER(Events!$A439),DATE(YEAR($B$2),MONTH(Events!$A439),DAY(Events!$A439)),"")</f>
        <v/>
      </c>
      <c r="E437">
        <f>IF(OR(NOT(ISNUMBER(Events!$A439)),Events!$G439="No",Calendar!$H$4="None"),"",IF(OR(Calendar!$H$4="All events",Events!$D439=Calendar!$H$4),IF(Events!$E439="Yes",IF(AND(B437&gt;=Events!$A439,B437&lt;=$B$2,B437+$A437&gt;=$B$1),B437,IF(AND(C437&gt;=Events!$A439,C437&lt;=$B$2,C437+$A437&gt;=$B$1),C437,IF(AND(D437&gt;=Events!$A439,D437&lt;=$B$2,D437+$A437&gt;=$B$1),D437,""))),IF(AND(Events!$A439&lt;=$B$2,Events!$A439+$A437&gt;=$B$1),Events!$A439,"")),""))</f>
        <v/>
      </c>
      <c r="F437">
        <f>IF(E437="","",E437+A437)</f>
        <v/>
      </c>
      <c r="G437">
        <f>IF(E437="","",IF(AND(E437&lt;=EOMONTH(Calendar!$K$2,0),F437&gt;=Calendar!$K$2),E437+434/100000,""))</f>
        <v/>
      </c>
      <c r="H437">
        <f>H436+IF(AND($E437&lt;&gt;"",$E437&lt;=H$2,$F437&gt;=H$2),1,0)</f>
        <v/>
      </c>
      <c r="I437">
        <f>I436+IF(AND($E437&lt;&gt;"",$E437&lt;=I$2,$F437&gt;=I$2),1,0)</f>
        <v/>
      </c>
      <c r="J437">
        <f>J436+IF(AND($E437&lt;&gt;"",$E437&lt;=J$2,$F437&gt;=J$2),1,0)</f>
        <v/>
      </c>
      <c r="K437">
        <f>K436+IF(AND($E437&lt;&gt;"",$E437&lt;=K$2,$F437&gt;=K$2),1,0)</f>
        <v/>
      </c>
      <c r="L437">
        <f>L436+IF(AND($E437&lt;&gt;"",$E437&lt;=L$2,$F437&gt;=L$2),1,0)</f>
        <v/>
      </c>
      <c r="M437">
        <f>M436+IF(AND($E437&lt;&gt;"",$E437&lt;=M$2,$F437&gt;=M$2),1,0)</f>
        <v/>
      </c>
      <c r="N437">
        <f>N436+IF(AND($E437&lt;&gt;"",$E437&lt;=N$2,$F437&gt;=N$2),1,0)</f>
        <v/>
      </c>
      <c r="O437">
        <f>O436+IF(AND($E437&lt;&gt;"",$E437&lt;=O$2,$F437&gt;=O$2),1,0)</f>
        <v/>
      </c>
      <c r="P437">
        <f>P436+IF(AND($E437&lt;&gt;"",$E437&lt;=P$2,$F437&gt;=P$2),1,0)</f>
        <v/>
      </c>
      <c r="Q437">
        <f>Q436+IF(AND($E437&lt;&gt;"",$E437&lt;=Q$2,$F437&gt;=Q$2),1,0)</f>
        <v/>
      </c>
      <c r="R437">
        <f>R436+IF(AND($E437&lt;&gt;"",$E437&lt;=R$2,$F437&gt;=R$2),1,0)</f>
        <v/>
      </c>
      <c r="S437">
        <f>S436+IF(AND($E437&lt;&gt;"",$E437&lt;=S$2,$F437&gt;=S$2),1,0)</f>
        <v/>
      </c>
      <c r="T437">
        <f>T436+IF(AND($E437&lt;&gt;"",$E437&lt;=T$2,$F437&gt;=T$2),1,0)</f>
        <v/>
      </c>
      <c r="U437">
        <f>U436+IF(AND($E437&lt;&gt;"",$E437&lt;=U$2,$F437&gt;=U$2),1,0)</f>
        <v/>
      </c>
      <c r="V437">
        <f>V436+IF(AND($E437&lt;&gt;"",$E437&lt;=V$2,$F437&gt;=V$2),1,0)</f>
        <v/>
      </c>
      <c r="W437">
        <f>W436+IF(AND($E437&lt;&gt;"",$E437&lt;=W$2,$F437&gt;=W$2),1,0)</f>
        <v/>
      </c>
      <c r="X437">
        <f>X436+IF(AND($E437&lt;&gt;"",$E437&lt;=X$2,$F437&gt;=X$2),1,0)</f>
        <v/>
      </c>
      <c r="Y437">
        <f>Y436+IF(AND($E437&lt;&gt;"",$E437&lt;=Y$2,$F437&gt;=Y$2),1,0)</f>
        <v/>
      </c>
      <c r="Z437">
        <f>Z436+IF(AND($E437&lt;&gt;"",$E437&lt;=Z$2,$F437&gt;=Z$2),1,0)</f>
        <v/>
      </c>
      <c r="AA437">
        <f>AA436+IF(AND($E437&lt;&gt;"",$E437&lt;=AA$2,$F437&gt;=AA$2),1,0)</f>
        <v/>
      </c>
      <c r="AB437">
        <f>AB436+IF(AND($E437&lt;&gt;"",$E437&lt;=AB$2,$F437&gt;=AB$2),1,0)</f>
        <v/>
      </c>
      <c r="AC437">
        <f>AC436+IF(AND($E437&lt;&gt;"",$E437&lt;=AC$2,$F437&gt;=AC$2),1,0)</f>
        <v/>
      </c>
      <c r="AD437">
        <f>AD436+IF(AND($E437&lt;&gt;"",$E437&lt;=AD$2,$F437&gt;=AD$2),1,0)</f>
        <v/>
      </c>
      <c r="AE437">
        <f>AE436+IF(AND($E437&lt;&gt;"",$E437&lt;=AE$2,$F437&gt;=AE$2),1,0)</f>
        <v/>
      </c>
      <c r="AF437">
        <f>AF436+IF(AND($E437&lt;&gt;"",$E437&lt;=AF$2,$F437&gt;=AF$2),1,0)</f>
        <v/>
      </c>
      <c r="AG437">
        <f>AG436+IF(AND($E437&lt;&gt;"",$E437&lt;=AG$2,$F437&gt;=AG$2),1,0)</f>
        <v/>
      </c>
      <c r="AH437">
        <f>AH436+IF(AND($E437&lt;&gt;"",$E437&lt;=AH$2,$F437&gt;=AH$2),1,0)</f>
        <v/>
      </c>
      <c r="AI437">
        <f>AI436+IF(AND($E437&lt;&gt;"",$E437&lt;=AI$2,$F437&gt;=AI$2),1,0)</f>
        <v/>
      </c>
      <c r="AJ437">
        <f>AJ436+IF(AND($E437&lt;&gt;"",$E437&lt;=AJ$2,$F437&gt;=AJ$2),1,0)</f>
        <v/>
      </c>
      <c r="AK437">
        <f>AK436+IF(AND($E437&lt;&gt;"",$E437&lt;=AK$2,$F437&gt;=AK$2),1,0)</f>
        <v/>
      </c>
      <c r="AL437">
        <f>AL436+IF(AND($E437&lt;&gt;"",$E437&lt;=AL$2,$F437&gt;=AL$2),1,0)</f>
        <v/>
      </c>
      <c r="AM437">
        <f>AM436+IF(AND($E437&lt;&gt;"",$E437&lt;=AM$2,$F437&gt;=AM$2),1,0)</f>
        <v/>
      </c>
      <c r="AN437">
        <f>AN436+IF(AND($E437&lt;&gt;"",$E437&lt;=AN$2,$F437&gt;=AN$2),1,0)</f>
        <v/>
      </c>
      <c r="AO437">
        <f>AO436+IF(AND($E437&lt;&gt;"",$E437&lt;=AO$2,$F437&gt;=AO$2),1,0)</f>
        <v/>
      </c>
      <c r="AP437">
        <f>AP436+IF(AND($E437&lt;&gt;"",$E437&lt;=AP$2,$F437&gt;=AP$2),1,0)</f>
        <v/>
      </c>
      <c r="AQ437">
        <f>AQ436+IF(AND($E437&lt;&gt;"",$E437&lt;=AQ$2,$F437&gt;=AQ$2),1,0)</f>
        <v/>
      </c>
      <c r="AR437">
        <f>AR436+IF(AND($E437&lt;&gt;"",$E437&lt;=AR$2,$F437&gt;=AR$2),1,0)</f>
        <v/>
      </c>
      <c r="AS437">
        <f>AS436+IF(AND($E437&lt;&gt;"",$E437&lt;=AS$2,$F437&gt;=AS$2),1,0)</f>
        <v/>
      </c>
      <c r="AT437">
        <f>AT436+IF(AND($E437&lt;&gt;"",$E437&lt;=AT$2,$F437&gt;=AT$2),1,0)</f>
        <v/>
      </c>
      <c r="AU437">
        <f>AU436+IF(AND($E437&lt;&gt;"",$E437&lt;=AU$2,$F437&gt;=AU$2),1,0)</f>
        <v/>
      </c>
      <c r="AV437">
        <f>AV436+IF(AND($E437&lt;&gt;"",$E437&lt;=AV$2,$F437&gt;=AV$2),1,0)</f>
        <v/>
      </c>
      <c r="AW437">
        <f>AW436+IF(AND($E437&lt;&gt;"",$E437&lt;=AW$2,$F437&gt;=AW$2),1,0)</f>
        <v/>
      </c>
    </row>
    <row r="438">
      <c r="A438">
        <f>IF(AND(ISNUMBER(Events!$A440),ISNUMBER(Events!$B440)),MAX(0,Events!$B440-Events!$A440),0)</f>
        <v/>
      </c>
      <c r="B438">
        <f>IF(ISNUMBER(Events!$A440),DATE(YEAR($B$1)-1,MONTH(Events!$A440),DAY(Events!$A440)),"")</f>
        <v/>
      </c>
      <c r="C438">
        <f>IF(ISNUMBER(Events!$A440),DATE(YEAR($B$1),MONTH(Events!$A440),DAY(Events!$A440)),"")</f>
        <v/>
      </c>
      <c r="D438">
        <f>IF(ISNUMBER(Events!$A440),DATE(YEAR($B$2),MONTH(Events!$A440),DAY(Events!$A440)),"")</f>
        <v/>
      </c>
      <c r="E438">
        <f>IF(OR(NOT(ISNUMBER(Events!$A440)),Events!$G440="No",Calendar!$H$4="None"),"",IF(OR(Calendar!$H$4="All events",Events!$D440=Calendar!$H$4),IF(Events!$E440="Yes",IF(AND(B438&gt;=Events!$A440,B438&lt;=$B$2,B438+$A438&gt;=$B$1),B438,IF(AND(C438&gt;=Events!$A440,C438&lt;=$B$2,C438+$A438&gt;=$B$1),C438,IF(AND(D438&gt;=Events!$A440,D438&lt;=$B$2,D438+$A438&gt;=$B$1),D438,""))),IF(AND(Events!$A440&lt;=$B$2,Events!$A440+$A438&gt;=$B$1),Events!$A440,"")),""))</f>
        <v/>
      </c>
      <c r="F438">
        <f>IF(E438="","",E438+A438)</f>
        <v/>
      </c>
      <c r="G438">
        <f>IF(E438="","",IF(AND(E438&lt;=EOMONTH(Calendar!$K$2,0),F438&gt;=Calendar!$K$2),E438+435/100000,""))</f>
        <v/>
      </c>
      <c r="H438">
        <f>H437+IF(AND($E438&lt;&gt;"",$E438&lt;=H$2,$F438&gt;=H$2),1,0)</f>
        <v/>
      </c>
      <c r="I438">
        <f>I437+IF(AND($E438&lt;&gt;"",$E438&lt;=I$2,$F438&gt;=I$2),1,0)</f>
        <v/>
      </c>
      <c r="J438">
        <f>J437+IF(AND($E438&lt;&gt;"",$E438&lt;=J$2,$F438&gt;=J$2),1,0)</f>
        <v/>
      </c>
      <c r="K438">
        <f>K437+IF(AND($E438&lt;&gt;"",$E438&lt;=K$2,$F438&gt;=K$2),1,0)</f>
        <v/>
      </c>
      <c r="L438">
        <f>L437+IF(AND($E438&lt;&gt;"",$E438&lt;=L$2,$F438&gt;=L$2),1,0)</f>
        <v/>
      </c>
      <c r="M438">
        <f>M437+IF(AND($E438&lt;&gt;"",$E438&lt;=M$2,$F438&gt;=M$2),1,0)</f>
        <v/>
      </c>
      <c r="N438">
        <f>N437+IF(AND($E438&lt;&gt;"",$E438&lt;=N$2,$F438&gt;=N$2),1,0)</f>
        <v/>
      </c>
      <c r="O438">
        <f>O437+IF(AND($E438&lt;&gt;"",$E438&lt;=O$2,$F438&gt;=O$2),1,0)</f>
        <v/>
      </c>
      <c r="P438">
        <f>P437+IF(AND($E438&lt;&gt;"",$E438&lt;=P$2,$F438&gt;=P$2),1,0)</f>
        <v/>
      </c>
      <c r="Q438">
        <f>Q437+IF(AND($E438&lt;&gt;"",$E438&lt;=Q$2,$F438&gt;=Q$2),1,0)</f>
        <v/>
      </c>
      <c r="R438">
        <f>R437+IF(AND($E438&lt;&gt;"",$E438&lt;=R$2,$F438&gt;=R$2),1,0)</f>
        <v/>
      </c>
      <c r="S438">
        <f>S437+IF(AND($E438&lt;&gt;"",$E438&lt;=S$2,$F438&gt;=S$2),1,0)</f>
        <v/>
      </c>
      <c r="T438">
        <f>T437+IF(AND($E438&lt;&gt;"",$E438&lt;=T$2,$F438&gt;=T$2),1,0)</f>
        <v/>
      </c>
      <c r="U438">
        <f>U437+IF(AND($E438&lt;&gt;"",$E438&lt;=U$2,$F438&gt;=U$2),1,0)</f>
        <v/>
      </c>
      <c r="V438">
        <f>V437+IF(AND($E438&lt;&gt;"",$E438&lt;=V$2,$F438&gt;=V$2),1,0)</f>
        <v/>
      </c>
      <c r="W438">
        <f>W437+IF(AND($E438&lt;&gt;"",$E438&lt;=W$2,$F438&gt;=W$2),1,0)</f>
        <v/>
      </c>
      <c r="X438">
        <f>X437+IF(AND($E438&lt;&gt;"",$E438&lt;=X$2,$F438&gt;=X$2),1,0)</f>
        <v/>
      </c>
      <c r="Y438">
        <f>Y437+IF(AND($E438&lt;&gt;"",$E438&lt;=Y$2,$F438&gt;=Y$2),1,0)</f>
        <v/>
      </c>
      <c r="Z438">
        <f>Z437+IF(AND($E438&lt;&gt;"",$E438&lt;=Z$2,$F438&gt;=Z$2),1,0)</f>
        <v/>
      </c>
      <c r="AA438">
        <f>AA437+IF(AND($E438&lt;&gt;"",$E438&lt;=AA$2,$F438&gt;=AA$2),1,0)</f>
        <v/>
      </c>
      <c r="AB438">
        <f>AB437+IF(AND($E438&lt;&gt;"",$E438&lt;=AB$2,$F438&gt;=AB$2),1,0)</f>
        <v/>
      </c>
      <c r="AC438">
        <f>AC437+IF(AND($E438&lt;&gt;"",$E438&lt;=AC$2,$F438&gt;=AC$2),1,0)</f>
        <v/>
      </c>
      <c r="AD438">
        <f>AD437+IF(AND($E438&lt;&gt;"",$E438&lt;=AD$2,$F438&gt;=AD$2),1,0)</f>
        <v/>
      </c>
      <c r="AE438">
        <f>AE437+IF(AND($E438&lt;&gt;"",$E438&lt;=AE$2,$F438&gt;=AE$2),1,0)</f>
        <v/>
      </c>
      <c r="AF438">
        <f>AF437+IF(AND($E438&lt;&gt;"",$E438&lt;=AF$2,$F438&gt;=AF$2),1,0)</f>
        <v/>
      </c>
      <c r="AG438">
        <f>AG437+IF(AND($E438&lt;&gt;"",$E438&lt;=AG$2,$F438&gt;=AG$2),1,0)</f>
        <v/>
      </c>
      <c r="AH438">
        <f>AH437+IF(AND($E438&lt;&gt;"",$E438&lt;=AH$2,$F438&gt;=AH$2),1,0)</f>
        <v/>
      </c>
      <c r="AI438">
        <f>AI437+IF(AND($E438&lt;&gt;"",$E438&lt;=AI$2,$F438&gt;=AI$2),1,0)</f>
        <v/>
      </c>
      <c r="AJ438">
        <f>AJ437+IF(AND($E438&lt;&gt;"",$E438&lt;=AJ$2,$F438&gt;=AJ$2),1,0)</f>
        <v/>
      </c>
      <c r="AK438">
        <f>AK437+IF(AND($E438&lt;&gt;"",$E438&lt;=AK$2,$F438&gt;=AK$2),1,0)</f>
        <v/>
      </c>
      <c r="AL438">
        <f>AL437+IF(AND($E438&lt;&gt;"",$E438&lt;=AL$2,$F438&gt;=AL$2),1,0)</f>
        <v/>
      </c>
      <c r="AM438">
        <f>AM437+IF(AND($E438&lt;&gt;"",$E438&lt;=AM$2,$F438&gt;=AM$2),1,0)</f>
        <v/>
      </c>
      <c r="AN438">
        <f>AN437+IF(AND($E438&lt;&gt;"",$E438&lt;=AN$2,$F438&gt;=AN$2),1,0)</f>
        <v/>
      </c>
      <c r="AO438">
        <f>AO437+IF(AND($E438&lt;&gt;"",$E438&lt;=AO$2,$F438&gt;=AO$2),1,0)</f>
        <v/>
      </c>
      <c r="AP438">
        <f>AP437+IF(AND($E438&lt;&gt;"",$E438&lt;=AP$2,$F438&gt;=AP$2),1,0)</f>
        <v/>
      </c>
      <c r="AQ438">
        <f>AQ437+IF(AND($E438&lt;&gt;"",$E438&lt;=AQ$2,$F438&gt;=AQ$2),1,0)</f>
        <v/>
      </c>
      <c r="AR438">
        <f>AR437+IF(AND($E438&lt;&gt;"",$E438&lt;=AR$2,$F438&gt;=AR$2),1,0)</f>
        <v/>
      </c>
      <c r="AS438">
        <f>AS437+IF(AND($E438&lt;&gt;"",$E438&lt;=AS$2,$F438&gt;=AS$2),1,0)</f>
        <v/>
      </c>
      <c r="AT438">
        <f>AT437+IF(AND($E438&lt;&gt;"",$E438&lt;=AT$2,$F438&gt;=AT$2),1,0)</f>
        <v/>
      </c>
      <c r="AU438">
        <f>AU437+IF(AND($E438&lt;&gt;"",$E438&lt;=AU$2,$F438&gt;=AU$2),1,0)</f>
        <v/>
      </c>
      <c r="AV438">
        <f>AV437+IF(AND($E438&lt;&gt;"",$E438&lt;=AV$2,$F438&gt;=AV$2),1,0)</f>
        <v/>
      </c>
      <c r="AW438">
        <f>AW437+IF(AND($E438&lt;&gt;"",$E438&lt;=AW$2,$F438&gt;=AW$2),1,0)</f>
        <v/>
      </c>
    </row>
    <row r="439">
      <c r="A439">
        <f>IF(AND(ISNUMBER(Events!$A441),ISNUMBER(Events!$B441)),MAX(0,Events!$B441-Events!$A441),0)</f>
        <v/>
      </c>
      <c r="B439">
        <f>IF(ISNUMBER(Events!$A441),DATE(YEAR($B$1)-1,MONTH(Events!$A441),DAY(Events!$A441)),"")</f>
        <v/>
      </c>
      <c r="C439">
        <f>IF(ISNUMBER(Events!$A441),DATE(YEAR($B$1),MONTH(Events!$A441),DAY(Events!$A441)),"")</f>
        <v/>
      </c>
      <c r="D439">
        <f>IF(ISNUMBER(Events!$A441),DATE(YEAR($B$2),MONTH(Events!$A441),DAY(Events!$A441)),"")</f>
        <v/>
      </c>
      <c r="E439">
        <f>IF(OR(NOT(ISNUMBER(Events!$A441)),Events!$G441="No",Calendar!$H$4="None"),"",IF(OR(Calendar!$H$4="All events",Events!$D441=Calendar!$H$4),IF(Events!$E441="Yes",IF(AND(B439&gt;=Events!$A441,B439&lt;=$B$2,B439+$A439&gt;=$B$1),B439,IF(AND(C439&gt;=Events!$A441,C439&lt;=$B$2,C439+$A439&gt;=$B$1),C439,IF(AND(D439&gt;=Events!$A441,D439&lt;=$B$2,D439+$A439&gt;=$B$1),D439,""))),IF(AND(Events!$A441&lt;=$B$2,Events!$A441+$A439&gt;=$B$1),Events!$A441,"")),""))</f>
        <v/>
      </c>
      <c r="F439">
        <f>IF(E439="","",E439+A439)</f>
        <v/>
      </c>
      <c r="G439">
        <f>IF(E439="","",IF(AND(E439&lt;=EOMONTH(Calendar!$K$2,0),F439&gt;=Calendar!$K$2),E439+436/100000,""))</f>
        <v/>
      </c>
      <c r="H439">
        <f>H438+IF(AND($E439&lt;&gt;"",$E439&lt;=H$2,$F439&gt;=H$2),1,0)</f>
        <v/>
      </c>
      <c r="I439">
        <f>I438+IF(AND($E439&lt;&gt;"",$E439&lt;=I$2,$F439&gt;=I$2),1,0)</f>
        <v/>
      </c>
      <c r="J439">
        <f>J438+IF(AND($E439&lt;&gt;"",$E439&lt;=J$2,$F439&gt;=J$2),1,0)</f>
        <v/>
      </c>
      <c r="K439">
        <f>K438+IF(AND($E439&lt;&gt;"",$E439&lt;=K$2,$F439&gt;=K$2),1,0)</f>
        <v/>
      </c>
      <c r="L439">
        <f>L438+IF(AND($E439&lt;&gt;"",$E439&lt;=L$2,$F439&gt;=L$2),1,0)</f>
        <v/>
      </c>
      <c r="M439">
        <f>M438+IF(AND($E439&lt;&gt;"",$E439&lt;=M$2,$F439&gt;=M$2),1,0)</f>
        <v/>
      </c>
      <c r="N439">
        <f>N438+IF(AND($E439&lt;&gt;"",$E439&lt;=N$2,$F439&gt;=N$2),1,0)</f>
        <v/>
      </c>
      <c r="O439">
        <f>O438+IF(AND($E439&lt;&gt;"",$E439&lt;=O$2,$F439&gt;=O$2),1,0)</f>
        <v/>
      </c>
      <c r="P439">
        <f>P438+IF(AND($E439&lt;&gt;"",$E439&lt;=P$2,$F439&gt;=P$2),1,0)</f>
        <v/>
      </c>
      <c r="Q439">
        <f>Q438+IF(AND($E439&lt;&gt;"",$E439&lt;=Q$2,$F439&gt;=Q$2),1,0)</f>
        <v/>
      </c>
      <c r="R439">
        <f>R438+IF(AND($E439&lt;&gt;"",$E439&lt;=R$2,$F439&gt;=R$2),1,0)</f>
        <v/>
      </c>
      <c r="S439">
        <f>S438+IF(AND($E439&lt;&gt;"",$E439&lt;=S$2,$F439&gt;=S$2),1,0)</f>
        <v/>
      </c>
      <c r="T439">
        <f>T438+IF(AND($E439&lt;&gt;"",$E439&lt;=T$2,$F439&gt;=T$2),1,0)</f>
        <v/>
      </c>
      <c r="U439">
        <f>U438+IF(AND($E439&lt;&gt;"",$E439&lt;=U$2,$F439&gt;=U$2),1,0)</f>
        <v/>
      </c>
      <c r="V439">
        <f>V438+IF(AND($E439&lt;&gt;"",$E439&lt;=V$2,$F439&gt;=V$2),1,0)</f>
        <v/>
      </c>
      <c r="W439">
        <f>W438+IF(AND($E439&lt;&gt;"",$E439&lt;=W$2,$F439&gt;=W$2),1,0)</f>
        <v/>
      </c>
      <c r="X439">
        <f>X438+IF(AND($E439&lt;&gt;"",$E439&lt;=X$2,$F439&gt;=X$2),1,0)</f>
        <v/>
      </c>
      <c r="Y439">
        <f>Y438+IF(AND($E439&lt;&gt;"",$E439&lt;=Y$2,$F439&gt;=Y$2),1,0)</f>
        <v/>
      </c>
      <c r="Z439">
        <f>Z438+IF(AND($E439&lt;&gt;"",$E439&lt;=Z$2,$F439&gt;=Z$2),1,0)</f>
        <v/>
      </c>
      <c r="AA439">
        <f>AA438+IF(AND($E439&lt;&gt;"",$E439&lt;=AA$2,$F439&gt;=AA$2),1,0)</f>
        <v/>
      </c>
      <c r="AB439">
        <f>AB438+IF(AND($E439&lt;&gt;"",$E439&lt;=AB$2,$F439&gt;=AB$2),1,0)</f>
        <v/>
      </c>
      <c r="AC439">
        <f>AC438+IF(AND($E439&lt;&gt;"",$E439&lt;=AC$2,$F439&gt;=AC$2),1,0)</f>
        <v/>
      </c>
      <c r="AD439">
        <f>AD438+IF(AND($E439&lt;&gt;"",$E439&lt;=AD$2,$F439&gt;=AD$2),1,0)</f>
        <v/>
      </c>
      <c r="AE439">
        <f>AE438+IF(AND($E439&lt;&gt;"",$E439&lt;=AE$2,$F439&gt;=AE$2),1,0)</f>
        <v/>
      </c>
      <c r="AF439">
        <f>AF438+IF(AND($E439&lt;&gt;"",$E439&lt;=AF$2,$F439&gt;=AF$2),1,0)</f>
        <v/>
      </c>
      <c r="AG439">
        <f>AG438+IF(AND($E439&lt;&gt;"",$E439&lt;=AG$2,$F439&gt;=AG$2),1,0)</f>
        <v/>
      </c>
      <c r="AH439">
        <f>AH438+IF(AND($E439&lt;&gt;"",$E439&lt;=AH$2,$F439&gt;=AH$2),1,0)</f>
        <v/>
      </c>
      <c r="AI439">
        <f>AI438+IF(AND($E439&lt;&gt;"",$E439&lt;=AI$2,$F439&gt;=AI$2),1,0)</f>
        <v/>
      </c>
      <c r="AJ439">
        <f>AJ438+IF(AND($E439&lt;&gt;"",$E439&lt;=AJ$2,$F439&gt;=AJ$2),1,0)</f>
        <v/>
      </c>
      <c r="AK439">
        <f>AK438+IF(AND($E439&lt;&gt;"",$E439&lt;=AK$2,$F439&gt;=AK$2),1,0)</f>
        <v/>
      </c>
      <c r="AL439">
        <f>AL438+IF(AND($E439&lt;&gt;"",$E439&lt;=AL$2,$F439&gt;=AL$2),1,0)</f>
        <v/>
      </c>
      <c r="AM439">
        <f>AM438+IF(AND($E439&lt;&gt;"",$E439&lt;=AM$2,$F439&gt;=AM$2),1,0)</f>
        <v/>
      </c>
      <c r="AN439">
        <f>AN438+IF(AND($E439&lt;&gt;"",$E439&lt;=AN$2,$F439&gt;=AN$2),1,0)</f>
        <v/>
      </c>
      <c r="AO439">
        <f>AO438+IF(AND($E439&lt;&gt;"",$E439&lt;=AO$2,$F439&gt;=AO$2),1,0)</f>
        <v/>
      </c>
      <c r="AP439">
        <f>AP438+IF(AND($E439&lt;&gt;"",$E439&lt;=AP$2,$F439&gt;=AP$2),1,0)</f>
        <v/>
      </c>
      <c r="AQ439">
        <f>AQ438+IF(AND($E439&lt;&gt;"",$E439&lt;=AQ$2,$F439&gt;=AQ$2),1,0)</f>
        <v/>
      </c>
      <c r="AR439">
        <f>AR438+IF(AND($E439&lt;&gt;"",$E439&lt;=AR$2,$F439&gt;=AR$2),1,0)</f>
        <v/>
      </c>
      <c r="AS439">
        <f>AS438+IF(AND($E439&lt;&gt;"",$E439&lt;=AS$2,$F439&gt;=AS$2),1,0)</f>
        <v/>
      </c>
      <c r="AT439">
        <f>AT438+IF(AND($E439&lt;&gt;"",$E439&lt;=AT$2,$F439&gt;=AT$2),1,0)</f>
        <v/>
      </c>
      <c r="AU439">
        <f>AU438+IF(AND($E439&lt;&gt;"",$E439&lt;=AU$2,$F439&gt;=AU$2),1,0)</f>
        <v/>
      </c>
      <c r="AV439">
        <f>AV438+IF(AND($E439&lt;&gt;"",$E439&lt;=AV$2,$F439&gt;=AV$2),1,0)</f>
        <v/>
      </c>
      <c r="AW439">
        <f>AW438+IF(AND($E439&lt;&gt;"",$E439&lt;=AW$2,$F439&gt;=AW$2),1,0)</f>
        <v/>
      </c>
    </row>
    <row r="440">
      <c r="A440">
        <f>IF(AND(ISNUMBER(Events!$A442),ISNUMBER(Events!$B442)),MAX(0,Events!$B442-Events!$A442),0)</f>
        <v/>
      </c>
      <c r="B440">
        <f>IF(ISNUMBER(Events!$A442),DATE(YEAR($B$1)-1,MONTH(Events!$A442),DAY(Events!$A442)),"")</f>
        <v/>
      </c>
      <c r="C440">
        <f>IF(ISNUMBER(Events!$A442),DATE(YEAR($B$1),MONTH(Events!$A442),DAY(Events!$A442)),"")</f>
        <v/>
      </c>
      <c r="D440">
        <f>IF(ISNUMBER(Events!$A442),DATE(YEAR($B$2),MONTH(Events!$A442),DAY(Events!$A442)),"")</f>
        <v/>
      </c>
      <c r="E440">
        <f>IF(OR(NOT(ISNUMBER(Events!$A442)),Events!$G442="No",Calendar!$H$4="None"),"",IF(OR(Calendar!$H$4="All events",Events!$D442=Calendar!$H$4),IF(Events!$E442="Yes",IF(AND(B440&gt;=Events!$A442,B440&lt;=$B$2,B440+$A440&gt;=$B$1),B440,IF(AND(C440&gt;=Events!$A442,C440&lt;=$B$2,C440+$A440&gt;=$B$1),C440,IF(AND(D440&gt;=Events!$A442,D440&lt;=$B$2,D440+$A440&gt;=$B$1),D440,""))),IF(AND(Events!$A442&lt;=$B$2,Events!$A442+$A440&gt;=$B$1),Events!$A442,"")),""))</f>
        <v/>
      </c>
      <c r="F440">
        <f>IF(E440="","",E440+A440)</f>
        <v/>
      </c>
      <c r="G440">
        <f>IF(E440="","",IF(AND(E440&lt;=EOMONTH(Calendar!$K$2,0),F440&gt;=Calendar!$K$2),E440+437/100000,""))</f>
        <v/>
      </c>
      <c r="H440">
        <f>H439+IF(AND($E440&lt;&gt;"",$E440&lt;=H$2,$F440&gt;=H$2),1,0)</f>
        <v/>
      </c>
      <c r="I440">
        <f>I439+IF(AND($E440&lt;&gt;"",$E440&lt;=I$2,$F440&gt;=I$2),1,0)</f>
        <v/>
      </c>
      <c r="J440">
        <f>J439+IF(AND($E440&lt;&gt;"",$E440&lt;=J$2,$F440&gt;=J$2),1,0)</f>
        <v/>
      </c>
      <c r="K440">
        <f>K439+IF(AND($E440&lt;&gt;"",$E440&lt;=K$2,$F440&gt;=K$2),1,0)</f>
        <v/>
      </c>
      <c r="L440">
        <f>L439+IF(AND($E440&lt;&gt;"",$E440&lt;=L$2,$F440&gt;=L$2),1,0)</f>
        <v/>
      </c>
      <c r="M440">
        <f>M439+IF(AND($E440&lt;&gt;"",$E440&lt;=M$2,$F440&gt;=M$2),1,0)</f>
        <v/>
      </c>
      <c r="N440">
        <f>N439+IF(AND($E440&lt;&gt;"",$E440&lt;=N$2,$F440&gt;=N$2),1,0)</f>
        <v/>
      </c>
      <c r="O440">
        <f>O439+IF(AND($E440&lt;&gt;"",$E440&lt;=O$2,$F440&gt;=O$2),1,0)</f>
        <v/>
      </c>
      <c r="P440">
        <f>P439+IF(AND($E440&lt;&gt;"",$E440&lt;=P$2,$F440&gt;=P$2),1,0)</f>
        <v/>
      </c>
      <c r="Q440">
        <f>Q439+IF(AND($E440&lt;&gt;"",$E440&lt;=Q$2,$F440&gt;=Q$2),1,0)</f>
        <v/>
      </c>
      <c r="R440">
        <f>R439+IF(AND($E440&lt;&gt;"",$E440&lt;=R$2,$F440&gt;=R$2),1,0)</f>
        <v/>
      </c>
      <c r="S440">
        <f>S439+IF(AND($E440&lt;&gt;"",$E440&lt;=S$2,$F440&gt;=S$2),1,0)</f>
        <v/>
      </c>
      <c r="T440">
        <f>T439+IF(AND($E440&lt;&gt;"",$E440&lt;=T$2,$F440&gt;=T$2),1,0)</f>
        <v/>
      </c>
      <c r="U440">
        <f>U439+IF(AND($E440&lt;&gt;"",$E440&lt;=U$2,$F440&gt;=U$2),1,0)</f>
        <v/>
      </c>
      <c r="V440">
        <f>V439+IF(AND($E440&lt;&gt;"",$E440&lt;=V$2,$F440&gt;=V$2),1,0)</f>
        <v/>
      </c>
      <c r="W440">
        <f>W439+IF(AND($E440&lt;&gt;"",$E440&lt;=W$2,$F440&gt;=W$2),1,0)</f>
        <v/>
      </c>
      <c r="X440">
        <f>X439+IF(AND($E440&lt;&gt;"",$E440&lt;=X$2,$F440&gt;=X$2),1,0)</f>
        <v/>
      </c>
      <c r="Y440">
        <f>Y439+IF(AND($E440&lt;&gt;"",$E440&lt;=Y$2,$F440&gt;=Y$2),1,0)</f>
        <v/>
      </c>
      <c r="Z440">
        <f>Z439+IF(AND($E440&lt;&gt;"",$E440&lt;=Z$2,$F440&gt;=Z$2),1,0)</f>
        <v/>
      </c>
      <c r="AA440">
        <f>AA439+IF(AND($E440&lt;&gt;"",$E440&lt;=AA$2,$F440&gt;=AA$2),1,0)</f>
        <v/>
      </c>
      <c r="AB440">
        <f>AB439+IF(AND($E440&lt;&gt;"",$E440&lt;=AB$2,$F440&gt;=AB$2),1,0)</f>
        <v/>
      </c>
      <c r="AC440">
        <f>AC439+IF(AND($E440&lt;&gt;"",$E440&lt;=AC$2,$F440&gt;=AC$2),1,0)</f>
        <v/>
      </c>
      <c r="AD440">
        <f>AD439+IF(AND($E440&lt;&gt;"",$E440&lt;=AD$2,$F440&gt;=AD$2),1,0)</f>
        <v/>
      </c>
      <c r="AE440">
        <f>AE439+IF(AND($E440&lt;&gt;"",$E440&lt;=AE$2,$F440&gt;=AE$2),1,0)</f>
        <v/>
      </c>
      <c r="AF440">
        <f>AF439+IF(AND($E440&lt;&gt;"",$E440&lt;=AF$2,$F440&gt;=AF$2),1,0)</f>
        <v/>
      </c>
      <c r="AG440">
        <f>AG439+IF(AND($E440&lt;&gt;"",$E440&lt;=AG$2,$F440&gt;=AG$2),1,0)</f>
        <v/>
      </c>
      <c r="AH440">
        <f>AH439+IF(AND($E440&lt;&gt;"",$E440&lt;=AH$2,$F440&gt;=AH$2),1,0)</f>
        <v/>
      </c>
      <c r="AI440">
        <f>AI439+IF(AND($E440&lt;&gt;"",$E440&lt;=AI$2,$F440&gt;=AI$2),1,0)</f>
        <v/>
      </c>
      <c r="AJ440">
        <f>AJ439+IF(AND($E440&lt;&gt;"",$E440&lt;=AJ$2,$F440&gt;=AJ$2),1,0)</f>
        <v/>
      </c>
      <c r="AK440">
        <f>AK439+IF(AND($E440&lt;&gt;"",$E440&lt;=AK$2,$F440&gt;=AK$2),1,0)</f>
        <v/>
      </c>
      <c r="AL440">
        <f>AL439+IF(AND($E440&lt;&gt;"",$E440&lt;=AL$2,$F440&gt;=AL$2),1,0)</f>
        <v/>
      </c>
      <c r="AM440">
        <f>AM439+IF(AND($E440&lt;&gt;"",$E440&lt;=AM$2,$F440&gt;=AM$2),1,0)</f>
        <v/>
      </c>
      <c r="AN440">
        <f>AN439+IF(AND($E440&lt;&gt;"",$E440&lt;=AN$2,$F440&gt;=AN$2),1,0)</f>
        <v/>
      </c>
      <c r="AO440">
        <f>AO439+IF(AND($E440&lt;&gt;"",$E440&lt;=AO$2,$F440&gt;=AO$2),1,0)</f>
        <v/>
      </c>
      <c r="AP440">
        <f>AP439+IF(AND($E440&lt;&gt;"",$E440&lt;=AP$2,$F440&gt;=AP$2),1,0)</f>
        <v/>
      </c>
      <c r="AQ440">
        <f>AQ439+IF(AND($E440&lt;&gt;"",$E440&lt;=AQ$2,$F440&gt;=AQ$2),1,0)</f>
        <v/>
      </c>
      <c r="AR440">
        <f>AR439+IF(AND($E440&lt;&gt;"",$E440&lt;=AR$2,$F440&gt;=AR$2),1,0)</f>
        <v/>
      </c>
      <c r="AS440">
        <f>AS439+IF(AND($E440&lt;&gt;"",$E440&lt;=AS$2,$F440&gt;=AS$2),1,0)</f>
        <v/>
      </c>
      <c r="AT440">
        <f>AT439+IF(AND($E440&lt;&gt;"",$E440&lt;=AT$2,$F440&gt;=AT$2),1,0)</f>
        <v/>
      </c>
      <c r="AU440">
        <f>AU439+IF(AND($E440&lt;&gt;"",$E440&lt;=AU$2,$F440&gt;=AU$2),1,0)</f>
        <v/>
      </c>
      <c r="AV440">
        <f>AV439+IF(AND($E440&lt;&gt;"",$E440&lt;=AV$2,$F440&gt;=AV$2),1,0)</f>
        <v/>
      </c>
      <c r="AW440">
        <f>AW439+IF(AND($E440&lt;&gt;"",$E440&lt;=AW$2,$F440&gt;=AW$2),1,0)</f>
        <v/>
      </c>
    </row>
    <row r="441">
      <c r="A441">
        <f>IF(AND(ISNUMBER(Events!$A443),ISNUMBER(Events!$B443)),MAX(0,Events!$B443-Events!$A443),0)</f>
        <v/>
      </c>
      <c r="B441">
        <f>IF(ISNUMBER(Events!$A443),DATE(YEAR($B$1)-1,MONTH(Events!$A443),DAY(Events!$A443)),"")</f>
        <v/>
      </c>
      <c r="C441">
        <f>IF(ISNUMBER(Events!$A443),DATE(YEAR($B$1),MONTH(Events!$A443),DAY(Events!$A443)),"")</f>
        <v/>
      </c>
      <c r="D441">
        <f>IF(ISNUMBER(Events!$A443),DATE(YEAR($B$2),MONTH(Events!$A443),DAY(Events!$A443)),"")</f>
        <v/>
      </c>
      <c r="E441">
        <f>IF(OR(NOT(ISNUMBER(Events!$A443)),Events!$G443="No",Calendar!$H$4="None"),"",IF(OR(Calendar!$H$4="All events",Events!$D443=Calendar!$H$4),IF(Events!$E443="Yes",IF(AND(B441&gt;=Events!$A443,B441&lt;=$B$2,B441+$A441&gt;=$B$1),B441,IF(AND(C441&gt;=Events!$A443,C441&lt;=$B$2,C441+$A441&gt;=$B$1),C441,IF(AND(D441&gt;=Events!$A443,D441&lt;=$B$2,D441+$A441&gt;=$B$1),D441,""))),IF(AND(Events!$A443&lt;=$B$2,Events!$A443+$A441&gt;=$B$1),Events!$A443,"")),""))</f>
        <v/>
      </c>
      <c r="F441">
        <f>IF(E441="","",E441+A441)</f>
        <v/>
      </c>
      <c r="G441">
        <f>IF(E441="","",IF(AND(E441&lt;=EOMONTH(Calendar!$K$2,0),F441&gt;=Calendar!$K$2),E441+438/100000,""))</f>
        <v/>
      </c>
      <c r="H441">
        <f>H440+IF(AND($E441&lt;&gt;"",$E441&lt;=H$2,$F441&gt;=H$2),1,0)</f>
        <v/>
      </c>
      <c r="I441">
        <f>I440+IF(AND($E441&lt;&gt;"",$E441&lt;=I$2,$F441&gt;=I$2),1,0)</f>
        <v/>
      </c>
      <c r="J441">
        <f>J440+IF(AND($E441&lt;&gt;"",$E441&lt;=J$2,$F441&gt;=J$2),1,0)</f>
        <v/>
      </c>
      <c r="K441">
        <f>K440+IF(AND($E441&lt;&gt;"",$E441&lt;=K$2,$F441&gt;=K$2),1,0)</f>
        <v/>
      </c>
      <c r="L441">
        <f>L440+IF(AND($E441&lt;&gt;"",$E441&lt;=L$2,$F441&gt;=L$2),1,0)</f>
        <v/>
      </c>
      <c r="M441">
        <f>M440+IF(AND($E441&lt;&gt;"",$E441&lt;=M$2,$F441&gt;=M$2),1,0)</f>
        <v/>
      </c>
      <c r="N441">
        <f>N440+IF(AND($E441&lt;&gt;"",$E441&lt;=N$2,$F441&gt;=N$2),1,0)</f>
        <v/>
      </c>
      <c r="O441">
        <f>O440+IF(AND($E441&lt;&gt;"",$E441&lt;=O$2,$F441&gt;=O$2),1,0)</f>
        <v/>
      </c>
      <c r="P441">
        <f>P440+IF(AND($E441&lt;&gt;"",$E441&lt;=P$2,$F441&gt;=P$2),1,0)</f>
        <v/>
      </c>
      <c r="Q441">
        <f>Q440+IF(AND($E441&lt;&gt;"",$E441&lt;=Q$2,$F441&gt;=Q$2),1,0)</f>
        <v/>
      </c>
      <c r="R441">
        <f>R440+IF(AND($E441&lt;&gt;"",$E441&lt;=R$2,$F441&gt;=R$2),1,0)</f>
        <v/>
      </c>
      <c r="S441">
        <f>S440+IF(AND($E441&lt;&gt;"",$E441&lt;=S$2,$F441&gt;=S$2),1,0)</f>
        <v/>
      </c>
      <c r="T441">
        <f>T440+IF(AND($E441&lt;&gt;"",$E441&lt;=T$2,$F441&gt;=T$2),1,0)</f>
        <v/>
      </c>
      <c r="U441">
        <f>U440+IF(AND($E441&lt;&gt;"",$E441&lt;=U$2,$F441&gt;=U$2),1,0)</f>
        <v/>
      </c>
      <c r="V441">
        <f>V440+IF(AND($E441&lt;&gt;"",$E441&lt;=V$2,$F441&gt;=V$2),1,0)</f>
        <v/>
      </c>
      <c r="W441">
        <f>W440+IF(AND($E441&lt;&gt;"",$E441&lt;=W$2,$F441&gt;=W$2),1,0)</f>
        <v/>
      </c>
      <c r="X441">
        <f>X440+IF(AND($E441&lt;&gt;"",$E441&lt;=X$2,$F441&gt;=X$2),1,0)</f>
        <v/>
      </c>
      <c r="Y441">
        <f>Y440+IF(AND($E441&lt;&gt;"",$E441&lt;=Y$2,$F441&gt;=Y$2),1,0)</f>
        <v/>
      </c>
      <c r="Z441">
        <f>Z440+IF(AND($E441&lt;&gt;"",$E441&lt;=Z$2,$F441&gt;=Z$2),1,0)</f>
        <v/>
      </c>
      <c r="AA441">
        <f>AA440+IF(AND($E441&lt;&gt;"",$E441&lt;=AA$2,$F441&gt;=AA$2),1,0)</f>
        <v/>
      </c>
      <c r="AB441">
        <f>AB440+IF(AND($E441&lt;&gt;"",$E441&lt;=AB$2,$F441&gt;=AB$2),1,0)</f>
        <v/>
      </c>
      <c r="AC441">
        <f>AC440+IF(AND($E441&lt;&gt;"",$E441&lt;=AC$2,$F441&gt;=AC$2),1,0)</f>
        <v/>
      </c>
      <c r="AD441">
        <f>AD440+IF(AND($E441&lt;&gt;"",$E441&lt;=AD$2,$F441&gt;=AD$2),1,0)</f>
        <v/>
      </c>
      <c r="AE441">
        <f>AE440+IF(AND($E441&lt;&gt;"",$E441&lt;=AE$2,$F441&gt;=AE$2),1,0)</f>
        <v/>
      </c>
      <c r="AF441">
        <f>AF440+IF(AND($E441&lt;&gt;"",$E441&lt;=AF$2,$F441&gt;=AF$2),1,0)</f>
        <v/>
      </c>
      <c r="AG441">
        <f>AG440+IF(AND($E441&lt;&gt;"",$E441&lt;=AG$2,$F441&gt;=AG$2),1,0)</f>
        <v/>
      </c>
      <c r="AH441">
        <f>AH440+IF(AND($E441&lt;&gt;"",$E441&lt;=AH$2,$F441&gt;=AH$2),1,0)</f>
        <v/>
      </c>
      <c r="AI441">
        <f>AI440+IF(AND($E441&lt;&gt;"",$E441&lt;=AI$2,$F441&gt;=AI$2),1,0)</f>
        <v/>
      </c>
      <c r="AJ441">
        <f>AJ440+IF(AND($E441&lt;&gt;"",$E441&lt;=AJ$2,$F441&gt;=AJ$2),1,0)</f>
        <v/>
      </c>
      <c r="AK441">
        <f>AK440+IF(AND($E441&lt;&gt;"",$E441&lt;=AK$2,$F441&gt;=AK$2),1,0)</f>
        <v/>
      </c>
      <c r="AL441">
        <f>AL440+IF(AND($E441&lt;&gt;"",$E441&lt;=AL$2,$F441&gt;=AL$2),1,0)</f>
        <v/>
      </c>
      <c r="AM441">
        <f>AM440+IF(AND($E441&lt;&gt;"",$E441&lt;=AM$2,$F441&gt;=AM$2),1,0)</f>
        <v/>
      </c>
      <c r="AN441">
        <f>AN440+IF(AND($E441&lt;&gt;"",$E441&lt;=AN$2,$F441&gt;=AN$2),1,0)</f>
        <v/>
      </c>
      <c r="AO441">
        <f>AO440+IF(AND($E441&lt;&gt;"",$E441&lt;=AO$2,$F441&gt;=AO$2),1,0)</f>
        <v/>
      </c>
      <c r="AP441">
        <f>AP440+IF(AND($E441&lt;&gt;"",$E441&lt;=AP$2,$F441&gt;=AP$2),1,0)</f>
        <v/>
      </c>
      <c r="AQ441">
        <f>AQ440+IF(AND($E441&lt;&gt;"",$E441&lt;=AQ$2,$F441&gt;=AQ$2),1,0)</f>
        <v/>
      </c>
      <c r="AR441">
        <f>AR440+IF(AND($E441&lt;&gt;"",$E441&lt;=AR$2,$F441&gt;=AR$2),1,0)</f>
        <v/>
      </c>
      <c r="AS441">
        <f>AS440+IF(AND($E441&lt;&gt;"",$E441&lt;=AS$2,$F441&gt;=AS$2),1,0)</f>
        <v/>
      </c>
      <c r="AT441">
        <f>AT440+IF(AND($E441&lt;&gt;"",$E441&lt;=AT$2,$F441&gt;=AT$2),1,0)</f>
        <v/>
      </c>
      <c r="AU441">
        <f>AU440+IF(AND($E441&lt;&gt;"",$E441&lt;=AU$2,$F441&gt;=AU$2),1,0)</f>
        <v/>
      </c>
      <c r="AV441">
        <f>AV440+IF(AND($E441&lt;&gt;"",$E441&lt;=AV$2,$F441&gt;=AV$2),1,0)</f>
        <v/>
      </c>
      <c r="AW441">
        <f>AW440+IF(AND($E441&lt;&gt;"",$E441&lt;=AW$2,$F441&gt;=AW$2),1,0)</f>
        <v/>
      </c>
    </row>
    <row r="442">
      <c r="A442">
        <f>IF(AND(ISNUMBER(Events!$A444),ISNUMBER(Events!$B444)),MAX(0,Events!$B444-Events!$A444),0)</f>
        <v/>
      </c>
      <c r="B442">
        <f>IF(ISNUMBER(Events!$A444),DATE(YEAR($B$1)-1,MONTH(Events!$A444),DAY(Events!$A444)),"")</f>
        <v/>
      </c>
      <c r="C442">
        <f>IF(ISNUMBER(Events!$A444),DATE(YEAR($B$1),MONTH(Events!$A444),DAY(Events!$A444)),"")</f>
        <v/>
      </c>
      <c r="D442">
        <f>IF(ISNUMBER(Events!$A444),DATE(YEAR($B$2),MONTH(Events!$A444),DAY(Events!$A444)),"")</f>
        <v/>
      </c>
      <c r="E442">
        <f>IF(OR(NOT(ISNUMBER(Events!$A444)),Events!$G444="No",Calendar!$H$4="None"),"",IF(OR(Calendar!$H$4="All events",Events!$D444=Calendar!$H$4),IF(Events!$E444="Yes",IF(AND(B442&gt;=Events!$A444,B442&lt;=$B$2,B442+$A442&gt;=$B$1),B442,IF(AND(C442&gt;=Events!$A444,C442&lt;=$B$2,C442+$A442&gt;=$B$1),C442,IF(AND(D442&gt;=Events!$A444,D442&lt;=$B$2,D442+$A442&gt;=$B$1),D442,""))),IF(AND(Events!$A444&lt;=$B$2,Events!$A444+$A442&gt;=$B$1),Events!$A444,"")),""))</f>
        <v/>
      </c>
      <c r="F442">
        <f>IF(E442="","",E442+A442)</f>
        <v/>
      </c>
      <c r="G442">
        <f>IF(E442="","",IF(AND(E442&lt;=EOMONTH(Calendar!$K$2,0),F442&gt;=Calendar!$K$2),E442+439/100000,""))</f>
        <v/>
      </c>
      <c r="H442">
        <f>H441+IF(AND($E442&lt;&gt;"",$E442&lt;=H$2,$F442&gt;=H$2),1,0)</f>
        <v/>
      </c>
      <c r="I442">
        <f>I441+IF(AND($E442&lt;&gt;"",$E442&lt;=I$2,$F442&gt;=I$2),1,0)</f>
        <v/>
      </c>
      <c r="J442">
        <f>J441+IF(AND($E442&lt;&gt;"",$E442&lt;=J$2,$F442&gt;=J$2),1,0)</f>
        <v/>
      </c>
      <c r="K442">
        <f>K441+IF(AND($E442&lt;&gt;"",$E442&lt;=K$2,$F442&gt;=K$2),1,0)</f>
        <v/>
      </c>
      <c r="L442">
        <f>L441+IF(AND($E442&lt;&gt;"",$E442&lt;=L$2,$F442&gt;=L$2),1,0)</f>
        <v/>
      </c>
      <c r="M442">
        <f>M441+IF(AND($E442&lt;&gt;"",$E442&lt;=M$2,$F442&gt;=M$2),1,0)</f>
        <v/>
      </c>
      <c r="N442">
        <f>N441+IF(AND($E442&lt;&gt;"",$E442&lt;=N$2,$F442&gt;=N$2),1,0)</f>
        <v/>
      </c>
      <c r="O442">
        <f>O441+IF(AND($E442&lt;&gt;"",$E442&lt;=O$2,$F442&gt;=O$2),1,0)</f>
        <v/>
      </c>
      <c r="P442">
        <f>P441+IF(AND($E442&lt;&gt;"",$E442&lt;=P$2,$F442&gt;=P$2),1,0)</f>
        <v/>
      </c>
      <c r="Q442">
        <f>Q441+IF(AND($E442&lt;&gt;"",$E442&lt;=Q$2,$F442&gt;=Q$2),1,0)</f>
        <v/>
      </c>
      <c r="R442">
        <f>R441+IF(AND($E442&lt;&gt;"",$E442&lt;=R$2,$F442&gt;=R$2),1,0)</f>
        <v/>
      </c>
      <c r="S442">
        <f>S441+IF(AND($E442&lt;&gt;"",$E442&lt;=S$2,$F442&gt;=S$2),1,0)</f>
        <v/>
      </c>
      <c r="T442">
        <f>T441+IF(AND($E442&lt;&gt;"",$E442&lt;=T$2,$F442&gt;=T$2),1,0)</f>
        <v/>
      </c>
      <c r="U442">
        <f>U441+IF(AND($E442&lt;&gt;"",$E442&lt;=U$2,$F442&gt;=U$2),1,0)</f>
        <v/>
      </c>
      <c r="V442">
        <f>V441+IF(AND($E442&lt;&gt;"",$E442&lt;=V$2,$F442&gt;=V$2),1,0)</f>
        <v/>
      </c>
      <c r="W442">
        <f>W441+IF(AND($E442&lt;&gt;"",$E442&lt;=W$2,$F442&gt;=W$2),1,0)</f>
        <v/>
      </c>
      <c r="X442">
        <f>X441+IF(AND($E442&lt;&gt;"",$E442&lt;=X$2,$F442&gt;=X$2),1,0)</f>
        <v/>
      </c>
      <c r="Y442">
        <f>Y441+IF(AND($E442&lt;&gt;"",$E442&lt;=Y$2,$F442&gt;=Y$2),1,0)</f>
        <v/>
      </c>
      <c r="Z442">
        <f>Z441+IF(AND($E442&lt;&gt;"",$E442&lt;=Z$2,$F442&gt;=Z$2),1,0)</f>
        <v/>
      </c>
      <c r="AA442">
        <f>AA441+IF(AND($E442&lt;&gt;"",$E442&lt;=AA$2,$F442&gt;=AA$2),1,0)</f>
        <v/>
      </c>
      <c r="AB442">
        <f>AB441+IF(AND($E442&lt;&gt;"",$E442&lt;=AB$2,$F442&gt;=AB$2),1,0)</f>
        <v/>
      </c>
      <c r="AC442">
        <f>AC441+IF(AND($E442&lt;&gt;"",$E442&lt;=AC$2,$F442&gt;=AC$2),1,0)</f>
        <v/>
      </c>
      <c r="AD442">
        <f>AD441+IF(AND($E442&lt;&gt;"",$E442&lt;=AD$2,$F442&gt;=AD$2),1,0)</f>
        <v/>
      </c>
      <c r="AE442">
        <f>AE441+IF(AND($E442&lt;&gt;"",$E442&lt;=AE$2,$F442&gt;=AE$2),1,0)</f>
        <v/>
      </c>
      <c r="AF442">
        <f>AF441+IF(AND($E442&lt;&gt;"",$E442&lt;=AF$2,$F442&gt;=AF$2),1,0)</f>
        <v/>
      </c>
      <c r="AG442">
        <f>AG441+IF(AND($E442&lt;&gt;"",$E442&lt;=AG$2,$F442&gt;=AG$2),1,0)</f>
        <v/>
      </c>
      <c r="AH442">
        <f>AH441+IF(AND($E442&lt;&gt;"",$E442&lt;=AH$2,$F442&gt;=AH$2),1,0)</f>
        <v/>
      </c>
      <c r="AI442">
        <f>AI441+IF(AND($E442&lt;&gt;"",$E442&lt;=AI$2,$F442&gt;=AI$2),1,0)</f>
        <v/>
      </c>
      <c r="AJ442">
        <f>AJ441+IF(AND($E442&lt;&gt;"",$E442&lt;=AJ$2,$F442&gt;=AJ$2),1,0)</f>
        <v/>
      </c>
      <c r="AK442">
        <f>AK441+IF(AND($E442&lt;&gt;"",$E442&lt;=AK$2,$F442&gt;=AK$2),1,0)</f>
        <v/>
      </c>
      <c r="AL442">
        <f>AL441+IF(AND($E442&lt;&gt;"",$E442&lt;=AL$2,$F442&gt;=AL$2),1,0)</f>
        <v/>
      </c>
      <c r="AM442">
        <f>AM441+IF(AND($E442&lt;&gt;"",$E442&lt;=AM$2,$F442&gt;=AM$2),1,0)</f>
        <v/>
      </c>
      <c r="AN442">
        <f>AN441+IF(AND($E442&lt;&gt;"",$E442&lt;=AN$2,$F442&gt;=AN$2),1,0)</f>
        <v/>
      </c>
      <c r="AO442">
        <f>AO441+IF(AND($E442&lt;&gt;"",$E442&lt;=AO$2,$F442&gt;=AO$2),1,0)</f>
        <v/>
      </c>
      <c r="AP442">
        <f>AP441+IF(AND($E442&lt;&gt;"",$E442&lt;=AP$2,$F442&gt;=AP$2),1,0)</f>
        <v/>
      </c>
      <c r="AQ442">
        <f>AQ441+IF(AND($E442&lt;&gt;"",$E442&lt;=AQ$2,$F442&gt;=AQ$2),1,0)</f>
        <v/>
      </c>
      <c r="AR442">
        <f>AR441+IF(AND($E442&lt;&gt;"",$E442&lt;=AR$2,$F442&gt;=AR$2),1,0)</f>
        <v/>
      </c>
      <c r="AS442">
        <f>AS441+IF(AND($E442&lt;&gt;"",$E442&lt;=AS$2,$F442&gt;=AS$2),1,0)</f>
        <v/>
      </c>
      <c r="AT442">
        <f>AT441+IF(AND($E442&lt;&gt;"",$E442&lt;=AT$2,$F442&gt;=AT$2),1,0)</f>
        <v/>
      </c>
      <c r="AU442">
        <f>AU441+IF(AND($E442&lt;&gt;"",$E442&lt;=AU$2,$F442&gt;=AU$2),1,0)</f>
        <v/>
      </c>
      <c r="AV442">
        <f>AV441+IF(AND($E442&lt;&gt;"",$E442&lt;=AV$2,$F442&gt;=AV$2),1,0)</f>
        <v/>
      </c>
      <c r="AW442">
        <f>AW441+IF(AND($E442&lt;&gt;"",$E442&lt;=AW$2,$F442&gt;=AW$2),1,0)</f>
        <v/>
      </c>
    </row>
    <row r="443">
      <c r="A443">
        <f>IF(AND(ISNUMBER(Events!$A445),ISNUMBER(Events!$B445)),MAX(0,Events!$B445-Events!$A445),0)</f>
        <v/>
      </c>
      <c r="B443">
        <f>IF(ISNUMBER(Events!$A445),DATE(YEAR($B$1)-1,MONTH(Events!$A445),DAY(Events!$A445)),"")</f>
        <v/>
      </c>
      <c r="C443">
        <f>IF(ISNUMBER(Events!$A445),DATE(YEAR($B$1),MONTH(Events!$A445),DAY(Events!$A445)),"")</f>
        <v/>
      </c>
      <c r="D443">
        <f>IF(ISNUMBER(Events!$A445),DATE(YEAR($B$2),MONTH(Events!$A445),DAY(Events!$A445)),"")</f>
        <v/>
      </c>
      <c r="E443">
        <f>IF(OR(NOT(ISNUMBER(Events!$A445)),Events!$G445="No",Calendar!$H$4="None"),"",IF(OR(Calendar!$H$4="All events",Events!$D445=Calendar!$H$4),IF(Events!$E445="Yes",IF(AND(B443&gt;=Events!$A445,B443&lt;=$B$2,B443+$A443&gt;=$B$1),B443,IF(AND(C443&gt;=Events!$A445,C443&lt;=$B$2,C443+$A443&gt;=$B$1),C443,IF(AND(D443&gt;=Events!$A445,D443&lt;=$B$2,D443+$A443&gt;=$B$1),D443,""))),IF(AND(Events!$A445&lt;=$B$2,Events!$A445+$A443&gt;=$B$1),Events!$A445,"")),""))</f>
        <v/>
      </c>
      <c r="F443">
        <f>IF(E443="","",E443+A443)</f>
        <v/>
      </c>
      <c r="G443">
        <f>IF(E443="","",IF(AND(E443&lt;=EOMONTH(Calendar!$K$2,0),F443&gt;=Calendar!$K$2),E443+440/100000,""))</f>
        <v/>
      </c>
      <c r="H443">
        <f>H442+IF(AND($E443&lt;&gt;"",$E443&lt;=H$2,$F443&gt;=H$2),1,0)</f>
        <v/>
      </c>
      <c r="I443">
        <f>I442+IF(AND($E443&lt;&gt;"",$E443&lt;=I$2,$F443&gt;=I$2),1,0)</f>
        <v/>
      </c>
      <c r="J443">
        <f>J442+IF(AND($E443&lt;&gt;"",$E443&lt;=J$2,$F443&gt;=J$2),1,0)</f>
        <v/>
      </c>
      <c r="K443">
        <f>K442+IF(AND($E443&lt;&gt;"",$E443&lt;=K$2,$F443&gt;=K$2),1,0)</f>
        <v/>
      </c>
      <c r="L443">
        <f>L442+IF(AND($E443&lt;&gt;"",$E443&lt;=L$2,$F443&gt;=L$2),1,0)</f>
        <v/>
      </c>
      <c r="M443">
        <f>M442+IF(AND($E443&lt;&gt;"",$E443&lt;=M$2,$F443&gt;=M$2),1,0)</f>
        <v/>
      </c>
      <c r="N443">
        <f>N442+IF(AND($E443&lt;&gt;"",$E443&lt;=N$2,$F443&gt;=N$2),1,0)</f>
        <v/>
      </c>
      <c r="O443">
        <f>O442+IF(AND($E443&lt;&gt;"",$E443&lt;=O$2,$F443&gt;=O$2),1,0)</f>
        <v/>
      </c>
      <c r="P443">
        <f>P442+IF(AND($E443&lt;&gt;"",$E443&lt;=P$2,$F443&gt;=P$2),1,0)</f>
        <v/>
      </c>
      <c r="Q443">
        <f>Q442+IF(AND($E443&lt;&gt;"",$E443&lt;=Q$2,$F443&gt;=Q$2),1,0)</f>
        <v/>
      </c>
      <c r="R443">
        <f>R442+IF(AND($E443&lt;&gt;"",$E443&lt;=R$2,$F443&gt;=R$2),1,0)</f>
        <v/>
      </c>
      <c r="S443">
        <f>S442+IF(AND($E443&lt;&gt;"",$E443&lt;=S$2,$F443&gt;=S$2),1,0)</f>
        <v/>
      </c>
      <c r="T443">
        <f>T442+IF(AND($E443&lt;&gt;"",$E443&lt;=T$2,$F443&gt;=T$2),1,0)</f>
        <v/>
      </c>
      <c r="U443">
        <f>U442+IF(AND($E443&lt;&gt;"",$E443&lt;=U$2,$F443&gt;=U$2),1,0)</f>
        <v/>
      </c>
      <c r="V443">
        <f>V442+IF(AND($E443&lt;&gt;"",$E443&lt;=V$2,$F443&gt;=V$2),1,0)</f>
        <v/>
      </c>
      <c r="W443">
        <f>W442+IF(AND($E443&lt;&gt;"",$E443&lt;=W$2,$F443&gt;=W$2),1,0)</f>
        <v/>
      </c>
      <c r="X443">
        <f>X442+IF(AND($E443&lt;&gt;"",$E443&lt;=X$2,$F443&gt;=X$2),1,0)</f>
        <v/>
      </c>
      <c r="Y443">
        <f>Y442+IF(AND($E443&lt;&gt;"",$E443&lt;=Y$2,$F443&gt;=Y$2),1,0)</f>
        <v/>
      </c>
      <c r="Z443">
        <f>Z442+IF(AND($E443&lt;&gt;"",$E443&lt;=Z$2,$F443&gt;=Z$2),1,0)</f>
        <v/>
      </c>
      <c r="AA443">
        <f>AA442+IF(AND($E443&lt;&gt;"",$E443&lt;=AA$2,$F443&gt;=AA$2),1,0)</f>
        <v/>
      </c>
      <c r="AB443">
        <f>AB442+IF(AND($E443&lt;&gt;"",$E443&lt;=AB$2,$F443&gt;=AB$2),1,0)</f>
        <v/>
      </c>
      <c r="AC443">
        <f>AC442+IF(AND($E443&lt;&gt;"",$E443&lt;=AC$2,$F443&gt;=AC$2),1,0)</f>
        <v/>
      </c>
      <c r="AD443">
        <f>AD442+IF(AND($E443&lt;&gt;"",$E443&lt;=AD$2,$F443&gt;=AD$2),1,0)</f>
        <v/>
      </c>
      <c r="AE443">
        <f>AE442+IF(AND($E443&lt;&gt;"",$E443&lt;=AE$2,$F443&gt;=AE$2),1,0)</f>
        <v/>
      </c>
      <c r="AF443">
        <f>AF442+IF(AND($E443&lt;&gt;"",$E443&lt;=AF$2,$F443&gt;=AF$2),1,0)</f>
        <v/>
      </c>
      <c r="AG443">
        <f>AG442+IF(AND($E443&lt;&gt;"",$E443&lt;=AG$2,$F443&gt;=AG$2),1,0)</f>
        <v/>
      </c>
      <c r="AH443">
        <f>AH442+IF(AND($E443&lt;&gt;"",$E443&lt;=AH$2,$F443&gt;=AH$2),1,0)</f>
        <v/>
      </c>
      <c r="AI443">
        <f>AI442+IF(AND($E443&lt;&gt;"",$E443&lt;=AI$2,$F443&gt;=AI$2),1,0)</f>
        <v/>
      </c>
      <c r="AJ443">
        <f>AJ442+IF(AND($E443&lt;&gt;"",$E443&lt;=AJ$2,$F443&gt;=AJ$2),1,0)</f>
        <v/>
      </c>
      <c r="AK443">
        <f>AK442+IF(AND($E443&lt;&gt;"",$E443&lt;=AK$2,$F443&gt;=AK$2),1,0)</f>
        <v/>
      </c>
      <c r="AL443">
        <f>AL442+IF(AND($E443&lt;&gt;"",$E443&lt;=AL$2,$F443&gt;=AL$2),1,0)</f>
        <v/>
      </c>
      <c r="AM443">
        <f>AM442+IF(AND($E443&lt;&gt;"",$E443&lt;=AM$2,$F443&gt;=AM$2),1,0)</f>
        <v/>
      </c>
      <c r="AN443">
        <f>AN442+IF(AND($E443&lt;&gt;"",$E443&lt;=AN$2,$F443&gt;=AN$2),1,0)</f>
        <v/>
      </c>
      <c r="AO443">
        <f>AO442+IF(AND($E443&lt;&gt;"",$E443&lt;=AO$2,$F443&gt;=AO$2),1,0)</f>
        <v/>
      </c>
      <c r="AP443">
        <f>AP442+IF(AND($E443&lt;&gt;"",$E443&lt;=AP$2,$F443&gt;=AP$2),1,0)</f>
        <v/>
      </c>
      <c r="AQ443">
        <f>AQ442+IF(AND($E443&lt;&gt;"",$E443&lt;=AQ$2,$F443&gt;=AQ$2),1,0)</f>
        <v/>
      </c>
      <c r="AR443">
        <f>AR442+IF(AND($E443&lt;&gt;"",$E443&lt;=AR$2,$F443&gt;=AR$2),1,0)</f>
        <v/>
      </c>
      <c r="AS443">
        <f>AS442+IF(AND($E443&lt;&gt;"",$E443&lt;=AS$2,$F443&gt;=AS$2),1,0)</f>
        <v/>
      </c>
      <c r="AT443">
        <f>AT442+IF(AND($E443&lt;&gt;"",$E443&lt;=AT$2,$F443&gt;=AT$2),1,0)</f>
        <v/>
      </c>
      <c r="AU443">
        <f>AU442+IF(AND($E443&lt;&gt;"",$E443&lt;=AU$2,$F443&gt;=AU$2),1,0)</f>
        <v/>
      </c>
      <c r="AV443">
        <f>AV442+IF(AND($E443&lt;&gt;"",$E443&lt;=AV$2,$F443&gt;=AV$2),1,0)</f>
        <v/>
      </c>
      <c r="AW443">
        <f>AW442+IF(AND($E443&lt;&gt;"",$E443&lt;=AW$2,$F443&gt;=AW$2),1,0)</f>
        <v/>
      </c>
    </row>
    <row r="444">
      <c r="A444">
        <f>IF(AND(ISNUMBER(Events!$A446),ISNUMBER(Events!$B446)),MAX(0,Events!$B446-Events!$A446),0)</f>
        <v/>
      </c>
      <c r="B444">
        <f>IF(ISNUMBER(Events!$A446),DATE(YEAR($B$1)-1,MONTH(Events!$A446),DAY(Events!$A446)),"")</f>
        <v/>
      </c>
      <c r="C444">
        <f>IF(ISNUMBER(Events!$A446),DATE(YEAR($B$1),MONTH(Events!$A446),DAY(Events!$A446)),"")</f>
        <v/>
      </c>
      <c r="D444">
        <f>IF(ISNUMBER(Events!$A446),DATE(YEAR($B$2),MONTH(Events!$A446),DAY(Events!$A446)),"")</f>
        <v/>
      </c>
      <c r="E444">
        <f>IF(OR(NOT(ISNUMBER(Events!$A446)),Events!$G446="No",Calendar!$H$4="None"),"",IF(OR(Calendar!$H$4="All events",Events!$D446=Calendar!$H$4),IF(Events!$E446="Yes",IF(AND(B444&gt;=Events!$A446,B444&lt;=$B$2,B444+$A444&gt;=$B$1),B444,IF(AND(C444&gt;=Events!$A446,C444&lt;=$B$2,C444+$A444&gt;=$B$1),C444,IF(AND(D444&gt;=Events!$A446,D444&lt;=$B$2,D444+$A444&gt;=$B$1),D444,""))),IF(AND(Events!$A446&lt;=$B$2,Events!$A446+$A444&gt;=$B$1),Events!$A446,"")),""))</f>
        <v/>
      </c>
      <c r="F444">
        <f>IF(E444="","",E444+A444)</f>
        <v/>
      </c>
      <c r="G444">
        <f>IF(E444="","",IF(AND(E444&lt;=EOMONTH(Calendar!$K$2,0),F444&gt;=Calendar!$K$2),E444+441/100000,""))</f>
        <v/>
      </c>
      <c r="H444">
        <f>H443+IF(AND($E444&lt;&gt;"",$E444&lt;=H$2,$F444&gt;=H$2),1,0)</f>
        <v/>
      </c>
      <c r="I444">
        <f>I443+IF(AND($E444&lt;&gt;"",$E444&lt;=I$2,$F444&gt;=I$2),1,0)</f>
        <v/>
      </c>
      <c r="J444">
        <f>J443+IF(AND($E444&lt;&gt;"",$E444&lt;=J$2,$F444&gt;=J$2),1,0)</f>
        <v/>
      </c>
      <c r="K444">
        <f>K443+IF(AND($E444&lt;&gt;"",$E444&lt;=K$2,$F444&gt;=K$2),1,0)</f>
        <v/>
      </c>
      <c r="L444">
        <f>L443+IF(AND($E444&lt;&gt;"",$E444&lt;=L$2,$F444&gt;=L$2),1,0)</f>
        <v/>
      </c>
      <c r="M444">
        <f>M443+IF(AND($E444&lt;&gt;"",$E444&lt;=M$2,$F444&gt;=M$2),1,0)</f>
        <v/>
      </c>
      <c r="N444">
        <f>N443+IF(AND($E444&lt;&gt;"",$E444&lt;=N$2,$F444&gt;=N$2),1,0)</f>
        <v/>
      </c>
      <c r="O444">
        <f>O443+IF(AND($E444&lt;&gt;"",$E444&lt;=O$2,$F444&gt;=O$2),1,0)</f>
        <v/>
      </c>
      <c r="P444">
        <f>P443+IF(AND($E444&lt;&gt;"",$E444&lt;=P$2,$F444&gt;=P$2),1,0)</f>
        <v/>
      </c>
      <c r="Q444">
        <f>Q443+IF(AND($E444&lt;&gt;"",$E444&lt;=Q$2,$F444&gt;=Q$2),1,0)</f>
        <v/>
      </c>
      <c r="R444">
        <f>R443+IF(AND($E444&lt;&gt;"",$E444&lt;=R$2,$F444&gt;=R$2),1,0)</f>
        <v/>
      </c>
      <c r="S444">
        <f>S443+IF(AND($E444&lt;&gt;"",$E444&lt;=S$2,$F444&gt;=S$2),1,0)</f>
        <v/>
      </c>
      <c r="T444">
        <f>T443+IF(AND($E444&lt;&gt;"",$E444&lt;=T$2,$F444&gt;=T$2),1,0)</f>
        <v/>
      </c>
      <c r="U444">
        <f>U443+IF(AND($E444&lt;&gt;"",$E444&lt;=U$2,$F444&gt;=U$2),1,0)</f>
        <v/>
      </c>
      <c r="V444">
        <f>V443+IF(AND($E444&lt;&gt;"",$E444&lt;=V$2,$F444&gt;=V$2),1,0)</f>
        <v/>
      </c>
      <c r="W444">
        <f>W443+IF(AND($E444&lt;&gt;"",$E444&lt;=W$2,$F444&gt;=W$2),1,0)</f>
        <v/>
      </c>
      <c r="X444">
        <f>X443+IF(AND($E444&lt;&gt;"",$E444&lt;=X$2,$F444&gt;=X$2),1,0)</f>
        <v/>
      </c>
      <c r="Y444">
        <f>Y443+IF(AND($E444&lt;&gt;"",$E444&lt;=Y$2,$F444&gt;=Y$2),1,0)</f>
        <v/>
      </c>
      <c r="Z444">
        <f>Z443+IF(AND($E444&lt;&gt;"",$E444&lt;=Z$2,$F444&gt;=Z$2),1,0)</f>
        <v/>
      </c>
      <c r="AA444">
        <f>AA443+IF(AND($E444&lt;&gt;"",$E444&lt;=AA$2,$F444&gt;=AA$2),1,0)</f>
        <v/>
      </c>
      <c r="AB444">
        <f>AB443+IF(AND($E444&lt;&gt;"",$E444&lt;=AB$2,$F444&gt;=AB$2),1,0)</f>
        <v/>
      </c>
      <c r="AC444">
        <f>AC443+IF(AND($E444&lt;&gt;"",$E444&lt;=AC$2,$F444&gt;=AC$2),1,0)</f>
        <v/>
      </c>
      <c r="AD444">
        <f>AD443+IF(AND($E444&lt;&gt;"",$E444&lt;=AD$2,$F444&gt;=AD$2),1,0)</f>
        <v/>
      </c>
      <c r="AE444">
        <f>AE443+IF(AND($E444&lt;&gt;"",$E444&lt;=AE$2,$F444&gt;=AE$2),1,0)</f>
        <v/>
      </c>
      <c r="AF444">
        <f>AF443+IF(AND($E444&lt;&gt;"",$E444&lt;=AF$2,$F444&gt;=AF$2),1,0)</f>
        <v/>
      </c>
      <c r="AG444">
        <f>AG443+IF(AND($E444&lt;&gt;"",$E444&lt;=AG$2,$F444&gt;=AG$2),1,0)</f>
        <v/>
      </c>
      <c r="AH444">
        <f>AH443+IF(AND($E444&lt;&gt;"",$E444&lt;=AH$2,$F444&gt;=AH$2),1,0)</f>
        <v/>
      </c>
      <c r="AI444">
        <f>AI443+IF(AND($E444&lt;&gt;"",$E444&lt;=AI$2,$F444&gt;=AI$2),1,0)</f>
        <v/>
      </c>
      <c r="AJ444">
        <f>AJ443+IF(AND($E444&lt;&gt;"",$E444&lt;=AJ$2,$F444&gt;=AJ$2),1,0)</f>
        <v/>
      </c>
      <c r="AK444">
        <f>AK443+IF(AND($E444&lt;&gt;"",$E444&lt;=AK$2,$F444&gt;=AK$2),1,0)</f>
        <v/>
      </c>
      <c r="AL444">
        <f>AL443+IF(AND($E444&lt;&gt;"",$E444&lt;=AL$2,$F444&gt;=AL$2),1,0)</f>
        <v/>
      </c>
      <c r="AM444">
        <f>AM443+IF(AND($E444&lt;&gt;"",$E444&lt;=AM$2,$F444&gt;=AM$2),1,0)</f>
        <v/>
      </c>
      <c r="AN444">
        <f>AN443+IF(AND($E444&lt;&gt;"",$E444&lt;=AN$2,$F444&gt;=AN$2),1,0)</f>
        <v/>
      </c>
      <c r="AO444">
        <f>AO443+IF(AND($E444&lt;&gt;"",$E444&lt;=AO$2,$F444&gt;=AO$2),1,0)</f>
        <v/>
      </c>
      <c r="AP444">
        <f>AP443+IF(AND($E444&lt;&gt;"",$E444&lt;=AP$2,$F444&gt;=AP$2),1,0)</f>
        <v/>
      </c>
      <c r="AQ444">
        <f>AQ443+IF(AND($E444&lt;&gt;"",$E444&lt;=AQ$2,$F444&gt;=AQ$2),1,0)</f>
        <v/>
      </c>
      <c r="AR444">
        <f>AR443+IF(AND($E444&lt;&gt;"",$E444&lt;=AR$2,$F444&gt;=AR$2),1,0)</f>
        <v/>
      </c>
      <c r="AS444">
        <f>AS443+IF(AND($E444&lt;&gt;"",$E444&lt;=AS$2,$F444&gt;=AS$2),1,0)</f>
        <v/>
      </c>
      <c r="AT444">
        <f>AT443+IF(AND($E444&lt;&gt;"",$E444&lt;=AT$2,$F444&gt;=AT$2),1,0)</f>
        <v/>
      </c>
      <c r="AU444">
        <f>AU443+IF(AND($E444&lt;&gt;"",$E444&lt;=AU$2,$F444&gt;=AU$2),1,0)</f>
        <v/>
      </c>
      <c r="AV444">
        <f>AV443+IF(AND($E444&lt;&gt;"",$E444&lt;=AV$2,$F444&gt;=AV$2),1,0)</f>
        <v/>
      </c>
      <c r="AW444">
        <f>AW443+IF(AND($E444&lt;&gt;"",$E444&lt;=AW$2,$F444&gt;=AW$2),1,0)</f>
        <v/>
      </c>
    </row>
    <row r="445">
      <c r="A445">
        <f>IF(AND(ISNUMBER(Events!$A447),ISNUMBER(Events!$B447)),MAX(0,Events!$B447-Events!$A447),0)</f>
        <v/>
      </c>
      <c r="B445">
        <f>IF(ISNUMBER(Events!$A447),DATE(YEAR($B$1)-1,MONTH(Events!$A447),DAY(Events!$A447)),"")</f>
        <v/>
      </c>
      <c r="C445">
        <f>IF(ISNUMBER(Events!$A447),DATE(YEAR($B$1),MONTH(Events!$A447),DAY(Events!$A447)),"")</f>
        <v/>
      </c>
      <c r="D445">
        <f>IF(ISNUMBER(Events!$A447),DATE(YEAR($B$2),MONTH(Events!$A447),DAY(Events!$A447)),"")</f>
        <v/>
      </c>
      <c r="E445">
        <f>IF(OR(NOT(ISNUMBER(Events!$A447)),Events!$G447="No",Calendar!$H$4="None"),"",IF(OR(Calendar!$H$4="All events",Events!$D447=Calendar!$H$4),IF(Events!$E447="Yes",IF(AND(B445&gt;=Events!$A447,B445&lt;=$B$2,B445+$A445&gt;=$B$1),B445,IF(AND(C445&gt;=Events!$A447,C445&lt;=$B$2,C445+$A445&gt;=$B$1),C445,IF(AND(D445&gt;=Events!$A447,D445&lt;=$B$2,D445+$A445&gt;=$B$1),D445,""))),IF(AND(Events!$A447&lt;=$B$2,Events!$A447+$A445&gt;=$B$1),Events!$A447,"")),""))</f>
        <v/>
      </c>
      <c r="F445">
        <f>IF(E445="","",E445+A445)</f>
        <v/>
      </c>
      <c r="G445">
        <f>IF(E445="","",IF(AND(E445&lt;=EOMONTH(Calendar!$K$2,0),F445&gt;=Calendar!$K$2),E445+442/100000,""))</f>
        <v/>
      </c>
      <c r="H445">
        <f>H444+IF(AND($E445&lt;&gt;"",$E445&lt;=H$2,$F445&gt;=H$2),1,0)</f>
        <v/>
      </c>
      <c r="I445">
        <f>I444+IF(AND($E445&lt;&gt;"",$E445&lt;=I$2,$F445&gt;=I$2),1,0)</f>
        <v/>
      </c>
      <c r="J445">
        <f>J444+IF(AND($E445&lt;&gt;"",$E445&lt;=J$2,$F445&gt;=J$2),1,0)</f>
        <v/>
      </c>
      <c r="K445">
        <f>K444+IF(AND($E445&lt;&gt;"",$E445&lt;=K$2,$F445&gt;=K$2),1,0)</f>
        <v/>
      </c>
      <c r="L445">
        <f>L444+IF(AND($E445&lt;&gt;"",$E445&lt;=L$2,$F445&gt;=L$2),1,0)</f>
        <v/>
      </c>
      <c r="M445">
        <f>M444+IF(AND($E445&lt;&gt;"",$E445&lt;=M$2,$F445&gt;=M$2),1,0)</f>
        <v/>
      </c>
      <c r="N445">
        <f>N444+IF(AND($E445&lt;&gt;"",$E445&lt;=N$2,$F445&gt;=N$2),1,0)</f>
        <v/>
      </c>
      <c r="O445">
        <f>O444+IF(AND($E445&lt;&gt;"",$E445&lt;=O$2,$F445&gt;=O$2),1,0)</f>
        <v/>
      </c>
      <c r="P445">
        <f>P444+IF(AND($E445&lt;&gt;"",$E445&lt;=P$2,$F445&gt;=P$2),1,0)</f>
        <v/>
      </c>
      <c r="Q445">
        <f>Q444+IF(AND($E445&lt;&gt;"",$E445&lt;=Q$2,$F445&gt;=Q$2),1,0)</f>
        <v/>
      </c>
      <c r="R445">
        <f>R444+IF(AND($E445&lt;&gt;"",$E445&lt;=R$2,$F445&gt;=R$2),1,0)</f>
        <v/>
      </c>
      <c r="S445">
        <f>S444+IF(AND($E445&lt;&gt;"",$E445&lt;=S$2,$F445&gt;=S$2),1,0)</f>
        <v/>
      </c>
      <c r="T445">
        <f>T444+IF(AND($E445&lt;&gt;"",$E445&lt;=T$2,$F445&gt;=T$2),1,0)</f>
        <v/>
      </c>
      <c r="U445">
        <f>U444+IF(AND($E445&lt;&gt;"",$E445&lt;=U$2,$F445&gt;=U$2),1,0)</f>
        <v/>
      </c>
      <c r="V445">
        <f>V444+IF(AND($E445&lt;&gt;"",$E445&lt;=V$2,$F445&gt;=V$2),1,0)</f>
        <v/>
      </c>
      <c r="W445">
        <f>W444+IF(AND($E445&lt;&gt;"",$E445&lt;=W$2,$F445&gt;=W$2),1,0)</f>
        <v/>
      </c>
      <c r="X445">
        <f>X444+IF(AND($E445&lt;&gt;"",$E445&lt;=X$2,$F445&gt;=X$2),1,0)</f>
        <v/>
      </c>
      <c r="Y445">
        <f>Y444+IF(AND($E445&lt;&gt;"",$E445&lt;=Y$2,$F445&gt;=Y$2),1,0)</f>
        <v/>
      </c>
      <c r="Z445">
        <f>Z444+IF(AND($E445&lt;&gt;"",$E445&lt;=Z$2,$F445&gt;=Z$2),1,0)</f>
        <v/>
      </c>
      <c r="AA445">
        <f>AA444+IF(AND($E445&lt;&gt;"",$E445&lt;=AA$2,$F445&gt;=AA$2),1,0)</f>
        <v/>
      </c>
      <c r="AB445">
        <f>AB444+IF(AND($E445&lt;&gt;"",$E445&lt;=AB$2,$F445&gt;=AB$2),1,0)</f>
        <v/>
      </c>
      <c r="AC445">
        <f>AC444+IF(AND($E445&lt;&gt;"",$E445&lt;=AC$2,$F445&gt;=AC$2),1,0)</f>
        <v/>
      </c>
      <c r="AD445">
        <f>AD444+IF(AND($E445&lt;&gt;"",$E445&lt;=AD$2,$F445&gt;=AD$2),1,0)</f>
        <v/>
      </c>
      <c r="AE445">
        <f>AE444+IF(AND($E445&lt;&gt;"",$E445&lt;=AE$2,$F445&gt;=AE$2),1,0)</f>
        <v/>
      </c>
      <c r="AF445">
        <f>AF444+IF(AND($E445&lt;&gt;"",$E445&lt;=AF$2,$F445&gt;=AF$2),1,0)</f>
        <v/>
      </c>
      <c r="AG445">
        <f>AG444+IF(AND($E445&lt;&gt;"",$E445&lt;=AG$2,$F445&gt;=AG$2),1,0)</f>
        <v/>
      </c>
      <c r="AH445">
        <f>AH444+IF(AND($E445&lt;&gt;"",$E445&lt;=AH$2,$F445&gt;=AH$2),1,0)</f>
        <v/>
      </c>
      <c r="AI445">
        <f>AI444+IF(AND($E445&lt;&gt;"",$E445&lt;=AI$2,$F445&gt;=AI$2),1,0)</f>
        <v/>
      </c>
      <c r="AJ445">
        <f>AJ444+IF(AND($E445&lt;&gt;"",$E445&lt;=AJ$2,$F445&gt;=AJ$2),1,0)</f>
        <v/>
      </c>
      <c r="AK445">
        <f>AK444+IF(AND($E445&lt;&gt;"",$E445&lt;=AK$2,$F445&gt;=AK$2),1,0)</f>
        <v/>
      </c>
      <c r="AL445">
        <f>AL444+IF(AND($E445&lt;&gt;"",$E445&lt;=AL$2,$F445&gt;=AL$2),1,0)</f>
        <v/>
      </c>
      <c r="AM445">
        <f>AM444+IF(AND($E445&lt;&gt;"",$E445&lt;=AM$2,$F445&gt;=AM$2),1,0)</f>
        <v/>
      </c>
      <c r="AN445">
        <f>AN444+IF(AND($E445&lt;&gt;"",$E445&lt;=AN$2,$F445&gt;=AN$2),1,0)</f>
        <v/>
      </c>
      <c r="AO445">
        <f>AO444+IF(AND($E445&lt;&gt;"",$E445&lt;=AO$2,$F445&gt;=AO$2),1,0)</f>
        <v/>
      </c>
      <c r="AP445">
        <f>AP444+IF(AND($E445&lt;&gt;"",$E445&lt;=AP$2,$F445&gt;=AP$2),1,0)</f>
        <v/>
      </c>
      <c r="AQ445">
        <f>AQ444+IF(AND($E445&lt;&gt;"",$E445&lt;=AQ$2,$F445&gt;=AQ$2),1,0)</f>
        <v/>
      </c>
      <c r="AR445">
        <f>AR444+IF(AND($E445&lt;&gt;"",$E445&lt;=AR$2,$F445&gt;=AR$2),1,0)</f>
        <v/>
      </c>
      <c r="AS445">
        <f>AS444+IF(AND($E445&lt;&gt;"",$E445&lt;=AS$2,$F445&gt;=AS$2),1,0)</f>
        <v/>
      </c>
      <c r="AT445">
        <f>AT444+IF(AND($E445&lt;&gt;"",$E445&lt;=AT$2,$F445&gt;=AT$2),1,0)</f>
        <v/>
      </c>
      <c r="AU445">
        <f>AU444+IF(AND($E445&lt;&gt;"",$E445&lt;=AU$2,$F445&gt;=AU$2),1,0)</f>
        <v/>
      </c>
      <c r="AV445">
        <f>AV444+IF(AND($E445&lt;&gt;"",$E445&lt;=AV$2,$F445&gt;=AV$2),1,0)</f>
        <v/>
      </c>
      <c r="AW445">
        <f>AW444+IF(AND($E445&lt;&gt;"",$E445&lt;=AW$2,$F445&gt;=AW$2),1,0)</f>
        <v/>
      </c>
    </row>
    <row r="446">
      <c r="A446">
        <f>IF(AND(ISNUMBER(Events!$A448),ISNUMBER(Events!$B448)),MAX(0,Events!$B448-Events!$A448),0)</f>
        <v/>
      </c>
      <c r="B446">
        <f>IF(ISNUMBER(Events!$A448),DATE(YEAR($B$1)-1,MONTH(Events!$A448),DAY(Events!$A448)),"")</f>
        <v/>
      </c>
      <c r="C446">
        <f>IF(ISNUMBER(Events!$A448),DATE(YEAR($B$1),MONTH(Events!$A448),DAY(Events!$A448)),"")</f>
        <v/>
      </c>
      <c r="D446">
        <f>IF(ISNUMBER(Events!$A448),DATE(YEAR($B$2),MONTH(Events!$A448),DAY(Events!$A448)),"")</f>
        <v/>
      </c>
      <c r="E446">
        <f>IF(OR(NOT(ISNUMBER(Events!$A448)),Events!$G448="No",Calendar!$H$4="None"),"",IF(OR(Calendar!$H$4="All events",Events!$D448=Calendar!$H$4),IF(Events!$E448="Yes",IF(AND(B446&gt;=Events!$A448,B446&lt;=$B$2,B446+$A446&gt;=$B$1),B446,IF(AND(C446&gt;=Events!$A448,C446&lt;=$B$2,C446+$A446&gt;=$B$1),C446,IF(AND(D446&gt;=Events!$A448,D446&lt;=$B$2,D446+$A446&gt;=$B$1),D446,""))),IF(AND(Events!$A448&lt;=$B$2,Events!$A448+$A446&gt;=$B$1),Events!$A448,"")),""))</f>
        <v/>
      </c>
      <c r="F446">
        <f>IF(E446="","",E446+A446)</f>
        <v/>
      </c>
      <c r="G446">
        <f>IF(E446="","",IF(AND(E446&lt;=EOMONTH(Calendar!$K$2,0),F446&gt;=Calendar!$K$2),E446+443/100000,""))</f>
        <v/>
      </c>
      <c r="H446">
        <f>H445+IF(AND($E446&lt;&gt;"",$E446&lt;=H$2,$F446&gt;=H$2),1,0)</f>
        <v/>
      </c>
      <c r="I446">
        <f>I445+IF(AND($E446&lt;&gt;"",$E446&lt;=I$2,$F446&gt;=I$2),1,0)</f>
        <v/>
      </c>
      <c r="J446">
        <f>J445+IF(AND($E446&lt;&gt;"",$E446&lt;=J$2,$F446&gt;=J$2),1,0)</f>
        <v/>
      </c>
      <c r="K446">
        <f>K445+IF(AND($E446&lt;&gt;"",$E446&lt;=K$2,$F446&gt;=K$2),1,0)</f>
        <v/>
      </c>
      <c r="L446">
        <f>L445+IF(AND($E446&lt;&gt;"",$E446&lt;=L$2,$F446&gt;=L$2),1,0)</f>
        <v/>
      </c>
      <c r="M446">
        <f>M445+IF(AND($E446&lt;&gt;"",$E446&lt;=M$2,$F446&gt;=M$2),1,0)</f>
        <v/>
      </c>
      <c r="N446">
        <f>N445+IF(AND($E446&lt;&gt;"",$E446&lt;=N$2,$F446&gt;=N$2),1,0)</f>
        <v/>
      </c>
      <c r="O446">
        <f>O445+IF(AND($E446&lt;&gt;"",$E446&lt;=O$2,$F446&gt;=O$2),1,0)</f>
        <v/>
      </c>
      <c r="P446">
        <f>P445+IF(AND($E446&lt;&gt;"",$E446&lt;=P$2,$F446&gt;=P$2),1,0)</f>
        <v/>
      </c>
      <c r="Q446">
        <f>Q445+IF(AND($E446&lt;&gt;"",$E446&lt;=Q$2,$F446&gt;=Q$2),1,0)</f>
        <v/>
      </c>
      <c r="R446">
        <f>R445+IF(AND($E446&lt;&gt;"",$E446&lt;=R$2,$F446&gt;=R$2),1,0)</f>
        <v/>
      </c>
      <c r="S446">
        <f>S445+IF(AND($E446&lt;&gt;"",$E446&lt;=S$2,$F446&gt;=S$2),1,0)</f>
        <v/>
      </c>
      <c r="T446">
        <f>T445+IF(AND($E446&lt;&gt;"",$E446&lt;=T$2,$F446&gt;=T$2),1,0)</f>
        <v/>
      </c>
      <c r="U446">
        <f>U445+IF(AND($E446&lt;&gt;"",$E446&lt;=U$2,$F446&gt;=U$2),1,0)</f>
        <v/>
      </c>
      <c r="V446">
        <f>V445+IF(AND($E446&lt;&gt;"",$E446&lt;=V$2,$F446&gt;=V$2),1,0)</f>
        <v/>
      </c>
      <c r="W446">
        <f>W445+IF(AND($E446&lt;&gt;"",$E446&lt;=W$2,$F446&gt;=W$2),1,0)</f>
        <v/>
      </c>
      <c r="X446">
        <f>X445+IF(AND($E446&lt;&gt;"",$E446&lt;=X$2,$F446&gt;=X$2),1,0)</f>
        <v/>
      </c>
      <c r="Y446">
        <f>Y445+IF(AND($E446&lt;&gt;"",$E446&lt;=Y$2,$F446&gt;=Y$2),1,0)</f>
        <v/>
      </c>
      <c r="Z446">
        <f>Z445+IF(AND($E446&lt;&gt;"",$E446&lt;=Z$2,$F446&gt;=Z$2),1,0)</f>
        <v/>
      </c>
      <c r="AA446">
        <f>AA445+IF(AND($E446&lt;&gt;"",$E446&lt;=AA$2,$F446&gt;=AA$2),1,0)</f>
        <v/>
      </c>
      <c r="AB446">
        <f>AB445+IF(AND($E446&lt;&gt;"",$E446&lt;=AB$2,$F446&gt;=AB$2),1,0)</f>
        <v/>
      </c>
      <c r="AC446">
        <f>AC445+IF(AND($E446&lt;&gt;"",$E446&lt;=AC$2,$F446&gt;=AC$2),1,0)</f>
        <v/>
      </c>
      <c r="AD446">
        <f>AD445+IF(AND($E446&lt;&gt;"",$E446&lt;=AD$2,$F446&gt;=AD$2),1,0)</f>
        <v/>
      </c>
      <c r="AE446">
        <f>AE445+IF(AND($E446&lt;&gt;"",$E446&lt;=AE$2,$F446&gt;=AE$2),1,0)</f>
        <v/>
      </c>
      <c r="AF446">
        <f>AF445+IF(AND($E446&lt;&gt;"",$E446&lt;=AF$2,$F446&gt;=AF$2),1,0)</f>
        <v/>
      </c>
      <c r="AG446">
        <f>AG445+IF(AND($E446&lt;&gt;"",$E446&lt;=AG$2,$F446&gt;=AG$2),1,0)</f>
        <v/>
      </c>
      <c r="AH446">
        <f>AH445+IF(AND($E446&lt;&gt;"",$E446&lt;=AH$2,$F446&gt;=AH$2),1,0)</f>
        <v/>
      </c>
      <c r="AI446">
        <f>AI445+IF(AND($E446&lt;&gt;"",$E446&lt;=AI$2,$F446&gt;=AI$2),1,0)</f>
        <v/>
      </c>
      <c r="AJ446">
        <f>AJ445+IF(AND($E446&lt;&gt;"",$E446&lt;=AJ$2,$F446&gt;=AJ$2),1,0)</f>
        <v/>
      </c>
      <c r="AK446">
        <f>AK445+IF(AND($E446&lt;&gt;"",$E446&lt;=AK$2,$F446&gt;=AK$2),1,0)</f>
        <v/>
      </c>
      <c r="AL446">
        <f>AL445+IF(AND($E446&lt;&gt;"",$E446&lt;=AL$2,$F446&gt;=AL$2),1,0)</f>
        <v/>
      </c>
      <c r="AM446">
        <f>AM445+IF(AND($E446&lt;&gt;"",$E446&lt;=AM$2,$F446&gt;=AM$2),1,0)</f>
        <v/>
      </c>
      <c r="AN446">
        <f>AN445+IF(AND($E446&lt;&gt;"",$E446&lt;=AN$2,$F446&gt;=AN$2),1,0)</f>
        <v/>
      </c>
      <c r="AO446">
        <f>AO445+IF(AND($E446&lt;&gt;"",$E446&lt;=AO$2,$F446&gt;=AO$2),1,0)</f>
        <v/>
      </c>
      <c r="AP446">
        <f>AP445+IF(AND($E446&lt;&gt;"",$E446&lt;=AP$2,$F446&gt;=AP$2),1,0)</f>
        <v/>
      </c>
      <c r="AQ446">
        <f>AQ445+IF(AND($E446&lt;&gt;"",$E446&lt;=AQ$2,$F446&gt;=AQ$2),1,0)</f>
        <v/>
      </c>
      <c r="AR446">
        <f>AR445+IF(AND($E446&lt;&gt;"",$E446&lt;=AR$2,$F446&gt;=AR$2),1,0)</f>
        <v/>
      </c>
      <c r="AS446">
        <f>AS445+IF(AND($E446&lt;&gt;"",$E446&lt;=AS$2,$F446&gt;=AS$2),1,0)</f>
        <v/>
      </c>
      <c r="AT446">
        <f>AT445+IF(AND($E446&lt;&gt;"",$E446&lt;=AT$2,$F446&gt;=AT$2),1,0)</f>
        <v/>
      </c>
      <c r="AU446">
        <f>AU445+IF(AND($E446&lt;&gt;"",$E446&lt;=AU$2,$F446&gt;=AU$2),1,0)</f>
        <v/>
      </c>
      <c r="AV446">
        <f>AV445+IF(AND($E446&lt;&gt;"",$E446&lt;=AV$2,$F446&gt;=AV$2),1,0)</f>
        <v/>
      </c>
      <c r="AW446">
        <f>AW445+IF(AND($E446&lt;&gt;"",$E446&lt;=AW$2,$F446&gt;=AW$2),1,0)</f>
        <v/>
      </c>
    </row>
    <row r="447">
      <c r="A447">
        <f>IF(AND(ISNUMBER(Events!$A449),ISNUMBER(Events!$B449)),MAX(0,Events!$B449-Events!$A449),0)</f>
        <v/>
      </c>
      <c r="B447">
        <f>IF(ISNUMBER(Events!$A449),DATE(YEAR($B$1)-1,MONTH(Events!$A449),DAY(Events!$A449)),"")</f>
        <v/>
      </c>
      <c r="C447">
        <f>IF(ISNUMBER(Events!$A449),DATE(YEAR($B$1),MONTH(Events!$A449),DAY(Events!$A449)),"")</f>
        <v/>
      </c>
      <c r="D447">
        <f>IF(ISNUMBER(Events!$A449),DATE(YEAR($B$2),MONTH(Events!$A449),DAY(Events!$A449)),"")</f>
        <v/>
      </c>
      <c r="E447">
        <f>IF(OR(NOT(ISNUMBER(Events!$A449)),Events!$G449="No",Calendar!$H$4="None"),"",IF(OR(Calendar!$H$4="All events",Events!$D449=Calendar!$H$4),IF(Events!$E449="Yes",IF(AND(B447&gt;=Events!$A449,B447&lt;=$B$2,B447+$A447&gt;=$B$1),B447,IF(AND(C447&gt;=Events!$A449,C447&lt;=$B$2,C447+$A447&gt;=$B$1),C447,IF(AND(D447&gt;=Events!$A449,D447&lt;=$B$2,D447+$A447&gt;=$B$1),D447,""))),IF(AND(Events!$A449&lt;=$B$2,Events!$A449+$A447&gt;=$B$1),Events!$A449,"")),""))</f>
        <v/>
      </c>
      <c r="F447">
        <f>IF(E447="","",E447+A447)</f>
        <v/>
      </c>
      <c r="G447">
        <f>IF(E447="","",IF(AND(E447&lt;=EOMONTH(Calendar!$K$2,0),F447&gt;=Calendar!$K$2),E447+444/100000,""))</f>
        <v/>
      </c>
      <c r="H447">
        <f>H446+IF(AND($E447&lt;&gt;"",$E447&lt;=H$2,$F447&gt;=H$2),1,0)</f>
        <v/>
      </c>
      <c r="I447">
        <f>I446+IF(AND($E447&lt;&gt;"",$E447&lt;=I$2,$F447&gt;=I$2),1,0)</f>
        <v/>
      </c>
      <c r="J447">
        <f>J446+IF(AND($E447&lt;&gt;"",$E447&lt;=J$2,$F447&gt;=J$2),1,0)</f>
        <v/>
      </c>
      <c r="K447">
        <f>K446+IF(AND($E447&lt;&gt;"",$E447&lt;=K$2,$F447&gt;=K$2),1,0)</f>
        <v/>
      </c>
      <c r="L447">
        <f>L446+IF(AND($E447&lt;&gt;"",$E447&lt;=L$2,$F447&gt;=L$2),1,0)</f>
        <v/>
      </c>
      <c r="M447">
        <f>M446+IF(AND($E447&lt;&gt;"",$E447&lt;=M$2,$F447&gt;=M$2),1,0)</f>
        <v/>
      </c>
      <c r="N447">
        <f>N446+IF(AND($E447&lt;&gt;"",$E447&lt;=N$2,$F447&gt;=N$2),1,0)</f>
        <v/>
      </c>
      <c r="O447">
        <f>O446+IF(AND($E447&lt;&gt;"",$E447&lt;=O$2,$F447&gt;=O$2),1,0)</f>
        <v/>
      </c>
      <c r="P447">
        <f>P446+IF(AND($E447&lt;&gt;"",$E447&lt;=P$2,$F447&gt;=P$2),1,0)</f>
        <v/>
      </c>
      <c r="Q447">
        <f>Q446+IF(AND($E447&lt;&gt;"",$E447&lt;=Q$2,$F447&gt;=Q$2),1,0)</f>
        <v/>
      </c>
      <c r="R447">
        <f>R446+IF(AND($E447&lt;&gt;"",$E447&lt;=R$2,$F447&gt;=R$2),1,0)</f>
        <v/>
      </c>
      <c r="S447">
        <f>S446+IF(AND($E447&lt;&gt;"",$E447&lt;=S$2,$F447&gt;=S$2),1,0)</f>
        <v/>
      </c>
      <c r="T447">
        <f>T446+IF(AND($E447&lt;&gt;"",$E447&lt;=T$2,$F447&gt;=T$2),1,0)</f>
        <v/>
      </c>
      <c r="U447">
        <f>U446+IF(AND($E447&lt;&gt;"",$E447&lt;=U$2,$F447&gt;=U$2),1,0)</f>
        <v/>
      </c>
      <c r="V447">
        <f>V446+IF(AND($E447&lt;&gt;"",$E447&lt;=V$2,$F447&gt;=V$2),1,0)</f>
        <v/>
      </c>
      <c r="W447">
        <f>W446+IF(AND($E447&lt;&gt;"",$E447&lt;=W$2,$F447&gt;=W$2),1,0)</f>
        <v/>
      </c>
      <c r="X447">
        <f>X446+IF(AND($E447&lt;&gt;"",$E447&lt;=X$2,$F447&gt;=X$2),1,0)</f>
        <v/>
      </c>
      <c r="Y447">
        <f>Y446+IF(AND($E447&lt;&gt;"",$E447&lt;=Y$2,$F447&gt;=Y$2),1,0)</f>
        <v/>
      </c>
      <c r="Z447">
        <f>Z446+IF(AND($E447&lt;&gt;"",$E447&lt;=Z$2,$F447&gt;=Z$2),1,0)</f>
        <v/>
      </c>
      <c r="AA447">
        <f>AA446+IF(AND($E447&lt;&gt;"",$E447&lt;=AA$2,$F447&gt;=AA$2),1,0)</f>
        <v/>
      </c>
      <c r="AB447">
        <f>AB446+IF(AND($E447&lt;&gt;"",$E447&lt;=AB$2,$F447&gt;=AB$2),1,0)</f>
        <v/>
      </c>
      <c r="AC447">
        <f>AC446+IF(AND($E447&lt;&gt;"",$E447&lt;=AC$2,$F447&gt;=AC$2),1,0)</f>
        <v/>
      </c>
      <c r="AD447">
        <f>AD446+IF(AND($E447&lt;&gt;"",$E447&lt;=AD$2,$F447&gt;=AD$2),1,0)</f>
        <v/>
      </c>
      <c r="AE447">
        <f>AE446+IF(AND($E447&lt;&gt;"",$E447&lt;=AE$2,$F447&gt;=AE$2),1,0)</f>
        <v/>
      </c>
      <c r="AF447">
        <f>AF446+IF(AND($E447&lt;&gt;"",$E447&lt;=AF$2,$F447&gt;=AF$2),1,0)</f>
        <v/>
      </c>
      <c r="AG447">
        <f>AG446+IF(AND($E447&lt;&gt;"",$E447&lt;=AG$2,$F447&gt;=AG$2),1,0)</f>
        <v/>
      </c>
      <c r="AH447">
        <f>AH446+IF(AND($E447&lt;&gt;"",$E447&lt;=AH$2,$F447&gt;=AH$2),1,0)</f>
        <v/>
      </c>
      <c r="AI447">
        <f>AI446+IF(AND($E447&lt;&gt;"",$E447&lt;=AI$2,$F447&gt;=AI$2),1,0)</f>
        <v/>
      </c>
      <c r="AJ447">
        <f>AJ446+IF(AND($E447&lt;&gt;"",$E447&lt;=AJ$2,$F447&gt;=AJ$2),1,0)</f>
        <v/>
      </c>
      <c r="AK447">
        <f>AK446+IF(AND($E447&lt;&gt;"",$E447&lt;=AK$2,$F447&gt;=AK$2),1,0)</f>
        <v/>
      </c>
      <c r="AL447">
        <f>AL446+IF(AND($E447&lt;&gt;"",$E447&lt;=AL$2,$F447&gt;=AL$2),1,0)</f>
        <v/>
      </c>
      <c r="AM447">
        <f>AM446+IF(AND($E447&lt;&gt;"",$E447&lt;=AM$2,$F447&gt;=AM$2),1,0)</f>
        <v/>
      </c>
      <c r="AN447">
        <f>AN446+IF(AND($E447&lt;&gt;"",$E447&lt;=AN$2,$F447&gt;=AN$2),1,0)</f>
        <v/>
      </c>
      <c r="AO447">
        <f>AO446+IF(AND($E447&lt;&gt;"",$E447&lt;=AO$2,$F447&gt;=AO$2),1,0)</f>
        <v/>
      </c>
      <c r="AP447">
        <f>AP446+IF(AND($E447&lt;&gt;"",$E447&lt;=AP$2,$F447&gt;=AP$2),1,0)</f>
        <v/>
      </c>
      <c r="AQ447">
        <f>AQ446+IF(AND($E447&lt;&gt;"",$E447&lt;=AQ$2,$F447&gt;=AQ$2),1,0)</f>
        <v/>
      </c>
      <c r="AR447">
        <f>AR446+IF(AND($E447&lt;&gt;"",$E447&lt;=AR$2,$F447&gt;=AR$2),1,0)</f>
        <v/>
      </c>
      <c r="AS447">
        <f>AS446+IF(AND($E447&lt;&gt;"",$E447&lt;=AS$2,$F447&gt;=AS$2),1,0)</f>
        <v/>
      </c>
      <c r="AT447">
        <f>AT446+IF(AND($E447&lt;&gt;"",$E447&lt;=AT$2,$F447&gt;=AT$2),1,0)</f>
        <v/>
      </c>
      <c r="AU447">
        <f>AU446+IF(AND($E447&lt;&gt;"",$E447&lt;=AU$2,$F447&gt;=AU$2),1,0)</f>
        <v/>
      </c>
      <c r="AV447">
        <f>AV446+IF(AND($E447&lt;&gt;"",$E447&lt;=AV$2,$F447&gt;=AV$2),1,0)</f>
        <v/>
      </c>
      <c r="AW447">
        <f>AW446+IF(AND($E447&lt;&gt;"",$E447&lt;=AW$2,$F447&gt;=AW$2),1,0)</f>
        <v/>
      </c>
    </row>
    <row r="448">
      <c r="A448">
        <f>IF(AND(ISNUMBER(Events!$A450),ISNUMBER(Events!$B450)),MAX(0,Events!$B450-Events!$A450),0)</f>
        <v/>
      </c>
      <c r="B448">
        <f>IF(ISNUMBER(Events!$A450),DATE(YEAR($B$1)-1,MONTH(Events!$A450),DAY(Events!$A450)),"")</f>
        <v/>
      </c>
      <c r="C448">
        <f>IF(ISNUMBER(Events!$A450),DATE(YEAR($B$1),MONTH(Events!$A450),DAY(Events!$A450)),"")</f>
        <v/>
      </c>
      <c r="D448">
        <f>IF(ISNUMBER(Events!$A450),DATE(YEAR($B$2),MONTH(Events!$A450),DAY(Events!$A450)),"")</f>
        <v/>
      </c>
      <c r="E448">
        <f>IF(OR(NOT(ISNUMBER(Events!$A450)),Events!$G450="No",Calendar!$H$4="None"),"",IF(OR(Calendar!$H$4="All events",Events!$D450=Calendar!$H$4),IF(Events!$E450="Yes",IF(AND(B448&gt;=Events!$A450,B448&lt;=$B$2,B448+$A448&gt;=$B$1),B448,IF(AND(C448&gt;=Events!$A450,C448&lt;=$B$2,C448+$A448&gt;=$B$1),C448,IF(AND(D448&gt;=Events!$A450,D448&lt;=$B$2,D448+$A448&gt;=$B$1),D448,""))),IF(AND(Events!$A450&lt;=$B$2,Events!$A450+$A448&gt;=$B$1),Events!$A450,"")),""))</f>
        <v/>
      </c>
      <c r="F448">
        <f>IF(E448="","",E448+A448)</f>
        <v/>
      </c>
      <c r="G448">
        <f>IF(E448="","",IF(AND(E448&lt;=EOMONTH(Calendar!$K$2,0),F448&gt;=Calendar!$K$2),E448+445/100000,""))</f>
        <v/>
      </c>
      <c r="H448">
        <f>H447+IF(AND($E448&lt;&gt;"",$E448&lt;=H$2,$F448&gt;=H$2),1,0)</f>
        <v/>
      </c>
      <c r="I448">
        <f>I447+IF(AND($E448&lt;&gt;"",$E448&lt;=I$2,$F448&gt;=I$2),1,0)</f>
        <v/>
      </c>
      <c r="J448">
        <f>J447+IF(AND($E448&lt;&gt;"",$E448&lt;=J$2,$F448&gt;=J$2),1,0)</f>
        <v/>
      </c>
      <c r="K448">
        <f>K447+IF(AND($E448&lt;&gt;"",$E448&lt;=K$2,$F448&gt;=K$2),1,0)</f>
        <v/>
      </c>
      <c r="L448">
        <f>L447+IF(AND($E448&lt;&gt;"",$E448&lt;=L$2,$F448&gt;=L$2),1,0)</f>
        <v/>
      </c>
      <c r="M448">
        <f>M447+IF(AND($E448&lt;&gt;"",$E448&lt;=M$2,$F448&gt;=M$2),1,0)</f>
        <v/>
      </c>
      <c r="N448">
        <f>N447+IF(AND($E448&lt;&gt;"",$E448&lt;=N$2,$F448&gt;=N$2),1,0)</f>
        <v/>
      </c>
      <c r="O448">
        <f>O447+IF(AND($E448&lt;&gt;"",$E448&lt;=O$2,$F448&gt;=O$2),1,0)</f>
        <v/>
      </c>
      <c r="P448">
        <f>P447+IF(AND($E448&lt;&gt;"",$E448&lt;=P$2,$F448&gt;=P$2),1,0)</f>
        <v/>
      </c>
      <c r="Q448">
        <f>Q447+IF(AND($E448&lt;&gt;"",$E448&lt;=Q$2,$F448&gt;=Q$2),1,0)</f>
        <v/>
      </c>
      <c r="R448">
        <f>R447+IF(AND($E448&lt;&gt;"",$E448&lt;=R$2,$F448&gt;=R$2),1,0)</f>
        <v/>
      </c>
      <c r="S448">
        <f>S447+IF(AND($E448&lt;&gt;"",$E448&lt;=S$2,$F448&gt;=S$2),1,0)</f>
        <v/>
      </c>
      <c r="T448">
        <f>T447+IF(AND($E448&lt;&gt;"",$E448&lt;=T$2,$F448&gt;=T$2),1,0)</f>
        <v/>
      </c>
      <c r="U448">
        <f>U447+IF(AND($E448&lt;&gt;"",$E448&lt;=U$2,$F448&gt;=U$2),1,0)</f>
        <v/>
      </c>
      <c r="V448">
        <f>V447+IF(AND($E448&lt;&gt;"",$E448&lt;=V$2,$F448&gt;=V$2),1,0)</f>
        <v/>
      </c>
      <c r="W448">
        <f>W447+IF(AND($E448&lt;&gt;"",$E448&lt;=W$2,$F448&gt;=W$2),1,0)</f>
        <v/>
      </c>
      <c r="X448">
        <f>X447+IF(AND($E448&lt;&gt;"",$E448&lt;=X$2,$F448&gt;=X$2),1,0)</f>
        <v/>
      </c>
      <c r="Y448">
        <f>Y447+IF(AND($E448&lt;&gt;"",$E448&lt;=Y$2,$F448&gt;=Y$2),1,0)</f>
        <v/>
      </c>
      <c r="Z448">
        <f>Z447+IF(AND($E448&lt;&gt;"",$E448&lt;=Z$2,$F448&gt;=Z$2),1,0)</f>
        <v/>
      </c>
      <c r="AA448">
        <f>AA447+IF(AND($E448&lt;&gt;"",$E448&lt;=AA$2,$F448&gt;=AA$2),1,0)</f>
        <v/>
      </c>
      <c r="AB448">
        <f>AB447+IF(AND($E448&lt;&gt;"",$E448&lt;=AB$2,$F448&gt;=AB$2),1,0)</f>
        <v/>
      </c>
      <c r="AC448">
        <f>AC447+IF(AND($E448&lt;&gt;"",$E448&lt;=AC$2,$F448&gt;=AC$2),1,0)</f>
        <v/>
      </c>
      <c r="AD448">
        <f>AD447+IF(AND($E448&lt;&gt;"",$E448&lt;=AD$2,$F448&gt;=AD$2),1,0)</f>
        <v/>
      </c>
      <c r="AE448">
        <f>AE447+IF(AND($E448&lt;&gt;"",$E448&lt;=AE$2,$F448&gt;=AE$2),1,0)</f>
        <v/>
      </c>
      <c r="AF448">
        <f>AF447+IF(AND($E448&lt;&gt;"",$E448&lt;=AF$2,$F448&gt;=AF$2),1,0)</f>
        <v/>
      </c>
      <c r="AG448">
        <f>AG447+IF(AND($E448&lt;&gt;"",$E448&lt;=AG$2,$F448&gt;=AG$2),1,0)</f>
        <v/>
      </c>
      <c r="AH448">
        <f>AH447+IF(AND($E448&lt;&gt;"",$E448&lt;=AH$2,$F448&gt;=AH$2),1,0)</f>
        <v/>
      </c>
      <c r="AI448">
        <f>AI447+IF(AND($E448&lt;&gt;"",$E448&lt;=AI$2,$F448&gt;=AI$2),1,0)</f>
        <v/>
      </c>
      <c r="AJ448">
        <f>AJ447+IF(AND($E448&lt;&gt;"",$E448&lt;=AJ$2,$F448&gt;=AJ$2),1,0)</f>
        <v/>
      </c>
      <c r="AK448">
        <f>AK447+IF(AND($E448&lt;&gt;"",$E448&lt;=AK$2,$F448&gt;=AK$2),1,0)</f>
        <v/>
      </c>
      <c r="AL448">
        <f>AL447+IF(AND($E448&lt;&gt;"",$E448&lt;=AL$2,$F448&gt;=AL$2),1,0)</f>
        <v/>
      </c>
      <c r="AM448">
        <f>AM447+IF(AND($E448&lt;&gt;"",$E448&lt;=AM$2,$F448&gt;=AM$2),1,0)</f>
        <v/>
      </c>
      <c r="AN448">
        <f>AN447+IF(AND($E448&lt;&gt;"",$E448&lt;=AN$2,$F448&gt;=AN$2),1,0)</f>
        <v/>
      </c>
      <c r="AO448">
        <f>AO447+IF(AND($E448&lt;&gt;"",$E448&lt;=AO$2,$F448&gt;=AO$2),1,0)</f>
        <v/>
      </c>
      <c r="AP448">
        <f>AP447+IF(AND($E448&lt;&gt;"",$E448&lt;=AP$2,$F448&gt;=AP$2),1,0)</f>
        <v/>
      </c>
      <c r="AQ448">
        <f>AQ447+IF(AND($E448&lt;&gt;"",$E448&lt;=AQ$2,$F448&gt;=AQ$2),1,0)</f>
        <v/>
      </c>
      <c r="AR448">
        <f>AR447+IF(AND($E448&lt;&gt;"",$E448&lt;=AR$2,$F448&gt;=AR$2),1,0)</f>
        <v/>
      </c>
      <c r="AS448">
        <f>AS447+IF(AND($E448&lt;&gt;"",$E448&lt;=AS$2,$F448&gt;=AS$2),1,0)</f>
        <v/>
      </c>
      <c r="AT448">
        <f>AT447+IF(AND($E448&lt;&gt;"",$E448&lt;=AT$2,$F448&gt;=AT$2),1,0)</f>
        <v/>
      </c>
      <c r="AU448">
        <f>AU447+IF(AND($E448&lt;&gt;"",$E448&lt;=AU$2,$F448&gt;=AU$2),1,0)</f>
        <v/>
      </c>
      <c r="AV448">
        <f>AV447+IF(AND($E448&lt;&gt;"",$E448&lt;=AV$2,$F448&gt;=AV$2),1,0)</f>
        <v/>
      </c>
      <c r="AW448">
        <f>AW447+IF(AND($E448&lt;&gt;"",$E448&lt;=AW$2,$F448&gt;=AW$2),1,0)</f>
        <v/>
      </c>
    </row>
    <row r="449">
      <c r="A449">
        <f>IF(AND(ISNUMBER(Events!$A451),ISNUMBER(Events!$B451)),MAX(0,Events!$B451-Events!$A451),0)</f>
        <v/>
      </c>
      <c r="B449">
        <f>IF(ISNUMBER(Events!$A451),DATE(YEAR($B$1)-1,MONTH(Events!$A451),DAY(Events!$A451)),"")</f>
        <v/>
      </c>
      <c r="C449">
        <f>IF(ISNUMBER(Events!$A451),DATE(YEAR($B$1),MONTH(Events!$A451),DAY(Events!$A451)),"")</f>
        <v/>
      </c>
      <c r="D449">
        <f>IF(ISNUMBER(Events!$A451),DATE(YEAR($B$2),MONTH(Events!$A451),DAY(Events!$A451)),"")</f>
        <v/>
      </c>
      <c r="E449">
        <f>IF(OR(NOT(ISNUMBER(Events!$A451)),Events!$G451="No",Calendar!$H$4="None"),"",IF(OR(Calendar!$H$4="All events",Events!$D451=Calendar!$H$4),IF(Events!$E451="Yes",IF(AND(B449&gt;=Events!$A451,B449&lt;=$B$2,B449+$A449&gt;=$B$1),B449,IF(AND(C449&gt;=Events!$A451,C449&lt;=$B$2,C449+$A449&gt;=$B$1),C449,IF(AND(D449&gt;=Events!$A451,D449&lt;=$B$2,D449+$A449&gt;=$B$1),D449,""))),IF(AND(Events!$A451&lt;=$B$2,Events!$A451+$A449&gt;=$B$1),Events!$A451,"")),""))</f>
        <v/>
      </c>
      <c r="F449">
        <f>IF(E449="","",E449+A449)</f>
        <v/>
      </c>
      <c r="G449">
        <f>IF(E449="","",IF(AND(E449&lt;=EOMONTH(Calendar!$K$2,0),F449&gt;=Calendar!$K$2),E449+446/100000,""))</f>
        <v/>
      </c>
      <c r="H449">
        <f>H448+IF(AND($E449&lt;&gt;"",$E449&lt;=H$2,$F449&gt;=H$2),1,0)</f>
        <v/>
      </c>
      <c r="I449">
        <f>I448+IF(AND($E449&lt;&gt;"",$E449&lt;=I$2,$F449&gt;=I$2),1,0)</f>
        <v/>
      </c>
      <c r="J449">
        <f>J448+IF(AND($E449&lt;&gt;"",$E449&lt;=J$2,$F449&gt;=J$2),1,0)</f>
        <v/>
      </c>
      <c r="K449">
        <f>K448+IF(AND($E449&lt;&gt;"",$E449&lt;=K$2,$F449&gt;=K$2),1,0)</f>
        <v/>
      </c>
      <c r="L449">
        <f>L448+IF(AND($E449&lt;&gt;"",$E449&lt;=L$2,$F449&gt;=L$2),1,0)</f>
        <v/>
      </c>
      <c r="M449">
        <f>M448+IF(AND($E449&lt;&gt;"",$E449&lt;=M$2,$F449&gt;=M$2),1,0)</f>
        <v/>
      </c>
      <c r="N449">
        <f>N448+IF(AND($E449&lt;&gt;"",$E449&lt;=N$2,$F449&gt;=N$2),1,0)</f>
        <v/>
      </c>
      <c r="O449">
        <f>O448+IF(AND($E449&lt;&gt;"",$E449&lt;=O$2,$F449&gt;=O$2),1,0)</f>
        <v/>
      </c>
      <c r="P449">
        <f>P448+IF(AND($E449&lt;&gt;"",$E449&lt;=P$2,$F449&gt;=P$2),1,0)</f>
        <v/>
      </c>
      <c r="Q449">
        <f>Q448+IF(AND($E449&lt;&gt;"",$E449&lt;=Q$2,$F449&gt;=Q$2),1,0)</f>
        <v/>
      </c>
      <c r="R449">
        <f>R448+IF(AND($E449&lt;&gt;"",$E449&lt;=R$2,$F449&gt;=R$2),1,0)</f>
        <v/>
      </c>
      <c r="S449">
        <f>S448+IF(AND($E449&lt;&gt;"",$E449&lt;=S$2,$F449&gt;=S$2),1,0)</f>
        <v/>
      </c>
      <c r="T449">
        <f>T448+IF(AND($E449&lt;&gt;"",$E449&lt;=T$2,$F449&gt;=T$2),1,0)</f>
        <v/>
      </c>
      <c r="U449">
        <f>U448+IF(AND($E449&lt;&gt;"",$E449&lt;=U$2,$F449&gt;=U$2),1,0)</f>
        <v/>
      </c>
      <c r="V449">
        <f>V448+IF(AND($E449&lt;&gt;"",$E449&lt;=V$2,$F449&gt;=V$2),1,0)</f>
        <v/>
      </c>
      <c r="W449">
        <f>W448+IF(AND($E449&lt;&gt;"",$E449&lt;=W$2,$F449&gt;=W$2),1,0)</f>
        <v/>
      </c>
      <c r="X449">
        <f>X448+IF(AND($E449&lt;&gt;"",$E449&lt;=X$2,$F449&gt;=X$2),1,0)</f>
        <v/>
      </c>
      <c r="Y449">
        <f>Y448+IF(AND($E449&lt;&gt;"",$E449&lt;=Y$2,$F449&gt;=Y$2),1,0)</f>
        <v/>
      </c>
      <c r="Z449">
        <f>Z448+IF(AND($E449&lt;&gt;"",$E449&lt;=Z$2,$F449&gt;=Z$2),1,0)</f>
        <v/>
      </c>
      <c r="AA449">
        <f>AA448+IF(AND($E449&lt;&gt;"",$E449&lt;=AA$2,$F449&gt;=AA$2),1,0)</f>
        <v/>
      </c>
      <c r="AB449">
        <f>AB448+IF(AND($E449&lt;&gt;"",$E449&lt;=AB$2,$F449&gt;=AB$2),1,0)</f>
        <v/>
      </c>
      <c r="AC449">
        <f>AC448+IF(AND($E449&lt;&gt;"",$E449&lt;=AC$2,$F449&gt;=AC$2),1,0)</f>
        <v/>
      </c>
      <c r="AD449">
        <f>AD448+IF(AND($E449&lt;&gt;"",$E449&lt;=AD$2,$F449&gt;=AD$2),1,0)</f>
        <v/>
      </c>
      <c r="AE449">
        <f>AE448+IF(AND($E449&lt;&gt;"",$E449&lt;=AE$2,$F449&gt;=AE$2),1,0)</f>
        <v/>
      </c>
      <c r="AF449">
        <f>AF448+IF(AND($E449&lt;&gt;"",$E449&lt;=AF$2,$F449&gt;=AF$2),1,0)</f>
        <v/>
      </c>
      <c r="AG449">
        <f>AG448+IF(AND($E449&lt;&gt;"",$E449&lt;=AG$2,$F449&gt;=AG$2),1,0)</f>
        <v/>
      </c>
      <c r="AH449">
        <f>AH448+IF(AND($E449&lt;&gt;"",$E449&lt;=AH$2,$F449&gt;=AH$2),1,0)</f>
        <v/>
      </c>
      <c r="AI449">
        <f>AI448+IF(AND($E449&lt;&gt;"",$E449&lt;=AI$2,$F449&gt;=AI$2),1,0)</f>
        <v/>
      </c>
      <c r="AJ449">
        <f>AJ448+IF(AND($E449&lt;&gt;"",$E449&lt;=AJ$2,$F449&gt;=AJ$2),1,0)</f>
        <v/>
      </c>
      <c r="AK449">
        <f>AK448+IF(AND($E449&lt;&gt;"",$E449&lt;=AK$2,$F449&gt;=AK$2),1,0)</f>
        <v/>
      </c>
      <c r="AL449">
        <f>AL448+IF(AND($E449&lt;&gt;"",$E449&lt;=AL$2,$F449&gt;=AL$2),1,0)</f>
        <v/>
      </c>
      <c r="AM449">
        <f>AM448+IF(AND($E449&lt;&gt;"",$E449&lt;=AM$2,$F449&gt;=AM$2),1,0)</f>
        <v/>
      </c>
      <c r="AN449">
        <f>AN448+IF(AND($E449&lt;&gt;"",$E449&lt;=AN$2,$F449&gt;=AN$2),1,0)</f>
        <v/>
      </c>
      <c r="AO449">
        <f>AO448+IF(AND($E449&lt;&gt;"",$E449&lt;=AO$2,$F449&gt;=AO$2),1,0)</f>
        <v/>
      </c>
      <c r="AP449">
        <f>AP448+IF(AND($E449&lt;&gt;"",$E449&lt;=AP$2,$F449&gt;=AP$2),1,0)</f>
        <v/>
      </c>
      <c r="AQ449">
        <f>AQ448+IF(AND($E449&lt;&gt;"",$E449&lt;=AQ$2,$F449&gt;=AQ$2),1,0)</f>
        <v/>
      </c>
      <c r="AR449">
        <f>AR448+IF(AND($E449&lt;&gt;"",$E449&lt;=AR$2,$F449&gt;=AR$2),1,0)</f>
        <v/>
      </c>
      <c r="AS449">
        <f>AS448+IF(AND($E449&lt;&gt;"",$E449&lt;=AS$2,$F449&gt;=AS$2),1,0)</f>
        <v/>
      </c>
      <c r="AT449">
        <f>AT448+IF(AND($E449&lt;&gt;"",$E449&lt;=AT$2,$F449&gt;=AT$2),1,0)</f>
        <v/>
      </c>
      <c r="AU449">
        <f>AU448+IF(AND($E449&lt;&gt;"",$E449&lt;=AU$2,$F449&gt;=AU$2),1,0)</f>
        <v/>
      </c>
      <c r="AV449">
        <f>AV448+IF(AND($E449&lt;&gt;"",$E449&lt;=AV$2,$F449&gt;=AV$2),1,0)</f>
        <v/>
      </c>
      <c r="AW449">
        <f>AW448+IF(AND($E449&lt;&gt;"",$E449&lt;=AW$2,$F449&gt;=AW$2),1,0)</f>
        <v/>
      </c>
    </row>
    <row r="450">
      <c r="A450">
        <f>IF(AND(ISNUMBER(Events!$A452),ISNUMBER(Events!$B452)),MAX(0,Events!$B452-Events!$A452),0)</f>
        <v/>
      </c>
      <c r="B450">
        <f>IF(ISNUMBER(Events!$A452),DATE(YEAR($B$1)-1,MONTH(Events!$A452),DAY(Events!$A452)),"")</f>
        <v/>
      </c>
      <c r="C450">
        <f>IF(ISNUMBER(Events!$A452),DATE(YEAR($B$1),MONTH(Events!$A452),DAY(Events!$A452)),"")</f>
        <v/>
      </c>
      <c r="D450">
        <f>IF(ISNUMBER(Events!$A452),DATE(YEAR($B$2),MONTH(Events!$A452),DAY(Events!$A452)),"")</f>
        <v/>
      </c>
      <c r="E450">
        <f>IF(OR(NOT(ISNUMBER(Events!$A452)),Events!$G452="No",Calendar!$H$4="None"),"",IF(OR(Calendar!$H$4="All events",Events!$D452=Calendar!$H$4),IF(Events!$E452="Yes",IF(AND(B450&gt;=Events!$A452,B450&lt;=$B$2,B450+$A450&gt;=$B$1),B450,IF(AND(C450&gt;=Events!$A452,C450&lt;=$B$2,C450+$A450&gt;=$B$1),C450,IF(AND(D450&gt;=Events!$A452,D450&lt;=$B$2,D450+$A450&gt;=$B$1),D450,""))),IF(AND(Events!$A452&lt;=$B$2,Events!$A452+$A450&gt;=$B$1),Events!$A452,"")),""))</f>
        <v/>
      </c>
      <c r="F450">
        <f>IF(E450="","",E450+A450)</f>
        <v/>
      </c>
      <c r="G450">
        <f>IF(E450="","",IF(AND(E450&lt;=EOMONTH(Calendar!$K$2,0),F450&gt;=Calendar!$K$2),E450+447/100000,""))</f>
        <v/>
      </c>
      <c r="H450">
        <f>H449+IF(AND($E450&lt;&gt;"",$E450&lt;=H$2,$F450&gt;=H$2),1,0)</f>
        <v/>
      </c>
      <c r="I450">
        <f>I449+IF(AND($E450&lt;&gt;"",$E450&lt;=I$2,$F450&gt;=I$2),1,0)</f>
        <v/>
      </c>
      <c r="J450">
        <f>J449+IF(AND($E450&lt;&gt;"",$E450&lt;=J$2,$F450&gt;=J$2),1,0)</f>
        <v/>
      </c>
      <c r="K450">
        <f>K449+IF(AND($E450&lt;&gt;"",$E450&lt;=K$2,$F450&gt;=K$2),1,0)</f>
        <v/>
      </c>
      <c r="L450">
        <f>L449+IF(AND($E450&lt;&gt;"",$E450&lt;=L$2,$F450&gt;=L$2),1,0)</f>
        <v/>
      </c>
      <c r="M450">
        <f>M449+IF(AND($E450&lt;&gt;"",$E450&lt;=M$2,$F450&gt;=M$2),1,0)</f>
        <v/>
      </c>
      <c r="N450">
        <f>N449+IF(AND($E450&lt;&gt;"",$E450&lt;=N$2,$F450&gt;=N$2),1,0)</f>
        <v/>
      </c>
      <c r="O450">
        <f>O449+IF(AND($E450&lt;&gt;"",$E450&lt;=O$2,$F450&gt;=O$2),1,0)</f>
        <v/>
      </c>
      <c r="P450">
        <f>P449+IF(AND($E450&lt;&gt;"",$E450&lt;=P$2,$F450&gt;=P$2),1,0)</f>
        <v/>
      </c>
      <c r="Q450">
        <f>Q449+IF(AND($E450&lt;&gt;"",$E450&lt;=Q$2,$F450&gt;=Q$2),1,0)</f>
        <v/>
      </c>
      <c r="R450">
        <f>R449+IF(AND($E450&lt;&gt;"",$E450&lt;=R$2,$F450&gt;=R$2),1,0)</f>
        <v/>
      </c>
      <c r="S450">
        <f>S449+IF(AND($E450&lt;&gt;"",$E450&lt;=S$2,$F450&gt;=S$2),1,0)</f>
        <v/>
      </c>
      <c r="T450">
        <f>T449+IF(AND($E450&lt;&gt;"",$E450&lt;=T$2,$F450&gt;=T$2),1,0)</f>
        <v/>
      </c>
      <c r="U450">
        <f>U449+IF(AND($E450&lt;&gt;"",$E450&lt;=U$2,$F450&gt;=U$2),1,0)</f>
        <v/>
      </c>
      <c r="V450">
        <f>V449+IF(AND($E450&lt;&gt;"",$E450&lt;=V$2,$F450&gt;=V$2),1,0)</f>
        <v/>
      </c>
      <c r="W450">
        <f>W449+IF(AND($E450&lt;&gt;"",$E450&lt;=W$2,$F450&gt;=W$2),1,0)</f>
        <v/>
      </c>
      <c r="X450">
        <f>X449+IF(AND($E450&lt;&gt;"",$E450&lt;=X$2,$F450&gt;=X$2),1,0)</f>
        <v/>
      </c>
      <c r="Y450">
        <f>Y449+IF(AND($E450&lt;&gt;"",$E450&lt;=Y$2,$F450&gt;=Y$2),1,0)</f>
        <v/>
      </c>
      <c r="Z450">
        <f>Z449+IF(AND($E450&lt;&gt;"",$E450&lt;=Z$2,$F450&gt;=Z$2),1,0)</f>
        <v/>
      </c>
      <c r="AA450">
        <f>AA449+IF(AND($E450&lt;&gt;"",$E450&lt;=AA$2,$F450&gt;=AA$2),1,0)</f>
        <v/>
      </c>
      <c r="AB450">
        <f>AB449+IF(AND($E450&lt;&gt;"",$E450&lt;=AB$2,$F450&gt;=AB$2),1,0)</f>
        <v/>
      </c>
      <c r="AC450">
        <f>AC449+IF(AND($E450&lt;&gt;"",$E450&lt;=AC$2,$F450&gt;=AC$2),1,0)</f>
        <v/>
      </c>
      <c r="AD450">
        <f>AD449+IF(AND($E450&lt;&gt;"",$E450&lt;=AD$2,$F450&gt;=AD$2),1,0)</f>
        <v/>
      </c>
      <c r="AE450">
        <f>AE449+IF(AND($E450&lt;&gt;"",$E450&lt;=AE$2,$F450&gt;=AE$2),1,0)</f>
        <v/>
      </c>
      <c r="AF450">
        <f>AF449+IF(AND($E450&lt;&gt;"",$E450&lt;=AF$2,$F450&gt;=AF$2),1,0)</f>
        <v/>
      </c>
      <c r="AG450">
        <f>AG449+IF(AND($E450&lt;&gt;"",$E450&lt;=AG$2,$F450&gt;=AG$2),1,0)</f>
        <v/>
      </c>
      <c r="AH450">
        <f>AH449+IF(AND($E450&lt;&gt;"",$E450&lt;=AH$2,$F450&gt;=AH$2),1,0)</f>
        <v/>
      </c>
      <c r="AI450">
        <f>AI449+IF(AND($E450&lt;&gt;"",$E450&lt;=AI$2,$F450&gt;=AI$2),1,0)</f>
        <v/>
      </c>
      <c r="AJ450">
        <f>AJ449+IF(AND($E450&lt;&gt;"",$E450&lt;=AJ$2,$F450&gt;=AJ$2),1,0)</f>
        <v/>
      </c>
      <c r="AK450">
        <f>AK449+IF(AND($E450&lt;&gt;"",$E450&lt;=AK$2,$F450&gt;=AK$2),1,0)</f>
        <v/>
      </c>
      <c r="AL450">
        <f>AL449+IF(AND($E450&lt;&gt;"",$E450&lt;=AL$2,$F450&gt;=AL$2),1,0)</f>
        <v/>
      </c>
      <c r="AM450">
        <f>AM449+IF(AND($E450&lt;&gt;"",$E450&lt;=AM$2,$F450&gt;=AM$2),1,0)</f>
        <v/>
      </c>
      <c r="AN450">
        <f>AN449+IF(AND($E450&lt;&gt;"",$E450&lt;=AN$2,$F450&gt;=AN$2),1,0)</f>
        <v/>
      </c>
      <c r="AO450">
        <f>AO449+IF(AND($E450&lt;&gt;"",$E450&lt;=AO$2,$F450&gt;=AO$2),1,0)</f>
        <v/>
      </c>
      <c r="AP450">
        <f>AP449+IF(AND($E450&lt;&gt;"",$E450&lt;=AP$2,$F450&gt;=AP$2),1,0)</f>
        <v/>
      </c>
      <c r="AQ450">
        <f>AQ449+IF(AND($E450&lt;&gt;"",$E450&lt;=AQ$2,$F450&gt;=AQ$2),1,0)</f>
        <v/>
      </c>
      <c r="AR450">
        <f>AR449+IF(AND($E450&lt;&gt;"",$E450&lt;=AR$2,$F450&gt;=AR$2),1,0)</f>
        <v/>
      </c>
      <c r="AS450">
        <f>AS449+IF(AND($E450&lt;&gt;"",$E450&lt;=AS$2,$F450&gt;=AS$2),1,0)</f>
        <v/>
      </c>
      <c r="AT450">
        <f>AT449+IF(AND($E450&lt;&gt;"",$E450&lt;=AT$2,$F450&gt;=AT$2),1,0)</f>
        <v/>
      </c>
      <c r="AU450">
        <f>AU449+IF(AND($E450&lt;&gt;"",$E450&lt;=AU$2,$F450&gt;=AU$2),1,0)</f>
        <v/>
      </c>
      <c r="AV450">
        <f>AV449+IF(AND($E450&lt;&gt;"",$E450&lt;=AV$2,$F450&gt;=AV$2),1,0)</f>
        <v/>
      </c>
      <c r="AW450">
        <f>AW449+IF(AND($E450&lt;&gt;"",$E450&lt;=AW$2,$F450&gt;=AW$2),1,0)</f>
        <v/>
      </c>
    </row>
    <row r="451">
      <c r="A451">
        <f>IF(AND(ISNUMBER(Events!$A453),ISNUMBER(Events!$B453)),MAX(0,Events!$B453-Events!$A453),0)</f>
        <v/>
      </c>
      <c r="B451">
        <f>IF(ISNUMBER(Events!$A453),DATE(YEAR($B$1)-1,MONTH(Events!$A453),DAY(Events!$A453)),"")</f>
        <v/>
      </c>
      <c r="C451">
        <f>IF(ISNUMBER(Events!$A453),DATE(YEAR($B$1),MONTH(Events!$A453),DAY(Events!$A453)),"")</f>
        <v/>
      </c>
      <c r="D451">
        <f>IF(ISNUMBER(Events!$A453),DATE(YEAR($B$2),MONTH(Events!$A453),DAY(Events!$A453)),"")</f>
        <v/>
      </c>
      <c r="E451">
        <f>IF(OR(NOT(ISNUMBER(Events!$A453)),Events!$G453="No",Calendar!$H$4="None"),"",IF(OR(Calendar!$H$4="All events",Events!$D453=Calendar!$H$4),IF(Events!$E453="Yes",IF(AND(B451&gt;=Events!$A453,B451&lt;=$B$2,B451+$A451&gt;=$B$1),B451,IF(AND(C451&gt;=Events!$A453,C451&lt;=$B$2,C451+$A451&gt;=$B$1),C451,IF(AND(D451&gt;=Events!$A453,D451&lt;=$B$2,D451+$A451&gt;=$B$1),D451,""))),IF(AND(Events!$A453&lt;=$B$2,Events!$A453+$A451&gt;=$B$1),Events!$A453,"")),""))</f>
        <v/>
      </c>
      <c r="F451">
        <f>IF(E451="","",E451+A451)</f>
        <v/>
      </c>
      <c r="G451">
        <f>IF(E451="","",IF(AND(E451&lt;=EOMONTH(Calendar!$K$2,0),F451&gt;=Calendar!$K$2),E451+448/100000,""))</f>
        <v/>
      </c>
      <c r="H451">
        <f>H450+IF(AND($E451&lt;&gt;"",$E451&lt;=H$2,$F451&gt;=H$2),1,0)</f>
        <v/>
      </c>
      <c r="I451">
        <f>I450+IF(AND($E451&lt;&gt;"",$E451&lt;=I$2,$F451&gt;=I$2),1,0)</f>
        <v/>
      </c>
      <c r="J451">
        <f>J450+IF(AND($E451&lt;&gt;"",$E451&lt;=J$2,$F451&gt;=J$2),1,0)</f>
        <v/>
      </c>
      <c r="K451">
        <f>K450+IF(AND($E451&lt;&gt;"",$E451&lt;=K$2,$F451&gt;=K$2),1,0)</f>
        <v/>
      </c>
      <c r="L451">
        <f>L450+IF(AND($E451&lt;&gt;"",$E451&lt;=L$2,$F451&gt;=L$2),1,0)</f>
        <v/>
      </c>
      <c r="M451">
        <f>M450+IF(AND($E451&lt;&gt;"",$E451&lt;=M$2,$F451&gt;=M$2),1,0)</f>
        <v/>
      </c>
      <c r="N451">
        <f>N450+IF(AND($E451&lt;&gt;"",$E451&lt;=N$2,$F451&gt;=N$2),1,0)</f>
        <v/>
      </c>
      <c r="O451">
        <f>O450+IF(AND($E451&lt;&gt;"",$E451&lt;=O$2,$F451&gt;=O$2),1,0)</f>
        <v/>
      </c>
      <c r="P451">
        <f>P450+IF(AND($E451&lt;&gt;"",$E451&lt;=P$2,$F451&gt;=P$2),1,0)</f>
        <v/>
      </c>
      <c r="Q451">
        <f>Q450+IF(AND($E451&lt;&gt;"",$E451&lt;=Q$2,$F451&gt;=Q$2),1,0)</f>
        <v/>
      </c>
      <c r="R451">
        <f>R450+IF(AND($E451&lt;&gt;"",$E451&lt;=R$2,$F451&gt;=R$2),1,0)</f>
        <v/>
      </c>
      <c r="S451">
        <f>S450+IF(AND($E451&lt;&gt;"",$E451&lt;=S$2,$F451&gt;=S$2),1,0)</f>
        <v/>
      </c>
      <c r="T451">
        <f>T450+IF(AND($E451&lt;&gt;"",$E451&lt;=T$2,$F451&gt;=T$2),1,0)</f>
        <v/>
      </c>
      <c r="U451">
        <f>U450+IF(AND($E451&lt;&gt;"",$E451&lt;=U$2,$F451&gt;=U$2),1,0)</f>
        <v/>
      </c>
      <c r="V451">
        <f>V450+IF(AND($E451&lt;&gt;"",$E451&lt;=V$2,$F451&gt;=V$2),1,0)</f>
        <v/>
      </c>
      <c r="W451">
        <f>W450+IF(AND($E451&lt;&gt;"",$E451&lt;=W$2,$F451&gt;=W$2),1,0)</f>
        <v/>
      </c>
      <c r="X451">
        <f>X450+IF(AND($E451&lt;&gt;"",$E451&lt;=X$2,$F451&gt;=X$2),1,0)</f>
        <v/>
      </c>
      <c r="Y451">
        <f>Y450+IF(AND($E451&lt;&gt;"",$E451&lt;=Y$2,$F451&gt;=Y$2),1,0)</f>
        <v/>
      </c>
      <c r="Z451">
        <f>Z450+IF(AND($E451&lt;&gt;"",$E451&lt;=Z$2,$F451&gt;=Z$2),1,0)</f>
        <v/>
      </c>
      <c r="AA451">
        <f>AA450+IF(AND($E451&lt;&gt;"",$E451&lt;=AA$2,$F451&gt;=AA$2),1,0)</f>
        <v/>
      </c>
      <c r="AB451">
        <f>AB450+IF(AND($E451&lt;&gt;"",$E451&lt;=AB$2,$F451&gt;=AB$2),1,0)</f>
        <v/>
      </c>
      <c r="AC451">
        <f>AC450+IF(AND($E451&lt;&gt;"",$E451&lt;=AC$2,$F451&gt;=AC$2),1,0)</f>
        <v/>
      </c>
      <c r="AD451">
        <f>AD450+IF(AND($E451&lt;&gt;"",$E451&lt;=AD$2,$F451&gt;=AD$2),1,0)</f>
        <v/>
      </c>
      <c r="AE451">
        <f>AE450+IF(AND($E451&lt;&gt;"",$E451&lt;=AE$2,$F451&gt;=AE$2),1,0)</f>
        <v/>
      </c>
      <c r="AF451">
        <f>AF450+IF(AND($E451&lt;&gt;"",$E451&lt;=AF$2,$F451&gt;=AF$2),1,0)</f>
        <v/>
      </c>
      <c r="AG451">
        <f>AG450+IF(AND($E451&lt;&gt;"",$E451&lt;=AG$2,$F451&gt;=AG$2),1,0)</f>
        <v/>
      </c>
      <c r="AH451">
        <f>AH450+IF(AND($E451&lt;&gt;"",$E451&lt;=AH$2,$F451&gt;=AH$2),1,0)</f>
        <v/>
      </c>
      <c r="AI451">
        <f>AI450+IF(AND($E451&lt;&gt;"",$E451&lt;=AI$2,$F451&gt;=AI$2),1,0)</f>
        <v/>
      </c>
      <c r="AJ451">
        <f>AJ450+IF(AND($E451&lt;&gt;"",$E451&lt;=AJ$2,$F451&gt;=AJ$2),1,0)</f>
        <v/>
      </c>
      <c r="AK451">
        <f>AK450+IF(AND($E451&lt;&gt;"",$E451&lt;=AK$2,$F451&gt;=AK$2),1,0)</f>
        <v/>
      </c>
      <c r="AL451">
        <f>AL450+IF(AND($E451&lt;&gt;"",$E451&lt;=AL$2,$F451&gt;=AL$2),1,0)</f>
        <v/>
      </c>
      <c r="AM451">
        <f>AM450+IF(AND($E451&lt;&gt;"",$E451&lt;=AM$2,$F451&gt;=AM$2),1,0)</f>
        <v/>
      </c>
      <c r="AN451">
        <f>AN450+IF(AND($E451&lt;&gt;"",$E451&lt;=AN$2,$F451&gt;=AN$2),1,0)</f>
        <v/>
      </c>
      <c r="AO451">
        <f>AO450+IF(AND($E451&lt;&gt;"",$E451&lt;=AO$2,$F451&gt;=AO$2),1,0)</f>
        <v/>
      </c>
      <c r="AP451">
        <f>AP450+IF(AND($E451&lt;&gt;"",$E451&lt;=AP$2,$F451&gt;=AP$2),1,0)</f>
        <v/>
      </c>
      <c r="AQ451">
        <f>AQ450+IF(AND($E451&lt;&gt;"",$E451&lt;=AQ$2,$F451&gt;=AQ$2),1,0)</f>
        <v/>
      </c>
      <c r="AR451">
        <f>AR450+IF(AND($E451&lt;&gt;"",$E451&lt;=AR$2,$F451&gt;=AR$2),1,0)</f>
        <v/>
      </c>
      <c r="AS451">
        <f>AS450+IF(AND($E451&lt;&gt;"",$E451&lt;=AS$2,$F451&gt;=AS$2),1,0)</f>
        <v/>
      </c>
      <c r="AT451">
        <f>AT450+IF(AND($E451&lt;&gt;"",$E451&lt;=AT$2,$F451&gt;=AT$2),1,0)</f>
        <v/>
      </c>
      <c r="AU451">
        <f>AU450+IF(AND($E451&lt;&gt;"",$E451&lt;=AU$2,$F451&gt;=AU$2),1,0)</f>
        <v/>
      </c>
      <c r="AV451">
        <f>AV450+IF(AND($E451&lt;&gt;"",$E451&lt;=AV$2,$F451&gt;=AV$2),1,0)</f>
        <v/>
      </c>
      <c r="AW451">
        <f>AW450+IF(AND($E451&lt;&gt;"",$E451&lt;=AW$2,$F451&gt;=AW$2),1,0)</f>
        <v/>
      </c>
    </row>
    <row r="452">
      <c r="A452">
        <f>IF(AND(ISNUMBER(Events!$A454),ISNUMBER(Events!$B454)),MAX(0,Events!$B454-Events!$A454),0)</f>
        <v/>
      </c>
      <c r="B452">
        <f>IF(ISNUMBER(Events!$A454),DATE(YEAR($B$1)-1,MONTH(Events!$A454),DAY(Events!$A454)),"")</f>
        <v/>
      </c>
      <c r="C452">
        <f>IF(ISNUMBER(Events!$A454),DATE(YEAR($B$1),MONTH(Events!$A454),DAY(Events!$A454)),"")</f>
        <v/>
      </c>
      <c r="D452">
        <f>IF(ISNUMBER(Events!$A454),DATE(YEAR($B$2),MONTH(Events!$A454),DAY(Events!$A454)),"")</f>
        <v/>
      </c>
      <c r="E452">
        <f>IF(OR(NOT(ISNUMBER(Events!$A454)),Events!$G454="No",Calendar!$H$4="None"),"",IF(OR(Calendar!$H$4="All events",Events!$D454=Calendar!$H$4),IF(Events!$E454="Yes",IF(AND(B452&gt;=Events!$A454,B452&lt;=$B$2,B452+$A452&gt;=$B$1),B452,IF(AND(C452&gt;=Events!$A454,C452&lt;=$B$2,C452+$A452&gt;=$B$1),C452,IF(AND(D452&gt;=Events!$A454,D452&lt;=$B$2,D452+$A452&gt;=$B$1),D452,""))),IF(AND(Events!$A454&lt;=$B$2,Events!$A454+$A452&gt;=$B$1),Events!$A454,"")),""))</f>
        <v/>
      </c>
      <c r="F452">
        <f>IF(E452="","",E452+A452)</f>
        <v/>
      </c>
      <c r="G452">
        <f>IF(E452="","",IF(AND(E452&lt;=EOMONTH(Calendar!$K$2,0),F452&gt;=Calendar!$K$2),E452+449/100000,""))</f>
        <v/>
      </c>
      <c r="H452">
        <f>H451+IF(AND($E452&lt;&gt;"",$E452&lt;=H$2,$F452&gt;=H$2),1,0)</f>
        <v/>
      </c>
      <c r="I452">
        <f>I451+IF(AND($E452&lt;&gt;"",$E452&lt;=I$2,$F452&gt;=I$2),1,0)</f>
        <v/>
      </c>
      <c r="J452">
        <f>J451+IF(AND($E452&lt;&gt;"",$E452&lt;=J$2,$F452&gt;=J$2),1,0)</f>
        <v/>
      </c>
      <c r="K452">
        <f>K451+IF(AND($E452&lt;&gt;"",$E452&lt;=K$2,$F452&gt;=K$2),1,0)</f>
        <v/>
      </c>
      <c r="L452">
        <f>L451+IF(AND($E452&lt;&gt;"",$E452&lt;=L$2,$F452&gt;=L$2),1,0)</f>
        <v/>
      </c>
      <c r="M452">
        <f>M451+IF(AND($E452&lt;&gt;"",$E452&lt;=M$2,$F452&gt;=M$2),1,0)</f>
        <v/>
      </c>
      <c r="N452">
        <f>N451+IF(AND($E452&lt;&gt;"",$E452&lt;=N$2,$F452&gt;=N$2),1,0)</f>
        <v/>
      </c>
      <c r="O452">
        <f>O451+IF(AND($E452&lt;&gt;"",$E452&lt;=O$2,$F452&gt;=O$2),1,0)</f>
        <v/>
      </c>
      <c r="P452">
        <f>P451+IF(AND($E452&lt;&gt;"",$E452&lt;=P$2,$F452&gt;=P$2),1,0)</f>
        <v/>
      </c>
      <c r="Q452">
        <f>Q451+IF(AND($E452&lt;&gt;"",$E452&lt;=Q$2,$F452&gt;=Q$2),1,0)</f>
        <v/>
      </c>
      <c r="R452">
        <f>R451+IF(AND($E452&lt;&gt;"",$E452&lt;=R$2,$F452&gt;=R$2),1,0)</f>
        <v/>
      </c>
      <c r="S452">
        <f>S451+IF(AND($E452&lt;&gt;"",$E452&lt;=S$2,$F452&gt;=S$2),1,0)</f>
        <v/>
      </c>
      <c r="T452">
        <f>T451+IF(AND($E452&lt;&gt;"",$E452&lt;=T$2,$F452&gt;=T$2),1,0)</f>
        <v/>
      </c>
      <c r="U452">
        <f>U451+IF(AND($E452&lt;&gt;"",$E452&lt;=U$2,$F452&gt;=U$2),1,0)</f>
        <v/>
      </c>
      <c r="V452">
        <f>V451+IF(AND($E452&lt;&gt;"",$E452&lt;=V$2,$F452&gt;=V$2),1,0)</f>
        <v/>
      </c>
      <c r="W452">
        <f>W451+IF(AND($E452&lt;&gt;"",$E452&lt;=W$2,$F452&gt;=W$2),1,0)</f>
        <v/>
      </c>
      <c r="X452">
        <f>X451+IF(AND($E452&lt;&gt;"",$E452&lt;=X$2,$F452&gt;=X$2),1,0)</f>
        <v/>
      </c>
      <c r="Y452">
        <f>Y451+IF(AND($E452&lt;&gt;"",$E452&lt;=Y$2,$F452&gt;=Y$2),1,0)</f>
        <v/>
      </c>
      <c r="Z452">
        <f>Z451+IF(AND($E452&lt;&gt;"",$E452&lt;=Z$2,$F452&gt;=Z$2),1,0)</f>
        <v/>
      </c>
      <c r="AA452">
        <f>AA451+IF(AND($E452&lt;&gt;"",$E452&lt;=AA$2,$F452&gt;=AA$2),1,0)</f>
        <v/>
      </c>
      <c r="AB452">
        <f>AB451+IF(AND($E452&lt;&gt;"",$E452&lt;=AB$2,$F452&gt;=AB$2),1,0)</f>
        <v/>
      </c>
      <c r="AC452">
        <f>AC451+IF(AND($E452&lt;&gt;"",$E452&lt;=AC$2,$F452&gt;=AC$2),1,0)</f>
        <v/>
      </c>
      <c r="AD452">
        <f>AD451+IF(AND($E452&lt;&gt;"",$E452&lt;=AD$2,$F452&gt;=AD$2),1,0)</f>
        <v/>
      </c>
      <c r="AE452">
        <f>AE451+IF(AND($E452&lt;&gt;"",$E452&lt;=AE$2,$F452&gt;=AE$2),1,0)</f>
        <v/>
      </c>
      <c r="AF452">
        <f>AF451+IF(AND($E452&lt;&gt;"",$E452&lt;=AF$2,$F452&gt;=AF$2),1,0)</f>
        <v/>
      </c>
      <c r="AG452">
        <f>AG451+IF(AND($E452&lt;&gt;"",$E452&lt;=AG$2,$F452&gt;=AG$2),1,0)</f>
        <v/>
      </c>
      <c r="AH452">
        <f>AH451+IF(AND($E452&lt;&gt;"",$E452&lt;=AH$2,$F452&gt;=AH$2),1,0)</f>
        <v/>
      </c>
      <c r="AI452">
        <f>AI451+IF(AND($E452&lt;&gt;"",$E452&lt;=AI$2,$F452&gt;=AI$2),1,0)</f>
        <v/>
      </c>
      <c r="AJ452">
        <f>AJ451+IF(AND($E452&lt;&gt;"",$E452&lt;=AJ$2,$F452&gt;=AJ$2),1,0)</f>
        <v/>
      </c>
      <c r="AK452">
        <f>AK451+IF(AND($E452&lt;&gt;"",$E452&lt;=AK$2,$F452&gt;=AK$2),1,0)</f>
        <v/>
      </c>
      <c r="AL452">
        <f>AL451+IF(AND($E452&lt;&gt;"",$E452&lt;=AL$2,$F452&gt;=AL$2),1,0)</f>
        <v/>
      </c>
      <c r="AM452">
        <f>AM451+IF(AND($E452&lt;&gt;"",$E452&lt;=AM$2,$F452&gt;=AM$2),1,0)</f>
        <v/>
      </c>
      <c r="AN452">
        <f>AN451+IF(AND($E452&lt;&gt;"",$E452&lt;=AN$2,$F452&gt;=AN$2),1,0)</f>
        <v/>
      </c>
      <c r="AO452">
        <f>AO451+IF(AND($E452&lt;&gt;"",$E452&lt;=AO$2,$F452&gt;=AO$2),1,0)</f>
        <v/>
      </c>
      <c r="AP452">
        <f>AP451+IF(AND($E452&lt;&gt;"",$E452&lt;=AP$2,$F452&gt;=AP$2),1,0)</f>
        <v/>
      </c>
      <c r="AQ452">
        <f>AQ451+IF(AND($E452&lt;&gt;"",$E452&lt;=AQ$2,$F452&gt;=AQ$2),1,0)</f>
        <v/>
      </c>
      <c r="AR452">
        <f>AR451+IF(AND($E452&lt;&gt;"",$E452&lt;=AR$2,$F452&gt;=AR$2),1,0)</f>
        <v/>
      </c>
      <c r="AS452">
        <f>AS451+IF(AND($E452&lt;&gt;"",$E452&lt;=AS$2,$F452&gt;=AS$2),1,0)</f>
        <v/>
      </c>
      <c r="AT452">
        <f>AT451+IF(AND($E452&lt;&gt;"",$E452&lt;=AT$2,$F452&gt;=AT$2),1,0)</f>
        <v/>
      </c>
      <c r="AU452">
        <f>AU451+IF(AND($E452&lt;&gt;"",$E452&lt;=AU$2,$F452&gt;=AU$2),1,0)</f>
        <v/>
      </c>
      <c r="AV452">
        <f>AV451+IF(AND($E452&lt;&gt;"",$E452&lt;=AV$2,$F452&gt;=AV$2),1,0)</f>
        <v/>
      </c>
      <c r="AW452">
        <f>AW451+IF(AND($E452&lt;&gt;"",$E452&lt;=AW$2,$F452&gt;=AW$2),1,0)</f>
        <v/>
      </c>
    </row>
    <row r="453">
      <c r="A453">
        <f>IF(AND(ISNUMBER(Events!$A455),ISNUMBER(Events!$B455)),MAX(0,Events!$B455-Events!$A455),0)</f>
        <v/>
      </c>
      <c r="B453">
        <f>IF(ISNUMBER(Events!$A455),DATE(YEAR($B$1)-1,MONTH(Events!$A455),DAY(Events!$A455)),"")</f>
        <v/>
      </c>
      <c r="C453">
        <f>IF(ISNUMBER(Events!$A455),DATE(YEAR($B$1),MONTH(Events!$A455),DAY(Events!$A455)),"")</f>
        <v/>
      </c>
      <c r="D453">
        <f>IF(ISNUMBER(Events!$A455),DATE(YEAR($B$2),MONTH(Events!$A455),DAY(Events!$A455)),"")</f>
        <v/>
      </c>
      <c r="E453">
        <f>IF(OR(NOT(ISNUMBER(Events!$A455)),Events!$G455="No",Calendar!$H$4="None"),"",IF(OR(Calendar!$H$4="All events",Events!$D455=Calendar!$H$4),IF(Events!$E455="Yes",IF(AND(B453&gt;=Events!$A455,B453&lt;=$B$2,B453+$A453&gt;=$B$1),B453,IF(AND(C453&gt;=Events!$A455,C453&lt;=$B$2,C453+$A453&gt;=$B$1),C453,IF(AND(D453&gt;=Events!$A455,D453&lt;=$B$2,D453+$A453&gt;=$B$1),D453,""))),IF(AND(Events!$A455&lt;=$B$2,Events!$A455+$A453&gt;=$B$1),Events!$A455,"")),""))</f>
        <v/>
      </c>
      <c r="F453">
        <f>IF(E453="","",E453+A453)</f>
        <v/>
      </c>
      <c r="G453">
        <f>IF(E453="","",IF(AND(E453&lt;=EOMONTH(Calendar!$K$2,0),F453&gt;=Calendar!$K$2),E453+450/100000,""))</f>
        <v/>
      </c>
      <c r="H453">
        <f>H452+IF(AND($E453&lt;&gt;"",$E453&lt;=H$2,$F453&gt;=H$2),1,0)</f>
        <v/>
      </c>
      <c r="I453">
        <f>I452+IF(AND($E453&lt;&gt;"",$E453&lt;=I$2,$F453&gt;=I$2),1,0)</f>
        <v/>
      </c>
      <c r="J453">
        <f>J452+IF(AND($E453&lt;&gt;"",$E453&lt;=J$2,$F453&gt;=J$2),1,0)</f>
        <v/>
      </c>
      <c r="K453">
        <f>K452+IF(AND($E453&lt;&gt;"",$E453&lt;=K$2,$F453&gt;=K$2),1,0)</f>
        <v/>
      </c>
      <c r="L453">
        <f>L452+IF(AND($E453&lt;&gt;"",$E453&lt;=L$2,$F453&gt;=L$2),1,0)</f>
        <v/>
      </c>
      <c r="M453">
        <f>M452+IF(AND($E453&lt;&gt;"",$E453&lt;=M$2,$F453&gt;=M$2),1,0)</f>
        <v/>
      </c>
      <c r="N453">
        <f>N452+IF(AND($E453&lt;&gt;"",$E453&lt;=N$2,$F453&gt;=N$2),1,0)</f>
        <v/>
      </c>
      <c r="O453">
        <f>O452+IF(AND($E453&lt;&gt;"",$E453&lt;=O$2,$F453&gt;=O$2),1,0)</f>
        <v/>
      </c>
      <c r="P453">
        <f>P452+IF(AND($E453&lt;&gt;"",$E453&lt;=P$2,$F453&gt;=P$2),1,0)</f>
        <v/>
      </c>
      <c r="Q453">
        <f>Q452+IF(AND($E453&lt;&gt;"",$E453&lt;=Q$2,$F453&gt;=Q$2),1,0)</f>
        <v/>
      </c>
      <c r="R453">
        <f>R452+IF(AND($E453&lt;&gt;"",$E453&lt;=R$2,$F453&gt;=R$2),1,0)</f>
        <v/>
      </c>
      <c r="S453">
        <f>S452+IF(AND($E453&lt;&gt;"",$E453&lt;=S$2,$F453&gt;=S$2),1,0)</f>
        <v/>
      </c>
      <c r="T453">
        <f>T452+IF(AND($E453&lt;&gt;"",$E453&lt;=T$2,$F453&gt;=T$2),1,0)</f>
        <v/>
      </c>
      <c r="U453">
        <f>U452+IF(AND($E453&lt;&gt;"",$E453&lt;=U$2,$F453&gt;=U$2),1,0)</f>
        <v/>
      </c>
      <c r="V453">
        <f>V452+IF(AND($E453&lt;&gt;"",$E453&lt;=V$2,$F453&gt;=V$2),1,0)</f>
        <v/>
      </c>
      <c r="W453">
        <f>W452+IF(AND($E453&lt;&gt;"",$E453&lt;=W$2,$F453&gt;=W$2),1,0)</f>
        <v/>
      </c>
      <c r="X453">
        <f>X452+IF(AND($E453&lt;&gt;"",$E453&lt;=X$2,$F453&gt;=X$2),1,0)</f>
        <v/>
      </c>
      <c r="Y453">
        <f>Y452+IF(AND($E453&lt;&gt;"",$E453&lt;=Y$2,$F453&gt;=Y$2),1,0)</f>
        <v/>
      </c>
      <c r="Z453">
        <f>Z452+IF(AND($E453&lt;&gt;"",$E453&lt;=Z$2,$F453&gt;=Z$2),1,0)</f>
        <v/>
      </c>
      <c r="AA453">
        <f>AA452+IF(AND($E453&lt;&gt;"",$E453&lt;=AA$2,$F453&gt;=AA$2),1,0)</f>
        <v/>
      </c>
      <c r="AB453">
        <f>AB452+IF(AND($E453&lt;&gt;"",$E453&lt;=AB$2,$F453&gt;=AB$2),1,0)</f>
        <v/>
      </c>
      <c r="AC453">
        <f>AC452+IF(AND($E453&lt;&gt;"",$E453&lt;=AC$2,$F453&gt;=AC$2),1,0)</f>
        <v/>
      </c>
      <c r="AD453">
        <f>AD452+IF(AND($E453&lt;&gt;"",$E453&lt;=AD$2,$F453&gt;=AD$2),1,0)</f>
        <v/>
      </c>
      <c r="AE453">
        <f>AE452+IF(AND($E453&lt;&gt;"",$E453&lt;=AE$2,$F453&gt;=AE$2),1,0)</f>
        <v/>
      </c>
      <c r="AF453">
        <f>AF452+IF(AND($E453&lt;&gt;"",$E453&lt;=AF$2,$F453&gt;=AF$2),1,0)</f>
        <v/>
      </c>
      <c r="AG453">
        <f>AG452+IF(AND($E453&lt;&gt;"",$E453&lt;=AG$2,$F453&gt;=AG$2),1,0)</f>
        <v/>
      </c>
      <c r="AH453">
        <f>AH452+IF(AND($E453&lt;&gt;"",$E453&lt;=AH$2,$F453&gt;=AH$2),1,0)</f>
        <v/>
      </c>
      <c r="AI453">
        <f>AI452+IF(AND($E453&lt;&gt;"",$E453&lt;=AI$2,$F453&gt;=AI$2),1,0)</f>
        <v/>
      </c>
      <c r="AJ453">
        <f>AJ452+IF(AND($E453&lt;&gt;"",$E453&lt;=AJ$2,$F453&gt;=AJ$2),1,0)</f>
        <v/>
      </c>
      <c r="AK453">
        <f>AK452+IF(AND($E453&lt;&gt;"",$E453&lt;=AK$2,$F453&gt;=AK$2),1,0)</f>
        <v/>
      </c>
      <c r="AL453">
        <f>AL452+IF(AND($E453&lt;&gt;"",$E453&lt;=AL$2,$F453&gt;=AL$2),1,0)</f>
        <v/>
      </c>
      <c r="AM453">
        <f>AM452+IF(AND($E453&lt;&gt;"",$E453&lt;=AM$2,$F453&gt;=AM$2),1,0)</f>
        <v/>
      </c>
      <c r="AN453">
        <f>AN452+IF(AND($E453&lt;&gt;"",$E453&lt;=AN$2,$F453&gt;=AN$2),1,0)</f>
        <v/>
      </c>
      <c r="AO453">
        <f>AO452+IF(AND($E453&lt;&gt;"",$E453&lt;=AO$2,$F453&gt;=AO$2),1,0)</f>
        <v/>
      </c>
      <c r="AP453">
        <f>AP452+IF(AND($E453&lt;&gt;"",$E453&lt;=AP$2,$F453&gt;=AP$2),1,0)</f>
        <v/>
      </c>
      <c r="AQ453">
        <f>AQ452+IF(AND($E453&lt;&gt;"",$E453&lt;=AQ$2,$F453&gt;=AQ$2),1,0)</f>
        <v/>
      </c>
      <c r="AR453">
        <f>AR452+IF(AND($E453&lt;&gt;"",$E453&lt;=AR$2,$F453&gt;=AR$2),1,0)</f>
        <v/>
      </c>
      <c r="AS453">
        <f>AS452+IF(AND($E453&lt;&gt;"",$E453&lt;=AS$2,$F453&gt;=AS$2),1,0)</f>
        <v/>
      </c>
      <c r="AT453">
        <f>AT452+IF(AND($E453&lt;&gt;"",$E453&lt;=AT$2,$F453&gt;=AT$2),1,0)</f>
        <v/>
      </c>
      <c r="AU453">
        <f>AU452+IF(AND($E453&lt;&gt;"",$E453&lt;=AU$2,$F453&gt;=AU$2),1,0)</f>
        <v/>
      </c>
      <c r="AV453">
        <f>AV452+IF(AND($E453&lt;&gt;"",$E453&lt;=AV$2,$F453&gt;=AV$2),1,0)</f>
        <v/>
      </c>
      <c r="AW453">
        <f>AW452+IF(AND($E453&lt;&gt;"",$E453&lt;=AW$2,$F453&gt;=AW$2),1,0)</f>
        <v/>
      </c>
    </row>
    <row r="454">
      <c r="A454">
        <f>IF(AND(ISNUMBER(Events!$A456),ISNUMBER(Events!$B456)),MAX(0,Events!$B456-Events!$A456),0)</f>
        <v/>
      </c>
      <c r="B454">
        <f>IF(ISNUMBER(Events!$A456),DATE(YEAR($B$1)-1,MONTH(Events!$A456),DAY(Events!$A456)),"")</f>
        <v/>
      </c>
      <c r="C454">
        <f>IF(ISNUMBER(Events!$A456),DATE(YEAR($B$1),MONTH(Events!$A456),DAY(Events!$A456)),"")</f>
        <v/>
      </c>
      <c r="D454">
        <f>IF(ISNUMBER(Events!$A456),DATE(YEAR($B$2),MONTH(Events!$A456),DAY(Events!$A456)),"")</f>
        <v/>
      </c>
      <c r="E454">
        <f>IF(OR(NOT(ISNUMBER(Events!$A456)),Events!$G456="No",Calendar!$H$4="None"),"",IF(OR(Calendar!$H$4="All events",Events!$D456=Calendar!$H$4),IF(Events!$E456="Yes",IF(AND(B454&gt;=Events!$A456,B454&lt;=$B$2,B454+$A454&gt;=$B$1),B454,IF(AND(C454&gt;=Events!$A456,C454&lt;=$B$2,C454+$A454&gt;=$B$1),C454,IF(AND(D454&gt;=Events!$A456,D454&lt;=$B$2,D454+$A454&gt;=$B$1),D454,""))),IF(AND(Events!$A456&lt;=$B$2,Events!$A456+$A454&gt;=$B$1),Events!$A456,"")),""))</f>
        <v/>
      </c>
      <c r="F454">
        <f>IF(E454="","",E454+A454)</f>
        <v/>
      </c>
      <c r="G454">
        <f>IF(E454="","",IF(AND(E454&lt;=EOMONTH(Calendar!$K$2,0),F454&gt;=Calendar!$K$2),E454+451/100000,""))</f>
        <v/>
      </c>
      <c r="H454">
        <f>H453+IF(AND($E454&lt;&gt;"",$E454&lt;=H$2,$F454&gt;=H$2),1,0)</f>
        <v/>
      </c>
      <c r="I454">
        <f>I453+IF(AND($E454&lt;&gt;"",$E454&lt;=I$2,$F454&gt;=I$2),1,0)</f>
        <v/>
      </c>
      <c r="J454">
        <f>J453+IF(AND($E454&lt;&gt;"",$E454&lt;=J$2,$F454&gt;=J$2),1,0)</f>
        <v/>
      </c>
      <c r="K454">
        <f>K453+IF(AND($E454&lt;&gt;"",$E454&lt;=K$2,$F454&gt;=K$2),1,0)</f>
        <v/>
      </c>
      <c r="L454">
        <f>L453+IF(AND($E454&lt;&gt;"",$E454&lt;=L$2,$F454&gt;=L$2),1,0)</f>
        <v/>
      </c>
      <c r="M454">
        <f>M453+IF(AND($E454&lt;&gt;"",$E454&lt;=M$2,$F454&gt;=M$2),1,0)</f>
        <v/>
      </c>
      <c r="N454">
        <f>N453+IF(AND($E454&lt;&gt;"",$E454&lt;=N$2,$F454&gt;=N$2),1,0)</f>
        <v/>
      </c>
      <c r="O454">
        <f>O453+IF(AND($E454&lt;&gt;"",$E454&lt;=O$2,$F454&gt;=O$2),1,0)</f>
        <v/>
      </c>
      <c r="P454">
        <f>P453+IF(AND($E454&lt;&gt;"",$E454&lt;=P$2,$F454&gt;=P$2),1,0)</f>
        <v/>
      </c>
      <c r="Q454">
        <f>Q453+IF(AND($E454&lt;&gt;"",$E454&lt;=Q$2,$F454&gt;=Q$2),1,0)</f>
        <v/>
      </c>
      <c r="R454">
        <f>R453+IF(AND($E454&lt;&gt;"",$E454&lt;=R$2,$F454&gt;=R$2),1,0)</f>
        <v/>
      </c>
      <c r="S454">
        <f>S453+IF(AND($E454&lt;&gt;"",$E454&lt;=S$2,$F454&gt;=S$2),1,0)</f>
        <v/>
      </c>
      <c r="T454">
        <f>T453+IF(AND($E454&lt;&gt;"",$E454&lt;=T$2,$F454&gt;=T$2),1,0)</f>
        <v/>
      </c>
      <c r="U454">
        <f>U453+IF(AND($E454&lt;&gt;"",$E454&lt;=U$2,$F454&gt;=U$2),1,0)</f>
        <v/>
      </c>
      <c r="V454">
        <f>V453+IF(AND($E454&lt;&gt;"",$E454&lt;=V$2,$F454&gt;=V$2),1,0)</f>
        <v/>
      </c>
      <c r="W454">
        <f>W453+IF(AND($E454&lt;&gt;"",$E454&lt;=W$2,$F454&gt;=W$2),1,0)</f>
        <v/>
      </c>
      <c r="X454">
        <f>X453+IF(AND($E454&lt;&gt;"",$E454&lt;=X$2,$F454&gt;=X$2),1,0)</f>
        <v/>
      </c>
      <c r="Y454">
        <f>Y453+IF(AND($E454&lt;&gt;"",$E454&lt;=Y$2,$F454&gt;=Y$2),1,0)</f>
        <v/>
      </c>
      <c r="Z454">
        <f>Z453+IF(AND($E454&lt;&gt;"",$E454&lt;=Z$2,$F454&gt;=Z$2),1,0)</f>
        <v/>
      </c>
      <c r="AA454">
        <f>AA453+IF(AND($E454&lt;&gt;"",$E454&lt;=AA$2,$F454&gt;=AA$2),1,0)</f>
        <v/>
      </c>
      <c r="AB454">
        <f>AB453+IF(AND($E454&lt;&gt;"",$E454&lt;=AB$2,$F454&gt;=AB$2),1,0)</f>
        <v/>
      </c>
      <c r="AC454">
        <f>AC453+IF(AND($E454&lt;&gt;"",$E454&lt;=AC$2,$F454&gt;=AC$2),1,0)</f>
        <v/>
      </c>
      <c r="AD454">
        <f>AD453+IF(AND($E454&lt;&gt;"",$E454&lt;=AD$2,$F454&gt;=AD$2),1,0)</f>
        <v/>
      </c>
      <c r="AE454">
        <f>AE453+IF(AND($E454&lt;&gt;"",$E454&lt;=AE$2,$F454&gt;=AE$2),1,0)</f>
        <v/>
      </c>
      <c r="AF454">
        <f>AF453+IF(AND($E454&lt;&gt;"",$E454&lt;=AF$2,$F454&gt;=AF$2),1,0)</f>
        <v/>
      </c>
      <c r="AG454">
        <f>AG453+IF(AND($E454&lt;&gt;"",$E454&lt;=AG$2,$F454&gt;=AG$2),1,0)</f>
        <v/>
      </c>
      <c r="AH454">
        <f>AH453+IF(AND($E454&lt;&gt;"",$E454&lt;=AH$2,$F454&gt;=AH$2),1,0)</f>
        <v/>
      </c>
      <c r="AI454">
        <f>AI453+IF(AND($E454&lt;&gt;"",$E454&lt;=AI$2,$F454&gt;=AI$2),1,0)</f>
        <v/>
      </c>
      <c r="AJ454">
        <f>AJ453+IF(AND($E454&lt;&gt;"",$E454&lt;=AJ$2,$F454&gt;=AJ$2),1,0)</f>
        <v/>
      </c>
      <c r="AK454">
        <f>AK453+IF(AND($E454&lt;&gt;"",$E454&lt;=AK$2,$F454&gt;=AK$2),1,0)</f>
        <v/>
      </c>
      <c r="AL454">
        <f>AL453+IF(AND($E454&lt;&gt;"",$E454&lt;=AL$2,$F454&gt;=AL$2),1,0)</f>
        <v/>
      </c>
      <c r="AM454">
        <f>AM453+IF(AND($E454&lt;&gt;"",$E454&lt;=AM$2,$F454&gt;=AM$2),1,0)</f>
        <v/>
      </c>
      <c r="AN454">
        <f>AN453+IF(AND($E454&lt;&gt;"",$E454&lt;=AN$2,$F454&gt;=AN$2),1,0)</f>
        <v/>
      </c>
      <c r="AO454">
        <f>AO453+IF(AND($E454&lt;&gt;"",$E454&lt;=AO$2,$F454&gt;=AO$2),1,0)</f>
        <v/>
      </c>
      <c r="AP454">
        <f>AP453+IF(AND($E454&lt;&gt;"",$E454&lt;=AP$2,$F454&gt;=AP$2),1,0)</f>
        <v/>
      </c>
      <c r="AQ454">
        <f>AQ453+IF(AND($E454&lt;&gt;"",$E454&lt;=AQ$2,$F454&gt;=AQ$2),1,0)</f>
        <v/>
      </c>
      <c r="AR454">
        <f>AR453+IF(AND($E454&lt;&gt;"",$E454&lt;=AR$2,$F454&gt;=AR$2),1,0)</f>
        <v/>
      </c>
      <c r="AS454">
        <f>AS453+IF(AND($E454&lt;&gt;"",$E454&lt;=AS$2,$F454&gt;=AS$2),1,0)</f>
        <v/>
      </c>
      <c r="AT454">
        <f>AT453+IF(AND($E454&lt;&gt;"",$E454&lt;=AT$2,$F454&gt;=AT$2),1,0)</f>
        <v/>
      </c>
      <c r="AU454">
        <f>AU453+IF(AND($E454&lt;&gt;"",$E454&lt;=AU$2,$F454&gt;=AU$2),1,0)</f>
        <v/>
      </c>
      <c r="AV454">
        <f>AV453+IF(AND($E454&lt;&gt;"",$E454&lt;=AV$2,$F454&gt;=AV$2),1,0)</f>
        <v/>
      </c>
      <c r="AW454">
        <f>AW453+IF(AND($E454&lt;&gt;"",$E454&lt;=AW$2,$F454&gt;=AW$2),1,0)</f>
        <v/>
      </c>
    </row>
    <row r="455">
      <c r="A455">
        <f>IF(AND(ISNUMBER(Events!$A457),ISNUMBER(Events!$B457)),MAX(0,Events!$B457-Events!$A457),0)</f>
        <v/>
      </c>
      <c r="B455">
        <f>IF(ISNUMBER(Events!$A457),DATE(YEAR($B$1)-1,MONTH(Events!$A457),DAY(Events!$A457)),"")</f>
        <v/>
      </c>
      <c r="C455">
        <f>IF(ISNUMBER(Events!$A457),DATE(YEAR($B$1),MONTH(Events!$A457),DAY(Events!$A457)),"")</f>
        <v/>
      </c>
      <c r="D455">
        <f>IF(ISNUMBER(Events!$A457),DATE(YEAR($B$2),MONTH(Events!$A457),DAY(Events!$A457)),"")</f>
        <v/>
      </c>
      <c r="E455">
        <f>IF(OR(NOT(ISNUMBER(Events!$A457)),Events!$G457="No",Calendar!$H$4="None"),"",IF(OR(Calendar!$H$4="All events",Events!$D457=Calendar!$H$4),IF(Events!$E457="Yes",IF(AND(B455&gt;=Events!$A457,B455&lt;=$B$2,B455+$A455&gt;=$B$1),B455,IF(AND(C455&gt;=Events!$A457,C455&lt;=$B$2,C455+$A455&gt;=$B$1),C455,IF(AND(D455&gt;=Events!$A457,D455&lt;=$B$2,D455+$A455&gt;=$B$1),D455,""))),IF(AND(Events!$A457&lt;=$B$2,Events!$A457+$A455&gt;=$B$1),Events!$A457,"")),""))</f>
        <v/>
      </c>
      <c r="F455">
        <f>IF(E455="","",E455+A455)</f>
        <v/>
      </c>
      <c r="G455">
        <f>IF(E455="","",IF(AND(E455&lt;=EOMONTH(Calendar!$K$2,0),F455&gt;=Calendar!$K$2),E455+452/100000,""))</f>
        <v/>
      </c>
      <c r="H455">
        <f>H454+IF(AND($E455&lt;&gt;"",$E455&lt;=H$2,$F455&gt;=H$2),1,0)</f>
        <v/>
      </c>
      <c r="I455">
        <f>I454+IF(AND($E455&lt;&gt;"",$E455&lt;=I$2,$F455&gt;=I$2),1,0)</f>
        <v/>
      </c>
      <c r="J455">
        <f>J454+IF(AND($E455&lt;&gt;"",$E455&lt;=J$2,$F455&gt;=J$2),1,0)</f>
        <v/>
      </c>
      <c r="K455">
        <f>K454+IF(AND($E455&lt;&gt;"",$E455&lt;=K$2,$F455&gt;=K$2),1,0)</f>
        <v/>
      </c>
      <c r="L455">
        <f>L454+IF(AND($E455&lt;&gt;"",$E455&lt;=L$2,$F455&gt;=L$2),1,0)</f>
        <v/>
      </c>
      <c r="M455">
        <f>M454+IF(AND($E455&lt;&gt;"",$E455&lt;=M$2,$F455&gt;=M$2),1,0)</f>
        <v/>
      </c>
      <c r="N455">
        <f>N454+IF(AND($E455&lt;&gt;"",$E455&lt;=N$2,$F455&gt;=N$2),1,0)</f>
        <v/>
      </c>
      <c r="O455">
        <f>O454+IF(AND($E455&lt;&gt;"",$E455&lt;=O$2,$F455&gt;=O$2),1,0)</f>
        <v/>
      </c>
      <c r="P455">
        <f>P454+IF(AND($E455&lt;&gt;"",$E455&lt;=P$2,$F455&gt;=P$2),1,0)</f>
        <v/>
      </c>
      <c r="Q455">
        <f>Q454+IF(AND($E455&lt;&gt;"",$E455&lt;=Q$2,$F455&gt;=Q$2),1,0)</f>
        <v/>
      </c>
      <c r="R455">
        <f>R454+IF(AND($E455&lt;&gt;"",$E455&lt;=R$2,$F455&gt;=R$2),1,0)</f>
        <v/>
      </c>
      <c r="S455">
        <f>S454+IF(AND($E455&lt;&gt;"",$E455&lt;=S$2,$F455&gt;=S$2),1,0)</f>
        <v/>
      </c>
      <c r="T455">
        <f>T454+IF(AND($E455&lt;&gt;"",$E455&lt;=T$2,$F455&gt;=T$2),1,0)</f>
        <v/>
      </c>
      <c r="U455">
        <f>U454+IF(AND($E455&lt;&gt;"",$E455&lt;=U$2,$F455&gt;=U$2),1,0)</f>
        <v/>
      </c>
      <c r="V455">
        <f>V454+IF(AND($E455&lt;&gt;"",$E455&lt;=V$2,$F455&gt;=V$2),1,0)</f>
        <v/>
      </c>
      <c r="W455">
        <f>W454+IF(AND($E455&lt;&gt;"",$E455&lt;=W$2,$F455&gt;=W$2),1,0)</f>
        <v/>
      </c>
      <c r="X455">
        <f>X454+IF(AND($E455&lt;&gt;"",$E455&lt;=X$2,$F455&gt;=X$2),1,0)</f>
        <v/>
      </c>
      <c r="Y455">
        <f>Y454+IF(AND($E455&lt;&gt;"",$E455&lt;=Y$2,$F455&gt;=Y$2),1,0)</f>
        <v/>
      </c>
      <c r="Z455">
        <f>Z454+IF(AND($E455&lt;&gt;"",$E455&lt;=Z$2,$F455&gt;=Z$2),1,0)</f>
        <v/>
      </c>
      <c r="AA455">
        <f>AA454+IF(AND($E455&lt;&gt;"",$E455&lt;=AA$2,$F455&gt;=AA$2),1,0)</f>
        <v/>
      </c>
      <c r="AB455">
        <f>AB454+IF(AND($E455&lt;&gt;"",$E455&lt;=AB$2,$F455&gt;=AB$2),1,0)</f>
        <v/>
      </c>
      <c r="AC455">
        <f>AC454+IF(AND($E455&lt;&gt;"",$E455&lt;=AC$2,$F455&gt;=AC$2),1,0)</f>
        <v/>
      </c>
      <c r="AD455">
        <f>AD454+IF(AND($E455&lt;&gt;"",$E455&lt;=AD$2,$F455&gt;=AD$2),1,0)</f>
        <v/>
      </c>
      <c r="AE455">
        <f>AE454+IF(AND($E455&lt;&gt;"",$E455&lt;=AE$2,$F455&gt;=AE$2),1,0)</f>
        <v/>
      </c>
      <c r="AF455">
        <f>AF454+IF(AND($E455&lt;&gt;"",$E455&lt;=AF$2,$F455&gt;=AF$2),1,0)</f>
        <v/>
      </c>
      <c r="AG455">
        <f>AG454+IF(AND($E455&lt;&gt;"",$E455&lt;=AG$2,$F455&gt;=AG$2),1,0)</f>
        <v/>
      </c>
      <c r="AH455">
        <f>AH454+IF(AND($E455&lt;&gt;"",$E455&lt;=AH$2,$F455&gt;=AH$2),1,0)</f>
        <v/>
      </c>
      <c r="AI455">
        <f>AI454+IF(AND($E455&lt;&gt;"",$E455&lt;=AI$2,$F455&gt;=AI$2),1,0)</f>
        <v/>
      </c>
      <c r="AJ455">
        <f>AJ454+IF(AND($E455&lt;&gt;"",$E455&lt;=AJ$2,$F455&gt;=AJ$2),1,0)</f>
        <v/>
      </c>
      <c r="AK455">
        <f>AK454+IF(AND($E455&lt;&gt;"",$E455&lt;=AK$2,$F455&gt;=AK$2),1,0)</f>
        <v/>
      </c>
      <c r="AL455">
        <f>AL454+IF(AND($E455&lt;&gt;"",$E455&lt;=AL$2,$F455&gt;=AL$2),1,0)</f>
        <v/>
      </c>
      <c r="AM455">
        <f>AM454+IF(AND($E455&lt;&gt;"",$E455&lt;=AM$2,$F455&gt;=AM$2),1,0)</f>
        <v/>
      </c>
      <c r="AN455">
        <f>AN454+IF(AND($E455&lt;&gt;"",$E455&lt;=AN$2,$F455&gt;=AN$2),1,0)</f>
        <v/>
      </c>
      <c r="AO455">
        <f>AO454+IF(AND($E455&lt;&gt;"",$E455&lt;=AO$2,$F455&gt;=AO$2),1,0)</f>
        <v/>
      </c>
      <c r="AP455">
        <f>AP454+IF(AND($E455&lt;&gt;"",$E455&lt;=AP$2,$F455&gt;=AP$2),1,0)</f>
        <v/>
      </c>
      <c r="AQ455">
        <f>AQ454+IF(AND($E455&lt;&gt;"",$E455&lt;=AQ$2,$F455&gt;=AQ$2),1,0)</f>
        <v/>
      </c>
      <c r="AR455">
        <f>AR454+IF(AND($E455&lt;&gt;"",$E455&lt;=AR$2,$F455&gt;=AR$2),1,0)</f>
        <v/>
      </c>
      <c r="AS455">
        <f>AS454+IF(AND($E455&lt;&gt;"",$E455&lt;=AS$2,$F455&gt;=AS$2),1,0)</f>
        <v/>
      </c>
      <c r="AT455">
        <f>AT454+IF(AND($E455&lt;&gt;"",$E455&lt;=AT$2,$F455&gt;=AT$2),1,0)</f>
        <v/>
      </c>
      <c r="AU455">
        <f>AU454+IF(AND($E455&lt;&gt;"",$E455&lt;=AU$2,$F455&gt;=AU$2),1,0)</f>
        <v/>
      </c>
      <c r="AV455">
        <f>AV454+IF(AND($E455&lt;&gt;"",$E455&lt;=AV$2,$F455&gt;=AV$2),1,0)</f>
        <v/>
      </c>
      <c r="AW455">
        <f>AW454+IF(AND($E455&lt;&gt;"",$E455&lt;=AW$2,$F455&gt;=AW$2),1,0)</f>
        <v/>
      </c>
    </row>
    <row r="456">
      <c r="A456">
        <f>IF(AND(ISNUMBER(Events!$A458),ISNUMBER(Events!$B458)),MAX(0,Events!$B458-Events!$A458),0)</f>
        <v/>
      </c>
      <c r="B456">
        <f>IF(ISNUMBER(Events!$A458),DATE(YEAR($B$1)-1,MONTH(Events!$A458),DAY(Events!$A458)),"")</f>
        <v/>
      </c>
      <c r="C456">
        <f>IF(ISNUMBER(Events!$A458),DATE(YEAR($B$1),MONTH(Events!$A458),DAY(Events!$A458)),"")</f>
        <v/>
      </c>
      <c r="D456">
        <f>IF(ISNUMBER(Events!$A458),DATE(YEAR($B$2),MONTH(Events!$A458),DAY(Events!$A458)),"")</f>
        <v/>
      </c>
      <c r="E456">
        <f>IF(OR(NOT(ISNUMBER(Events!$A458)),Events!$G458="No",Calendar!$H$4="None"),"",IF(OR(Calendar!$H$4="All events",Events!$D458=Calendar!$H$4),IF(Events!$E458="Yes",IF(AND(B456&gt;=Events!$A458,B456&lt;=$B$2,B456+$A456&gt;=$B$1),B456,IF(AND(C456&gt;=Events!$A458,C456&lt;=$B$2,C456+$A456&gt;=$B$1),C456,IF(AND(D456&gt;=Events!$A458,D456&lt;=$B$2,D456+$A456&gt;=$B$1),D456,""))),IF(AND(Events!$A458&lt;=$B$2,Events!$A458+$A456&gt;=$B$1),Events!$A458,"")),""))</f>
        <v/>
      </c>
      <c r="F456">
        <f>IF(E456="","",E456+A456)</f>
        <v/>
      </c>
      <c r="G456">
        <f>IF(E456="","",IF(AND(E456&lt;=EOMONTH(Calendar!$K$2,0),F456&gt;=Calendar!$K$2),E456+453/100000,""))</f>
        <v/>
      </c>
      <c r="H456">
        <f>H455+IF(AND($E456&lt;&gt;"",$E456&lt;=H$2,$F456&gt;=H$2),1,0)</f>
        <v/>
      </c>
      <c r="I456">
        <f>I455+IF(AND($E456&lt;&gt;"",$E456&lt;=I$2,$F456&gt;=I$2),1,0)</f>
        <v/>
      </c>
      <c r="J456">
        <f>J455+IF(AND($E456&lt;&gt;"",$E456&lt;=J$2,$F456&gt;=J$2),1,0)</f>
        <v/>
      </c>
      <c r="K456">
        <f>K455+IF(AND($E456&lt;&gt;"",$E456&lt;=K$2,$F456&gt;=K$2),1,0)</f>
        <v/>
      </c>
      <c r="L456">
        <f>L455+IF(AND($E456&lt;&gt;"",$E456&lt;=L$2,$F456&gt;=L$2),1,0)</f>
        <v/>
      </c>
      <c r="M456">
        <f>M455+IF(AND($E456&lt;&gt;"",$E456&lt;=M$2,$F456&gt;=M$2),1,0)</f>
        <v/>
      </c>
      <c r="N456">
        <f>N455+IF(AND($E456&lt;&gt;"",$E456&lt;=N$2,$F456&gt;=N$2),1,0)</f>
        <v/>
      </c>
      <c r="O456">
        <f>O455+IF(AND($E456&lt;&gt;"",$E456&lt;=O$2,$F456&gt;=O$2),1,0)</f>
        <v/>
      </c>
      <c r="P456">
        <f>P455+IF(AND($E456&lt;&gt;"",$E456&lt;=P$2,$F456&gt;=P$2),1,0)</f>
        <v/>
      </c>
      <c r="Q456">
        <f>Q455+IF(AND($E456&lt;&gt;"",$E456&lt;=Q$2,$F456&gt;=Q$2),1,0)</f>
        <v/>
      </c>
      <c r="R456">
        <f>R455+IF(AND($E456&lt;&gt;"",$E456&lt;=R$2,$F456&gt;=R$2),1,0)</f>
        <v/>
      </c>
      <c r="S456">
        <f>S455+IF(AND($E456&lt;&gt;"",$E456&lt;=S$2,$F456&gt;=S$2),1,0)</f>
        <v/>
      </c>
      <c r="T456">
        <f>T455+IF(AND($E456&lt;&gt;"",$E456&lt;=T$2,$F456&gt;=T$2),1,0)</f>
        <v/>
      </c>
      <c r="U456">
        <f>U455+IF(AND($E456&lt;&gt;"",$E456&lt;=U$2,$F456&gt;=U$2),1,0)</f>
        <v/>
      </c>
      <c r="V456">
        <f>V455+IF(AND($E456&lt;&gt;"",$E456&lt;=V$2,$F456&gt;=V$2),1,0)</f>
        <v/>
      </c>
      <c r="W456">
        <f>W455+IF(AND($E456&lt;&gt;"",$E456&lt;=W$2,$F456&gt;=W$2),1,0)</f>
        <v/>
      </c>
      <c r="X456">
        <f>X455+IF(AND($E456&lt;&gt;"",$E456&lt;=X$2,$F456&gt;=X$2),1,0)</f>
        <v/>
      </c>
      <c r="Y456">
        <f>Y455+IF(AND($E456&lt;&gt;"",$E456&lt;=Y$2,$F456&gt;=Y$2),1,0)</f>
        <v/>
      </c>
      <c r="Z456">
        <f>Z455+IF(AND($E456&lt;&gt;"",$E456&lt;=Z$2,$F456&gt;=Z$2),1,0)</f>
        <v/>
      </c>
      <c r="AA456">
        <f>AA455+IF(AND($E456&lt;&gt;"",$E456&lt;=AA$2,$F456&gt;=AA$2),1,0)</f>
        <v/>
      </c>
      <c r="AB456">
        <f>AB455+IF(AND($E456&lt;&gt;"",$E456&lt;=AB$2,$F456&gt;=AB$2),1,0)</f>
        <v/>
      </c>
      <c r="AC456">
        <f>AC455+IF(AND($E456&lt;&gt;"",$E456&lt;=AC$2,$F456&gt;=AC$2),1,0)</f>
        <v/>
      </c>
      <c r="AD456">
        <f>AD455+IF(AND($E456&lt;&gt;"",$E456&lt;=AD$2,$F456&gt;=AD$2),1,0)</f>
        <v/>
      </c>
      <c r="AE456">
        <f>AE455+IF(AND($E456&lt;&gt;"",$E456&lt;=AE$2,$F456&gt;=AE$2),1,0)</f>
        <v/>
      </c>
      <c r="AF456">
        <f>AF455+IF(AND($E456&lt;&gt;"",$E456&lt;=AF$2,$F456&gt;=AF$2),1,0)</f>
        <v/>
      </c>
      <c r="AG456">
        <f>AG455+IF(AND($E456&lt;&gt;"",$E456&lt;=AG$2,$F456&gt;=AG$2),1,0)</f>
        <v/>
      </c>
      <c r="AH456">
        <f>AH455+IF(AND($E456&lt;&gt;"",$E456&lt;=AH$2,$F456&gt;=AH$2),1,0)</f>
        <v/>
      </c>
      <c r="AI456">
        <f>AI455+IF(AND($E456&lt;&gt;"",$E456&lt;=AI$2,$F456&gt;=AI$2),1,0)</f>
        <v/>
      </c>
      <c r="AJ456">
        <f>AJ455+IF(AND($E456&lt;&gt;"",$E456&lt;=AJ$2,$F456&gt;=AJ$2),1,0)</f>
        <v/>
      </c>
      <c r="AK456">
        <f>AK455+IF(AND($E456&lt;&gt;"",$E456&lt;=AK$2,$F456&gt;=AK$2),1,0)</f>
        <v/>
      </c>
      <c r="AL456">
        <f>AL455+IF(AND($E456&lt;&gt;"",$E456&lt;=AL$2,$F456&gt;=AL$2),1,0)</f>
        <v/>
      </c>
      <c r="AM456">
        <f>AM455+IF(AND($E456&lt;&gt;"",$E456&lt;=AM$2,$F456&gt;=AM$2),1,0)</f>
        <v/>
      </c>
      <c r="AN456">
        <f>AN455+IF(AND($E456&lt;&gt;"",$E456&lt;=AN$2,$F456&gt;=AN$2),1,0)</f>
        <v/>
      </c>
      <c r="AO456">
        <f>AO455+IF(AND($E456&lt;&gt;"",$E456&lt;=AO$2,$F456&gt;=AO$2),1,0)</f>
        <v/>
      </c>
      <c r="AP456">
        <f>AP455+IF(AND($E456&lt;&gt;"",$E456&lt;=AP$2,$F456&gt;=AP$2),1,0)</f>
        <v/>
      </c>
      <c r="AQ456">
        <f>AQ455+IF(AND($E456&lt;&gt;"",$E456&lt;=AQ$2,$F456&gt;=AQ$2),1,0)</f>
        <v/>
      </c>
      <c r="AR456">
        <f>AR455+IF(AND($E456&lt;&gt;"",$E456&lt;=AR$2,$F456&gt;=AR$2),1,0)</f>
        <v/>
      </c>
      <c r="AS456">
        <f>AS455+IF(AND($E456&lt;&gt;"",$E456&lt;=AS$2,$F456&gt;=AS$2),1,0)</f>
        <v/>
      </c>
      <c r="AT456">
        <f>AT455+IF(AND($E456&lt;&gt;"",$E456&lt;=AT$2,$F456&gt;=AT$2),1,0)</f>
        <v/>
      </c>
      <c r="AU456">
        <f>AU455+IF(AND($E456&lt;&gt;"",$E456&lt;=AU$2,$F456&gt;=AU$2),1,0)</f>
        <v/>
      </c>
      <c r="AV456">
        <f>AV455+IF(AND($E456&lt;&gt;"",$E456&lt;=AV$2,$F456&gt;=AV$2),1,0)</f>
        <v/>
      </c>
      <c r="AW456">
        <f>AW455+IF(AND($E456&lt;&gt;"",$E456&lt;=AW$2,$F456&gt;=AW$2),1,0)</f>
        <v/>
      </c>
    </row>
    <row r="457">
      <c r="A457">
        <f>IF(AND(ISNUMBER(Events!$A459),ISNUMBER(Events!$B459)),MAX(0,Events!$B459-Events!$A459),0)</f>
        <v/>
      </c>
      <c r="B457">
        <f>IF(ISNUMBER(Events!$A459),DATE(YEAR($B$1)-1,MONTH(Events!$A459),DAY(Events!$A459)),"")</f>
        <v/>
      </c>
      <c r="C457">
        <f>IF(ISNUMBER(Events!$A459),DATE(YEAR($B$1),MONTH(Events!$A459),DAY(Events!$A459)),"")</f>
        <v/>
      </c>
      <c r="D457">
        <f>IF(ISNUMBER(Events!$A459),DATE(YEAR($B$2),MONTH(Events!$A459),DAY(Events!$A459)),"")</f>
        <v/>
      </c>
      <c r="E457">
        <f>IF(OR(NOT(ISNUMBER(Events!$A459)),Events!$G459="No",Calendar!$H$4="None"),"",IF(OR(Calendar!$H$4="All events",Events!$D459=Calendar!$H$4),IF(Events!$E459="Yes",IF(AND(B457&gt;=Events!$A459,B457&lt;=$B$2,B457+$A457&gt;=$B$1),B457,IF(AND(C457&gt;=Events!$A459,C457&lt;=$B$2,C457+$A457&gt;=$B$1),C457,IF(AND(D457&gt;=Events!$A459,D457&lt;=$B$2,D457+$A457&gt;=$B$1),D457,""))),IF(AND(Events!$A459&lt;=$B$2,Events!$A459+$A457&gt;=$B$1),Events!$A459,"")),""))</f>
        <v/>
      </c>
      <c r="F457">
        <f>IF(E457="","",E457+A457)</f>
        <v/>
      </c>
      <c r="G457">
        <f>IF(E457="","",IF(AND(E457&lt;=EOMONTH(Calendar!$K$2,0),F457&gt;=Calendar!$K$2),E457+454/100000,""))</f>
        <v/>
      </c>
      <c r="H457">
        <f>H456+IF(AND($E457&lt;&gt;"",$E457&lt;=H$2,$F457&gt;=H$2),1,0)</f>
        <v/>
      </c>
      <c r="I457">
        <f>I456+IF(AND($E457&lt;&gt;"",$E457&lt;=I$2,$F457&gt;=I$2),1,0)</f>
        <v/>
      </c>
      <c r="J457">
        <f>J456+IF(AND($E457&lt;&gt;"",$E457&lt;=J$2,$F457&gt;=J$2),1,0)</f>
        <v/>
      </c>
      <c r="K457">
        <f>K456+IF(AND($E457&lt;&gt;"",$E457&lt;=K$2,$F457&gt;=K$2),1,0)</f>
        <v/>
      </c>
      <c r="L457">
        <f>L456+IF(AND($E457&lt;&gt;"",$E457&lt;=L$2,$F457&gt;=L$2),1,0)</f>
        <v/>
      </c>
      <c r="M457">
        <f>M456+IF(AND($E457&lt;&gt;"",$E457&lt;=M$2,$F457&gt;=M$2),1,0)</f>
        <v/>
      </c>
      <c r="N457">
        <f>N456+IF(AND($E457&lt;&gt;"",$E457&lt;=N$2,$F457&gt;=N$2),1,0)</f>
        <v/>
      </c>
      <c r="O457">
        <f>O456+IF(AND($E457&lt;&gt;"",$E457&lt;=O$2,$F457&gt;=O$2),1,0)</f>
        <v/>
      </c>
      <c r="P457">
        <f>P456+IF(AND($E457&lt;&gt;"",$E457&lt;=P$2,$F457&gt;=P$2),1,0)</f>
        <v/>
      </c>
      <c r="Q457">
        <f>Q456+IF(AND($E457&lt;&gt;"",$E457&lt;=Q$2,$F457&gt;=Q$2),1,0)</f>
        <v/>
      </c>
      <c r="R457">
        <f>R456+IF(AND($E457&lt;&gt;"",$E457&lt;=R$2,$F457&gt;=R$2),1,0)</f>
        <v/>
      </c>
      <c r="S457">
        <f>S456+IF(AND($E457&lt;&gt;"",$E457&lt;=S$2,$F457&gt;=S$2),1,0)</f>
        <v/>
      </c>
      <c r="T457">
        <f>T456+IF(AND($E457&lt;&gt;"",$E457&lt;=T$2,$F457&gt;=T$2),1,0)</f>
        <v/>
      </c>
      <c r="U457">
        <f>U456+IF(AND($E457&lt;&gt;"",$E457&lt;=U$2,$F457&gt;=U$2),1,0)</f>
        <v/>
      </c>
      <c r="V457">
        <f>V456+IF(AND($E457&lt;&gt;"",$E457&lt;=V$2,$F457&gt;=V$2),1,0)</f>
        <v/>
      </c>
      <c r="W457">
        <f>W456+IF(AND($E457&lt;&gt;"",$E457&lt;=W$2,$F457&gt;=W$2),1,0)</f>
        <v/>
      </c>
      <c r="X457">
        <f>X456+IF(AND($E457&lt;&gt;"",$E457&lt;=X$2,$F457&gt;=X$2),1,0)</f>
        <v/>
      </c>
      <c r="Y457">
        <f>Y456+IF(AND($E457&lt;&gt;"",$E457&lt;=Y$2,$F457&gt;=Y$2),1,0)</f>
        <v/>
      </c>
      <c r="Z457">
        <f>Z456+IF(AND($E457&lt;&gt;"",$E457&lt;=Z$2,$F457&gt;=Z$2),1,0)</f>
        <v/>
      </c>
      <c r="AA457">
        <f>AA456+IF(AND($E457&lt;&gt;"",$E457&lt;=AA$2,$F457&gt;=AA$2),1,0)</f>
        <v/>
      </c>
      <c r="AB457">
        <f>AB456+IF(AND($E457&lt;&gt;"",$E457&lt;=AB$2,$F457&gt;=AB$2),1,0)</f>
        <v/>
      </c>
      <c r="AC457">
        <f>AC456+IF(AND($E457&lt;&gt;"",$E457&lt;=AC$2,$F457&gt;=AC$2),1,0)</f>
        <v/>
      </c>
      <c r="AD457">
        <f>AD456+IF(AND($E457&lt;&gt;"",$E457&lt;=AD$2,$F457&gt;=AD$2),1,0)</f>
        <v/>
      </c>
      <c r="AE457">
        <f>AE456+IF(AND($E457&lt;&gt;"",$E457&lt;=AE$2,$F457&gt;=AE$2),1,0)</f>
        <v/>
      </c>
      <c r="AF457">
        <f>AF456+IF(AND($E457&lt;&gt;"",$E457&lt;=AF$2,$F457&gt;=AF$2),1,0)</f>
        <v/>
      </c>
      <c r="AG457">
        <f>AG456+IF(AND($E457&lt;&gt;"",$E457&lt;=AG$2,$F457&gt;=AG$2),1,0)</f>
        <v/>
      </c>
      <c r="AH457">
        <f>AH456+IF(AND($E457&lt;&gt;"",$E457&lt;=AH$2,$F457&gt;=AH$2),1,0)</f>
        <v/>
      </c>
      <c r="AI457">
        <f>AI456+IF(AND($E457&lt;&gt;"",$E457&lt;=AI$2,$F457&gt;=AI$2),1,0)</f>
        <v/>
      </c>
      <c r="AJ457">
        <f>AJ456+IF(AND($E457&lt;&gt;"",$E457&lt;=AJ$2,$F457&gt;=AJ$2),1,0)</f>
        <v/>
      </c>
      <c r="AK457">
        <f>AK456+IF(AND($E457&lt;&gt;"",$E457&lt;=AK$2,$F457&gt;=AK$2),1,0)</f>
        <v/>
      </c>
      <c r="AL457">
        <f>AL456+IF(AND($E457&lt;&gt;"",$E457&lt;=AL$2,$F457&gt;=AL$2),1,0)</f>
        <v/>
      </c>
      <c r="AM457">
        <f>AM456+IF(AND($E457&lt;&gt;"",$E457&lt;=AM$2,$F457&gt;=AM$2),1,0)</f>
        <v/>
      </c>
      <c r="AN457">
        <f>AN456+IF(AND($E457&lt;&gt;"",$E457&lt;=AN$2,$F457&gt;=AN$2),1,0)</f>
        <v/>
      </c>
      <c r="AO457">
        <f>AO456+IF(AND($E457&lt;&gt;"",$E457&lt;=AO$2,$F457&gt;=AO$2),1,0)</f>
        <v/>
      </c>
      <c r="AP457">
        <f>AP456+IF(AND($E457&lt;&gt;"",$E457&lt;=AP$2,$F457&gt;=AP$2),1,0)</f>
        <v/>
      </c>
      <c r="AQ457">
        <f>AQ456+IF(AND($E457&lt;&gt;"",$E457&lt;=AQ$2,$F457&gt;=AQ$2),1,0)</f>
        <v/>
      </c>
      <c r="AR457">
        <f>AR456+IF(AND($E457&lt;&gt;"",$E457&lt;=AR$2,$F457&gt;=AR$2),1,0)</f>
        <v/>
      </c>
      <c r="AS457">
        <f>AS456+IF(AND($E457&lt;&gt;"",$E457&lt;=AS$2,$F457&gt;=AS$2),1,0)</f>
        <v/>
      </c>
      <c r="AT457">
        <f>AT456+IF(AND($E457&lt;&gt;"",$E457&lt;=AT$2,$F457&gt;=AT$2),1,0)</f>
        <v/>
      </c>
      <c r="AU457">
        <f>AU456+IF(AND($E457&lt;&gt;"",$E457&lt;=AU$2,$F457&gt;=AU$2),1,0)</f>
        <v/>
      </c>
      <c r="AV457">
        <f>AV456+IF(AND($E457&lt;&gt;"",$E457&lt;=AV$2,$F457&gt;=AV$2),1,0)</f>
        <v/>
      </c>
      <c r="AW457">
        <f>AW456+IF(AND($E457&lt;&gt;"",$E457&lt;=AW$2,$F457&gt;=AW$2),1,0)</f>
        <v/>
      </c>
    </row>
    <row r="458">
      <c r="A458">
        <f>IF(AND(ISNUMBER(Events!$A460),ISNUMBER(Events!$B460)),MAX(0,Events!$B460-Events!$A460),0)</f>
        <v/>
      </c>
      <c r="B458">
        <f>IF(ISNUMBER(Events!$A460),DATE(YEAR($B$1)-1,MONTH(Events!$A460),DAY(Events!$A460)),"")</f>
        <v/>
      </c>
      <c r="C458">
        <f>IF(ISNUMBER(Events!$A460),DATE(YEAR($B$1),MONTH(Events!$A460),DAY(Events!$A460)),"")</f>
        <v/>
      </c>
      <c r="D458">
        <f>IF(ISNUMBER(Events!$A460),DATE(YEAR($B$2),MONTH(Events!$A460),DAY(Events!$A460)),"")</f>
        <v/>
      </c>
      <c r="E458">
        <f>IF(OR(NOT(ISNUMBER(Events!$A460)),Events!$G460="No",Calendar!$H$4="None"),"",IF(OR(Calendar!$H$4="All events",Events!$D460=Calendar!$H$4),IF(Events!$E460="Yes",IF(AND(B458&gt;=Events!$A460,B458&lt;=$B$2,B458+$A458&gt;=$B$1),B458,IF(AND(C458&gt;=Events!$A460,C458&lt;=$B$2,C458+$A458&gt;=$B$1),C458,IF(AND(D458&gt;=Events!$A460,D458&lt;=$B$2,D458+$A458&gt;=$B$1),D458,""))),IF(AND(Events!$A460&lt;=$B$2,Events!$A460+$A458&gt;=$B$1),Events!$A460,"")),""))</f>
        <v/>
      </c>
      <c r="F458">
        <f>IF(E458="","",E458+A458)</f>
        <v/>
      </c>
      <c r="G458">
        <f>IF(E458="","",IF(AND(E458&lt;=EOMONTH(Calendar!$K$2,0),F458&gt;=Calendar!$K$2),E458+455/100000,""))</f>
        <v/>
      </c>
      <c r="H458">
        <f>H457+IF(AND($E458&lt;&gt;"",$E458&lt;=H$2,$F458&gt;=H$2),1,0)</f>
        <v/>
      </c>
      <c r="I458">
        <f>I457+IF(AND($E458&lt;&gt;"",$E458&lt;=I$2,$F458&gt;=I$2),1,0)</f>
        <v/>
      </c>
      <c r="J458">
        <f>J457+IF(AND($E458&lt;&gt;"",$E458&lt;=J$2,$F458&gt;=J$2),1,0)</f>
        <v/>
      </c>
      <c r="K458">
        <f>K457+IF(AND($E458&lt;&gt;"",$E458&lt;=K$2,$F458&gt;=K$2),1,0)</f>
        <v/>
      </c>
      <c r="L458">
        <f>L457+IF(AND($E458&lt;&gt;"",$E458&lt;=L$2,$F458&gt;=L$2),1,0)</f>
        <v/>
      </c>
      <c r="M458">
        <f>M457+IF(AND($E458&lt;&gt;"",$E458&lt;=M$2,$F458&gt;=M$2),1,0)</f>
        <v/>
      </c>
      <c r="N458">
        <f>N457+IF(AND($E458&lt;&gt;"",$E458&lt;=N$2,$F458&gt;=N$2),1,0)</f>
        <v/>
      </c>
      <c r="O458">
        <f>O457+IF(AND($E458&lt;&gt;"",$E458&lt;=O$2,$F458&gt;=O$2),1,0)</f>
        <v/>
      </c>
      <c r="P458">
        <f>P457+IF(AND($E458&lt;&gt;"",$E458&lt;=P$2,$F458&gt;=P$2),1,0)</f>
        <v/>
      </c>
      <c r="Q458">
        <f>Q457+IF(AND($E458&lt;&gt;"",$E458&lt;=Q$2,$F458&gt;=Q$2),1,0)</f>
        <v/>
      </c>
      <c r="R458">
        <f>R457+IF(AND($E458&lt;&gt;"",$E458&lt;=R$2,$F458&gt;=R$2),1,0)</f>
        <v/>
      </c>
      <c r="S458">
        <f>S457+IF(AND($E458&lt;&gt;"",$E458&lt;=S$2,$F458&gt;=S$2),1,0)</f>
        <v/>
      </c>
      <c r="T458">
        <f>T457+IF(AND($E458&lt;&gt;"",$E458&lt;=T$2,$F458&gt;=T$2),1,0)</f>
        <v/>
      </c>
      <c r="U458">
        <f>U457+IF(AND($E458&lt;&gt;"",$E458&lt;=U$2,$F458&gt;=U$2),1,0)</f>
        <v/>
      </c>
      <c r="V458">
        <f>V457+IF(AND($E458&lt;&gt;"",$E458&lt;=V$2,$F458&gt;=V$2),1,0)</f>
        <v/>
      </c>
      <c r="W458">
        <f>W457+IF(AND($E458&lt;&gt;"",$E458&lt;=W$2,$F458&gt;=W$2),1,0)</f>
        <v/>
      </c>
      <c r="X458">
        <f>X457+IF(AND($E458&lt;&gt;"",$E458&lt;=X$2,$F458&gt;=X$2),1,0)</f>
        <v/>
      </c>
      <c r="Y458">
        <f>Y457+IF(AND($E458&lt;&gt;"",$E458&lt;=Y$2,$F458&gt;=Y$2),1,0)</f>
        <v/>
      </c>
      <c r="Z458">
        <f>Z457+IF(AND($E458&lt;&gt;"",$E458&lt;=Z$2,$F458&gt;=Z$2),1,0)</f>
        <v/>
      </c>
      <c r="AA458">
        <f>AA457+IF(AND($E458&lt;&gt;"",$E458&lt;=AA$2,$F458&gt;=AA$2),1,0)</f>
        <v/>
      </c>
      <c r="AB458">
        <f>AB457+IF(AND($E458&lt;&gt;"",$E458&lt;=AB$2,$F458&gt;=AB$2),1,0)</f>
        <v/>
      </c>
      <c r="AC458">
        <f>AC457+IF(AND($E458&lt;&gt;"",$E458&lt;=AC$2,$F458&gt;=AC$2),1,0)</f>
        <v/>
      </c>
      <c r="AD458">
        <f>AD457+IF(AND($E458&lt;&gt;"",$E458&lt;=AD$2,$F458&gt;=AD$2),1,0)</f>
        <v/>
      </c>
      <c r="AE458">
        <f>AE457+IF(AND($E458&lt;&gt;"",$E458&lt;=AE$2,$F458&gt;=AE$2),1,0)</f>
        <v/>
      </c>
      <c r="AF458">
        <f>AF457+IF(AND($E458&lt;&gt;"",$E458&lt;=AF$2,$F458&gt;=AF$2),1,0)</f>
        <v/>
      </c>
      <c r="AG458">
        <f>AG457+IF(AND($E458&lt;&gt;"",$E458&lt;=AG$2,$F458&gt;=AG$2),1,0)</f>
        <v/>
      </c>
      <c r="AH458">
        <f>AH457+IF(AND($E458&lt;&gt;"",$E458&lt;=AH$2,$F458&gt;=AH$2),1,0)</f>
        <v/>
      </c>
      <c r="AI458">
        <f>AI457+IF(AND($E458&lt;&gt;"",$E458&lt;=AI$2,$F458&gt;=AI$2),1,0)</f>
        <v/>
      </c>
      <c r="AJ458">
        <f>AJ457+IF(AND($E458&lt;&gt;"",$E458&lt;=AJ$2,$F458&gt;=AJ$2),1,0)</f>
        <v/>
      </c>
      <c r="AK458">
        <f>AK457+IF(AND($E458&lt;&gt;"",$E458&lt;=AK$2,$F458&gt;=AK$2),1,0)</f>
        <v/>
      </c>
      <c r="AL458">
        <f>AL457+IF(AND($E458&lt;&gt;"",$E458&lt;=AL$2,$F458&gt;=AL$2),1,0)</f>
        <v/>
      </c>
      <c r="AM458">
        <f>AM457+IF(AND($E458&lt;&gt;"",$E458&lt;=AM$2,$F458&gt;=AM$2),1,0)</f>
        <v/>
      </c>
      <c r="AN458">
        <f>AN457+IF(AND($E458&lt;&gt;"",$E458&lt;=AN$2,$F458&gt;=AN$2),1,0)</f>
        <v/>
      </c>
      <c r="AO458">
        <f>AO457+IF(AND($E458&lt;&gt;"",$E458&lt;=AO$2,$F458&gt;=AO$2),1,0)</f>
        <v/>
      </c>
      <c r="AP458">
        <f>AP457+IF(AND($E458&lt;&gt;"",$E458&lt;=AP$2,$F458&gt;=AP$2),1,0)</f>
        <v/>
      </c>
      <c r="AQ458">
        <f>AQ457+IF(AND($E458&lt;&gt;"",$E458&lt;=AQ$2,$F458&gt;=AQ$2),1,0)</f>
        <v/>
      </c>
      <c r="AR458">
        <f>AR457+IF(AND($E458&lt;&gt;"",$E458&lt;=AR$2,$F458&gt;=AR$2),1,0)</f>
        <v/>
      </c>
      <c r="AS458">
        <f>AS457+IF(AND($E458&lt;&gt;"",$E458&lt;=AS$2,$F458&gt;=AS$2),1,0)</f>
        <v/>
      </c>
      <c r="AT458">
        <f>AT457+IF(AND($E458&lt;&gt;"",$E458&lt;=AT$2,$F458&gt;=AT$2),1,0)</f>
        <v/>
      </c>
      <c r="AU458">
        <f>AU457+IF(AND($E458&lt;&gt;"",$E458&lt;=AU$2,$F458&gt;=AU$2),1,0)</f>
        <v/>
      </c>
      <c r="AV458">
        <f>AV457+IF(AND($E458&lt;&gt;"",$E458&lt;=AV$2,$F458&gt;=AV$2),1,0)</f>
        <v/>
      </c>
      <c r="AW458">
        <f>AW457+IF(AND($E458&lt;&gt;"",$E458&lt;=AW$2,$F458&gt;=AW$2),1,0)</f>
        <v/>
      </c>
    </row>
    <row r="459">
      <c r="A459">
        <f>IF(AND(ISNUMBER(Events!$A461),ISNUMBER(Events!$B461)),MAX(0,Events!$B461-Events!$A461),0)</f>
        <v/>
      </c>
      <c r="B459">
        <f>IF(ISNUMBER(Events!$A461),DATE(YEAR($B$1)-1,MONTH(Events!$A461),DAY(Events!$A461)),"")</f>
        <v/>
      </c>
      <c r="C459">
        <f>IF(ISNUMBER(Events!$A461),DATE(YEAR($B$1),MONTH(Events!$A461),DAY(Events!$A461)),"")</f>
        <v/>
      </c>
      <c r="D459">
        <f>IF(ISNUMBER(Events!$A461),DATE(YEAR($B$2),MONTH(Events!$A461),DAY(Events!$A461)),"")</f>
        <v/>
      </c>
      <c r="E459">
        <f>IF(OR(NOT(ISNUMBER(Events!$A461)),Events!$G461="No",Calendar!$H$4="None"),"",IF(OR(Calendar!$H$4="All events",Events!$D461=Calendar!$H$4),IF(Events!$E461="Yes",IF(AND(B459&gt;=Events!$A461,B459&lt;=$B$2,B459+$A459&gt;=$B$1),B459,IF(AND(C459&gt;=Events!$A461,C459&lt;=$B$2,C459+$A459&gt;=$B$1),C459,IF(AND(D459&gt;=Events!$A461,D459&lt;=$B$2,D459+$A459&gt;=$B$1),D459,""))),IF(AND(Events!$A461&lt;=$B$2,Events!$A461+$A459&gt;=$B$1),Events!$A461,"")),""))</f>
        <v/>
      </c>
      <c r="F459">
        <f>IF(E459="","",E459+A459)</f>
        <v/>
      </c>
      <c r="G459">
        <f>IF(E459="","",IF(AND(E459&lt;=EOMONTH(Calendar!$K$2,0),F459&gt;=Calendar!$K$2),E459+456/100000,""))</f>
        <v/>
      </c>
      <c r="H459">
        <f>H458+IF(AND($E459&lt;&gt;"",$E459&lt;=H$2,$F459&gt;=H$2),1,0)</f>
        <v/>
      </c>
      <c r="I459">
        <f>I458+IF(AND($E459&lt;&gt;"",$E459&lt;=I$2,$F459&gt;=I$2),1,0)</f>
        <v/>
      </c>
      <c r="J459">
        <f>J458+IF(AND($E459&lt;&gt;"",$E459&lt;=J$2,$F459&gt;=J$2),1,0)</f>
        <v/>
      </c>
      <c r="K459">
        <f>K458+IF(AND($E459&lt;&gt;"",$E459&lt;=K$2,$F459&gt;=K$2),1,0)</f>
        <v/>
      </c>
      <c r="L459">
        <f>L458+IF(AND($E459&lt;&gt;"",$E459&lt;=L$2,$F459&gt;=L$2),1,0)</f>
        <v/>
      </c>
      <c r="M459">
        <f>M458+IF(AND($E459&lt;&gt;"",$E459&lt;=M$2,$F459&gt;=M$2),1,0)</f>
        <v/>
      </c>
      <c r="N459">
        <f>N458+IF(AND($E459&lt;&gt;"",$E459&lt;=N$2,$F459&gt;=N$2),1,0)</f>
        <v/>
      </c>
      <c r="O459">
        <f>O458+IF(AND($E459&lt;&gt;"",$E459&lt;=O$2,$F459&gt;=O$2),1,0)</f>
        <v/>
      </c>
      <c r="P459">
        <f>P458+IF(AND($E459&lt;&gt;"",$E459&lt;=P$2,$F459&gt;=P$2),1,0)</f>
        <v/>
      </c>
      <c r="Q459">
        <f>Q458+IF(AND($E459&lt;&gt;"",$E459&lt;=Q$2,$F459&gt;=Q$2),1,0)</f>
        <v/>
      </c>
      <c r="R459">
        <f>R458+IF(AND($E459&lt;&gt;"",$E459&lt;=R$2,$F459&gt;=R$2),1,0)</f>
        <v/>
      </c>
      <c r="S459">
        <f>S458+IF(AND($E459&lt;&gt;"",$E459&lt;=S$2,$F459&gt;=S$2),1,0)</f>
        <v/>
      </c>
      <c r="T459">
        <f>T458+IF(AND($E459&lt;&gt;"",$E459&lt;=T$2,$F459&gt;=T$2),1,0)</f>
        <v/>
      </c>
      <c r="U459">
        <f>U458+IF(AND($E459&lt;&gt;"",$E459&lt;=U$2,$F459&gt;=U$2),1,0)</f>
        <v/>
      </c>
      <c r="V459">
        <f>V458+IF(AND($E459&lt;&gt;"",$E459&lt;=V$2,$F459&gt;=V$2),1,0)</f>
        <v/>
      </c>
      <c r="W459">
        <f>W458+IF(AND($E459&lt;&gt;"",$E459&lt;=W$2,$F459&gt;=W$2),1,0)</f>
        <v/>
      </c>
      <c r="X459">
        <f>X458+IF(AND($E459&lt;&gt;"",$E459&lt;=X$2,$F459&gt;=X$2),1,0)</f>
        <v/>
      </c>
      <c r="Y459">
        <f>Y458+IF(AND($E459&lt;&gt;"",$E459&lt;=Y$2,$F459&gt;=Y$2),1,0)</f>
        <v/>
      </c>
      <c r="Z459">
        <f>Z458+IF(AND($E459&lt;&gt;"",$E459&lt;=Z$2,$F459&gt;=Z$2),1,0)</f>
        <v/>
      </c>
      <c r="AA459">
        <f>AA458+IF(AND($E459&lt;&gt;"",$E459&lt;=AA$2,$F459&gt;=AA$2),1,0)</f>
        <v/>
      </c>
      <c r="AB459">
        <f>AB458+IF(AND($E459&lt;&gt;"",$E459&lt;=AB$2,$F459&gt;=AB$2),1,0)</f>
        <v/>
      </c>
      <c r="AC459">
        <f>AC458+IF(AND($E459&lt;&gt;"",$E459&lt;=AC$2,$F459&gt;=AC$2),1,0)</f>
        <v/>
      </c>
      <c r="AD459">
        <f>AD458+IF(AND($E459&lt;&gt;"",$E459&lt;=AD$2,$F459&gt;=AD$2),1,0)</f>
        <v/>
      </c>
      <c r="AE459">
        <f>AE458+IF(AND($E459&lt;&gt;"",$E459&lt;=AE$2,$F459&gt;=AE$2),1,0)</f>
        <v/>
      </c>
      <c r="AF459">
        <f>AF458+IF(AND($E459&lt;&gt;"",$E459&lt;=AF$2,$F459&gt;=AF$2),1,0)</f>
        <v/>
      </c>
      <c r="AG459">
        <f>AG458+IF(AND($E459&lt;&gt;"",$E459&lt;=AG$2,$F459&gt;=AG$2),1,0)</f>
        <v/>
      </c>
      <c r="AH459">
        <f>AH458+IF(AND($E459&lt;&gt;"",$E459&lt;=AH$2,$F459&gt;=AH$2),1,0)</f>
        <v/>
      </c>
      <c r="AI459">
        <f>AI458+IF(AND($E459&lt;&gt;"",$E459&lt;=AI$2,$F459&gt;=AI$2),1,0)</f>
        <v/>
      </c>
      <c r="AJ459">
        <f>AJ458+IF(AND($E459&lt;&gt;"",$E459&lt;=AJ$2,$F459&gt;=AJ$2),1,0)</f>
        <v/>
      </c>
      <c r="AK459">
        <f>AK458+IF(AND($E459&lt;&gt;"",$E459&lt;=AK$2,$F459&gt;=AK$2),1,0)</f>
        <v/>
      </c>
      <c r="AL459">
        <f>AL458+IF(AND($E459&lt;&gt;"",$E459&lt;=AL$2,$F459&gt;=AL$2),1,0)</f>
        <v/>
      </c>
      <c r="AM459">
        <f>AM458+IF(AND($E459&lt;&gt;"",$E459&lt;=AM$2,$F459&gt;=AM$2),1,0)</f>
        <v/>
      </c>
      <c r="AN459">
        <f>AN458+IF(AND($E459&lt;&gt;"",$E459&lt;=AN$2,$F459&gt;=AN$2),1,0)</f>
        <v/>
      </c>
      <c r="AO459">
        <f>AO458+IF(AND($E459&lt;&gt;"",$E459&lt;=AO$2,$F459&gt;=AO$2),1,0)</f>
        <v/>
      </c>
      <c r="AP459">
        <f>AP458+IF(AND($E459&lt;&gt;"",$E459&lt;=AP$2,$F459&gt;=AP$2),1,0)</f>
        <v/>
      </c>
      <c r="AQ459">
        <f>AQ458+IF(AND($E459&lt;&gt;"",$E459&lt;=AQ$2,$F459&gt;=AQ$2),1,0)</f>
        <v/>
      </c>
      <c r="AR459">
        <f>AR458+IF(AND($E459&lt;&gt;"",$E459&lt;=AR$2,$F459&gt;=AR$2),1,0)</f>
        <v/>
      </c>
      <c r="AS459">
        <f>AS458+IF(AND($E459&lt;&gt;"",$E459&lt;=AS$2,$F459&gt;=AS$2),1,0)</f>
        <v/>
      </c>
      <c r="AT459">
        <f>AT458+IF(AND($E459&lt;&gt;"",$E459&lt;=AT$2,$F459&gt;=AT$2),1,0)</f>
        <v/>
      </c>
      <c r="AU459">
        <f>AU458+IF(AND($E459&lt;&gt;"",$E459&lt;=AU$2,$F459&gt;=AU$2),1,0)</f>
        <v/>
      </c>
      <c r="AV459">
        <f>AV458+IF(AND($E459&lt;&gt;"",$E459&lt;=AV$2,$F459&gt;=AV$2),1,0)</f>
        <v/>
      </c>
      <c r="AW459">
        <f>AW458+IF(AND($E459&lt;&gt;"",$E459&lt;=AW$2,$F459&gt;=AW$2),1,0)</f>
        <v/>
      </c>
    </row>
    <row r="460">
      <c r="A460">
        <f>IF(AND(ISNUMBER(Events!$A462),ISNUMBER(Events!$B462)),MAX(0,Events!$B462-Events!$A462),0)</f>
        <v/>
      </c>
      <c r="B460">
        <f>IF(ISNUMBER(Events!$A462),DATE(YEAR($B$1)-1,MONTH(Events!$A462),DAY(Events!$A462)),"")</f>
        <v/>
      </c>
      <c r="C460">
        <f>IF(ISNUMBER(Events!$A462),DATE(YEAR($B$1),MONTH(Events!$A462),DAY(Events!$A462)),"")</f>
        <v/>
      </c>
      <c r="D460">
        <f>IF(ISNUMBER(Events!$A462),DATE(YEAR($B$2),MONTH(Events!$A462),DAY(Events!$A462)),"")</f>
        <v/>
      </c>
      <c r="E460">
        <f>IF(OR(NOT(ISNUMBER(Events!$A462)),Events!$G462="No",Calendar!$H$4="None"),"",IF(OR(Calendar!$H$4="All events",Events!$D462=Calendar!$H$4),IF(Events!$E462="Yes",IF(AND(B460&gt;=Events!$A462,B460&lt;=$B$2,B460+$A460&gt;=$B$1),B460,IF(AND(C460&gt;=Events!$A462,C460&lt;=$B$2,C460+$A460&gt;=$B$1),C460,IF(AND(D460&gt;=Events!$A462,D460&lt;=$B$2,D460+$A460&gt;=$B$1),D460,""))),IF(AND(Events!$A462&lt;=$B$2,Events!$A462+$A460&gt;=$B$1),Events!$A462,"")),""))</f>
        <v/>
      </c>
      <c r="F460">
        <f>IF(E460="","",E460+A460)</f>
        <v/>
      </c>
      <c r="G460">
        <f>IF(E460="","",IF(AND(E460&lt;=EOMONTH(Calendar!$K$2,0),F460&gt;=Calendar!$K$2),E460+457/100000,""))</f>
        <v/>
      </c>
      <c r="H460">
        <f>H459+IF(AND($E460&lt;&gt;"",$E460&lt;=H$2,$F460&gt;=H$2),1,0)</f>
        <v/>
      </c>
      <c r="I460">
        <f>I459+IF(AND($E460&lt;&gt;"",$E460&lt;=I$2,$F460&gt;=I$2),1,0)</f>
        <v/>
      </c>
      <c r="J460">
        <f>J459+IF(AND($E460&lt;&gt;"",$E460&lt;=J$2,$F460&gt;=J$2),1,0)</f>
        <v/>
      </c>
      <c r="K460">
        <f>K459+IF(AND($E460&lt;&gt;"",$E460&lt;=K$2,$F460&gt;=K$2),1,0)</f>
        <v/>
      </c>
      <c r="L460">
        <f>L459+IF(AND($E460&lt;&gt;"",$E460&lt;=L$2,$F460&gt;=L$2),1,0)</f>
        <v/>
      </c>
      <c r="M460">
        <f>M459+IF(AND($E460&lt;&gt;"",$E460&lt;=M$2,$F460&gt;=M$2),1,0)</f>
        <v/>
      </c>
      <c r="N460">
        <f>N459+IF(AND($E460&lt;&gt;"",$E460&lt;=N$2,$F460&gt;=N$2),1,0)</f>
        <v/>
      </c>
      <c r="O460">
        <f>O459+IF(AND($E460&lt;&gt;"",$E460&lt;=O$2,$F460&gt;=O$2),1,0)</f>
        <v/>
      </c>
      <c r="P460">
        <f>P459+IF(AND($E460&lt;&gt;"",$E460&lt;=P$2,$F460&gt;=P$2),1,0)</f>
        <v/>
      </c>
      <c r="Q460">
        <f>Q459+IF(AND($E460&lt;&gt;"",$E460&lt;=Q$2,$F460&gt;=Q$2),1,0)</f>
        <v/>
      </c>
      <c r="R460">
        <f>R459+IF(AND($E460&lt;&gt;"",$E460&lt;=R$2,$F460&gt;=R$2),1,0)</f>
        <v/>
      </c>
      <c r="S460">
        <f>S459+IF(AND($E460&lt;&gt;"",$E460&lt;=S$2,$F460&gt;=S$2),1,0)</f>
        <v/>
      </c>
      <c r="T460">
        <f>T459+IF(AND($E460&lt;&gt;"",$E460&lt;=T$2,$F460&gt;=T$2),1,0)</f>
        <v/>
      </c>
      <c r="U460">
        <f>U459+IF(AND($E460&lt;&gt;"",$E460&lt;=U$2,$F460&gt;=U$2),1,0)</f>
        <v/>
      </c>
      <c r="V460">
        <f>V459+IF(AND($E460&lt;&gt;"",$E460&lt;=V$2,$F460&gt;=V$2),1,0)</f>
        <v/>
      </c>
      <c r="W460">
        <f>W459+IF(AND($E460&lt;&gt;"",$E460&lt;=W$2,$F460&gt;=W$2),1,0)</f>
        <v/>
      </c>
      <c r="X460">
        <f>X459+IF(AND($E460&lt;&gt;"",$E460&lt;=X$2,$F460&gt;=X$2),1,0)</f>
        <v/>
      </c>
      <c r="Y460">
        <f>Y459+IF(AND($E460&lt;&gt;"",$E460&lt;=Y$2,$F460&gt;=Y$2),1,0)</f>
        <v/>
      </c>
      <c r="Z460">
        <f>Z459+IF(AND($E460&lt;&gt;"",$E460&lt;=Z$2,$F460&gt;=Z$2),1,0)</f>
        <v/>
      </c>
      <c r="AA460">
        <f>AA459+IF(AND($E460&lt;&gt;"",$E460&lt;=AA$2,$F460&gt;=AA$2),1,0)</f>
        <v/>
      </c>
      <c r="AB460">
        <f>AB459+IF(AND($E460&lt;&gt;"",$E460&lt;=AB$2,$F460&gt;=AB$2),1,0)</f>
        <v/>
      </c>
      <c r="AC460">
        <f>AC459+IF(AND($E460&lt;&gt;"",$E460&lt;=AC$2,$F460&gt;=AC$2),1,0)</f>
        <v/>
      </c>
      <c r="AD460">
        <f>AD459+IF(AND($E460&lt;&gt;"",$E460&lt;=AD$2,$F460&gt;=AD$2),1,0)</f>
        <v/>
      </c>
      <c r="AE460">
        <f>AE459+IF(AND($E460&lt;&gt;"",$E460&lt;=AE$2,$F460&gt;=AE$2),1,0)</f>
        <v/>
      </c>
      <c r="AF460">
        <f>AF459+IF(AND($E460&lt;&gt;"",$E460&lt;=AF$2,$F460&gt;=AF$2),1,0)</f>
        <v/>
      </c>
      <c r="AG460">
        <f>AG459+IF(AND($E460&lt;&gt;"",$E460&lt;=AG$2,$F460&gt;=AG$2),1,0)</f>
        <v/>
      </c>
      <c r="AH460">
        <f>AH459+IF(AND($E460&lt;&gt;"",$E460&lt;=AH$2,$F460&gt;=AH$2),1,0)</f>
        <v/>
      </c>
      <c r="AI460">
        <f>AI459+IF(AND($E460&lt;&gt;"",$E460&lt;=AI$2,$F460&gt;=AI$2),1,0)</f>
        <v/>
      </c>
      <c r="AJ460">
        <f>AJ459+IF(AND($E460&lt;&gt;"",$E460&lt;=AJ$2,$F460&gt;=AJ$2),1,0)</f>
        <v/>
      </c>
      <c r="AK460">
        <f>AK459+IF(AND($E460&lt;&gt;"",$E460&lt;=AK$2,$F460&gt;=AK$2),1,0)</f>
        <v/>
      </c>
      <c r="AL460">
        <f>AL459+IF(AND($E460&lt;&gt;"",$E460&lt;=AL$2,$F460&gt;=AL$2),1,0)</f>
        <v/>
      </c>
      <c r="AM460">
        <f>AM459+IF(AND($E460&lt;&gt;"",$E460&lt;=AM$2,$F460&gt;=AM$2),1,0)</f>
        <v/>
      </c>
      <c r="AN460">
        <f>AN459+IF(AND($E460&lt;&gt;"",$E460&lt;=AN$2,$F460&gt;=AN$2),1,0)</f>
        <v/>
      </c>
      <c r="AO460">
        <f>AO459+IF(AND($E460&lt;&gt;"",$E460&lt;=AO$2,$F460&gt;=AO$2),1,0)</f>
        <v/>
      </c>
      <c r="AP460">
        <f>AP459+IF(AND($E460&lt;&gt;"",$E460&lt;=AP$2,$F460&gt;=AP$2),1,0)</f>
        <v/>
      </c>
      <c r="AQ460">
        <f>AQ459+IF(AND($E460&lt;&gt;"",$E460&lt;=AQ$2,$F460&gt;=AQ$2),1,0)</f>
        <v/>
      </c>
      <c r="AR460">
        <f>AR459+IF(AND($E460&lt;&gt;"",$E460&lt;=AR$2,$F460&gt;=AR$2),1,0)</f>
        <v/>
      </c>
      <c r="AS460">
        <f>AS459+IF(AND($E460&lt;&gt;"",$E460&lt;=AS$2,$F460&gt;=AS$2),1,0)</f>
        <v/>
      </c>
      <c r="AT460">
        <f>AT459+IF(AND($E460&lt;&gt;"",$E460&lt;=AT$2,$F460&gt;=AT$2),1,0)</f>
        <v/>
      </c>
      <c r="AU460">
        <f>AU459+IF(AND($E460&lt;&gt;"",$E460&lt;=AU$2,$F460&gt;=AU$2),1,0)</f>
        <v/>
      </c>
      <c r="AV460">
        <f>AV459+IF(AND($E460&lt;&gt;"",$E460&lt;=AV$2,$F460&gt;=AV$2),1,0)</f>
        <v/>
      </c>
      <c r="AW460">
        <f>AW459+IF(AND($E460&lt;&gt;"",$E460&lt;=AW$2,$F460&gt;=AW$2),1,0)</f>
        <v/>
      </c>
    </row>
    <row r="461">
      <c r="A461">
        <f>IF(AND(ISNUMBER(Events!$A463),ISNUMBER(Events!$B463)),MAX(0,Events!$B463-Events!$A463),0)</f>
        <v/>
      </c>
      <c r="B461">
        <f>IF(ISNUMBER(Events!$A463),DATE(YEAR($B$1)-1,MONTH(Events!$A463),DAY(Events!$A463)),"")</f>
        <v/>
      </c>
      <c r="C461">
        <f>IF(ISNUMBER(Events!$A463),DATE(YEAR($B$1),MONTH(Events!$A463),DAY(Events!$A463)),"")</f>
        <v/>
      </c>
      <c r="D461">
        <f>IF(ISNUMBER(Events!$A463),DATE(YEAR($B$2),MONTH(Events!$A463),DAY(Events!$A463)),"")</f>
        <v/>
      </c>
      <c r="E461">
        <f>IF(OR(NOT(ISNUMBER(Events!$A463)),Events!$G463="No",Calendar!$H$4="None"),"",IF(OR(Calendar!$H$4="All events",Events!$D463=Calendar!$H$4),IF(Events!$E463="Yes",IF(AND(B461&gt;=Events!$A463,B461&lt;=$B$2,B461+$A461&gt;=$B$1),B461,IF(AND(C461&gt;=Events!$A463,C461&lt;=$B$2,C461+$A461&gt;=$B$1),C461,IF(AND(D461&gt;=Events!$A463,D461&lt;=$B$2,D461+$A461&gt;=$B$1),D461,""))),IF(AND(Events!$A463&lt;=$B$2,Events!$A463+$A461&gt;=$B$1),Events!$A463,"")),""))</f>
        <v/>
      </c>
      <c r="F461">
        <f>IF(E461="","",E461+A461)</f>
        <v/>
      </c>
      <c r="G461">
        <f>IF(E461="","",IF(AND(E461&lt;=EOMONTH(Calendar!$K$2,0),F461&gt;=Calendar!$K$2),E461+458/100000,""))</f>
        <v/>
      </c>
      <c r="H461">
        <f>H460+IF(AND($E461&lt;&gt;"",$E461&lt;=H$2,$F461&gt;=H$2),1,0)</f>
        <v/>
      </c>
      <c r="I461">
        <f>I460+IF(AND($E461&lt;&gt;"",$E461&lt;=I$2,$F461&gt;=I$2),1,0)</f>
        <v/>
      </c>
      <c r="J461">
        <f>J460+IF(AND($E461&lt;&gt;"",$E461&lt;=J$2,$F461&gt;=J$2),1,0)</f>
        <v/>
      </c>
      <c r="K461">
        <f>K460+IF(AND($E461&lt;&gt;"",$E461&lt;=K$2,$F461&gt;=K$2),1,0)</f>
        <v/>
      </c>
      <c r="L461">
        <f>L460+IF(AND($E461&lt;&gt;"",$E461&lt;=L$2,$F461&gt;=L$2),1,0)</f>
        <v/>
      </c>
      <c r="M461">
        <f>M460+IF(AND($E461&lt;&gt;"",$E461&lt;=M$2,$F461&gt;=M$2),1,0)</f>
        <v/>
      </c>
      <c r="N461">
        <f>N460+IF(AND($E461&lt;&gt;"",$E461&lt;=N$2,$F461&gt;=N$2),1,0)</f>
        <v/>
      </c>
      <c r="O461">
        <f>O460+IF(AND($E461&lt;&gt;"",$E461&lt;=O$2,$F461&gt;=O$2),1,0)</f>
        <v/>
      </c>
      <c r="P461">
        <f>P460+IF(AND($E461&lt;&gt;"",$E461&lt;=P$2,$F461&gt;=P$2),1,0)</f>
        <v/>
      </c>
      <c r="Q461">
        <f>Q460+IF(AND($E461&lt;&gt;"",$E461&lt;=Q$2,$F461&gt;=Q$2),1,0)</f>
        <v/>
      </c>
      <c r="R461">
        <f>R460+IF(AND($E461&lt;&gt;"",$E461&lt;=R$2,$F461&gt;=R$2),1,0)</f>
        <v/>
      </c>
      <c r="S461">
        <f>S460+IF(AND($E461&lt;&gt;"",$E461&lt;=S$2,$F461&gt;=S$2),1,0)</f>
        <v/>
      </c>
      <c r="T461">
        <f>T460+IF(AND($E461&lt;&gt;"",$E461&lt;=T$2,$F461&gt;=T$2),1,0)</f>
        <v/>
      </c>
      <c r="U461">
        <f>U460+IF(AND($E461&lt;&gt;"",$E461&lt;=U$2,$F461&gt;=U$2),1,0)</f>
        <v/>
      </c>
      <c r="V461">
        <f>V460+IF(AND($E461&lt;&gt;"",$E461&lt;=V$2,$F461&gt;=V$2),1,0)</f>
        <v/>
      </c>
      <c r="W461">
        <f>W460+IF(AND($E461&lt;&gt;"",$E461&lt;=W$2,$F461&gt;=W$2),1,0)</f>
        <v/>
      </c>
      <c r="X461">
        <f>X460+IF(AND($E461&lt;&gt;"",$E461&lt;=X$2,$F461&gt;=X$2),1,0)</f>
        <v/>
      </c>
      <c r="Y461">
        <f>Y460+IF(AND($E461&lt;&gt;"",$E461&lt;=Y$2,$F461&gt;=Y$2),1,0)</f>
        <v/>
      </c>
      <c r="Z461">
        <f>Z460+IF(AND($E461&lt;&gt;"",$E461&lt;=Z$2,$F461&gt;=Z$2),1,0)</f>
        <v/>
      </c>
      <c r="AA461">
        <f>AA460+IF(AND($E461&lt;&gt;"",$E461&lt;=AA$2,$F461&gt;=AA$2),1,0)</f>
        <v/>
      </c>
      <c r="AB461">
        <f>AB460+IF(AND($E461&lt;&gt;"",$E461&lt;=AB$2,$F461&gt;=AB$2),1,0)</f>
        <v/>
      </c>
      <c r="AC461">
        <f>AC460+IF(AND($E461&lt;&gt;"",$E461&lt;=AC$2,$F461&gt;=AC$2),1,0)</f>
        <v/>
      </c>
      <c r="AD461">
        <f>AD460+IF(AND($E461&lt;&gt;"",$E461&lt;=AD$2,$F461&gt;=AD$2),1,0)</f>
        <v/>
      </c>
      <c r="AE461">
        <f>AE460+IF(AND($E461&lt;&gt;"",$E461&lt;=AE$2,$F461&gt;=AE$2),1,0)</f>
        <v/>
      </c>
      <c r="AF461">
        <f>AF460+IF(AND($E461&lt;&gt;"",$E461&lt;=AF$2,$F461&gt;=AF$2),1,0)</f>
        <v/>
      </c>
      <c r="AG461">
        <f>AG460+IF(AND($E461&lt;&gt;"",$E461&lt;=AG$2,$F461&gt;=AG$2),1,0)</f>
        <v/>
      </c>
      <c r="AH461">
        <f>AH460+IF(AND($E461&lt;&gt;"",$E461&lt;=AH$2,$F461&gt;=AH$2),1,0)</f>
        <v/>
      </c>
      <c r="AI461">
        <f>AI460+IF(AND($E461&lt;&gt;"",$E461&lt;=AI$2,$F461&gt;=AI$2),1,0)</f>
        <v/>
      </c>
      <c r="AJ461">
        <f>AJ460+IF(AND($E461&lt;&gt;"",$E461&lt;=AJ$2,$F461&gt;=AJ$2),1,0)</f>
        <v/>
      </c>
      <c r="AK461">
        <f>AK460+IF(AND($E461&lt;&gt;"",$E461&lt;=AK$2,$F461&gt;=AK$2),1,0)</f>
        <v/>
      </c>
      <c r="AL461">
        <f>AL460+IF(AND($E461&lt;&gt;"",$E461&lt;=AL$2,$F461&gt;=AL$2),1,0)</f>
        <v/>
      </c>
      <c r="AM461">
        <f>AM460+IF(AND($E461&lt;&gt;"",$E461&lt;=AM$2,$F461&gt;=AM$2),1,0)</f>
        <v/>
      </c>
      <c r="AN461">
        <f>AN460+IF(AND($E461&lt;&gt;"",$E461&lt;=AN$2,$F461&gt;=AN$2),1,0)</f>
        <v/>
      </c>
      <c r="AO461">
        <f>AO460+IF(AND($E461&lt;&gt;"",$E461&lt;=AO$2,$F461&gt;=AO$2),1,0)</f>
        <v/>
      </c>
      <c r="AP461">
        <f>AP460+IF(AND($E461&lt;&gt;"",$E461&lt;=AP$2,$F461&gt;=AP$2),1,0)</f>
        <v/>
      </c>
      <c r="AQ461">
        <f>AQ460+IF(AND($E461&lt;&gt;"",$E461&lt;=AQ$2,$F461&gt;=AQ$2),1,0)</f>
        <v/>
      </c>
      <c r="AR461">
        <f>AR460+IF(AND($E461&lt;&gt;"",$E461&lt;=AR$2,$F461&gt;=AR$2),1,0)</f>
        <v/>
      </c>
      <c r="AS461">
        <f>AS460+IF(AND($E461&lt;&gt;"",$E461&lt;=AS$2,$F461&gt;=AS$2),1,0)</f>
        <v/>
      </c>
      <c r="AT461">
        <f>AT460+IF(AND($E461&lt;&gt;"",$E461&lt;=AT$2,$F461&gt;=AT$2),1,0)</f>
        <v/>
      </c>
      <c r="AU461">
        <f>AU460+IF(AND($E461&lt;&gt;"",$E461&lt;=AU$2,$F461&gt;=AU$2),1,0)</f>
        <v/>
      </c>
      <c r="AV461">
        <f>AV460+IF(AND($E461&lt;&gt;"",$E461&lt;=AV$2,$F461&gt;=AV$2),1,0)</f>
        <v/>
      </c>
      <c r="AW461">
        <f>AW460+IF(AND($E461&lt;&gt;"",$E461&lt;=AW$2,$F461&gt;=AW$2),1,0)</f>
        <v/>
      </c>
    </row>
    <row r="462">
      <c r="A462">
        <f>IF(AND(ISNUMBER(Events!$A464),ISNUMBER(Events!$B464)),MAX(0,Events!$B464-Events!$A464),0)</f>
        <v/>
      </c>
      <c r="B462">
        <f>IF(ISNUMBER(Events!$A464),DATE(YEAR($B$1)-1,MONTH(Events!$A464),DAY(Events!$A464)),"")</f>
        <v/>
      </c>
      <c r="C462">
        <f>IF(ISNUMBER(Events!$A464),DATE(YEAR($B$1),MONTH(Events!$A464),DAY(Events!$A464)),"")</f>
        <v/>
      </c>
      <c r="D462">
        <f>IF(ISNUMBER(Events!$A464),DATE(YEAR($B$2),MONTH(Events!$A464),DAY(Events!$A464)),"")</f>
        <v/>
      </c>
      <c r="E462">
        <f>IF(OR(NOT(ISNUMBER(Events!$A464)),Events!$G464="No",Calendar!$H$4="None"),"",IF(OR(Calendar!$H$4="All events",Events!$D464=Calendar!$H$4),IF(Events!$E464="Yes",IF(AND(B462&gt;=Events!$A464,B462&lt;=$B$2,B462+$A462&gt;=$B$1),B462,IF(AND(C462&gt;=Events!$A464,C462&lt;=$B$2,C462+$A462&gt;=$B$1),C462,IF(AND(D462&gt;=Events!$A464,D462&lt;=$B$2,D462+$A462&gt;=$B$1),D462,""))),IF(AND(Events!$A464&lt;=$B$2,Events!$A464+$A462&gt;=$B$1),Events!$A464,"")),""))</f>
        <v/>
      </c>
      <c r="F462">
        <f>IF(E462="","",E462+A462)</f>
        <v/>
      </c>
      <c r="G462">
        <f>IF(E462="","",IF(AND(E462&lt;=EOMONTH(Calendar!$K$2,0),F462&gt;=Calendar!$K$2),E462+459/100000,""))</f>
        <v/>
      </c>
      <c r="H462">
        <f>H461+IF(AND($E462&lt;&gt;"",$E462&lt;=H$2,$F462&gt;=H$2),1,0)</f>
        <v/>
      </c>
      <c r="I462">
        <f>I461+IF(AND($E462&lt;&gt;"",$E462&lt;=I$2,$F462&gt;=I$2),1,0)</f>
        <v/>
      </c>
      <c r="J462">
        <f>J461+IF(AND($E462&lt;&gt;"",$E462&lt;=J$2,$F462&gt;=J$2),1,0)</f>
        <v/>
      </c>
      <c r="K462">
        <f>K461+IF(AND($E462&lt;&gt;"",$E462&lt;=K$2,$F462&gt;=K$2),1,0)</f>
        <v/>
      </c>
      <c r="L462">
        <f>L461+IF(AND($E462&lt;&gt;"",$E462&lt;=L$2,$F462&gt;=L$2),1,0)</f>
        <v/>
      </c>
      <c r="M462">
        <f>M461+IF(AND($E462&lt;&gt;"",$E462&lt;=M$2,$F462&gt;=M$2),1,0)</f>
        <v/>
      </c>
      <c r="N462">
        <f>N461+IF(AND($E462&lt;&gt;"",$E462&lt;=N$2,$F462&gt;=N$2),1,0)</f>
        <v/>
      </c>
      <c r="O462">
        <f>O461+IF(AND($E462&lt;&gt;"",$E462&lt;=O$2,$F462&gt;=O$2),1,0)</f>
        <v/>
      </c>
      <c r="P462">
        <f>P461+IF(AND($E462&lt;&gt;"",$E462&lt;=P$2,$F462&gt;=P$2),1,0)</f>
        <v/>
      </c>
      <c r="Q462">
        <f>Q461+IF(AND($E462&lt;&gt;"",$E462&lt;=Q$2,$F462&gt;=Q$2),1,0)</f>
        <v/>
      </c>
      <c r="R462">
        <f>R461+IF(AND($E462&lt;&gt;"",$E462&lt;=R$2,$F462&gt;=R$2),1,0)</f>
        <v/>
      </c>
      <c r="S462">
        <f>S461+IF(AND($E462&lt;&gt;"",$E462&lt;=S$2,$F462&gt;=S$2),1,0)</f>
        <v/>
      </c>
      <c r="T462">
        <f>T461+IF(AND($E462&lt;&gt;"",$E462&lt;=T$2,$F462&gt;=T$2),1,0)</f>
        <v/>
      </c>
      <c r="U462">
        <f>U461+IF(AND($E462&lt;&gt;"",$E462&lt;=U$2,$F462&gt;=U$2),1,0)</f>
        <v/>
      </c>
      <c r="V462">
        <f>V461+IF(AND($E462&lt;&gt;"",$E462&lt;=V$2,$F462&gt;=V$2),1,0)</f>
        <v/>
      </c>
      <c r="W462">
        <f>W461+IF(AND($E462&lt;&gt;"",$E462&lt;=W$2,$F462&gt;=W$2),1,0)</f>
        <v/>
      </c>
      <c r="X462">
        <f>X461+IF(AND($E462&lt;&gt;"",$E462&lt;=X$2,$F462&gt;=X$2),1,0)</f>
        <v/>
      </c>
      <c r="Y462">
        <f>Y461+IF(AND($E462&lt;&gt;"",$E462&lt;=Y$2,$F462&gt;=Y$2),1,0)</f>
        <v/>
      </c>
      <c r="Z462">
        <f>Z461+IF(AND($E462&lt;&gt;"",$E462&lt;=Z$2,$F462&gt;=Z$2),1,0)</f>
        <v/>
      </c>
      <c r="AA462">
        <f>AA461+IF(AND($E462&lt;&gt;"",$E462&lt;=AA$2,$F462&gt;=AA$2),1,0)</f>
        <v/>
      </c>
      <c r="AB462">
        <f>AB461+IF(AND($E462&lt;&gt;"",$E462&lt;=AB$2,$F462&gt;=AB$2),1,0)</f>
        <v/>
      </c>
      <c r="AC462">
        <f>AC461+IF(AND($E462&lt;&gt;"",$E462&lt;=AC$2,$F462&gt;=AC$2),1,0)</f>
        <v/>
      </c>
      <c r="AD462">
        <f>AD461+IF(AND($E462&lt;&gt;"",$E462&lt;=AD$2,$F462&gt;=AD$2),1,0)</f>
        <v/>
      </c>
      <c r="AE462">
        <f>AE461+IF(AND($E462&lt;&gt;"",$E462&lt;=AE$2,$F462&gt;=AE$2),1,0)</f>
        <v/>
      </c>
      <c r="AF462">
        <f>AF461+IF(AND($E462&lt;&gt;"",$E462&lt;=AF$2,$F462&gt;=AF$2),1,0)</f>
        <v/>
      </c>
      <c r="AG462">
        <f>AG461+IF(AND($E462&lt;&gt;"",$E462&lt;=AG$2,$F462&gt;=AG$2),1,0)</f>
        <v/>
      </c>
      <c r="AH462">
        <f>AH461+IF(AND($E462&lt;&gt;"",$E462&lt;=AH$2,$F462&gt;=AH$2),1,0)</f>
        <v/>
      </c>
      <c r="AI462">
        <f>AI461+IF(AND($E462&lt;&gt;"",$E462&lt;=AI$2,$F462&gt;=AI$2),1,0)</f>
        <v/>
      </c>
      <c r="AJ462">
        <f>AJ461+IF(AND($E462&lt;&gt;"",$E462&lt;=AJ$2,$F462&gt;=AJ$2),1,0)</f>
        <v/>
      </c>
      <c r="AK462">
        <f>AK461+IF(AND($E462&lt;&gt;"",$E462&lt;=AK$2,$F462&gt;=AK$2),1,0)</f>
        <v/>
      </c>
      <c r="AL462">
        <f>AL461+IF(AND($E462&lt;&gt;"",$E462&lt;=AL$2,$F462&gt;=AL$2),1,0)</f>
        <v/>
      </c>
      <c r="AM462">
        <f>AM461+IF(AND($E462&lt;&gt;"",$E462&lt;=AM$2,$F462&gt;=AM$2),1,0)</f>
        <v/>
      </c>
      <c r="AN462">
        <f>AN461+IF(AND($E462&lt;&gt;"",$E462&lt;=AN$2,$F462&gt;=AN$2),1,0)</f>
        <v/>
      </c>
      <c r="AO462">
        <f>AO461+IF(AND($E462&lt;&gt;"",$E462&lt;=AO$2,$F462&gt;=AO$2),1,0)</f>
        <v/>
      </c>
      <c r="AP462">
        <f>AP461+IF(AND($E462&lt;&gt;"",$E462&lt;=AP$2,$F462&gt;=AP$2),1,0)</f>
        <v/>
      </c>
      <c r="AQ462">
        <f>AQ461+IF(AND($E462&lt;&gt;"",$E462&lt;=AQ$2,$F462&gt;=AQ$2),1,0)</f>
        <v/>
      </c>
      <c r="AR462">
        <f>AR461+IF(AND($E462&lt;&gt;"",$E462&lt;=AR$2,$F462&gt;=AR$2),1,0)</f>
        <v/>
      </c>
      <c r="AS462">
        <f>AS461+IF(AND($E462&lt;&gt;"",$E462&lt;=AS$2,$F462&gt;=AS$2),1,0)</f>
        <v/>
      </c>
      <c r="AT462">
        <f>AT461+IF(AND($E462&lt;&gt;"",$E462&lt;=AT$2,$F462&gt;=AT$2),1,0)</f>
        <v/>
      </c>
      <c r="AU462">
        <f>AU461+IF(AND($E462&lt;&gt;"",$E462&lt;=AU$2,$F462&gt;=AU$2),1,0)</f>
        <v/>
      </c>
      <c r="AV462">
        <f>AV461+IF(AND($E462&lt;&gt;"",$E462&lt;=AV$2,$F462&gt;=AV$2),1,0)</f>
        <v/>
      </c>
      <c r="AW462">
        <f>AW461+IF(AND($E462&lt;&gt;"",$E462&lt;=AW$2,$F462&gt;=AW$2),1,0)</f>
        <v/>
      </c>
    </row>
    <row r="463">
      <c r="A463">
        <f>IF(AND(ISNUMBER(Events!$A465),ISNUMBER(Events!$B465)),MAX(0,Events!$B465-Events!$A465),0)</f>
        <v/>
      </c>
      <c r="B463">
        <f>IF(ISNUMBER(Events!$A465),DATE(YEAR($B$1)-1,MONTH(Events!$A465),DAY(Events!$A465)),"")</f>
        <v/>
      </c>
      <c r="C463">
        <f>IF(ISNUMBER(Events!$A465),DATE(YEAR($B$1),MONTH(Events!$A465),DAY(Events!$A465)),"")</f>
        <v/>
      </c>
      <c r="D463">
        <f>IF(ISNUMBER(Events!$A465),DATE(YEAR($B$2),MONTH(Events!$A465),DAY(Events!$A465)),"")</f>
        <v/>
      </c>
      <c r="E463">
        <f>IF(OR(NOT(ISNUMBER(Events!$A465)),Events!$G465="No",Calendar!$H$4="None"),"",IF(OR(Calendar!$H$4="All events",Events!$D465=Calendar!$H$4),IF(Events!$E465="Yes",IF(AND(B463&gt;=Events!$A465,B463&lt;=$B$2,B463+$A463&gt;=$B$1),B463,IF(AND(C463&gt;=Events!$A465,C463&lt;=$B$2,C463+$A463&gt;=$B$1),C463,IF(AND(D463&gt;=Events!$A465,D463&lt;=$B$2,D463+$A463&gt;=$B$1),D463,""))),IF(AND(Events!$A465&lt;=$B$2,Events!$A465+$A463&gt;=$B$1),Events!$A465,"")),""))</f>
        <v/>
      </c>
      <c r="F463">
        <f>IF(E463="","",E463+A463)</f>
        <v/>
      </c>
      <c r="G463">
        <f>IF(E463="","",IF(AND(E463&lt;=EOMONTH(Calendar!$K$2,0),F463&gt;=Calendar!$K$2),E463+460/100000,""))</f>
        <v/>
      </c>
      <c r="H463">
        <f>H462+IF(AND($E463&lt;&gt;"",$E463&lt;=H$2,$F463&gt;=H$2),1,0)</f>
        <v/>
      </c>
      <c r="I463">
        <f>I462+IF(AND($E463&lt;&gt;"",$E463&lt;=I$2,$F463&gt;=I$2),1,0)</f>
        <v/>
      </c>
      <c r="J463">
        <f>J462+IF(AND($E463&lt;&gt;"",$E463&lt;=J$2,$F463&gt;=J$2),1,0)</f>
        <v/>
      </c>
      <c r="K463">
        <f>K462+IF(AND($E463&lt;&gt;"",$E463&lt;=K$2,$F463&gt;=K$2),1,0)</f>
        <v/>
      </c>
      <c r="L463">
        <f>L462+IF(AND($E463&lt;&gt;"",$E463&lt;=L$2,$F463&gt;=L$2),1,0)</f>
        <v/>
      </c>
      <c r="M463">
        <f>M462+IF(AND($E463&lt;&gt;"",$E463&lt;=M$2,$F463&gt;=M$2),1,0)</f>
        <v/>
      </c>
      <c r="N463">
        <f>N462+IF(AND($E463&lt;&gt;"",$E463&lt;=N$2,$F463&gt;=N$2),1,0)</f>
        <v/>
      </c>
      <c r="O463">
        <f>O462+IF(AND($E463&lt;&gt;"",$E463&lt;=O$2,$F463&gt;=O$2),1,0)</f>
        <v/>
      </c>
      <c r="P463">
        <f>P462+IF(AND($E463&lt;&gt;"",$E463&lt;=P$2,$F463&gt;=P$2),1,0)</f>
        <v/>
      </c>
      <c r="Q463">
        <f>Q462+IF(AND($E463&lt;&gt;"",$E463&lt;=Q$2,$F463&gt;=Q$2),1,0)</f>
        <v/>
      </c>
      <c r="R463">
        <f>R462+IF(AND($E463&lt;&gt;"",$E463&lt;=R$2,$F463&gt;=R$2),1,0)</f>
        <v/>
      </c>
      <c r="S463">
        <f>S462+IF(AND($E463&lt;&gt;"",$E463&lt;=S$2,$F463&gt;=S$2),1,0)</f>
        <v/>
      </c>
      <c r="T463">
        <f>T462+IF(AND($E463&lt;&gt;"",$E463&lt;=T$2,$F463&gt;=T$2),1,0)</f>
        <v/>
      </c>
      <c r="U463">
        <f>U462+IF(AND($E463&lt;&gt;"",$E463&lt;=U$2,$F463&gt;=U$2),1,0)</f>
        <v/>
      </c>
      <c r="V463">
        <f>V462+IF(AND($E463&lt;&gt;"",$E463&lt;=V$2,$F463&gt;=V$2),1,0)</f>
        <v/>
      </c>
      <c r="W463">
        <f>W462+IF(AND($E463&lt;&gt;"",$E463&lt;=W$2,$F463&gt;=W$2),1,0)</f>
        <v/>
      </c>
      <c r="X463">
        <f>X462+IF(AND($E463&lt;&gt;"",$E463&lt;=X$2,$F463&gt;=X$2),1,0)</f>
        <v/>
      </c>
      <c r="Y463">
        <f>Y462+IF(AND($E463&lt;&gt;"",$E463&lt;=Y$2,$F463&gt;=Y$2),1,0)</f>
        <v/>
      </c>
      <c r="Z463">
        <f>Z462+IF(AND($E463&lt;&gt;"",$E463&lt;=Z$2,$F463&gt;=Z$2),1,0)</f>
        <v/>
      </c>
      <c r="AA463">
        <f>AA462+IF(AND($E463&lt;&gt;"",$E463&lt;=AA$2,$F463&gt;=AA$2),1,0)</f>
        <v/>
      </c>
      <c r="AB463">
        <f>AB462+IF(AND($E463&lt;&gt;"",$E463&lt;=AB$2,$F463&gt;=AB$2),1,0)</f>
        <v/>
      </c>
      <c r="AC463">
        <f>AC462+IF(AND($E463&lt;&gt;"",$E463&lt;=AC$2,$F463&gt;=AC$2),1,0)</f>
        <v/>
      </c>
      <c r="AD463">
        <f>AD462+IF(AND($E463&lt;&gt;"",$E463&lt;=AD$2,$F463&gt;=AD$2),1,0)</f>
        <v/>
      </c>
      <c r="AE463">
        <f>AE462+IF(AND($E463&lt;&gt;"",$E463&lt;=AE$2,$F463&gt;=AE$2),1,0)</f>
        <v/>
      </c>
      <c r="AF463">
        <f>AF462+IF(AND($E463&lt;&gt;"",$E463&lt;=AF$2,$F463&gt;=AF$2),1,0)</f>
        <v/>
      </c>
      <c r="AG463">
        <f>AG462+IF(AND($E463&lt;&gt;"",$E463&lt;=AG$2,$F463&gt;=AG$2),1,0)</f>
        <v/>
      </c>
      <c r="AH463">
        <f>AH462+IF(AND($E463&lt;&gt;"",$E463&lt;=AH$2,$F463&gt;=AH$2),1,0)</f>
        <v/>
      </c>
      <c r="AI463">
        <f>AI462+IF(AND($E463&lt;&gt;"",$E463&lt;=AI$2,$F463&gt;=AI$2),1,0)</f>
        <v/>
      </c>
      <c r="AJ463">
        <f>AJ462+IF(AND($E463&lt;&gt;"",$E463&lt;=AJ$2,$F463&gt;=AJ$2),1,0)</f>
        <v/>
      </c>
      <c r="AK463">
        <f>AK462+IF(AND($E463&lt;&gt;"",$E463&lt;=AK$2,$F463&gt;=AK$2),1,0)</f>
        <v/>
      </c>
      <c r="AL463">
        <f>AL462+IF(AND($E463&lt;&gt;"",$E463&lt;=AL$2,$F463&gt;=AL$2),1,0)</f>
        <v/>
      </c>
      <c r="AM463">
        <f>AM462+IF(AND($E463&lt;&gt;"",$E463&lt;=AM$2,$F463&gt;=AM$2),1,0)</f>
        <v/>
      </c>
      <c r="AN463">
        <f>AN462+IF(AND($E463&lt;&gt;"",$E463&lt;=AN$2,$F463&gt;=AN$2),1,0)</f>
        <v/>
      </c>
      <c r="AO463">
        <f>AO462+IF(AND($E463&lt;&gt;"",$E463&lt;=AO$2,$F463&gt;=AO$2),1,0)</f>
        <v/>
      </c>
      <c r="AP463">
        <f>AP462+IF(AND($E463&lt;&gt;"",$E463&lt;=AP$2,$F463&gt;=AP$2),1,0)</f>
        <v/>
      </c>
      <c r="AQ463">
        <f>AQ462+IF(AND($E463&lt;&gt;"",$E463&lt;=AQ$2,$F463&gt;=AQ$2),1,0)</f>
        <v/>
      </c>
      <c r="AR463">
        <f>AR462+IF(AND($E463&lt;&gt;"",$E463&lt;=AR$2,$F463&gt;=AR$2),1,0)</f>
        <v/>
      </c>
      <c r="AS463">
        <f>AS462+IF(AND($E463&lt;&gt;"",$E463&lt;=AS$2,$F463&gt;=AS$2),1,0)</f>
        <v/>
      </c>
      <c r="AT463">
        <f>AT462+IF(AND($E463&lt;&gt;"",$E463&lt;=AT$2,$F463&gt;=AT$2),1,0)</f>
        <v/>
      </c>
      <c r="AU463">
        <f>AU462+IF(AND($E463&lt;&gt;"",$E463&lt;=AU$2,$F463&gt;=AU$2),1,0)</f>
        <v/>
      </c>
      <c r="AV463">
        <f>AV462+IF(AND($E463&lt;&gt;"",$E463&lt;=AV$2,$F463&gt;=AV$2),1,0)</f>
        <v/>
      </c>
      <c r="AW463">
        <f>AW462+IF(AND($E463&lt;&gt;"",$E463&lt;=AW$2,$F463&gt;=AW$2),1,0)</f>
        <v/>
      </c>
    </row>
    <row r="464">
      <c r="A464">
        <f>IF(AND(ISNUMBER(Events!$A466),ISNUMBER(Events!$B466)),MAX(0,Events!$B466-Events!$A466),0)</f>
        <v/>
      </c>
      <c r="B464">
        <f>IF(ISNUMBER(Events!$A466),DATE(YEAR($B$1)-1,MONTH(Events!$A466),DAY(Events!$A466)),"")</f>
        <v/>
      </c>
      <c r="C464">
        <f>IF(ISNUMBER(Events!$A466),DATE(YEAR($B$1),MONTH(Events!$A466),DAY(Events!$A466)),"")</f>
        <v/>
      </c>
      <c r="D464">
        <f>IF(ISNUMBER(Events!$A466),DATE(YEAR($B$2),MONTH(Events!$A466),DAY(Events!$A466)),"")</f>
        <v/>
      </c>
      <c r="E464">
        <f>IF(OR(NOT(ISNUMBER(Events!$A466)),Events!$G466="No",Calendar!$H$4="None"),"",IF(OR(Calendar!$H$4="All events",Events!$D466=Calendar!$H$4),IF(Events!$E466="Yes",IF(AND(B464&gt;=Events!$A466,B464&lt;=$B$2,B464+$A464&gt;=$B$1),B464,IF(AND(C464&gt;=Events!$A466,C464&lt;=$B$2,C464+$A464&gt;=$B$1),C464,IF(AND(D464&gt;=Events!$A466,D464&lt;=$B$2,D464+$A464&gt;=$B$1),D464,""))),IF(AND(Events!$A466&lt;=$B$2,Events!$A466+$A464&gt;=$B$1),Events!$A466,"")),""))</f>
        <v/>
      </c>
      <c r="F464">
        <f>IF(E464="","",E464+A464)</f>
        <v/>
      </c>
      <c r="G464">
        <f>IF(E464="","",IF(AND(E464&lt;=EOMONTH(Calendar!$K$2,0),F464&gt;=Calendar!$K$2),E464+461/100000,""))</f>
        <v/>
      </c>
      <c r="H464">
        <f>H463+IF(AND($E464&lt;&gt;"",$E464&lt;=H$2,$F464&gt;=H$2),1,0)</f>
        <v/>
      </c>
      <c r="I464">
        <f>I463+IF(AND($E464&lt;&gt;"",$E464&lt;=I$2,$F464&gt;=I$2),1,0)</f>
        <v/>
      </c>
      <c r="J464">
        <f>J463+IF(AND($E464&lt;&gt;"",$E464&lt;=J$2,$F464&gt;=J$2),1,0)</f>
        <v/>
      </c>
      <c r="K464">
        <f>K463+IF(AND($E464&lt;&gt;"",$E464&lt;=K$2,$F464&gt;=K$2),1,0)</f>
        <v/>
      </c>
      <c r="L464">
        <f>L463+IF(AND($E464&lt;&gt;"",$E464&lt;=L$2,$F464&gt;=L$2),1,0)</f>
        <v/>
      </c>
      <c r="M464">
        <f>M463+IF(AND($E464&lt;&gt;"",$E464&lt;=M$2,$F464&gt;=M$2),1,0)</f>
        <v/>
      </c>
      <c r="N464">
        <f>N463+IF(AND($E464&lt;&gt;"",$E464&lt;=N$2,$F464&gt;=N$2),1,0)</f>
        <v/>
      </c>
      <c r="O464">
        <f>O463+IF(AND($E464&lt;&gt;"",$E464&lt;=O$2,$F464&gt;=O$2),1,0)</f>
        <v/>
      </c>
      <c r="P464">
        <f>P463+IF(AND($E464&lt;&gt;"",$E464&lt;=P$2,$F464&gt;=P$2),1,0)</f>
        <v/>
      </c>
      <c r="Q464">
        <f>Q463+IF(AND($E464&lt;&gt;"",$E464&lt;=Q$2,$F464&gt;=Q$2),1,0)</f>
        <v/>
      </c>
      <c r="R464">
        <f>R463+IF(AND($E464&lt;&gt;"",$E464&lt;=R$2,$F464&gt;=R$2),1,0)</f>
        <v/>
      </c>
      <c r="S464">
        <f>S463+IF(AND($E464&lt;&gt;"",$E464&lt;=S$2,$F464&gt;=S$2),1,0)</f>
        <v/>
      </c>
      <c r="T464">
        <f>T463+IF(AND($E464&lt;&gt;"",$E464&lt;=T$2,$F464&gt;=T$2),1,0)</f>
        <v/>
      </c>
      <c r="U464">
        <f>U463+IF(AND($E464&lt;&gt;"",$E464&lt;=U$2,$F464&gt;=U$2),1,0)</f>
        <v/>
      </c>
      <c r="V464">
        <f>V463+IF(AND($E464&lt;&gt;"",$E464&lt;=V$2,$F464&gt;=V$2),1,0)</f>
        <v/>
      </c>
      <c r="W464">
        <f>W463+IF(AND($E464&lt;&gt;"",$E464&lt;=W$2,$F464&gt;=W$2),1,0)</f>
        <v/>
      </c>
      <c r="X464">
        <f>X463+IF(AND($E464&lt;&gt;"",$E464&lt;=X$2,$F464&gt;=X$2),1,0)</f>
        <v/>
      </c>
      <c r="Y464">
        <f>Y463+IF(AND($E464&lt;&gt;"",$E464&lt;=Y$2,$F464&gt;=Y$2),1,0)</f>
        <v/>
      </c>
      <c r="Z464">
        <f>Z463+IF(AND($E464&lt;&gt;"",$E464&lt;=Z$2,$F464&gt;=Z$2),1,0)</f>
        <v/>
      </c>
      <c r="AA464">
        <f>AA463+IF(AND($E464&lt;&gt;"",$E464&lt;=AA$2,$F464&gt;=AA$2),1,0)</f>
        <v/>
      </c>
      <c r="AB464">
        <f>AB463+IF(AND($E464&lt;&gt;"",$E464&lt;=AB$2,$F464&gt;=AB$2),1,0)</f>
        <v/>
      </c>
      <c r="AC464">
        <f>AC463+IF(AND($E464&lt;&gt;"",$E464&lt;=AC$2,$F464&gt;=AC$2),1,0)</f>
        <v/>
      </c>
      <c r="AD464">
        <f>AD463+IF(AND($E464&lt;&gt;"",$E464&lt;=AD$2,$F464&gt;=AD$2),1,0)</f>
        <v/>
      </c>
      <c r="AE464">
        <f>AE463+IF(AND($E464&lt;&gt;"",$E464&lt;=AE$2,$F464&gt;=AE$2),1,0)</f>
        <v/>
      </c>
      <c r="AF464">
        <f>AF463+IF(AND($E464&lt;&gt;"",$E464&lt;=AF$2,$F464&gt;=AF$2),1,0)</f>
        <v/>
      </c>
      <c r="AG464">
        <f>AG463+IF(AND($E464&lt;&gt;"",$E464&lt;=AG$2,$F464&gt;=AG$2),1,0)</f>
        <v/>
      </c>
      <c r="AH464">
        <f>AH463+IF(AND($E464&lt;&gt;"",$E464&lt;=AH$2,$F464&gt;=AH$2),1,0)</f>
        <v/>
      </c>
      <c r="AI464">
        <f>AI463+IF(AND($E464&lt;&gt;"",$E464&lt;=AI$2,$F464&gt;=AI$2),1,0)</f>
        <v/>
      </c>
      <c r="AJ464">
        <f>AJ463+IF(AND($E464&lt;&gt;"",$E464&lt;=AJ$2,$F464&gt;=AJ$2),1,0)</f>
        <v/>
      </c>
      <c r="AK464">
        <f>AK463+IF(AND($E464&lt;&gt;"",$E464&lt;=AK$2,$F464&gt;=AK$2),1,0)</f>
        <v/>
      </c>
      <c r="AL464">
        <f>AL463+IF(AND($E464&lt;&gt;"",$E464&lt;=AL$2,$F464&gt;=AL$2),1,0)</f>
        <v/>
      </c>
      <c r="AM464">
        <f>AM463+IF(AND($E464&lt;&gt;"",$E464&lt;=AM$2,$F464&gt;=AM$2),1,0)</f>
        <v/>
      </c>
      <c r="AN464">
        <f>AN463+IF(AND($E464&lt;&gt;"",$E464&lt;=AN$2,$F464&gt;=AN$2),1,0)</f>
        <v/>
      </c>
      <c r="AO464">
        <f>AO463+IF(AND($E464&lt;&gt;"",$E464&lt;=AO$2,$F464&gt;=AO$2),1,0)</f>
        <v/>
      </c>
      <c r="AP464">
        <f>AP463+IF(AND($E464&lt;&gt;"",$E464&lt;=AP$2,$F464&gt;=AP$2),1,0)</f>
        <v/>
      </c>
      <c r="AQ464">
        <f>AQ463+IF(AND($E464&lt;&gt;"",$E464&lt;=AQ$2,$F464&gt;=AQ$2),1,0)</f>
        <v/>
      </c>
      <c r="AR464">
        <f>AR463+IF(AND($E464&lt;&gt;"",$E464&lt;=AR$2,$F464&gt;=AR$2),1,0)</f>
        <v/>
      </c>
      <c r="AS464">
        <f>AS463+IF(AND($E464&lt;&gt;"",$E464&lt;=AS$2,$F464&gt;=AS$2),1,0)</f>
        <v/>
      </c>
      <c r="AT464">
        <f>AT463+IF(AND($E464&lt;&gt;"",$E464&lt;=AT$2,$F464&gt;=AT$2),1,0)</f>
        <v/>
      </c>
      <c r="AU464">
        <f>AU463+IF(AND($E464&lt;&gt;"",$E464&lt;=AU$2,$F464&gt;=AU$2),1,0)</f>
        <v/>
      </c>
      <c r="AV464">
        <f>AV463+IF(AND($E464&lt;&gt;"",$E464&lt;=AV$2,$F464&gt;=AV$2),1,0)</f>
        <v/>
      </c>
      <c r="AW464">
        <f>AW463+IF(AND($E464&lt;&gt;"",$E464&lt;=AW$2,$F464&gt;=AW$2),1,0)</f>
        <v/>
      </c>
    </row>
    <row r="465">
      <c r="A465">
        <f>IF(AND(ISNUMBER(Events!$A467),ISNUMBER(Events!$B467)),MAX(0,Events!$B467-Events!$A467),0)</f>
        <v/>
      </c>
      <c r="B465">
        <f>IF(ISNUMBER(Events!$A467),DATE(YEAR($B$1)-1,MONTH(Events!$A467),DAY(Events!$A467)),"")</f>
        <v/>
      </c>
      <c r="C465">
        <f>IF(ISNUMBER(Events!$A467),DATE(YEAR($B$1),MONTH(Events!$A467),DAY(Events!$A467)),"")</f>
        <v/>
      </c>
      <c r="D465">
        <f>IF(ISNUMBER(Events!$A467),DATE(YEAR($B$2),MONTH(Events!$A467),DAY(Events!$A467)),"")</f>
        <v/>
      </c>
      <c r="E465">
        <f>IF(OR(NOT(ISNUMBER(Events!$A467)),Events!$G467="No",Calendar!$H$4="None"),"",IF(OR(Calendar!$H$4="All events",Events!$D467=Calendar!$H$4),IF(Events!$E467="Yes",IF(AND(B465&gt;=Events!$A467,B465&lt;=$B$2,B465+$A465&gt;=$B$1),B465,IF(AND(C465&gt;=Events!$A467,C465&lt;=$B$2,C465+$A465&gt;=$B$1),C465,IF(AND(D465&gt;=Events!$A467,D465&lt;=$B$2,D465+$A465&gt;=$B$1),D465,""))),IF(AND(Events!$A467&lt;=$B$2,Events!$A467+$A465&gt;=$B$1),Events!$A467,"")),""))</f>
        <v/>
      </c>
      <c r="F465">
        <f>IF(E465="","",E465+A465)</f>
        <v/>
      </c>
      <c r="G465">
        <f>IF(E465="","",IF(AND(E465&lt;=EOMONTH(Calendar!$K$2,0),F465&gt;=Calendar!$K$2),E465+462/100000,""))</f>
        <v/>
      </c>
      <c r="H465">
        <f>H464+IF(AND($E465&lt;&gt;"",$E465&lt;=H$2,$F465&gt;=H$2),1,0)</f>
        <v/>
      </c>
      <c r="I465">
        <f>I464+IF(AND($E465&lt;&gt;"",$E465&lt;=I$2,$F465&gt;=I$2),1,0)</f>
        <v/>
      </c>
      <c r="J465">
        <f>J464+IF(AND($E465&lt;&gt;"",$E465&lt;=J$2,$F465&gt;=J$2),1,0)</f>
        <v/>
      </c>
      <c r="K465">
        <f>K464+IF(AND($E465&lt;&gt;"",$E465&lt;=K$2,$F465&gt;=K$2),1,0)</f>
        <v/>
      </c>
      <c r="L465">
        <f>L464+IF(AND($E465&lt;&gt;"",$E465&lt;=L$2,$F465&gt;=L$2),1,0)</f>
        <v/>
      </c>
      <c r="M465">
        <f>M464+IF(AND($E465&lt;&gt;"",$E465&lt;=M$2,$F465&gt;=M$2),1,0)</f>
        <v/>
      </c>
      <c r="N465">
        <f>N464+IF(AND($E465&lt;&gt;"",$E465&lt;=N$2,$F465&gt;=N$2),1,0)</f>
        <v/>
      </c>
      <c r="O465">
        <f>O464+IF(AND($E465&lt;&gt;"",$E465&lt;=O$2,$F465&gt;=O$2),1,0)</f>
        <v/>
      </c>
      <c r="P465">
        <f>P464+IF(AND($E465&lt;&gt;"",$E465&lt;=P$2,$F465&gt;=P$2),1,0)</f>
        <v/>
      </c>
      <c r="Q465">
        <f>Q464+IF(AND($E465&lt;&gt;"",$E465&lt;=Q$2,$F465&gt;=Q$2),1,0)</f>
        <v/>
      </c>
      <c r="R465">
        <f>R464+IF(AND($E465&lt;&gt;"",$E465&lt;=R$2,$F465&gt;=R$2),1,0)</f>
        <v/>
      </c>
      <c r="S465">
        <f>S464+IF(AND($E465&lt;&gt;"",$E465&lt;=S$2,$F465&gt;=S$2),1,0)</f>
        <v/>
      </c>
      <c r="T465">
        <f>T464+IF(AND($E465&lt;&gt;"",$E465&lt;=T$2,$F465&gt;=T$2),1,0)</f>
        <v/>
      </c>
      <c r="U465">
        <f>U464+IF(AND($E465&lt;&gt;"",$E465&lt;=U$2,$F465&gt;=U$2),1,0)</f>
        <v/>
      </c>
      <c r="V465">
        <f>V464+IF(AND($E465&lt;&gt;"",$E465&lt;=V$2,$F465&gt;=V$2),1,0)</f>
        <v/>
      </c>
      <c r="W465">
        <f>W464+IF(AND($E465&lt;&gt;"",$E465&lt;=W$2,$F465&gt;=W$2),1,0)</f>
        <v/>
      </c>
      <c r="X465">
        <f>X464+IF(AND($E465&lt;&gt;"",$E465&lt;=X$2,$F465&gt;=X$2),1,0)</f>
        <v/>
      </c>
      <c r="Y465">
        <f>Y464+IF(AND($E465&lt;&gt;"",$E465&lt;=Y$2,$F465&gt;=Y$2),1,0)</f>
        <v/>
      </c>
      <c r="Z465">
        <f>Z464+IF(AND($E465&lt;&gt;"",$E465&lt;=Z$2,$F465&gt;=Z$2),1,0)</f>
        <v/>
      </c>
      <c r="AA465">
        <f>AA464+IF(AND($E465&lt;&gt;"",$E465&lt;=AA$2,$F465&gt;=AA$2),1,0)</f>
        <v/>
      </c>
      <c r="AB465">
        <f>AB464+IF(AND($E465&lt;&gt;"",$E465&lt;=AB$2,$F465&gt;=AB$2),1,0)</f>
        <v/>
      </c>
      <c r="AC465">
        <f>AC464+IF(AND($E465&lt;&gt;"",$E465&lt;=AC$2,$F465&gt;=AC$2),1,0)</f>
        <v/>
      </c>
      <c r="AD465">
        <f>AD464+IF(AND($E465&lt;&gt;"",$E465&lt;=AD$2,$F465&gt;=AD$2),1,0)</f>
        <v/>
      </c>
      <c r="AE465">
        <f>AE464+IF(AND($E465&lt;&gt;"",$E465&lt;=AE$2,$F465&gt;=AE$2),1,0)</f>
        <v/>
      </c>
      <c r="AF465">
        <f>AF464+IF(AND($E465&lt;&gt;"",$E465&lt;=AF$2,$F465&gt;=AF$2),1,0)</f>
        <v/>
      </c>
      <c r="AG465">
        <f>AG464+IF(AND($E465&lt;&gt;"",$E465&lt;=AG$2,$F465&gt;=AG$2),1,0)</f>
        <v/>
      </c>
      <c r="AH465">
        <f>AH464+IF(AND($E465&lt;&gt;"",$E465&lt;=AH$2,$F465&gt;=AH$2),1,0)</f>
        <v/>
      </c>
      <c r="AI465">
        <f>AI464+IF(AND($E465&lt;&gt;"",$E465&lt;=AI$2,$F465&gt;=AI$2),1,0)</f>
        <v/>
      </c>
      <c r="AJ465">
        <f>AJ464+IF(AND($E465&lt;&gt;"",$E465&lt;=AJ$2,$F465&gt;=AJ$2),1,0)</f>
        <v/>
      </c>
      <c r="AK465">
        <f>AK464+IF(AND($E465&lt;&gt;"",$E465&lt;=AK$2,$F465&gt;=AK$2),1,0)</f>
        <v/>
      </c>
      <c r="AL465">
        <f>AL464+IF(AND($E465&lt;&gt;"",$E465&lt;=AL$2,$F465&gt;=AL$2),1,0)</f>
        <v/>
      </c>
      <c r="AM465">
        <f>AM464+IF(AND($E465&lt;&gt;"",$E465&lt;=AM$2,$F465&gt;=AM$2),1,0)</f>
        <v/>
      </c>
      <c r="AN465">
        <f>AN464+IF(AND($E465&lt;&gt;"",$E465&lt;=AN$2,$F465&gt;=AN$2),1,0)</f>
        <v/>
      </c>
      <c r="AO465">
        <f>AO464+IF(AND($E465&lt;&gt;"",$E465&lt;=AO$2,$F465&gt;=AO$2),1,0)</f>
        <v/>
      </c>
      <c r="AP465">
        <f>AP464+IF(AND($E465&lt;&gt;"",$E465&lt;=AP$2,$F465&gt;=AP$2),1,0)</f>
        <v/>
      </c>
      <c r="AQ465">
        <f>AQ464+IF(AND($E465&lt;&gt;"",$E465&lt;=AQ$2,$F465&gt;=AQ$2),1,0)</f>
        <v/>
      </c>
      <c r="AR465">
        <f>AR464+IF(AND($E465&lt;&gt;"",$E465&lt;=AR$2,$F465&gt;=AR$2),1,0)</f>
        <v/>
      </c>
      <c r="AS465">
        <f>AS464+IF(AND($E465&lt;&gt;"",$E465&lt;=AS$2,$F465&gt;=AS$2),1,0)</f>
        <v/>
      </c>
      <c r="AT465">
        <f>AT464+IF(AND($E465&lt;&gt;"",$E465&lt;=AT$2,$F465&gt;=AT$2),1,0)</f>
        <v/>
      </c>
      <c r="AU465">
        <f>AU464+IF(AND($E465&lt;&gt;"",$E465&lt;=AU$2,$F465&gt;=AU$2),1,0)</f>
        <v/>
      </c>
      <c r="AV465">
        <f>AV464+IF(AND($E465&lt;&gt;"",$E465&lt;=AV$2,$F465&gt;=AV$2),1,0)</f>
        <v/>
      </c>
      <c r="AW465">
        <f>AW464+IF(AND($E465&lt;&gt;"",$E465&lt;=AW$2,$F465&gt;=AW$2),1,0)</f>
        <v/>
      </c>
    </row>
    <row r="466">
      <c r="A466">
        <f>IF(AND(ISNUMBER(Events!$A468),ISNUMBER(Events!$B468)),MAX(0,Events!$B468-Events!$A468),0)</f>
        <v/>
      </c>
      <c r="B466">
        <f>IF(ISNUMBER(Events!$A468),DATE(YEAR($B$1)-1,MONTH(Events!$A468),DAY(Events!$A468)),"")</f>
        <v/>
      </c>
      <c r="C466">
        <f>IF(ISNUMBER(Events!$A468),DATE(YEAR($B$1),MONTH(Events!$A468),DAY(Events!$A468)),"")</f>
        <v/>
      </c>
      <c r="D466">
        <f>IF(ISNUMBER(Events!$A468),DATE(YEAR($B$2),MONTH(Events!$A468),DAY(Events!$A468)),"")</f>
        <v/>
      </c>
      <c r="E466">
        <f>IF(OR(NOT(ISNUMBER(Events!$A468)),Events!$G468="No",Calendar!$H$4="None"),"",IF(OR(Calendar!$H$4="All events",Events!$D468=Calendar!$H$4),IF(Events!$E468="Yes",IF(AND(B466&gt;=Events!$A468,B466&lt;=$B$2,B466+$A466&gt;=$B$1),B466,IF(AND(C466&gt;=Events!$A468,C466&lt;=$B$2,C466+$A466&gt;=$B$1),C466,IF(AND(D466&gt;=Events!$A468,D466&lt;=$B$2,D466+$A466&gt;=$B$1),D466,""))),IF(AND(Events!$A468&lt;=$B$2,Events!$A468+$A466&gt;=$B$1),Events!$A468,"")),""))</f>
        <v/>
      </c>
      <c r="F466">
        <f>IF(E466="","",E466+A466)</f>
        <v/>
      </c>
      <c r="G466">
        <f>IF(E466="","",IF(AND(E466&lt;=EOMONTH(Calendar!$K$2,0),F466&gt;=Calendar!$K$2),E466+463/100000,""))</f>
        <v/>
      </c>
      <c r="H466">
        <f>H465+IF(AND($E466&lt;&gt;"",$E466&lt;=H$2,$F466&gt;=H$2),1,0)</f>
        <v/>
      </c>
      <c r="I466">
        <f>I465+IF(AND($E466&lt;&gt;"",$E466&lt;=I$2,$F466&gt;=I$2),1,0)</f>
        <v/>
      </c>
      <c r="J466">
        <f>J465+IF(AND($E466&lt;&gt;"",$E466&lt;=J$2,$F466&gt;=J$2),1,0)</f>
        <v/>
      </c>
      <c r="K466">
        <f>K465+IF(AND($E466&lt;&gt;"",$E466&lt;=K$2,$F466&gt;=K$2),1,0)</f>
        <v/>
      </c>
      <c r="L466">
        <f>L465+IF(AND($E466&lt;&gt;"",$E466&lt;=L$2,$F466&gt;=L$2),1,0)</f>
        <v/>
      </c>
      <c r="M466">
        <f>M465+IF(AND($E466&lt;&gt;"",$E466&lt;=M$2,$F466&gt;=M$2),1,0)</f>
        <v/>
      </c>
      <c r="N466">
        <f>N465+IF(AND($E466&lt;&gt;"",$E466&lt;=N$2,$F466&gt;=N$2),1,0)</f>
        <v/>
      </c>
      <c r="O466">
        <f>O465+IF(AND($E466&lt;&gt;"",$E466&lt;=O$2,$F466&gt;=O$2),1,0)</f>
        <v/>
      </c>
      <c r="P466">
        <f>P465+IF(AND($E466&lt;&gt;"",$E466&lt;=P$2,$F466&gt;=P$2),1,0)</f>
        <v/>
      </c>
      <c r="Q466">
        <f>Q465+IF(AND($E466&lt;&gt;"",$E466&lt;=Q$2,$F466&gt;=Q$2),1,0)</f>
        <v/>
      </c>
      <c r="R466">
        <f>R465+IF(AND($E466&lt;&gt;"",$E466&lt;=R$2,$F466&gt;=R$2),1,0)</f>
        <v/>
      </c>
      <c r="S466">
        <f>S465+IF(AND($E466&lt;&gt;"",$E466&lt;=S$2,$F466&gt;=S$2),1,0)</f>
        <v/>
      </c>
      <c r="T466">
        <f>T465+IF(AND($E466&lt;&gt;"",$E466&lt;=T$2,$F466&gt;=T$2),1,0)</f>
        <v/>
      </c>
      <c r="U466">
        <f>U465+IF(AND($E466&lt;&gt;"",$E466&lt;=U$2,$F466&gt;=U$2),1,0)</f>
        <v/>
      </c>
      <c r="V466">
        <f>V465+IF(AND($E466&lt;&gt;"",$E466&lt;=V$2,$F466&gt;=V$2),1,0)</f>
        <v/>
      </c>
      <c r="W466">
        <f>W465+IF(AND($E466&lt;&gt;"",$E466&lt;=W$2,$F466&gt;=W$2),1,0)</f>
        <v/>
      </c>
      <c r="X466">
        <f>X465+IF(AND($E466&lt;&gt;"",$E466&lt;=X$2,$F466&gt;=X$2),1,0)</f>
        <v/>
      </c>
      <c r="Y466">
        <f>Y465+IF(AND($E466&lt;&gt;"",$E466&lt;=Y$2,$F466&gt;=Y$2),1,0)</f>
        <v/>
      </c>
      <c r="Z466">
        <f>Z465+IF(AND($E466&lt;&gt;"",$E466&lt;=Z$2,$F466&gt;=Z$2),1,0)</f>
        <v/>
      </c>
      <c r="AA466">
        <f>AA465+IF(AND($E466&lt;&gt;"",$E466&lt;=AA$2,$F466&gt;=AA$2),1,0)</f>
        <v/>
      </c>
      <c r="AB466">
        <f>AB465+IF(AND($E466&lt;&gt;"",$E466&lt;=AB$2,$F466&gt;=AB$2),1,0)</f>
        <v/>
      </c>
      <c r="AC466">
        <f>AC465+IF(AND($E466&lt;&gt;"",$E466&lt;=AC$2,$F466&gt;=AC$2),1,0)</f>
        <v/>
      </c>
      <c r="AD466">
        <f>AD465+IF(AND($E466&lt;&gt;"",$E466&lt;=AD$2,$F466&gt;=AD$2),1,0)</f>
        <v/>
      </c>
      <c r="AE466">
        <f>AE465+IF(AND($E466&lt;&gt;"",$E466&lt;=AE$2,$F466&gt;=AE$2),1,0)</f>
        <v/>
      </c>
      <c r="AF466">
        <f>AF465+IF(AND($E466&lt;&gt;"",$E466&lt;=AF$2,$F466&gt;=AF$2),1,0)</f>
        <v/>
      </c>
      <c r="AG466">
        <f>AG465+IF(AND($E466&lt;&gt;"",$E466&lt;=AG$2,$F466&gt;=AG$2),1,0)</f>
        <v/>
      </c>
      <c r="AH466">
        <f>AH465+IF(AND($E466&lt;&gt;"",$E466&lt;=AH$2,$F466&gt;=AH$2),1,0)</f>
        <v/>
      </c>
      <c r="AI466">
        <f>AI465+IF(AND($E466&lt;&gt;"",$E466&lt;=AI$2,$F466&gt;=AI$2),1,0)</f>
        <v/>
      </c>
      <c r="AJ466">
        <f>AJ465+IF(AND($E466&lt;&gt;"",$E466&lt;=AJ$2,$F466&gt;=AJ$2),1,0)</f>
        <v/>
      </c>
      <c r="AK466">
        <f>AK465+IF(AND($E466&lt;&gt;"",$E466&lt;=AK$2,$F466&gt;=AK$2),1,0)</f>
        <v/>
      </c>
      <c r="AL466">
        <f>AL465+IF(AND($E466&lt;&gt;"",$E466&lt;=AL$2,$F466&gt;=AL$2),1,0)</f>
        <v/>
      </c>
      <c r="AM466">
        <f>AM465+IF(AND($E466&lt;&gt;"",$E466&lt;=AM$2,$F466&gt;=AM$2),1,0)</f>
        <v/>
      </c>
      <c r="AN466">
        <f>AN465+IF(AND($E466&lt;&gt;"",$E466&lt;=AN$2,$F466&gt;=AN$2),1,0)</f>
        <v/>
      </c>
      <c r="AO466">
        <f>AO465+IF(AND($E466&lt;&gt;"",$E466&lt;=AO$2,$F466&gt;=AO$2),1,0)</f>
        <v/>
      </c>
      <c r="AP466">
        <f>AP465+IF(AND($E466&lt;&gt;"",$E466&lt;=AP$2,$F466&gt;=AP$2),1,0)</f>
        <v/>
      </c>
      <c r="AQ466">
        <f>AQ465+IF(AND($E466&lt;&gt;"",$E466&lt;=AQ$2,$F466&gt;=AQ$2),1,0)</f>
        <v/>
      </c>
      <c r="AR466">
        <f>AR465+IF(AND($E466&lt;&gt;"",$E466&lt;=AR$2,$F466&gt;=AR$2),1,0)</f>
        <v/>
      </c>
      <c r="AS466">
        <f>AS465+IF(AND($E466&lt;&gt;"",$E466&lt;=AS$2,$F466&gt;=AS$2),1,0)</f>
        <v/>
      </c>
      <c r="AT466">
        <f>AT465+IF(AND($E466&lt;&gt;"",$E466&lt;=AT$2,$F466&gt;=AT$2),1,0)</f>
        <v/>
      </c>
      <c r="AU466">
        <f>AU465+IF(AND($E466&lt;&gt;"",$E466&lt;=AU$2,$F466&gt;=AU$2),1,0)</f>
        <v/>
      </c>
      <c r="AV466">
        <f>AV465+IF(AND($E466&lt;&gt;"",$E466&lt;=AV$2,$F466&gt;=AV$2),1,0)</f>
        <v/>
      </c>
      <c r="AW466">
        <f>AW465+IF(AND($E466&lt;&gt;"",$E466&lt;=AW$2,$F466&gt;=AW$2),1,0)</f>
        <v/>
      </c>
    </row>
    <row r="467">
      <c r="A467">
        <f>IF(AND(ISNUMBER(Events!$A469),ISNUMBER(Events!$B469)),MAX(0,Events!$B469-Events!$A469),0)</f>
        <v/>
      </c>
      <c r="B467">
        <f>IF(ISNUMBER(Events!$A469),DATE(YEAR($B$1)-1,MONTH(Events!$A469),DAY(Events!$A469)),"")</f>
        <v/>
      </c>
      <c r="C467">
        <f>IF(ISNUMBER(Events!$A469),DATE(YEAR($B$1),MONTH(Events!$A469),DAY(Events!$A469)),"")</f>
        <v/>
      </c>
      <c r="D467">
        <f>IF(ISNUMBER(Events!$A469),DATE(YEAR($B$2),MONTH(Events!$A469),DAY(Events!$A469)),"")</f>
        <v/>
      </c>
      <c r="E467">
        <f>IF(OR(NOT(ISNUMBER(Events!$A469)),Events!$G469="No",Calendar!$H$4="None"),"",IF(OR(Calendar!$H$4="All events",Events!$D469=Calendar!$H$4),IF(Events!$E469="Yes",IF(AND(B467&gt;=Events!$A469,B467&lt;=$B$2,B467+$A467&gt;=$B$1),B467,IF(AND(C467&gt;=Events!$A469,C467&lt;=$B$2,C467+$A467&gt;=$B$1),C467,IF(AND(D467&gt;=Events!$A469,D467&lt;=$B$2,D467+$A467&gt;=$B$1),D467,""))),IF(AND(Events!$A469&lt;=$B$2,Events!$A469+$A467&gt;=$B$1),Events!$A469,"")),""))</f>
        <v/>
      </c>
      <c r="F467">
        <f>IF(E467="","",E467+A467)</f>
        <v/>
      </c>
      <c r="G467">
        <f>IF(E467="","",IF(AND(E467&lt;=EOMONTH(Calendar!$K$2,0),F467&gt;=Calendar!$K$2),E467+464/100000,""))</f>
        <v/>
      </c>
      <c r="H467">
        <f>H466+IF(AND($E467&lt;&gt;"",$E467&lt;=H$2,$F467&gt;=H$2),1,0)</f>
        <v/>
      </c>
      <c r="I467">
        <f>I466+IF(AND($E467&lt;&gt;"",$E467&lt;=I$2,$F467&gt;=I$2),1,0)</f>
        <v/>
      </c>
      <c r="J467">
        <f>J466+IF(AND($E467&lt;&gt;"",$E467&lt;=J$2,$F467&gt;=J$2),1,0)</f>
        <v/>
      </c>
      <c r="K467">
        <f>K466+IF(AND($E467&lt;&gt;"",$E467&lt;=K$2,$F467&gt;=K$2),1,0)</f>
        <v/>
      </c>
      <c r="L467">
        <f>L466+IF(AND($E467&lt;&gt;"",$E467&lt;=L$2,$F467&gt;=L$2),1,0)</f>
        <v/>
      </c>
      <c r="M467">
        <f>M466+IF(AND($E467&lt;&gt;"",$E467&lt;=M$2,$F467&gt;=M$2),1,0)</f>
        <v/>
      </c>
      <c r="N467">
        <f>N466+IF(AND($E467&lt;&gt;"",$E467&lt;=N$2,$F467&gt;=N$2),1,0)</f>
        <v/>
      </c>
      <c r="O467">
        <f>O466+IF(AND($E467&lt;&gt;"",$E467&lt;=O$2,$F467&gt;=O$2),1,0)</f>
        <v/>
      </c>
      <c r="P467">
        <f>P466+IF(AND($E467&lt;&gt;"",$E467&lt;=P$2,$F467&gt;=P$2),1,0)</f>
        <v/>
      </c>
      <c r="Q467">
        <f>Q466+IF(AND($E467&lt;&gt;"",$E467&lt;=Q$2,$F467&gt;=Q$2),1,0)</f>
        <v/>
      </c>
      <c r="R467">
        <f>R466+IF(AND($E467&lt;&gt;"",$E467&lt;=R$2,$F467&gt;=R$2),1,0)</f>
        <v/>
      </c>
      <c r="S467">
        <f>S466+IF(AND($E467&lt;&gt;"",$E467&lt;=S$2,$F467&gt;=S$2),1,0)</f>
        <v/>
      </c>
      <c r="T467">
        <f>T466+IF(AND($E467&lt;&gt;"",$E467&lt;=T$2,$F467&gt;=T$2),1,0)</f>
        <v/>
      </c>
      <c r="U467">
        <f>U466+IF(AND($E467&lt;&gt;"",$E467&lt;=U$2,$F467&gt;=U$2),1,0)</f>
        <v/>
      </c>
      <c r="V467">
        <f>V466+IF(AND($E467&lt;&gt;"",$E467&lt;=V$2,$F467&gt;=V$2),1,0)</f>
        <v/>
      </c>
      <c r="W467">
        <f>W466+IF(AND($E467&lt;&gt;"",$E467&lt;=W$2,$F467&gt;=W$2),1,0)</f>
        <v/>
      </c>
      <c r="X467">
        <f>X466+IF(AND($E467&lt;&gt;"",$E467&lt;=X$2,$F467&gt;=X$2),1,0)</f>
        <v/>
      </c>
      <c r="Y467">
        <f>Y466+IF(AND($E467&lt;&gt;"",$E467&lt;=Y$2,$F467&gt;=Y$2),1,0)</f>
        <v/>
      </c>
      <c r="Z467">
        <f>Z466+IF(AND($E467&lt;&gt;"",$E467&lt;=Z$2,$F467&gt;=Z$2),1,0)</f>
        <v/>
      </c>
      <c r="AA467">
        <f>AA466+IF(AND($E467&lt;&gt;"",$E467&lt;=AA$2,$F467&gt;=AA$2),1,0)</f>
        <v/>
      </c>
      <c r="AB467">
        <f>AB466+IF(AND($E467&lt;&gt;"",$E467&lt;=AB$2,$F467&gt;=AB$2),1,0)</f>
        <v/>
      </c>
      <c r="AC467">
        <f>AC466+IF(AND($E467&lt;&gt;"",$E467&lt;=AC$2,$F467&gt;=AC$2),1,0)</f>
        <v/>
      </c>
      <c r="AD467">
        <f>AD466+IF(AND($E467&lt;&gt;"",$E467&lt;=AD$2,$F467&gt;=AD$2),1,0)</f>
        <v/>
      </c>
      <c r="AE467">
        <f>AE466+IF(AND($E467&lt;&gt;"",$E467&lt;=AE$2,$F467&gt;=AE$2),1,0)</f>
        <v/>
      </c>
      <c r="AF467">
        <f>AF466+IF(AND($E467&lt;&gt;"",$E467&lt;=AF$2,$F467&gt;=AF$2),1,0)</f>
        <v/>
      </c>
      <c r="AG467">
        <f>AG466+IF(AND($E467&lt;&gt;"",$E467&lt;=AG$2,$F467&gt;=AG$2),1,0)</f>
        <v/>
      </c>
      <c r="AH467">
        <f>AH466+IF(AND($E467&lt;&gt;"",$E467&lt;=AH$2,$F467&gt;=AH$2),1,0)</f>
        <v/>
      </c>
      <c r="AI467">
        <f>AI466+IF(AND($E467&lt;&gt;"",$E467&lt;=AI$2,$F467&gt;=AI$2),1,0)</f>
        <v/>
      </c>
      <c r="AJ467">
        <f>AJ466+IF(AND($E467&lt;&gt;"",$E467&lt;=AJ$2,$F467&gt;=AJ$2),1,0)</f>
        <v/>
      </c>
      <c r="AK467">
        <f>AK466+IF(AND($E467&lt;&gt;"",$E467&lt;=AK$2,$F467&gt;=AK$2),1,0)</f>
        <v/>
      </c>
      <c r="AL467">
        <f>AL466+IF(AND($E467&lt;&gt;"",$E467&lt;=AL$2,$F467&gt;=AL$2),1,0)</f>
        <v/>
      </c>
      <c r="AM467">
        <f>AM466+IF(AND($E467&lt;&gt;"",$E467&lt;=AM$2,$F467&gt;=AM$2),1,0)</f>
        <v/>
      </c>
      <c r="AN467">
        <f>AN466+IF(AND($E467&lt;&gt;"",$E467&lt;=AN$2,$F467&gt;=AN$2),1,0)</f>
        <v/>
      </c>
      <c r="AO467">
        <f>AO466+IF(AND($E467&lt;&gt;"",$E467&lt;=AO$2,$F467&gt;=AO$2),1,0)</f>
        <v/>
      </c>
      <c r="AP467">
        <f>AP466+IF(AND($E467&lt;&gt;"",$E467&lt;=AP$2,$F467&gt;=AP$2),1,0)</f>
        <v/>
      </c>
      <c r="AQ467">
        <f>AQ466+IF(AND($E467&lt;&gt;"",$E467&lt;=AQ$2,$F467&gt;=AQ$2),1,0)</f>
        <v/>
      </c>
      <c r="AR467">
        <f>AR466+IF(AND($E467&lt;&gt;"",$E467&lt;=AR$2,$F467&gt;=AR$2),1,0)</f>
        <v/>
      </c>
      <c r="AS467">
        <f>AS466+IF(AND($E467&lt;&gt;"",$E467&lt;=AS$2,$F467&gt;=AS$2),1,0)</f>
        <v/>
      </c>
      <c r="AT467">
        <f>AT466+IF(AND($E467&lt;&gt;"",$E467&lt;=AT$2,$F467&gt;=AT$2),1,0)</f>
        <v/>
      </c>
      <c r="AU467">
        <f>AU466+IF(AND($E467&lt;&gt;"",$E467&lt;=AU$2,$F467&gt;=AU$2),1,0)</f>
        <v/>
      </c>
      <c r="AV467">
        <f>AV466+IF(AND($E467&lt;&gt;"",$E467&lt;=AV$2,$F467&gt;=AV$2),1,0)</f>
        <v/>
      </c>
      <c r="AW467">
        <f>AW466+IF(AND($E467&lt;&gt;"",$E467&lt;=AW$2,$F467&gt;=AW$2),1,0)</f>
        <v/>
      </c>
    </row>
    <row r="468">
      <c r="A468">
        <f>IF(AND(ISNUMBER(Events!$A470),ISNUMBER(Events!$B470)),MAX(0,Events!$B470-Events!$A470),0)</f>
        <v/>
      </c>
      <c r="B468">
        <f>IF(ISNUMBER(Events!$A470),DATE(YEAR($B$1)-1,MONTH(Events!$A470),DAY(Events!$A470)),"")</f>
        <v/>
      </c>
      <c r="C468">
        <f>IF(ISNUMBER(Events!$A470),DATE(YEAR($B$1),MONTH(Events!$A470),DAY(Events!$A470)),"")</f>
        <v/>
      </c>
      <c r="D468">
        <f>IF(ISNUMBER(Events!$A470),DATE(YEAR($B$2),MONTH(Events!$A470),DAY(Events!$A470)),"")</f>
        <v/>
      </c>
      <c r="E468">
        <f>IF(OR(NOT(ISNUMBER(Events!$A470)),Events!$G470="No",Calendar!$H$4="None"),"",IF(OR(Calendar!$H$4="All events",Events!$D470=Calendar!$H$4),IF(Events!$E470="Yes",IF(AND(B468&gt;=Events!$A470,B468&lt;=$B$2,B468+$A468&gt;=$B$1),B468,IF(AND(C468&gt;=Events!$A470,C468&lt;=$B$2,C468+$A468&gt;=$B$1),C468,IF(AND(D468&gt;=Events!$A470,D468&lt;=$B$2,D468+$A468&gt;=$B$1),D468,""))),IF(AND(Events!$A470&lt;=$B$2,Events!$A470+$A468&gt;=$B$1),Events!$A470,"")),""))</f>
        <v/>
      </c>
      <c r="F468">
        <f>IF(E468="","",E468+A468)</f>
        <v/>
      </c>
      <c r="G468">
        <f>IF(E468="","",IF(AND(E468&lt;=EOMONTH(Calendar!$K$2,0),F468&gt;=Calendar!$K$2),E468+465/100000,""))</f>
        <v/>
      </c>
      <c r="H468">
        <f>H467+IF(AND($E468&lt;&gt;"",$E468&lt;=H$2,$F468&gt;=H$2),1,0)</f>
        <v/>
      </c>
      <c r="I468">
        <f>I467+IF(AND($E468&lt;&gt;"",$E468&lt;=I$2,$F468&gt;=I$2),1,0)</f>
        <v/>
      </c>
      <c r="J468">
        <f>J467+IF(AND($E468&lt;&gt;"",$E468&lt;=J$2,$F468&gt;=J$2),1,0)</f>
        <v/>
      </c>
      <c r="K468">
        <f>K467+IF(AND($E468&lt;&gt;"",$E468&lt;=K$2,$F468&gt;=K$2),1,0)</f>
        <v/>
      </c>
      <c r="L468">
        <f>L467+IF(AND($E468&lt;&gt;"",$E468&lt;=L$2,$F468&gt;=L$2),1,0)</f>
        <v/>
      </c>
      <c r="M468">
        <f>M467+IF(AND($E468&lt;&gt;"",$E468&lt;=M$2,$F468&gt;=M$2),1,0)</f>
        <v/>
      </c>
      <c r="N468">
        <f>N467+IF(AND($E468&lt;&gt;"",$E468&lt;=N$2,$F468&gt;=N$2),1,0)</f>
        <v/>
      </c>
      <c r="O468">
        <f>O467+IF(AND($E468&lt;&gt;"",$E468&lt;=O$2,$F468&gt;=O$2),1,0)</f>
        <v/>
      </c>
      <c r="P468">
        <f>P467+IF(AND($E468&lt;&gt;"",$E468&lt;=P$2,$F468&gt;=P$2),1,0)</f>
        <v/>
      </c>
      <c r="Q468">
        <f>Q467+IF(AND($E468&lt;&gt;"",$E468&lt;=Q$2,$F468&gt;=Q$2),1,0)</f>
        <v/>
      </c>
      <c r="R468">
        <f>R467+IF(AND($E468&lt;&gt;"",$E468&lt;=R$2,$F468&gt;=R$2),1,0)</f>
        <v/>
      </c>
      <c r="S468">
        <f>S467+IF(AND($E468&lt;&gt;"",$E468&lt;=S$2,$F468&gt;=S$2),1,0)</f>
        <v/>
      </c>
      <c r="T468">
        <f>T467+IF(AND($E468&lt;&gt;"",$E468&lt;=T$2,$F468&gt;=T$2),1,0)</f>
        <v/>
      </c>
      <c r="U468">
        <f>U467+IF(AND($E468&lt;&gt;"",$E468&lt;=U$2,$F468&gt;=U$2),1,0)</f>
        <v/>
      </c>
      <c r="V468">
        <f>V467+IF(AND($E468&lt;&gt;"",$E468&lt;=V$2,$F468&gt;=V$2),1,0)</f>
        <v/>
      </c>
      <c r="W468">
        <f>W467+IF(AND($E468&lt;&gt;"",$E468&lt;=W$2,$F468&gt;=W$2),1,0)</f>
        <v/>
      </c>
      <c r="X468">
        <f>X467+IF(AND($E468&lt;&gt;"",$E468&lt;=X$2,$F468&gt;=X$2),1,0)</f>
        <v/>
      </c>
      <c r="Y468">
        <f>Y467+IF(AND($E468&lt;&gt;"",$E468&lt;=Y$2,$F468&gt;=Y$2),1,0)</f>
        <v/>
      </c>
      <c r="Z468">
        <f>Z467+IF(AND($E468&lt;&gt;"",$E468&lt;=Z$2,$F468&gt;=Z$2),1,0)</f>
        <v/>
      </c>
      <c r="AA468">
        <f>AA467+IF(AND($E468&lt;&gt;"",$E468&lt;=AA$2,$F468&gt;=AA$2),1,0)</f>
        <v/>
      </c>
      <c r="AB468">
        <f>AB467+IF(AND($E468&lt;&gt;"",$E468&lt;=AB$2,$F468&gt;=AB$2),1,0)</f>
        <v/>
      </c>
      <c r="AC468">
        <f>AC467+IF(AND($E468&lt;&gt;"",$E468&lt;=AC$2,$F468&gt;=AC$2),1,0)</f>
        <v/>
      </c>
      <c r="AD468">
        <f>AD467+IF(AND($E468&lt;&gt;"",$E468&lt;=AD$2,$F468&gt;=AD$2),1,0)</f>
        <v/>
      </c>
      <c r="AE468">
        <f>AE467+IF(AND($E468&lt;&gt;"",$E468&lt;=AE$2,$F468&gt;=AE$2),1,0)</f>
        <v/>
      </c>
      <c r="AF468">
        <f>AF467+IF(AND($E468&lt;&gt;"",$E468&lt;=AF$2,$F468&gt;=AF$2),1,0)</f>
        <v/>
      </c>
      <c r="AG468">
        <f>AG467+IF(AND($E468&lt;&gt;"",$E468&lt;=AG$2,$F468&gt;=AG$2),1,0)</f>
        <v/>
      </c>
      <c r="AH468">
        <f>AH467+IF(AND($E468&lt;&gt;"",$E468&lt;=AH$2,$F468&gt;=AH$2),1,0)</f>
        <v/>
      </c>
      <c r="AI468">
        <f>AI467+IF(AND($E468&lt;&gt;"",$E468&lt;=AI$2,$F468&gt;=AI$2),1,0)</f>
        <v/>
      </c>
      <c r="AJ468">
        <f>AJ467+IF(AND($E468&lt;&gt;"",$E468&lt;=AJ$2,$F468&gt;=AJ$2),1,0)</f>
        <v/>
      </c>
      <c r="AK468">
        <f>AK467+IF(AND($E468&lt;&gt;"",$E468&lt;=AK$2,$F468&gt;=AK$2),1,0)</f>
        <v/>
      </c>
      <c r="AL468">
        <f>AL467+IF(AND($E468&lt;&gt;"",$E468&lt;=AL$2,$F468&gt;=AL$2),1,0)</f>
        <v/>
      </c>
      <c r="AM468">
        <f>AM467+IF(AND($E468&lt;&gt;"",$E468&lt;=AM$2,$F468&gt;=AM$2),1,0)</f>
        <v/>
      </c>
      <c r="AN468">
        <f>AN467+IF(AND($E468&lt;&gt;"",$E468&lt;=AN$2,$F468&gt;=AN$2),1,0)</f>
        <v/>
      </c>
      <c r="AO468">
        <f>AO467+IF(AND($E468&lt;&gt;"",$E468&lt;=AO$2,$F468&gt;=AO$2),1,0)</f>
        <v/>
      </c>
      <c r="AP468">
        <f>AP467+IF(AND($E468&lt;&gt;"",$E468&lt;=AP$2,$F468&gt;=AP$2),1,0)</f>
        <v/>
      </c>
      <c r="AQ468">
        <f>AQ467+IF(AND($E468&lt;&gt;"",$E468&lt;=AQ$2,$F468&gt;=AQ$2),1,0)</f>
        <v/>
      </c>
      <c r="AR468">
        <f>AR467+IF(AND($E468&lt;&gt;"",$E468&lt;=AR$2,$F468&gt;=AR$2),1,0)</f>
        <v/>
      </c>
      <c r="AS468">
        <f>AS467+IF(AND($E468&lt;&gt;"",$E468&lt;=AS$2,$F468&gt;=AS$2),1,0)</f>
        <v/>
      </c>
      <c r="AT468">
        <f>AT467+IF(AND($E468&lt;&gt;"",$E468&lt;=AT$2,$F468&gt;=AT$2),1,0)</f>
        <v/>
      </c>
      <c r="AU468">
        <f>AU467+IF(AND($E468&lt;&gt;"",$E468&lt;=AU$2,$F468&gt;=AU$2),1,0)</f>
        <v/>
      </c>
      <c r="AV468">
        <f>AV467+IF(AND($E468&lt;&gt;"",$E468&lt;=AV$2,$F468&gt;=AV$2),1,0)</f>
        <v/>
      </c>
      <c r="AW468">
        <f>AW467+IF(AND($E468&lt;&gt;"",$E468&lt;=AW$2,$F468&gt;=AW$2),1,0)</f>
        <v/>
      </c>
    </row>
    <row r="469">
      <c r="A469">
        <f>IF(AND(ISNUMBER(Events!$A471),ISNUMBER(Events!$B471)),MAX(0,Events!$B471-Events!$A471),0)</f>
        <v/>
      </c>
      <c r="B469">
        <f>IF(ISNUMBER(Events!$A471),DATE(YEAR($B$1)-1,MONTH(Events!$A471),DAY(Events!$A471)),"")</f>
        <v/>
      </c>
      <c r="C469">
        <f>IF(ISNUMBER(Events!$A471),DATE(YEAR($B$1),MONTH(Events!$A471),DAY(Events!$A471)),"")</f>
        <v/>
      </c>
      <c r="D469">
        <f>IF(ISNUMBER(Events!$A471),DATE(YEAR($B$2),MONTH(Events!$A471),DAY(Events!$A471)),"")</f>
        <v/>
      </c>
      <c r="E469">
        <f>IF(OR(NOT(ISNUMBER(Events!$A471)),Events!$G471="No",Calendar!$H$4="None"),"",IF(OR(Calendar!$H$4="All events",Events!$D471=Calendar!$H$4),IF(Events!$E471="Yes",IF(AND(B469&gt;=Events!$A471,B469&lt;=$B$2,B469+$A469&gt;=$B$1),B469,IF(AND(C469&gt;=Events!$A471,C469&lt;=$B$2,C469+$A469&gt;=$B$1),C469,IF(AND(D469&gt;=Events!$A471,D469&lt;=$B$2,D469+$A469&gt;=$B$1),D469,""))),IF(AND(Events!$A471&lt;=$B$2,Events!$A471+$A469&gt;=$B$1),Events!$A471,"")),""))</f>
        <v/>
      </c>
      <c r="F469">
        <f>IF(E469="","",E469+A469)</f>
        <v/>
      </c>
      <c r="G469">
        <f>IF(E469="","",IF(AND(E469&lt;=EOMONTH(Calendar!$K$2,0),F469&gt;=Calendar!$K$2),E469+466/100000,""))</f>
        <v/>
      </c>
      <c r="H469">
        <f>H468+IF(AND($E469&lt;&gt;"",$E469&lt;=H$2,$F469&gt;=H$2),1,0)</f>
        <v/>
      </c>
      <c r="I469">
        <f>I468+IF(AND($E469&lt;&gt;"",$E469&lt;=I$2,$F469&gt;=I$2),1,0)</f>
        <v/>
      </c>
      <c r="J469">
        <f>J468+IF(AND($E469&lt;&gt;"",$E469&lt;=J$2,$F469&gt;=J$2),1,0)</f>
        <v/>
      </c>
      <c r="K469">
        <f>K468+IF(AND($E469&lt;&gt;"",$E469&lt;=K$2,$F469&gt;=K$2),1,0)</f>
        <v/>
      </c>
      <c r="L469">
        <f>L468+IF(AND($E469&lt;&gt;"",$E469&lt;=L$2,$F469&gt;=L$2),1,0)</f>
        <v/>
      </c>
      <c r="M469">
        <f>M468+IF(AND($E469&lt;&gt;"",$E469&lt;=M$2,$F469&gt;=M$2),1,0)</f>
        <v/>
      </c>
      <c r="N469">
        <f>N468+IF(AND($E469&lt;&gt;"",$E469&lt;=N$2,$F469&gt;=N$2),1,0)</f>
        <v/>
      </c>
      <c r="O469">
        <f>O468+IF(AND($E469&lt;&gt;"",$E469&lt;=O$2,$F469&gt;=O$2),1,0)</f>
        <v/>
      </c>
      <c r="P469">
        <f>P468+IF(AND($E469&lt;&gt;"",$E469&lt;=P$2,$F469&gt;=P$2),1,0)</f>
        <v/>
      </c>
      <c r="Q469">
        <f>Q468+IF(AND($E469&lt;&gt;"",$E469&lt;=Q$2,$F469&gt;=Q$2),1,0)</f>
        <v/>
      </c>
      <c r="R469">
        <f>R468+IF(AND($E469&lt;&gt;"",$E469&lt;=R$2,$F469&gt;=R$2),1,0)</f>
        <v/>
      </c>
      <c r="S469">
        <f>S468+IF(AND($E469&lt;&gt;"",$E469&lt;=S$2,$F469&gt;=S$2),1,0)</f>
        <v/>
      </c>
      <c r="T469">
        <f>T468+IF(AND($E469&lt;&gt;"",$E469&lt;=T$2,$F469&gt;=T$2),1,0)</f>
        <v/>
      </c>
      <c r="U469">
        <f>U468+IF(AND($E469&lt;&gt;"",$E469&lt;=U$2,$F469&gt;=U$2),1,0)</f>
        <v/>
      </c>
      <c r="V469">
        <f>V468+IF(AND($E469&lt;&gt;"",$E469&lt;=V$2,$F469&gt;=V$2),1,0)</f>
        <v/>
      </c>
      <c r="W469">
        <f>W468+IF(AND($E469&lt;&gt;"",$E469&lt;=W$2,$F469&gt;=W$2),1,0)</f>
        <v/>
      </c>
      <c r="X469">
        <f>X468+IF(AND($E469&lt;&gt;"",$E469&lt;=X$2,$F469&gt;=X$2),1,0)</f>
        <v/>
      </c>
      <c r="Y469">
        <f>Y468+IF(AND($E469&lt;&gt;"",$E469&lt;=Y$2,$F469&gt;=Y$2),1,0)</f>
        <v/>
      </c>
      <c r="Z469">
        <f>Z468+IF(AND($E469&lt;&gt;"",$E469&lt;=Z$2,$F469&gt;=Z$2),1,0)</f>
        <v/>
      </c>
      <c r="AA469">
        <f>AA468+IF(AND($E469&lt;&gt;"",$E469&lt;=AA$2,$F469&gt;=AA$2),1,0)</f>
        <v/>
      </c>
      <c r="AB469">
        <f>AB468+IF(AND($E469&lt;&gt;"",$E469&lt;=AB$2,$F469&gt;=AB$2),1,0)</f>
        <v/>
      </c>
      <c r="AC469">
        <f>AC468+IF(AND($E469&lt;&gt;"",$E469&lt;=AC$2,$F469&gt;=AC$2),1,0)</f>
        <v/>
      </c>
      <c r="AD469">
        <f>AD468+IF(AND($E469&lt;&gt;"",$E469&lt;=AD$2,$F469&gt;=AD$2),1,0)</f>
        <v/>
      </c>
      <c r="AE469">
        <f>AE468+IF(AND($E469&lt;&gt;"",$E469&lt;=AE$2,$F469&gt;=AE$2),1,0)</f>
        <v/>
      </c>
      <c r="AF469">
        <f>AF468+IF(AND($E469&lt;&gt;"",$E469&lt;=AF$2,$F469&gt;=AF$2),1,0)</f>
        <v/>
      </c>
      <c r="AG469">
        <f>AG468+IF(AND($E469&lt;&gt;"",$E469&lt;=AG$2,$F469&gt;=AG$2),1,0)</f>
        <v/>
      </c>
      <c r="AH469">
        <f>AH468+IF(AND($E469&lt;&gt;"",$E469&lt;=AH$2,$F469&gt;=AH$2),1,0)</f>
        <v/>
      </c>
      <c r="AI469">
        <f>AI468+IF(AND($E469&lt;&gt;"",$E469&lt;=AI$2,$F469&gt;=AI$2),1,0)</f>
        <v/>
      </c>
      <c r="AJ469">
        <f>AJ468+IF(AND($E469&lt;&gt;"",$E469&lt;=AJ$2,$F469&gt;=AJ$2),1,0)</f>
        <v/>
      </c>
      <c r="AK469">
        <f>AK468+IF(AND($E469&lt;&gt;"",$E469&lt;=AK$2,$F469&gt;=AK$2),1,0)</f>
        <v/>
      </c>
      <c r="AL469">
        <f>AL468+IF(AND($E469&lt;&gt;"",$E469&lt;=AL$2,$F469&gt;=AL$2),1,0)</f>
        <v/>
      </c>
      <c r="AM469">
        <f>AM468+IF(AND($E469&lt;&gt;"",$E469&lt;=AM$2,$F469&gt;=AM$2),1,0)</f>
        <v/>
      </c>
      <c r="AN469">
        <f>AN468+IF(AND($E469&lt;&gt;"",$E469&lt;=AN$2,$F469&gt;=AN$2),1,0)</f>
        <v/>
      </c>
      <c r="AO469">
        <f>AO468+IF(AND($E469&lt;&gt;"",$E469&lt;=AO$2,$F469&gt;=AO$2),1,0)</f>
        <v/>
      </c>
      <c r="AP469">
        <f>AP468+IF(AND($E469&lt;&gt;"",$E469&lt;=AP$2,$F469&gt;=AP$2),1,0)</f>
        <v/>
      </c>
      <c r="AQ469">
        <f>AQ468+IF(AND($E469&lt;&gt;"",$E469&lt;=AQ$2,$F469&gt;=AQ$2),1,0)</f>
        <v/>
      </c>
      <c r="AR469">
        <f>AR468+IF(AND($E469&lt;&gt;"",$E469&lt;=AR$2,$F469&gt;=AR$2),1,0)</f>
        <v/>
      </c>
      <c r="AS469">
        <f>AS468+IF(AND($E469&lt;&gt;"",$E469&lt;=AS$2,$F469&gt;=AS$2),1,0)</f>
        <v/>
      </c>
      <c r="AT469">
        <f>AT468+IF(AND($E469&lt;&gt;"",$E469&lt;=AT$2,$F469&gt;=AT$2),1,0)</f>
        <v/>
      </c>
      <c r="AU469">
        <f>AU468+IF(AND($E469&lt;&gt;"",$E469&lt;=AU$2,$F469&gt;=AU$2),1,0)</f>
        <v/>
      </c>
      <c r="AV469">
        <f>AV468+IF(AND($E469&lt;&gt;"",$E469&lt;=AV$2,$F469&gt;=AV$2),1,0)</f>
        <v/>
      </c>
      <c r="AW469">
        <f>AW468+IF(AND($E469&lt;&gt;"",$E469&lt;=AW$2,$F469&gt;=AW$2),1,0)</f>
        <v/>
      </c>
    </row>
    <row r="470">
      <c r="A470">
        <f>IF(AND(ISNUMBER(Events!$A472),ISNUMBER(Events!$B472)),MAX(0,Events!$B472-Events!$A472),0)</f>
        <v/>
      </c>
      <c r="B470">
        <f>IF(ISNUMBER(Events!$A472),DATE(YEAR($B$1)-1,MONTH(Events!$A472),DAY(Events!$A472)),"")</f>
        <v/>
      </c>
      <c r="C470">
        <f>IF(ISNUMBER(Events!$A472),DATE(YEAR($B$1),MONTH(Events!$A472),DAY(Events!$A472)),"")</f>
        <v/>
      </c>
      <c r="D470">
        <f>IF(ISNUMBER(Events!$A472),DATE(YEAR($B$2),MONTH(Events!$A472),DAY(Events!$A472)),"")</f>
        <v/>
      </c>
      <c r="E470">
        <f>IF(OR(NOT(ISNUMBER(Events!$A472)),Events!$G472="No",Calendar!$H$4="None"),"",IF(OR(Calendar!$H$4="All events",Events!$D472=Calendar!$H$4),IF(Events!$E472="Yes",IF(AND(B470&gt;=Events!$A472,B470&lt;=$B$2,B470+$A470&gt;=$B$1),B470,IF(AND(C470&gt;=Events!$A472,C470&lt;=$B$2,C470+$A470&gt;=$B$1),C470,IF(AND(D470&gt;=Events!$A472,D470&lt;=$B$2,D470+$A470&gt;=$B$1),D470,""))),IF(AND(Events!$A472&lt;=$B$2,Events!$A472+$A470&gt;=$B$1),Events!$A472,"")),""))</f>
        <v/>
      </c>
      <c r="F470">
        <f>IF(E470="","",E470+A470)</f>
        <v/>
      </c>
      <c r="G470">
        <f>IF(E470="","",IF(AND(E470&lt;=EOMONTH(Calendar!$K$2,0),F470&gt;=Calendar!$K$2),E470+467/100000,""))</f>
        <v/>
      </c>
      <c r="H470">
        <f>H469+IF(AND($E470&lt;&gt;"",$E470&lt;=H$2,$F470&gt;=H$2),1,0)</f>
        <v/>
      </c>
      <c r="I470">
        <f>I469+IF(AND($E470&lt;&gt;"",$E470&lt;=I$2,$F470&gt;=I$2),1,0)</f>
        <v/>
      </c>
      <c r="J470">
        <f>J469+IF(AND($E470&lt;&gt;"",$E470&lt;=J$2,$F470&gt;=J$2),1,0)</f>
        <v/>
      </c>
      <c r="K470">
        <f>K469+IF(AND($E470&lt;&gt;"",$E470&lt;=K$2,$F470&gt;=K$2),1,0)</f>
        <v/>
      </c>
      <c r="L470">
        <f>L469+IF(AND($E470&lt;&gt;"",$E470&lt;=L$2,$F470&gt;=L$2),1,0)</f>
        <v/>
      </c>
      <c r="M470">
        <f>M469+IF(AND($E470&lt;&gt;"",$E470&lt;=M$2,$F470&gt;=M$2),1,0)</f>
        <v/>
      </c>
      <c r="N470">
        <f>N469+IF(AND($E470&lt;&gt;"",$E470&lt;=N$2,$F470&gt;=N$2),1,0)</f>
        <v/>
      </c>
      <c r="O470">
        <f>O469+IF(AND($E470&lt;&gt;"",$E470&lt;=O$2,$F470&gt;=O$2),1,0)</f>
        <v/>
      </c>
      <c r="P470">
        <f>P469+IF(AND($E470&lt;&gt;"",$E470&lt;=P$2,$F470&gt;=P$2),1,0)</f>
        <v/>
      </c>
      <c r="Q470">
        <f>Q469+IF(AND($E470&lt;&gt;"",$E470&lt;=Q$2,$F470&gt;=Q$2),1,0)</f>
        <v/>
      </c>
      <c r="R470">
        <f>R469+IF(AND($E470&lt;&gt;"",$E470&lt;=R$2,$F470&gt;=R$2),1,0)</f>
        <v/>
      </c>
      <c r="S470">
        <f>S469+IF(AND($E470&lt;&gt;"",$E470&lt;=S$2,$F470&gt;=S$2),1,0)</f>
        <v/>
      </c>
      <c r="T470">
        <f>T469+IF(AND($E470&lt;&gt;"",$E470&lt;=T$2,$F470&gt;=T$2),1,0)</f>
        <v/>
      </c>
      <c r="U470">
        <f>U469+IF(AND($E470&lt;&gt;"",$E470&lt;=U$2,$F470&gt;=U$2),1,0)</f>
        <v/>
      </c>
      <c r="V470">
        <f>V469+IF(AND($E470&lt;&gt;"",$E470&lt;=V$2,$F470&gt;=V$2),1,0)</f>
        <v/>
      </c>
      <c r="W470">
        <f>W469+IF(AND($E470&lt;&gt;"",$E470&lt;=W$2,$F470&gt;=W$2),1,0)</f>
        <v/>
      </c>
      <c r="X470">
        <f>X469+IF(AND($E470&lt;&gt;"",$E470&lt;=X$2,$F470&gt;=X$2),1,0)</f>
        <v/>
      </c>
      <c r="Y470">
        <f>Y469+IF(AND($E470&lt;&gt;"",$E470&lt;=Y$2,$F470&gt;=Y$2),1,0)</f>
        <v/>
      </c>
      <c r="Z470">
        <f>Z469+IF(AND($E470&lt;&gt;"",$E470&lt;=Z$2,$F470&gt;=Z$2),1,0)</f>
        <v/>
      </c>
      <c r="AA470">
        <f>AA469+IF(AND($E470&lt;&gt;"",$E470&lt;=AA$2,$F470&gt;=AA$2),1,0)</f>
        <v/>
      </c>
      <c r="AB470">
        <f>AB469+IF(AND($E470&lt;&gt;"",$E470&lt;=AB$2,$F470&gt;=AB$2),1,0)</f>
        <v/>
      </c>
      <c r="AC470">
        <f>AC469+IF(AND($E470&lt;&gt;"",$E470&lt;=AC$2,$F470&gt;=AC$2),1,0)</f>
        <v/>
      </c>
      <c r="AD470">
        <f>AD469+IF(AND($E470&lt;&gt;"",$E470&lt;=AD$2,$F470&gt;=AD$2),1,0)</f>
        <v/>
      </c>
      <c r="AE470">
        <f>AE469+IF(AND($E470&lt;&gt;"",$E470&lt;=AE$2,$F470&gt;=AE$2),1,0)</f>
        <v/>
      </c>
      <c r="AF470">
        <f>AF469+IF(AND($E470&lt;&gt;"",$E470&lt;=AF$2,$F470&gt;=AF$2),1,0)</f>
        <v/>
      </c>
      <c r="AG470">
        <f>AG469+IF(AND($E470&lt;&gt;"",$E470&lt;=AG$2,$F470&gt;=AG$2),1,0)</f>
        <v/>
      </c>
      <c r="AH470">
        <f>AH469+IF(AND($E470&lt;&gt;"",$E470&lt;=AH$2,$F470&gt;=AH$2),1,0)</f>
        <v/>
      </c>
      <c r="AI470">
        <f>AI469+IF(AND($E470&lt;&gt;"",$E470&lt;=AI$2,$F470&gt;=AI$2),1,0)</f>
        <v/>
      </c>
      <c r="AJ470">
        <f>AJ469+IF(AND($E470&lt;&gt;"",$E470&lt;=AJ$2,$F470&gt;=AJ$2),1,0)</f>
        <v/>
      </c>
      <c r="AK470">
        <f>AK469+IF(AND($E470&lt;&gt;"",$E470&lt;=AK$2,$F470&gt;=AK$2),1,0)</f>
        <v/>
      </c>
      <c r="AL470">
        <f>AL469+IF(AND($E470&lt;&gt;"",$E470&lt;=AL$2,$F470&gt;=AL$2),1,0)</f>
        <v/>
      </c>
      <c r="AM470">
        <f>AM469+IF(AND($E470&lt;&gt;"",$E470&lt;=AM$2,$F470&gt;=AM$2),1,0)</f>
        <v/>
      </c>
      <c r="AN470">
        <f>AN469+IF(AND($E470&lt;&gt;"",$E470&lt;=AN$2,$F470&gt;=AN$2),1,0)</f>
        <v/>
      </c>
      <c r="AO470">
        <f>AO469+IF(AND($E470&lt;&gt;"",$E470&lt;=AO$2,$F470&gt;=AO$2),1,0)</f>
        <v/>
      </c>
      <c r="AP470">
        <f>AP469+IF(AND($E470&lt;&gt;"",$E470&lt;=AP$2,$F470&gt;=AP$2),1,0)</f>
        <v/>
      </c>
      <c r="AQ470">
        <f>AQ469+IF(AND($E470&lt;&gt;"",$E470&lt;=AQ$2,$F470&gt;=AQ$2),1,0)</f>
        <v/>
      </c>
      <c r="AR470">
        <f>AR469+IF(AND($E470&lt;&gt;"",$E470&lt;=AR$2,$F470&gt;=AR$2),1,0)</f>
        <v/>
      </c>
      <c r="AS470">
        <f>AS469+IF(AND($E470&lt;&gt;"",$E470&lt;=AS$2,$F470&gt;=AS$2),1,0)</f>
        <v/>
      </c>
      <c r="AT470">
        <f>AT469+IF(AND($E470&lt;&gt;"",$E470&lt;=AT$2,$F470&gt;=AT$2),1,0)</f>
        <v/>
      </c>
      <c r="AU470">
        <f>AU469+IF(AND($E470&lt;&gt;"",$E470&lt;=AU$2,$F470&gt;=AU$2),1,0)</f>
        <v/>
      </c>
      <c r="AV470">
        <f>AV469+IF(AND($E470&lt;&gt;"",$E470&lt;=AV$2,$F470&gt;=AV$2),1,0)</f>
        <v/>
      </c>
      <c r="AW470">
        <f>AW469+IF(AND($E470&lt;&gt;"",$E470&lt;=AW$2,$F470&gt;=AW$2),1,0)</f>
        <v/>
      </c>
    </row>
    <row r="471">
      <c r="A471">
        <f>IF(AND(ISNUMBER(Events!$A473),ISNUMBER(Events!$B473)),MAX(0,Events!$B473-Events!$A473),0)</f>
        <v/>
      </c>
      <c r="B471">
        <f>IF(ISNUMBER(Events!$A473),DATE(YEAR($B$1)-1,MONTH(Events!$A473),DAY(Events!$A473)),"")</f>
        <v/>
      </c>
      <c r="C471">
        <f>IF(ISNUMBER(Events!$A473),DATE(YEAR($B$1),MONTH(Events!$A473),DAY(Events!$A473)),"")</f>
        <v/>
      </c>
      <c r="D471">
        <f>IF(ISNUMBER(Events!$A473),DATE(YEAR($B$2),MONTH(Events!$A473),DAY(Events!$A473)),"")</f>
        <v/>
      </c>
      <c r="E471">
        <f>IF(OR(NOT(ISNUMBER(Events!$A473)),Events!$G473="No",Calendar!$H$4="None"),"",IF(OR(Calendar!$H$4="All events",Events!$D473=Calendar!$H$4),IF(Events!$E473="Yes",IF(AND(B471&gt;=Events!$A473,B471&lt;=$B$2,B471+$A471&gt;=$B$1),B471,IF(AND(C471&gt;=Events!$A473,C471&lt;=$B$2,C471+$A471&gt;=$B$1),C471,IF(AND(D471&gt;=Events!$A473,D471&lt;=$B$2,D471+$A471&gt;=$B$1),D471,""))),IF(AND(Events!$A473&lt;=$B$2,Events!$A473+$A471&gt;=$B$1),Events!$A473,"")),""))</f>
        <v/>
      </c>
      <c r="F471">
        <f>IF(E471="","",E471+A471)</f>
        <v/>
      </c>
      <c r="G471">
        <f>IF(E471="","",IF(AND(E471&lt;=EOMONTH(Calendar!$K$2,0),F471&gt;=Calendar!$K$2),E471+468/100000,""))</f>
        <v/>
      </c>
      <c r="H471">
        <f>H470+IF(AND($E471&lt;&gt;"",$E471&lt;=H$2,$F471&gt;=H$2),1,0)</f>
        <v/>
      </c>
      <c r="I471">
        <f>I470+IF(AND($E471&lt;&gt;"",$E471&lt;=I$2,$F471&gt;=I$2),1,0)</f>
        <v/>
      </c>
      <c r="J471">
        <f>J470+IF(AND($E471&lt;&gt;"",$E471&lt;=J$2,$F471&gt;=J$2),1,0)</f>
        <v/>
      </c>
      <c r="K471">
        <f>K470+IF(AND($E471&lt;&gt;"",$E471&lt;=K$2,$F471&gt;=K$2),1,0)</f>
        <v/>
      </c>
      <c r="L471">
        <f>L470+IF(AND($E471&lt;&gt;"",$E471&lt;=L$2,$F471&gt;=L$2),1,0)</f>
        <v/>
      </c>
      <c r="M471">
        <f>M470+IF(AND($E471&lt;&gt;"",$E471&lt;=M$2,$F471&gt;=M$2),1,0)</f>
        <v/>
      </c>
      <c r="N471">
        <f>N470+IF(AND($E471&lt;&gt;"",$E471&lt;=N$2,$F471&gt;=N$2),1,0)</f>
        <v/>
      </c>
      <c r="O471">
        <f>O470+IF(AND($E471&lt;&gt;"",$E471&lt;=O$2,$F471&gt;=O$2),1,0)</f>
        <v/>
      </c>
      <c r="P471">
        <f>P470+IF(AND($E471&lt;&gt;"",$E471&lt;=P$2,$F471&gt;=P$2),1,0)</f>
        <v/>
      </c>
      <c r="Q471">
        <f>Q470+IF(AND($E471&lt;&gt;"",$E471&lt;=Q$2,$F471&gt;=Q$2),1,0)</f>
        <v/>
      </c>
      <c r="R471">
        <f>R470+IF(AND($E471&lt;&gt;"",$E471&lt;=R$2,$F471&gt;=R$2),1,0)</f>
        <v/>
      </c>
      <c r="S471">
        <f>S470+IF(AND($E471&lt;&gt;"",$E471&lt;=S$2,$F471&gt;=S$2),1,0)</f>
        <v/>
      </c>
      <c r="T471">
        <f>T470+IF(AND($E471&lt;&gt;"",$E471&lt;=T$2,$F471&gt;=T$2),1,0)</f>
        <v/>
      </c>
      <c r="U471">
        <f>U470+IF(AND($E471&lt;&gt;"",$E471&lt;=U$2,$F471&gt;=U$2),1,0)</f>
        <v/>
      </c>
      <c r="V471">
        <f>V470+IF(AND($E471&lt;&gt;"",$E471&lt;=V$2,$F471&gt;=V$2),1,0)</f>
        <v/>
      </c>
      <c r="W471">
        <f>W470+IF(AND($E471&lt;&gt;"",$E471&lt;=W$2,$F471&gt;=W$2),1,0)</f>
        <v/>
      </c>
      <c r="X471">
        <f>X470+IF(AND($E471&lt;&gt;"",$E471&lt;=X$2,$F471&gt;=X$2),1,0)</f>
        <v/>
      </c>
      <c r="Y471">
        <f>Y470+IF(AND($E471&lt;&gt;"",$E471&lt;=Y$2,$F471&gt;=Y$2),1,0)</f>
        <v/>
      </c>
      <c r="Z471">
        <f>Z470+IF(AND($E471&lt;&gt;"",$E471&lt;=Z$2,$F471&gt;=Z$2),1,0)</f>
        <v/>
      </c>
      <c r="AA471">
        <f>AA470+IF(AND($E471&lt;&gt;"",$E471&lt;=AA$2,$F471&gt;=AA$2),1,0)</f>
        <v/>
      </c>
      <c r="AB471">
        <f>AB470+IF(AND($E471&lt;&gt;"",$E471&lt;=AB$2,$F471&gt;=AB$2),1,0)</f>
        <v/>
      </c>
      <c r="AC471">
        <f>AC470+IF(AND($E471&lt;&gt;"",$E471&lt;=AC$2,$F471&gt;=AC$2),1,0)</f>
        <v/>
      </c>
      <c r="AD471">
        <f>AD470+IF(AND($E471&lt;&gt;"",$E471&lt;=AD$2,$F471&gt;=AD$2),1,0)</f>
        <v/>
      </c>
      <c r="AE471">
        <f>AE470+IF(AND($E471&lt;&gt;"",$E471&lt;=AE$2,$F471&gt;=AE$2),1,0)</f>
        <v/>
      </c>
      <c r="AF471">
        <f>AF470+IF(AND($E471&lt;&gt;"",$E471&lt;=AF$2,$F471&gt;=AF$2),1,0)</f>
        <v/>
      </c>
      <c r="AG471">
        <f>AG470+IF(AND($E471&lt;&gt;"",$E471&lt;=AG$2,$F471&gt;=AG$2),1,0)</f>
        <v/>
      </c>
      <c r="AH471">
        <f>AH470+IF(AND($E471&lt;&gt;"",$E471&lt;=AH$2,$F471&gt;=AH$2),1,0)</f>
        <v/>
      </c>
      <c r="AI471">
        <f>AI470+IF(AND($E471&lt;&gt;"",$E471&lt;=AI$2,$F471&gt;=AI$2),1,0)</f>
        <v/>
      </c>
      <c r="AJ471">
        <f>AJ470+IF(AND($E471&lt;&gt;"",$E471&lt;=AJ$2,$F471&gt;=AJ$2),1,0)</f>
        <v/>
      </c>
      <c r="AK471">
        <f>AK470+IF(AND($E471&lt;&gt;"",$E471&lt;=AK$2,$F471&gt;=AK$2),1,0)</f>
        <v/>
      </c>
      <c r="AL471">
        <f>AL470+IF(AND($E471&lt;&gt;"",$E471&lt;=AL$2,$F471&gt;=AL$2),1,0)</f>
        <v/>
      </c>
      <c r="AM471">
        <f>AM470+IF(AND($E471&lt;&gt;"",$E471&lt;=AM$2,$F471&gt;=AM$2),1,0)</f>
        <v/>
      </c>
      <c r="AN471">
        <f>AN470+IF(AND($E471&lt;&gt;"",$E471&lt;=AN$2,$F471&gt;=AN$2),1,0)</f>
        <v/>
      </c>
      <c r="AO471">
        <f>AO470+IF(AND($E471&lt;&gt;"",$E471&lt;=AO$2,$F471&gt;=AO$2),1,0)</f>
        <v/>
      </c>
      <c r="AP471">
        <f>AP470+IF(AND($E471&lt;&gt;"",$E471&lt;=AP$2,$F471&gt;=AP$2),1,0)</f>
        <v/>
      </c>
      <c r="AQ471">
        <f>AQ470+IF(AND($E471&lt;&gt;"",$E471&lt;=AQ$2,$F471&gt;=AQ$2),1,0)</f>
        <v/>
      </c>
      <c r="AR471">
        <f>AR470+IF(AND($E471&lt;&gt;"",$E471&lt;=AR$2,$F471&gt;=AR$2),1,0)</f>
        <v/>
      </c>
      <c r="AS471">
        <f>AS470+IF(AND($E471&lt;&gt;"",$E471&lt;=AS$2,$F471&gt;=AS$2),1,0)</f>
        <v/>
      </c>
      <c r="AT471">
        <f>AT470+IF(AND($E471&lt;&gt;"",$E471&lt;=AT$2,$F471&gt;=AT$2),1,0)</f>
        <v/>
      </c>
      <c r="AU471">
        <f>AU470+IF(AND($E471&lt;&gt;"",$E471&lt;=AU$2,$F471&gt;=AU$2),1,0)</f>
        <v/>
      </c>
      <c r="AV471">
        <f>AV470+IF(AND($E471&lt;&gt;"",$E471&lt;=AV$2,$F471&gt;=AV$2),1,0)</f>
        <v/>
      </c>
      <c r="AW471">
        <f>AW470+IF(AND($E471&lt;&gt;"",$E471&lt;=AW$2,$F471&gt;=AW$2),1,0)</f>
        <v/>
      </c>
    </row>
    <row r="472">
      <c r="A472">
        <f>IF(AND(ISNUMBER(Events!$A474),ISNUMBER(Events!$B474)),MAX(0,Events!$B474-Events!$A474),0)</f>
        <v/>
      </c>
      <c r="B472">
        <f>IF(ISNUMBER(Events!$A474),DATE(YEAR($B$1)-1,MONTH(Events!$A474),DAY(Events!$A474)),"")</f>
        <v/>
      </c>
      <c r="C472">
        <f>IF(ISNUMBER(Events!$A474),DATE(YEAR($B$1),MONTH(Events!$A474),DAY(Events!$A474)),"")</f>
        <v/>
      </c>
      <c r="D472">
        <f>IF(ISNUMBER(Events!$A474),DATE(YEAR($B$2),MONTH(Events!$A474),DAY(Events!$A474)),"")</f>
        <v/>
      </c>
      <c r="E472">
        <f>IF(OR(NOT(ISNUMBER(Events!$A474)),Events!$G474="No",Calendar!$H$4="None"),"",IF(OR(Calendar!$H$4="All events",Events!$D474=Calendar!$H$4),IF(Events!$E474="Yes",IF(AND(B472&gt;=Events!$A474,B472&lt;=$B$2,B472+$A472&gt;=$B$1),B472,IF(AND(C472&gt;=Events!$A474,C472&lt;=$B$2,C472+$A472&gt;=$B$1),C472,IF(AND(D472&gt;=Events!$A474,D472&lt;=$B$2,D472+$A472&gt;=$B$1),D472,""))),IF(AND(Events!$A474&lt;=$B$2,Events!$A474+$A472&gt;=$B$1),Events!$A474,"")),""))</f>
        <v/>
      </c>
      <c r="F472">
        <f>IF(E472="","",E472+A472)</f>
        <v/>
      </c>
      <c r="G472">
        <f>IF(E472="","",IF(AND(E472&lt;=EOMONTH(Calendar!$K$2,0),F472&gt;=Calendar!$K$2),E472+469/100000,""))</f>
        <v/>
      </c>
      <c r="H472">
        <f>H471+IF(AND($E472&lt;&gt;"",$E472&lt;=H$2,$F472&gt;=H$2),1,0)</f>
        <v/>
      </c>
      <c r="I472">
        <f>I471+IF(AND($E472&lt;&gt;"",$E472&lt;=I$2,$F472&gt;=I$2),1,0)</f>
        <v/>
      </c>
      <c r="J472">
        <f>J471+IF(AND($E472&lt;&gt;"",$E472&lt;=J$2,$F472&gt;=J$2),1,0)</f>
        <v/>
      </c>
      <c r="K472">
        <f>K471+IF(AND($E472&lt;&gt;"",$E472&lt;=K$2,$F472&gt;=K$2),1,0)</f>
        <v/>
      </c>
      <c r="L472">
        <f>L471+IF(AND($E472&lt;&gt;"",$E472&lt;=L$2,$F472&gt;=L$2),1,0)</f>
        <v/>
      </c>
      <c r="M472">
        <f>M471+IF(AND($E472&lt;&gt;"",$E472&lt;=M$2,$F472&gt;=M$2),1,0)</f>
        <v/>
      </c>
      <c r="N472">
        <f>N471+IF(AND($E472&lt;&gt;"",$E472&lt;=N$2,$F472&gt;=N$2),1,0)</f>
        <v/>
      </c>
      <c r="O472">
        <f>O471+IF(AND($E472&lt;&gt;"",$E472&lt;=O$2,$F472&gt;=O$2),1,0)</f>
        <v/>
      </c>
      <c r="P472">
        <f>P471+IF(AND($E472&lt;&gt;"",$E472&lt;=P$2,$F472&gt;=P$2),1,0)</f>
        <v/>
      </c>
      <c r="Q472">
        <f>Q471+IF(AND($E472&lt;&gt;"",$E472&lt;=Q$2,$F472&gt;=Q$2),1,0)</f>
        <v/>
      </c>
      <c r="R472">
        <f>R471+IF(AND($E472&lt;&gt;"",$E472&lt;=R$2,$F472&gt;=R$2),1,0)</f>
        <v/>
      </c>
      <c r="S472">
        <f>S471+IF(AND($E472&lt;&gt;"",$E472&lt;=S$2,$F472&gt;=S$2),1,0)</f>
        <v/>
      </c>
      <c r="T472">
        <f>T471+IF(AND($E472&lt;&gt;"",$E472&lt;=T$2,$F472&gt;=T$2),1,0)</f>
        <v/>
      </c>
      <c r="U472">
        <f>U471+IF(AND($E472&lt;&gt;"",$E472&lt;=U$2,$F472&gt;=U$2),1,0)</f>
        <v/>
      </c>
      <c r="V472">
        <f>V471+IF(AND($E472&lt;&gt;"",$E472&lt;=V$2,$F472&gt;=V$2),1,0)</f>
        <v/>
      </c>
      <c r="W472">
        <f>W471+IF(AND($E472&lt;&gt;"",$E472&lt;=W$2,$F472&gt;=W$2),1,0)</f>
        <v/>
      </c>
      <c r="X472">
        <f>X471+IF(AND($E472&lt;&gt;"",$E472&lt;=X$2,$F472&gt;=X$2),1,0)</f>
        <v/>
      </c>
      <c r="Y472">
        <f>Y471+IF(AND($E472&lt;&gt;"",$E472&lt;=Y$2,$F472&gt;=Y$2),1,0)</f>
        <v/>
      </c>
      <c r="Z472">
        <f>Z471+IF(AND($E472&lt;&gt;"",$E472&lt;=Z$2,$F472&gt;=Z$2),1,0)</f>
        <v/>
      </c>
      <c r="AA472">
        <f>AA471+IF(AND($E472&lt;&gt;"",$E472&lt;=AA$2,$F472&gt;=AA$2),1,0)</f>
        <v/>
      </c>
      <c r="AB472">
        <f>AB471+IF(AND($E472&lt;&gt;"",$E472&lt;=AB$2,$F472&gt;=AB$2),1,0)</f>
        <v/>
      </c>
      <c r="AC472">
        <f>AC471+IF(AND($E472&lt;&gt;"",$E472&lt;=AC$2,$F472&gt;=AC$2),1,0)</f>
        <v/>
      </c>
      <c r="AD472">
        <f>AD471+IF(AND($E472&lt;&gt;"",$E472&lt;=AD$2,$F472&gt;=AD$2),1,0)</f>
        <v/>
      </c>
      <c r="AE472">
        <f>AE471+IF(AND($E472&lt;&gt;"",$E472&lt;=AE$2,$F472&gt;=AE$2),1,0)</f>
        <v/>
      </c>
      <c r="AF472">
        <f>AF471+IF(AND($E472&lt;&gt;"",$E472&lt;=AF$2,$F472&gt;=AF$2),1,0)</f>
        <v/>
      </c>
      <c r="AG472">
        <f>AG471+IF(AND($E472&lt;&gt;"",$E472&lt;=AG$2,$F472&gt;=AG$2),1,0)</f>
        <v/>
      </c>
      <c r="AH472">
        <f>AH471+IF(AND($E472&lt;&gt;"",$E472&lt;=AH$2,$F472&gt;=AH$2),1,0)</f>
        <v/>
      </c>
      <c r="AI472">
        <f>AI471+IF(AND($E472&lt;&gt;"",$E472&lt;=AI$2,$F472&gt;=AI$2),1,0)</f>
        <v/>
      </c>
      <c r="AJ472">
        <f>AJ471+IF(AND($E472&lt;&gt;"",$E472&lt;=AJ$2,$F472&gt;=AJ$2),1,0)</f>
        <v/>
      </c>
      <c r="AK472">
        <f>AK471+IF(AND($E472&lt;&gt;"",$E472&lt;=AK$2,$F472&gt;=AK$2),1,0)</f>
        <v/>
      </c>
      <c r="AL472">
        <f>AL471+IF(AND($E472&lt;&gt;"",$E472&lt;=AL$2,$F472&gt;=AL$2),1,0)</f>
        <v/>
      </c>
      <c r="AM472">
        <f>AM471+IF(AND($E472&lt;&gt;"",$E472&lt;=AM$2,$F472&gt;=AM$2),1,0)</f>
        <v/>
      </c>
      <c r="AN472">
        <f>AN471+IF(AND($E472&lt;&gt;"",$E472&lt;=AN$2,$F472&gt;=AN$2),1,0)</f>
        <v/>
      </c>
      <c r="AO472">
        <f>AO471+IF(AND($E472&lt;&gt;"",$E472&lt;=AO$2,$F472&gt;=AO$2),1,0)</f>
        <v/>
      </c>
      <c r="AP472">
        <f>AP471+IF(AND($E472&lt;&gt;"",$E472&lt;=AP$2,$F472&gt;=AP$2),1,0)</f>
        <v/>
      </c>
      <c r="AQ472">
        <f>AQ471+IF(AND($E472&lt;&gt;"",$E472&lt;=AQ$2,$F472&gt;=AQ$2),1,0)</f>
        <v/>
      </c>
      <c r="AR472">
        <f>AR471+IF(AND($E472&lt;&gt;"",$E472&lt;=AR$2,$F472&gt;=AR$2),1,0)</f>
        <v/>
      </c>
      <c r="AS472">
        <f>AS471+IF(AND($E472&lt;&gt;"",$E472&lt;=AS$2,$F472&gt;=AS$2),1,0)</f>
        <v/>
      </c>
      <c r="AT472">
        <f>AT471+IF(AND($E472&lt;&gt;"",$E472&lt;=AT$2,$F472&gt;=AT$2),1,0)</f>
        <v/>
      </c>
      <c r="AU472">
        <f>AU471+IF(AND($E472&lt;&gt;"",$E472&lt;=AU$2,$F472&gt;=AU$2),1,0)</f>
        <v/>
      </c>
      <c r="AV472">
        <f>AV471+IF(AND($E472&lt;&gt;"",$E472&lt;=AV$2,$F472&gt;=AV$2),1,0)</f>
        <v/>
      </c>
      <c r="AW472">
        <f>AW471+IF(AND($E472&lt;&gt;"",$E472&lt;=AW$2,$F472&gt;=AW$2),1,0)</f>
        <v/>
      </c>
    </row>
    <row r="473">
      <c r="A473">
        <f>IF(AND(ISNUMBER(Events!$A475),ISNUMBER(Events!$B475)),MAX(0,Events!$B475-Events!$A475),0)</f>
        <v/>
      </c>
      <c r="B473">
        <f>IF(ISNUMBER(Events!$A475),DATE(YEAR($B$1)-1,MONTH(Events!$A475),DAY(Events!$A475)),"")</f>
        <v/>
      </c>
      <c r="C473">
        <f>IF(ISNUMBER(Events!$A475),DATE(YEAR($B$1),MONTH(Events!$A475),DAY(Events!$A475)),"")</f>
        <v/>
      </c>
      <c r="D473">
        <f>IF(ISNUMBER(Events!$A475),DATE(YEAR($B$2),MONTH(Events!$A475),DAY(Events!$A475)),"")</f>
        <v/>
      </c>
      <c r="E473">
        <f>IF(OR(NOT(ISNUMBER(Events!$A475)),Events!$G475="No",Calendar!$H$4="None"),"",IF(OR(Calendar!$H$4="All events",Events!$D475=Calendar!$H$4),IF(Events!$E475="Yes",IF(AND(B473&gt;=Events!$A475,B473&lt;=$B$2,B473+$A473&gt;=$B$1),B473,IF(AND(C473&gt;=Events!$A475,C473&lt;=$B$2,C473+$A473&gt;=$B$1),C473,IF(AND(D473&gt;=Events!$A475,D473&lt;=$B$2,D473+$A473&gt;=$B$1),D473,""))),IF(AND(Events!$A475&lt;=$B$2,Events!$A475+$A473&gt;=$B$1),Events!$A475,"")),""))</f>
        <v/>
      </c>
      <c r="F473">
        <f>IF(E473="","",E473+A473)</f>
        <v/>
      </c>
      <c r="G473">
        <f>IF(E473="","",IF(AND(E473&lt;=EOMONTH(Calendar!$K$2,0),F473&gt;=Calendar!$K$2),E473+470/100000,""))</f>
        <v/>
      </c>
      <c r="H473">
        <f>H472+IF(AND($E473&lt;&gt;"",$E473&lt;=H$2,$F473&gt;=H$2),1,0)</f>
        <v/>
      </c>
      <c r="I473">
        <f>I472+IF(AND($E473&lt;&gt;"",$E473&lt;=I$2,$F473&gt;=I$2),1,0)</f>
        <v/>
      </c>
      <c r="J473">
        <f>J472+IF(AND($E473&lt;&gt;"",$E473&lt;=J$2,$F473&gt;=J$2),1,0)</f>
        <v/>
      </c>
      <c r="K473">
        <f>K472+IF(AND($E473&lt;&gt;"",$E473&lt;=K$2,$F473&gt;=K$2),1,0)</f>
        <v/>
      </c>
      <c r="L473">
        <f>L472+IF(AND($E473&lt;&gt;"",$E473&lt;=L$2,$F473&gt;=L$2),1,0)</f>
        <v/>
      </c>
      <c r="M473">
        <f>M472+IF(AND($E473&lt;&gt;"",$E473&lt;=M$2,$F473&gt;=M$2),1,0)</f>
        <v/>
      </c>
      <c r="N473">
        <f>N472+IF(AND($E473&lt;&gt;"",$E473&lt;=N$2,$F473&gt;=N$2),1,0)</f>
        <v/>
      </c>
      <c r="O473">
        <f>O472+IF(AND($E473&lt;&gt;"",$E473&lt;=O$2,$F473&gt;=O$2),1,0)</f>
        <v/>
      </c>
      <c r="P473">
        <f>P472+IF(AND($E473&lt;&gt;"",$E473&lt;=P$2,$F473&gt;=P$2),1,0)</f>
        <v/>
      </c>
      <c r="Q473">
        <f>Q472+IF(AND($E473&lt;&gt;"",$E473&lt;=Q$2,$F473&gt;=Q$2),1,0)</f>
        <v/>
      </c>
      <c r="R473">
        <f>R472+IF(AND($E473&lt;&gt;"",$E473&lt;=R$2,$F473&gt;=R$2),1,0)</f>
        <v/>
      </c>
      <c r="S473">
        <f>S472+IF(AND($E473&lt;&gt;"",$E473&lt;=S$2,$F473&gt;=S$2),1,0)</f>
        <v/>
      </c>
      <c r="T473">
        <f>T472+IF(AND($E473&lt;&gt;"",$E473&lt;=T$2,$F473&gt;=T$2),1,0)</f>
        <v/>
      </c>
      <c r="U473">
        <f>U472+IF(AND($E473&lt;&gt;"",$E473&lt;=U$2,$F473&gt;=U$2),1,0)</f>
        <v/>
      </c>
      <c r="V473">
        <f>V472+IF(AND($E473&lt;&gt;"",$E473&lt;=V$2,$F473&gt;=V$2),1,0)</f>
        <v/>
      </c>
      <c r="W473">
        <f>W472+IF(AND($E473&lt;&gt;"",$E473&lt;=W$2,$F473&gt;=W$2),1,0)</f>
        <v/>
      </c>
      <c r="X473">
        <f>X472+IF(AND($E473&lt;&gt;"",$E473&lt;=X$2,$F473&gt;=X$2),1,0)</f>
        <v/>
      </c>
      <c r="Y473">
        <f>Y472+IF(AND($E473&lt;&gt;"",$E473&lt;=Y$2,$F473&gt;=Y$2),1,0)</f>
        <v/>
      </c>
      <c r="Z473">
        <f>Z472+IF(AND($E473&lt;&gt;"",$E473&lt;=Z$2,$F473&gt;=Z$2),1,0)</f>
        <v/>
      </c>
      <c r="AA473">
        <f>AA472+IF(AND($E473&lt;&gt;"",$E473&lt;=AA$2,$F473&gt;=AA$2),1,0)</f>
        <v/>
      </c>
      <c r="AB473">
        <f>AB472+IF(AND($E473&lt;&gt;"",$E473&lt;=AB$2,$F473&gt;=AB$2),1,0)</f>
        <v/>
      </c>
      <c r="AC473">
        <f>AC472+IF(AND($E473&lt;&gt;"",$E473&lt;=AC$2,$F473&gt;=AC$2),1,0)</f>
        <v/>
      </c>
      <c r="AD473">
        <f>AD472+IF(AND($E473&lt;&gt;"",$E473&lt;=AD$2,$F473&gt;=AD$2),1,0)</f>
        <v/>
      </c>
      <c r="AE473">
        <f>AE472+IF(AND($E473&lt;&gt;"",$E473&lt;=AE$2,$F473&gt;=AE$2),1,0)</f>
        <v/>
      </c>
      <c r="AF473">
        <f>AF472+IF(AND($E473&lt;&gt;"",$E473&lt;=AF$2,$F473&gt;=AF$2),1,0)</f>
        <v/>
      </c>
      <c r="AG473">
        <f>AG472+IF(AND($E473&lt;&gt;"",$E473&lt;=AG$2,$F473&gt;=AG$2),1,0)</f>
        <v/>
      </c>
      <c r="AH473">
        <f>AH472+IF(AND($E473&lt;&gt;"",$E473&lt;=AH$2,$F473&gt;=AH$2),1,0)</f>
        <v/>
      </c>
      <c r="AI473">
        <f>AI472+IF(AND($E473&lt;&gt;"",$E473&lt;=AI$2,$F473&gt;=AI$2),1,0)</f>
        <v/>
      </c>
      <c r="AJ473">
        <f>AJ472+IF(AND($E473&lt;&gt;"",$E473&lt;=AJ$2,$F473&gt;=AJ$2),1,0)</f>
        <v/>
      </c>
      <c r="AK473">
        <f>AK472+IF(AND($E473&lt;&gt;"",$E473&lt;=AK$2,$F473&gt;=AK$2),1,0)</f>
        <v/>
      </c>
      <c r="AL473">
        <f>AL472+IF(AND($E473&lt;&gt;"",$E473&lt;=AL$2,$F473&gt;=AL$2),1,0)</f>
        <v/>
      </c>
      <c r="AM473">
        <f>AM472+IF(AND($E473&lt;&gt;"",$E473&lt;=AM$2,$F473&gt;=AM$2),1,0)</f>
        <v/>
      </c>
      <c r="AN473">
        <f>AN472+IF(AND($E473&lt;&gt;"",$E473&lt;=AN$2,$F473&gt;=AN$2),1,0)</f>
        <v/>
      </c>
      <c r="AO473">
        <f>AO472+IF(AND($E473&lt;&gt;"",$E473&lt;=AO$2,$F473&gt;=AO$2),1,0)</f>
        <v/>
      </c>
      <c r="AP473">
        <f>AP472+IF(AND($E473&lt;&gt;"",$E473&lt;=AP$2,$F473&gt;=AP$2),1,0)</f>
        <v/>
      </c>
      <c r="AQ473">
        <f>AQ472+IF(AND($E473&lt;&gt;"",$E473&lt;=AQ$2,$F473&gt;=AQ$2),1,0)</f>
        <v/>
      </c>
      <c r="AR473">
        <f>AR472+IF(AND($E473&lt;&gt;"",$E473&lt;=AR$2,$F473&gt;=AR$2),1,0)</f>
        <v/>
      </c>
      <c r="AS473">
        <f>AS472+IF(AND($E473&lt;&gt;"",$E473&lt;=AS$2,$F473&gt;=AS$2),1,0)</f>
        <v/>
      </c>
      <c r="AT473">
        <f>AT472+IF(AND($E473&lt;&gt;"",$E473&lt;=AT$2,$F473&gt;=AT$2),1,0)</f>
        <v/>
      </c>
      <c r="AU473">
        <f>AU472+IF(AND($E473&lt;&gt;"",$E473&lt;=AU$2,$F473&gt;=AU$2),1,0)</f>
        <v/>
      </c>
      <c r="AV473">
        <f>AV472+IF(AND($E473&lt;&gt;"",$E473&lt;=AV$2,$F473&gt;=AV$2),1,0)</f>
        <v/>
      </c>
      <c r="AW473">
        <f>AW472+IF(AND($E473&lt;&gt;"",$E473&lt;=AW$2,$F473&gt;=AW$2),1,0)</f>
        <v/>
      </c>
    </row>
    <row r="474">
      <c r="A474">
        <f>IF(AND(ISNUMBER(Events!$A476),ISNUMBER(Events!$B476)),MAX(0,Events!$B476-Events!$A476),0)</f>
        <v/>
      </c>
      <c r="B474">
        <f>IF(ISNUMBER(Events!$A476),DATE(YEAR($B$1)-1,MONTH(Events!$A476),DAY(Events!$A476)),"")</f>
        <v/>
      </c>
      <c r="C474">
        <f>IF(ISNUMBER(Events!$A476),DATE(YEAR($B$1),MONTH(Events!$A476),DAY(Events!$A476)),"")</f>
        <v/>
      </c>
      <c r="D474">
        <f>IF(ISNUMBER(Events!$A476),DATE(YEAR($B$2),MONTH(Events!$A476),DAY(Events!$A476)),"")</f>
        <v/>
      </c>
      <c r="E474">
        <f>IF(OR(NOT(ISNUMBER(Events!$A476)),Events!$G476="No",Calendar!$H$4="None"),"",IF(OR(Calendar!$H$4="All events",Events!$D476=Calendar!$H$4),IF(Events!$E476="Yes",IF(AND(B474&gt;=Events!$A476,B474&lt;=$B$2,B474+$A474&gt;=$B$1),B474,IF(AND(C474&gt;=Events!$A476,C474&lt;=$B$2,C474+$A474&gt;=$B$1),C474,IF(AND(D474&gt;=Events!$A476,D474&lt;=$B$2,D474+$A474&gt;=$B$1),D474,""))),IF(AND(Events!$A476&lt;=$B$2,Events!$A476+$A474&gt;=$B$1),Events!$A476,"")),""))</f>
        <v/>
      </c>
      <c r="F474">
        <f>IF(E474="","",E474+A474)</f>
        <v/>
      </c>
      <c r="G474">
        <f>IF(E474="","",IF(AND(E474&lt;=EOMONTH(Calendar!$K$2,0),F474&gt;=Calendar!$K$2),E474+471/100000,""))</f>
        <v/>
      </c>
      <c r="H474">
        <f>H473+IF(AND($E474&lt;&gt;"",$E474&lt;=H$2,$F474&gt;=H$2),1,0)</f>
        <v/>
      </c>
      <c r="I474">
        <f>I473+IF(AND($E474&lt;&gt;"",$E474&lt;=I$2,$F474&gt;=I$2),1,0)</f>
        <v/>
      </c>
      <c r="J474">
        <f>J473+IF(AND($E474&lt;&gt;"",$E474&lt;=J$2,$F474&gt;=J$2),1,0)</f>
        <v/>
      </c>
      <c r="K474">
        <f>K473+IF(AND($E474&lt;&gt;"",$E474&lt;=K$2,$F474&gt;=K$2),1,0)</f>
        <v/>
      </c>
      <c r="L474">
        <f>L473+IF(AND($E474&lt;&gt;"",$E474&lt;=L$2,$F474&gt;=L$2),1,0)</f>
        <v/>
      </c>
      <c r="M474">
        <f>M473+IF(AND($E474&lt;&gt;"",$E474&lt;=M$2,$F474&gt;=M$2),1,0)</f>
        <v/>
      </c>
      <c r="N474">
        <f>N473+IF(AND($E474&lt;&gt;"",$E474&lt;=N$2,$F474&gt;=N$2),1,0)</f>
        <v/>
      </c>
      <c r="O474">
        <f>O473+IF(AND($E474&lt;&gt;"",$E474&lt;=O$2,$F474&gt;=O$2),1,0)</f>
        <v/>
      </c>
      <c r="P474">
        <f>P473+IF(AND($E474&lt;&gt;"",$E474&lt;=P$2,$F474&gt;=P$2),1,0)</f>
        <v/>
      </c>
      <c r="Q474">
        <f>Q473+IF(AND($E474&lt;&gt;"",$E474&lt;=Q$2,$F474&gt;=Q$2),1,0)</f>
        <v/>
      </c>
      <c r="R474">
        <f>R473+IF(AND($E474&lt;&gt;"",$E474&lt;=R$2,$F474&gt;=R$2),1,0)</f>
        <v/>
      </c>
      <c r="S474">
        <f>S473+IF(AND($E474&lt;&gt;"",$E474&lt;=S$2,$F474&gt;=S$2),1,0)</f>
        <v/>
      </c>
      <c r="T474">
        <f>T473+IF(AND($E474&lt;&gt;"",$E474&lt;=T$2,$F474&gt;=T$2),1,0)</f>
        <v/>
      </c>
      <c r="U474">
        <f>U473+IF(AND($E474&lt;&gt;"",$E474&lt;=U$2,$F474&gt;=U$2),1,0)</f>
        <v/>
      </c>
      <c r="V474">
        <f>V473+IF(AND($E474&lt;&gt;"",$E474&lt;=V$2,$F474&gt;=V$2),1,0)</f>
        <v/>
      </c>
      <c r="W474">
        <f>W473+IF(AND($E474&lt;&gt;"",$E474&lt;=W$2,$F474&gt;=W$2),1,0)</f>
        <v/>
      </c>
      <c r="X474">
        <f>X473+IF(AND($E474&lt;&gt;"",$E474&lt;=X$2,$F474&gt;=X$2),1,0)</f>
        <v/>
      </c>
      <c r="Y474">
        <f>Y473+IF(AND($E474&lt;&gt;"",$E474&lt;=Y$2,$F474&gt;=Y$2),1,0)</f>
        <v/>
      </c>
      <c r="Z474">
        <f>Z473+IF(AND($E474&lt;&gt;"",$E474&lt;=Z$2,$F474&gt;=Z$2),1,0)</f>
        <v/>
      </c>
      <c r="AA474">
        <f>AA473+IF(AND($E474&lt;&gt;"",$E474&lt;=AA$2,$F474&gt;=AA$2),1,0)</f>
        <v/>
      </c>
      <c r="AB474">
        <f>AB473+IF(AND($E474&lt;&gt;"",$E474&lt;=AB$2,$F474&gt;=AB$2),1,0)</f>
        <v/>
      </c>
      <c r="AC474">
        <f>AC473+IF(AND($E474&lt;&gt;"",$E474&lt;=AC$2,$F474&gt;=AC$2),1,0)</f>
        <v/>
      </c>
      <c r="AD474">
        <f>AD473+IF(AND($E474&lt;&gt;"",$E474&lt;=AD$2,$F474&gt;=AD$2),1,0)</f>
        <v/>
      </c>
      <c r="AE474">
        <f>AE473+IF(AND($E474&lt;&gt;"",$E474&lt;=AE$2,$F474&gt;=AE$2),1,0)</f>
        <v/>
      </c>
      <c r="AF474">
        <f>AF473+IF(AND($E474&lt;&gt;"",$E474&lt;=AF$2,$F474&gt;=AF$2),1,0)</f>
        <v/>
      </c>
      <c r="AG474">
        <f>AG473+IF(AND($E474&lt;&gt;"",$E474&lt;=AG$2,$F474&gt;=AG$2),1,0)</f>
        <v/>
      </c>
      <c r="AH474">
        <f>AH473+IF(AND($E474&lt;&gt;"",$E474&lt;=AH$2,$F474&gt;=AH$2),1,0)</f>
        <v/>
      </c>
      <c r="AI474">
        <f>AI473+IF(AND($E474&lt;&gt;"",$E474&lt;=AI$2,$F474&gt;=AI$2),1,0)</f>
        <v/>
      </c>
      <c r="AJ474">
        <f>AJ473+IF(AND($E474&lt;&gt;"",$E474&lt;=AJ$2,$F474&gt;=AJ$2),1,0)</f>
        <v/>
      </c>
      <c r="AK474">
        <f>AK473+IF(AND($E474&lt;&gt;"",$E474&lt;=AK$2,$F474&gt;=AK$2),1,0)</f>
        <v/>
      </c>
      <c r="AL474">
        <f>AL473+IF(AND($E474&lt;&gt;"",$E474&lt;=AL$2,$F474&gt;=AL$2),1,0)</f>
        <v/>
      </c>
      <c r="AM474">
        <f>AM473+IF(AND($E474&lt;&gt;"",$E474&lt;=AM$2,$F474&gt;=AM$2),1,0)</f>
        <v/>
      </c>
      <c r="AN474">
        <f>AN473+IF(AND($E474&lt;&gt;"",$E474&lt;=AN$2,$F474&gt;=AN$2),1,0)</f>
        <v/>
      </c>
      <c r="AO474">
        <f>AO473+IF(AND($E474&lt;&gt;"",$E474&lt;=AO$2,$F474&gt;=AO$2),1,0)</f>
        <v/>
      </c>
      <c r="AP474">
        <f>AP473+IF(AND($E474&lt;&gt;"",$E474&lt;=AP$2,$F474&gt;=AP$2),1,0)</f>
        <v/>
      </c>
      <c r="AQ474">
        <f>AQ473+IF(AND($E474&lt;&gt;"",$E474&lt;=AQ$2,$F474&gt;=AQ$2),1,0)</f>
        <v/>
      </c>
      <c r="AR474">
        <f>AR473+IF(AND($E474&lt;&gt;"",$E474&lt;=AR$2,$F474&gt;=AR$2),1,0)</f>
        <v/>
      </c>
      <c r="AS474">
        <f>AS473+IF(AND($E474&lt;&gt;"",$E474&lt;=AS$2,$F474&gt;=AS$2),1,0)</f>
        <v/>
      </c>
      <c r="AT474">
        <f>AT473+IF(AND($E474&lt;&gt;"",$E474&lt;=AT$2,$F474&gt;=AT$2),1,0)</f>
        <v/>
      </c>
      <c r="AU474">
        <f>AU473+IF(AND($E474&lt;&gt;"",$E474&lt;=AU$2,$F474&gt;=AU$2),1,0)</f>
        <v/>
      </c>
      <c r="AV474">
        <f>AV473+IF(AND($E474&lt;&gt;"",$E474&lt;=AV$2,$F474&gt;=AV$2),1,0)</f>
        <v/>
      </c>
      <c r="AW474">
        <f>AW473+IF(AND($E474&lt;&gt;"",$E474&lt;=AW$2,$F474&gt;=AW$2),1,0)</f>
        <v/>
      </c>
    </row>
    <row r="475">
      <c r="A475">
        <f>IF(AND(ISNUMBER(Events!$A477),ISNUMBER(Events!$B477)),MAX(0,Events!$B477-Events!$A477),0)</f>
        <v/>
      </c>
      <c r="B475">
        <f>IF(ISNUMBER(Events!$A477),DATE(YEAR($B$1)-1,MONTH(Events!$A477),DAY(Events!$A477)),"")</f>
        <v/>
      </c>
      <c r="C475">
        <f>IF(ISNUMBER(Events!$A477),DATE(YEAR($B$1),MONTH(Events!$A477),DAY(Events!$A477)),"")</f>
        <v/>
      </c>
      <c r="D475">
        <f>IF(ISNUMBER(Events!$A477),DATE(YEAR($B$2),MONTH(Events!$A477),DAY(Events!$A477)),"")</f>
        <v/>
      </c>
      <c r="E475">
        <f>IF(OR(NOT(ISNUMBER(Events!$A477)),Events!$G477="No",Calendar!$H$4="None"),"",IF(OR(Calendar!$H$4="All events",Events!$D477=Calendar!$H$4),IF(Events!$E477="Yes",IF(AND(B475&gt;=Events!$A477,B475&lt;=$B$2,B475+$A475&gt;=$B$1),B475,IF(AND(C475&gt;=Events!$A477,C475&lt;=$B$2,C475+$A475&gt;=$B$1),C475,IF(AND(D475&gt;=Events!$A477,D475&lt;=$B$2,D475+$A475&gt;=$B$1),D475,""))),IF(AND(Events!$A477&lt;=$B$2,Events!$A477+$A475&gt;=$B$1),Events!$A477,"")),""))</f>
        <v/>
      </c>
      <c r="F475">
        <f>IF(E475="","",E475+A475)</f>
        <v/>
      </c>
      <c r="G475">
        <f>IF(E475="","",IF(AND(E475&lt;=EOMONTH(Calendar!$K$2,0),F475&gt;=Calendar!$K$2),E475+472/100000,""))</f>
        <v/>
      </c>
      <c r="H475">
        <f>H474+IF(AND($E475&lt;&gt;"",$E475&lt;=H$2,$F475&gt;=H$2),1,0)</f>
        <v/>
      </c>
      <c r="I475">
        <f>I474+IF(AND($E475&lt;&gt;"",$E475&lt;=I$2,$F475&gt;=I$2),1,0)</f>
        <v/>
      </c>
      <c r="J475">
        <f>J474+IF(AND($E475&lt;&gt;"",$E475&lt;=J$2,$F475&gt;=J$2),1,0)</f>
        <v/>
      </c>
      <c r="K475">
        <f>K474+IF(AND($E475&lt;&gt;"",$E475&lt;=K$2,$F475&gt;=K$2),1,0)</f>
        <v/>
      </c>
      <c r="L475">
        <f>L474+IF(AND($E475&lt;&gt;"",$E475&lt;=L$2,$F475&gt;=L$2),1,0)</f>
        <v/>
      </c>
      <c r="M475">
        <f>M474+IF(AND($E475&lt;&gt;"",$E475&lt;=M$2,$F475&gt;=M$2),1,0)</f>
        <v/>
      </c>
      <c r="N475">
        <f>N474+IF(AND($E475&lt;&gt;"",$E475&lt;=N$2,$F475&gt;=N$2),1,0)</f>
        <v/>
      </c>
      <c r="O475">
        <f>O474+IF(AND($E475&lt;&gt;"",$E475&lt;=O$2,$F475&gt;=O$2),1,0)</f>
        <v/>
      </c>
      <c r="P475">
        <f>P474+IF(AND($E475&lt;&gt;"",$E475&lt;=P$2,$F475&gt;=P$2),1,0)</f>
        <v/>
      </c>
      <c r="Q475">
        <f>Q474+IF(AND($E475&lt;&gt;"",$E475&lt;=Q$2,$F475&gt;=Q$2),1,0)</f>
        <v/>
      </c>
      <c r="R475">
        <f>R474+IF(AND($E475&lt;&gt;"",$E475&lt;=R$2,$F475&gt;=R$2),1,0)</f>
        <v/>
      </c>
      <c r="S475">
        <f>S474+IF(AND($E475&lt;&gt;"",$E475&lt;=S$2,$F475&gt;=S$2),1,0)</f>
        <v/>
      </c>
      <c r="T475">
        <f>T474+IF(AND($E475&lt;&gt;"",$E475&lt;=T$2,$F475&gt;=T$2),1,0)</f>
        <v/>
      </c>
      <c r="U475">
        <f>U474+IF(AND($E475&lt;&gt;"",$E475&lt;=U$2,$F475&gt;=U$2),1,0)</f>
        <v/>
      </c>
      <c r="V475">
        <f>V474+IF(AND($E475&lt;&gt;"",$E475&lt;=V$2,$F475&gt;=V$2),1,0)</f>
        <v/>
      </c>
      <c r="W475">
        <f>W474+IF(AND($E475&lt;&gt;"",$E475&lt;=W$2,$F475&gt;=W$2),1,0)</f>
        <v/>
      </c>
      <c r="X475">
        <f>X474+IF(AND($E475&lt;&gt;"",$E475&lt;=X$2,$F475&gt;=X$2),1,0)</f>
        <v/>
      </c>
      <c r="Y475">
        <f>Y474+IF(AND($E475&lt;&gt;"",$E475&lt;=Y$2,$F475&gt;=Y$2),1,0)</f>
        <v/>
      </c>
      <c r="Z475">
        <f>Z474+IF(AND($E475&lt;&gt;"",$E475&lt;=Z$2,$F475&gt;=Z$2),1,0)</f>
        <v/>
      </c>
      <c r="AA475">
        <f>AA474+IF(AND($E475&lt;&gt;"",$E475&lt;=AA$2,$F475&gt;=AA$2),1,0)</f>
        <v/>
      </c>
      <c r="AB475">
        <f>AB474+IF(AND($E475&lt;&gt;"",$E475&lt;=AB$2,$F475&gt;=AB$2),1,0)</f>
        <v/>
      </c>
      <c r="AC475">
        <f>AC474+IF(AND($E475&lt;&gt;"",$E475&lt;=AC$2,$F475&gt;=AC$2),1,0)</f>
        <v/>
      </c>
      <c r="AD475">
        <f>AD474+IF(AND($E475&lt;&gt;"",$E475&lt;=AD$2,$F475&gt;=AD$2),1,0)</f>
        <v/>
      </c>
      <c r="AE475">
        <f>AE474+IF(AND($E475&lt;&gt;"",$E475&lt;=AE$2,$F475&gt;=AE$2),1,0)</f>
        <v/>
      </c>
      <c r="AF475">
        <f>AF474+IF(AND($E475&lt;&gt;"",$E475&lt;=AF$2,$F475&gt;=AF$2),1,0)</f>
        <v/>
      </c>
      <c r="AG475">
        <f>AG474+IF(AND($E475&lt;&gt;"",$E475&lt;=AG$2,$F475&gt;=AG$2),1,0)</f>
        <v/>
      </c>
      <c r="AH475">
        <f>AH474+IF(AND($E475&lt;&gt;"",$E475&lt;=AH$2,$F475&gt;=AH$2),1,0)</f>
        <v/>
      </c>
      <c r="AI475">
        <f>AI474+IF(AND($E475&lt;&gt;"",$E475&lt;=AI$2,$F475&gt;=AI$2),1,0)</f>
        <v/>
      </c>
      <c r="AJ475">
        <f>AJ474+IF(AND($E475&lt;&gt;"",$E475&lt;=AJ$2,$F475&gt;=AJ$2),1,0)</f>
        <v/>
      </c>
      <c r="AK475">
        <f>AK474+IF(AND($E475&lt;&gt;"",$E475&lt;=AK$2,$F475&gt;=AK$2),1,0)</f>
        <v/>
      </c>
      <c r="AL475">
        <f>AL474+IF(AND($E475&lt;&gt;"",$E475&lt;=AL$2,$F475&gt;=AL$2),1,0)</f>
        <v/>
      </c>
      <c r="AM475">
        <f>AM474+IF(AND($E475&lt;&gt;"",$E475&lt;=AM$2,$F475&gt;=AM$2),1,0)</f>
        <v/>
      </c>
      <c r="AN475">
        <f>AN474+IF(AND($E475&lt;&gt;"",$E475&lt;=AN$2,$F475&gt;=AN$2),1,0)</f>
        <v/>
      </c>
      <c r="AO475">
        <f>AO474+IF(AND($E475&lt;&gt;"",$E475&lt;=AO$2,$F475&gt;=AO$2),1,0)</f>
        <v/>
      </c>
      <c r="AP475">
        <f>AP474+IF(AND($E475&lt;&gt;"",$E475&lt;=AP$2,$F475&gt;=AP$2),1,0)</f>
        <v/>
      </c>
      <c r="AQ475">
        <f>AQ474+IF(AND($E475&lt;&gt;"",$E475&lt;=AQ$2,$F475&gt;=AQ$2),1,0)</f>
        <v/>
      </c>
      <c r="AR475">
        <f>AR474+IF(AND($E475&lt;&gt;"",$E475&lt;=AR$2,$F475&gt;=AR$2),1,0)</f>
        <v/>
      </c>
      <c r="AS475">
        <f>AS474+IF(AND($E475&lt;&gt;"",$E475&lt;=AS$2,$F475&gt;=AS$2),1,0)</f>
        <v/>
      </c>
      <c r="AT475">
        <f>AT474+IF(AND($E475&lt;&gt;"",$E475&lt;=AT$2,$F475&gt;=AT$2),1,0)</f>
        <v/>
      </c>
      <c r="AU475">
        <f>AU474+IF(AND($E475&lt;&gt;"",$E475&lt;=AU$2,$F475&gt;=AU$2),1,0)</f>
        <v/>
      </c>
      <c r="AV475">
        <f>AV474+IF(AND($E475&lt;&gt;"",$E475&lt;=AV$2,$F475&gt;=AV$2),1,0)</f>
        <v/>
      </c>
      <c r="AW475">
        <f>AW474+IF(AND($E475&lt;&gt;"",$E475&lt;=AW$2,$F475&gt;=AW$2),1,0)</f>
        <v/>
      </c>
    </row>
    <row r="476">
      <c r="A476">
        <f>IF(AND(ISNUMBER(Events!$A478),ISNUMBER(Events!$B478)),MAX(0,Events!$B478-Events!$A478),0)</f>
        <v/>
      </c>
      <c r="B476">
        <f>IF(ISNUMBER(Events!$A478),DATE(YEAR($B$1)-1,MONTH(Events!$A478),DAY(Events!$A478)),"")</f>
        <v/>
      </c>
      <c r="C476">
        <f>IF(ISNUMBER(Events!$A478),DATE(YEAR($B$1),MONTH(Events!$A478),DAY(Events!$A478)),"")</f>
        <v/>
      </c>
      <c r="D476">
        <f>IF(ISNUMBER(Events!$A478),DATE(YEAR($B$2),MONTH(Events!$A478),DAY(Events!$A478)),"")</f>
        <v/>
      </c>
      <c r="E476">
        <f>IF(OR(NOT(ISNUMBER(Events!$A478)),Events!$G478="No",Calendar!$H$4="None"),"",IF(OR(Calendar!$H$4="All events",Events!$D478=Calendar!$H$4),IF(Events!$E478="Yes",IF(AND(B476&gt;=Events!$A478,B476&lt;=$B$2,B476+$A476&gt;=$B$1),B476,IF(AND(C476&gt;=Events!$A478,C476&lt;=$B$2,C476+$A476&gt;=$B$1),C476,IF(AND(D476&gt;=Events!$A478,D476&lt;=$B$2,D476+$A476&gt;=$B$1),D476,""))),IF(AND(Events!$A478&lt;=$B$2,Events!$A478+$A476&gt;=$B$1),Events!$A478,"")),""))</f>
        <v/>
      </c>
      <c r="F476">
        <f>IF(E476="","",E476+A476)</f>
        <v/>
      </c>
      <c r="G476">
        <f>IF(E476="","",IF(AND(E476&lt;=EOMONTH(Calendar!$K$2,0),F476&gt;=Calendar!$K$2),E476+473/100000,""))</f>
        <v/>
      </c>
      <c r="H476">
        <f>H475+IF(AND($E476&lt;&gt;"",$E476&lt;=H$2,$F476&gt;=H$2),1,0)</f>
        <v/>
      </c>
      <c r="I476">
        <f>I475+IF(AND($E476&lt;&gt;"",$E476&lt;=I$2,$F476&gt;=I$2),1,0)</f>
        <v/>
      </c>
      <c r="J476">
        <f>J475+IF(AND($E476&lt;&gt;"",$E476&lt;=J$2,$F476&gt;=J$2),1,0)</f>
        <v/>
      </c>
      <c r="K476">
        <f>K475+IF(AND($E476&lt;&gt;"",$E476&lt;=K$2,$F476&gt;=K$2),1,0)</f>
        <v/>
      </c>
      <c r="L476">
        <f>L475+IF(AND($E476&lt;&gt;"",$E476&lt;=L$2,$F476&gt;=L$2),1,0)</f>
        <v/>
      </c>
      <c r="M476">
        <f>M475+IF(AND($E476&lt;&gt;"",$E476&lt;=M$2,$F476&gt;=M$2),1,0)</f>
        <v/>
      </c>
      <c r="N476">
        <f>N475+IF(AND($E476&lt;&gt;"",$E476&lt;=N$2,$F476&gt;=N$2),1,0)</f>
        <v/>
      </c>
      <c r="O476">
        <f>O475+IF(AND($E476&lt;&gt;"",$E476&lt;=O$2,$F476&gt;=O$2),1,0)</f>
        <v/>
      </c>
      <c r="P476">
        <f>P475+IF(AND($E476&lt;&gt;"",$E476&lt;=P$2,$F476&gt;=P$2),1,0)</f>
        <v/>
      </c>
      <c r="Q476">
        <f>Q475+IF(AND($E476&lt;&gt;"",$E476&lt;=Q$2,$F476&gt;=Q$2),1,0)</f>
        <v/>
      </c>
      <c r="R476">
        <f>R475+IF(AND($E476&lt;&gt;"",$E476&lt;=R$2,$F476&gt;=R$2),1,0)</f>
        <v/>
      </c>
      <c r="S476">
        <f>S475+IF(AND($E476&lt;&gt;"",$E476&lt;=S$2,$F476&gt;=S$2),1,0)</f>
        <v/>
      </c>
      <c r="T476">
        <f>T475+IF(AND($E476&lt;&gt;"",$E476&lt;=T$2,$F476&gt;=T$2),1,0)</f>
        <v/>
      </c>
      <c r="U476">
        <f>U475+IF(AND($E476&lt;&gt;"",$E476&lt;=U$2,$F476&gt;=U$2),1,0)</f>
        <v/>
      </c>
      <c r="V476">
        <f>V475+IF(AND($E476&lt;&gt;"",$E476&lt;=V$2,$F476&gt;=V$2),1,0)</f>
        <v/>
      </c>
      <c r="W476">
        <f>W475+IF(AND($E476&lt;&gt;"",$E476&lt;=W$2,$F476&gt;=W$2),1,0)</f>
        <v/>
      </c>
      <c r="X476">
        <f>X475+IF(AND($E476&lt;&gt;"",$E476&lt;=X$2,$F476&gt;=X$2),1,0)</f>
        <v/>
      </c>
      <c r="Y476">
        <f>Y475+IF(AND($E476&lt;&gt;"",$E476&lt;=Y$2,$F476&gt;=Y$2),1,0)</f>
        <v/>
      </c>
      <c r="Z476">
        <f>Z475+IF(AND($E476&lt;&gt;"",$E476&lt;=Z$2,$F476&gt;=Z$2),1,0)</f>
        <v/>
      </c>
      <c r="AA476">
        <f>AA475+IF(AND($E476&lt;&gt;"",$E476&lt;=AA$2,$F476&gt;=AA$2),1,0)</f>
        <v/>
      </c>
      <c r="AB476">
        <f>AB475+IF(AND($E476&lt;&gt;"",$E476&lt;=AB$2,$F476&gt;=AB$2),1,0)</f>
        <v/>
      </c>
      <c r="AC476">
        <f>AC475+IF(AND($E476&lt;&gt;"",$E476&lt;=AC$2,$F476&gt;=AC$2),1,0)</f>
        <v/>
      </c>
      <c r="AD476">
        <f>AD475+IF(AND($E476&lt;&gt;"",$E476&lt;=AD$2,$F476&gt;=AD$2),1,0)</f>
        <v/>
      </c>
      <c r="AE476">
        <f>AE475+IF(AND($E476&lt;&gt;"",$E476&lt;=AE$2,$F476&gt;=AE$2),1,0)</f>
        <v/>
      </c>
      <c r="AF476">
        <f>AF475+IF(AND($E476&lt;&gt;"",$E476&lt;=AF$2,$F476&gt;=AF$2),1,0)</f>
        <v/>
      </c>
      <c r="AG476">
        <f>AG475+IF(AND($E476&lt;&gt;"",$E476&lt;=AG$2,$F476&gt;=AG$2),1,0)</f>
        <v/>
      </c>
      <c r="AH476">
        <f>AH475+IF(AND($E476&lt;&gt;"",$E476&lt;=AH$2,$F476&gt;=AH$2),1,0)</f>
        <v/>
      </c>
      <c r="AI476">
        <f>AI475+IF(AND($E476&lt;&gt;"",$E476&lt;=AI$2,$F476&gt;=AI$2),1,0)</f>
        <v/>
      </c>
      <c r="AJ476">
        <f>AJ475+IF(AND($E476&lt;&gt;"",$E476&lt;=AJ$2,$F476&gt;=AJ$2),1,0)</f>
        <v/>
      </c>
      <c r="AK476">
        <f>AK475+IF(AND($E476&lt;&gt;"",$E476&lt;=AK$2,$F476&gt;=AK$2),1,0)</f>
        <v/>
      </c>
      <c r="AL476">
        <f>AL475+IF(AND($E476&lt;&gt;"",$E476&lt;=AL$2,$F476&gt;=AL$2),1,0)</f>
        <v/>
      </c>
      <c r="AM476">
        <f>AM475+IF(AND($E476&lt;&gt;"",$E476&lt;=AM$2,$F476&gt;=AM$2),1,0)</f>
        <v/>
      </c>
      <c r="AN476">
        <f>AN475+IF(AND($E476&lt;&gt;"",$E476&lt;=AN$2,$F476&gt;=AN$2),1,0)</f>
        <v/>
      </c>
      <c r="AO476">
        <f>AO475+IF(AND($E476&lt;&gt;"",$E476&lt;=AO$2,$F476&gt;=AO$2),1,0)</f>
        <v/>
      </c>
      <c r="AP476">
        <f>AP475+IF(AND($E476&lt;&gt;"",$E476&lt;=AP$2,$F476&gt;=AP$2),1,0)</f>
        <v/>
      </c>
      <c r="AQ476">
        <f>AQ475+IF(AND($E476&lt;&gt;"",$E476&lt;=AQ$2,$F476&gt;=AQ$2),1,0)</f>
        <v/>
      </c>
      <c r="AR476">
        <f>AR475+IF(AND($E476&lt;&gt;"",$E476&lt;=AR$2,$F476&gt;=AR$2),1,0)</f>
        <v/>
      </c>
      <c r="AS476">
        <f>AS475+IF(AND($E476&lt;&gt;"",$E476&lt;=AS$2,$F476&gt;=AS$2),1,0)</f>
        <v/>
      </c>
      <c r="AT476">
        <f>AT475+IF(AND($E476&lt;&gt;"",$E476&lt;=AT$2,$F476&gt;=AT$2),1,0)</f>
        <v/>
      </c>
      <c r="AU476">
        <f>AU475+IF(AND($E476&lt;&gt;"",$E476&lt;=AU$2,$F476&gt;=AU$2),1,0)</f>
        <v/>
      </c>
      <c r="AV476">
        <f>AV475+IF(AND($E476&lt;&gt;"",$E476&lt;=AV$2,$F476&gt;=AV$2),1,0)</f>
        <v/>
      </c>
      <c r="AW476">
        <f>AW475+IF(AND($E476&lt;&gt;"",$E476&lt;=AW$2,$F476&gt;=AW$2),1,0)</f>
        <v/>
      </c>
    </row>
    <row r="477">
      <c r="A477">
        <f>IF(AND(ISNUMBER(Events!$A479),ISNUMBER(Events!$B479)),MAX(0,Events!$B479-Events!$A479),0)</f>
        <v/>
      </c>
      <c r="B477">
        <f>IF(ISNUMBER(Events!$A479),DATE(YEAR($B$1)-1,MONTH(Events!$A479),DAY(Events!$A479)),"")</f>
        <v/>
      </c>
      <c r="C477">
        <f>IF(ISNUMBER(Events!$A479),DATE(YEAR($B$1),MONTH(Events!$A479),DAY(Events!$A479)),"")</f>
        <v/>
      </c>
      <c r="D477">
        <f>IF(ISNUMBER(Events!$A479),DATE(YEAR($B$2),MONTH(Events!$A479),DAY(Events!$A479)),"")</f>
        <v/>
      </c>
      <c r="E477">
        <f>IF(OR(NOT(ISNUMBER(Events!$A479)),Events!$G479="No",Calendar!$H$4="None"),"",IF(OR(Calendar!$H$4="All events",Events!$D479=Calendar!$H$4),IF(Events!$E479="Yes",IF(AND(B477&gt;=Events!$A479,B477&lt;=$B$2,B477+$A477&gt;=$B$1),B477,IF(AND(C477&gt;=Events!$A479,C477&lt;=$B$2,C477+$A477&gt;=$B$1),C477,IF(AND(D477&gt;=Events!$A479,D477&lt;=$B$2,D477+$A477&gt;=$B$1),D477,""))),IF(AND(Events!$A479&lt;=$B$2,Events!$A479+$A477&gt;=$B$1),Events!$A479,"")),""))</f>
        <v/>
      </c>
      <c r="F477">
        <f>IF(E477="","",E477+A477)</f>
        <v/>
      </c>
      <c r="G477">
        <f>IF(E477="","",IF(AND(E477&lt;=EOMONTH(Calendar!$K$2,0),F477&gt;=Calendar!$K$2),E477+474/100000,""))</f>
        <v/>
      </c>
      <c r="H477">
        <f>H476+IF(AND($E477&lt;&gt;"",$E477&lt;=H$2,$F477&gt;=H$2),1,0)</f>
        <v/>
      </c>
      <c r="I477">
        <f>I476+IF(AND($E477&lt;&gt;"",$E477&lt;=I$2,$F477&gt;=I$2),1,0)</f>
        <v/>
      </c>
      <c r="J477">
        <f>J476+IF(AND($E477&lt;&gt;"",$E477&lt;=J$2,$F477&gt;=J$2),1,0)</f>
        <v/>
      </c>
      <c r="K477">
        <f>K476+IF(AND($E477&lt;&gt;"",$E477&lt;=K$2,$F477&gt;=K$2),1,0)</f>
        <v/>
      </c>
      <c r="L477">
        <f>L476+IF(AND($E477&lt;&gt;"",$E477&lt;=L$2,$F477&gt;=L$2),1,0)</f>
        <v/>
      </c>
      <c r="M477">
        <f>M476+IF(AND($E477&lt;&gt;"",$E477&lt;=M$2,$F477&gt;=M$2),1,0)</f>
        <v/>
      </c>
      <c r="N477">
        <f>N476+IF(AND($E477&lt;&gt;"",$E477&lt;=N$2,$F477&gt;=N$2),1,0)</f>
        <v/>
      </c>
      <c r="O477">
        <f>O476+IF(AND($E477&lt;&gt;"",$E477&lt;=O$2,$F477&gt;=O$2),1,0)</f>
        <v/>
      </c>
      <c r="P477">
        <f>P476+IF(AND($E477&lt;&gt;"",$E477&lt;=P$2,$F477&gt;=P$2),1,0)</f>
        <v/>
      </c>
      <c r="Q477">
        <f>Q476+IF(AND($E477&lt;&gt;"",$E477&lt;=Q$2,$F477&gt;=Q$2),1,0)</f>
        <v/>
      </c>
      <c r="R477">
        <f>R476+IF(AND($E477&lt;&gt;"",$E477&lt;=R$2,$F477&gt;=R$2),1,0)</f>
        <v/>
      </c>
      <c r="S477">
        <f>S476+IF(AND($E477&lt;&gt;"",$E477&lt;=S$2,$F477&gt;=S$2),1,0)</f>
        <v/>
      </c>
      <c r="T477">
        <f>T476+IF(AND($E477&lt;&gt;"",$E477&lt;=T$2,$F477&gt;=T$2),1,0)</f>
        <v/>
      </c>
      <c r="U477">
        <f>U476+IF(AND($E477&lt;&gt;"",$E477&lt;=U$2,$F477&gt;=U$2),1,0)</f>
        <v/>
      </c>
      <c r="V477">
        <f>V476+IF(AND($E477&lt;&gt;"",$E477&lt;=V$2,$F477&gt;=V$2),1,0)</f>
        <v/>
      </c>
      <c r="W477">
        <f>W476+IF(AND($E477&lt;&gt;"",$E477&lt;=W$2,$F477&gt;=W$2),1,0)</f>
        <v/>
      </c>
      <c r="X477">
        <f>X476+IF(AND($E477&lt;&gt;"",$E477&lt;=X$2,$F477&gt;=X$2),1,0)</f>
        <v/>
      </c>
      <c r="Y477">
        <f>Y476+IF(AND($E477&lt;&gt;"",$E477&lt;=Y$2,$F477&gt;=Y$2),1,0)</f>
        <v/>
      </c>
      <c r="Z477">
        <f>Z476+IF(AND($E477&lt;&gt;"",$E477&lt;=Z$2,$F477&gt;=Z$2),1,0)</f>
        <v/>
      </c>
      <c r="AA477">
        <f>AA476+IF(AND($E477&lt;&gt;"",$E477&lt;=AA$2,$F477&gt;=AA$2),1,0)</f>
        <v/>
      </c>
      <c r="AB477">
        <f>AB476+IF(AND($E477&lt;&gt;"",$E477&lt;=AB$2,$F477&gt;=AB$2),1,0)</f>
        <v/>
      </c>
      <c r="AC477">
        <f>AC476+IF(AND($E477&lt;&gt;"",$E477&lt;=AC$2,$F477&gt;=AC$2),1,0)</f>
        <v/>
      </c>
      <c r="AD477">
        <f>AD476+IF(AND($E477&lt;&gt;"",$E477&lt;=AD$2,$F477&gt;=AD$2),1,0)</f>
        <v/>
      </c>
      <c r="AE477">
        <f>AE476+IF(AND($E477&lt;&gt;"",$E477&lt;=AE$2,$F477&gt;=AE$2),1,0)</f>
        <v/>
      </c>
      <c r="AF477">
        <f>AF476+IF(AND($E477&lt;&gt;"",$E477&lt;=AF$2,$F477&gt;=AF$2),1,0)</f>
        <v/>
      </c>
      <c r="AG477">
        <f>AG476+IF(AND($E477&lt;&gt;"",$E477&lt;=AG$2,$F477&gt;=AG$2),1,0)</f>
        <v/>
      </c>
      <c r="AH477">
        <f>AH476+IF(AND($E477&lt;&gt;"",$E477&lt;=AH$2,$F477&gt;=AH$2),1,0)</f>
        <v/>
      </c>
      <c r="AI477">
        <f>AI476+IF(AND($E477&lt;&gt;"",$E477&lt;=AI$2,$F477&gt;=AI$2),1,0)</f>
        <v/>
      </c>
      <c r="AJ477">
        <f>AJ476+IF(AND($E477&lt;&gt;"",$E477&lt;=AJ$2,$F477&gt;=AJ$2),1,0)</f>
        <v/>
      </c>
      <c r="AK477">
        <f>AK476+IF(AND($E477&lt;&gt;"",$E477&lt;=AK$2,$F477&gt;=AK$2),1,0)</f>
        <v/>
      </c>
      <c r="AL477">
        <f>AL476+IF(AND($E477&lt;&gt;"",$E477&lt;=AL$2,$F477&gt;=AL$2),1,0)</f>
        <v/>
      </c>
      <c r="AM477">
        <f>AM476+IF(AND($E477&lt;&gt;"",$E477&lt;=AM$2,$F477&gt;=AM$2),1,0)</f>
        <v/>
      </c>
      <c r="AN477">
        <f>AN476+IF(AND($E477&lt;&gt;"",$E477&lt;=AN$2,$F477&gt;=AN$2),1,0)</f>
        <v/>
      </c>
      <c r="AO477">
        <f>AO476+IF(AND($E477&lt;&gt;"",$E477&lt;=AO$2,$F477&gt;=AO$2),1,0)</f>
        <v/>
      </c>
      <c r="AP477">
        <f>AP476+IF(AND($E477&lt;&gt;"",$E477&lt;=AP$2,$F477&gt;=AP$2),1,0)</f>
        <v/>
      </c>
      <c r="AQ477">
        <f>AQ476+IF(AND($E477&lt;&gt;"",$E477&lt;=AQ$2,$F477&gt;=AQ$2),1,0)</f>
        <v/>
      </c>
      <c r="AR477">
        <f>AR476+IF(AND($E477&lt;&gt;"",$E477&lt;=AR$2,$F477&gt;=AR$2),1,0)</f>
        <v/>
      </c>
      <c r="AS477">
        <f>AS476+IF(AND($E477&lt;&gt;"",$E477&lt;=AS$2,$F477&gt;=AS$2),1,0)</f>
        <v/>
      </c>
      <c r="AT477">
        <f>AT476+IF(AND($E477&lt;&gt;"",$E477&lt;=AT$2,$F477&gt;=AT$2),1,0)</f>
        <v/>
      </c>
      <c r="AU477">
        <f>AU476+IF(AND($E477&lt;&gt;"",$E477&lt;=AU$2,$F477&gt;=AU$2),1,0)</f>
        <v/>
      </c>
      <c r="AV477">
        <f>AV476+IF(AND($E477&lt;&gt;"",$E477&lt;=AV$2,$F477&gt;=AV$2),1,0)</f>
        <v/>
      </c>
      <c r="AW477">
        <f>AW476+IF(AND($E477&lt;&gt;"",$E477&lt;=AW$2,$F477&gt;=AW$2),1,0)</f>
        <v/>
      </c>
    </row>
    <row r="478">
      <c r="A478">
        <f>IF(AND(ISNUMBER(Events!$A480),ISNUMBER(Events!$B480)),MAX(0,Events!$B480-Events!$A480),0)</f>
        <v/>
      </c>
      <c r="B478">
        <f>IF(ISNUMBER(Events!$A480),DATE(YEAR($B$1)-1,MONTH(Events!$A480),DAY(Events!$A480)),"")</f>
        <v/>
      </c>
      <c r="C478">
        <f>IF(ISNUMBER(Events!$A480),DATE(YEAR($B$1),MONTH(Events!$A480),DAY(Events!$A480)),"")</f>
        <v/>
      </c>
      <c r="D478">
        <f>IF(ISNUMBER(Events!$A480),DATE(YEAR($B$2),MONTH(Events!$A480),DAY(Events!$A480)),"")</f>
        <v/>
      </c>
      <c r="E478">
        <f>IF(OR(NOT(ISNUMBER(Events!$A480)),Events!$G480="No",Calendar!$H$4="None"),"",IF(OR(Calendar!$H$4="All events",Events!$D480=Calendar!$H$4),IF(Events!$E480="Yes",IF(AND(B478&gt;=Events!$A480,B478&lt;=$B$2,B478+$A478&gt;=$B$1),B478,IF(AND(C478&gt;=Events!$A480,C478&lt;=$B$2,C478+$A478&gt;=$B$1),C478,IF(AND(D478&gt;=Events!$A480,D478&lt;=$B$2,D478+$A478&gt;=$B$1),D478,""))),IF(AND(Events!$A480&lt;=$B$2,Events!$A480+$A478&gt;=$B$1),Events!$A480,"")),""))</f>
        <v/>
      </c>
      <c r="F478">
        <f>IF(E478="","",E478+A478)</f>
        <v/>
      </c>
      <c r="G478">
        <f>IF(E478="","",IF(AND(E478&lt;=EOMONTH(Calendar!$K$2,0),F478&gt;=Calendar!$K$2),E478+475/100000,""))</f>
        <v/>
      </c>
      <c r="H478">
        <f>H477+IF(AND($E478&lt;&gt;"",$E478&lt;=H$2,$F478&gt;=H$2),1,0)</f>
        <v/>
      </c>
      <c r="I478">
        <f>I477+IF(AND($E478&lt;&gt;"",$E478&lt;=I$2,$F478&gt;=I$2),1,0)</f>
        <v/>
      </c>
      <c r="J478">
        <f>J477+IF(AND($E478&lt;&gt;"",$E478&lt;=J$2,$F478&gt;=J$2),1,0)</f>
        <v/>
      </c>
      <c r="K478">
        <f>K477+IF(AND($E478&lt;&gt;"",$E478&lt;=K$2,$F478&gt;=K$2),1,0)</f>
        <v/>
      </c>
      <c r="L478">
        <f>L477+IF(AND($E478&lt;&gt;"",$E478&lt;=L$2,$F478&gt;=L$2),1,0)</f>
        <v/>
      </c>
      <c r="M478">
        <f>M477+IF(AND($E478&lt;&gt;"",$E478&lt;=M$2,$F478&gt;=M$2),1,0)</f>
        <v/>
      </c>
      <c r="N478">
        <f>N477+IF(AND($E478&lt;&gt;"",$E478&lt;=N$2,$F478&gt;=N$2),1,0)</f>
        <v/>
      </c>
      <c r="O478">
        <f>O477+IF(AND($E478&lt;&gt;"",$E478&lt;=O$2,$F478&gt;=O$2),1,0)</f>
        <v/>
      </c>
      <c r="P478">
        <f>P477+IF(AND($E478&lt;&gt;"",$E478&lt;=P$2,$F478&gt;=P$2),1,0)</f>
        <v/>
      </c>
      <c r="Q478">
        <f>Q477+IF(AND($E478&lt;&gt;"",$E478&lt;=Q$2,$F478&gt;=Q$2),1,0)</f>
        <v/>
      </c>
      <c r="R478">
        <f>R477+IF(AND($E478&lt;&gt;"",$E478&lt;=R$2,$F478&gt;=R$2),1,0)</f>
        <v/>
      </c>
      <c r="S478">
        <f>S477+IF(AND($E478&lt;&gt;"",$E478&lt;=S$2,$F478&gt;=S$2),1,0)</f>
        <v/>
      </c>
      <c r="T478">
        <f>T477+IF(AND($E478&lt;&gt;"",$E478&lt;=T$2,$F478&gt;=T$2),1,0)</f>
        <v/>
      </c>
      <c r="U478">
        <f>U477+IF(AND($E478&lt;&gt;"",$E478&lt;=U$2,$F478&gt;=U$2),1,0)</f>
        <v/>
      </c>
      <c r="V478">
        <f>V477+IF(AND($E478&lt;&gt;"",$E478&lt;=V$2,$F478&gt;=V$2),1,0)</f>
        <v/>
      </c>
      <c r="W478">
        <f>W477+IF(AND($E478&lt;&gt;"",$E478&lt;=W$2,$F478&gt;=W$2),1,0)</f>
        <v/>
      </c>
      <c r="X478">
        <f>X477+IF(AND($E478&lt;&gt;"",$E478&lt;=X$2,$F478&gt;=X$2),1,0)</f>
        <v/>
      </c>
      <c r="Y478">
        <f>Y477+IF(AND($E478&lt;&gt;"",$E478&lt;=Y$2,$F478&gt;=Y$2),1,0)</f>
        <v/>
      </c>
      <c r="Z478">
        <f>Z477+IF(AND($E478&lt;&gt;"",$E478&lt;=Z$2,$F478&gt;=Z$2),1,0)</f>
        <v/>
      </c>
      <c r="AA478">
        <f>AA477+IF(AND($E478&lt;&gt;"",$E478&lt;=AA$2,$F478&gt;=AA$2),1,0)</f>
        <v/>
      </c>
      <c r="AB478">
        <f>AB477+IF(AND($E478&lt;&gt;"",$E478&lt;=AB$2,$F478&gt;=AB$2),1,0)</f>
        <v/>
      </c>
      <c r="AC478">
        <f>AC477+IF(AND($E478&lt;&gt;"",$E478&lt;=AC$2,$F478&gt;=AC$2),1,0)</f>
        <v/>
      </c>
      <c r="AD478">
        <f>AD477+IF(AND($E478&lt;&gt;"",$E478&lt;=AD$2,$F478&gt;=AD$2),1,0)</f>
        <v/>
      </c>
      <c r="AE478">
        <f>AE477+IF(AND($E478&lt;&gt;"",$E478&lt;=AE$2,$F478&gt;=AE$2),1,0)</f>
        <v/>
      </c>
      <c r="AF478">
        <f>AF477+IF(AND($E478&lt;&gt;"",$E478&lt;=AF$2,$F478&gt;=AF$2),1,0)</f>
        <v/>
      </c>
      <c r="AG478">
        <f>AG477+IF(AND($E478&lt;&gt;"",$E478&lt;=AG$2,$F478&gt;=AG$2),1,0)</f>
        <v/>
      </c>
      <c r="AH478">
        <f>AH477+IF(AND($E478&lt;&gt;"",$E478&lt;=AH$2,$F478&gt;=AH$2),1,0)</f>
        <v/>
      </c>
      <c r="AI478">
        <f>AI477+IF(AND($E478&lt;&gt;"",$E478&lt;=AI$2,$F478&gt;=AI$2),1,0)</f>
        <v/>
      </c>
      <c r="AJ478">
        <f>AJ477+IF(AND($E478&lt;&gt;"",$E478&lt;=AJ$2,$F478&gt;=AJ$2),1,0)</f>
        <v/>
      </c>
      <c r="AK478">
        <f>AK477+IF(AND($E478&lt;&gt;"",$E478&lt;=AK$2,$F478&gt;=AK$2),1,0)</f>
        <v/>
      </c>
      <c r="AL478">
        <f>AL477+IF(AND($E478&lt;&gt;"",$E478&lt;=AL$2,$F478&gt;=AL$2),1,0)</f>
        <v/>
      </c>
      <c r="AM478">
        <f>AM477+IF(AND($E478&lt;&gt;"",$E478&lt;=AM$2,$F478&gt;=AM$2),1,0)</f>
        <v/>
      </c>
      <c r="AN478">
        <f>AN477+IF(AND($E478&lt;&gt;"",$E478&lt;=AN$2,$F478&gt;=AN$2),1,0)</f>
        <v/>
      </c>
      <c r="AO478">
        <f>AO477+IF(AND($E478&lt;&gt;"",$E478&lt;=AO$2,$F478&gt;=AO$2),1,0)</f>
        <v/>
      </c>
      <c r="AP478">
        <f>AP477+IF(AND($E478&lt;&gt;"",$E478&lt;=AP$2,$F478&gt;=AP$2),1,0)</f>
        <v/>
      </c>
      <c r="AQ478">
        <f>AQ477+IF(AND($E478&lt;&gt;"",$E478&lt;=AQ$2,$F478&gt;=AQ$2),1,0)</f>
        <v/>
      </c>
      <c r="AR478">
        <f>AR477+IF(AND($E478&lt;&gt;"",$E478&lt;=AR$2,$F478&gt;=AR$2),1,0)</f>
        <v/>
      </c>
      <c r="AS478">
        <f>AS477+IF(AND($E478&lt;&gt;"",$E478&lt;=AS$2,$F478&gt;=AS$2),1,0)</f>
        <v/>
      </c>
      <c r="AT478">
        <f>AT477+IF(AND($E478&lt;&gt;"",$E478&lt;=AT$2,$F478&gt;=AT$2),1,0)</f>
        <v/>
      </c>
      <c r="AU478">
        <f>AU477+IF(AND($E478&lt;&gt;"",$E478&lt;=AU$2,$F478&gt;=AU$2),1,0)</f>
        <v/>
      </c>
      <c r="AV478">
        <f>AV477+IF(AND($E478&lt;&gt;"",$E478&lt;=AV$2,$F478&gt;=AV$2),1,0)</f>
        <v/>
      </c>
      <c r="AW478">
        <f>AW477+IF(AND($E478&lt;&gt;"",$E478&lt;=AW$2,$F478&gt;=AW$2),1,0)</f>
        <v/>
      </c>
    </row>
    <row r="479">
      <c r="A479">
        <f>IF(AND(ISNUMBER(Events!$A481),ISNUMBER(Events!$B481)),MAX(0,Events!$B481-Events!$A481),0)</f>
        <v/>
      </c>
      <c r="B479">
        <f>IF(ISNUMBER(Events!$A481),DATE(YEAR($B$1)-1,MONTH(Events!$A481),DAY(Events!$A481)),"")</f>
        <v/>
      </c>
      <c r="C479">
        <f>IF(ISNUMBER(Events!$A481),DATE(YEAR($B$1),MONTH(Events!$A481),DAY(Events!$A481)),"")</f>
        <v/>
      </c>
      <c r="D479">
        <f>IF(ISNUMBER(Events!$A481),DATE(YEAR($B$2),MONTH(Events!$A481),DAY(Events!$A481)),"")</f>
        <v/>
      </c>
      <c r="E479">
        <f>IF(OR(NOT(ISNUMBER(Events!$A481)),Events!$G481="No",Calendar!$H$4="None"),"",IF(OR(Calendar!$H$4="All events",Events!$D481=Calendar!$H$4),IF(Events!$E481="Yes",IF(AND(B479&gt;=Events!$A481,B479&lt;=$B$2,B479+$A479&gt;=$B$1),B479,IF(AND(C479&gt;=Events!$A481,C479&lt;=$B$2,C479+$A479&gt;=$B$1),C479,IF(AND(D479&gt;=Events!$A481,D479&lt;=$B$2,D479+$A479&gt;=$B$1),D479,""))),IF(AND(Events!$A481&lt;=$B$2,Events!$A481+$A479&gt;=$B$1),Events!$A481,"")),""))</f>
        <v/>
      </c>
      <c r="F479">
        <f>IF(E479="","",E479+A479)</f>
        <v/>
      </c>
      <c r="G479">
        <f>IF(E479="","",IF(AND(E479&lt;=EOMONTH(Calendar!$K$2,0),F479&gt;=Calendar!$K$2),E479+476/100000,""))</f>
        <v/>
      </c>
      <c r="H479">
        <f>H478+IF(AND($E479&lt;&gt;"",$E479&lt;=H$2,$F479&gt;=H$2),1,0)</f>
        <v/>
      </c>
      <c r="I479">
        <f>I478+IF(AND($E479&lt;&gt;"",$E479&lt;=I$2,$F479&gt;=I$2),1,0)</f>
        <v/>
      </c>
      <c r="J479">
        <f>J478+IF(AND($E479&lt;&gt;"",$E479&lt;=J$2,$F479&gt;=J$2),1,0)</f>
        <v/>
      </c>
      <c r="K479">
        <f>K478+IF(AND($E479&lt;&gt;"",$E479&lt;=K$2,$F479&gt;=K$2),1,0)</f>
        <v/>
      </c>
      <c r="L479">
        <f>L478+IF(AND($E479&lt;&gt;"",$E479&lt;=L$2,$F479&gt;=L$2),1,0)</f>
        <v/>
      </c>
      <c r="M479">
        <f>M478+IF(AND($E479&lt;&gt;"",$E479&lt;=M$2,$F479&gt;=M$2),1,0)</f>
        <v/>
      </c>
      <c r="N479">
        <f>N478+IF(AND($E479&lt;&gt;"",$E479&lt;=N$2,$F479&gt;=N$2),1,0)</f>
        <v/>
      </c>
      <c r="O479">
        <f>O478+IF(AND($E479&lt;&gt;"",$E479&lt;=O$2,$F479&gt;=O$2),1,0)</f>
        <v/>
      </c>
      <c r="P479">
        <f>P478+IF(AND($E479&lt;&gt;"",$E479&lt;=P$2,$F479&gt;=P$2),1,0)</f>
        <v/>
      </c>
      <c r="Q479">
        <f>Q478+IF(AND($E479&lt;&gt;"",$E479&lt;=Q$2,$F479&gt;=Q$2),1,0)</f>
        <v/>
      </c>
      <c r="R479">
        <f>R478+IF(AND($E479&lt;&gt;"",$E479&lt;=R$2,$F479&gt;=R$2),1,0)</f>
        <v/>
      </c>
      <c r="S479">
        <f>S478+IF(AND($E479&lt;&gt;"",$E479&lt;=S$2,$F479&gt;=S$2),1,0)</f>
        <v/>
      </c>
      <c r="T479">
        <f>T478+IF(AND($E479&lt;&gt;"",$E479&lt;=T$2,$F479&gt;=T$2),1,0)</f>
        <v/>
      </c>
      <c r="U479">
        <f>U478+IF(AND($E479&lt;&gt;"",$E479&lt;=U$2,$F479&gt;=U$2),1,0)</f>
        <v/>
      </c>
      <c r="V479">
        <f>V478+IF(AND($E479&lt;&gt;"",$E479&lt;=V$2,$F479&gt;=V$2),1,0)</f>
        <v/>
      </c>
      <c r="W479">
        <f>W478+IF(AND($E479&lt;&gt;"",$E479&lt;=W$2,$F479&gt;=W$2),1,0)</f>
        <v/>
      </c>
      <c r="X479">
        <f>X478+IF(AND($E479&lt;&gt;"",$E479&lt;=X$2,$F479&gt;=X$2),1,0)</f>
        <v/>
      </c>
      <c r="Y479">
        <f>Y478+IF(AND($E479&lt;&gt;"",$E479&lt;=Y$2,$F479&gt;=Y$2),1,0)</f>
        <v/>
      </c>
      <c r="Z479">
        <f>Z478+IF(AND($E479&lt;&gt;"",$E479&lt;=Z$2,$F479&gt;=Z$2),1,0)</f>
        <v/>
      </c>
      <c r="AA479">
        <f>AA478+IF(AND($E479&lt;&gt;"",$E479&lt;=AA$2,$F479&gt;=AA$2),1,0)</f>
        <v/>
      </c>
      <c r="AB479">
        <f>AB478+IF(AND($E479&lt;&gt;"",$E479&lt;=AB$2,$F479&gt;=AB$2),1,0)</f>
        <v/>
      </c>
      <c r="AC479">
        <f>AC478+IF(AND($E479&lt;&gt;"",$E479&lt;=AC$2,$F479&gt;=AC$2),1,0)</f>
        <v/>
      </c>
      <c r="AD479">
        <f>AD478+IF(AND($E479&lt;&gt;"",$E479&lt;=AD$2,$F479&gt;=AD$2),1,0)</f>
        <v/>
      </c>
      <c r="AE479">
        <f>AE478+IF(AND($E479&lt;&gt;"",$E479&lt;=AE$2,$F479&gt;=AE$2),1,0)</f>
        <v/>
      </c>
      <c r="AF479">
        <f>AF478+IF(AND($E479&lt;&gt;"",$E479&lt;=AF$2,$F479&gt;=AF$2),1,0)</f>
        <v/>
      </c>
      <c r="AG479">
        <f>AG478+IF(AND($E479&lt;&gt;"",$E479&lt;=AG$2,$F479&gt;=AG$2),1,0)</f>
        <v/>
      </c>
      <c r="AH479">
        <f>AH478+IF(AND($E479&lt;&gt;"",$E479&lt;=AH$2,$F479&gt;=AH$2),1,0)</f>
        <v/>
      </c>
      <c r="AI479">
        <f>AI478+IF(AND($E479&lt;&gt;"",$E479&lt;=AI$2,$F479&gt;=AI$2),1,0)</f>
        <v/>
      </c>
      <c r="AJ479">
        <f>AJ478+IF(AND($E479&lt;&gt;"",$E479&lt;=AJ$2,$F479&gt;=AJ$2),1,0)</f>
        <v/>
      </c>
      <c r="AK479">
        <f>AK478+IF(AND($E479&lt;&gt;"",$E479&lt;=AK$2,$F479&gt;=AK$2),1,0)</f>
        <v/>
      </c>
      <c r="AL479">
        <f>AL478+IF(AND($E479&lt;&gt;"",$E479&lt;=AL$2,$F479&gt;=AL$2),1,0)</f>
        <v/>
      </c>
      <c r="AM479">
        <f>AM478+IF(AND($E479&lt;&gt;"",$E479&lt;=AM$2,$F479&gt;=AM$2),1,0)</f>
        <v/>
      </c>
      <c r="AN479">
        <f>AN478+IF(AND($E479&lt;&gt;"",$E479&lt;=AN$2,$F479&gt;=AN$2),1,0)</f>
        <v/>
      </c>
      <c r="AO479">
        <f>AO478+IF(AND($E479&lt;&gt;"",$E479&lt;=AO$2,$F479&gt;=AO$2),1,0)</f>
        <v/>
      </c>
      <c r="AP479">
        <f>AP478+IF(AND($E479&lt;&gt;"",$E479&lt;=AP$2,$F479&gt;=AP$2),1,0)</f>
        <v/>
      </c>
      <c r="AQ479">
        <f>AQ478+IF(AND($E479&lt;&gt;"",$E479&lt;=AQ$2,$F479&gt;=AQ$2),1,0)</f>
        <v/>
      </c>
      <c r="AR479">
        <f>AR478+IF(AND($E479&lt;&gt;"",$E479&lt;=AR$2,$F479&gt;=AR$2),1,0)</f>
        <v/>
      </c>
      <c r="AS479">
        <f>AS478+IF(AND($E479&lt;&gt;"",$E479&lt;=AS$2,$F479&gt;=AS$2),1,0)</f>
        <v/>
      </c>
      <c r="AT479">
        <f>AT478+IF(AND($E479&lt;&gt;"",$E479&lt;=AT$2,$F479&gt;=AT$2),1,0)</f>
        <v/>
      </c>
      <c r="AU479">
        <f>AU478+IF(AND($E479&lt;&gt;"",$E479&lt;=AU$2,$F479&gt;=AU$2),1,0)</f>
        <v/>
      </c>
      <c r="AV479">
        <f>AV478+IF(AND($E479&lt;&gt;"",$E479&lt;=AV$2,$F479&gt;=AV$2),1,0)</f>
        <v/>
      </c>
      <c r="AW479">
        <f>AW478+IF(AND($E479&lt;&gt;"",$E479&lt;=AW$2,$F479&gt;=AW$2),1,0)</f>
        <v/>
      </c>
    </row>
    <row r="480">
      <c r="A480">
        <f>IF(AND(ISNUMBER(Events!$A482),ISNUMBER(Events!$B482)),MAX(0,Events!$B482-Events!$A482),0)</f>
        <v/>
      </c>
      <c r="B480">
        <f>IF(ISNUMBER(Events!$A482),DATE(YEAR($B$1)-1,MONTH(Events!$A482),DAY(Events!$A482)),"")</f>
        <v/>
      </c>
      <c r="C480">
        <f>IF(ISNUMBER(Events!$A482),DATE(YEAR($B$1),MONTH(Events!$A482),DAY(Events!$A482)),"")</f>
        <v/>
      </c>
      <c r="D480">
        <f>IF(ISNUMBER(Events!$A482),DATE(YEAR($B$2),MONTH(Events!$A482),DAY(Events!$A482)),"")</f>
        <v/>
      </c>
      <c r="E480">
        <f>IF(OR(NOT(ISNUMBER(Events!$A482)),Events!$G482="No",Calendar!$H$4="None"),"",IF(OR(Calendar!$H$4="All events",Events!$D482=Calendar!$H$4),IF(Events!$E482="Yes",IF(AND(B480&gt;=Events!$A482,B480&lt;=$B$2,B480+$A480&gt;=$B$1),B480,IF(AND(C480&gt;=Events!$A482,C480&lt;=$B$2,C480+$A480&gt;=$B$1),C480,IF(AND(D480&gt;=Events!$A482,D480&lt;=$B$2,D480+$A480&gt;=$B$1),D480,""))),IF(AND(Events!$A482&lt;=$B$2,Events!$A482+$A480&gt;=$B$1),Events!$A482,"")),""))</f>
        <v/>
      </c>
      <c r="F480">
        <f>IF(E480="","",E480+A480)</f>
        <v/>
      </c>
      <c r="G480">
        <f>IF(E480="","",IF(AND(E480&lt;=EOMONTH(Calendar!$K$2,0),F480&gt;=Calendar!$K$2),E480+477/100000,""))</f>
        <v/>
      </c>
      <c r="H480">
        <f>H479+IF(AND($E480&lt;&gt;"",$E480&lt;=H$2,$F480&gt;=H$2),1,0)</f>
        <v/>
      </c>
      <c r="I480">
        <f>I479+IF(AND($E480&lt;&gt;"",$E480&lt;=I$2,$F480&gt;=I$2),1,0)</f>
        <v/>
      </c>
      <c r="J480">
        <f>J479+IF(AND($E480&lt;&gt;"",$E480&lt;=J$2,$F480&gt;=J$2),1,0)</f>
        <v/>
      </c>
      <c r="K480">
        <f>K479+IF(AND($E480&lt;&gt;"",$E480&lt;=K$2,$F480&gt;=K$2),1,0)</f>
        <v/>
      </c>
      <c r="L480">
        <f>L479+IF(AND($E480&lt;&gt;"",$E480&lt;=L$2,$F480&gt;=L$2),1,0)</f>
        <v/>
      </c>
      <c r="M480">
        <f>M479+IF(AND($E480&lt;&gt;"",$E480&lt;=M$2,$F480&gt;=M$2),1,0)</f>
        <v/>
      </c>
      <c r="N480">
        <f>N479+IF(AND($E480&lt;&gt;"",$E480&lt;=N$2,$F480&gt;=N$2),1,0)</f>
        <v/>
      </c>
      <c r="O480">
        <f>O479+IF(AND($E480&lt;&gt;"",$E480&lt;=O$2,$F480&gt;=O$2),1,0)</f>
        <v/>
      </c>
      <c r="P480">
        <f>P479+IF(AND($E480&lt;&gt;"",$E480&lt;=P$2,$F480&gt;=P$2),1,0)</f>
        <v/>
      </c>
      <c r="Q480">
        <f>Q479+IF(AND($E480&lt;&gt;"",$E480&lt;=Q$2,$F480&gt;=Q$2),1,0)</f>
        <v/>
      </c>
      <c r="R480">
        <f>R479+IF(AND($E480&lt;&gt;"",$E480&lt;=R$2,$F480&gt;=R$2),1,0)</f>
        <v/>
      </c>
      <c r="S480">
        <f>S479+IF(AND($E480&lt;&gt;"",$E480&lt;=S$2,$F480&gt;=S$2),1,0)</f>
        <v/>
      </c>
      <c r="T480">
        <f>T479+IF(AND($E480&lt;&gt;"",$E480&lt;=T$2,$F480&gt;=T$2),1,0)</f>
        <v/>
      </c>
      <c r="U480">
        <f>U479+IF(AND($E480&lt;&gt;"",$E480&lt;=U$2,$F480&gt;=U$2),1,0)</f>
        <v/>
      </c>
      <c r="V480">
        <f>V479+IF(AND($E480&lt;&gt;"",$E480&lt;=V$2,$F480&gt;=V$2),1,0)</f>
        <v/>
      </c>
      <c r="W480">
        <f>W479+IF(AND($E480&lt;&gt;"",$E480&lt;=W$2,$F480&gt;=W$2),1,0)</f>
        <v/>
      </c>
      <c r="X480">
        <f>X479+IF(AND($E480&lt;&gt;"",$E480&lt;=X$2,$F480&gt;=X$2),1,0)</f>
        <v/>
      </c>
      <c r="Y480">
        <f>Y479+IF(AND($E480&lt;&gt;"",$E480&lt;=Y$2,$F480&gt;=Y$2),1,0)</f>
        <v/>
      </c>
      <c r="Z480">
        <f>Z479+IF(AND($E480&lt;&gt;"",$E480&lt;=Z$2,$F480&gt;=Z$2),1,0)</f>
        <v/>
      </c>
      <c r="AA480">
        <f>AA479+IF(AND($E480&lt;&gt;"",$E480&lt;=AA$2,$F480&gt;=AA$2),1,0)</f>
        <v/>
      </c>
      <c r="AB480">
        <f>AB479+IF(AND($E480&lt;&gt;"",$E480&lt;=AB$2,$F480&gt;=AB$2),1,0)</f>
        <v/>
      </c>
      <c r="AC480">
        <f>AC479+IF(AND($E480&lt;&gt;"",$E480&lt;=AC$2,$F480&gt;=AC$2),1,0)</f>
        <v/>
      </c>
      <c r="AD480">
        <f>AD479+IF(AND($E480&lt;&gt;"",$E480&lt;=AD$2,$F480&gt;=AD$2),1,0)</f>
        <v/>
      </c>
      <c r="AE480">
        <f>AE479+IF(AND($E480&lt;&gt;"",$E480&lt;=AE$2,$F480&gt;=AE$2),1,0)</f>
        <v/>
      </c>
      <c r="AF480">
        <f>AF479+IF(AND($E480&lt;&gt;"",$E480&lt;=AF$2,$F480&gt;=AF$2),1,0)</f>
        <v/>
      </c>
      <c r="AG480">
        <f>AG479+IF(AND($E480&lt;&gt;"",$E480&lt;=AG$2,$F480&gt;=AG$2),1,0)</f>
        <v/>
      </c>
      <c r="AH480">
        <f>AH479+IF(AND($E480&lt;&gt;"",$E480&lt;=AH$2,$F480&gt;=AH$2),1,0)</f>
        <v/>
      </c>
      <c r="AI480">
        <f>AI479+IF(AND($E480&lt;&gt;"",$E480&lt;=AI$2,$F480&gt;=AI$2),1,0)</f>
        <v/>
      </c>
      <c r="AJ480">
        <f>AJ479+IF(AND($E480&lt;&gt;"",$E480&lt;=AJ$2,$F480&gt;=AJ$2),1,0)</f>
        <v/>
      </c>
      <c r="AK480">
        <f>AK479+IF(AND($E480&lt;&gt;"",$E480&lt;=AK$2,$F480&gt;=AK$2),1,0)</f>
        <v/>
      </c>
      <c r="AL480">
        <f>AL479+IF(AND($E480&lt;&gt;"",$E480&lt;=AL$2,$F480&gt;=AL$2),1,0)</f>
        <v/>
      </c>
      <c r="AM480">
        <f>AM479+IF(AND($E480&lt;&gt;"",$E480&lt;=AM$2,$F480&gt;=AM$2),1,0)</f>
        <v/>
      </c>
      <c r="AN480">
        <f>AN479+IF(AND($E480&lt;&gt;"",$E480&lt;=AN$2,$F480&gt;=AN$2),1,0)</f>
        <v/>
      </c>
      <c r="AO480">
        <f>AO479+IF(AND($E480&lt;&gt;"",$E480&lt;=AO$2,$F480&gt;=AO$2),1,0)</f>
        <v/>
      </c>
      <c r="AP480">
        <f>AP479+IF(AND($E480&lt;&gt;"",$E480&lt;=AP$2,$F480&gt;=AP$2),1,0)</f>
        <v/>
      </c>
      <c r="AQ480">
        <f>AQ479+IF(AND($E480&lt;&gt;"",$E480&lt;=AQ$2,$F480&gt;=AQ$2),1,0)</f>
        <v/>
      </c>
      <c r="AR480">
        <f>AR479+IF(AND($E480&lt;&gt;"",$E480&lt;=AR$2,$F480&gt;=AR$2),1,0)</f>
        <v/>
      </c>
      <c r="AS480">
        <f>AS479+IF(AND($E480&lt;&gt;"",$E480&lt;=AS$2,$F480&gt;=AS$2),1,0)</f>
        <v/>
      </c>
      <c r="AT480">
        <f>AT479+IF(AND($E480&lt;&gt;"",$E480&lt;=AT$2,$F480&gt;=AT$2),1,0)</f>
        <v/>
      </c>
      <c r="AU480">
        <f>AU479+IF(AND($E480&lt;&gt;"",$E480&lt;=AU$2,$F480&gt;=AU$2),1,0)</f>
        <v/>
      </c>
      <c r="AV480">
        <f>AV479+IF(AND($E480&lt;&gt;"",$E480&lt;=AV$2,$F480&gt;=AV$2),1,0)</f>
        <v/>
      </c>
      <c r="AW480">
        <f>AW479+IF(AND($E480&lt;&gt;"",$E480&lt;=AW$2,$F480&gt;=AW$2),1,0)</f>
        <v/>
      </c>
    </row>
    <row r="481">
      <c r="A481">
        <f>IF(AND(ISNUMBER(Events!$A483),ISNUMBER(Events!$B483)),MAX(0,Events!$B483-Events!$A483),0)</f>
        <v/>
      </c>
      <c r="B481">
        <f>IF(ISNUMBER(Events!$A483),DATE(YEAR($B$1)-1,MONTH(Events!$A483),DAY(Events!$A483)),"")</f>
        <v/>
      </c>
      <c r="C481">
        <f>IF(ISNUMBER(Events!$A483),DATE(YEAR($B$1),MONTH(Events!$A483),DAY(Events!$A483)),"")</f>
        <v/>
      </c>
      <c r="D481">
        <f>IF(ISNUMBER(Events!$A483),DATE(YEAR($B$2),MONTH(Events!$A483),DAY(Events!$A483)),"")</f>
        <v/>
      </c>
      <c r="E481">
        <f>IF(OR(NOT(ISNUMBER(Events!$A483)),Events!$G483="No",Calendar!$H$4="None"),"",IF(OR(Calendar!$H$4="All events",Events!$D483=Calendar!$H$4),IF(Events!$E483="Yes",IF(AND(B481&gt;=Events!$A483,B481&lt;=$B$2,B481+$A481&gt;=$B$1),B481,IF(AND(C481&gt;=Events!$A483,C481&lt;=$B$2,C481+$A481&gt;=$B$1),C481,IF(AND(D481&gt;=Events!$A483,D481&lt;=$B$2,D481+$A481&gt;=$B$1),D481,""))),IF(AND(Events!$A483&lt;=$B$2,Events!$A483+$A481&gt;=$B$1),Events!$A483,"")),""))</f>
        <v/>
      </c>
      <c r="F481">
        <f>IF(E481="","",E481+A481)</f>
        <v/>
      </c>
      <c r="G481">
        <f>IF(E481="","",IF(AND(E481&lt;=EOMONTH(Calendar!$K$2,0),F481&gt;=Calendar!$K$2),E481+478/100000,""))</f>
        <v/>
      </c>
      <c r="H481">
        <f>H480+IF(AND($E481&lt;&gt;"",$E481&lt;=H$2,$F481&gt;=H$2),1,0)</f>
        <v/>
      </c>
      <c r="I481">
        <f>I480+IF(AND($E481&lt;&gt;"",$E481&lt;=I$2,$F481&gt;=I$2),1,0)</f>
        <v/>
      </c>
      <c r="J481">
        <f>J480+IF(AND($E481&lt;&gt;"",$E481&lt;=J$2,$F481&gt;=J$2),1,0)</f>
        <v/>
      </c>
      <c r="K481">
        <f>K480+IF(AND($E481&lt;&gt;"",$E481&lt;=K$2,$F481&gt;=K$2),1,0)</f>
        <v/>
      </c>
      <c r="L481">
        <f>L480+IF(AND($E481&lt;&gt;"",$E481&lt;=L$2,$F481&gt;=L$2),1,0)</f>
        <v/>
      </c>
      <c r="M481">
        <f>M480+IF(AND($E481&lt;&gt;"",$E481&lt;=M$2,$F481&gt;=M$2),1,0)</f>
        <v/>
      </c>
      <c r="N481">
        <f>N480+IF(AND($E481&lt;&gt;"",$E481&lt;=N$2,$F481&gt;=N$2),1,0)</f>
        <v/>
      </c>
      <c r="O481">
        <f>O480+IF(AND($E481&lt;&gt;"",$E481&lt;=O$2,$F481&gt;=O$2),1,0)</f>
        <v/>
      </c>
      <c r="P481">
        <f>P480+IF(AND($E481&lt;&gt;"",$E481&lt;=P$2,$F481&gt;=P$2),1,0)</f>
        <v/>
      </c>
      <c r="Q481">
        <f>Q480+IF(AND($E481&lt;&gt;"",$E481&lt;=Q$2,$F481&gt;=Q$2),1,0)</f>
        <v/>
      </c>
      <c r="R481">
        <f>R480+IF(AND($E481&lt;&gt;"",$E481&lt;=R$2,$F481&gt;=R$2),1,0)</f>
        <v/>
      </c>
      <c r="S481">
        <f>S480+IF(AND($E481&lt;&gt;"",$E481&lt;=S$2,$F481&gt;=S$2),1,0)</f>
        <v/>
      </c>
      <c r="T481">
        <f>T480+IF(AND($E481&lt;&gt;"",$E481&lt;=T$2,$F481&gt;=T$2),1,0)</f>
        <v/>
      </c>
      <c r="U481">
        <f>U480+IF(AND($E481&lt;&gt;"",$E481&lt;=U$2,$F481&gt;=U$2),1,0)</f>
        <v/>
      </c>
      <c r="V481">
        <f>V480+IF(AND($E481&lt;&gt;"",$E481&lt;=V$2,$F481&gt;=V$2),1,0)</f>
        <v/>
      </c>
      <c r="W481">
        <f>W480+IF(AND($E481&lt;&gt;"",$E481&lt;=W$2,$F481&gt;=W$2),1,0)</f>
        <v/>
      </c>
      <c r="X481">
        <f>X480+IF(AND($E481&lt;&gt;"",$E481&lt;=X$2,$F481&gt;=X$2),1,0)</f>
        <v/>
      </c>
      <c r="Y481">
        <f>Y480+IF(AND($E481&lt;&gt;"",$E481&lt;=Y$2,$F481&gt;=Y$2),1,0)</f>
        <v/>
      </c>
      <c r="Z481">
        <f>Z480+IF(AND($E481&lt;&gt;"",$E481&lt;=Z$2,$F481&gt;=Z$2),1,0)</f>
        <v/>
      </c>
      <c r="AA481">
        <f>AA480+IF(AND($E481&lt;&gt;"",$E481&lt;=AA$2,$F481&gt;=AA$2),1,0)</f>
        <v/>
      </c>
      <c r="AB481">
        <f>AB480+IF(AND($E481&lt;&gt;"",$E481&lt;=AB$2,$F481&gt;=AB$2),1,0)</f>
        <v/>
      </c>
      <c r="AC481">
        <f>AC480+IF(AND($E481&lt;&gt;"",$E481&lt;=AC$2,$F481&gt;=AC$2),1,0)</f>
        <v/>
      </c>
      <c r="AD481">
        <f>AD480+IF(AND($E481&lt;&gt;"",$E481&lt;=AD$2,$F481&gt;=AD$2),1,0)</f>
        <v/>
      </c>
      <c r="AE481">
        <f>AE480+IF(AND($E481&lt;&gt;"",$E481&lt;=AE$2,$F481&gt;=AE$2),1,0)</f>
        <v/>
      </c>
      <c r="AF481">
        <f>AF480+IF(AND($E481&lt;&gt;"",$E481&lt;=AF$2,$F481&gt;=AF$2),1,0)</f>
        <v/>
      </c>
      <c r="AG481">
        <f>AG480+IF(AND($E481&lt;&gt;"",$E481&lt;=AG$2,$F481&gt;=AG$2),1,0)</f>
        <v/>
      </c>
      <c r="AH481">
        <f>AH480+IF(AND($E481&lt;&gt;"",$E481&lt;=AH$2,$F481&gt;=AH$2),1,0)</f>
        <v/>
      </c>
      <c r="AI481">
        <f>AI480+IF(AND($E481&lt;&gt;"",$E481&lt;=AI$2,$F481&gt;=AI$2),1,0)</f>
        <v/>
      </c>
      <c r="AJ481">
        <f>AJ480+IF(AND($E481&lt;&gt;"",$E481&lt;=AJ$2,$F481&gt;=AJ$2),1,0)</f>
        <v/>
      </c>
      <c r="AK481">
        <f>AK480+IF(AND($E481&lt;&gt;"",$E481&lt;=AK$2,$F481&gt;=AK$2),1,0)</f>
        <v/>
      </c>
      <c r="AL481">
        <f>AL480+IF(AND($E481&lt;&gt;"",$E481&lt;=AL$2,$F481&gt;=AL$2),1,0)</f>
        <v/>
      </c>
      <c r="AM481">
        <f>AM480+IF(AND($E481&lt;&gt;"",$E481&lt;=AM$2,$F481&gt;=AM$2),1,0)</f>
        <v/>
      </c>
      <c r="AN481">
        <f>AN480+IF(AND($E481&lt;&gt;"",$E481&lt;=AN$2,$F481&gt;=AN$2),1,0)</f>
        <v/>
      </c>
      <c r="AO481">
        <f>AO480+IF(AND($E481&lt;&gt;"",$E481&lt;=AO$2,$F481&gt;=AO$2),1,0)</f>
        <v/>
      </c>
      <c r="AP481">
        <f>AP480+IF(AND($E481&lt;&gt;"",$E481&lt;=AP$2,$F481&gt;=AP$2),1,0)</f>
        <v/>
      </c>
      <c r="AQ481">
        <f>AQ480+IF(AND($E481&lt;&gt;"",$E481&lt;=AQ$2,$F481&gt;=AQ$2),1,0)</f>
        <v/>
      </c>
      <c r="AR481">
        <f>AR480+IF(AND($E481&lt;&gt;"",$E481&lt;=AR$2,$F481&gt;=AR$2),1,0)</f>
        <v/>
      </c>
      <c r="AS481">
        <f>AS480+IF(AND($E481&lt;&gt;"",$E481&lt;=AS$2,$F481&gt;=AS$2),1,0)</f>
        <v/>
      </c>
      <c r="AT481">
        <f>AT480+IF(AND($E481&lt;&gt;"",$E481&lt;=AT$2,$F481&gt;=AT$2),1,0)</f>
        <v/>
      </c>
      <c r="AU481">
        <f>AU480+IF(AND($E481&lt;&gt;"",$E481&lt;=AU$2,$F481&gt;=AU$2),1,0)</f>
        <v/>
      </c>
      <c r="AV481">
        <f>AV480+IF(AND($E481&lt;&gt;"",$E481&lt;=AV$2,$F481&gt;=AV$2),1,0)</f>
        <v/>
      </c>
      <c r="AW481">
        <f>AW480+IF(AND($E481&lt;&gt;"",$E481&lt;=AW$2,$F481&gt;=AW$2),1,0)</f>
        <v/>
      </c>
    </row>
    <row r="482">
      <c r="A482">
        <f>IF(AND(ISNUMBER(Events!$A484),ISNUMBER(Events!$B484)),MAX(0,Events!$B484-Events!$A484),0)</f>
        <v/>
      </c>
      <c r="B482">
        <f>IF(ISNUMBER(Events!$A484),DATE(YEAR($B$1)-1,MONTH(Events!$A484),DAY(Events!$A484)),"")</f>
        <v/>
      </c>
      <c r="C482">
        <f>IF(ISNUMBER(Events!$A484),DATE(YEAR($B$1),MONTH(Events!$A484),DAY(Events!$A484)),"")</f>
        <v/>
      </c>
      <c r="D482">
        <f>IF(ISNUMBER(Events!$A484),DATE(YEAR($B$2),MONTH(Events!$A484),DAY(Events!$A484)),"")</f>
        <v/>
      </c>
      <c r="E482">
        <f>IF(OR(NOT(ISNUMBER(Events!$A484)),Events!$G484="No",Calendar!$H$4="None"),"",IF(OR(Calendar!$H$4="All events",Events!$D484=Calendar!$H$4),IF(Events!$E484="Yes",IF(AND(B482&gt;=Events!$A484,B482&lt;=$B$2,B482+$A482&gt;=$B$1),B482,IF(AND(C482&gt;=Events!$A484,C482&lt;=$B$2,C482+$A482&gt;=$B$1),C482,IF(AND(D482&gt;=Events!$A484,D482&lt;=$B$2,D482+$A482&gt;=$B$1),D482,""))),IF(AND(Events!$A484&lt;=$B$2,Events!$A484+$A482&gt;=$B$1),Events!$A484,"")),""))</f>
        <v/>
      </c>
      <c r="F482">
        <f>IF(E482="","",E482+A482)</f>
        <v/>
      </c>
      <c r="G482">
        <f>IF(E482="","",IF(AND(E482&lt;=EOMONTH(Calendar!$K$2,0),F482&gt;=Calendar!$K$2),E482+479/100000,""))</f>
        <v/>
      </c>
      <c r="H482">
        <f>H481+IF(AND($E482&lt;&gt;"",$E482&lt;=H$2,$F482&gt;=H$2),1,0)</f>
        <v/>
      </c>
      <c r="I482">
        <f>I481+IF(AND($E482&lt;&gt;"",$E482&lt;=I$2,$F482&gt;=I$2),1,0)</f>
        <v/>
      </c>
      <c r="J482">
        <f>J481+IF(AND($E482&lt;&gt;"",$E482&lt;=J$2,$F482&gt;=J$2),1,0)</f>
        <v/>
      </c>
      <c r="K482">
        <f>K481+IF(AND($E482&lt;&gt;"",$E482&lt;=K$2,$F482&gt;=K$2),1,0)</f>
        <v/>
      </c>
      <c r="L482">
        <f>L481+IF(AND($E482&lt;&gt;"",$E482&lt;=L$2,$F482&gt;=L$2),1,0)</f>
        <v/>
      </c>
      <c r="M482">
        <f>M481+IF(AND($E482&lt;&gt;"",$E482&lt;=M$2,$F482&gt;=M$2),1,0)</f>
        <v/>
      </c>
      <c r="N482">
        <f>N481+IF(AND($E482&lt;&gt;"",$E482&lt;=N$2,$F482&gt;=N$2),1,0)</f>
        <v/>
      </c>
      <c r="O482">
        <f>O481+IF(AND($E482&lt;&gt;"",$E482&lt;=O$2,$F482&gt;=O$2),1,0)</f>
        <v/>
      </c>
      <c r="P482">
        <f>P481+IF(AND($E482&lt;&gt;"",$E482&lt;=P$2,$F482&gt;=P$2),1,0)</f>
        <v/>
      </c>
      <c r="Q482">
        <f>Q481+IF(AND($E482&lt;&gt;"",$E482&lt;=Q$2,$F482&gt;=Q$2),1,0)</f>
        <v/>
      </c>
      <c r="R482">
        <f>R481+IF(AND($E482&lt;&gt;"",$E482&lt;=R$2,$F482&gt;=R$2),1,0)</f>
        <v/>
      </c>
      <c r="S482">
        <f>S481+IF(AND($E482&lt;&gt;"",$E482&lt;=S$2,$F482&gt;=S$2),1,0)</f>
        <v/>
      </c>
      <c r="T482">
        <f>T481+IF(AND($E482&lt;&gt;"",$E482&lt;=T$2,$F482&gt;=T$2),1,0)</f>
        <v/>
      </c>
      <c r="U482">
        <f>U481+IF(AND($E482&lt;&gt;"",$E482&lt;=U$2,$F482&gt;=U$2),1,0)</f>
        <v/>
      </c>
      <c r="V482">
        <f>V481+IF(AND($E482&lt;&gt;"",$E482&lt;=V$2,$F482&gt;=V$2),1,0)</f>
        <v/>
      </c>
      <c r="W482">
        <f>W481+IF(AND($E482&lt;&gt;"",$E482&lt;=W$2,$F482&gt;=W$2),1,0)</f>
        <v/>
      </c>
      <c r="X482">
        <f>X481+IF(AND($E482&lt;&gt;"",$E482&lt;=X$2,$F482&gt;=X$2),1,0)</f>
        <v/>
      </c>
      <c r="Y482">
        <f>Y481+IF(AND($E482&lt;&gt;"",$E482&lt;=Y$2,$F482&gt;=Y$2),1,0)</f>
        <v/>
      </c>
      <c r="Z482">
        <f>Z481+IF(AND($E482&lt;&gt;"",$E482&lt;=Z$2,$F482&gt;=Z$2),1,0)</f>
        <v/>
      </c>
      <c r="AA482">
        <f>AA481+IF(AND($E482&lt;&gt;"",$E482&lt;=AA$2,$F482&gt;=AA$2),1,0)</f>
        <v/>
      </c>
      <c r="AB482">
        <f>AB481+IF(AND($E482&lt;&gt;"",$E482&lt;=AB$2,$F482&gt;=AB$2),1,0)</f>
        <v/>
      </c>
      <c r="AC482">
        <f>AC481+IF(AND($E482&lt;&gt;"",$E482&lt;=AC$2,$F482&gt;=AC$2),1,0)</f>
        <v/>
      </c>
      <c r="AD482">
        <f>AD481+IF(AND($E482&lt;&gt;"",$E482&lt;=AD$2,$F482&gt;=AD$2),1,0)</f>
        <v/>
      </c>
      <c r="AE482">
        <f>AE481+IF(AND($E482&lt;&gt;"",$E482&lt;=AE$2,$F482&gt;=AE$2),1,0)</f>
        <v/>
      </c>
      <c r="AF482">
        <f>AF481+IF(AND($E482&lt;&gt;"",$E482&lt;=AF$2,$F482&gt;=AF$2),1,0)</f>
        <v/>
      </c>
      <c r="AG482">
        <f>AG481+IF(AND($E482&lt;&gt;"",$E482&lt;=AG$2,$F482&gt;=AG$2),1,0)</f>
        <v/>
      </c>
      <c r="AH482">
        <f>AH481+IF(AND($E482&lt;&gt;"",$E482&lt;=AH$2,$F482&gt;=AH$2),1,0)</f>
        <v/>
      </c>
      <c r="AI482">
        <f>AI481+IF(AND($E482&lt;&gt;"",$E482&lt;=AI$2,$F482&gt;=AI$2),1,0)</f>
        <v/>
      </c>
      <c r="AJ482">
        <f>AJ481+IF(AND($E482&lt;&gt;"",$E482&lt;=AJ$2,$F482&gt;=AJ$2),1,0)</f>
        <v/>
      </c>
      <c r="AK482">
        <f>AK481+IF(AND($E482&lt;&gt;"",$E482&lt;=AK$2,$F482&gt;=AK$2),1,0)</f>
        <v/>
      </c>
      <c r="AL482">
        <f>AL481+IF(AND($E482&lt;&gt;"",$E482&lt;=AL$2,$F482&gt;=AL$2),1,0)</f>
        <v/>
      </c>
      <c r="AM482">
        <f>AM481+IF(AND($E482&lt;&gt;"",$E482&lt;=AM$2,$F482&gt;=AM$2),1,0)</f>
        <v/>
      </c>
      <c r="AN482">
        <f>AN481+IF(AND($E482&lt;&gt;"",$E482&lt;=AN$2,$F482&gt;=AN$2),1,0)</f>
        <v/>
      </c>
      <c r="AO482">
        <f>AO481+IF(AND($E482&lt;&gt;"",$E482&lt;=AO$2,$F482&gt;=AO$2),1,0)</f>
        <v/>
      </c>
      <c r="AP482">
        <f>AP481+IF(AND($E482&lt;&gt;"",$E482&lt;=AP$2,$F482&gt;=AP$2),1,0)</f>
        <v/>
      </c>
      <c r="AQ482">
        <f>AQ481+IF(AND($E482&lt;&gt;"",$E482&lt;=AQ$2,$F482&gt;=AQ$2),1,0)</f>
        <v/>
      </c>
      <c r="AR482">
        <f>AR481+IF(AND($E482&lt;&gt;"",$E482&lt;=AR$2,$F482&gt;=AR$2),1,0)</f>
        <v/>
      </c>
      <c r="AS482">
        <f>AS481+IF(AND($E482&lt;&gt;"",$E482&lt;=AS$2,$F482&gt;=AS$2),1,0)</f>
        <v/>
      </c>
      <c r="AT482">
        <f>AT481+IF(AND($E482&lt;&gt;"",$E482&lt;=AT$2,$F482&gt;=AT$2),1,0)</f>
        <v/>
      </c>
      <c r="AU482">
        <f>AU481+IF(AND($E482&lt;&gt;"",$E482&lt;=AU$2,$F482&gt;=AU$2),1,0)</f>
        <v/>
      </c>
      <c r="AV482">
        <f>AV481+IF(AND($E482&lt;&gt;"",$E482&lt;=AV$2,$F482&gt;=AV$2),1,0)</f>
        <v/>
      </c>
      <c r="AW482">
        <f>AW481+IF(AND($E482&lt;&gt;"",$E482&lt;=AW$2,$F482&gt;=AW$2),1,0)</f>
        <v/>
      </c>
    </row>
    <row r="483">
      <c r="A483">
        <f>IF(AND(ISNUMBER(Events!$A485),ISNUMBER(Events!$B485)),MAX(0,Events!$B485-Events!$A485),0)</f>
        <v/>
      </c>
      <c r="B483">
        <f>IF(ISNUMBER(Events!$A485),DATE(YEAR($B$1)-1,MONTH(Events!$A485),DAY(Events!$A485)),"")</f>
        <v/>
      </c>
      <c r="C483">
        <f>IF(ISNUMBER(Events!$A485),DATE(YEAR($B$1),MONTH(Events!$A485),DAY(Events!$A485)),"")</f>
        <v/>
      </c>
      <c r="D483">
        <f>IF(ISNUMBER(Events!$A485),DATE(YEAR($B$2),MONTH(Events!$A485),DAY(Events!$A485)),"")</f>
        <v/>
      </c>
      <c r="E483">
        <f>IF(OR(NOT(ISNUMBER(Events!$A485)),Events!$G485="No",Calendar!$H$4="None"),"",IF(OR(Calendar!$H$4="All events",Events!$D485=Calendar!$H$4),IF(Events!$E485="Yes",IF(AND(B483&gt;=Events!$A485,B483&lt;=$B$2,B483+$A483&gt;=$B$1),B483,IF(AND(C483&gt;=Events!$A485,C483&lt;=$B$2,C483+$A483&gt;=$B$1),C483,IF(AND(D483&gt;=Events!$A485,D483&lt;=$B$2,D483+$A483&gt;=$B$1),D483,""))),IF(AND(Events!$A485&lt;=$B$2,Events!$A485+$A483&gt;=$B$1),Events!$A485,"")),""))</f>
        <v/>
      </c>
      <c r="F483">
        <f>IF(E483="","",E483+A483)</f>
        <v/>
      </c>
      <c r="G483">
        <f>IF(E483="","",IF(AND(E483&lt;=EOMONTH(Calendar!$K$2,0),F483&gt;=Calendar!$K$2),E483+480/100000,""))</f>
        <v/>
      </c>
      <c r="H483">
        <f>H482+IF(AND($E483&lt;&gt;"",$E483&lt;=H$2,$F483&gt;=H$2),1,0)</f>
        <v/>
      </c>
      <c r="I483">
        <f>I482+IF(AND($E483&lt;&gt;"",$E483&lt;=I$2,$F483&gt;=I$2),1,0)</f>
        <v/>
      </c>
      <c r="J483">
        <f>J482+IF(AND($E483&lt;&gt;"",$E483&lt;=J$2,$F483&gt;=J$2),1,0)</f>
        <v/>
      </c>
      <c r="K483">
        <f>K482+IF(AND($E483&lt;&gt;"",$E483&lt;=K$2,$F483&gt;=K$2),1,0)</f>
        <v/>
      </c>
      <c r="L483">
        <f>L482+IF(AND($E483&lt;&gt;"",$E483&lt;=L$2,$F483&gt;=L$2),1,0)</f>
        <v/>
      </c>
      <c r="M483">
        <f>M482+IF(AND($E483&lt;&gt;"",$E483&lt;=M$2,$F483&gt;=M$2),1,0)</f>
        <v/>
      </c>
      <c r="N483">
        <f>N482+IF(AND($E483&lt;&gt;"",$E483&lt;=N$2,$F483&gt;=N$2),1,0)</f>
        <v/>
      </c>
      <c r="O483">
        <f>O482+IF(AND($E483&lt;&gt;"",$E483&lt;=O$2,$F483&gt;=O$2),1,0)</f>
        <v/>
      </c>
      <c r="P483">
        <f>P482+IF(AND($E483&lt;&gt;"",$E483&lt;=P$2,$F483&gt;=P$2),1,0)</f>
        <v/>
      </c>
      <c r="Q483">
        <f>Q482+IF(AND($E483&lt;&gt;"",$E483&lt;=Q$2,$F483&gt;=Q$2),1,0)</f>
        <v/>
      </c>
      <c r="R483">
        <f>R482+IF(AND($E483&lt;&gt;"",$E483&lt;=R$2,$F483&gt;=R$2),1,0)</f>
        <v/>
      </c>
      <c r="S483">
        <f>S482+IF(AND($E483&lt;&gt;"",$E483&lt;=S$2,$F483&gt;=S$2),1,0)</f>
        <v/>
      </c>
      <c r="T483">
        <f>T482+IF(AND($E483&lt;&gt;"",$E483&lt;=T$2,$F483&gt;=T$2),1,0)</f>
        <v/>
      </c>
      <c r="U483">
        <f>U482+IF(AND($E483&lt;&gt;"",$E483&lt;=U$2,$F483&gt;=U$2),1,0)</f>
        <v/>
      </c>
      <c r="V483">
        <f>V482+IF(AND($E483&lt;&gt;"",$E483&lt;=V$2,$F483&gt;=V$2),1,0)</f>
        <v/>
      </c>
      <c r="W483">
        <f>W482+IF(AND($E483&lt;&gt;"",$E483&lt;=W$2,$F483&gt;=W$2),1,0)</f>
        <v/>
      </c>
      <c r="X483">
        <f>X482+IF(AND($E483&lt;&gt;"",$E483&lt;=X$2,$F483&gt;=X$2),1,0)</f>
        <v/>
      </c>
      <c r="Y483">
        <f>Y482+IF(AND($E483&lt;&gt;"",$E483&lt;=Y$2,$F483&gt;=Y$2),1,0)</f>
        <v/>
      </c>
      <c r="Z483">
        <f>Z482+IF(AND($E483&lt;&gt;"",$E483&lt;=Z$2,$F483&gt;=Z$2),1,0)</f>
        <v/>
      </c>
      <c r="AA483">
        <f>AA482+IF(AND($E483&lt;&gt;"",$E483&lt;=AA$2,$F483&gt;=AA$2),1,0)</f>
        <v/>
      </c>
      <c r="AB483">
        <f>AB482+IF(AND($E483&lt;&gt;"",$E483&lt;=AB$2,$F483&gt;=AB$2),1,0)</f>
        <v/>
      </c>
      <c r="AC483">
        <f>AC482+IF(AND($E483&lt;&gt;"",$E483&lt;=AC$2,$F483&gt;=AC$2),1,0)</f>
        <v/>
      </c>
      <c r="AD483">
        <f>AD482+IF(AND($E483&lt;&gt;"",$E483&lt;=AD$2,$F483&gt;=AD$2),1,0)</f>
        <v/>
      </c>
      <c r="AE483">
        <f>AE482+IF(AND($E483&lt;&gt;"",$E483&lt;=AE$2,$F483&gt;=AE$2),1,0)</f>
        <v/>
      </c>
      <c r="AF483">
        <f>AF482+IF(AND($E483&lt;&gt;"",$E483&lt;=AF$2,$F483&gt;=AF$2),1,0)</f>
        <v/>
      </c>
      <c r="AG483">
        <f>AG482+IF(AND($E483&lt;&gt;"",$E483&lt;=AG$2,$F483&gt;=AG$2),1,0)</f>
        <v/>
      </c>
      <c r="AH483">
        <f>AH482+IF(AND($E483&lt;&gt;"",$E483&lt;=AH$2,$F483&gt;=AH$2),1,0)</f>
        <v/>
      </c>
      <c r="AI483">
        <f>AI482+IF(AND($E483&lt;&gt;"",$E483&lt;=AI$2,$F483&gt;=AI$2),1,0)</f>
        <v/>
      </c>
      <c r="AJ483">
        <f>AJ482+IF(AND($E483&lt;&gt;"",$E483&lt;=AJ$2,$F483&gt;=AJ$2),1,0)</f>
        <v/>
      </c>
      <c r="AK483">
        <f>AK482+IF(AND($E483&lt;&gt;"",$E483&lt;=AK$2,$F483&gt;=AK$2),1,0)</f>
        <v/>
      </c>
      <c r="AL483">
        <f>AL482+IF(AND($E483&lt;&gt;"",$E483&lt;=AL$2,$F483&gt;=AL$2),1,0)</f>
        <v/>
      </c>
      <c r="AM483">
        <f>AM482+IF(AND($E483&lt;&gt;"",$E483&lt;=AM$2,$F483&gt;=AM$2),1,0)</f>
        <v/>
      </c>
      <c r="AN483">
        <f>AN482+IF(AND($E483&lt;&gt;"",$E483&lt;=AN$2,$F483&gt;=AN$2),1,0)</f>
        <v/>
      </c>
      <c r="AO483">
        <f>AO482+IF(AND($E483&lt;&gt;"",$E483&lt;=AO$2,$F483&gt;=AO$2),1,0)</f>
        <v/>
      </c>
      <c r="AP483">
        <f>AP482+IF(AND($E483&lt;&gt;"",$E483&lt;=AP$2,$F483&gt;=AP$2),1,0)</f>
        <v/>
      </c>
      <c r="AQ483">
        <f>AQ482+IF(AND($E483&lt;&gt;"",$E483&lt;=AQ$2,$F483&gt;=AQ$2),1,0)</f>
        <v/>
      </c>
      <c r="AR483">
        <f>AR482+IF(AND($E483&lt;&gt;"",$E483&lt;=AR$2,$F483&gt;=AR$2),1,0)</f>
        <v/>
      </c>
      <c r="AS483">
        <f>AS482+IF(AND($E483&lt;&gt;"",$E483&lt;=AS$2,$F483&gt;=AS$2),1,0)</f>
        <v/>
      </c>
      <c r="AT483">
        <f>AT482+IF(AND($E483&lt;&gt;"",$E483&lt;=AT$2,$F483&gt;=AT$2),1,0)</f>
        <v/>
      </c>
      <c r="AU483">
        <f>AU482+IF(AND($E483&lt;&gt;"",$E483&lt;=AU$2,$F483&gt;=AU$2),1,0)</f>
        <v/>
      </c>
      <c r="AV483">
        <f>AV482+IF(AND($E483&lt;&gt;"",$E483&lt;=AV$2,$F483&gt;=AV$2),1,0)</f>
        <v/>
      </c>
      <c r="AW483">
        <f>AW482+IF(AND($E483&lt;&gt;"",$E483&lt;=AW$2,$F483&gt;=AW$2),1,0)</f>
        <v/>
      </c>
    </row>
    <row r="484">
      <c r="A484">
        <f>IF(AND(ISNUMBER(Events!$A486),ISNUMBER(Events!$B486)),MAX(0,Events!$B486-Events!$A486),0)</f>
        <v/>
      </c>
      <c r="B484">
        <f>IF(ISNUMBER(Events!$A486),DATE(YEAR($B$1)-1,MONTH(Events!$A486),DAY(Events!$A486)),"")</f>
        <v/>
      </c>
      <c r="C484">
        <f>IF(ISNUMBER(Events!$A486),DATE(YEAR($B$1),MONTH(Events!$A486),DAY(Events!$A486)),"")</f>
        <v/>
      </c>
      <c r="D484">
        <f>IF(ISNUMBER(Events!$A486),DATE(YEAR($B$2),MONTH(Events!$A486),DAY(Events!$A486)),"")</f>
        <v/>
      </c>
      <c r="E484">
        <f>IF(OR(NOT(ISNUMBER(Events!$A486)),Events!$G486="No",Calendar!$H$4="None"),"",IF(OR(Calendar!$H$4="All events",Events!$D486=Calendar!$H$4),IF(Events!$E486="Yes",IF(AND(B484&gt;=Events!$A486,B484&lt;=$B$2,B484+$A484&gt;=$B$1),B484,IF(AND(C484&gt;=Events!$A486,C484&lt;=$B$2,C484+$A484&gt;=$B$1),C484,IF(AND(D484&gt;=Events!$A486,D484&lt;=$B$2,D484+$A484&gt;=$B$1),D484,""))),IF(AND(Events!$A486&lt;=$B$2,Events!$A486+$A484&gt;=$B$1),Events!$A486,"")),""))</f>
        <v/>
      </c>
      <c r="F484">
        <f>IF(E484="","",E484+A484)</f>
        <v/>
      </c>
      <c r="G484">
        <f>IF(E484="","",IF(AND(E484&lt;=EOMONTH(Calendar!$K$2,0),F484&gt;=Calendar!$K$2),E484+481/100000,""))</f>
        <v/>
      </c>
      <c r="H484">
        <f>H483+IF(AND($E484&lt;&gt;"",$E484&lt;=H$2,$F484&gt;=H$2),1,0)</f>
        <v/>
      </c>
      <c r="I484">
        <f>I483+IF(AND($E484&lt;&gt;"",$E484&lt;=I$2,$F484&gt;=I$2),1,0)</f>
        <v/>
      </c>
      <c r="J484">
        <f>J483+IF(AND($E484&lt;&gt;"",$E484&lt;=J$2,$F484&gt;=J$2),1,0)</f>
        <v/>
      </c>
      <c r="K484">
        <f>K483+IF(AND($E484&lt;&gt;"",$E484&lt;=K$2,$F484&gt;=K$2),1,0)</f>
        <v/>
      </c>
      <c r="L484">
        <f>L483+IF(AND($E484&lt;&gt;"",$E484&lt;=L$2,$F484&gt;=L$2),1,0)</f>
        <v/>
      </c>
      <c r="M484">
        <f>M483+IF(AND($E484&lt;&gt;"",$E484&lt;=M$2,$F484&gt;=M$2),1,0)</f>
        <v/>
      </c>
      <c r="N484">
        <f>N483+IF(AND($E484&lt;&gt;"",$E484&lt;=N$2,$F484&gt;=N$2),1,0)</f>
        <v/>
      </c>
      <c r="O484">
        <f>O483+IF(AND($E484&lt;&gt;"",$E484&lt;=O$2,$F484&gt;=O$2),1,0)</f>
        <v/>
      </c>
      <c r="P484">
        <f>P483+IF(AND($E484&lt;&gt;"",$E484&lt;=P$2,$F484&gt;=P$2),1,0)</f>
        <v/>
      </c>
      <c r="Q484">
        <f>Q483+IF(AND($E484&lt;&gt;"",$E484&lt;=Q$2,$F484&gt;=Q$2),1,0)</f>
        <v/>
      </c>
      <c r="R484">
        <f>R483+IF(AND($E484&lt;&gt;"",$E484&lt;=R$2,$F484&gt;=R$2),1,0)</f>
        <v/>
      </c>
      <c r="S484">
        <f>S483+IF(AND($E484&lt;&gt;"",$E484&lt;=S$2,$F484&gt;=S$2),1,0)</f>
        <v/>
      </c>
      <c r="T484">
        <f>T483+IF(AND($E484&lt;&gt;"",$E484&lt;=T$2,$F484&gt;=T$2),1,0)</f>
        <v/>
      </c>
      <c r="U484">
        <f>U483+IF(AND($E484&lt;&gt;"",$E484&lt;=U$2,$F484&gt;=U$2),1,0)</f>
        <v/>
      </c>
      <c r="V484">
        <f>V483+IF(AND($E484&lt;&gt;"",$E484&lt;=V$2,$F484&gt;=V$2),1,0)</f>
        <v/>
      </c>
      <c r="W484">
        <f>W483+IF(AND($E484&lt;&gt;"",$E484&lt;=W$2,$F484&gt;=W$2),1,0)</f>
        <v/>
      </c>
      <c r="X484">
        <f>X483+IF(AND($E484&lt;&gt;"",$E484&lt;=X$2,$F484&gt;=X$2),1,0)</f>
        <v/>
      </c>
      <c r="Y484">
        <f>Y483+IF(AND($E484&lt;&gt;"",$E484&lt;=Y$2,$F484&gt;=Y$2),1,0)</f>
        <v/>
      </c>
      <c r="Z484">
        <f>Z483+IF(AND($E484&lt;&gt;"",$E484&lt;=Z$2,$F484&gt;=Z$2),1,0)</f>
        <v/>
      </c>
      <c r="AA484">
        <f>AA483+IF(AND($E484&lt;&gt;"",$E484&lt;=AA$2,$F484&gt;=AA$2),1,0)</f>
        <v/>
      </c>
      <c r="AB484">
        <f>AB483+IF(AND($E484&lt;&gt;"",$E484&lt;=AB$2,$F484&gt;=AB$2),1,0)</f>
        <v/>
      </c>
      <c r="AC484">
        <f>AC483+IF(AND($E484&lt;&gt;"",$E484&lt;=AC$2,$F484&gt;=AC$2),1,0)</f>
        <v/>
      </c>
      <c r="AD484">
        <f>AD483+IF(AND($E484&lt;&gt;"",$E484&lt;=AD$2,$F484&gt;=AD$2),1,0)</f>
        <v/>
      </c>
      <c r="AE484">
        <f>AE483+IF(AND($E484&lt;&gt;"",$E484&lt;=AE$2,$F484&gt;=AE$2),1,0)</f>
        <v/>
      </c>
      <c r="AF484">
        <f>AF483+IF(AND($E484&lt;&gt;"",$E484&lt;=AF$2,$F484&gt;=AF$2),1,0)</f>
        <v/>
      </c>
      <c r="AG484">
        <f>AG483+IF(AND($E484&lt;&gt;"",$E484&lt;=AG$2,$F484&gt;=AG$2),1,0)</f>
        <v/>
      </c>
      <c r="AH484">
        <f>AH483+IF(AND($E484&lt;&gt;"",$E484&lt;=AH$2,$F484&gt;=AH$2),1,0)</f>
        <v/>
      </c>
      <c r="AI484">
        <f>AI483+IF(AND($E484&lt;&gt;"",$E484&lt;=AI$2,$F484&gt;=AI$2),1,0)</f>
        <v/>
      </c>
      <c r="AJ484">
        <f>AJ483+IF(AND($E484&lt;&gt;"",$E484&lt;=AJ$2,$F484&gt;=AJ$2),1,0)</f>
        <v/>
      </c>
      <c r="AK484">
        <f>AK483+IF(AND($E484&lt;&gt;"",$E484&lt;=AK$2,$F484&gt;=AK$2),1,0)</f>
        <v/>
      </c>
      <c r="AL484">
        <f>AL483+IF(AND($E484&lt;&gt;"",$E484&lt;=AL$2,$F484&gt;=AL$2),1,0)</f>
        <v/>
      </c>
      <c r="AM484">
        <f>AM483+IF(AND($E484&lt;&gt;"",$E484&lt;=AM$2,$F484&gt;=AM$2),1,0)</f>
        <v/>
      </c>
      <c r="AN484">
        <f>AN483+IF(AND($E484&lt;&gt;"",$E484&lt;=AN$2,$F484&gt;=AN$2),1,0)</f>
        <v/>
      </c>
      <c r="AO484">
        <f>AO483+IF(AND($E484&lt;&gt;"",$E484&lt;=AO$2,$F484&gt;=AO$2),1,0)</f>
        <v/>
      </c>
      <c r="AP484">
        <f>AP483+IF(AND($E484&lt;&gt;"",$E484&lt;=AP$2,$F484&gt;=AP$2),1,0)</f>
        <v/>
      </c>
      <c r="AQ484">
        <f>AQ483+IF(AND($E484&lt;&gt;"",$E484&lt;=AQ$2,$F484&gt;=AQ$2),1,0)</f>
        <v/>
      </c>
      <c r="AR484">
        <f>AR483+IF(AND($E484&lt;&gt;"",$E484&lt;=AR$2,$F484&gt;=AR$2),1,0)</f>
        <v/>
      </c>
      <c r="AS484">
        <f>AS483+IF(AND($E484&lt;&gt;"",$E484&lt;=AS$2,$F484&gt;=AS$2),1,0)</f>
        <v/>
      </c>
      <c r="AT484">
        <f>AT483+IF(AND($E484&lt;&gt;"",$E484&lt;=AT$2,$F484&gt;=AT$2),1,0)</f>
        <v/>
      </c>
      <c r="AU484">
        <f>AU483+IF(AND($E484&lt;&gt;"",$E484&lt;=AU$2,$F484&gt;=AU$2),1,0)</f>
        <v/>
      </c>
      <c r="AV484">
        <f>AV483+IF(AND($E484&lt;&gt;"",$E484&lt;=AV$2,$F484&gt;=AV$2),1,0)</f>
        <v/>
      </c>
      <c r="AW484">
        <f>AW483+IF(AND($E484&lt;&gt;"",$E484&lt;=AW$2,$F484&gt;=AW$2),1,0)</f>
        <v/>
      </c>
    </row>
    <row r="485">
      <c r="A485">
        <f>IF(AND(ISNUMBER(Events!$A487),ISNUMBER(Events!$B487)),MAX(0,Events!$B487-Events!$A487),0)</f>
        <v/>
      </c>
      <c r="B485">
        <f>IF(ISNUMBER(Events!$A487),DATE(YEAR($B$1)-1,MONTH(Events!$A487),DAY(Events!$A487)),"")</f>
        <v/>
      </c>
      <c r="C485">
        <f>IF(ISNUMBER(Events!$A487),DATE(YEAR($B$1),MONTH(Events!$A487),DAY(Events!$A487)),"")</f>
        <v/>
      </c>
      <c r="D485">
        <f>IF(ISNUMBER(Events!$A487),DATE(YEAR($B$2),MONTH(Events!$A487),DAY(Events!$A487)),"")</f>
        <v/>
      </c>
      <c r="E485">
        <f>IF(OR(NOT(ISNUMBER(Events!$A487)),Events!$G487="No",Calendar!$H$4="None"),"",IF(OR(Calendar!$H$4="All events",Events!$D487=Calendar!$H$4),IF(Events!$E487="Yes",IF(AND(B485&gt;=Events!$A487,B485&lt;=$B$2,B485+$A485&gt;=$B$1),B485,IF(AND(C485&gt;=Events!$A487,C485&lt;=$B$2,C485+$A485&gt;=$B$1),C485,IF(AND(D485&gt;=Events!$A487,D485&lt;=$B$2,D485+$A485&gt;=$B$1),D485,""))),IF(AND(Events!$A487&lt;=$B$2,Events!$A487+$A485&gt;=$B$1),Events!$A487,"")),""))</f>
        <v/>
      </c>
      <c r="F485">
        <f>IF(E485="","",E485+A485)</f>
        <v/>
      </c>
      <c r="G485">
        <f>IF(E485="","",IF(AND(E485&lt;=EOMONTH(Calendar!$K$2,0),F485&gt;=Calendar!$K$2),E485+482/100000,""))</f>
        <v/>
      </c>
      <c r="H485">
        <f>H484+IF(AND($E485&lt;&gt;"",$E485&lt;=H$2,$F485&gt;=H$2),1,0)</f>
        <v/>
      </c>
      <c r="I485">
        <f>I484+IF(AND($E485&lt;&gt;"",$E485&lt;=I$2,$F485&gt;=I$2),1,0)</f>
        <v/>
      </c>
      <c r="J485">
        <f>J484+IF(AND($E485&lt;&gt;"",$E485&lt;=J$2,$F485&gt;=J$2),1,0)</f>
        <v/>
      </c>
      <c r="K485">
        <f>K484+IF(AND($E485&lt;&gt;"",$E485&lt;=K$2,$F485&gt;=K$2),1,0)</f>
        <v/>
      </c>
      <c r="L485">
        <f>L484+IF(AND($E485&lt;&gt;"",$E485&lt;=L$2,$F485&gt;=L$2),1,0)</f>
        <v/>
      </c>
      <c r="M485">
        <f>M484+IF(AND($E485&lt;&gt;"",$E485&lt;=M$2,$F485&gt;=M$2),1,0)</f>
        <v/>
      </c>
      <c r="N485">
        <f>N484+IF(AND($E485&lt;&gt;"",$E485&lt;=N$2,$F485&gt;=N$2),1,0)</f>
        <v/>
      </c>
      <c r="O485">
        <f>O484+IF(AND($E485&lt;&gt;"",$E485&lt;=O$2,$F485&gt;=O$2),1,0)</f>
        <v/>
      </c>
      <c r="P485">
        <f>P484+IF(AND($E485&lt;&gt;"",$E485&lt;=P$2,$F485&gt;=P$2),1,0)</f>
        <v/>
      </c>
      <c r="Q485">
        <f>Q484+IF(AND($E485&lt;&gt;"",$E485&lt;=Q$2,$F485&gt;=Q$2),1,0)</f>
        <v/>
      </c>
      <c r="R485">
        <f>R484+IF(AND($E485&lt;&gt;"",$E485&lt;=R$2,$F485&gt;=R$2),1,0)</f>
        <v/>
      </c>
      <c r="S485">
        <f>S484+IF(AND($E485&lt;&gt;"",$E485&lt;=S$2,$F485&gt;=S$2),1,0)</f>
        <v/>
      </c>
      <c r="T485">
        <f>T484+IF(AND($E485&lt;&gt;"",$E485&lt;=T$2,$F485&gt;=T$2),1,0)</f>
        <v/>
      </c>
      <c r="U485">
        <f>U484+IF(AND($E485&lt;&gt;"",$E485&lt;=U$2,$F485&gt;=U$2),1,0)</f>
        <v/>
      </c>
      <c r="V485">
        <f>V484+IF(AND($E485&lt;&gt;"",$E485&lt;=V$2,$F485&gt;=V$2),1,0)</f>
        <v/>
      </c>
      <c r="W485">
        <f>W484+IF(AND($E485&lt;&gt;"",$E485&lt;=W$2,$F485&gt;=W$2),1,0)</f>
        <v/>
      </c>
      <c r="X485">
        <f>X484+IF(AND($E485&lt;&gt;"",$E485&lt;=X$2,$F485&gt;=X$2),1,0)</f>
        <v/>
      </c>
      <c r="Y485">
        <f>Y484+IF(AND($E485&lt;&gt;"",$E485&lt;=Y$2,$F485&gt;=Y$2),1,0)</f>
        <v/>
      </c>
      <c r="Z485">
        <f>Z484+IF(AND($E485&lt;&gt;"",$E485&lt;=Z$2,$F485&gt;=Z$2),1,0)</f>
        <v/>
      </c>
      <c r="AA485">
        <f>AA484+IF(AND($E485&lt;&gt;"",$E485&lt;=AA$2,$F485&gt;=AA$2),1,0)</f>
        <v/>
      </c>
      <c r="AB485">
        <f>AB484+IF(AND($E485&lt;&gt;"",$E485&lt;=AB$2,$F485&gt;=AB$2),1,0)</f>
        <v/>
      </c>
      <c r="AC485">
        <f>AC484+IF(AND($E485&lt;&gt;"",$E485&lt;=AC$2,$F485&gt;=AC$2),1,0)</f>
        <v/>
      </c>
      <c r="AD485">
        <f>AD484+IF(AND($E485&lt;&gt;"",$E485&lt;=AD$2,$F485&gt;=AD$2),1,0)</f>
        <v/>
      </c>
      <c r="AE485">
        <f>AE484+IF(AND($E485&lt;&gt;"",$E485&lt;=AE$2,$F485&gt;=AE$2),1,0)</f>
        <v/>
      </c>
      <c r="AF485">
        <f>AF484+IF(AND($E485&lt;&gt;"",$E485&lt;=AF$2,$F485&gt;=AF$2),1,0)</f>
        <v/>
      </c>
      <c r="AG485">
        <f>AG484+IF(AND($E485&lt;&gt;"",$E485&lt;=AG$2,$F485&gt;=AG$2),1,0)</f>
        <v/>
      </c>
      <c r="AH485">
        <f>AH484+IF(AND($E485&lt;&gt;"",$E485&lt;=AH$2,$F485&gt;=AH$2),1,0)</f>
        <v/>
      </c>
      <c r="AI485">
        <f>AI484+IF(AND($E485&lt;&gt;"",$E485&lt;=AI$2,$F485&gt;=AI$2),1,0)</f>
        <v/>
      </c>
      <c r="AJ485">
        <f>AJ484+IF(AND($E485&lt;&gt;"",$E485&lt;=AJ$2,$F485&gt;=AJ$2),1,0)</f>
        <v/>
      </c>
      <c r="AK485">
        <f>AK484+IF(AND($E485&lt;&gt;"",$E485&lt;=AK$2,$F485&gt;=AK$2),1,0)</f>
        <v/>
      </c>
      <c r="AL485">
        <f>AL484+IF(AND($E485&lt;&gt;"",$E485&lt;=AL$2,$F485&gt;=AL$2),1,0)</f>
        <v/>
      </c>
      <c r="AM485">
        <f>AM484+IF(AND($E485&lt;&gt;"",$E485&lt;=AM$2,$F485&gt;=AM$2),1,0)</f>
        <v/>
      </c>
      <c r="AN485">
        <f>AN484+IF(AND($E485&lt;&gt;"",$E485&lt;=AN$2,$F485&gt;=AN$2),1,0)</f>
        <v/>
      </c>
      <c r="AO485">
        <f>AO484+IF(AND($E485&lt;&gt;"",$E485&lt;=AO$2,$F485&gt;=AO$2),1,0)</f>
        <v/>
      </c>
      <c r="AP485">
        <f>AP484+IF(AND($E485&lt;&gt;"",$E485&lt;=AP$2,$F485&gt;=AP$2),1,0)</f>
        <v/>
      </c>
      <c r="AQ485">
        <f>AQ484+IF(AND($E485&lt;&gt;"",$E485&lt;=AQ$2,$F485&gt;=AQ$2),1,0)</f>
        <v/>
      </c>
      <c r="AR485">
        <f>AR484+IF(AND($E485&lt;&gt;"",$E485&lt;=AR$2,$F485&gt;=AR$2),1,0)</f>
        <v/>
      </c>
      <c r="AS485">
        <f>AS484+IF(AND($E485&lt;&gt;"",$E485&lt;=AS$2,$F485&gt;=AS$2),1,0)</f>
        <v/>
      </c>
      <c r="AT485">
        <f>AT484+IF(AND($E485&lt;&gt;"",$E485&lt;=AT$2,$F485&gt;=AT$2),1,0)</f>
        <v/>
      </c>
      <c r="AU485">
        <f>AU484+IF(AND($E485&lt;&gt;"",$E485&lt;=AU$2,$F485&gt;=AU$2),1,0)</f>
        <v/>
      </c>
      <c r="AV485">
        <f>AV484+IF(AND($E485&lt;&gt;"",$E485&lt;=AV$2,$F485&gt;=AV$2),1,0)</f>
        <v/>
      </c>
      <c r="AW485">
        <f>AW484+IF(AND($E485&lt;&gt;"",$E485&lt;=AW$2,$F485&gt;=AW$2),1,0)</f>
        <v/>
      </c>
    </row>
    <row r="486">
      <c r="A486">
        <f>IF(AND(ISNUMBER(Events!$A488),ISNUMBER(Events!$B488)),MAX(0,Events!$B488-Events!$A488),0)</f>
        <v/>
      </c>
      <c r="B486">
        <f>IF(ISNUMBER(Events!$A488),DATE(YEAR($B$1)-1,MONTH(Events!$A488),DAY(Events!$A488)),"")</f>
        <v/>
      </c>
      <c r="C486">
        <f>IF(ISNUMBER(Events!$A488),DATE(YEAR($B$1),MONTH(Events!$A488),DAY(Events!$A488)),"")</f>
        <v/>
      </c>
      <c r="D486">
        <f>IF(ISNUMBER(Events!$A488),DATE(YEAR($B$2),MONTH(Events!$A488),DAY(Events!$A488)),"")</f>
        <v/>
      </c>
      <c r="E486">
        <f>IF(OR(NOT(ISNUMBER(Events!$A488)),Events!$G488="No",Calendar!$H$4="None"),"",IF(OR(Calendar!$H$4="All events",Events!$D488=Calendar!$H$4),IF(Events!$E488="Yes",IF(AND(B486&gt;=Events!$A488,B486&lt;=$B$2,B486+$A486&gt;=$B$1),B486,IF(AND(C486&gt;=Events!$A488,C486&lt;=$B$2,C486+$A486&gt;=$B$1),C486,IF(AND(D486&gt;=Events!$A488,D486&lt;=$B$2,D486+$A486&gt;=$B$1),D486,""))),IF(AND(Events!$A488&lt;=$B$2,Events!$A488+$A486&gt;=$B$1),Events!$A488,"")),""))</f>
        <v/>
      </c>
      <c r="F486">
        <f>IF(E486="","",E486+A486)</f>
        <v/>
      </c>
      <c r="G486">
        <f>IF(E486="","",IF(AND(E486&lt;=EOMONTH(Calendar!$K$2,0),F486&gt;=Calendar!$K$2),E486+483/100000,""))</f>
        <v/>
      </c>
      <c r="H486">
        <f>H485+IF(AND($E486&lt;&gt;"",$E486&lt;=H$2,$F486&gt;=H$2),1,0)</f>
        <v/>
      </c>
      <c r="I486">
        <f>I485+IF(AND($E486&lt;&gt;"",$E486&lt;=I$2,$F486&gt;=I$2),1,0)</f>
        <v/>
      </c>
      <c r="J486">
        <f>J485+IF(AND($E486&lt;&gt;"",$E486&lt;=J$2,$F486&gt;=J$2),1,0)</f>
        <v/>
      </c>
      <c r="K486">
        <f>K485+IF(AND($E486&lt;&gt;"",$E486&lt;=K$2,$F486&gt;=K$2),1,0)</f>
        <v/>
      </c>
      <c r="L486">
        <f>L485+IF(AND($E486&lt;&gt;"",$E486&lt;=L$2,$F486&gt;=L$2),1,0)</f>
        <v/>
      </c>
      <c r="M486">
        <f>M485+IF(AND($E486&lt;&gt;"",$E486&lt;=M$2,$F486&gt;=M$2),1,0)</f>
        <v/>
      </c>
      <c r="N486">
        <f>N485+IF(AND($E486&lt;&gt;"",$E486&lt;=N$2,$F486&gt;=N$2),1,0)</f>
        <v/>
      </c>
      <c r="O486">
        <f>O485+IF(AND($E486&lt;&gt;"",$E486&lt;=O$2,$F486&gt;=O$2),1,0)</f>
        <v/>
      </c>
      <c r="P486">
        <f>P485+IF(AND($E486&lt;&gt;"",$E486&lt;=P$2,$F486&gt;=P$2),1,0)</f>
        <v/>
      </c>
      <c r="Q486">
        <f>Q485+IF(AND($E486&lt;&gt;"",$E486&lt;=Q$2,$F486&gt;=Q$2),1,0)</f>
        <v/>
      </c>
      <c r="R486">
        <f>R485+IF(AND($E486&lt;&gt;"",$E486&lt;=R$2,$F486&gt;=R$2),1,0)</f>
        <v/>
      </c>
      <c r="S486">
        <f>S485+IF(AND($E486&lt;&gt;"",$E486&lt;=S$2,$F486&gt;=S$2),1,0)</f>
        <v/>
      </c>
      <c r="T486">
        <f>T485+IF(AND($E486&lt;&gt;"",$E486&lt;=T$2,$F486&gt;=T$2),1,0)</f>
        <v/>
      </c>
      <c r="U486">
        <f>U485+IF(AND($E486&lt;&gt;"",$E486&lt;=U$2,$F486&gt;=U$2),1,0)</f>
        <v/>
      </c>
      <c r="V486">
        <f>V485+IF(AND($E486&lt;&gt;"",$E486&lt;=V$2,$F486&gt;=V$2),1,0)</f>
        <v/>
      </c>
      <c r="W486">
        <f>W485+IF(AND($E486&lt;&gt;"",$E486&lt;=W$2,$F486&gt;=W$2),1,0)</f>
        <v/>
      </c>
      <c r="X486">
        <f>X485+IF(AND($E486&lt;&gt;"",$E486&lt;=X$2,$F486&gt;=X$2),1,0)</f>
        <v/>
      </c>
      <c r="Y486">
        <f>Y485+IF(AND($E486&lt;&gt;"",$E486&lt;=Y$2,$F486&gt;=Y$2),1,0)</f>
        <v/>
      </c>
      <c r="Z486">
        <f>Z485+IF(AND($E486&lt;&gt;"",$E486&lt;=Z$2,$F486&gt;=Z$2),1,0)</f>
        <v/>
      </c>
      <c r="AA486">
        <f>AA485+IF(AND($E486&lt;&gt;"",$E486&lt;=AA$2,$F486&gt;=AA$2),1,0)</f>
        <v/>
      </c>
      <c r="AB486">
        <f>AB485+IF(AND($E486&lt;&gt;"",$E486&lt;=AB$2,$F486&gt;=AB$2),1,0)</f>
        <v/>
      </c>
      <c r="AC486">
        <f>AC485+IF(AND($E486&lt;&gt;"",$E486&lt;=AC$2,$F486&gt;=AC$2),1,0)</f>
        <v/>
      </c>
      <c r="AD486">
        <f>AD485+IF(AND($E486&lt;&gt;"",$E486&lt;=AD$2,$F486&gt;=AD$2),1,0)</f>
        <v/>
      </c>
      <c r="AE486">
        <f>AE485+IF(AND($E486&lt;&gt;"",$E486&lt;=AE$2,$F486&gt;=AE$2),1,0)</f>
        <v/>
      </c>
      <c r="AF486">
        <f>AF485+IF(AND($E486&lt;&gt;"",$E486&lt;=AF$2,$F486&gt;=AF$2),1,0)</f>
        <v/>
      </c>
      <c r="AG486">
        <f>AG485+IF(AND($E486&lt;&gt;"",$E486&lt;=AG$2,$F486&gt;=AG$2),1,0)</f>
        <v/>
      </c>
      <c r="AH486">
        <f>AH485+IF(AND($E486&lt;&gt;"",$E486&lt;=AH$2,$F486&gt;=AH$2),1,0)</f>
        <v/>
      </c>
      <c r="AI486">
        <f>AI485+IF(AND($E486&lt;&gt;"",$E486&lt;=AI$2,$F486&gt;=AI$2),1,0)</f>
        <v/>
      </c>
      <c r="AJ486">
        <f>AJ485+IF(AND($E486&lt;&gt;"",$E486&lt;=AJ$2,$F486&gt;=AJ$2),1,0)</f>
        <v/>
      </c>
      <c r="AK486">
        <f>AK485+IF(AND($E486&lt;&gt;"",$E486&lt;=AK$2,$F486&gt;=AK$2),1,0)</f>
        <v/>
      </c>
      <c r="AL486">
        <f>AL485+IF(AND($E486&lt;&gt;"",$E486&lt;=AL$2,$F486&gt;=AL$2),1,0)</f>
        <v/>
      </c>
      <c r="AM486">
        <f>AM485+IF(AND($E486&lt;&gt;"",$E486&lt;=AM$2,$F486&gt;=AM$2),1,0)</f>
        <v/>
      </c>
      <c r="AN486">
        <f>AN485+IF(AND($E486&lt;&gt;"",$E486&lt;=AN$2,$F486&gt;=AN$2),1,0)</f>
        <v/>
      </c>
      <c r="AO486">
        <f>AO485+IF(AND($E486&lt;&gt;"",$E486&lt;=AO$2,$F486&gt;=AO$2),1,0)</f>
        <v/>
      </c>
      <c r="AP486">
        <f>AP485+IF(AND($E486&lt;&gt;"",$E486&lt;=AP$2,$F486&gt;=AP$2),1,0)</f>
        <v/>
      </c>
      <c r="AQ486">
        <f>AQ485+IF(AND($E486&lt;&gt;"",$E486&lt;=AQ$2,$F486&gt;=AQ$2),1,0)</f>
        <v/>
      </c>
      <c r="AR486">
        <f>AR485+IF(AND($E486&lt;&gt;"",$E486&lt;=AR$2,$F486&gt;=AR$2),1,0)</f>
        <v/>
      </c>
      <c r="AS486">
        <f>AS485+IF(AND($E486&lt;&gt;"",$E486&lt;=AS$2,$F486&gt;=AS$2),1,0)</f>
        <v/>
      </c>
      <c r="AT486">
        <f>AT485+IF(AND($E486&lt;&gt;"",$E486&lt;=AT$2,$F486&gt;=AT$2),1,0)</f>
        <v/>
      </c>
      <c r="AU486">
        <f>AU485+IF(AND($E486&lt;&gt;"",$E486&lt;=AU$2,$F486&gt;=AU$2),1,0)</f>
        <v/>
      </c>
      <c r="AV486">
        <f>AV485+IF(AND($E486&lt;&gt;"",$E486&lt;=AV$2,$F486&gt;=AV$2),1,0)</f>
        <v/>
      </c>
      <c r="AW486">
        <f>AW485+IF(AND($E486&lt;&gt;"",$E486&lt;=AW$2,$F486&gt;=AW$2),1,0)</f>
        <v/>
      </c>
    </row>
    <row r="487">
      <c r="A487">
        <f>IF(AND(ISNUMBER(Events!$A489),ISNUMBER(Events!$B489)),MAX(0,Events!$B489-Events!$A489),0)</f>
        <v/>
      </c>
      <c r="B487">
        <f>IF(ISNUMBER(Events!$A489),DATE(YEAR($B$1)-1,MONTH(Events!$A489),DAY(Events!$A489)),"")</f>
        <v/>
      </c>
      <c r="C487">
        <f>IF(ISNUMBER(Events!$A489),DATE(YEAR($B$1),MONTH(Events!$A489),DAY(Events!$A489)),"")</f>
        <v/>
      </c>
      <c r="D487">
        <f>IF(ISNUMBER(Events!$A489),DATE(YEAR($B$2),MONTH(Events!$A489),DAY(Events!$A489)),"")</f>
        <v/>
      </c>
      <c r="E487">
        <f>IF(OR(NOT(ISNUMBER(Events!$A489)),Events!$G489="No",Calendar!$H$4="None"),"",IF(OR(Calendar!$H$4="All events",Events!$D489=Calendar!$H$4),IF(Events!$E489="Yes",IF(AND(B487&gt;=Events!$A489,B487&lt;=$B$2,B487+$A487&gt;=$B$1),B487,IF(AND(C487&gt;=Events!$A489,C487&lt;=$B$2,C487+$A487&gt;=$B$1),C487,IF(AND(D487&gt;=Events!$A489,D487&lt;=$B$2,D487+$A487&gt;=$B$1),D487,""))),IF(AND(Events!$A489&lt;=$B$2,Events!$A489+$A487&gt;=$B$1),Events!$A489,"")),""))</f>
        <v/>
      </c>
      <c r="F487">
        <f>IF(E487="","",E487+A487)</f>
        <v/>
      </c>
      <c r="G487">
        <f>IF(E487="","",IF(AND(E487&lt;=EOMONTH(Calendar!$K$2,0),F487&gt;=Calendar!$K$2),E487+484/100000,""))</f>
        <v/>
      </c>
      <c r="H487">
        <f>H486+IF(AND($E487&lt;&gt;"",$E487&lt;=H$2,$F487&gt;=H$2),1,0)</f>
        <v/>
      </c>
      <c r="I487">
        <f>I486+IF(AND($E487&lt;&gt;"",$E487&lt;=I$2,$F487&gt;=I$2),1,0)</f>
        <v/>
      </c>
      <c r="J487">
        <f>J486+IF(AND($E487&lt;&gt;"",$E487&lt;=J$2,$F487&gt;=J$2),1,0)</f>
        <v/>
      </c>
      <c r="K487">
        <f>K486+IF(AND($E487&lt;&gt;"",$E487&lt;=K$2,$F487&gt;=K$2),1,0)</f>
        <v/>
      </c>
      <c r="L487">
        <f>L486+IF(AND($E487&lt;&gt;"",$E487&lt;=L$2,$F487&gt;=L$2),1,0)</f>
        <v/>
      </c>
      <c r="M487">
        <f>M486+IF(AND($E487&lt;&gt;"",$E487&lt;=M$2,$F487&gt;=M$2),1,0)</f>
        <v/>
      </c>
      <c r="N487">
        <f>N486+IF(AND($E487&lt;&gt;"",$E487&lt;=N$2,$F487&gt;=N$2),1,0)</f>
        <v/>
      </c>
      <c r="O487">
        <f>O486+IF(AND($E487&lt;&gt;"",$E487&lt;=O$2,$F487&gt;=O$2),1,0)</f>
        <v/>
      </c>
      <c r="P487">
        <f>P486+IF(AND($E487&lt;&gt;"",$E487&lt;=P$2,$F487&gt;=P$2),1,0)</f>
        <v/>
      </c>
      <c r="Q487">
        <f>Q486+IF(AND($E487&lt;&gt;"",$E487&lt;=Q$2,$F487&gt;=Q$2),1,0)</f>
        <v/>
      </c>
      <c r="R487">
        <f>R486+IF(AND($E487&lt;&gt;"",$E487&lt;=R$2,$F487&gt;=R$2),1,0)</f>
        <v/>
      </c>
      <c r="S487">
        <f>S486+IF(AND($E487&lt;&gt;"",$E487&lt;=S$2,$F487&gt;=S$2),1,0)</f>
        <v/>
      </c>
      <c r="T487">
        <f>T486+IF(AND($E487&lt;&gt;"",$E487&lt;=T$2,$F487&gt;=T$2),1,0)</f>
        <v/>
      </c>
      <c r="U487">
        <f>U486+IF(AND($E487&lt;&gt;"",$E487&lt;=U$2,$F487&gt;=U$2),1,0)</f>
        <v/>
      </c>
      <c r="V487">
        <f>V486+IF(AND($E487&lt;&gt;"",$E487&lt;=V$2,$F487&gt;=V$2),1,0)</f>
        <v/>
      </c>
      <c r="W487">
        <f>W486+IF(AND($E487&lt;&gt;"",$E487&lt;=W$2,$F487&gt;=W$2),1,0)</f>
        <v/>
      </c>
      <c r="X487">
        <f>X486+IF(AND($E487&lt;&gt;"",$E487&lt;=X$2,$F487&gt;=X$2),1,0)</f>
        <v/>
      </c>
      <c r="Y487">
        <f>Y486+IF(AND($E487&lt;&gt;"",$E487&lt;=Y$2,$F487&gt;=Y$2),1,0)</f>
        <v/>
      </c>
      <c r="Z487">
        <f>Z486+IF(AND($E487&lt;&gt;"",$E487&lt;=Z$2,$F487&gt;=Z$2),1,0)</f>
        <v/>
      </c>
      <c r="AA487">
        <f>AA486+IF(AND($E487&lt;&gt;"",$E487&lt;=AA$2,$F487&gt;=AA$2),1,0)</f>
        <v/>
      </c>
      <c r="AB487">
        <f>AB486+IF(AND($E487&lt;&gt;"",$E487&lt;=AB$2,$F487&gt;=AB$2),1,0)</f>
        <v/>
      </c>
      <c r="AC487">
        <f>AC486+IF(AND($E487&lt;&gt;"",$E487&lt;=AC$2,$F487&gt;=AC$2),1,0)</f>
        <v/>
      </c>
      <c r="AD487">
        <f>AD486+IF(AND($E487&lt;&gt;"",$E487&lt;=AD$2,$F487&gt;=AD$2),1,0)</f>
        <v/>
      </c>
      <c r="AE487">
        <f>AE486+IF(AND($E487&lt;&gt;"",$E487&lt;=AE$2,$F487&gt;=AE$2),1,0)</f>
        <v/>
      </c>
      <c r="AF487">
        <f>AF486+IF(AND($E487&lt;&gt;"",$E487&lt;=AF$2,$F487&gt;=AF$2),1,0)</f>
        <v/>
      </c>
      <c r="AG487">
        <f>AG486+IF(AND($E487&lt;&gt;"",$E487&lt;=AG$2,$F487&gt;=AG$2),1,0)</f>
        <v/>
      </c>
      <c r="AH487">
        <f>AH486+IF(AND($E487&lt;&gt;"",$E487&lt;=AH$2,$F487&gt;=AH$2),1,0)</f>
        <v/>
      </c>
      <c r="AI487">
        <f>AI486+IF(AND($E487&lt;&gt;"",$E487&lt;=AI$2,$F487&gt;=AI$2),1,0)</f>
        <v/>
      </c>
      <c r="AJ487">
        <f>AJ486+IF(AND($E487&lt;&gt;"",$E487&lt;=AJ$2,$F487&gt;=AJ$2),1,0)</f>
        <v/>
      </c>
      <c r="AK487">
        <f>AK486+IF(AND($E487&lt;&gt;"",$E487&lt;=AK$2,$F487&gt;=AK$2),1,0)</f>
        <v/>
      </c>
      <c r="AL487">
        <f>AL486+IF(AND($E487&lt;&gt;"",$E487&lt;=AL$2,$F487&gt;=AL$2),1,0)</f>
        <v/>
      </c>
      <c r="AM487">
        <f>AM486+IF(AND($E487&lt;&gt;"",$E487&lt;=AM$2,$F487&gt;=AM$2),1,0)</f>
        <v/>
      </c>
      <c r="AN487">
        <f>AN486+IF(AND($E487&lt;&gt;"",$E487&lt;=AN$2,$F487&gt;=AN$2),1,0)</f>
        <v/>
      </c>
      <c r="AO487">
        <f>AO486+IF(AND($E487&lt;&gt;"",$E487&lt;=AO$2,$F487&gt;=AO$2),1,0)</f>
        <v/>
      </c>
      <c r="AP487">
        <f>AP486+IF(AND($E487&lt;&gt;"",$E487&lt;=AP$2,$F487&gt;=AP$2),1,0)</f>
        <v/>
      </c>
      <c r="AQ487">
        <f>AQ486+IF(AND($E487&lt;&gt;"",$E487&lt;=AQ$2,$F487&gt;=AQ$2),1,0)</f>
        <v/>
      </c>
      <c r="AR487">
        <f>AR486+IF(AND($E487&lt;&gt;"",$E487&lt;=AR$2,$F487&gt;=AR$2),1,0)</f>
        <v/>
      </c>
      <c r="AS487">
        <f>AS486+IF(AND($E487&lt;&gt;"",$E487&lt;=AS$2,$F487&gt;=AS$2),1,0)</f>
        <v/>
      </c>
      <c r="AT487">
        <f>AT486+IF(AND($E487&lt;&gt;"",$E487&lt;=AT$2,$F487&gt;=AT$2),1,0)</f>
        <v/>
      </c>
      <c r="AU487">
        <f>AU486+IF(AND($E487&lt;&gt;"",$E487&lt;=AU$2,$F487&gt;=AU$2),1,0)</f>
        <v/>
      </c>
      <c r="AV487">
        <f>AV486+IF(AND($E487&lt;&gt;"",$E487&lt;=AV$2,$F487&gt;=AV$2),1,0)</f>
        <v/>
      </c>
      <c r="AW487">
        <f>AW486+IF(AND($E487&lt;&gt;"",$E487&lt;=AW$2,$F487&gt;=AW$2),1,0)</f>
        <v/>
      </c>
    </row>
    <row r="488">
      <c r="A488">
        <f>IF(AND(ISNUMBER(Events!$A490),ISNUMBER(Events!$B490)),MAX(0,Events!$B490-Events!$A490),0)</f>
        <v/>
      </c>
      <c r="B488">
        <f>IF(ISNUMBER(Events!$A490),DATE(YEAR($B$1)-1,MONTH(Events!$A490),DAY(Events!$A490)),"")</f>
        <v/>
      </c>
      <c r="C488">
        <f>IF(ISNUMBER(Events!$A490),DATE(YEAR($B$1),MONTH(Events!$A490),DAY(Events!$A490)),"")</f>
        <v/>
      </c>
      <c r="D488">
        <f>IF(ISNUMBER(Events!$A490),DATE(YEAR($B$2),MONTH(Events!$A490),DAY(Events!$A490)),"")</f>
        <v/>
      </c>
      <c r="E488">
        <f>IF(OR(NOT(ISNUMBER(Events!$A490)),Events!$G490="No",Calendar!$H$4="None"),"",IF(OR(Calendar!$H$4="All events",Events!$D490=Calendar!$H$4),IF(Events!$E490="Yes",IF(AND(B488&gt;=Events!$A490,B488&lt;=$B$2,B488+$A488&gt;=$B$1),B488,IF(AND(C488&gt;=Events!$A490,C488&lt;=$B$2,C488+$A488&gt;=$B$1),C488,IF(AND(D488&gt;=Events!$A490,D488&lt;=$B$2,D488+$A488&gt;=$B$1),D488,""))),IF(AND(Events!$A490&lt;=$B$2,Events!$A490+$A488&gt;=$B$1),Events!$A490,"")),""))</f>
        <v/>
      </c>
      <c r="F488">
        <f>IF(E488="","",E488+A488)</f>
        <v/>
      </c>
      <c r="G488">
        <f>IF(E488="","",IF(AND(E488&lt;=EOMONTH(Calendar!$K$2,0),F488&gt;=Calendar!$K$2),E488+485/100000,""))</f>
        <v/>
      </c>
      <c r="H488">
        <f>H487+IF(AND($E488&lt;&gt;"",$E488&lt;=H$2,$F488&gt;=H$2),1,0)</f>
        <v/>
      </c>
      <c r="I488">
        <f>I487+IF(AND($E488&lt;&gt;"",$E488&lt;=I$2,$F488&gt;=I$2),1,0)</f>
        <v/>
      </c>
      <c r="J488">
        <f>J487+IF(AND($E488&lt;&gt;"",$E488&lt;=J$2,$F488&gt;=J$2),1,0)</f>
        <v/>
      </c>
      <c r="K488">
        <f>K487+IF(AND($E488&lt;&gt;"",$E488&lt;=K$2,$F488&gt;=K$2),1,0)</f>
        <v/>
      </c>
      <c r="L488">
        <f>L487+IF(AND($E488&lt;&gt;"",$E488&lt;=L$2,$F488&gt;=L$2),1,0)</f>
        <v/>
      </c>
      <c r="M488">
        <f>M487+IF(AND($E488&lt;&gt;"",$E488&lt;=M$2,$F488&gt;=M$2),1,0)</f>
        <v/>
      </c>
      <c r="N488">
        <f>N487+IF(AND($E488&lt;&gt;"",$E488&lt;=N$2,$F488&gt;=N$2),1,0)</f>
        <v/>
      </c>
      <c r="O488">
        <f>O487+IF(AND($E488&lt;&gt;"",$E488&lt;=O$2,$F488&gt;=O$2),1,0)</f>
        <v/>
      </c>
      <c r="P488">
        <f>P487+IF(AND($E488&lt;&gt;"",$E488&lt;=P$2,$F488&gt;=P$2),1,0)</f>
        <v/>
      </c>
      <c r="Q488">
        <f>Q487+IF(AND($E488&lt;&gt;"",$E488&lt;=Q$2,$F488&gt;=Q$2),1,0)</f>
        <v/>
      </c>
      <c r="R488">
        <f>R487+IF(AND($E488&lt;&gt;"",$E488&lt;=R$2,$F488&gt;=R$2),1,0)</f>
        <v/>
      </c>
      <c r="S488">
        <f>S487+IF(AND($E488&lt;&gt;"",$E488&lt;=S$2,$F488&gt;=S$2),1,0)</f>
        <v/>
      </c>
      <c r="T488">
        <f>T487+IF(AND($E488&lt;&gt;"",$E488&lt;=T$2,$F488&gt;=T$2),1,0)</f>
        <v/>
      </c>
      <c r="U488">
        <f>U487+IF(AND($E488&lt;&gt;"",$E488&lt;=U$2,$F488&gt;=U$2),1,0)</f>
        <v/>
      </c>
      <c r="V488">
        <f>V487+IF(AND($E488&lt;&gt;"",$E488&lt;=V$2,$F488&gt;=V$2),1,0)</f>
        <v/>
      </c>
      <c r="W488">
        <f>W487+IF(AND($E488&lt;&gt;"",$E488&lt;=W$2,$F488&gt;=W$2),1,0)</f>
        <v/>
      </c>
      <c r="X488">
        <f>X487+IF(AND($E488&lt;&gt;"",$E488&lt;=X$2,$F488&gt;=X$2),1,0)</f>
        <v/>
      </c>
      <c r="Y488">
        <f>Y487+IF(AND($E488&lt;&gt;"",$E488&lt;=Y$2,$F488&gt;=Y$2),1,0)</f>
        <v/>
      </c>
      <c r="Z488">
        <f>Z487+IF(AND($E488&lt;&gt;"",$E488&lt;=Z$2,$F488&gt;=Z$2),1,0)</f>
        <v/>
      </c>
      <c r="AA488">
        <f>AA487+IF(AND($E488&lt;&gt;"",$E488&lt;=AA$2,$F488&gt;=AA$2),1,0)</f>
        <v/>
      </c>
      <c r="AB488">
        <f>AB487+IF(AND($E488&lt;&gt;"",$E488&lt;=AB$2,$F488&gt;=AB$2),1,0)</f>
        <v/>
      </c>
      <c r="AC488">
        <f>AC487+IF(AND($E488&lt;&gt;"",$E488&lt;=AC$2,$F488&gt;=AC$2),1,0)</f>
        <v/>
      </c>
      <c r="AD488">
        <f>AD487+IF(AND($E488&lt;&gt;"",$E488&lt;=AD$2,$F488&gt;=AD$2),1,0)</f>
        <v/>
      </c>
      <c r="AE488">
        <f>AE487+IF(AND($E488&lt;&gt;"",$E488&lt;=AE$2,$F488&gt;=AE$2),1,0)</f>
        <v/>
      </c>
      <c r="AF488">
        <f>AF487+IF(AND($E488&lt;&gt;"",$E488&lt;=AF$2,$F488&gt;=AF$2),1,0)</f>
        <v/>
      </c>
      <c r="AG488">
        <f>AG487+IF(AND($E488&lt;&gt;"",$E488&lt;=AG$2,$F488&gt;=AG$2),1,0)</f>
        <v/>
      </c>
      <c r="AH488">
        <f>AH487+IF(AND($E488&lt;&gt;"",$E488&lt;=AH$2,$F488&gt;=AH$2),1,0)</f>
        <v/>
      </c>
      <c r="AI488">
        <f>AI487+IF(AND($E488&lt;&gt;"",$E488&lt;=AI$2,$F488&gt;=AI$2),1,0)</f>
        <v/>
      </c>
      <c r="AJ488">
        <f>AJ487+IF(AND($E488&lt;&gt;"",$E488&lt;=AJ$2,$F488&gt;=AJ$2),1,0)</f>
        <v/>
      </c>
      <c r="AK488">
        <f>AK487+IF(AND($E488&lt;&gt;"",$E488&lt;=AK$2,$F488&gt;=AK$2),1,0)</f>
        <v/>
      </c>
      <c r="AL488">
        <f>AL487+IF(AND($E488&lt;&gt;"",$E488&lt;=AL$2,$F488&gt;=AL$2),1,0)</f>
        <v/>
      </c>
      <c r="AM488">
        <f>AM487+IF(AND($E488&lt;&gt;"",$E488&lt;=AM$2,$F488&gt;=AM$2),1,0)</f>
        <v/>
      </c>
      <c r="AN488">
        <f>AN487+IF(AND($E488&lt;&gt;"",$E488&lt;=AN$2,$F488&gt;=AN$2),1,0)</f>
        <v/>
      </c>
      <c r="AO488">
        <f>AO487+IF(AND($E488&lt;&gt;"",$E488&lt;=AO$2,$F488&gt;=AO$2),1,0)</f>
        <v/>
      </c>
      <c r="AP488">
        <f>AP487+IF(AND($E488&lt;&gt;"",$E488&lt;=AP$2,$F488&gt;=AP$2),1,0)</f>
        <v/>
      </c>
      <c r="AQ488">
        <f>AQ487+IF(AND($E488&lt;&gt;"",$E488&lt;=AQ$2,$F488&gt;=AQ$2),1,0)</f>
        <v/>
      </c>
      <c r="AR488">
        <f>AR487+IF(AND($E488&lt;&gt;"",$E488&lt;=AR$2,$F488&gt;=AR$2),1,0)</f>
        <v/>
      </c>
      <c r="AS488">
        <f>AS487+IF(AND($E488&lt;&gt;"",$E488&lt;=AS$2,$F488&gt;=AS$2),1,0)</f>
        <v/>
      </c>
      <c r="AT488">
        <f>AT487+IF(AND($E488&lt;&gt;"",$E488&lt;=AT$2,$F488&gt;=AT$2),1,0)</f>
        <v/>
      </c>
      <c r="AU488">
        <f>AU487+IF(AND($E488&lt;&gt;"",$E488&lt;=AU$2,$F488&gt;=AU$2),1,0)</f>
        <v/>
      </c>
      <c r="AV488">
        <f>AV487+IF(AND($E488&lt;&gt;"",$E488&lt;=AV$2,$F488&gt;=AV$2),1,0)</f>
        <v/>
      </c>
      <c r="AW488">
        <f>AW487+IF(AND($E488&lt;&gt;"",$E488&lt;=AW$2,$F488&gt;=AW$2),1,0)</f>
        <v/>
      </c>
    </row>
    <row r="489">
      <c r="A489">
        <f>IF(AND(ISNUMBER(Events!$A491),ISNUMBER(Events!$B491)),MAX(0,Events!$B491-Events!$A491),0)</f>
        <v/>
      </c>
      <c r="B489">
        <f>IF(ISNUMBER(Events!$A491),DATE(YEAR($B$1)-1,MONTH(Events!$A491),DAY(Events!$A491)),"")</f>
        <v/>
      </c>
      <c r="C489">
        <f>IF(ISNUMBER(Events!$A491),DATE(YEAR($B$1),MONTH(Events!$A491),DAY(Events!$A491)),"")</f>
        <v/>
      </c>
      <c r="D489">
        <f>IF(ISNUMBER(Events!$A491),DATE(YEAR($B$2),MONTH(Events!$A491),DAY(Events!$A491)),"")</f>
        <v/>
      </c>
      <c r="E489">
        <f>IF(OR(NOT(ISNUMBER(Events!$A491)),Events!$G491="No",Calendar!$H$4="None"),"",IF(OR(Calendar!$H$4="All events",Events!$D491=Calendar!$H$4),IF(Events!$E491="Yes",IF(AND(B489&gt;=Events!$A491,B489&lt;=$B$2,B489+$A489&gt;=$B$1),B489,IF(AND(C489&gt;=Events!$A491,C489&lt;=$B$2,C489+$A489&gt;=$B$1),C489,IF(AND(D489&gt;=Events!$A491,D489&lt;=$B$2,D489+$A489&gt;=$B$1),D489,""))),IF(AND(Events!$A491&lt;=$B$2,Events!$A491+$A489&gt;=$B$1),Events!$A491,"")),""))</f>
        <v/>
      </c>
      <c r="F489">
        <f>IF(E489="","",E489+A489)</f>
        <v/>
      </c>
      <c r="G489">
        <f>IF(E489="","",IF(AND(E489&lt;=EOMONTH(Calendar!$K$2,0),F489&gt;=Calendar!$K$2),E489+486/100000,""))</f>
        <v/>
      </c>
      <c r="H489">
        <f>H488+IF(AND($E489&lt;&gt;"",$E489&lt;=H$2,$F489&gt;=H$2),1,0)</f>
        <v/>
      </c>
      <c r="I489">
        <f>I488+IF(AND($E489&lt;&gt;"",$E489&lt;=I$2,$F489&gt;=I$2),1,0)</f>
        <v/>
      </c>
      <c r="J489">
        <f>J488+IF(AND($E489&lt;&gt;"",$E489&lt;=J$2,$F489&gt;=J$2),1,0)</f>
        <v/>
      </c>
      <c r="K489">
        <f>K488+IF(AND($E489&lt;&gt;"",$E489&lt;=K$2,$F489&gt;=K$2),1,0)</f>
        <v/>
      </c>
      <c r="L489">
        <f>L488+IF(AND($E489&lt;&gt;"",$E489&lt;=L$2,$F489&gt;=L$2),1,0)</f>
        <v/>
      </c>
      <c r="M489">
        <f>M488+IF(AND($E489&lt;&gt;"",$E489&lt;=M$2,$F489&gt;=M$2),1,0)</f>
        <v/>
      </c>
      <c r="N489">
        <f>N488+IF(AND($E489&lt;&gt;"",$E489&lt;=N$2,$F489&gt;=N$2),1,0)</f>
        <v/>
      </c>
      <c r="O489">
        <f>O488+IF(AND($E489&lt;&gt;"",$E489&lt;=O$2,$F489&gt;=O$2),1,0)</f>
        <v/>
      </c>
      <c r="P489">
        <f>P488+IF(AND($E489&lt;&gt;"",$E489&lt;=P$2,$F489&gt;=P$2),1,0)</f>
        <v/>
      </c>
      <c r="Q489">
        <f>Q488+IF(AND($E489&lt;&gt;"",$E489&lt;=Q$2,$F489&gt;=Q$2),1,0)</f>
        <v/>
      </c>
      <c r="R489">
        <f>R488+IF(AND($E489&lt;&gt;"",$E489&lt;=R$2,$F489&gt;=R$2),1,0)</f>
        <v/>
      </c>
      <c r="S489">
        <f>S488+IF(AND($E489&lt;&gt;"",$E489&lt;=S$2,$F489&gt;=S$2),1,0)</f>
        <v/>
      </c>
      <c r="T489">
        <f>T488+IF(AND($E489&lt;&gt;"",$E489&lt;=T$2,$F489&gt;=T$2),1,0)</f>
        <v/>
      </c>
      <c r="U489">
        <f>U488+IF(AND($E489&lt;&gt;"",$E489&lt;=U$2,$F489&gt;=U$2),1,0)</f>
        <v/>
      </c>
      <c r="V489">
        <f>V488+IF(AND($E489&lt;&gt;"",$E489&lt;=V$2,$F489&gt;=V$2),1,0)</f>
        <v/>
      </c>
      <c r="W489">
        <f>W488+IF(AND($E489&lt;&gt;"",$E489&lt;=W$2,$F489&gt;=W$2),1,0)</f>
        <v/>
      </c>
      <c r="X489">
        <f>X488+IF(AND($E489&lt;&gt;"",$E489&lt;=X$2,$F489&gt;=X$2),1,0)</f>
        <v/>
      </c>
      <c r="Y489">
        <f>Y488+IF(AND($E489&lt;&gt;"",$E489&lt;=Y$2,$F489&gt;=Y$2),1,0)</f>
        <v/>
      </c>
      <c r="Z489">
        <f>Z488+IF(AND($E489&lt;&gt;"",$E489&lt;=Z$2,$F489&gt;=Z$2),1,0)</f>
        <v/>
      </c>
      <c r="AA489">
        <f>AA488+IF(AND($E489&lt;&gt;"",$E489&lt;=AA$2,$F489&gt;=AA$2),1,0)</f>
        <v/>
      </c>
      <c r="AB489">
        <f>AB488+IF(AND($E489&lt;&gt;"",$E489&lt;=AB$2,$F489&gt;=AB$2),1,0)</f>
        <v/>
      </c>
      <c r="AC489">
        <f>AC488+IF(AND($E489&lt;&gt;"",$E489&lt;=AC$2,$F489&gt;=AC$2),1,0)</f>
        <v/>
      </c>
      <c r="AD489">
        <f>AD488+IF(AND($E489&lt;&gt;"",$E489&lt;=AD$2,$F489&gt;=AD$2),1,0)</f>
        <v/>
      </c>
      <c r="AE489">
        <f>AE488+IF(AND($E489&lt;&gt;"",$E489&lt;=AE$2,$F489&gt;=AE$2),1,0)</f>
        <v/>
      </c>
      <c r="AF489">
        <f>AF488+IF(AND($E489&lt;&gt;"",$E489&lt;=AF$2,$F489&gt;=AF$2),1,0)</f>
        <v/>
      </c>
      <c r="AG489">
        <f>AG488+IF(AND($E489&lt;&gt;"",$E489&lt;=AG$2,$F489&gt;=AG$2),1,0)</f>
        <v/>
      </c>
      <c r="AH489">
        <f>AH488+IF(AND($E489&lt;&gt;"",$E489&lt;=AH$2,$F489&gt;=AH$2),1,0)</f>
        <v/>
      </c>
      <c r="AI489">
        <f>AI488+IF(AND($E489&lt;&gt;"",$E489&lt;=AI$2,$F489&gt;=AI$2),1,0)</f>
        <v/>
      </c>
      <c r="AJ489">
        <f>AJ488+IF(AND($E489&lt;&gt;"",$E489&lt;=AJ$2,$F489&gt;=AJ$2),1,0)</f>
        <v/>
      </c>
      <c r="AK489">
        <f>AK488+IF(AND($E489&lt;&gt;"",$E489&lt;=AK$2,$F489&gt;=AK$2),1,0)</f>
        <v/>
      </c>
      <c r="AL489">
        <f>AL488+IF(AND($E489&lt;&gt;"",$E489&lt;=AL$2,$F489&gt;=AL$2),1,0)</f>
        <v/>
      </c>
      <c r="AM489">
        <f>AM488+IF(AND($E489&lt;&gt;"",$E489&lt;=AM$2,$F489&gt;=AM$2),1,0)</f>
        <v/>
      </c>
      <c r="AN489">
        <f>AN488+IF(AND($E489&lt;&gt;"",$E489&lt;=AN$2,$F489&gt;=AN$2),1,0)</f>
        <v/>
      </c>
      <c r="AO489">
        <f>AO488+IF(AND($E489&lt;&gt;"",$E489&lt;=AO$2,$F489&gt;=AO$2),1,0)</f>
        <v/>
      </c>
      <c r="AP489">
        <f>AP488+IF(AND($E489&lt;&gt;"",$E489&lt;=AP$2,$F489&gt;=AP$2),1,0)</f>
        <v/>
      </c>
      <c r="AQ489">
        <f>AQ488+IF(AND($E489&lt;&gt;"",$E489&lt;=AQ$2,$F489&gt;=AQ$2),1,0)</f>
        <v/>
      </c>
      <c r="AR489">
        <f>AR488+IF(AND($E489&lt;&gt;"",$E489&lt;=AR$2,$F489&gt;=AR$2),1,0)</f>
        <v/>
      </c>
      <c r="AS489">
        <f>AS488+IF(AND($E489&lt;&gt;"",$E489&lt;=AS$2,$F489&gt;=AS$2),1,0)</f>
        <v/>
      </c>
      <c r="AT489">
        <f>AT488+IF(AND($E489&lt;&gt;"",$E489&lt;=AT$2,$F489&gt;=AT$2),1,0)</f>
        <v/>
      </c>
      <c r="AU489">
        <f>AU488+IF(AND($E489&lt;&gt;"",$E489&lt;=AU$2,$F489&gt;=AU$2),1,0)</f>
        <v/>
      </c>
      <c r="AV489">
        <f>AV488+IF(AND($E489&lt;&gt;"",$E489&lt;=AV$2,$F489&gt;=AV$2),1,0)</f>
        <v/>
      </c>
      <c r="AW489">
        <f>AW488+IF(AND($E489&lt;&gt;"",$E489&lt;=AW$2,$F489&gt;=AW$2),1,0)</f>
        <v/>
      </c>
    </row>
    <row r="490">
      <c r="A490">
        <f>IF(AND(ISNUMBER(Events!$A492),ISNUMBER(Events!$B492)),MAX(0,Events!$B492-Events!$A492),0)</f>
        <v/>
      </c>
      <c r="B490">
        <f>IF(ISNUMBER(Events!$A492),DATE(YEAR($B$1)-1,MONTH(Events!$A492),DAY(Events!$A492)),"")</f>
        <v/>
      </c>
      <c r="C490">
        <f>IF(ISNUMBER(Events!$A492),DATE(YEAR($B$1),MONTH(Events!$A492),DAY(Events!$A492)),"")</f>
        <v/>
      </c>
      <c r="D490">
        <f>IF(ISNUMBER(Events!$A492),DATE(YEAR($B$2),MONTH(Events!$A492),DAY(Events!$A492)),"")</f>
        <v/>
      </c>
      <c r="E490">
        <f>IF(OR(NOT(ISNUMBER(Events!$A492)),Events!$G492="No",Calendar!$H$4="None"),"",IF(OR(Calendar!$H$4="All events",Events!$D492=Calendar!$H$4),IF(Events!$E492="Yes",IF(AND(B490&gt;=Events!$A492,B490&lt;=$B$2,B490+$A490&gt;=$B$1),B490,IF(AND(C490&gt;=Events!$A492,C490&lt;=$B$2,C490+$A490&gt;=$B$1),C490,IF(AND(D490&gt;=Events!$A492,D490&lt;=$B$2,D490+$A490&gt;=$B$1),D490,""))),IF(AND(Events!$A492&lt;=$B$2,Events!$A492+$A490&gt;=$B$1),Events!$A492,"")),""))</f>
        <v/>
      </c>
      <c r="F490">
        <f>IF(E490="","",E490+A490)</f>
        <v/>
      </c>
      <c r="G490">
        <f>IF(E490="","",IF(AND(E490&lt;=EOMONTH(Calendar!$K$2,0),F490&gt;=Calendar!$K$2),E490+487/100000,""))</f>
        <v/>
      </c>
      <c r="H490">
        <f>H489+IF(AND($E490&lt;&gt;"",$E490&lt;=H$2,$F490&gt;=H$2),1,0)</f>
        <v/>
      </c>
      <c r="I490">
        <f>I489+IF(AND($E490&lt;&gt;"",$E490&lt;=I$2,$F490&gt;=I$2),1,0)</f>
        <v/>
      </c>
      <c r="J490">
        <f>J489+IF(AND($E490&lt;&gt;"",$E490&lt;=J$2,$F490&gt;=J$2),1,0)</f>
        <v/>
      </c>
      <c r="K490">
        <f>K489+IF(AND($E490&lt;&gt;"",$E490&lt;=K$2,$F490&gt;=K$2),1,0)</f>
        <v/>
      </c>
      <c r="L490">
        <f>L489+IF(AND($E490&lt;&gt;"",$E490&lt;=L$2,$F490&gt;=L$2),1,0)</f>
        <v/>
      </c>
      <c r="M490">
        <f>M489+IF(AND($E490&lt;&gt;"",$E490&lt;=M$2,$F490&gt;=M$2),1,0)</f>
        <v/>
      </c>
      <c r="N490">
        <f>N489+IF(AND($E490&lt;&gt;"",$E490&lt;=N$2,$F490&gt;=N$2),1,0)</f>
        <v/>
      </c>
      <c r="O490">
        <f>O489+IF(AND($E490&lt;&gt;"",$E490&lt;=O$2,$F490&gt;=O$2),1,0)</f>
        <v/>
      </c>
      <c r="P490">
        <f>P489+IF(AND($E490&lt;&gt;"",$E490&lt;=P$2,$F490&gt;=P$2),1,0)</f>
        <v/>
      </c>
      <c r="Q490">
        <f>Q489+IF(AND($E490&lt;&gt;"",$E490&lt;=Q$2,$F490&gt;=Q$2),1,0)</f>
        <v/>
      </c>
      <c r="R490">
        <f>R489+IF(AND($E490&lt;&gt;"",$E490&lt;=R$2,$F490&gt;=R$2),1,0)</f>
        <v/>
      </c>
      <c r="S490">
        <f>S489+IF(AND($E490&lt;&gt;"",$E490&lt;=S$2,$F490&gt;=S$2),1,0)</f>
        <v/>
      </c>
      <c r="T490">
        <f>T489+IF(AND($E490&lt;&gt;"",$E490&lt;=T$2,$F490&gt;=T$2),1,0)</f>
        <v/>
      </c>
      <c r="U490">
        <f>U489+IF(AND($E490&lt;&gt;"",$E490&lt;=U$2,$F490&gt;=U$2),1,0)</f>
        <v/>
      </c>
      <c r="V490">
        <f>V489+IF(AND($E490&lt;&gt;"",$E490&lt;=V$2,$F490&gt;=V$2),1,0)</f>
        <v/>
      </c>
      <c r="W490">
        <f>W489+IF(AND($E490&lt;&gt;"",$E490&lt;=W$2,$F490&gt;=W$2),1,0)</f>
        <v/>
      </c>
      <c r="X490">
        <f>X489+IF(AND($E490&lt;&gt;"",$E490&lt;=X$2,$F490&gt;=X$2),1,0)</f>
        <v/>
      </c>
      <c r="Y490">
        <f>Y489+IF(AND($E490&lt;&gt;"",$E490&lt;=Y$2,$F490&gt;=Y$2),1,0)</f>
        <v/>
      </c>
      <c r="Z490">
        <f>Z489+IF(AND($E490&lt;&gt;"",$E490&lt;=Z$2,$F490&gt;=Z$2),1,0)</f>
        <v/>
      </c>
      <c r="AA490">
        <f>AA489+IF(AND($E490&lt;&gt;"",$E490&lt;=AA$2,$F490&gt;=AA$2),1,0)</f>
        <v/>
      </c>
      <c r="AB490">
        <f>AB489+IF(AND($E490&lt;&gt;"",$E490&lt;=AB$2,$F490&gt;=AB$2),1,0)</f>
        <v/>
      </c>
      <c r="AC490">
        <f>AC489+IF(AND($E490&lt;&gt;"",$E490&lt;=AC$2,$F490&gt;=AC$2),1,0)</f>
        <v/>
      </c>
      <c r="AD490">
        <f>AD489+IF(AND($E490&lt;&gt;"",$E490&lt;=AD$2,$F490&gt;=AD$2),1,0)</f>
        <v/>
      </c>
      <c r="AE490">
        <f>AE489+IF(AND($E490&lt;&gt;"",$E490&lt;=AE$2,$F490&gt;=AE$2),1,0)</f>
        <v/>
      </c>
      <c r="AF490">
        <f>AF489+IF(AND($E490&lt;&gt;"",$E490&lt;=AF$2,$F490&gt;=AF$2),1,0)</f>
        <v/>
      </c>
      <c r="AG490">
        <f>AG489+IF(AND($E490&lt;&gt;"",$E490&lt;=AG$2,$F490&gt;=AG$2),1,0)</f>
        <v/>
      </c>
      <c r="AH490">
        <f>AH489+IF(AND($E490&lt;&gt;"",$E490&lt;=AH$2,$F490&gt;=AH$2),1,0)</f>
        <v/>
      </c>
      <c r="AI490">
        <f>AI489+IF(AND($E490&lt;&gt;"",$E490&lt;=AI$2,$F490&gt;=AI$2),1,0)</f>
        <v/>
      </c>
      <c r="AJ490">
        <f>AJ489+IF(AND($E490&lt;&gt;"",$E490&lt;=AJ$2,$F490&gt;=AJ$2),1,0)</f>
        <v/>
      </c>
      <c r="AK490">
        <f>AK489+IF(AND($E490&lt;&gt;"",$E490&lt;=AK$2,$F490&gt;=AK$2),1,0)</f>
        <v/>
      </c>
      <c r="AL490">
        <f>AL489+IF(AND($E490&lt;&gt;"",$E490&lt;=AL$2,$F490&gt;=AL$2),1,0)</f>
        <v/>
      </c>
      <c r="AM490">
        <f>AM489+IF(AND($E490&lt;&gt;"",$E490&lt;=AM$2,$F490&gt;=AM$2),1,0)</f>
        <v/>
      </c>
      <c r="AN490">
        <f>AN489+IF(AND($E490&lt;&gt;"",$E490&lt;=AN$2,$F490&gt;=AN$2),1,0)</f>
        <v/>
      </c>
      <c r="AO490">
        <f>AO489+IF(AND($E490&lt;&gt;"",$E490&lt;=AO$2,$F490&gt;=AO$2),1,0)</f>
        <v/>
      </c>
      <c r="AP490">
        <f>AP489+IF(AND($E490&lt;&gt;"",$E490&lt;=AP$2,$F490&gt;=AP$2),1,0)</f>
        <v/>
      </c>
      <c r="AQ490">
        <f>AQ489+IF(AND($E490&lt;&gt;"",$E490&lt;=AQ$2,$F490&gt;=AQ$2),1,0)</f>
        <v/>
      </c>
      <c r="AR490">
        <f>AR489+IF(AND($E490&lt;&gt;"",$E490&lt;=AR$2,$F490&gt;=AR$2),1,0)</f>
        <v/>
      </c>
      <c r="AS490">
        <f>AS489+IF(AND($E490&lt;&gt;"",$E490&lt;=AS$2,$F490&gt;=AS$2),1,0)</f>
        <v/>
      </c>
      <c r="AT490">
        <f>AT489+IF(AND($E490&lt;&gt;"",$E490&lt;=AT$2,$F490&gt;=AT$2),1,0)</f>
        <v/>
      </c>
      <c r="AU490">
        <f>AU489+IF(AND($E490&lt;&gt;"",$E490&lt;=AU$2,$F490&gt;=AU$2),1,0)</f>
        <v/>
      </c>
      <c r="AV490">
        <f>AV489+IF(AND($E490&lt;&gt;"",$E490&lt;=AV$2,$F490&gt;=AV$2),1,0)</f>
        <v/>
      </c>
      <c r="AW490">
        <f>AW489+IF(AND($E490&lt;&gt;"",$E490&lt;=AW$2,$F490&gt;=AW$2),1,0)</f>
        <v/>
      </c>
    </row>
    <row r="491">
      <c r="A491">
        <f>IF(AND(ISNUMBER(Events!$A493),ISNUMBER(Events!$B493)),MAX(0,Events!$B493-Events!$A493),0)</f>
        <v/>
      </c>
      <c r="B491">
        <f>IF(ISNUMBER(Events!$A493),DATE(YEAR($B$1)-1,MONTH(Events!$A493),DAY(Events!$A493)),"")</f>
        <v/>
      </c>
      <c r="C491">
        <f>IF(ISNUMBER(Events!$A493),DATE(YEAR($B$1),MONTH(Events!$A493),DAY(Events!$A493)),"")</f>
        <v/>
      </c>
      <c r="D491">
        <f>IF(ISNUMBER(Events!$A493),DATE(YEAR($B$2),MONTH(Events!$A493),DAY(Events!$A493)),"")</f>
        <v/>
      </c>
      <c r="E491">
        <f>IF(OR(NOT(ISNUMBER(Events!$A493)),Events!$G493="No",Calendar!$H$4="None"),"",IF(OR(Calendar!$H$4="All events",Events!$D493=Calendar!$H$4),IF(Events!$E493="Yes",IF(AND(B491&gt;=Events!$A493,B491&lt;=$B$2,B491+$A491&gt;=$B$1),B491,IF(AND(C491&gt;=Events!$A493,C491&lt;=$B$2,C491+$A491&gt;=$B$1),C491,IF(AND(D491&gt;=Events!$A493,D491&lt;=$B$2,D491+$A491&gt;=$B$1),D491,""))),IF(AND(Events!$A493&lt;=$B$2,Events!$A493+$A491&gt;=$B$1),Events!$A493,"")),""))</f>
        <v/>
      </c>
      <c r="F491">
        <f>IF(E491="","",E491+A491)</f>
        <v/>
      </c>
      <c r="G491">
        <f>IF(E491="","",IF(AND(E491&lt;=EOMONTH(Calendar!$K$2,0),F491&gt;=Calendar!$K$2),E491+488/100000,""))</f>
        <v/>
      </c>
      <c r="H491">
        <f>H490+IF(AND($E491&lt;&gt;"",$E491&lt;=H$2,$F491&gt;=H$2),1,0)</f>
        <v/>
      </c>
      <c r="I491">
        <f>I490+IF(AND($E491&lt;&gt;"",$E491&lt;=I$2,$F491&gt;=I$2),1,0)</f>
        <v/>
      </c>
      <c r="J491">
        <f>J490+IF(AND($E491&lt;&gt;"",$E491&lt;=J$2,$F491&gt;=J$2),1,0)</f>
        <v/>
      </c>
      <c r="K491">
        <f>K490+IF(AND($E491&lt;&gt;"",$E491&lt;=K$2,$F491&gt;=K$2),1,0)</f>
        <v/>
      </c>
      <c r="L491">
        <f>L490+IF(AND($E491&lt;&gt;"",$E491&lt;=L$2,$F491&gt;=L$2),1,0)</f>
        <v/>
      </c>
      <c r="M491">
        <f>M490+IF(AND($E491&lt;&gt;"",$E491&lt;=M$2,$F491&gt;=M$2),1,0)</f>
        <v/>
      </c>
      <c r="N491">
        <f>N490+IF(AND($E491&lt;&gt;"",$E491&lt;=N$2,$F491&gt;=N$2),1,0)</f>
        <v/>
      </c>
      <c r="O491">
        <f>O490+IF(AND($E491&lt;&gt;"",$E491&lt;=O$2,$F491&gt;=O$2),1,0)</f>
        <v/>
      </c>
      <c r="P491">
        <f>P490+IF(AND($E491&lt;&gt;"",$E491&lt;=P$2,$F491&gt;=P$2),1,0)</f>
        <v/>
      </c>
      <c r="Q491">
        <f>Q490+IF(AND($E491&lt;&gt;"",$E491&lt;=Q$2,$F491&gt;=Q$2),1,0)</f>
        <v/>
      </c>
      <c r="R491">
        <f>R490+IF(AND($E491&lt;&gt;"",$E491&lt;=R$2,$F491&gt;=R$2),1,0)</f>
        <v/>
      </c>
      <c r="S491">
        <f>S490+IF(AND($E491&lt;&gt;"",$E491&lt;=S$2,$F491&gt;=S$2),1,0)</f>
        <v/>
      </c>
      <c r="T491">
        <f>T490+IF(AND($E491&lt;&gt;"",$E491&lt;=T$2,$F491&gt;=T$2),1,0)</f>
        <v/>
      </c>
      <c r="U491">
        <f>U490+IF(AND($E491&lt;&gt;"",$E491&lt;=U$2,$F491&gt;=U$2),1,0)</f>
        <v/>
      </c>
      <c r="V491">
        <f>V490+IF(AND($E491&lt;&gt;"",$E491&lt;=V$2,$F491&gt;=V$2),1,0)</f>
        <v/>
      </c>
      <c r="W491">
        <f>W490+IF(AND($E491&lt;&gt;"",$E491&lt;=W$2,$F491&gt;=W$2),1,0)</f>
        <v/>
      </c>
      <c r="X491">
        <f>X490+IF(AND($E491&lt;&gt;"",$E491&lt;=X$2,$F491&gt;=X$2),1,0)</f>
        <v/>
      </c>
      <c r="Y491">
        <f>Y490+IF(AND($E491&lt;&gt;"",$E491&lt;=Y$2,$F491&gt;=Y$2),1,0)</f>
        <v/>
      </c>
      <c r="Z491">
        <f>Z490+IF(AND($E491&lt;&gt;"",$E491&lt;=Z$2,$F491&gt;=Z$2),1,0)</f>
        <v/>
      </c>
      <c r="AA491">
        <f>AA490+IF(AND($E491&lt;&gt;"",$E491&lt;=AA$2,$F491&gt;=AA$2),1,0)</f>
        <v/>
      </c>
      <c r="AB491">
        <f>AB490+IF(AND($E491&lt;&gt;"",$E491&lt;=AB$2,$F491&gt;=AB$2),1,0)</f>
        <v/>
      </c>
      <c r="AC491">
        <f>AC490+IF(AND($E491&lt;&gt;"",$E491&lt;=AC$2,$F491&gt;=AC$2),1,0)</f>
        <v/>
      </c>
      <c r="AD491">
        <f>AD490+IF(AND($E491&lt;&gt;"",$E491&lt;=AD$2,$F491&gt;=AD$2),1,0)</f>
        <v/>
      </c>
      <c r="AE491">
        <f>AE490+IF(AND($E491&lt;&gt;"",$E491&lt;=AE$2,$F491&gt;=AE$2),1,0)</f>
        <v/>
      </c>
      <c r="AF491">
        <f>AF490+IF(AND($E491&lt;&gt;"",$E491&lt;=AF$2,$F491&gt;=AF$2),1,0)</f>
        <v/>
      </c>
      <c r="AG491">
        <f>AG490+IF(AND($E491&lt;&gt;"",$E491&lt;=AG$2,$F491&gt;=AG$2),1,0)</f>
        <v/>
      </c>
      <c r="AH491">
        <f>AH490+IF(AND($E491&lt;&gt;"",$E491&lt;=AH$2,$F491&gt;=AH$2),1,0)</f>
        <v/>
      </c>
      <c r="AI491">
        <f>AI490+IF(AND($E491&lt;&gt;"",$E491&lt;=AI$2,$F491&gt;=AI$2),1,0)</f>
        <v/>
      </c>
      <c r="AJ491">
        <f>AJ490+IF(AND($E491&lt;&gt;"",$E491&lt;=AJ$2,$F491&gt;=AJ$2),1,0)</f>
        <v/>
      </c>
      <c r="AK491">
        <f>AK490+IF(AND($E491&lt;&gt;"",$E491&lt;=AK$2,$F491&gt;=AK$2),1,0)</f>
        <v/>
      </c>
      <c r="AL491">
        <f>AL490+IF(AND($E491&lt;&gt;"",$E491&lt;=AL$2,$F491&gt;=AL$2),1,0)</f>
        <v/>
      </c>
      <c r="AM491">
        <f>AM490+IF(AND($E491&lt;&gt;"",$E491&lt;=AM$2,$F491&gt;=AM$2),1,0)</f>
        <v/>
      </c>
      <c r="AN491">
        <f>AN490+IF(AND($E491&lt;&gt;"",$E491&lt;=AN$2,$F491&gt;=AN$2),1,0)</f>
        <v/>
      </c>
      <c r="AO491">
        <f>AO490+IF(AND($E491&lt;&gt;"",$E491&lt;=AO$2,$F491&gt;=AO$2),1,0)</f>
        <v/>
      </c>
      <c r="AP491">
        <f>AP490+IF(AND($E491&lt;&gt;"",$E491&lt;=AP$2,$F491&gt;=AP$2),1,0)</f>
        <v/>
      </c>
      <c r="AQ491">
        <f>AQ490+IF(AND($E491&lt;&gt;"",$E491&lt;=AQ$2,$F491&gt;=AQ$2),1,0)</f>
        <v/>
      </c>
      <c r="AR491">
        <f>AR490+IF(AND($E491&lt;&gt;"",$E491&lt;=AR$2,$F491&gt;=AR$2),1,0)</f>
        <v/>
      </c>
      <c r="AS491">
        <f>AS490+IF(AND($E491&lt;&gt;"",$E491&lt;=AS$2,$F491&gt;=AS$2),1,0)</f>
        <v/>
      </c>
      <c r="AT491">
        <f>AT490+IF(AND($E491&lt;&gt;"",$E491&lt;=AT$2,$F491&gt;=AT$2),1,0)</f>
        <v/>
      </c>
      <c r="AU491">
        <f>AU490+IF(AND($E491&lt;&gt;"",$E491&lt;=AU$2,$F491&gt;=AU$2),1,0)</f>
        <v/>
      </c>
      <c r="AV491">
        <f>AV490+IF(AND($E491&lt;&gt;"",$E491&lt;=AV$2,$F491&gt;=AV$2),1,0)</f>
        <v/>
      </c>
      <c r="AW491">
        <f>AW490+IF(AND($E491&lt;&gt;"",$E491&lt;=AW$2,$F491&gt;=AW$2),1,0)</f>
        <v/>
      </c>
    </row>
    <row r="492">
      <c r="A492">
        <f>IF(AND(ISNUMBER(Events!$A494),ISNUMBER(Events!$B494)),MAX(0,Events!$B494-Events!$A494),0)</f>
        <v/>
      </c>
      <c r="B492">
        <f>IF(ISNUMBER(Events!$A494),DATE(YEAR($B$1)-1,MONTH(Events!$A494),DAY(Events!$A494)),"")</f>
        <v/>
      </c>
      <c r="C492">
        <f>IF(ISNUMBER(Events!$A494),DATE(YEAR($B$1),MONTH(Events!$A494),DAY(Events!$A494)),"")</f>
        <v/>
      </c>
      <c r="D492">
        <f>IF(ISNUMBER(Events!$A494),DATE(YEAR($B$2),MONTH(Events!$A494),DAY(Events!$A494)),"")</f>
        <v/>
      </c>
      <c r="E492">
        <f>IF(OR(NOT(ISNUMBER(Events!$A494)),Events!$G494="No",Calendar!$H$4="None"),"",IF(OR(Calendar!$H$4="All events",Events!$D494=Calendar!$H$4),IF(Events!$E494="Yes",IF(AND(B492&gt;=Events!$A494,B492&lt;=$B$2,B492+$A492&gt;=$B$1),B492,IF(AND(C492&gt;=Events!$A494,C492&lt;=$B$2,C492+$A492&gt;=$B$1),C492,IF(AND(D492&gt;=Events!$A494,D492&lt;=$B$2,D492+$A492&gt;=$B$1),D492,""))),IF(AND(Events!$A494&lt;=$B$2,Events!$A494+$A492&gt;=$B$1),Events!$A494,"")),""))</f>
        <v/>
      </c>
      <c r="F492">
        <f>IF(E492="","",E492+A492)</f>
        <v/>
      </c>
      <c r="G492">
        <f>IF(E492="","",IF(AND(E492&lt;=EOMONTH(Calendar!$K$2,0),F492&gt;=Calendar!$K$2),E492+489/100000,""))</f>
        <v/>
      </c>
      <c r="H492">
        <f>H491+IF(AND($E492&lt;&gt;"",$E492&lt;=H$2,$F492&gt;=H$2),1,0)</f>
        <v/>
      </c>
      <c r="I492">
        <f>I491+IF(AND($E492&lt;&gt;"",$E492&lt;=I$2,$F492&gt;=I$2),1,0)</f>
        <v/>
      </c>
      <c r="J492">
        <f>J491+IF(AND($E492&lt;&gt;"",$E492&lt;=J$2,$F492&gt;=J$2),1,0)</f>
        <v/>
      </c>
      <c r="K492">
        <f>K491+IF(AND($E492&lt;&gt;"",$E492&lt;=K$2,$F492&gt;=K$2),1,0)</f>
        <v/>
      </c>
      <c r="L492">
        <f>L491+IF(AND($E492&lt;&gt;"",$E492&lt;=L$2,$F492&gt;=L$2),1,0)</f>
        <v/>
      </c>
      <c r="M492">
        <f>M491+IF(AND($E492&lt;&gt;"",$E492&lt;=M$2,$F492&gt;=M$2),1,0)</f>
        <v/>
      </c>
      <c r="N492">
        <f>N491+IF(AND($E492&lt;&gt;"",$E492&lt;=N$2,$F492&gt;=N$2),1,0)</f>
        <v/>
      </c>
      <c r="O492">
        <f>O491+IF(AND($E492&lt;&gt;"",$E492&lt;=O$2,$F492&gt;=O$2),1,0)</f>
        <v/>
      </c>
      <c r="P492">
        <f>P491+IF(AND($E492&lt;&gt;"",$E492&lt;=P$2,$F492&gt;=P$2),1,0)</f>
        <v/>
      </c>
      <c r="Q492">
        <f>Q491+IF(AND($E492&lt;&gt;"",$E492&lt;=Q$2,$F492&gt;=Q$2),1,0)</f>
        <v/>
      </c>
      <c r="R492">
        <f>R491+IF(AND($E492&lt;&gt;"",$E492&lt;=R$2,$F492&gt;=R$2),1,0)</f>
        <v/>
      </c>
      <c r="S492">
        <f>S491+IF(AND($E492&lt;&gt;"",$E492&lt;=S$2,$F492&gt;=S$2),1,0)</f>
        <v/>
      </c>
      <c r="T492">
        <f>T491+IF(AND($E492&lt;&gt;"",$E492&lt;=T$2,$F492&gt;=T$2),1,0)</f>
        <v/>
      </c>
      <c r="U492">
        <f>U491+IF(AND($E492&lt;&gt;"",$E492&lt;=U$2,$F492&gt;=U$2),1,0)</f>
        <v/>
      </c>
      <c r="V492">
        <f>V491+IF(AND($E492&lt;&gt;"",$E492&lt;=V$2,$F492&gt;=V$2),1,0)</f>
        <v/>
      </c>
      <c r="W492">
        <f>W491+IF(AND($E492&lt;&gt;"",$E492&lt;=W$2,$F492&gt;=W$2),1,0)</f>
        <v/>
      </c>
      <c r="X492">
        <f>X491+IF(AND($E492&lt;&gt;"",$E492&lt;=X$2,$F492&gt;=X$2),1,0)</f>
        <v/>
      </c>
      <c r="Y492">
        <f>Y491+IF(AND($E492&lt;&gt;"",$E492&lt;=Y$2,$F492&gt;=Y$2),1,0)</f>
        <v/>
      </c>
      <c r="Z492">
        <f>Z491+IF(AND($E492&lt;&gt;"",$E492&lt;=Z$2,$F492&gt;=Z$2),1,0)</f>
        <v/>
      </c>
      <c r="AA492">
        <f>AA491+IF(AND($E492&lt;&gt;"",$E492&lt;=AA$2,$F492&gt;=AA$2),1,0)</f>
        <v/>
      </c>
      <c r="AB492">
        <f>AB491+IF(AND($E492&lt;&gt;"",$E492&lt;=AB$2,$F492&gt;=AB$2),1,0)</f>
        <v/>
      </c>
      <c r="AC492">
        <f>AC491+IF(AND($E492&lt;&gt;"",$E492&lt;=AC$2,$F492&gt;=AC$2),1,0)</f>
        <v/>
      </c>
      <c r="AD492">
        <f>AD491+IF(AND($E492&lt;&gt;"",$E492&lt;=AD$2,$F492&gt;=AD$2),1,0)</f>
        <v/>
      </c>
      <c r="AE492">
        <f>AE491+IF(AND($E492&lt;&gt;"",$E492&lt;=AE$2,$F492&gt;=AE$2),1,0)</f>
        <v/>
      </c>
      <c r="AF492">
        <f>AF491+IF(AND($E492&lt;&gt;"",$E492&lt;=AF$2,$F492&gt;=AF$2),1,0)</f>
        <v/>
      </c>
      <c r="AG492">
        <f>AG491+IF(AND($E492&lt;&gt;"",$E492&lt;=AG$2,$F492&gt;=AG$2),1,0)</f>
        <v/>
      </c>
      <c r="AH492">
        <f>AH491+IF(AND($E492&lt;&gt;"",$E492&lt;=AH$2,$F492&gt;=AH$2),1,0)</f>
        <v/>
      </c>
      <c r="AI492">
        <f>AI491+IF(AND($E492&lt;&gt;"",$E492&lt;=AI$2,$F492&gt;=AI$2),1,0)</f>
        <v/>
      </c>
      <c r="AJ492">
        <f>AJ491+IF(AND($E492&lt;&gt;"",$E492&lt;=AJ$2,$F492&gt;=AJ$2),1,0)</f>
        <v/>
      </c>
      <c r="AK492">
        <f>AK491+IF(AND($E492&lt;&gt;"",$E492&lt;=AK$2,$F492&gt;=AK$2),1,0)</f>
        <v/>
      </c>
      <c r="AL492">
        <f>AL491+IF(AND($E492&lt;&gt;"",$E492&lt;=AL$2,$F492&gt;=AL$2),1,0)</f>
        <v/>
      </c>
      <c r="AM492">
        <f>AM491+IF(AND($E492&lt;&gt;"",$E492&lt;=AM$2,$F492&gt;=AM$2),1,0)</f>
        <v/>
      </c>
      <c r="AN492">
        <f>AN491+IF(AND($E492&lt;&gt;"",$E492&lt;=AN$2,$F492&gt;=AN$2),1,0)</f>
        <v/>
      </c>
      <c r="AO492">
        <f>AO491+IF(AND($E492&lt;&gt;"",$E492&lt;=AO$2,$F492&gt;=AO$2),1,0)</f>
        <v/>
      </c>
      <c r="AP492">
        <f>AP491+IF(AND($E492&lt;&gt;"",$E492&lt;=AP$2,$F492&gt;=AP$2),1,0)</f>
        <v/>
      </c>
      <c r="AQ492">
        <f>AQ491+IF(AND($E492&lt;&gt;"",$E492&lt;=AQ$2,$F492&gt;=AQ$2),1,0)</f>
        <v/>
      </c>
      <c r="AR492">
        <f>AR491+IF(AND($E492&lt;&gt;"",$E492&lt;=AR$2,$F492&gt;=AR$2),1,0)</f>
        <v/>
      </c>
      <c r="AS492">
        <f>AS491+IF(AND($E492&lt;&gt;"",$E492&lt;=AS$2,$F492&gt;=AS$2),1,0)</f>
        <v/>
      </c>
      <c r="AT492">
        <f>AT491+IF(AND($E492&lt;&gt;"",$E492&lt;=AT$2,$F492&gt;=AT$2),1,0)</f>
        <v/>
      </c>
      <c r="AU492">
        <f>AU491+IF(AND($E492&lt;&gt;"",$E492&lt;=AU$2,$F492&gt;=AU$2),1,0)</f>
        <v/>
      </c>
      <c r="AV492">
        <f>AV491+IF(AND($E492&lt;&gt;"",$E492&lt;=AV$2,$F492&gt;=AV$2),1,0)</f>
        <v/>
      </c>
      <c r="AW492">
        <f>AW491+IF(AND($E492&lt;&gt;"",$E492&lt;=AW$2,$F492&gt;=AW$2),1,0)</f>
        <v/>
      </c>
    </row>
    <row r="493">
      <c r="A493">
        <f>IF(AND(ISNUMBER(Events!$A495),ISNUMBER(Events!$B495)),MAX(0,Events!$B495-Events!$A495),0)</f>
        <v/>
      </c>
      <c r="B493">
        <f>IF(ISNUMBER(Events!$A495),DATE(YEAR($B$1)-1,MONTH(Events!$A495),DAY(Events!$A495)),"")</f>
        <v/>
      </c>
      <c r="C493">
        <f>IF(ISNUMBER(Events!$A495),DATE(YEAR($B$1),MONTH(Events!$A495),DAY(Events!$A495)),"")</f>
        <v/>
      </c>
      <c r="D493">
        <f>IF(ISNUMBER(Events!$A495),DATE(YEAR($B$2),MONTH(Events!$A495),DAY(Events!$A495)),"")</f>
        <v/>
      </c>
      <c r="E493">
        <f>IF(OR(NOT(ISNUMBER(Events!$A495)),Events!$G495="No",Calendar!$H$4="None"),"",IF(OR(Calendar!$H$4="All events",Events!$D495=Calendar!$H$4),IF(Events!$E495="Yes",IF(AND(B493&gt;=Events!$A495,B493&lt;=$B$2,B493+$A493&gt;=$B$1),B493,IF(AND(C493&gt;=Events!$A495,C493&lt;=$B$2,C493+$A493&gt;=$B$1),C493,IF(AND(D493&gt;=Events!$A495,D493&lt;=$B$2,D493+$A493&gt;=$B$1),D493,""))),IF(AND(Events!$A495&lt;=$B$2,Events!$A495+$A493&gt;=$B$1),Events!$A495,"")),""))</f>
        <v/>
      </c>
      <c r="F493">
        <f>IF(E493="","",E493+A493)</f>
        <v/>
      </c>
      <c r="G493">
        <f>IF(E493="","",IF(AND(E493&lt;=EOMONTH(Calendar!$K$2,0),F493&gt;=Calendar!$K$2),E493+490/100000,""))</f>
        <v/>
      </c>
      <c r="H493">
        <f>H492+IF(AND($E493&lt;&gt;"",$E493&lt;=H$2,$F493&gt;=H$2),1,0)</f>
        <v/>
      </c>
      <c r="I493">
        <f>I492+IF(AND($E493&lt;&gt;"",$E493&lt;=I$2,$F493&gt;=I$2),1,0)</f>
        <v/>
      </c>
      <c r="J493">
        <f>J492+IF(AND($E493&lt;&gt;"",$E493&lt;=J$2,$F493&gt;=J$2),1,0)</f>
        <v/>
      </c>
      <c r="K493">
        <f>K492+IF(AND($E493&lt;&gt;"",$E493&lt;=K$2,$F493&gt;=K$2),1,0)</f>
        <v/>
      </c>
      <c r="L493">
        <f>L492+IF(AND($E493&lt;&gt;"",$E493&lt;=L$2,$F493&gt;=L$2),1,0)</f>
        <v/>
      </c>
      <c r="M493">
        <f>M492+IF(AND($E493&lt;&gt;"",$E493&lt;=M$2,$F493&gt;=M$2),1,0)</f>
        <v/>
      </c>
      <c r="N493">
        <f>N492+IF(AND($E493&lt;&gt;"",$E493&lt;=N$2,$F493&gt;=N$2),1,0)</f>
        <v/>
      </c>
      <c r="O493">
        <f>O492+IF(AND($E493&lt;&gt;"",$E493&lt;=O$2,$F493&gt;=O$2),1,0)</f>
        <v/>
      </c>
      <c r="P493">
        <f>P492+IF(AND($E493&lt;&gt;"",$E493&lt;=P$2,$F493&gt;=P$2),1,0)</f>
        <v/>
      </c>
      <c r="Q493">
        <f>Q492+IF(AND($E493&lt;&gt;"",$E493&lt;=Q$2,$F493&gt;=Q$2),1,0)</f>
        <v/>
      </c>
      <c r="R493">
        <f>R492+IF(AND($E493&lt;&gt;"",$E493&lt;=R$2,$F493&gt;=R$2),1,0)</f>
        <v/>
      </c>
      <c r="S493">
        <f>S492+IF(AND($E493&lt;&gt;"",$E493&lt;=S$2,$F493&gt;=S$2),1,0)</f>
        <v/>
      </c>
      <c r="T493">
        <f>T492+IF(AND($E493&lt;&gt;"",$E493&lt;=T$2,$F493&gt;=T$2),1,0)</f>
        <v/>
      </c>
      <c r="U493">
        <f>U492+IF(AND($E493&lt;&gt;"",$E493&lt;=U$2,$F493&gt;=U$2),1,0)</f>
        <v/>
      </c>
      <c r="V493">
        <f>V492+IF(AND($E493&lt;&gt;"",$E493&lt;=V$2,$F493&gt;=V$2),1,0)</f>
        <v/>
      </c>
      <c r="W493">
        <f>W492+IF(AND($E493&lt;&gt;"",$E493&lt;=W$2,$F493&gt;=W$2),1,0)</f>
        <v/>
      </c>
      <c r="X493">
        <f>X492+IF(AND($E493&lt;&gt;"",$E493&lt;=X$2,$F493&gt;=X$2),1,0)</f>
        <v/>
      </c>
      <c r="Y493">
        <f>Y492+IF(AND($E493&lt;&gt;"",$E493&lt;=Y$2,$F493&gt;=Y$2),1,0)</f>
        <v/>
      </c>
      <c r="Z493">
        <f>Z492+IF(AND($E493&lt;&gt;"",$E493&lt;=Z$2,$F493&gt;=Z$2),1,0)</f>
        <v/>
      </c>
      <c r="AA493">
        <f>AA492+IF(AND($E493&lt;&gt;"",$E493&lt;=AA$2,$F493&gt;=AA$2),1,0)</f>
        <v/>
      </c>
      <c r="AB493">
        <f>AB492+IF(AND($E493&lt;&gt;"",$E493&lt;=AB$2,$F493&gt;=AB$2),1,0)</f>
        <v/>
      </c>
      <c r="AC493">
        <f>AC492+IF(AND($E493&lt;&gt;"",$E493&lt;=AC$2,$F493&gt;=AC$2),1,0)</f>
        <v/>
      </c>
      <c r="AD493">
        <f>AD492+IF(AND($E493&lt;&gt;"",$E493&lt;=AD$2,$F493&gt;=AD$2),1,0)</f>
        <v/>
      </c>
      <c r="AE493">
        <f>AE492+IF(AND($E493&lt;&gt;"",$E493&lt;=AE$2,$F493&gt;=AE$2),1,0)</f>
        <v/>
      </c>
      <c r="AF493">
        <f>AF492+IF(AND($E493&lt;&gt;"",$E493&lt;=AF$2,$F493&gt;=AF$2),1,0)</f>
        <v/>
      </c>
      <c r="AG493">
        <f>AG492+IF(AND($E493&lt;&gt;"",$E493&lt;=AG$2,$F493&gt;=AG$2),1,0)</f>
        <v/>
      </c>
      <c r="AH493">
        <f>AH492+IF(AND($E493&lt;&gt;"",$E493&lt;=AH$2,$F493&gt;=AH$2),1,0)</f>
        <v/>
      </c>
      <c r="AI493">
        <f>AI492+IF(AND($E493&lt;&gt;"",$E493&lt;=AI$2,$F493&gt;=AI$2),1,0)</f>
        <v/>
      </c>
      <c r="AJ493">
        <f>AJ492+IF(AND($E493&lt;&gt;"",$E493&lt;=AJ$2,$F493&gt;=AJ$2),1,0)</f>
        <v/>
      </c>
      <c r="AK493">
        <f>AK492+IF(AND($E493&lt;&gt;"",$E493&lt;=AK$2,$F493&gt;=AK$2),1,0)</f>
        <v/>
      </c>
      <c r="AL493">
        <f>AL492+IF(AND($E493&lt;&gt;"",$E493&lt;=AL$2,$F493&gt;=AL$2),1,0)</f>
        <v/>
      </c>
      <c r="AM493">
        <f>AM492+IF(AND($E493&lt;&gt;"",$E493&lt;=AM$2,$F493&gt;=AM$2),1,0)</f>
        <v/>
      </c>
      <c r="AN493">
        <f>AN492+IF(AND($E493&lt;&gt;"",$E493&lt;=AN$2,$F493&gt;=AN$2),1,0)</f>
        <v/>
      </c>
      <c r="AO493">
        <f>AO492+IF(AND($E493&lt;&gt;"",$E493&lt;=AO$2,$F493&gt;=AO$2),1,0)</f>
        <v/>
      </c>
      <c r="AP493">
        <f>AP492+IF(AND($E493&lt;&gt;"",$E493&lt;=AP$2,$F493&gt;=AP$2),1,0)</f>
        <v/>
      </c>
      <c r="AQ493">
        <f>AQ492+IF(AND($E493&lt;&gt;"",$E493&lt;=AQ$2,$F493&gt;=AQ$2),1,0)</f>
        <v/>
      </c>
      <c r="AR493">
        <f>AR492+IF(AND($E493&lt;&gt;"",$E493&lt;=AR$2,$F493&gt;=AR$2),1,0)</f>
        <v/>
      </c>
      <c r="AS493">
        <f>AS492+IF(AND($E493&lt;&gt;"",$E493&lt;=AS$2,$F493&gt;=AS$2),1,0)</f>
        <v/>
      </c>
      <c r="AT493">
        <f>AT492+IF(AND($E493&lt;&gt;"",$E493&lt;=AT$2,$F493&gt;=AT$2),1,0)</f>
        <v/>
      </c>
      <c r="AU493">
        <f>AU492+IF(AND($E493&lt;&gt;"",$E493&lt;=AU$2,$F493&gt;=AU$2),1,0)</f>
        <v/>
      </c>
      <c r="AV493">
        <f>AV492+IF(AND($E493&lt;&gt;"",$E493&lt;=AV$2,$F493&gt;=AV$2),1,0)</f>
        <v/>
      </c>
      <c r="AW493">
        <f>AW492+IF(AND($E493&lt;&gt;"",$E493&lt;=AW$2,$F493&gt;=AW$2),1,0)</f>
        <v/>
      </c>
    </row>
    <row r="494">
      <c r="A494">
        <f>IF(AND(ISNUMBER(Events!$A496),ISNUMBER(Events!$B496)),MAX(0,Events!$B496-Events!$A496),0)</f>
        <v/>
      </c>
      <c r="B494">
        <f>IF(ISNUMBER(Events!$A496),DATE(YEAR($B$1)-1,MONTH(Events!$A496),DAY(Events!$A496)),"")</f>
        <v/>
      </c>
      <c r="C494">
        <f>IF(ISNUMBER(Events!$A496),DATE(YEAR($B$1),MONTH(Events!$A496),DAY(Events!$A496)),"")</f>
        <v/>
      </c>
      <c r="D494">
        <f>IF(ISNUMBER(Events!$A496),DATE(YEAR($B$2),MONTH(Events!$A496),DAY(Events!$A496)),"")</f>
        <v/>
      </c>
      <c r="E494">
        <f>IF(OR(NOT(ISNUMBER(Events!$A496)),Events!$G496="No",Calendar!$H$4="None"),"",IF(OR(Calendar!$H$4="All events",Events!$D496=Calendar!$H$4),IF(Events!$E496="Yes",IF(AND(B494&gt;=Events!$A496,B494&lt;=$B$2,B494+$A494&gt;=$B$1),B494,IF(AND(C494&gt;=Events!$A496,C494&lt;=$B$2,C494+$A494&gt;=$B$1),C494,IF(AND(D494&gt;=Events!$A496,D494&lt;=$B$2,D494+$A494&gt;=$B$1),D494,""))),IF(AND(Events!$A496&lt;=$B$2,Events!$A496+$A494&gt;=$B$1),Events!$A496,"")),""))</f>
        <v/>
      </c>
      <c r="F494">
        <f>IF(E494="","",E494+A494)</f>
        <v/>
      </c>
      <c r="G494">
        <f>IF(E494="","",IF(AND(E494&lt;=EOMONTH(Calendar!$K$2,0),F494&gt;=Calendar!$K$2),E494+491/100000,""))</f>
        <v/>
      </c>
      <c r="H494">
        <f>H493+IF(AND($E494&lt;&gt;"",$E494&lt;=H$2,$F494&gt;=H$2),1,0)</f>
        <v/>
      </c>
      <c r="I494">
        <f>I493+IF(AND($E494&lt;&gt;"",$E494&lt;=I$2,$F494&gt;=I$2),1,0)</f>
        <v/>
      </c>
      <c r="J494">
        <f>J493+IF(AND($E494&lt;&gt;"",$E494&lt;=J$2,$F494&gt;=J$2),1,0)</f>
        <v/>
      </c>
      <c r="K494">
        <f>K493+IF(AND($E494&lt;&gt;"",$E494&lt;=K$2,$F494&gt;=K$2),1,0)</f>
        <v/>
      </c>
      <c r="L494">
        <f>L493+IF(AND($E494&lt;&gt;"",$E494&lt;=L$2,$F494&gt;=L$2),1,0)</f>
        <v/>
      </c>
      <c r="M494">
        <f>M493+IF(AND($E494&lt;&gt;"",$E494&lt;=M$2,$F494&gt;=M$2),1,0)</f>
        <v/>
      </c>
      <c r="N494">
        <f>N493+IF(AND($E494&lt;&gt;"",$E494&lt;=N$2,$F494&gt;=N$2),1,0)</f>
        <v/>
      </c>
      <c r="O494">
        <f>O493+IF(AND($E494&lt;&gt;"",$E494&lt;=O$2,$F494&gt;=O$2),1,0)</f>
        <v/>
      </c>
      <c r="P494">
        <f>P493+IF(AND($E494&lt;&gt;"",$E494&lt;=P$2,$F494&gt;=P$2),1,0)</f>
        <v/>
      </c>
      <c r="Q494">
        <f>Q493+IF(AND($E494&lt;&gt;"",$E494&lt;=Q$2,$F494&gt;=Q$2),1,0)</f>
        <v/>
      </c>
      <c r="R494">
        <f>R493+IF(AND($E494&lt;&gt;"",$E494&lt;=R$2,$F494&gt;=R$2),1,0)</f>
        <v/>
      </c>
      <c r="S494">
        <f>S493+IF(AND($E494&lt;&gt;"",$E494&lt;=S$2,$F494&gt;=S$2),1,0)</f>
        <v/>
      </c>
      <c r="T494">
        <f>T493+IF(AND($E494&lt;&gt;"",$E494&lt;=T$2,$F494&gt;=T$2),1,0)</f>
        <v/>
      </c>
      <c r="U494">
        <f>U493+IF(AND($E494&lt;&gt;"",$E494&lt;=U$2,$F494&gt;=U$2),1,0)</f>
        <v/>
      </c>
      <c r="V494">
        <f>V493+IF(AND($E494&lt;&gt;"",$E494&lt;=V$2,$F494&gt;=V$2),1,0)</f>
        <v/>
      </c>
      <c r="W494">
        <f>W493+IF(AND($E494&lt;&gt;"",$E494&lt;=W$2,$F494&gt;=W$2),1,0)</f>
        <v/>
      </c>
      <c r="X494">
        <f>X493+IF(AND($E494&lt;&gt;"",$E494&lt;=X$2,$F494&gt;=X$2),1,0)</f>
        <v/>
      </c>
      <c r="Y494">
        <f>Y493+IF(AND($E494&lt;&gt;"",$E494&lt;=Y$2,$F494&gt;=Y$2),1,0)</f>
        <v/>
      </c>
      <c r="Z494">
        <f>Z493+IF(AND($E494&lt;&gt;"",$E494&lt;=Z$2,$F494&gt;=Z$2),1,0)</f>
        <v/>
      </c>
      <c r="AA494">
        <f>AA493+IF(AND($E494&lt;&gt;"",$E494&lt;=AA$2,$F494&gt;=AA$2),1,0)</f>
        <v/>
      </c>
      <c r="AB494">
        <f>AB493+IF(AND($E494&lt;&gt;"",$E494&lt;=AB$2,$F494&gt;=AB$2),1,0)</f>
        <v/>
      </c>
      <c r="AC494">
        <f>AC493+IF(AND($E494&lt;&gt;"",$E494&lt;=AC$2,$F494&gt;=AC$2),1,0)</f>
        <v/>
      </c>
      <c r="AD494">
        <f>AD493+IF(AND($E494&lt;&gt;"",$E494&lt;=AD$2,$F494&gt;=AD$2),1,0)</f>
        <v/>
      </c>
      <c r="AE494">
        <f>AE493+IF(AND($E494&lt;&gt;"",$E494&lt;=AE$2,$F494&gt;=AE$2),1,0)</f>
        <v/>
      </c>
      <c r="AF494">
        <f>AF493+IF(AND($E494&lt;&gt;"",$E494&lt;=AF$2,$F494&gt;=AF$2),1,0)</f>
        <v/>
      </c>
      <c r="AG494">
        <f>AG493+IF(AND($E494&lt;&gt;"",$E494&lt;=AG$2,$F494&gt;=AG$2),1,0)</f>
        <v/>
      </c>
      <c r="AH494">
        <f>AH493+IF(AND($E494&lt;&gt;"",$E494&lt;=AH$2,$F494&gt;=AH$2),1,0)</f>
        <v/>
      </c>
      <c r="AI494">
        <f>AI493+IF(AND($E494&lt;&gt;"",$E494&lt;=AI$2,$F494&gt;=AI$2),1,0)</f>
        <v/>
      </c>
      <c r="AJ494">
        <f>AJ493+IF(AND($E494&lt;&gt;"",$E494&lt;=AJ$2,$F494&gt;=AJ$2),1,0)</f>
        <v/>
      </c>
      <c r="AK494">
        <f>AK493+IF(AND($E494&lt;&gt;"",$E494&lt;=AK$2,$F494&gt;=AK$2),1,0)</f>
        <v/>
      </c>
      <c r="AL494">
        <f>AL493+IF(AND($E494&lt;&gt;"",$E494&lt;=AL$2,$F494&gt;=AL$2),1,0)</f>
        <v/>
      </c>
      <c r="AM494">
        <f>AM493+IF(AND($E494&lt;&gt;"",$E494&lt;=AM$2,$F494&gt;=AM$2),1,0)</f>
        <v/>
      </c>
      <c r="AN494">
        <f>AN493+IF(AND($E494&lt;&gt;"",$E494&lt;=AN$2,$F494&gt;=AN$2),1,0)</f>
        <v/>
      </c>
      <c r="AO494">
        <f>AO493+IF(AND($E494&lt;&gt;"",$E494&lt;=AO$2,$F494&gt;=AO$2),1,0)</f>
        <v/>
      </c>
      <c r="AP494">
        <f>AP493+IF(AND($E494&lt;&gt;"",$E494&lt;=AP$2,$F494&gt;=AP$2),1,0)</f>
        <v/>
      </c>
      <c r="AQ494">
        <f>AQ493+IF(AND($E494&lt;&gt;"",$E494&lt;=AQ$2,$F494&gt;=AQ$2),1,0)</f>
        <v/>
      </c>
      <c r="AR494">
        <f>AR493+IF(AND($E494&lt;&gt;"",$E494&lt;=AR$2,$F494&gt;=AR$2),1,0)</f>
        <v/>
      </c>
      <c r="AS494">
        <f>AS493+IF(AND($E494&lt;&gt;"",$E494&lt;=AS$2,$F494&gt;=AS$2),1,0)</f>
        <v/>
      </c>
      <c r="AT494">
        <f>AT493+IF(AND($E494&lt;&gt;"",$E494&lt;=AT$2,$F494&gt;=AT$2),1,0)</f>
        <v/>
      </c>
      <c r="AU494">
        <f>AU493+IF(AND($E494&lt;&gt;"",$E494&lt;=AU$2,$F494&gt;=AU$2),1,0)</f>
        <v/>
      </c>
      <c r="AV494">
        <f>AV493+IF(AND($E494&lt;&gt;"",$E494&lt;=AV$2,$F494&gt;=AV$2),1,0)</f>
        <v/>
      </c>
      <c r="AW494">
        <f>AW493+IF(AND($E494&lt;&gt;"",$E494&lt;=AW$2,$F494&gt;=AW$2),1,0)</f>
        <v/>
      </c>
    </row>
    <row r="495">
      <c r="A495">
        <f>IF(AND(ISNUMBER(Events!$A497),ISNUMBER(Events!$B497)),MAX(0,Events!$B497-Events!$A497),0)</f>
        <v/>
      </c>
      <c r="B495">
        <f>IF(ISNUMBER(Events!$A497),DATE(YEAR($B$1)-1,MONTH(Events!$A497),DAY(Events!$A497)),"")</f>
        <v/>
      </c>
      <c r="C495">
        <f>IF(ISNUMBER(Events!$A497),DATE(YEAR($B$1),MONTH(Events!$A497),DAY(Events!$A497)),"")</f>
        <v/>
      </c>
      <c r="D495">
        <f>IF(ISNUMBER(Events!$A497),DATE(YEAR($B$2),MONTH(Events!$A497),DAY(Events!$A497)),"")</f>
        <v/>
      </c>
      <c r="E495">
        <f>IF(OR(NOT(ISNUMBER(Events!$A497)),Events!$G497="No",Calendar!$H$4="None"),"",IF(OR(Calendar!$H$4="All events",Events!$D497=Calendar!$H$4),IF(Events!$E497="Yes",IF(AND(B495&gt;=Events!$A497,B495&lt;=$B$2,B495+$A495&gt;=$B$1),B495,IF(AND(C495&gt;=Events!$A497,C495&lt;=$B$2,C495+$A495&gt;=$B$1),C495,IF(AND(D495&gt;=Events!$A497,D495&lt;=$B$2,D495+$A495&gt;=$B$1),D495,""))),IF(AND(Events!$A497&lt;=$B$2,Events!$A497+$A495&gt;=$B$1),Events!$A497,"")),""))</f>
        <v/>
      </c>
      <c r="F495">
        <f>IF(E495="","",E495+A495)</f>
        <v/>
      </c>
      <c r="G495">
        <f>IF(E495="","",IF(AND(E495&lt;=EOMONTH(Calendar!$K$2,0),F495&gt;=Calendar!$K$2),E495+492/100000,""))</f>
        <v/>
      </c>
      <c r="H495">
        <f>H494+IF(AND($E495&lt;&gt;"",$E495&lt;=H$2,$F495&gt;=H$2),1,0)</f>
        <v/>
      </c>
      <c r="I495">
        <f>I494+IF(AND($E495&lt;&gt;"",$E495&lt;=I$2,$F495&gt;=I$2),1,0)</f>
        <v/>
      </c>
      <c r="J495">
        <f>J494+IF(AND($E495&lt;&gt;"",$E495&lt;=J$2,$F495&gt;=J$2),1,0)</f>
        <v/>
      </c>
      <c r="K495">
        <f>K494+IF(AND($E495&lt;&gt;"",$E495&lt;=K$2,$F495&gt;=K$2),1,0)</f>
        <v/>
      </c>
      <c r="L495">
        <f>L494+IF(AND($E495&lt;&gt;"",$E495&lt;=L$2,$F495&gt;=L$2),1,0)</f>
        <v/>
      </c>
      <c r="M495">
        <f>M494+IF(AND($E495&lt;&gt;"",$E495&lt;=M$2,$F495&gt;=M$2),1,0)</f>
        <v/>
      </c>
      <c r="N495">
        <f>N494+IF(AND($E495&lt;&gt;"",$E495&lt;=N$2,$F495&gt;=N$2),1,0)</f>
        <v/>
      </c>
      <c r="O495">
        <f>O494+IF(AND($E495&lt;&gt;"",$E495&lt;=O$2,$F495&gt;=O$2),1,0)</f>
        <v/>
      </c>
      <c r="P495">
        <f>P494+IF(AND($E495&lt;&gt;"",$E495&lt;=P$2,$F495&gt;=P$2),1,0)</f>
        <v/>
      </c>
      <c r="Q495">
        <f>Q494+IF(AND($E495&lt;&gt;"",$E495&lt;=Q$2,$F495&gt;=Q$2),1,0)</f>
        <v/>
      </c>
      <c r="R495">
        <f>R494+IF(AND($E495&lt;&gt;"",$E495&lt;=R$2,$F495&gt;=R$2),1,0)</f>
        <v/>
      </c>
      <c r="S495">
        <f>S494+IF(AND($E495&lt;&gt;"",$E495&lt;=S$2,$F495&gt;=S$2),1,0)</f>
        <v/>
      </c>
      <c r="T495">
        <f>T494+IF(AND($E495&lt;&gt;"",$E495&lt;=T$2,$F495&gt;=T$2),1,0)</f>
        <v/>
      </c>
      <c r="U495">
        <f>U494+IF(AND($E495&lt;&gt;"",$E495&lt;=U$2,$F495&gt;=U$2),1,0)</f>
        <v/>
      </c>
      <c r="V495">
        <f>V494+IF(AND($E495&lt;&gt;"",$E495&lt;=V$2,$F495&gt;=V$2),1,0)</f>
        <v/>
      </c>
      <c r="W495">
        <f>W494+IF(AND($E495&lt;&gt;"",$E495&lt;=W$2,$F495&gt;=W$2),1,0)</f>
        <v/>
      </c>
      <c r="X495">
        <f>X494+IF(AND($E495&lt;&gt;"",$E495&lt;=X$2,$F495&gt;=X$2),1,0)</f>
        <v/>
      </c>
      <c r="Y495">
        <f>Y494+IF(AND($E495&lt;&gt;"",$E495&lt;=Y$2,$F495&gt;=Y$2),1,0)</f>
        <v/>
      </c>
      <c r="Z495">
        <f>Z494+IF(AND($E495&lt;&gt;"",$E495&lt;=Z$2,$F495&gt;=Z$2),1,0)</f>
        <v/>
      </c>
      <c r="AA495">
        <f>AA494+IF(AND($E495&lt;&gt;"",$E495&lt;=AA$2,$F495&gt;=AA$2),1,0)</f>
        <v/>
      </c>
      <c r="AB495">
        <f>AB494+IF(AND($E495&lt;&gt;"",$E495&lt;=AB$2,$F495&gt;=AB$2),1,0)</f>
        <v/>
      </c>
      <c r="AC495">
        <f>AC494+IF(AND($E495&lt;&gt;"",$E495&lt;=AC$2,$F495&gt;=AC$2),1,0)</f>
        <v/>
      </c>
      <c r="AD495">
        <f>AD494+IF(AND($E495&lt;&gt;"",$E495&lt;=AD$2,$F495&gt;=AD$2),1,0)</f>
        <v/>
      </c>
      <c r="AE495">
        <f>AE494+IF(AND($E495&lt;&gt;"",$E495&lt;=AE$2,$F495&gt;=AE$2),1,0)</f>
        <v/>
      </c>
      <c r="AF495">
        <f>AF494+IF(AND($E495&lt;&gt;"",$E495&lt;=AF$2,$F495&gt;=AF$2),1,0)</f>
        <v/>
      </c>
      <c r="AG495">
        <f>AG494+IF(AND($E495&lt;&gt;"",$E495&lt;=AG$2,$F495&gt;=AG$2),1,0)</f>
        <v/>
      </c>
      <c r="AH495">
        <f>AH494+IF(AND($E495&lt;&gt;"",$E495&lt;=AH$2,$F495&gt;=AH$2),1,0)</f>
        <v/>
      </c>
      <c r="AI495">
        <f>AI494+IF(AND($E495&lt;&gt;"",$E495&lt;=AI$2,$F495&gt;=AI$2),1,0)</f>
        <v/>
      </c>
      <c r="AJ495">
        <f>AJ494+IF(AND($E495&lt;&gt;"",$E495&lt;=AJ$2,$F495&gt;=AJ$2),1,0)</f>
        <v/>
      </c>
      <c r="AK495">
        <f>AK494+IF(AND($E495&lt;&gt;"",$E495&lt;=AK$2,$F495&gt;=AK$2),1,0)</f>
        <v/>
      </c>
      <c r="AL495">
        <f>AL494+IF(AND($E495&lt;&gt;"",$E495&lt;=AL$2,$F495&gt;=AL$2),1,0)</f>
        <v/>
      </c>
      <c r="AM495">
        <f>AM494+IF(AND($E495&lt;&gt;"",$E495&lt;=AM$2,$F495&gt;=AM$2),1,0)</f>
        <v/>
      </c>
      <c r="AN495">
        <f>AN494+IF(AND($E495&lt;&gt;"",$E495&lt;=AN$2,$F495&gt;=AN$2),1,0)</f>
        <v/>
      </c>
      <c r="AO495">
        <f>AO494+IF(AND($E495&lt;&gt;"",$E495&lt;=AO$2,$F495&gt;=AO$2),1,0)</f>
        <v/>
      </c>
      <c r="AP495">
        <f>AP494+IF(AND($E495&lt;&gt;"",$E495&lt;=AP$2,$F495&gt;=AP$2),1,0)</f>
        <v/>
      </c>
      <c r="AQ495">
        <f>AQ494+IF(AND($E495&lt;&gt;"",$E495&lt;=AQ$2,$F495&gt;=AQ$2),1,0)</f>
        <v/>
      </c>
      <c r="AR495">
        <f>AR494+IF(AND($E495&lt;&gt;"",$E495&lt;=AR$2,$F495&gt;=AR$2),1,0)</f>
        <v/>
      </c>
      <c r="AS495">
        <f>AS494+IF(AND($E495&lt;&gt;"",$E495&lt;=AS$2,$F495&gt;=AS$2),1,0)</f>
        <v/>
      </c>
      <c r="AT495">
        <f>AT494+IF(AND($E495&lt;&gt;"",$E495&lt;=AT$2,$F495&gt;=AT$2),1,0)</f>
        <v/>
      </c>
      <c r="AU495">
        <f>AU494+IF(AND($E495&lt;&gt;"",$E495&lt;=AU$2,$F495&gt;=AU$2),1,0)</f>
        <v/>
      </c>
      <c r="AV495">
        <f>AV494+IF(AND($E495&lt;&gt;"",$E495&lt;=AV$2,$F495&gt;=AV$2),1,0)</f>
        <v/>
      </c>
      <c r="AW495">
        <f>AW494+IF(AND($E495&lt;&gt;"",$E495&lt;=AW$2,$F495&gt;=AW$2),1,0)</f>
        <v/>
      </c>
    </row>
    <row r="496">
      <c r="A496">
        <f>IF(AND(ISNUMBER(Events!$A498),ISNUMBER(Events!$B498)),MAX(0,Events!$B498-Events!$A498),0)</f>
        <v/>
      </c>
      <c r="B496">
        <f>IF(ISNUMBER(Events!$A498),DATE(YEAR($B$1)-1,MONTH(Events!$A498),DAY(Events!$A498)),"")</f>
        <v/>
      </c>
      <c r="C496">
        <f>IF(ISNUMBER(Events!$A498),DATE(YEAR($B$1),MONTH(Events!$A498),DAY(Events!$A498)),"")</f>
        <v/>
      </c>
      <c r="D496">
        <f>IF(ISNUMBER(Events!$A498),DATE(YEAR($B$2),MONTH(Events!$A498),DAY(Events!$A498)),"")</f>
        <v/>
      </c>
      <c r="E496">
        <f>IF(OR(NOT(ISNUMBER(Events!$A498)),Events!$G498="No",Calendar!$H$4="None"),"",IF(OR(Calendar!$H$4="All events",Events!$D498=Calendar!$H$4),IF(Events!$E498="Yes",IF(AND(B496&gt;=Events!$A498,B496&lt;=$B$2,B496+$A496&gt;=$B$1),B496,IF(AND(C496&gt;=Events!$A498,C496&lt;=$B$2,C496+$A496&gt;=$B$1),C496,IF(AND(D496&gt;=Events!$A498,D496&lt;=$B$2,D496+$A496&gt;=$B$1),D496,""))),IF(AND(Events!$A498&lt;=$B$2,Events!$A498+$A496&gt;=$B$1),Events!$A498,"")),""))</f>
        <v/>
      </c>
      <c r="F496">
        <f>IF(E496="","",E496+A496)</f>
        <v/>
      </c>
      <c r="G496">
        <f>IF(E496="","",IF(AND(E496&lt;=EOMONTH(Calendar!$K$2,0),F496&gt;=Calendar!$K$2),E496+493/100000,""))</f>
        <v/>
      </c>
      <c r="H496">
        <f>H495+IF(AND($E496&lt;&gt;"",$E496&lt;=H$2,$F496&gt;=H$2),1,0)</f>
        <v/>
      </c>
      <c r="I496">
        <f>I495+IF(AND($E496&lt;&gt;"",$E496&lt;=I$2,$F496&gt;=I$2),1,0)</f>
        <v/>
      </c>
      <c r="J496">
        <f>J495+IF(AND($E496&lt;&gt;"",$E496&lt;=J$2,$F496&gt;=J$2),1,0)</f>
        <v/>
      </c>
      <c r="K496">
        <f>K495+IF(AND($E496&lt;&gt;"",$E496&lt;=K$2,$F496&gt;=K$2),1,0)</f>
        <v/>
      </c>
      <c r="L496">
        <f>L495+IF(AND($E496&lt;&gt;"",$E496&lt;=L$2,$F496&gt;=L$2),1,0)</f>
        <v/>
      </c>
      <c r="M496">
        <f>M495+IF(AND($E496&lt;&gt;"",$E496&lt;=M$2,$F496&gt;=M$2),1,0)</f>
        <v/>
      </c>
      <c r="N496">
        <f>N495+IF(AND($E496&lt;&gt;"",$E496&lt;=N$2,$F496&gt;=N$2),1,0)</f>
        <v/>
      </c>
      <c r="O496">
        <f>O495+IF(AND($E496&lt;&gt;"",$E496&lt;=O$2,$F496&gt;=O$2),1,0)</f>
        <v/>
      </c>
      <c r="P496">
        <f>P495+IF(AND($E496&lt;&gt;"",$E496&lt;=P$2,$F496&gt;=P$2),1,0)</f>
        <v/>
      </c>
      <c r="Q496">
        <f>Q495+IF(AND($E496&lt;&gt;"",$E496&lt;=Q$2,$F496&gt;=Q$2),1,0)</f>
        <v/>
      </c>
      <c r="R496">
        <f>R495+IF(AND($E496&lt;&gt;"",$E496&lt;=R$2,$F496&gt;=R$2),1,0)</f>
        <v/>
      </c>
      <c r="S496">
        <f>S495+IF(AND($E496&lt;&gt;"",$E496&lt;=S$2,$F496&gt;=S$2),1,0)</f>
        <v/>
      </c>
      <c r="T496">
        <f>T495+IF(AND($E496&lt;&gt;"",$E496&lt;=T$2,$F496&gt;=T$2),1,0)</f>
        <v/>
      </c>
      <c r="U496">
        <f>U495+IF(AND($E496&lt;&gt;"",$E496&lt;=U$2,$F496&gt;=U$2),1,0)</f>
        <v/>
      </c>
      <c r="V496">
        <f>V495+IF(AND($E496&lt;&gt;"",$E496&lt;=V$2,$F496&gt;=V$2),1,0)</f>
        <v/>
      </c>
      <c r="W496">
        <f>W495+IF(AND($E496&lt;&gt;"",$E496&lt;=W$2,$F496&gt;=W$2),1,0)</f>
        <v/>
      </c>
      <c r="X496">
        <f>X495+IF(AND($E496&lt;&gt;"",$E496&lt;=X$2,$F496&gt;=X$2),1,0)</f>
        <v/>
      </c>
      <c r="Y496">
        <f>Y495+IF(AND($E496&lt;&gt;"",$E496&lt;=Y$2,$F496&gt;=Y$2),1,0)</f>
        <v/>
      </c>
      <c r="Z496">
        <f>Z495+IF(AND($E496&lt;&gt;"",$E496&lt;=Z$2,$F496&gt;=Z$2),1,0)</f>
        <v/>
      </c>
      <c r="AA496">
        <f>AA495+IF(AND($E496&lt;&gt;"",$E496&lt;=AA$2,$F496&gt;=AA$2),1,0)</f>
        <v/>
      </c>
      <c r="AB496">
        <f>AB495+IF(AND($E496&lt;&gt;"",$E496&lt;=AB$2,$F496&gt;=AB$2),1,0)</f>
        <v/>
      </c>
      <c r="AC496">
        <f>AC495+IF(AND($E496&lt;&gt;"",$E496&lt;=AC$2,$F496&gt;=AC$2),1,0)</f>
        <v/>
      </c>
      <c r="AD496">
        <f>AD495+IF(AND($E496&lt;&gt;"",$E496&lt;=AD$2,$F496&gt;=AD$2),1,0)</f>
        <v/>
      </c>
      <c r="AE496">
        <f>AE495+IF(AND($E496&lt;&gt;"",$E496&lt;=AE$2,$F496&gt;=AE$2),1,0)</f>
        <v/>
      </c>
      <c r="AF496">
        <f>AF495+IF(AND($E496&lt;&gt;"",$E496&lt;=AF$2,$F496&gt;=AF$2),1,0)</f>
        <v/>
      </c>
      <c r="AG496">
        <f>AG495+IF(AND($E496&lt;&gt;"",$E496&lt;=AG$2,$F496&gt;=AG$2),1,0)</f>
        <v/>
      </c>
      <c r="AH496">
        <f>AH495+IF(AND($E496&lt;&gt;"",$E496&lt;=AH$2,$F496&gt;=AH$2),1,0)</f>
        <v/>
      </c>
      <c r="AI496">
        <f>AI495+IF(AND($E496&lt;&gt;"",$E496&lt;=AI$2,$F496&gt;=AI$2),1,0)</f>
        <v/>
      </c>
      <c r="AJ496">
        <f>AJ495+IF(AND($E496&lt;&gt;"",$E496&lt;=AJ$2,$F496&gt;=AJ$2),1,0)</f>
        <v/>
      </c>
      <c r="AK496">
        <f>AK495+IF(AND($E496&lt;&gt;"",$E496&lt;=AK$2,$F496&gt;=AK$2),1,0)</f>
        <v/>
      </c>
      <c r="AL496">
        <f>AL495+IF(AND($E496&lt;&gt;"",$E496&lt;=AL$2,$F496&gt;=AL$2),1,0)</f>
        <v/>
      </c>
      <c r="AM496">
        <f>AM495+IF(AND($E496&lt;&gt;"",$E496&lt;=AM$2,$F496&gt;=AM$2),1,0)</f>
        <v/>
      </c>
      <c r="AN496">
        <f>AN495+IF(AND($E496&lt;&gt;"",$E496&lt;=AN$2,$F496&gt;=AN$2),1,0)</f>
        <v/>
      </c>
      <c r="AO496">
        <f>AO495+IF(AND($E496&lt;&gt;"",$E496&lt;=AO$2,$F496&gt;=AO$2),1,0)</f>
        <v/>
      </c>
      <c r="AP496">
        <f>AP495+IF(AND($E496&lt;&gt;"",$E496&lt;=AP$2,$F496&gt;=AP$2),1,0)</f>
        <v/>
      </c>
      <c r="AQ496">
        <f>AQ495+IF(AND($E496&lt;&gt;"",$E496&lt;=AQ$2,$F496&gt;=AQ$2),1,0)</f>
        <v/>
      </c>
      <c r="AR496">
        <f>AR495+IF(AND($E496&lt;&gt;"",$E496&lt;=AR$2,$F496&gt;=AR$2),1,0)</f>
        <v/>
      </c>
      <c r="AS496">
        <f>AS495+IF(AND($E496&lt;&gt;"",$E496&lt;=AS$2,$F496&gt;=AS$2),1,0)</f>
        <v/>
      </c>
      <c r="AT496">
        <f>AT495+IF(AND($E496&lt;&gt;"",$E496&lt;=AT$2,$F496&gt;=AT$2),1,0)</f>
        <v/>
      </c>
      <c r="AU496">
        <f>AU495+IF(AND($E496&lt;&gt;"",$E496&lt;=AU$2,$F496&gt;=AU$2),1,0)</f>
        <v/>
      </c>
      <c r="AV496">
        <f>AV495+IF(AND($E496&lt;&gt;"",$E496&lt;=AV$2,$F496&gt;=AV$2),1,0)</f>
        <v/>
      </c>
      <c r="AW496">
        <f>AW495+IF(AND($E496&lt;&gt;"",$E496&lt;=AW$2,$F496&gt;=AW$2),1,0)</f>
        <v/>
      </c>
    </row>
    <row r="497">
      <c r="A497">
        <f>IF(AND(ISNUMBER(Events!$A499),ISNUMBER(Events!$B499)),MAX(0,Events!$B499-Events!$A499),0)</f>
        <v/>
      </c>
      <c r="B497">
        <f>IF(ISNUMBER(Events!$A499),DATE(YEAR($B$1)-1,MONTH(Events!$A499),DAY(Events!$A499)),"")</f>
        <v/>
      </c>
      <c r="C497">
        <f>IF(ISNUMBER(Events!$A499),DATE(YEAR($B$1),MONTH(Events!$A499),DAY(Events!$A499)),"")</f>
        <v/>
      </c>
      <c r="D497">
        <f>IF(ISNUMBER(Events!$A499),DATE(YEAR($B$2),MONTH(Events!$A499),DAY(Events!$A499)),"")</f>
        <v/>
      </c>
      <c r="E497">
        <f>IF(OR(NOT(ISNUMBER(Events!$A499)),Events!$G499="No",Calendar!$H$4="None"),"",IF(OR(Calendar!$H$4="All events",Events!$D499=Calendar!$H$4),IF(Events!$E499="Yes",IF(AND(B497&gt;=Events!$A499,B497&lt;=$B$2,B497+$A497&gt;=$B$1),B497,IF(AND(C497&gt;=Events!$A499,C497&lt;=$B$2,C497+$A497&gt;=$B$1),C497,IF(AND(D497&gt;=Events!$A499,D497&lt;=$B$2,D497+$A497&gt;=$B$1),D497,""))),IF(AND(Events!$A499&lt;=$B$2,Events!$A499+$A497&gt;=$B$1),Events!$A499,"")),""))</f>
        <v/>
      </c>
      <c r="F497">
        <f>IF(E497="","",E497+A497)</f>
        <v/>
      </c>
      <c r="G497">
        <f>IF(E497="","",IF(AND(E497&lt;=EOMONTH(Calendar!$K$2,0),F497&gt;=Calendar!$K$2),E497+494/100000,""))</f>
        <v/>
      </c>
      <c r="H497">
        <f>H496+IF(AND($E497&lt;&gt;"",$E497&lt;=H$2,$F497&gt;=H$2),1,0)</f>
        <v/>
      </c>
      <c r="I497">
        <f>I496+IF(AND($E497&lt;&gt;"",$E497&lt;=I$2,$F497&gt;=I$2),1,0)</f>
        <v/>
      </c>
      <c r="J497">
        <f>J496+IF(AND($E497&lt;&gt;"",$E497&lt;=J$2,$F497&gt;=J$2),1,0)</f>
        <v/>
      </c>
      <c r="K497">
        <f>K496+IF(AND($E497&lt;&gt;"",$E497&lt;=K$2,$F497&gt;=K$2),1,0)</f>
        <v/>
      </c>
      <c r="L497">
        <f>L496+IF(AND($E497&lt;&gt;"",$E497&lt;=L$2,$F497&gt;=L$2),1,0)</f>
        <v/>
      </c>
      <c r="M497">
        <f>M496+IF(AND($E497&lt;&gt;"",$E497&lt;=M$2,$F497&gt;=M$2),1,0)</f>
        <v/>
      </c>
      <c r="N497">
        <f>N496+IF(AND($E497&lt;&gt;"",$E497&lt;=N$2,$F497&gt;=N$2),1,0)</f>
        <v/>
      </c>
      <c r="O497">
        <f>O496+IF(AND($E497&lt;&gt;"",$E497&lt;=O$2,$F497&gt;=O$2),1,0)</f>
        <v/>
      </c>
      <c r="P497">
        <f>P496+IF(AND($E497&lt;&gt;"",$E497&lt;=P$2,$F497&gt;=P$2),1,0)</f>
        <v/>
      </c>
      <c r="Q497">
        <f>Q496+IF(AND($E497&lt;&gt;"",$E497&lt;=Q$2,$F497&gt;=Q$2),1,0)</f>
        <v/>
      </c>
      <c r="R497">
        <f>R496+IF(AND($E497&lt;&gt;"",$E497&lt;=R$2,$F497&gt;=R$2),1,0)</f>
        <v/>
      </c>
      <c r="S497">
        <f>S496+IF(AND($E497&lt;&gt;"",$E497&lt;=S$2,$F497&gt;=S$2),1,0)</f>
        <v/>
      </c>
      <c r="T497">
        <f>T496+IF(AND($E497&lt;&gt;"",$E497&lt;=T$2,$F497&gt;=T$2),1,0)</f>
        <v/>
      </c>
      <c r="U497">
        <f>U496+IF(AND($E497&lt;&gt;"",$E497&lt;=U$2,$F497&gt;=U$2),1,0)</f>
        <v/>
      </c>
      <c r="V497">
        <f>V496+IF(AND($E497&lt;&gt;"",$E497&lt;=V$2,$F497&gt;=V$2),1,0)</f>
        <v/>
      </c>
      <c r="W497">
        <f>W496+IF(AND($E497&lt;&gt;"",$E497&lt;=W$2,$F497&gt;=W$2),1,0)</f>
        <v/>
      </c>
      <c r="X497">
        <f>X496+IF(AND($E497&lt;&gt;"",$E497&lt;=X$2,$F497&gt;=X$2),1,0)</f>
        <v/>
      </c>
      <c r="Y497">
        <f>Y496+IF(AND($E497&lt;&gt;"",$E497&lt;=Y$2,$F497&gt;=Y$2),1,0)</f>
        <v/>
      </c>
      <c r="Z497">
        <f>Z496+IF(AND($E497&lt;&gt;"",$E497&lt;=Z$2,$F497&gt;=Z$2),1,0)</f>
        <v/>
      </c>
      <c r="AA497">
        <f>AA496+IF(AND($E497&lt;&gt;"",$E497&lt;=AA$2,$F497&gt;=AA$2),1,0)</f>
        <v/>
      </c>
      <c r="AB497">
        <f>AB496+IF(AND($E497&lt;&gt;"",$E497&lt;=AB$2,$F497&gt;=AB$2),1,0)</f>
        <v/>
      </c>
      <c r="AC497">
        <f>AC496+IF(AND($E497&lt;&gt;"",$E497&lt;=AC$2,$F497&gt;=AC$2),1,0)</f>
        <v/>
      </c>
      <c r="AD497">
        <f>AD496+IF(AND($E497&lt;&gt;"",$E497&lt;=AD$2,$F497&gt;=AD$2),1,0)</f>
        <v/>
      </c>
      <c r="AE497">
        <f>AE496+IF(AND($E497&lt;&gt;"",$E497&lt;=AE$2,$F497&gt;=AE$2),1,0)</f>
        <v/>
      </c>
      <c r="AF497">
        <f>AF496+IF(AND($E497&lt;&gt;"",$E497&lt;=AF$2,$F497&gt;=AF$2),1,0)</f>
        <v/>
      </c>
      <c r="AG497">
        <f>AG496+IF(AND($E497&lt;&gt;"",$E497&lt;=AG$2,$F497&gt;=AG$2),1,0)</f>
        <v/>
      </c>
      <c r="AH497">
        <f>AH496+IF(AND($E497&lt;&gt;"",$E497&lt;=AH$2,$F497&gt;=AH$2),1,0)</f>
        <v/>
      </c>
      <c r="AI497">
        <f>AI496+IF(AND($E497&lt;&gt;"",$E497&lt;=AI$2,$F497&gt;=AI$2),1,0)</f>
        <v/>
      </c>
      <c r="AJ497">
        <f>AJ496+IF(AND($E497&lt;&gt;"",$E497&lt;=AJ$2,$F497&gt;=AJ$2),1,0)</f>
        <v/>
      </c>
      <c r="AK497">
        <f>AK496+IF(AND($E497&lt;&gt;"",$E497&lt;=AK$2,$F497&gt;=AK$2),1,0)</f>
        <v/>
      </c>
      <c r="AL497">
        <f>AL496+IF(AND($E497&lt;&gt;"",$E497&lt;=AL$2,$F497&gt;=AL$2),1,0)</f>
        <v/>
      </c>
      <c r="AM497">
        <f>AM496+IF(AND($E497&lt;&gt;"",$E497&lt;=AM$2,$F497&gt;=AM$2),1,0)</f>
        <v/>
      </c>
      <c r="AN497">
        <f>AN496+IF(AND($E497&lt;&gt;"",$E497&lt;=AN$2,$F497&gt;=AN$2),1,0)</f>
        <v/>
      </c>
      <c r="AO497">
        <f>AO496+IF(AND($E497&lt;&gt;"",$E497&lt;=AO$2,$F497&gt;=AO$2),1,0)</f>
        <v/>
      </c>
      <c r="AP497">
        <f>AP496+IF(AND($E497&lt;&gt;"",$E497&lt;=AP$2,$F497&gt;=AP$2),1,0)</f>
        <v/>
      </c>
      <c r="AQ497">
        <f>AQ496+IF(AND($E497&lt;&gt;"",$E497&lt;=AQ$2,$F497&gt;=AQ$2),1,0)</f>
        <v/>
      </c>
      <c r="AR497">
        <f>AR496+IF(AND($E497&lt;&gt;"",$E497&lt;=AR$2,$F497&gt;=AR$2),1,0)</f>
        <v/>
      </c>
      <c r="AS497">
        <f>AS496+IF(AND($E497&lt;&gt;"",$E497&lt;=AS$2,$F497&gt;=AS$2),1,0)</f>
        <v/>
      </c>
      <c r="AT497">
        <f>AT496+IF(AND($E497&lt;&gt;"",$E497&lt;=AT$2,$F497&gt;=AT$2),1,0)</f>
        <v/>
      </c>
      <c r="AU497">
        <f>AU496+IF(AND($E497&lt;&gt;"",$E497&lt;=AU$2,$F497&gt;=AU$2),1,0)</f>
        <v/>
      </c>
      <c r="AV497">
        <f>AV496+IF(AND($E497&lt;&gt;"",$E497&lt;=AV$2,$F497&gt;=AV$2),1,0)</f>
        <v/>
      </c>
      <c r="AW497">
        <f>AW496+IF(AND($E497&lt;&gt;"",$E497&lt;=AW$2,$F497&gt;=AW$2),1,0)</f>
        <v/>
      </c>
    </row>
    <row r="498">
      <c r="A498">
        <f>IF(AND(ISNUMBER(Events!$A500),ISNUMBER(Events!$B500)),MAX(0,Events!$B500-Events!$A500),0)</f>
        <v/>
      </c>
      <c r="B498">
        <f>IF(ISNUMBER(Events!$A500),DATE(YEAR($B$1)-1,MONTH(Events!$A500),DAY(Events!$A500)),"")</f>
        <v/>
      </c>
      <c r="C498">
        <f>IF(ISNUMBER(Events!$A500),DATE(YEAR($B$1),MONTH(Events!$A500),DAY(Events!$A500)),"")</f>
        <v/>
      </c>
      <c r="D498">
        <f>IF(ISNUMBER(Events!$A500),DATE(YEAR($B$2),MONTH(Events!$A500),DAY(Events!$A500)),"")</f>
        <v/>
      </c>
      <c r="E498">
        <f>IF(OR(NOT(ISNUMBER(Events!$A500)),Events!$G500="No",Calendar!$H$4="None"),"",IF(OR(Calendar!$H$4="All events",Events!$D500=Calendar!$H$4),IF(Events!$E500="Yes",IF(AND(B498&gt;=Events!$A500,B498&lt;=$B$2,B498+$A498&gt;=$B$1),B498,IF(AND(C498&gt;=Events!$A500,C498&lt;=$B$2,C498+$A498&gt;=$B$1),C498,IF(AND(D498&gt;=Events!$A500,D498&lt;=$B$2,D498+$A498&gt;=$B$1),D498,""))),IF(AND(Events!$A500&lt;=$B$2,Events!$A500+$A498&gt;=$B$1),Events!$A500,"")),""))</f>
        <v/>
      </c>
      <c r="F498">
        <f>IF(E498="","",E498+A498)</f>
        <v/>
      </c>
      <c r="G498">
        <f>IF(E498="","",IF(AND(E498&lt;=EOMONTH(Calendar!$K$2,0),F498&gt;=Calendar!$K$2),E498+495/100000,""))</f>
        <v/>
      </c>
      <c r="H498">
        <f>H497+IF(AND($E498&lt;&gt;"",$E498&lt;=H$2,$F498&gt;=H$2),1,0)</f>
        <v/>
      </c>
      <c r="I498">
        <f>I497+IF(AND($E498&lt;&gt;"",$E498&lt;=I$2,$F498&gt;=I$2),1,0)</f>
        <v/>
      </c>
      <c r="J498">
        <f>J497+IF(AND($E498&lt;&gt;"",$E498&lt;=J$2,$F498&gt;=J$2),1,0)</f>
        <v/>
      </c>
      <c r="K498">
        <f>K497+IF(AND($E498&lt;&gt;"",$E498&lt;=K$2,$F498&gt;=K$2),1,0)</f>
        <v/>
      </c>
      <c r="L498">
        <f>L497+IF(AND($E498&lt;&gt;"",$E498&lt;=L$2,$F498&gt;=L$2),1,0)</f>
        <v/>
      </c>
      <c r="M498">
        <f>M497+IF(AND($E498&lt;&gt;"",$E498&lt;=M$2,$F498&gt;=M$2),1,0)</f>
        <v/>
      </c>
      <c r="N498">
        <f>N497+IF(AND($E498&lt;&gt;"",$E498&lt;=N$2,$F498&gt;=N$2),1,0)</f>
        <v/>
      </c>
      <c r="O498">
        <f>O497+IF(AND($E498&lt;&gt;"",$E498&lt;=O$2,$F498&gt;=O$2),1,0)</f>
        <v/>
      </c>
      <c r="P498">
        <f>P497+IF(AND($E498&lt;&gt;"",$E498&lt;=P$2,$F498&gt;=P$2),1,0)</f>
        <v/>
      </c>
      <c r="Q498">
        <f>Q497+IF(AND($E498&lt;&gt;"",$E498&lt;=Q$2,$F498&gt;=Q$2),1,0)</f>
        <v/>
      </c>
      <c r="R498">
        <f>R497+IF(AND($E498&lt;&gt;"",$E498&lt;=R$2,$F498&gt;=R$2),1,0)</f>
        <v/>
      </c>
      <c r="S498">
        <f>S497+IF(AND($E498&lt;&gt;"",$E498&lt;=S$2,$F498&gt;=S$2),1,0)</f>
        <v/>
      </c>
      <c r="T498">
        <f>T497+IF(AND($E498&lt;&gt;"",$E498&lt;=T$2,$F498&gt;=T$2),1,0)</f>
        <v/>
      </c>
      <c r="U498">
        <f>U497+IF(AND($E498&lt;&gt;"",$E498&lt;=U$2,$F498&gt;=U$2),1,0)</f>
        <v/>
      </c>
      <c r="V498">
        <f>V497+IF(AND($E498&lt;&gt;"",$E498&lt;=V$2,$F498&gt;=V$2),1,0)</f>
        <v/>
      </c>
      <c r="W498">
        <f>W497+IF(AND($E498&lt;&gt;"",$E498&lt;=W$2,$F498&gt;=W$2),1,0)</f>
        <v/>
      </c>
      <c r="X498">
        <f>X497+IF(AND($E498&lt;&gt;"",$E498&lt;=X$2,$F498&gt;=X$2),1,0)</f>
        <v/>
      </c>
      <c r="Y498">
        <f>Y497+IF(AND($E498&lt;&gt;"",$E498&lt;=Y$2,$F498&gt;=Y$2),1,0)</f>
        <v/>
      </c>
      <c r="Z498">
        <f>Z497+IF(AND($E498&lt;&gt;"",$E498&lt;=Z$2,$F498&gt;=Z$2),1,0)</f>
        <v/>
      </c>
      <c r="AA498">
        <f>AA497+IF(AND($E498&lt;&gt;"",$E498&lt;=AA$2,$F498&gt;=AA$2),1,0)</f>
        <v/>
      </c>
      <c r="AB498">
        <f>AB497+IF(AND($E498&lt;&gt;"",$E498&lt;=AB$2,$F498&gt;=AB$2),1,0)</f>
        <v/>
      </c>
      <c r="AC498">
        <f>AC497+IF(AND($E498&lt;&gt;"",$E498&lt;=AC$2,$F498&gt;=AC$2),1,0)</f>
        <v/>
      </c>
      <c r="AD498">
        <f>AD497+IF(AND($E498&lt;&gt;"",$E498&lt;=AD$2,$F498&gt;=AD$2),1,0)</f>
        <v/>
      </c>
      <c r="AE498">
        <f>AE497+IF(AND($E498&lt;&gt;"",$E498&lt;=AE$2,$F498&gt;=AE$2),1,0)</f>
        <v/>
      </c>
      <c r="AF498">
        <f>AF497+IF(AND($E498&lt;&gt;"",$E498&lt;=AF$2,$F498&gt;=AF$2),1,0)</f>
        <v/>
      </c>
      <c r="AG498">
        <f>AG497+IF(AND($E498&lt;&gt;"",$E498&lt;=AG$2,$F498&gt;=AG$2),1,0)</f>
        <v/>
      </c>
      <c r="AH498">
        <f>AH497+IF(AND($E498&lt;&gt;"",$E498&lt;=AH$2,$F498&gt;=AH$2),1,0)</f>
        <v/>
      </c>
      <c r="AI498">
        <f>AI497+IF(AND($E498&lt;&gt;"",$E498&lt;=AI$2,$F498&gt;=AI$2),1,0)</f>
        <v/>
      </c>
      <c r="AJ498">
        <f>AJ497+IF(AND($E498&lt;&gt;"",$E498&lt;=AJ$2,$F498&gt;=AJ$2),1,0)</f>
        <v/>
      </c>
      <c r="AK498">
        <f>AK497+IF(AND($E498&lt;&gt;"",$E498&lt;=AK$2,$F498&gt;=AK$2),1,0)</f>
        <v/>
      </c>
      <c r="AL498">
        <f>AL497+IF(AND($E498&lt;&gt;"",$E498&lt;=AL$2,$F498&gt;=AL$2),1,0)</f>
        <v/>
      </c>
      <c r="AM498">
        <f>AM497+IF(AND($E498&lt;&gt;"",$E498&lt;=AM$2,$F498&gt;=AM$2),1,0)</f>
        <v/>
      </c>
      <c r="AN498">
        <f>AN497+IF(AND($E498&lt;&gt;"",$E498&lt;=AN$2,$F498&gt;=AN$2),1,0)</f>
        <v/>
      </c>
      <c r="AO498">
        <f>AO497+IF(AND($E498&lt;&gt;"",$E498&lt;=AO$2,$F498&gt;=AO$2),1,0)</f>
        <v/>
      </c>
      <c r="AP498">
        <f>AP497+IF(AND($E498&lt;&gt;"",$E498&lt;=AP$2,$F498&gt;=AP$2),1,0)</f>
        <v/>
      </c>
      <c r="AQ498">
        <f>AQ497+IF(AND($E498&lt;&gt;"",$E498&lt;=AQ$2,$F498&gt;=AQ$2),1,0)</f>
        <v/>
      </c>
      <c r="AR498">
        <f>AR497+IF(AND($E498&lt;&gt;"",$E498&lt;=AR$2,$F498&gt;=AR$2),1,0)</f>
        <v/>
      </c>
      <c r="AS498">
        <f>AS497+IF(AND($E498&lt;&gt;"",$E498&lt;=AS$2,$F498&gt;=AS$2),1,0)</f>
        <v/>
      </c>
      <c r="AT498">
        <f>AT497+IF(AND($E498&lt;&gt;"",$E498&lt;=AT$2,$F498&gt;=AT$2),1,0)</f>
        <v/>
      </c>
      <c r="AU498">
        <f>AU497+IF(AND($E498&lt;&gt;"",$E498&lt;=AU$2,$F498&gt;=AU$2),1,0)</f>
        <v/>
      </c>
      <c r="AV498">
        <f>AV497+IF(AND($E498&lt;&gt;"",$E498&lt;=AV$2,$F498&gt;=AV$2),1,0)</f>
        <v/>
      </c>
      <c r="AW498">
        <f>AW497+IF(AND($E498&lt;&gt;"",$E498&lt;=AW$2,$F498&gt;=AW$2),1,0)</f>
        <v/>
      </c>
    </row>
    <row r="499">
      <c r="A499">
        <f>IF(AND(ISNUMBER(Events!$A501),ISNUMBER(Events!$B501)),MAX(0,Events!$B501-Events!$A501),0)</f>
        <v/>
      </c>
      <c r="B499">
        <f>IF(ISNUMBER(Events!$A501),DATE(YEAR($B$1)-1,MONTH(Events!$A501),DAY(Events!$A501)),"")</f>
        <v/>
      </c>
      <c r="C499">
        <f>IF(ISNUMBER(Events!$A501),DATE(YEAR($B$1),MONTH(Events!$A501),DAY(Events!$A501)),"")</f>
        <v/>
      </c>
      <c r="D499">
        <f>IF(ISNUMBER(Events!$A501),DATE(YEAR($B$2),MONTH(Events!$A501),DAY(Events!$A501)),"")</f>
        <v/>
      </c>
      <c r="E499">
        <f>IF(OR(NOT(ISNUMBER(Events!$A501)),Events!$G501="No",Calendar!$H$4="None"),"",IF(OR(Calendar!$H$4="All events",Events!$D501=Calendar!$H$4),IF(Events!$E501="Yes",IF(AND(B499&gt;=Events!$A501,B499&lt;=$B$2,B499+$A499&gt;=$B$1),B499,IF(AND(C499&gt;=Events!$A501,C499&lt;=$B$2,C499+$A499&gt;=$B$1),C499,IF(AND(D499&gt;=Events!$A501,D499&lt;=$B$2,D499+$A499&gt;=$B$1),D499,""))),IF(AND(Events!$A501&lt;=$B$2,Events!$A501+$A499&gt;=$B$1),Events!$A501,"")),""))</f>
        <v/>
      </c>
      <c r="F499">
        <f>IF(E499="","",E499+A499)</f>
        <v/>
      </c>
      <c r="G499">
        <f>IF(E499="","",IF(AND(E499&lt;=EOMONTH(Calendar!$K$2,0),F499&gt;=Calendar!$K$2),E499+496/100000,""))</f>
        <v/>
      </c>
      <c r="H499">
        <f>H498+IF(AND($E499&lt;&gt;"",$E499&lt;=H$2,$F499&gt;=H$2),1,0)</f>
        <v/>
      </c>
      <c r="I499">
        <f>I498+IF(AND($E499&lt;&gt;"",$E499&lt;=I$2,$F499&gt;=I$2),1,0)</f>
        <v/>
      </c>
      <c r="J499">
        <f>J498+IF(AND($E499&lt;&gt;"",$E499&lt;=J$2,$F499&gt;=J$2),1,0)</f>
        <v/>
      </c>
      <c r="K499">
        <f>K498+IF(AND($E499&lt;&gt;"",$E499&lt;=K$2,$F499&gt;=K$2),1,0)</f>
        <v/>
      </c>
      <c r="L499">
        <f>L498+IF(AND($E499&lt;&gt;"",$E499&lt;=L$2,$F499&gt;=L$2),1,0)</f>
        <v/>
      </c>
      <c r="M499">
        <f>M498+IF(AND($E499&lt;&gt;"",$E499&lt;=M$2,$F499&gt;=M$2),1,0)</f>
        <v/>
      </c>
      <c r="N499">
        <f>N498+IF(AND($E499&lt;&gt;"",$E499&lt;=N$2,$F499&gt;=N$2),1,0)</f>
        <v/>
      </c>
      <c r="O499">
        <f>O498+IF(AND($E499&lt;&gt;"",$E499&lt;=O$2,$F499&gt;=O$2),1,0)</f>
        <v/>
      </c>
      <c r="P499">
        <f>P498+IF(AND($E499&lt;&gt;"",$E499&lt;=P$2,$F499&gt;=P$2),1,0)</f>
        <v/>
      </c>
      <c r="Q499">
        <f>Q498+IF(AND($E499&lt;&gt;"",$E499&lt;=Q$2,$F499&gt;=Q$2),1,0)</f>
        <v/>
      </c>
      <c r="R499">
        <f>R498+IF(AND($E499&lt;&gt;"",$E499&lt;=R$2,$F499&gt;=R$2),1,0)</f>
        <v/>
      </c>
      <c r="S499">
        <f>S498+IF(AND($E499&lt;&gt;"",$E499&lt;=S$2,$F499&gt;=S$2),1,0)</f>
        <v/>
      </c>
      <c r="T499">
        <f>T498+IF(AND($E499&lt;&gt;"",$E499&lt;=T$2,$F499&gt;=T$2),1,0)</f>
        <v/>
      </c>
      <c r="U499">
        <f>U498+IF(AND($E499&lt;&gt;"",$E499&lt;=U$2,$F499&gt;=U$2),1,0)</f>
        <v/>
      </c>
      <c r="V499">
        <f>V498+IF(AND($E499&lt;&gt;"",$E499&lt;=V$2,$F499&gt;=V$2),1,0)</f>
        <v/>
      </c>
      <c r="W499">
        <f>W498+IF(AND($E499&lt;&gt;"",$E499&lt;=W$2,$F499&gt;=W$2),1,0)</f>
        <v/>
      </c>
      <c r="X499">
        <f>X498+IF(AND($E499&lt;&gt;"",$E499&lt;=X$2,$F499&gt;=X$2),1,0)</f>
        <v/>
      </c>
      <c r="Y499">
        <f>Y498+IF(AND($E499&lt;&gt;"",$E499&lt;=Y$2,$F499&gt;=Y$2),1,0)</f>
        <v/>
      </c>
      <c r="Z499">
        <f>Z498+IF(AND($E499&lt;&gt;"",$E499&lt;=Z$2,$F499&gt;=Z$2),1,0)</f>
        <v/>
      </c>
      <c r="AA499">
        <f>AA498+IF(AND($E499&lt;&gt;"",$E499&lt;=AA$2,$F499&gt;=AA$2),1,0)</f>
        <v/>
      </c>
      <c r="AB499">
        <f>AB498+IF(AND($E499&lt;&gt;"",$E499&lt;=AB$2,$F499&gt;=AB$2),1,0)</f>
        <v/>
      </c>
      <c r="AC499">
        <f>AC498+IF(AND($E499&lt;&gt;"",$E499&lt;=AC$2,$F499&gt;=AC$2),1,0)</f>
        <v/>
      </c>
      <c r="AD499">
        <f>AD498+IF(AND($E499&lt;&gt;"",$E499&lt;=AD$2,$F499&gt;=AD$2),1,0)</f>
        <v/>
      </c>
      <c r="AE499">
        <f>AE498+IF(AND($E499&lt;&gt;"",$E499&lt;=AE$2,$F499&gt;=AE$2),1,0)</f>
        <v/>
      </c>
      <c r="AF499">
        <f>AF498+IF(AND($E499&lt;&gt;"",$E499&lt;=AF$2,$F499&gt;=AF$2),1,0)</f>
        <v/>
      </c>
      <c r="AG499">
        <f>AG498+IF(AND($E499&lt;&gt;"",$E499&lt;=AG$2,$F499&gt;=AG$2),1,0)</f>
        <v/>
      </c>
      <c r="AH499">
        <f>AH498+IF(AND($E499&lt;&gt;"",$E499&lt;=AH$2,$F499&gt;=AH$2),1,0)</f>
        <v/>
      </c>
      <c r="AI499">
        <f>AI498+IF(AND($E499&lt;&gt;"",$E499&lt;=AI$2,$F499&gt;=AI$2),1,0)</f>
        <v/>
      </c>
      <c r="AJ499">
        <f>AJ498+IF(AND($E499&lt;&gt;"",$E499&lt;=AJ$2,$F499&gt;=AJ$2),1,0)</f>
        <v/>
      </c>
      <c r="AK499">
        <f>AK498+IF(AND($E499&lt;&gt;"",$E499&lt;=AK$2,$F499&gt;=AK$2),1,0)</f>
        <v/>
      </c>
      <c r="AL499">
        <f>AL498+IF(AND($E499&lt;&gt;"",$E499&lt;=AL$2,$F499&gt;=AL$2),1,0)</f>
        <v/>
      </c>
      <c r="AM499">
        <f>AM498+IF(AND($E499&lt;&gt;"",$E499&lt;=AM$2,$F499&gt;=AM$2),1,0)</f>
        <v/>
      </c>
      <c r="AN499">
        <f>AN498+IF(AND($E499&lt;&gt;"",$E499&lt;=AN$2,$F499&gt;=AN$2),1,0)</f>
        <v/>
      </c>
      <c r="AO499">
        <f>AO498+IF(AND($E499&lt;&gt;"",$E499&lt;=AO$2,$F499&gt;=AO$2),1,0)</f>
        <v/>
      </c>
      <c r="AP499">
        <f>AP498+IF(AND($E499&lt;&gt;"",$E499&lt;=AP$2,$F499&gt;=AP$2),1,0)</f>
        <v/>
      </c>
      <c r="AQ499">
        <f>AQ498+IF(AND($E499&lt;&gt;"",$E499&lt;=AQ$2,$F499&gt;=AQ$2),1,0)</f>
        <v/>
      </c>
      <c r="AR499">
        <f>AR498+IF(AND($E499&lt;&gt;"",$E499&lt;=AR$2,$F499&gt;=AR$2),1,0)</f>
        <v/>
      </c>
      <c r="AS499">
        <f>AS498+IF(AND($E499&lt;&gt;"",$E499&lt;=AS$2,$F499&gt;=AS$2),1,0)</f>
        <v/>
      </c>
      <c r="AT499">
        <f>AT498+IF(AND($E499&lt;&gt;"",$E499&lt;=AT$2,$F499&gt;=AT$2),1,0)</f>
        <v/>
      </c>
      <c r="AU499">
        <f>AU498+IF(AND($E499&lt;&gt;"",$E499&lt;=AU$2,$F499&gt;=AU$2),1,0)</f>
        <v/>
      </c>
      <c r="AV499">
        <f>AV498+IF(AND($E499&lt;&gt;"",$E499&lt;=AV$2,$F499&gt;=AV$2),1,0)</f>
        <v/>
      </c>
      <c r="AW499">
        <f>AW498+IF(AND($E499&lt;&gt;"",$E499&lt;=AW$2,$F499&gt;=AW$2),1,0)</f>
        <v/>
      </c>
    </row>
    <row r="500">
      <c r="A500">
        <f>IF(AND(ISNUMBER(Events!$A502),ISNUMBER(Events!$B502)),MAX(0,Events!$B502-Events!$A502),0)</f>
        <v/>
      </c>
      <c r="B500">
        <f>IF(ISNUMBER(Events!$A502),DATE(YEAR($B$1)-1,MONTH(Events!$A502),DAY(Events!$A502)),"")</f>
        <v/>
      </c>
      <c r="C500">
        <f>IF(ISNUMBER(Events!$A502),DATE(YEAR($B$1),MONTH(Events!$A502),DAY(Events!$A502)),"")</f>
        <v/>
      </c>
      <c r="D500">
        <f>IF(ISNUMBER(Events!$A502),DATE(YEAR($B$2),MONTH(Events!$A502),DAY(Events!$A502)),"")</f>
        <v/>
      </c>
      <c r="E500">
        <f>IF(OR(NOT(ISNUMBER(Events!$A502)),Events!$G502="No",Calendar!$H$4="None"),"",IF(OR(Calendar!$H$4="All events",Events!$D502=Calendar!$H$4),IF(Events!$E502="Yes",IF(AND(B500&gt;=Events!$A502,B500&lt;=$B$2,B500+$A500&gt;=$B$1),B500,IF(AND(C500&gt;=Events!$A502,C500&lt;=$B$2,C500+$A500&gt;=$B$1),C500,IF(AND(D500&gt;=Events!$A502,D500&lt;=$B$2,D500+$A500&gt;=$B$1),D500,""))),IF(AND(Events!$A502&lt;=$B$2,Events!$A502+$A500&gt;=$B$1),Events!$A502,"")),""))</f>
        <v/>
      </c>
      <c r="F500">
        <f>IF(E500="","",E500+A500)</f>
        <v/>
      </c>
      <c r="G500">
        <f>IF(E500="","",IF(AND(E500&lt;=EOMONTH(Calendar!$K$2,0),F500&gt;=Calendar!$K$2),E500+497/100000,""))</f>
        <v/>
      </c>
      <c r="H500">
        <f>H499+IF(AND($E500&lt;&gt;"",$E500&lt;=H$2,$F500&gt;=H$2),1,0)</f>
        <v/>
      </c>
      <c r="I500">
        <f>I499+IF(AND($E500&lt;&gt;"",$E500&lt;=I$2,$F500&gt;=I$2),1,0)</f>
        <v/>
      </c>
      <c r="J500">
        <f>J499+IF(AND($E500&lt;&gt;"",$E500&lt;=J$2,$F500&gt;=J$2),1,0)</f>
        <v/>
      </c>
      <c r="K500">
        <f>K499+IF(AND($E500&lt;&gt;"",$E500&lt;=K$2,$F500&gt;=K$2),1,0)</f>
        <v/>
      </c>
      <c r="L500">
        <f>L499+IF(AND($E500&lt;&gt;"",$E500&lt;=L$2,$F500&gt;=L$2),1,0)</f>
        <v/>
      </c>
      <c r="M500">
        <f>M499+IF(AND($E500&lt;&gt;"",$E500&lt;=M$2,$F500&gt;=M$2),1,0)</f>
        <v/>
      </c>
      <c r="N500">
        <f>N499+IF(AND($E500&lt;&gt;"",$E500&lt;=N$2,$F500&gt;=N$2),1,0)</f>
        <v/>
      </c>
      <c r="O500">
        <f>O499+IF(AND($E500&lt;&gt;"",$E500&lt;=O$2,$F500&gt;=O$2),1,0)</f>
        <v/>
      </c>
      <c r="P500">
        <f>P499+IF(AND($E500&lt;&gt;"",$E500&lt;=P$2,$F500&gt;=P$2),1,0)</f>
        <v/>
      </c>
      <c r="Q500">
        <f>Q499+IF(AND($E500&lt;&gt;"",$E500&lt;=Q$2,$F500&gt;=Q$2),1,0)</f>
        <v/>
      </c>
      <c r="R500">
        <f>R499+IF(AND($E500&lt;&gt;"",$E500&lt;=R$2,$F500&gt;=R$2),1,0)</f>
        <v/>
      </c>
      <c r="S500">
        <f>S499+IF(AND($E500&lt;&gt;"",$E500&lt;=S$2,$F500&gt;=S$2),1,0)</f>
        <v/>
      </c>
      <c r="T500">
        <f>T499+IF(AND($E500&lt;&gt;"",$E500&lt;=T$2,$F500&gt;=T$2),1,0)</f>
        <v/>
      </c>
      <c r="U500">
        <f>U499+IF(AND($E500&lt;&gt;"",$E500&lt;=U$2,$F500&gt;=U$2),1,0)</f>
        <v/>
      </c>
      <c r="V500">
        <f>V499+IF(AND($E500&lt;&gt;"",$E500&lt;=V$2,$F500&gt;=V$2),1,0)</f>
        <v/>
      </c>
      <c r="W500">
        <f>W499+IF(AND($E500&lt;&gt;"",$E500&lt;=W$2,$F500&gt;=W$2),1,0)</f>
        <v/>
      </c>
      <c r="X500">
        <f>X499+IF(AND($E500&lt;&gt;"",$E500&lt;=X$2,$F500&gt;=X$2),1,0)</f>
        <v/>
      </c>
      <c r="Y500">
        <f>Y499+IF(AND($E500&lt;&gt;"",$E500&lt;=Y$2,$F500&gt;=Y$2),1,0)</f>
        <v/>
      </c>
      <c r="Z500">
        <f>Z499+IF(AND($E500&lt;&gt;"",$E500&lt;=Z$2,$F500&gt;=Z$2),1,0)</f>
        <v/>
      </c>
      <c r="AA500">
        <f>AA499+IF(AND($E500&lt;&gt;"",$E500&lt;=AA$2,$F500&gt;=AA$2),1,0)</f>
        <v/>
      </c>
      <c r="AB500">
        <f>AB499+IF(AND($E500&lt;&gt;"",$E500&lt;=AB$2,$F500&gt;=AB$2),1,0)</f>
        <v/>
      </c>
      <c r="AC500">
        <f>AC499+IF(AND($E500&lt;&gt;"",$E500&lt;=AC$2,$F500&gt;=AC$2),1,0)</f>
        <v/>
      </c>
      <c r="AD500">
        <f>AD499+IF(AND($E500&lt;&gt;"",$E500&lt;=AD$2,$F500&gt;=AD$2),1,0)</f>
        <v/>
      </c>
      <c r="AE500">
        <f>AE499+IF(AND($E500&lt;&gt;"",$E500&lt;=AE$2,$F500&gt;=AE$2),1,0)</f>
        <v/>
      </c>
      <c r="AF500">
        <f>AF499+IF(AND($E500&lt;&gt;"",$E500&lt;=AF$2,$F500&gt;=AF$2),1,0)</f>
        <v/>
      </c>
      <c r="AG500">
        <f>AG499+IF(AND($E500&lt;&gt;"",$E500&lt;=AG$2,$F500&gt;=AG$2),1,0)</f>
        <v/>
      </c>
      <c r="AH500">
        <f>AH499+IF(AND($E500&lt;&gt;"",$E500&lt;=AH$2,$F500&gt;=AH$2),1,0)</f>
        <v/>
      </c>
      <c r="AI500">
        <f>AI499+IF(AND($E500&lt;&gt;"",$E500&lt;=AI$2,$F500&gt;=AI$2),1,0)</f>
        <v/>
      </c>
      <c r="AJ500">
        <f>AJ499+IF(AND($E500&lt;&gt;"",$E500&lt;=AJ$2,$F500&gt;=AJ$2),1,0)</f>
        <v/>
      </c>
      <c r="AK500">
        <f>AK499+IF(AND($E500&lt;&gt;"",$E500&lt;=AK$2,$F500&gt;=AK$2),1,0)</f>
        <v/>
      </c>
      <c r="AL500">
        <f>AL499+IF(AND($E500&lt;&gt;"",$E500&lt;=AL$2,$F500&gt;=AL$2),1,0)</f>
        <v/>
      </c>
      <c r="AM500">
        <f>AM499+IF(AND($E500&lt;&gt;"",$E500&lt;=AM$2,$F500&gt;=AM$2),1,0)</f>
        <v/>
      </c>
      <c r="AN500">
        <f>AN499+IF(AND($E500&lt;&gt;"",$E500&lt;=AN$2,$F500&gt;=AN$2),1,0)</f>
        <v/>
      </c>
      <c r="AO500">
        <f>AO499+IF(AND($E500&lt;&gt;"",$E500&lt;=AO$2,$F500&gt;=AO$2),1,0)</f>
        <v/>
      </c>
      <c r="AP500">
        <f>AP499+IF(AND($E500&lt;&gt;"",$E500&lt;=AP$2,$F500&gt;=AP$2),1,0)</f>
        <v/>
      </c>
      <c r="AQ500">
        <f>AQ499+IF(AND($E500&lt;&gt;"",$E500&lt;=AQ$2,$F500&gt;=AQ$2),1,0)</f>
        <v/>
      </c>
      <c r="AR500">
        <f>AR499+IF(AND($E500&lt;&gt;"",$E500&lt;=AR$2,$F500&gt;=AR$2),1,0)</f>
        <v/>
      </c>
      <c r="AS500">
        <f>AS499+IF(AND($E500&lt;&gt;"",$E500&lt;=AS$2,$F500&gt;=AS$2),1,0)</f>
        <v/>
      </c>
      <c r="AT500">
        <f>AT499+IF(AND($E500&lt;&gt;"",$E500&lt;=AT$2,$F500&gt;=AT$2),1,0)</f>
        <v/>
      </c>
      <c r="AU500">
        <f>AU499+IF(AND($E500&lt;&gt;"",$E500&lt;=AU$2,$F500&gt;=AU$2),1,0)</f>
        <v/>
      </c>
      <c r="AV500">
        <f>AV499+IF(AND($E500&lt;&gt;"",$E500&lt;=AV$2,$F500&gt;=AV$2),1,0)</f>
        <v/>
      </c>
      <c r="AW500">
        <f>AW499+IF(AND($E500&lt;&gt;"",$E500&lt;=AW$2,$F500&gt;=AW$2),1,0)</f>
        <v/>
      </c>
    </row>
    <row r="501">
      <c r="A501">
        <f>IF(AND(ISNUMBER(Events!$A503),ISNUMBER(Events!$B503)),MAX(0,Events!$B503-Events!$A503),0)</f>
        <v/>
      </c>
      <c r="B501">
        <f>IF(ISNUMBER(Events!$A503),DATE(YEAR($B$1)-1,MONTH(Events!$A503),DAY(Events!$A503)),"")</f>
        <v/>
      </c>
      <c r="C501">
        <f>IF(ISNUMBER(Events!$A503),DATE(YEAR($B$1),MONTH(Events!$A503),DAY(Events!$A503)),"")</f>
        <v/>
      </c>
      <c r="D501">
        <f>IF(ISNUMBER(Events!$A503),DATE(YEAR($B$2),MONTH(Events!$A503),DAY(Events!$A503)),"")</f>
        <v/>
      </c>
      <c r="E501">
        <f>IF(OR(NOT(ISNUMBER(Events!$A503)),Events!$G503="No",Calendar!$H$4="None"),"",IF(OR(Calendar!$H$4="All events",Events!$D503=Calendar!$H$4),IF(Events!$E503="Yes",IF(AND(B501&gt;=Events!$A503,B501&lt;=$B$2,B501+$A501&gt;=$B$1),B501,IF(AND(C501&gt;=Events!$A503,C501&lt;=$B$2,C501+$A501&gt;=$B$1),C501,IF(AND(D501&gt;=Events!$A503,D501&lt;=$B$2,D501+$A501&gt;=$B$1),D501,""))),IF(AND(Events!$A503&lt;=$B$2,Events!$A503+$A501&gt;=$B$1),Events!$A503,"")),""))</f>
        <v/>
      </c>
      <c r="F501">
        <f>IF(E501="","",E501+A501)</f>
        <v/>
      </c>
      <c r="G501">
        <f>IF(E501="","",IF(AND(E501&lt;=EOMONTH(Calendar!$K$2,0),F501&gt;=Calendar!$K$2),E501+498/100000,""))</f>
        <v/>
      </c>
      <c r="H501">
        <f>H500+IF(AND($E501&lt;&gt;"",$E501&lt;=H$2,$F501&gt;=H$2),1,0)</f>
        <v/>
      </c>
      <c r="I501">
        <f>I500+IF(AND($E501&lt;&gt;"",$E501&lt;=I$2,$F501&gt;=I$2),1,0)</f>
        <v/>
      </c>
      <c r="J501">
        <f>J500+IF(AND($E501&lt;&gt;"",$E501&lt;=J$2,$F501&gt;=J$2),1,0)</f>
        <v/>
      </c>
      <c r="K501">
        <f>K500+IF(AND($E501&lt;&gt;"",$E501&lt;=K$2,$F501&gt;=K$2),1,0)</f>
        <v/>
      </c>
      <c r="L501">
        <f>L500+IF(AND($E501&lt;&gt;"",$E501&lt;=L$2,$F501&gt;=L$2),1,0)</f>
        <v/>
      </c>
      <c r="M501">
        <f>M500+IF(AND($E501&lt;&gt;"",$E501&lt;=M$2,$F501&gt;=M$2),1,0)</f>
        <v/>
      </c>
      <c r="N501">
        <f>N500+IF(AND($E501&lt;&gt;"",$E501&lt;=N$2,$F501&gt;=N$2),1,0)</f>
        <v/>
      </c>
      <c r="O501">
        <f>O500+IF(AND($E501&lt;&gt;"",$E501&lt;=O$2,$F501&gt;=O$2),1,0)</f>
        <v/>
      </c>
      <c r="P501">
        <f>P500+IF(AND($E501&lt;&gt;"",$E501&lt;=P$2,$F501&gt;=P$2),1,0)</f>
        <v/>
      </c>
      <c r="Q501">
        <f>Q500+IF(AND($E501&lt;&gt;"",$E501&lt;=Q$2,$F501&gt;=Q$2),1,0)</f>
        <v/>
      </c>
      <c r="R501">
        <f>R500+IF(AND($E501&lt;&gt;"",$E501&lt;=R$2,$F501&gt;=R$2),1,0)</f>
        <v/>
      </c>
      <c r="S501">
        <f>S500+IF(AND($E501&lt;&gt;"",$E501&lt;=S$2,$F501&gt;=S$2),1,0)</f>
        <v/>
      </c>
      <c r="T501">
        <f>T500+IF(AND($E501&lt;&gt;"",$E501&lt;=T$2,$F501&gt;=T$2),1,0)</f>
        <v/>
      </c>
      <c r="U501">
        <f>U500+IF(AND($E501&lt;&gt;"",$E501&lt;=U$2,$F501&gt;=U$2),1,0)</f>
        <v/>
      </c>
      <c r="V501">
        <f>V500+IF(AND($E501&lt;&gt;"",$E501&lt;=V$2,$F501&gt;=V$2),1,0)</f>
        <v/>
      </c>
      <c r="W501">
        <f>W500+IF(AND($E501&lt;&gt;"",$E501&lt;=W$2,$F501&gt;=W$2),1,0)</f>
        <v/>
      </c>
      <c r="X501">
        <f>X500+IF(AND($E501&lt;&gt;"",$E501&lt;=X$2,$F501&gt;=X$2),1,0)</f>
        <v/>
      </c>
      <c r="Y501">
        <f>Y500+IF(AND($E501&lt;&gt;"",$E501&lt;=Y$2,$F501&gt;=Y$2),1,0)</f>
        <v/>
      </c>
      <c r="Z501">
        <f>Z500+IF(AND($E501&lt;&gt;"",$E501&lt;=Z$2,$F501&gt;=Z$2),1,0)</f>
        <v/>
      </c>
      <c r="AA501">
        <f>AA500+IF(AND($E501&lt;&gt;"",$E501&lt;=AA$2,$F501&gt;=AA$2),1,0)</f>
        <v/>
      </c>
      <c r="AB501">
        <f>AB500+IF(AND($E501&lt;&gt;"",$E501&lt;=AB$2,$F501&gt;=AB$2),1,0)</f>
        <v/>
      </c>
      <c r="AC501">
        <f>AC500+IF(AND($E501&lt;&gt;"",$E501&lt;=AC$2,$F501&gt;=AC$2),1,0)</f>
        <v/>
      </c>
      <c r="AD501">
        <f>AD500+IF(AND($E501&lt;&gt;"",$E501&lt;=AD$2,$F501&gt;=AD$2),1,0)</f>
        <v/>
      </c>
      <c r="AE501">
        <f>AE500+IF(AND($E501&lt;&gt;"",$E501&lt;=AE$2,$F501&gt;=AE$2),1,0)</f>
        <v/>
      </c>
      <c r="AF501">
        <f>AF500+IF(AND($E501&lt;&gt;"",$E501&lt;=AF$2,$F501&gt;=AF$2),1,0)</f>
        <v/>
      </c>
      <c r="AG501">
        <f>AG500+IF(AND($E501&lt;&gt;"",$E501&lt;=AG$2,$F501&gt;=AG$2),1,0)</f>
        <v/>
      </c>
      <c r="AH501">
        <f>AH500+IF(AND($E501&lt;&gt;"",$E501&lt;=AH$2,$F501&gt;=AH$2),1,0)</f>
        <v/>
      </c>
      <c r="AI501">
        <f>AI500+IF(AND($E501&lt;&gt;"",$E501&lt;=AI$2,$F501&gt;=AI$2),1,0)</f>
        <v/>
      </c>
      <c r="AJ501">
        <f>AJ500+IF(AND($E501&lt;&gt;"",$E501&lt;=AJ$2,$F501&gt;=AJ$2),1,0)</f>
        <v/>
      </c>
      <c r="AK501">
        <f>AK500+IF(AND($E501&lt;&gt;"",$E501&lt;=AK$2,$F501&gt;=AK$2),1,0)</f>
        <v/>
      </c>
      <c r="AL501">
        <f>AL500+IF(AND($E501&lt;&gt;"",$E501&lt;=AL$2,$F501&gt;=AL$2),1,0)</f>
        <v/>
      </c>
      <c r="AM501">
        <f>AM500+IF(AND($E501&lt;&gt;"",$E501&lt;=AM$2,$F501&gt;=AM$2),1,0)</f>
        <v/>
      </c>
      <c r="AN501">
        <f>AN500+IF(AND($E501&lt;&gt;"",$E501&lt;=AN$2,$F501&gt;=AN$2),1,0)</f>
        <v/>
      </c>
      <c r="AO501">
        <f>AO500+IF(AND($E501&lt;&gt;"",$E501&lt;=AO$2,$F501&gt;=AO$2),1,0)</f>
        <v/>
      </c>
      <c r="AP501">
        <f>AP500+IF(AND($E501&lt;&gt;"",$E501&lt;=AP$2,$F501&gt;=AP$2),1,0)</f>
        <v/>
      </c>
      <c r="AQ501">
        <f>AQ500+IF(AND($E501&lt;&gt;"",$E501&lt;=AQ$2,$F501&gt;=AQ$2),1,0)</f>
        <v/>
      </c>
      <c r="AR501">
        <f>AR500+IF(AND($E501&lt;&gt;"",$E501&lt;=AR$2,$F501&gt;=AR$2),1,0)</f>
        <v/>
      </c>
      <c r="AS501">
        <f>AS500+IF(AND($E501&lt;&gt;"",$E501&lt;=AS$2,$F501&gt;=AS$2),1,0)</f>
        <v/>
      </c>
      <c r="AT501">
        <f>AT500+IF(AND($E501&lt;&gt;"",$E501&lt;=AT$2,$F501&gt;=AT$2),1,0)</f>
        <v/>
      </c>
      <c r="AU501">
        <f>AU500+IF(AND($E501&lt;&gt;"",$E501&lt;=AU$2,$F501&gt;=AU$2),1,0)</f>
        <v/>
      </c>
      <c r="AV501">
        <f>AV500+IF(AND($E501&lt;&gt;"",$E501&lt;=AV$2,$F501&gt;=AV$2),1,0)</f>
        <v/>
      </c>
      <c r="AW501">
        <f>AW500+IF(AND($E501&lt;&gt;"",$E501&lt;=AW$2,$F501&gt;=AW$2),1,0)</f>
        <v/>
      </c>
    </row>
    <row r="502">
      <c r="A502">
        <f>IF(AND(ISNUMBER(Events!$A504),ISNUMBER(Events!$B504)),MAX(0,Events!$B504-Events!$A504),0)</f>
        <v/>
      </c>
      <c r="B502">
        <f>IF(ISNUMBER(Events!$A504),DATE(YEAR($B$1)-1,MONTH(Events!$A504),DAY(Events!$A504)),"")</f>
        <v/>
      </c>
      <c r="C502">
        <f>IF(ISNUMBER(Events!$A504),DATE(YEAR($B$1),MONTH(Events!$A504),DAY(Events!$A504)),"")</f>
        <v/>
      </c>
      <c r="D502">
        <f>IF(ISNUMBER(Events!$A504),DATE(YEAR($B$2),MONTH(Events!$A504),DAY(Events!$A504)),"")</f>
        <v/>
      </c>
      <c r="E502">
        <f>IF(OR(NOT(ISNUMBER(Events!$A504)),Events!$G504="No",Calendar!$H$4="None"),"",IF(OR(Calendar!$H$4="All events",Events!$D504=Calendar!$H$4),IF(Events!$E504="Yes",IF(AND(B502&gt;=Events!$A504,B502&lt;=$B$2,B502+$A502&gt;=$B$1),B502,IF(AND(C502&gt;=Events!$A504,C502&lt;=$B$2,C502+$A502&gt;=$B$1),C502,IF(AND(D502&gt;=Events!$A504,D502&lt;=$B$2,D502+$A502&gt;=$B$1),D502,""))),IF(AND(Events!$A504&lt;=$B$2,Events!$A504+$A502&gt;=$B$1),Events!$A504,"")),""))</f>
        <v/>
      </c>
      <c r="F502">
        <f>IF(E502="","",E502+A502)</f>
        <v/>
      </c>
      <c r="G502">
        <f>IF(E502="","",IF(AND(E502&lt;=EOMONTH(Calendar!$K$2,0),F502&gt;=Calendar!$K$2),E502+499/100000,""))</f>
        <v/>
      </c>
      <c r="H502">
        <f>H501+IF(AND($E502&lt;&gt;"",$E502&lt;=H$2,$F502&gt;=H$2),1,0)</f>
        <v/>
      </c>
      <c r="I502">
        <f>I501+IF(AND($E502&lt;&gt;"",$E502&lt;=I$2,$F502&gt;=I$2),1,0)</f>
        <v/>
      </c>
      <c r="J502">
        <f>J501+IF(AND($E502&lt;&gt;"",$E502&lt;=J$2,$F502&gt;=J$2),1,0)</f>
        <v/>
      </c>
      <c r="K502">
        <f>K501+IF(AND($E502&lt;&gt;"",$E502&lt;=K$2,$F502&gt;=K$2),1,0)</f>
        <v/>
      </c>
      <c r="L502">
        <f>L501+IF(AND($E502&lt;&gt;"",$E502&lt;=L$2,$F502&gt;=L$2),1,0)</f>
        <v/>
      </c>
      <c r="M502">
        <f>M501+IF(AND($E502&lt;&gt;"",$E502&lt;=M$2,$F502&gt;=M$2),1,0)</f>
        <v/>
      </c>
      <c r="N502">
        <f>N501+IF(AND($E502&lt;&gt;"",$E502&lt;=N$2,$F502&gt;=N$2),1,0)</f>
        <v/>
      </c>
      <c r="O502">
        <f>O501+IF(AND($E502&lt;&gt;"",$E502&lt;=O$2,$F502&gt;=O$2),1,0)</f>
        <v/>
      </c>
      <c r="P502">
        <f>P501+IF(AND($E502&lt;&gt;"",$E502&lt;=P$2,$F502&gt;=P$2),1,0)</f>
        <v/>
      </c>
      <c r="Q502">
        <f>Q501+IF(AND($E502&lt;&gt;"",$E502&lt;=Q$2,$F502&gt;=Q$2),1,0)</f>
        <v/>
      </c>
      <c r="R502">
        <f>R501+IF(AND($E502&lt;&gt;"",$E502&lt;=R$2,$F502&gt;=R$2),1,0)</f>
        <v/>
      </c>
      <c r="S502">
        <f>S501+IF(AND($E502&lt;&gt;"",$E502&lt;=S$2,$F502&gt;=S$2),1,0)</f>
        <v/>
      </c>
      <c r="T502">
        <f>T501+IF(AND($E502&lt;&gt;"",$E502&lt;=T$2,$F502&gt;=T$2),1,0)</f>
        <v/>
      </c>
      <c r="U502">
        <f>U501+IF(AND($E502&lt;&gt;"",$E502&lt;=U$2,$F502&gt;=U$2),1,0)</f>
        <v/>
      </c>
      <c r="V502">
        <f>V501+IF(AND($E502&lt;&gt;"",$E502&lt;=V$2,$F502&gt;=V$2),1,0)</f>
        <v/>
      </c>
      <c r="W502">
        <f>W501+IF(AND($E502&lt;&gt;"",$E502&lt;=W$2,$F502&gt;=W$2),1,0)</f>
        <v/>
      </c>
      <c r="X502">
        <f>X501+IF(AND($E502&lt;&gt;"",$E502&lt;=X$2,$F502&gt;=X$2),1,0)</f>
        <v/>
      </c>
      <c r="Y502">
        <f>Y501+IF(AND($E502&lt;&gt;"",$E502&lt;=Y$2,$F502&gt;=Y$2),1,0)</f>
        <v/>
      </c>
      <c r="Z502">
        <f>Z501+IF(AND($E502&lt;&gt;"",$E502&lt;=Z$2,$F502&gt;=Z$2),1,0)</f>
        <v/>
      </c>
      <c r="AA502">
        <f>AA501+IF(AND($E502&lt;&gt;"",$E502&lt;=AA$2,$F502&gt;=AA$2),1,0)</f>
        <v/>
      </c>
      <c r="AB502">
        <f>AB501+IF(AND($E502&lt;&gt;"",$E502&lt;=AB$2,$F502&gt;=AB$2),1,0)</f>
        <v/>
      </c>
      <c r="AC502">
        <f>AC501+IF(AND($E502&lt;&gt;"",$E502&lt;=AC$2,$F502&gt;=AC$2),1,0)</f>
        <v/>
      </c>
      <c r="AD502">
        <f>AD501+IF(AND($E502&lt;&gt;"",$E502&lt;=AD$2,$F502&gt;=AD$2),1,0)</f>
        <v/>
      </c>
      <c r="AE502">
        <f>AE501+IF(AND($E502&lt;&gt;"",$E502&lt;=AE$2,$F502&gt;=AE$2),1,0)</f>
        <v/>
      </c>
      <c r="AF502">
        <f>AF501+IF(AND($E502&lt;&gt;"",$E502&lt;=AF$2,$F502&gt;=AF$2),1,0)</f>
        <v/>
      </c>
      <c r="AG502">
        <f>AG501+IF(AND($E502&lt;&gt;"",$E502&lt;=AG$2,$F502&gt;=AG$2),1,0)</f>
        <v/>
      </c>
      <c r="AH502">
        <f>AH501+IF(AND($E502&lt;&gt;"",$E502&lt;=AH$2,$F502&gt;=AH$2),1,0)</f>
        <v/>
      </c>
      <c r="AI502">
        <f>AI501+IF(AND($E502&lt;&gt;"",$E502&lt;=AI$2,$F502&gt;=AI$2),1,0)</f>
        <v/>
      </c>
      <c r="AJ502">
        <f>AJ501+IF(AND($E502&lt;&gt;"",$E502&lt;=AJ$2,$F502&gt;=AJ$2),1,0)</f>
        <v/>
      </c>
      <c r="AK502">
        <f>AK501+IF(AND($E502&lt;&gt;"",$E502&lt;=AK$2,$F502&gt;=AK$2),1,0)</f>
        <v/>
      </c>
      <c r="AL502">
        <f>AL501+IF(AND($E502&lt;&gt;"",$E502&lt;=AL$2,$F502&gt;=AL$2),1,0)</f>
        <v/>
      </c>
      <c r="AM502">
        <f>AM501+IF(AND($E502&lt;&gt;"",$E502&lt;=AM$2,$F502&gt;=AM$2),1,0)</f>
        <v/>
      </c>
      <c r="AN502">
        <f>AN501+IF(AND($E502&lt;&gt;"",$E502&lt;=AN$2,$F502&gt;=AN$2),1,0)</f>
        <v/>
      </c>
      <c r="AO502">
        <f>AO501+IF(AND($E502&lt;&gt;"",$E502&lt;=AO$2,$F502&gt;=AO$2),1,0)</f>
        <v/>
      </c>
      <c r="AP502">
        <f>AP501+IF(AND($E502&lt;&gt;"",$E502&lt;=AP$2,$F502&gt;=AP$2),1,0)</f>
        <v/>
      </c>
      <c r="AQ502">
        <f>AQ501+IF(AND($E502&lt;&gt;"",$E502&lt;=AQ$2,$F502&gt;=AQ$2),1,0)</f>
        <v/>
      </c>
      <c r="AR502">
        <f>AR501+IF(AND($E502&lt;&gt;"",$E502&lt;=AR$2,$F502&gt;=AR$2),1,0)</f>
        <v/>
      </c>
      <c r="AS502">
        <f>AS501+IF(AND($E502&lt;&gt;"",$E502&lt;=AS$2,$F502&gt;=AS$2),1,0)</f>
        <v/>
      </c>
      <c r="AT502">
        <f>AT501+IF(AND($E502&lt;&gt;"",$E502&lt;=AT$2,$F502&gt;=AT$2),1,0)</f>
        <v/>
      </c>
      <c r="AU502">
        <f>AU501+IF(AND($E502&lt;&gt;"",$E502&lt;=AU$2,$F502&gt;=AU$2),1,0)</f>
        <v/>
      </c>
      <c r="AV502">
        <f>AV501+IF(AND($E502&lt;&gt;"",$E502&lt;=AV$2,$F502&gt;=AV$2),1,0)</f>
        <v/>
      </c>
      <c r="AW502">
        <f>AW501+IF(AND($E502&lt;&gt;"",$E502&lt;=AW$2,$F502&gt;=AW$2),1,0)</f>
        <v/>
      </c>
    </row>
    <row r="503">
      <c r="A503">
        <f>IF(AND(ISNUMBER(Events!$A505),ISNUMBER(Events!$B505)),MAX(0,Events!$B505-Events!$A505),0)</f>
        <v/>
      </c>
      <c r="B503">
        <f>IF(ISNUMBER(Events!$A505),DATE(YEAR($B$1)-1,MONTH(Events!$A505),DAY(Events!$A505)),"")</f>
        <v/>
      </c>
      <c r="C503">
        <f>IF(ISNUMBER(Events!$A505),DATE(YEAR($B$1),MONTH(Events!$A505),DAY(Events!$A505)),"")</f>
        <v/>
      </c>
      <c r="D503">
        <f>IF(ISNUMBER(Events!$A505),DATE(YEAR($B$2),MONTH(Events!$A505),DAY(Events!$A505)),"")</f>
        <v/>
      </c>
      <c r="E503">
        <f>IF(OR(NOT(ISNUMBER(Events!$A505)),Events!$G505="No",Calendar!$H$4="None"),"",IF(OR(Calendar!$H$4="All events",Events!$D505=Calendar!$H$4),IF(Events!$E505="Yes",IF(AND(B503&gt;=Events!$A505,B503&lt;=$B$2,B503+$A503&gt;=$B$1),B503,IF(AND(C503&gt;=Events!$A505,C503&lt;=$B$2,C503+$A503&gt;=$B$1),C503,IF(AND(D503&gt;=Events!$A505,D503&lt;=$B$2,D503+$A503&gt;=$B$1),D503,""))),IF(AND(Events!$A505&lt;=$B$2,Events!$A505+$A503&gt;=$B$1),Events!$A505,"")),""))</f>
        <v/>
      </c>
      <c r="F503">
        <f>IF(E503="","",E503+A503)</f>
        <v/>
      </c>
      <c r="G503">
        <f>IF(E503="","",IF(AND(E503&lt;=EOMONTH(Calendar!$K$2,0),F503&gt;=Calendar!$K$2),E503+500/100000,""))</f>
        <v/>
      </c>
      <c r="H503">
        <f>H502+IF(AND($E503&lt;&gt;"",$E503&lt;=H$2,$F503&gt;=H$2),1,0)</f>
        <v/>
      </c>
      <c r="I503">
        <f>I502+IF(AND($E503&lt;&gt;"",$E503&lt;=I$2,$F503&gt;=I$2),1,0)</f>
        <v/>
      </c>
      <c r="J503">
        <f>J502+IF(AND($E503&lt;&gt;"",$E503&lt;=J$2,$F503&gt;=J$2),1,0)</f>
        <v/>
      </c>
      <c r="K503">
        <f>K502+IF(AND($E503&lt;&gt;"",$E503&lt;=K$2,$F503&gt;=K$2),1,0)</f>
        <v/>
      </c>
      <c r="L503">
        <f>L502+IF(AND($E503&lt;&gt;"",$E503&lt;=L$2,$F503&gt;=L$2),1,0)</f>
        <v/>
      </c>
      <c r="M503">
        <f>M502+IF(AND($E503&lt;&gt;"",$E503&lt;=M$2,$F503&gt;=M$2),1,0)</f>
        <v/>
      </c>
      <c r="N503">
        <f>N502+IF(AND($E503&lt;&gt;"",$E503&lt;=N$2,$F503&gt;=N$2),1,0)</f>
        <v/>
      </c>
      <c r="O503">
        <f>O502+IF(AND($E503&lt;&gt;"",$E503&lt;=O$2,$F503&gt;=O$2),1,0)</f>
        <v/>
      </c>
      <c r="P503">
        <f>P502+IF(AND($E503&lt;&gt;"",$E503&lt;=P$2,$F503&gt;=P$2),1,0)</f>
        <v/>
      </c>
      <c r="Q503">
        <f>Q502+IF(AND($E503&lt;&gt;"",$E503&lt;=Q$2,$F503&gt;=Q$2),1,0)</f>
        <v/>
      </c>
      <c r="R503">
        <f>R502+IF(AND($E503&lt;&gt;"",$E503&lt;=R$2,$F503&gt;=R$2),1,0)</f>
        <v/>
      </c>
      <c r="S503">
        <f>S502+IF(AND($E503&lt;&gt;"",$E503&lt;=S$2,$F503&gt;=S$2),1,0)</f>
        <v/>
      </c>
      <c r="T503">
        <f>T502+IF(AND($E503&lt;&gt;"",$E503&lt;=T$2,$F503&gt;=T$2),1,0)</f>
        <v/>
      </c>
      <c r="U503">
        <f>U502+IF(AND($E503&lt;&gt;"",$E503&lt;=U$2,$F503&gt;=U$2),1,0)</f>
        <v/>
      </c>
      <c r="V503">
        <f>V502+IF(AND($E503&lt;&gt;"",$E503&lt;=V$2,$F503&gt;=V$2),1,0)</f>
        <v/>
      </c>
      <c r="W503">
        <f>W502+IF(AND($E503&lt;&gt;"",$E503&lt;=W$2,$F503&gt;=W$2),1,0)</f>
        <v/>
      </c>
      <c r="X503">
        <f>X502+IF(AND($E503&lt;&gt;"",$E503&lt;=X$2,$F503&gt;=X$2),1,0)</f>
        <v/>
      </c>
      <c r="Y503">
        <f>Y502+IF(AND($E503&lt;&gt;"",$E503&lt;=Y$2,$F503&gt;=Y$2),1,0)</f>
        <v/>
      </c>
      <c r="Z503">
        <f>Z502+IF(AND($E503&lt;&gt;"",$E503&lt;=Z$2,$F503&gt;=Z$2),1,0)</f>
        <v/>
      </c>
      <c r="AA503">
        <f>AA502+IF(AND($E503&lt;&gt;"",$E503&lt;=AA$2,$F503&gt;=AA$2),1,0)</f>
        <v/>
      </c>
      <c r="AB503">
        <f>AB502+IF(AND($E503&lt;&gt;"",$E503&lt;=AB$2,$F503&gt;=AB$2),1,0)</f>
        <v/>
      </c>
      <c r="AC503">
        <f>AC502+IF(AND($E503&lt;&gt;"",$E503&lt;=AC$2,$F503&gt;=AC$2),1,0)</f>
        <v/>
      </c>
      <c r="AD503">
        <f>AD502+IF(AND($E503&lt;&gt;"",$E503&lt;=AD$2,$F503&gt;=AD$2),1,0)</f>
        <v/>
      </c>
      <c r="AE503">
        <f>AE502+IF(AND($E503&lt;&gt;"",$E503&lt;=AE$2,$F503&gt;=AE$2),1,0)</f>
        <v/>
      </c>
      <c r="AF503">
        <f>AF502+IF(AND($E503&lt;&gt;"",$E503&lt;=AF$2,$F503&gt;=AF$2),1,0)</f>
        <v/>
      </c>
      <c r="AG503">
        <f>AG502+IF(AND($E503&lt;&gt;"",$E503&lt;=AG$2,$F503&gt;=AG$2),1,0)</f>
        <v/>
      </c>
      <c r="AH503">
        <f>AH502+IF(AND($E503&lt;&gt;"",$E503&lt;=AH$2,$F503&gt;=AH$2),1,0)</f>
        <v/>
      </c>
      <c r="AI503">
        <f>AI502+IF(AND($E503&lt;&gt;"",$E503&lt;=AI$2,$F503&gt;=AI$2),1,0)</f>
        <v/>
      </c>
      <c r="AJ503">
        <f>AJ502+IF(AND($E503&lt;&gt;"",$E503&lt;=AJ$2,$F503&gt;=AJ$2),1,0)</f>
        <v/>
      </c>
      <c r="AK503">
        <f>AK502+IF(AND($E503&lt;&gt;"",$E503&lt;=AK$2,$F503&gt;=AK$2),1,0)</f>
        <v/>
      </c>
      <c r="AL503">
        <f>AL502+IF(AND($E503&lt;&gt;"",$E503&lt;=AL$2,$F503&gt;=AL$2),1,0)</f>
        <v/>
      </c>
      <c r="AM503">
        <f>AM502+IF(AND($E503&lt;&gt;"",$E503&lt;=AM$2,$F503&gt;=AM$2),1,0)</f>
        <v/>
      </c>
      <c r="AN503">
        <f>AN502+IF(AND($E503&lt;&gt;"",$E503&lt;=AN$2,$F503&gt;=AN$2),1,0)</f>
        <v/>
      </c>
      <c r="AO503">
        <f>AO502+IF(AND($E503&lt;&gt;"",$E503&lt;=AO$2,$F503&gt;=AO$2),1,0)</f>
        <v/>
      </c>
      <c r="AP503">
        <f>AP502+IF(AND($E503&lt;&gt;"",$E503&lt;=AP$2,$F503&gt;=AP$2),1,0)</f>
        <v/>
      </c>
      <c r="AQ503">
        <f>AQ502+IF(AND($E503&lt;&gt;"",$E503&lt;=AQ$2,$F503&gt;=AQ$2),1,0)</f>
        <v/>
      </c>
      <c r="AR503">
        <f>AR502+IF(AND($E503&lt;&gt;"",$E503&lt;=AR$2,$F503&gt;=AR$2),1,0)</f>
        <v/>
      </c>
      <c r="AS503">
        <f>AS502+IF(AND($E503&lt;&gt;"",$E503&lt;=AS$2,$F503&gt;=AS$2),1,0)</f>
        <v/>
      </c>
      <c r="AT503">
        <f>AT502+IF(AND($E503&lt;&gt;"",$E503&lt;=AT$2,$F503&gt;=AT$2),1,0)</f>
        <v/>
      </c>
      <c r="AU503">
        <f>AU502+IF(AND($E503&lt;&gt;"",$E503&lt;=AU$2,$F503&gt;=AU$2),1,0)</f>
        <v/>
      </c>
      <c r="AV503">
        <f>AV502+IF(AND($E503&lt;&gt;"",$E503&lt;=AV$2,$F503&gt;=AV$2),1,0)</f>
        <v/>
      </c>
      <c r="AW503">
        <f>AW502+IF(AND($E503&lt;&gt;"",$E503&lt;=AW$2,$F503&gt;=AW$2),1,0)</f>
        <v/>
      </c>
    </row>
    <row r="504">
      <c r="A504">
        <f>IF(AND(ISNUMBER(Events!$A506),ISNUMBER(Events!$B506)),MAX(0,Events!$B506-Events!$A506),0)</f>
        <v/>
      </c>
      <c r="B504">
        <f>IF(ISNUMBER(Events!$A506),DATE(YEAR($B$1)-1,MONTH(Events!$A506),DAY(Events!$A506)),"")</f>
        <v/>
      </c>
      <c r="C504">
        <f>IF(ISNUMBER(Events!$A506),DATE(YEAR($B$1),MONTH(Events!$A506),DAY(Events!$A506)),"")</f>
        <v/>
      </c>
      <c r="D504">
        <f>IF(ISNUMBER(Events!$A506),DATE(YEAR($B$2),MONTH(Events!$A506),DAY(Events!$A506)),"")</f>
        <v/>
      </c>
      <c r="E504">
        <f>IF(OR(NOT(ISNUMBER(Events!$A506)),Events!$G506="No",Calendar!$H$4="None"),"",IF(OR(Calendar!$H$4="All events",Events!$D506=Calendar!$H$4),IF(Events!$E506="Yes",IF(AND(B504&gt;=Events!$A506,B504&lt;=$B$2,B504+$A504&gt;=$B$1),B504,IF(AND(C504&gt;=Events!$A506,C504&lt;=$B$2,C504+$A504&gt;=$B$1),C504,IF(AND(D504&gt;=Events!$A506,D504&lt;=$B$2,D504+$A504&gt;=$B$1),D504,""))),IF(AND(Events!$A506&lt;=$B$2,Events!$A506+$A504&gt;=$B$1),Events!$A506,"")),""))</f>
        <v/>
      </c>
      <c r="F504">
        <f>IF(E504="","",E504+A504)</f>
        <v/>
      </c>
      <c r="G504">
        <f>IF(E504="","",IF(AND(E504&lt;=EOMONTH(Calendar!$K$2,0),F504&gt;=Calendar!$K$2),E504+501/100000,""))</f>
        <v/>
      </c>
      <c r="H504">
        <f>H503+IF(AND($E504&lt;&gt;"",$E504&lt;=H$2,$F504&gt;=H$2),1,0)</f>
        <v/>
      </c>
      <c r="I504">
        <f>I503+IF(AND($E504&lt;&gt;"",$E504&lt;=I$2,$F504&gt;=I$2),1,0)</f>
        <v/>
      </c>
      <c r="J504">
        <f>J503+IF(AND($E504&lt;&gt;"",$E504&lt;=J$2,$F504&gt;=J$2),1,0)</f>
        <v/>
      </c>
      <c r="K504">
        <f>K503+IF(AND($E504&lt;&gt;"",$E504&lt;=K$2,$F504&gt;=K$2),1,0)</f>
        <v/>
      </c>
      <c r="L504">
        <f>L503+IF(AND($E504&lt;&gt;"",$E504&lt;=L$2,$F504&gt;=L$2),1,0)</f>
        <v/>
      </c>
      <c r="M504">
        <f>M503+IF(AND($E504&lt;&gt;"",$E504&lt;=M$2,$F504&gt;=M$2),1,0)</f>
        <v/>
      </c>
      <c r="N504">
        <f>N503+IF(AND($E504&lt;&gt;"",$E504&lt;=N$2,$F504&gt;=N$2),1,0)</f>
        <v/>
      </c>
      <c r="O504">
        <f>O503+IF(AND($E504&lt;&gt;"",$E504&lt;=O$2,$F504&gt;=O$2),1,0)</f>
        <v/>
      </c>
      <c r="P504">
        <f>P503+IF(AND($E504&lt;&gt;"",$E504&lt;=P$2,$F504&gt;=P$2),1,0)</f>
        <v/>
      </c>
      <c r="Q504">
        <f>Q503+IF(AND($E504&lt;&gt;"",$E504&lt;=Q$2,$F504&gt;=Q$2),1,0)</f>
        <v/>
      </c>
      <c r="R504">
        <f>R503+IF(AND($E504&lt;&gt;"",$E504&lt;=R$2,$F504&gt;=R$2),1,0)</f>
        <v/>
      </c>
      <c r="S504">
        <f>S503+IF(AND($E504&lt;&gt;"",$E504&lt;=S$2,$F504&gt;=S$2),1,0)</f>
        <v/>
      </c>
      <c r="T504">
        <f>T503+IF(AND($E504&lt;&gt;"",$E504&lt;=T$2,$F504&gt;=T$2),1,0)</f>
        <v/>
      </c>
      <c r="U504">
        <f>U503+IF(AND($E504&lt;&gt;"",$E504&lt;=U$2,$F504&gt;=U$2),1,0)</f>
        <v/>
      </c>
      <c r="V504">
        <f>V503+IF(AND($E504&lt;&gt;"",$E504&lt;=V$2,$F504&gt;=V$2),1,0)</f>
        <v/>
      </c>
      <c r="W504">
        <f>W503+IF(AND($E504&lt;&gt;"",$E504&lt;=W$2,$F504&gt;=W$2),1,0)</f>
        <v/>
      </c>
      <c r="X504">
        <f>X503+IF(AND($E504&lt;&gt;"",$E504&lt;=X$2,$F504&gt;=X$2),1,0)</f>
        <v/>
      </c>
      <c r="Y504">
        <f>Y503+IF(AND($E504&lt;&gt;"",$E504&lt;=Y$2,$F504&gt;=Y$2),1,0)</f>
        <v/>
      </c>
      <c r="Z504">
        <f>Z503+IF(AND($E504&lt;&gt;"",$E504&lt;=Z$2,$F504&gt;=Z$2),1,0)</f>
        <v/>
      </c>
      <c r="AA504">
        <f>AA503+IF(AND($E504&lt;&gt;"",$E504&lt;=AA$2,$F504&gt;=AA$2),1,0)</f>
        <v/>
      </c>
      <c r="AB504">
        <f>AB503+IF(AND($E504&lt;&gt;"",$E504&lt;=AB$2,$F504&gt;=AB$2),1,0)</f>
        <v/>
      </c>
      <c r="AC504">
        <f>AC503+IF(AND($E504&lt;&gt;"",$E504&lt;=AC$2,$F504&gt;=AC$2),1,0)</f>
        <v/>
      </c>
      <c r="AD504">
        <f>AD503+IF(AND($E504&lt;&gt;"",$E504&lt;=AD$2,$F504&gt;=AD$2),1,0)</f>
        <v/>
      </c>
      <c r="AE504">
        <f>AE503+IF(AND($E504&lt;&gt;"",$E504&lt;=AE$2,$F504&gt;=AE$2),1,0)</f>
        <v/>
      </c>
      <c r="AF504">
        <f>AF503+IF(AND($E504&lt;&gt;"",$E504&lt;=AF$2,$F504&gt;=AF$2),1,0)</f>
        <v/>
      </c>
      <c r="AG504">
        <f>AG503+IF(AND($E504&lt;&gt;"",$E504&lt;=AG$2,$F504&gt;=AG$2),1,0)</f>
        <v/>
      </c>
      <c r="AH504">
        <f>AH503+IF(AND($E504&lt;&gt;"",$E504&lt;=AH$2,$F504&gt;=AH$2),1,0)</f>
        <v/>
      </c>
      <c r="AI504">
        <f>AI503+IF(AND($E504&lt;&gt;"",$E504&lt;=AI$2,$F504&gt;=AI$2),1,0)</f>
        <v/>
      </c>
      <c r="AJ504">
        <f>AJ503+IF(AND($E504&lt;&gt;"",$E504&lt;=AJ$2,$F504&gt;=AJ$2),1,0)</f>
        <v/>
      </c>
      <c r="AK504">
        <f>AK503+IF(AND($E504&lt;&gt;"",$E504&lt;=AK$2,$F504&gt;=AK$2),1,0)</f>
        <v/>
      </c>
      <c r="AL504">
        <f>AL503+IF(AND($E504&lt;&gt;"",$E504&lt;=AL$2,$F504&gt;=AL$2),1,0)</f>
        <v/>
      </c>
      <c r="AM504">
        <f>AM503+IF(AND($E504&lt;&gt;"",$E504&lt;=AM$2,$F504&gt;=AM$2),1,0)</f>
        <v/>
      </c>
      <c r="AN504">
        <f>AN503+IF(AND($E504&lt;&gt;"",$E504&lt;=AN$2,$F504&gt;=AN$2),1,0)</f>
        <v/>
      </c>
      <c r="AO504">
        <f>AO503+IF(AND($E504&lt;&gt;"",$E504&lt;=AO$2,$F504&gt;=AO$2),1,0)</f>
        <v/>
      </c>
      <c r="AP504">
        <f>AP503+IF(AND($E504&lt;&gt;"",$E504&lt;=AP$2,$F504&gt;=AP$2),1,0)</f>
        <v/>
      </c>
      <c r="AQ504">
        <f>AQ503+IF(AND($E504&lt;&gt;"",$E504&lt;=AQ$2,$F504&gt;=AQ$2),1,0)</f>
        <v/>
      </c>
      <c r="AR504">
        <f>AR503+IF(AND($E504&lt;&gt;"",$E504&lt;=AR$2,$F504&gt;=AR$2),1,0)</f>
        <v/>
      </c>
      <c r="AS504">
        <f>AS503+IF(AND($E504&lt;&gt;"",$E504&lt;=AS$2,$F504&gt;=AS$2),1,0)</f>
        <v/>
      </c>
      <c r="AT504">
        <f>AT503+IF(AND($E504&lt;&gt;"",$E504&lt;=AT$2,$F504&gt;=AT$2),1,0)</f>
        <v/>
      </c>
      <c r="AU504">
        <f>AU503+IF(AND($E504&lt;&gt;"",$E504&lt;=AU$2,$F504&gt;=AU$2),1,0)</f>
        <v/>
      </c>
      <c r="AV504">
        <f>AV503+IF(AND($E504&lt;&gt;"",$E504&lt;=AV$2,$F504&gt;=AV$2),1,0)</f>
        <v/>
      </c>
      <c r="AW504">
        <f>AW503+IF(AND($E504&lt;&gt;"",$E504&lt;=AW$2,$F504&gt;=AW$2),1,0)</f>
        <v/>
      </c>
    </row>
    <row r="505">
      <c r="A505">
        <f>IF(AND(ISNUMBER(Events!$A507),ISNUMBER(Events!$B507)),MAX(0,Events!$B507-Events!$A507),0)</f>
        <v/>
      </c>
      <c r="B505">
        <f>IF(ISNUMBER(Events!$A507),DATE(YEAR($B$1)-1,MONTH(Events!$A507),DAY(Events!$A507)),"")</f>
        <v/>
      </c>
      <c r="C505">
        <f>IF(ISNUMBER(Events!$A507),DATE(YEAR($B$1),MONTH(Events!$A507),DAY(Events!$A507)),"")</f>
        <v/>
      </c>
      <c r="D505">
        <f>IF(ISNUMBER(Events!$A507),DATE(YEAR($B$2),MONTH(Events!$A507),DAY(Events!$A507)),"")</f>
        <v/>
      </c>
      <c r="E505">
        <f>IF(OR(NOT(ISNUMBER(Events!$A507)),Events!$G507="No",Calendar!$H$4="None"),"",IF(OR(Calendar!$H$4="All events",Events!$D507=Calendar!$H$4),IF(Events!$E507="Yes",IF(AND(B505&gt;=Events!$A507,B505&lt;=$B$2,B505+$A505&gt;=$B$1),B505,IF(AND(C505&gt;=Events!$A507,C505&lt;=$B$2,C505+$A505&gt;=$B$1),C505,IF(AND(D505&gt;=Events!$A507,D505&lt;=$B$2,D505+$A505&gt;=$B$1),D505,""))),IF(AND(Events!$A507&lt;=$B$2,Events!$A507+$A505&gt;=$B$1),Events!$A507,"")),""))</f>
        <v/>
      </c>
      <c r="F505">
        <f>IF(E505="","",E505+A505)</f>
        <v/>
      </c>
      <c r="G505">
        <f>IF(E505="","",IF(AND(E505&lt;=EOMONTH(Calendar!$K$2,0),F505&gt;=Calendar!$K$2),E505+502/100000,""))</f>
        <v/>
      </c>
      <c r="H505">
        <f>H504+IF(AND($E505&lt;&gt;"",$E505&lt;=H$2,$F505&gt;=H$2),1,0)</f>
        <v/>
      </c>
      <c r="I505">
        <f>I504+IF(AND($E505&lt;&gt;"",$E505&lt;=I$2,$F505&gt;=I$2),1,0)</f>
        <v/>
      </c>
      <c r="J505">
        <f>J504+IF(AND($E505&lt;&gt;"",$E505&lt;=J$2,$F505&gt;=J$2),1,0)</f>
        <v/>
      </c>
      <c r="K505">
        <f>K504+IF(AND($E505&lt;&gt;"",$E505&lt;=K$2,$F505&gt;=K$2),1,0)</f>
        <v/>
      </c>
      <c r="L505">
        <f>L504+IF(AND($E505&lt;&gt;"",$E505&lt;=L$2,$F505&gt;=L$2),1,0)</f>
        <v/>
      </c>
      <c r="M505">
        <f>M504+IF(AND($E505&lt;&gt;"",$E505&lt;=M$2,$F505&gt;=M$2),1,0)</f>
        <v/>
      </c>
      <c r="N505">
        <f>N504+IF(AND($E505&lt;&gt;"",$E505&lt;=N$2,$F505&gt;=N$2),1,0)</f>
        <v/>
      </c>
      <c r="O505">
        <f>O504+IF(AND($E505&lt;&gt;"",$E505&lt;=O$2,$F505&gt;=O$2),1,0)</f>
        <v/>
      </c>
      <c r="P505">
        <f>P504+IF(AND($E505&lt;&gt;"",$E505&lt;=P$2,$F505&gt;=P$2),1,0)</f>
        <v/>
      </c>
      <c r="Q505">
        <f>Q504+IF(AND($E505&lt;&gt;"",$E505&lt;=Q$2,$F505&gt;=Q$2),1,0)</f>
        <v/>
      </c>
      <c r="R505">
        <f>R504+IF(AND($E505&lt;&gt;"",$E505&lt;=R$2,$F505&gt;=R$2),1,0)</f>
        <v/>
      </c>
      <c r="S505">
        <f>S504+IF(AND($E505&lt;&gt;"",$E505&lt;=S$2,$F505&gt;=S$2),1,0)</f>
        <v/>
      </c>
      <c r="T505">
        <f>T504+IF(AND($E505&lt;&gt;"",$E505&lt;=T$2,$F505&gt;=T$2),1,0)</f>
        <v/>
      </c>
      <c r="U505">
        <f>U504+IF(AND($E505&lt;&gt;"",$E505&lt;=U$2,$F505&gt;=U$2),1,0)</f>
        <v/>
      </c>
      <c r="V505">
        <f>V504+IF(AND($E505&lt;&gt;"",$E505&lt;=V$2,$F505&gt;=V$2),1,0)</f>
        <v/>
      </c>
      <c r="W505">
        <f>W504+IF(AND($E505&lt;&gt;"",$E505&lt;=W$2,$F505&gt;=W$2),1,0)</f>
        <v/>
      </c>
      <c r="X505">
        <f>X504+IF(AND($E505&lt;&gt;"",$E505&lt;=X$2,$F505&gt;=X$2),1,0)</f>
        <v/>
      </c>
      <c r="Y505">
        <f>Y504+IF(AND($E505&lt;&gt;"",$E505&lt;=Y$2,$F505&gt;=Y$2),1,0)</f>
        <v/>
      </c>
      <c r="Z505">
        <f>Z504+IF(AND($E505&lt;&gt;"",$E505&lt;=Z$2,$F505&gt;=Z$2),1,0)</f>
        <v/>
      </c>
      <c r="AA505">
        <f>AA504+IF(AND($E505&lt;&gt;"",$E505&lt;=AA$2,$F505&gt;=AA$2),1,0)</f>
        <v/>
      </c>
      <c r="AB505">
        <f>AB504+IF(AND($E505&lt;&gt;"",$E505&lt;=AB$2,$F505&gt;=AB$2),1,0)</f>
        <v/>
      </c>
      <c r="AC505">
        <f>AC504+IF(AND($E505&lt;&gt;"",$E505&lt;=AC$2,$F505&gt;=AC$2),1,0)</f>
        <v/>
      </c>
      <c r="AD505">
        <f>AD504+IF(AND($E505&lt;&gt;"",$E505&lt;=AD$2,$F505&gt;=AD$2),1,0)</f>
        <v/>
      </c>
      <c r="AE505">
        <f>AE504+IF(AND($E505&lt;&gt;"",$E505&lt;=AE$2,$F505&gt;=AE$2),1,0)</f>
        <v/>
      </c>
      <c r="AF505">
        <f>AF504+IF(AND($E505&lt;&gt;"",$E505&lt;=AF$2,$F505&gt;=AF$2),1,0)</f>
        <v/>
      </c>
      <c r="AG505">
        <f>AG504+IF(AND($E505&lt;&gt;"",$E505&lt;=AG$2,$F505&gt;=AG$2),1,0)</f>
        <v/>
      </c>
      <c r="AH505">
        <f>AH504+IF(AND($E505&lt;&gt;"",$E505&lt;=AH$2,$F505&gt;=AH$2),1,0)</f>
        <v/>
      </c>
      <c r="AI505">
        <f>AI504+IF(AND($E505&lt;&gt;"",$E505&lt;=AI$2,$F505&gt;=AI$2),1,0)</f>
        <v/>
      </c>
      <c r="AJ505">
        <f>AJ504+IF(AND($E505&lt;&gt;"",$E505&lt;=AJ$2,$F505&gt;=AJ$2),1,0)</f>
        <v/>
      </c>
      <c r="AK505">
        <f>AK504+IF(AND($E505&lt;&gt;"",$E505&lt;=AK$2,$F505&gt;=AK$2),1,0)</f>
        <v/>
      </c>
      <c r="AL505">
        <f>AL504+IF(AND($E505&lt;&gt;"",$E505&lt;=AL$2,$F505&gt;=AL$2),1,0)</f>
        <v/>
      </c>
      <c r="AM505">
        <f>AM504+IF(AND($E505&lt;&gt;"",$E505&lt;=AM$2,$F505&gt;=AM$2),1,0)</f>
        <v/>
      </c>
      <c r="AN505">
        <f>AN504+IF(AND($E505&lt;&gt;"",$E505&lt;=AN$2,$F505&gt;=AN$2),1,0)</f>
        <v/>
      </c>
      <c r="AO505">
        <f>AO504+IF(AND($E505&lt;&gt;"",$E505&lt;=AO$2,$F505&gt;=AO$2),1,0)</f>
        <v/>
      </c>
      <c r="AP505">
        <f>AP504+IF(AND($E505&lt;&gt;"",$E505&lt;=AP$2,$F505&gt;=AP$2),1,0)</f>
        <v/>
      </c>
      <c r="AQ505">
        <f>AQ504+IF(AND($E505&lt;&gt;"",$E505&lt;=AQ$2,$F505&gt;=AQ$2),1,0)</f>
        <v/>
      </c>
      <c r="AR505">
        <f>AR504+IF(AND($E505&lt;&gt;"",$E505&lt;=AR$2,$F505&gt;=AR$2),1,0)</f>
        <v/>
      </c>
      <c r="AS505">
        <f>AS504+IF(AND($E505&lt;&gt;"",$E505&lt;=AS$2,$F505&gt;=AS$2),1,0)</f>
        <v/>
      </c>
      <c r="AT505">
        <f>AT504+IF(AND($E505&lt;&gt;"",$E505&lt;=AT$2,$F505&gt;=AT$2),1,0)</f>
        <v/>
      </c>
      <c r="AU505">
        <f>AU504+IF(AND($E505&lt;&gt;"",$E505&lt;=AU$2,$F505&gt;=AU$2),1,0)</f>
        <v/>
      </c>
      <c r="AV505">
        <f>AV504+IF(AND($E505&lt;&gt;"",$E505&lt;=AV$2,$F505&gt;=AV$2),1,0)</f>
        <v/>
      </c>
      <c r="AW505">
        <f>AW504+IF(AND($E505&lt;&gt;"",$E505&lt;=AW$2,$F505&gt;=AW$2),1,0)</f>
        <v/>
      </c>
    </row>
    <row r="506">
      <c r="A506">
        <f>IF(AND(ISNUMBER(Events!$A508),ISNUMBER(Events!$B508)),MAX(0,Events!$B508-Events!$A508),0)</f>
        <v/>
      </c>
      <c r="B506">
        <f>IF(ISNUMBER(Events!$A508),DATE(YEAR($B$1)-1,MONTH(Events!$A508),DAY(Events!$A508)),"")</f>
        <v/>
      </c>
      <c r="C506">
        <f>IF(ISNUMBER(Events!$A508),DATE(YEAR($B$1),MONTH(Events!$A508),DAY(Events!$A508)),"")</f>
        <v/>
      </c>
      <c r="D506">
        <f>IF(ISNUMBER(Events!$A508),DATE(YEAR($B$2),MONTH(Events!$A508),DAY(Events!$A508)),"")</f>
        <v/>
      </c>
      <c r="E506">
        <f>IF(OR(NOT(ISNUMBER(Events!$A508)),Events!$G508="No",Calendar!$H$4="None"),"",IF(OR(Calendar!$H$4="All events",Events!$D508=Calendar!$H$4),IF(Events!$E508="Yes",IF(AND(B506&gt;=Events!$A508,B506&lt;=$B$2,B506+$A506&gt;=$B$1),B506,IF(AND(C506&gt;=Events!$A508,C506&lt;=$B$2,C506+$A506&gt;=$B$1),C506,IF(AND(D506&gt;=Events!$A508,D506&lt;=$B$2,D506+$A506&gt;=$B$1),D506,""))),IF(AND(Events!$A508&lt;=$B$2,Events!$A508+$A506&gt;=$B$1),Events!$A508,"")),""))</f>
        <v/>
      </c>
      <c r="F506">
        <f>IF(E506="","",E506+A506)</f>
        <v/>
      </c>
      <c r="G506">
        <f>IF(E506="","",IF(AND(E506&lt;=EOMONTH(Calendar!$K$2,0),F506&gt;=Calendar!$K$2),E506+503/100000,""))</f>
        <v/>
      </c>
      <c r="H506">
        <f>H505+IF(AND($E506&lt;&gt;"",$E506&lt;=H$2,$F506&gt;=H$2),1,0)</f>
        <v/>
      </c>
      <c r="I506">
        <f>I505+IF(AND($E506&lt;&gt;"",$E506&lt;=I$2,$F506&gt;=I$2),1,0)</f>
        <v/>
      </c>
      <c r="J506">
        <f>J505+IF(AND($E506&lt;&gt;"",$E506&lt;=J$2,$F506&gt;=J$2),1,0)</f>
        <v/>
      </c>
      <c r="K506">
        <f>K505+IF(AND($E506&lt;&gt;"",$E506&lt;=K$2,$F506&gt;=K$2),1,0)</f>
        <v/>
      </c>
      <c r="L506">
        <f>L505+IF(AND($E506&lt;&gt;"",$E506&lt;=L$2,$F506&gt;=L$2),1,0)</f>
        <v/>
      </c>
      <c r="M506">
        <f>M505+IF(AND($E506&lt;&gt;"",$E506&lt;=M$2,$F506&gt;=M$2),1,0)</f>
        <v/>
      </c>
      <c r="N506">
        <f>N505+IF(AND($E506&lt;&gt;"",$E506&lt;=N$2,$F506&gt;=N$2),1,0)</f>
        <v/>
      </c>
      <c r="O506">
        <f>O505+IF(AND($E506&lt;&gt;"",$E506&lt;=O$2,$F506&gt;=O$2),1,0)</f>
        <v/>
      </c>
      <c r="P506">
        <f>P505+IF(AND($E506&lt;&gt;"",$E506&lt;=P$2,$F506&gt;=P$2),1,0)</f>
        <v/>
      </c>
      <c r="Q506">
        <f>Q505+IF(AND($E506&lt;&gt;"",$E506&lt;=Q$2,$F506&gt;=Q$2),1,0)</f>
        <v/>
      </c>
      <c r="R506">
        <f>R505+IF(AND($E506&lt;&gt;"",$E506&lt;=R$2,$F506&gt;=R$2),1,0)</f>
        <v/>
      </c>
      <c r="S506">
        <f>S505+IF(AND($E506&lt;&gt;"",$E506&lt;=S$2,$F506&gt;=S$2),1,0)</f>
        <v/>
      </c>
      <c r="T506">
        <f>T505+IF(AND($E506&lt;&gt;"",$E506&lt;=T$2,$F506&gt;=T$2),1,0)</f>
        <v/>
      </c>
      <c r="U506">
        <f>U505+IF(AND($E506&lt;&gt;"",$E506&lt;=U$2,$F506&gt;=U$2),1,0)</f>
        <v/>
      </c>
      <c r="V506">
        <f>V505+IF(AND($E506&lt;&gt;"",$E506&lt;=V$2,$F506&gt;=V$2),1,0)</f>
        <v/>
      </c>
      <c r="W506">
        <f>W505+IF(AND($E506&lt;&gt;"",$E506&lt;=W$2,$F506&gt;=W$2),1,0)</f>
        <v/>
      </c>
      <c r="X506">
        <f>X505+IF(AND($E506&lt;&gt;"",$E506&lt;=X$2,$F506&gt;=X$2),1,0)</f>
        <v/>
      </c>
      <c r="Y506">
        <f>Y505+IF(AND($E506&lt;&gt;"",$E506&lt;=Y$2,$F506&gt;=Y$2),1,0)</f>
        <v/>
      </c>
      <c r="Z506">
        <f>Z505+IF(AND($E506&lt;&gt;"",$E506&lt;=Z$2,$F506&gt;=Z$2),1,0)</f>
        <v/>
      </c>
      <c r="AA506">
        <f>AA505+IF(AND($E506&lt;&gt;"",$E506&lt;=AA$2,$F506&gt;=AA$2),1,0)</f>
        <v/>
      </c>
      <c r="AB506">
        <f>AB505+IF(AND($E506&lt;&gt;"",$E506&lt;=AB$2,$F506&gt;=AB$2),1,0)</f>
        <v/>
      </c>
      <c r="AC506">
        <f>AC505+IF(AND($E506&lt;&gt;"",$E506&lt;=AC$2,$F506&gt;=AC$2),1,0)</f>
        <v/>
      </c>
      <c r="AD506">
        <f>AD505+IF(AND($E506&lt;&gt;"",$E506&lt;=AD$2,$F506&gt;=AD$2),1,0)</f>
        <v/>
      </c>
      <c r="AE506">
        <f>AE505+IF(AND($E506&lt;&gt;"",$E506&lt;=AE$2,$F506&gt;=AE$2),1,0)</f>
        <v/>
      </c>
      <c r="AF506">
        <f>AF505+IF(AND($E506&lt;&gt;"",$E506&lt;=AF$2,$F506&gt;=AF$2),1,0)</f>
        <v/>
      </c>
      <c r="AG506">
        <f>AG505+IF(AND($E506&lt;&gt;"",$E506&lt;=AG$2,$F506&gt;=AG$2),1,0)</f>
        <v/>
      </c>
      <c r="AH506">
        <f>AH505+IF(AND($E506&lt;&gt;"",$E506&lt;=AH$2,$F506&gt;=AH$2),1,0)</f>
        <v/>
      </c>
      <c r="AI506">
        <f>AI505+IF(AND($E506&lt;&gt;"",$E506&lt;=AI$2,$F506&gt;=AI$2),1,0)</f>
        <v/>
      </c>
      <c r="AJ506">
        <f>AJ505+IF(AND($E506&lt;&gt;"",$E506&lt;=AJ$2,$F506&gt;=AJ$2),1,0)</f>
        <v/>
      </c>
      <c r="AK506">
        <f>AK505+IF(AND($E506&lt;&gt;"",$E506&lt;=AK$2,$F506&gt;=AK$2),1,0)</f>
        <v/>
      </c>
      <c r="AL506">
        <f>AL505+IF(AND($E506&lt;&gt;"",$E506&lt;=AL$2,$F506&gt;=AL$2),1,0)</f>
        <v/>
      </c>
      <c r="AM506">
        <f>AM505+IF(AND($E506&lt;&gt;"",$E506&lt;=AM$2,$F506&gt;=AM$2),1,0)</f>
        <v/>
      </c>
      <c r="AN506">
        <f>AN505+IF(AND($E506&lt;&gt;"",$E506&lt;=AN$2,$F506&gt;=AN$2),1,0)</f>
        <v/>
      </c>
      <c r="AO506">
        <f>AO505+IF(AND($E506&lt;&gt;"",$E506&lt;=AO$2,$F506&gt;=AO$2),1,0)</f>
        <v/>
      </c>
      <c r="AP506">
        <f>AP505+IF(AND($E506&lt;&gt;"",$E506&lt;=AP$2,$F506&gt;=AP$2),1,0)</f>
        <v/>
      </c>
      <c r="AQ506">
        <f>AQ505+IF(AND($E506&lt;&gt;"",$E506&lt;=AQ$2,$F506&gt;=AQ$2),1,0)</f>
        <v/>
      </c>
      <c r="AR506">
        <f>AR505+IF(AND($E506&lt;&gt;"",$E506&lt;=AR$2,$F506&gt;=AR$2),1,0)</f>
        <v/>
      </c>
      <c r="AS506">
        <f>AS505+IF(AND($E506&lt;&gt;"",$E506&lt;=AS$2,$F506&gt;=AS$2),1,0)</f>
        <v/>
      </c>
      <c r="AT506">
        <f>AT505+IF(AND($E506&lt;&gt;"",$E506&lt;=AT$2,$F506&gt;=AT$2),1,0)</f>
        <v/>
      </c>
      <c r="AU506">
        <f>AU505+IF(AND($E506&lt;&gt;"",$E506&lt;=AU$2,$F506&gt;=AU$2),1,0)</f>
        <v/>
      </c>
      <c r="AV506">
        <f>AV505+IF(AND($E506&lt;&gt;"",$E506&lt;=AV$2,$F506&gt;=AV$2),1,0)</f>
        <v/>
      </c>
      <c r="AW506">
        <f>AW505+IF(AND($E506&lt;&gt;"",$E506&lt;=AW$2,$F506&gt;=AW$2),1,0)</f>
        <v/>
      </c>
    </row>
    <row r="507">
      <c r="A507">
        <f>IF(AND(ISNUMBER(Events!$A509),ISNUMBER(Events!$B509)),MAX(0,Events!$B509-Events!$A509),0)</f>
        <v/>
      </c>
      <c r="B507">
        <f>IF(ISNUMBER(Events!$A509),DATE(YEAR($B$1)-1,MONTH(Events!$A509),DAY(Events!$A509)),"")</f>
        <v/>
      </c>
      <c r="C507">
        <f>IF(ISNUMBER(Events!$A509),DATE(YEAR($B$1),MONTH(Events!$A509),DAY(Events!$A509)),"")</f>
        <v/>
      </c>
      <c r="D507">
        <f>IF(ISNUMBER(Events!$A509),DATE(YEAR($B$2),MONTH(Events!$A509),DAY(Events!$A509)),"")</f>
        <v/>
      </c>
      <c r="E507">
        <f>IF(OR(NOT(ISNUMBER(Events!$A509)),Events!$G509="No",Calendar!$H$4="None"),"",IF(OR(Calendar!$H$4="All events",Events!$D509=Calendar!$H$4),IF(Events!$E509="Yes",IF(AND(B507&gt;=Events!$A509,B507&lt;=$B$2,B507+$A507&gt;=$B$1),B507,IF(AND(C507&gt;=Events!$A509,C507&lt;=$B$2,C507+$A507&gt;=$B$1),C507,IF(AND(D507&gt;=Events!$A509,D507&lt;=$B$2,D507+$A507&gt;=$B$1),D507,""))),IF(AND(Events!$A509&lt;=$B$2,Events!$A509+$A507&gt;=$B$1),Events!$A509,"")),""))</f>
        <v/>
      </c>
      <c r="F507">
        <f>IF(E507="","",E507+A507)</f>
        <v/>
      </c>
      <c r="G507">
        <f>IF(E507="","",IF(AND(E507&lt;=EOMONTH(Calendar!$K$2,0),F507&gt;=Calendar!$K$2),E507+504/100000,""))</f>
        <v/>
      </c>
      <c r="H507">
        <f>H506+IF(AND($E507&lt;&gt;"",$E507&lt;=H$2,$F507&gt;=H$2),1,0)</f>
        <v/>
      </c>
      <c r="I507">
        <f>I506+IF(AND($E507&lt;&gt;"",$E507&lt;=I$2,$F507&gt;=I$2),1,0)</f>
        <v/>
      </c>
      <c r="J507">
        <f>J506+IF(AND($E507&lt;&gt;"",$E507&lt;=J$2,$F507&gt;=J$2),1,0)</f>
        <v/>
      </c>
      <c r="K507">
        <f>K506+IF(AND($E507&lt;&gt;"",$E507&lt;=K$2,$F507&gt;=K$2),1,0)</f>
        <v/>
      </c>
      <c r="L507">
        <f>L506+IF(AND($E507&lt;&gt;"",$E507&lt;=L$2,$F507&gt;=L$2),1,0)</f>
        <v/>
      </c>
      <c r="M507">
        <f>M506+IF(AND($E507&lt;&gt;"",$E507&lt;=M$2,$F507&gt;=M$2),1,0)</f>
        <v/>
      </c>
      <c r="N507">
        <f>N506+IF(AND($E507&lt;&gt;"",$E507&lt;=N$2,$F507&gt;=N$2),1,0)</f>
        <v/>
      </c>
      <c r="O507">
        <f>O506+IF(AND($E507&lt;&gt;"",$E507&lt;=O$2,$F507&gt;=O$2),1,0)</f>
        <v/>
      </c>
      <c r="P507">
        <f>P506+IF(AND($E507&lt;&gt;"",$E507&lt;=P$2,$F507&gt;=P$2),1,0)</f>
        <v/>
      </c>
      <c r="Q507">
        <f>Q506+IF(AND($E507&lt;&gt;"",$E507&lt;=Q$2,$F507&gt;=Q$2),1,0)</f>
        <v/>
      </c>
      <c r="R507">
        <f>R506+IF(AND($E507&lt;&gt;"",$E507&lt;=R$2,$F507&gt;=R$2),1,0)</f>
        <v/>
      </c>
      <c r="S507">
        <f>S506+IF(AND($E507&lt;&gt;"",$E507&lt;=S$2,$F507&gt;=S$2),1,0)</f>
        <v/>
      </c>
      <c r="T507">
        <f>T506+IF(AND($E507&lt;&gt;"",$E507&lt;=T$2,$F507&gt;=T$2),1,0)</f>
        <v/>
      </c>
      <c r="U507">
        <f>U506+IF(AND($E507&lt;&gt;"",$E507&lt;=U$2,$F507&gt;=U$2),1,0)</f>
        <v/>
      </c>
      <c r="V507">
        <f>V506+IF(AND($E507&lt;&gt;"",$E507&lt;=V$2,$F507&gt;=V$2),1,0)</f>
        <v/>
      </c>
      <c r="W507">
        <f>W506+IF(AND($E507&lt;&gt;"",$E507&lt;=W$2,$F507&gt;=W$2),1,0)</f>
        <v/>
      </c>
      <c r="X507">
        <f>X506+IF(AND($E507&lt;&gt;"",$E507&lt;=X$2,$F507&gt;=X$2),1,0)</f>
        <v/>
      </c>
      <c r="Y507">
        <f>Y506+IF(AND($E507&lt;&gt;"",$E507&lt;=Y$2,$F507&gt;=Y$2),1,0)</f>
        <v/>
      </c>
      <c r="Z507">
        <f>Z506+IF(AND($E507&lt;&gt;"",$E507&lt;=Z$2,$F507&gt;=Z$2),1,0)</f>
        <v/>
      </c>
      <c r="AA507">
        <f>AA506+IF(AND($E507&lt;&gt;"",$E507&lt;=AA$2,$F507&gt;=AA$2),1,0)</f>
        <v/>
      </c>
      <c r="AB507">
        <f>AB506+IF(AND($E507&lt;&gt;"",$E507&lt;=AB$2,$F507&gt;=AB$2),1,0)</f>
        <v/>
      </c>
      <c r="AC507">
        <f>AC506+IF(AND($E507&lt;&gt;"",$E507&lt;=AC$2,$F507&gt;=AC$2),1,0)</f>
        <v/>
      </c>
      <c r="AD507">
        <f>AD506+IF(AND($E507&lt;&gt;"",$E507&lt;=AD$2,$F507&gt;=AD$2),1,0)</f>
        <v/>
      </c>
      <c r="AE507">
        <f>AE506+IF(AND($E507&lt;&gt;"",$E507&lt;=AE$2,$F507&gt;=AE$2),1,0)</f>
        <v/>
      </c>
      <c r="AF507">
        <f>AF506+IF(AND($E507&lt;&gt;"",$E507&lt;=AF$2,$F507&gt;=AF$2),1,0)</f>
        <v/>
      </c>
      <c r="AG507">
        <f>AG506+IF(AND($E507&lt;&gt;"",$E507&lt;=AG$2,$F507&gt;=AG$2),1,0)</f>
        <v/>
      </c>
      <c r="AH507">
        <f>AH506+IF(AND($E507&lt;&gt;"",$E507&lt;=AH$2,$F507&gt;=AH$2),1,0)</f>
        <v/>
      </c>
      <c r="AI507">
        <f>AI506+IF(AND($E507&lt;&gt;"",$E507&lt;=AI$2,$F507&gt;=AI$2),1,0)</f>
        <v/>
      </c>
      <c r="AJ507">
        <f>AJ506+IF(AND($E507&lt;&gt;"",$E507&lt;=AJ$2,$F507&gt;=AJ$2),1,0)</f>
        <v/>
      </c>
      <c r="AK507">
        <f>AK506+IF(AND($E507&lt;&gt;"",$E507&lt;=AK$2,$F507&gt;=AK$2),1,0)</f>
        <v/>
      </c>
      <c r="AL507">
        <f>AL506+IF(AND($E507&lt;&gt;"",$E507&lt;=AL$2,$F507&gt;=AL$2),1,0)</f>
        <v/>
      </c>
      <c r="AM507">
        <f>AM506+IF(AND($E507&lt;&gt;"",$E507&lt;=AM$2,$F507&gt;=AM$2),1,0)</f>
        <v/>
      </c>
      <c r="AN507">
        <f>AN506+IF(AND($E507&lt;&gt;"",$E507&lt;=AN$2,$F507&gt;=AN$2),1,0)</f>
        <v/>
      </c>
      <c r="AO507">
        <f>AO506+IF(AND($E507&lt;&gt;"",$E507&lt;=AO$2,$F507&gt;=AO$2),1,0)</f>
        <v/>
      </c>
      <c r="AP507">
        <f>AP506+IF(AND($E507&lt;&gt;"",$E507&lt;=AP$2,$F507&gt;=AP$2),1,0)</f>
        <v/>
      </c>
      <c r="AQ507">
        <f>AQ506+IF(AND($E507&lt;&gt;"",$E507&lt;=AQ$2,$F507&gt;=AQ$2),1,0)</f>
        <v/>
      </c>
      <c r="AR507">
        <f>AR506+IF(AND($E507&lt;&gt;"",$E507&lt;=AR$2,$F507&gt;=AR$2),1,0)</f>
        <v/>
      </c>
      <c r="AS507">
        <f>AS506+IF(AND($E507&lt;&gt;"",$E507&lt;=AS$2,$F507&gt;=AS$2),1,0)</f>
        <v/>
      </c>
      <c r="AT507">
        <f>AT506+IF(AND($E507&lt;&gt;"",$E507&lt;=AT$2,$F507&gt;=AT$2),1,0)</f>
        <v/>
      </c>
      <c r="AU507">
        <f>AU506+IF(AND($E507&lt;&gt;"",$E507&lt;=AU$2,$F507&gt;=AU$2),1,0)</f>
        <v/>
      </c>
      <c r="AV507">
        <f>AV506+IF(AND($E507&lt;&gt;"",$E507&lt;=AV$2,$F507&gt;=AV$2),1,0)</f>
        <v/>
      </c>
      <c r="AW507">
        <f>AW506+IF(AND($E507&lt;&gt;"",$E507&lt;=AW$2,$F507&gt;=AW$2),1,0)</f>
        <v/>
      </c>
    </row>
    <row r="508">
      <c r="A508">
        <f>IF(AND(ISNUMBER(Events!$A510),ISNUMBER(Events!$B510)),MAX(0,Events!$B510-Events!$A510),0)</f>
        <v/>
      </c>
      <c r="B508">
        <f>IF(ISNUMBER(Events!$A510),DATE(YEAR($B$1)-1,MONTH(Events!$A510),DAY(Events!$A510)),"")</f>
        <v/>
      </c>
      <c r="C508">
        <f>IF(ISNUMBER(Events!$A510),DATE(YEAR($B$1),MONTH(Events!$A510),DAY(Events!$A510)),"")</f>
        <v/>
      </c>
      <c r="D508">
        <f>IF(ISNUMBER(Events!$A510),DATE(YEAR($B$2),MONTH(Events!$A510),DAY(Events!$A510)),"")</f>
        <v/>
      </c>
      <c r="E508">
        <f>IF(OR(NOT(ISNUMBER(Events!$A510)),Events!$G510="No",Calendar!$H$4="None"),"",IF(OR(Calendar!$H$4="All events",Events!$D510=Calendar!$H$4),IF(Events!$E510="Yes",IF(AND(B508&gt;=Events!$A510,B508&lt;=$B$2,B508+$A508&gt;=$B$1),B508,IF(AND(C508&gt;=Events!$A510,C508&lt;=$B$2,C508+$A508&gt;=$B$1),C508,IF(AND(D508&gt;=Events!$A510,D508&lt;=$B$2,D508+$A508&gt;=$B$1),D508,""))),IF(AND(Events!$A510&lt;=$B$2,Events!$A510+$A508&gt;=$B$1),Events!$A510,"")),""))</f>
        <v/>
      </c>
      <c r="F508">
        <f>IF(E508="","",E508+A508)</f>
        <v/>
      </c>
      <c r="G508">
        <f>IF(E508="","",IF(AND(E508&lt;=EOMONTH(Calendar!$K$2,0),F508&gt;=Calendar!$K$2),E508+505/100000,""))</f>
        <v/>
      </c>
      <c r="H508">
        <f>H507+IF(AND($E508&lt;&gt;"",$E508&lt;=H$2,$F508&gt;=H$2),1,0)</f>
        <v/>
      </c>
      <c r="I508">
        <f>I507+IF(AND($E508&lt;&gt;"",$E508&lt;=I$2,$F508&gt;=I$2),1,0)</f>
        <v/>
      </c>
      <c r="J508">
        <f>J507+IF(AND($E508&lt;&gt;"",$E508&lt;=J$2,$F508&gt;=J$2),1,0)</f>
        <v/>
      </c>
      <c r="K508">
        <f>K507+IF(AND($E508&lt;&gt;"",$E508&lt;=K$2,$F508&gt;=K$2),1,0)</f>
        <v/>
      </c>
      <c r="L508">
        <f>L507+IF(AND($E508&lt;&gt;"",$E508&lt;=L$2,$F508&gt;=L$2),1,0)</f>
        <v/>
      </c>
      <c r="M508">
        <f>M507+IF(AND($E508&lt;&gt;"",$E508&lt;=M$2,$F508&gt;=M$2),1,0)</f>
        <v/>
      </c>
      <c r="N508">
        <f>N507+IF(AND($E508&lt;&gt;"",$E508&lt;=N$2,$F508&gt;=N$2),1,0)</f>
        <v/>
      </c>
      <c r="O508">
        <f>O507+IF(AND($E508&lt;&gt;"",$E508&lt;=O$2,$F508&gt;=O$2),1,0)</f>
        <v/>
      </c>
      <c r="P508">
        <f>P507+IF(AND($E508&lt;&gt;"",$E508&lt;=P$2,$F508&gt;=P$2),1,0)</f>
        <v/>
      </c>
      <c r="Q508">
        <f>Q507+IF(AND($E508&lt;&gt;"",$E508&lt;=Q$2,$F508&gt;=Q$2),1,0)</f>
        <v/>
      </c>
      <c r="R508">
        <f>R507+IF(AND($E508&lt;&gt;"",$E508&lt;=R$2,$F508&gt;=R$2),1,0)</f>
        <v/>
      </c>
      <c r="S508">
        <f>S507+IF(AND($E508&lt;&gt;"",$E508&lt;=S$2,$F508&gt;=S$2),1,0)</f>
        <v/>
      </c>
      <c r="T508">
        <f>T507+IF(AND($E508&lt;&gt;"",$E508&lt;=T$2,$F508&gt;=T$2),1,0)</f>
        <v/>
      </c>
      <c r="U508">
        <f>U507+IF(AND($E508&lt;&gt;"",$E508&lt;=U$2,$F508&gt;=U$2),1,0)</f>
        <v/>
      </c>
      <c r="V508">
        <f>V507+IF(AND($E508&lt;&gt;"",$E508&lt;=V$2,$F508&gt;=V$2),1,0)</f>
        <v/>
      </c>
      <c r="W508">
        <f>W507+IF(AND($E508&lt;&gt;"",$E508&lt;=W$2,$F508&gt;=W$2),1,0)</f>
        <v/>
      </c>
      <c r="X508">
        <f>X507+IF(AND($E508&lt;&gt;"",$E508&lt;=X$2,$F508&gt;=X$2),1,0)</f>
        <v/>
      </c>
      <c r="Y508">
        <f>Y507+IF(AND($E508&lt;&gt;"",$E508&lt;=Y$2,$F508&gt;=Y$2),1,0)</f>
        <v/>
      </c>
      <c r="Z508">
        <f>Z507+IF(AND($E508&lt;&gt;"",$E508&lt;=Z$2,$F508&gt;=Z$2),1,0)</f>
        <v/>
      </c>
      <c r="AA508">
        <f>AA507+IF(AND($E508&lt;&gt;"",$E508&lt;=AA$2,$F508&gt;=AA$2),1,0)</f>
        <v/>
      </c>
      <c r="AB508">
        <f>AB507+IF(AND($E508&lt;&gt;"",$E508&lt;=AB$2,$F508&gt;=AB$2),1,0)</f>
        <v/>
      </c>
      <c r="AC508">
        <f>AC507+IF(AND($E508&lt;&gt;"",$E508&lt;=AC$2,$F508&gt;=AC$2),1,0)</f>
        <v/>
      </c>
      <c r="AD508">
        <f>AD507+IF(AND($E508&lt;&gt;"",$E508&lt;=AD$2,$F508&gt;=AD$2),1,0)</f>
        <v/>
      </c>
      <c r="AE508">
        <f>AE507+IF(AND($E508&lt;&gt;"",$E508&lt;=AE$2,$F508&gt;=AE$2),1,0)</f>
        <v/>
      </c>
      <c r="AF508">
        <f>AF507+IF(AND($E508&lt;&gt;"",$E508&lt;=AF$2,$F508&gt;=AF$2),1,0)</f>
        <v/>
      </c>
      <c r="AG508">
        <f>AG507+IF(AND($E508&lt;&gt;"",$E508&lt;=AG$2,$F508&gt;=AG$2),1,0)</f>
        <v/>
      </c>
      <c r="AH508">
        <f>AH507+IF(AND($E508&lt;&gt;"",$E508&lt;=AH$2,$F508&gt;=AH$2),1,0)</f>
        <v/>
      </c>
      <c r="AI508">
        <f>AI507+IF(AND($E508&lt;&gt;"",$E508&lt;=AI$2,$F508&gt;=AI$2),1,0)</f>
        <v/>
      </c>
      <c r="AJ508">
        <f>AJ507+IF(AND($E508&lt;&gt;"",$E508&lt;=AJ$2,$F508&gt;=AJ$2),1,0)</f>
        <v/>
      </c>
      <c r="AK508">
        <f>AK507+IF(AND($E508&lt;&gt;"",$E508&lt;=AK$2,$F508&gt;=AK$2),1,0)</f>
        <v/>
      </c>
      <c r="AL508">
        <f>AL507+IF(AND($E508&lt;&gt;"",$E508&lt;=AL$2,$F508&gt;=AL$2),1,0)</f>
        <v/>
      </c>
      <c r="AM508">
        <f>AM507+IF(AND($E508&lt;&gt;"",$E508&lt;=AM$2,$F508&gt;=AM$2),1,0)</f>
        <v/>
      </c>
      <c r="AN508">
        <f>AN507+IF(AND($E508&lt;&gt;"",$E508&lt;=AN$2,$F508&gt;=AN$2),1,0)</f>
        <v/>
      </c>
      <c r="AO508">
        <f>AO507+IF(AND($E508&lt;&gt;"",$E508&lt;=AO$2,$F508&gt;=AO$2),1,0)</f>
        <v/>
      </c>
      <c r="AP508">
        <f>AP507+IF(AND($E508&lt;&gt;"",$E508&lt;=AP$2,$F508&gt;=AP$2),1,0)</f>
        <v/>
      </c>
      <c r="AQ508">
        <f>AQ507+IF(AND($E508&lt;&gt;"",$E508&lt;=AQ$2,$F508&gt;=AQ$2),1,0)</f>
        <v/>
      </c>
      <c r="AR508">
        <f>AR507+IF(AND($E508&lt;&gt;"",$E508&lt;=AR$2,$F508&gt;=AR$2),1,0)</f>
        <v/>
      </c>
      <c r="AS508">
        <f>AS507+IF(AND($E508&lt;&gt;"",$E508&lt;=AS$2,$F508&gt;=AS$2),1,0)</f>
        <v/>
      </c>
      <c r="AT508">
        <f>AT507+IF(AND($E508&lt;&gt;"",$E508&lt;=AT$2,$F508&gt;=AT$2),1,0)</f>
        <v/>
      </c>
      <c r="AU508">
        <f>AU507+IF(AND($E508&lt;&gt;"",$E508&lt;=AU$2,$F508&gt;=AU$2),1,0)</f>
        <v/>
      </c>
      <c r="AV508">
        <f>AV507+IF(AND($E508&lt;&gt;"",$E508&lt;=AV$2,$F508&gt;=AV$2),1,0)</f>
        <v/>
      </c>
      <c r="AW508">
        <f>AW507+IF(AND($E508&lt;&gt;"",$E508&lt;=AW$2,$F508&gt;=AW$2),1,0)</f>
        <v/>
      </c>
    </row>
    <row r="509">
      <c r="A509">
        <f>IF(AND(ISNUMBER(Events!$A511),ISNUMBER(Events!$B511)),MAX(0,Events!$B511-Events!$A511),0)</f>
        <v/>
      </c>
      <c r="B509">
        <f>IF(ISNUMBER(Events!$A511),DATE(YEAR($B$1)-1,MONTH(Events!$A511),DAY(Events!$A511)),"")</f>
        <v/>
      </c>
      <c r="C509">
        <f>IF(ISNUMBER(Events!$A511),DATE(YEAR($B$1),MONTH(Events!$A511),DAY(Events!$A511)),"")</f>
        <v/>
      </c>
      <c r="D509">
        <f>IF(ISNUMBER(Events!$A511),DATE(YEAR($B$2),MONTH(Events!$A511),DAY(Events!$A511)),"")</f>
        <v/>
      </c>
      <c r="E509">
        <f>IF(OR(NOT(ISNUMBER(Events!$A511)),Events!$G511="No",Calendar!$H$4="None"),"",IF(OR(Calendar!$H$4="All events",Events!$D511=Calendar!$H$4),IF(Events!$E511="Yes",IF(AND(B509&gt;=Events!$A511,B509&lt;=$B$2,B509+$A509&gt;=$B$1),B509,IF(AND(C509&gt;=Events!$A511,C509&lt;=$B$2,C509+$A509&gt;=$B$1),C509,IF(AND(D509&gt;=Events!$A511,D509&lt;=$B$2,D509+$A509&gt;=$B$1),D509,""))),IF(AND(Events!$A511&lt;=$B$2,Events!$A511+$A509&gt;=$B$1),Events!$A511,"")),""))</f>
        <v/>
      </c>
      <c r="F509">
        <f>IF(E509="","",E509+A509)</f>
        <v/>
      </c>
      <c r="G509">
        <f>IF(E509="","",IF(AND(E509&lt;=EOMONTH(Calendar!$K$2,0),F509&gt;=Calendar!$K$2),E509+506/100000,""))</f>
        <v/>
      </c>
      <c r="H509">
        <f>H508+IF(AND($E509&lt;&gt;"",$E509&lt;=H$2,$F509&gt;=H$2),1,0)</f>
        <v/>
      </c>
      <c r="I509">
        <f>I508+IF(AND($E509&lt;&gt;"",$E509&lt;=I$2,$F509&gt;=I$2),1,0)</f>
        <v/>
      </c>
      <c r="J509">
        <f>J508+IF(AND($E509&lt;&gt;"",$E509&lt;=J$2,$F509&gt;=J$2),1,0)</f>
        <v/>
      </c>
      <c r="K509">
        <f>K508+IF(AND($E509&lt;&gt;"",$E509&lt;=K$2,$F509&gt;=K$2),1,0)</f>
        <v/>
      </c>
      <c r="L509">
        <f>L508+IF(AND($E509&lt;&gt;"",$E509&lt;=L$2,$F509&gt;=L$2),1,0)</f>
        <v/>
      </c>
      <c r="M509">
        <f>M508+IF(AND($E509&lt;&gt;"",$E509&lt;=M$2,$F509&gt;=M$2),1,0)</f>
        <v/>
      </c>
      <c r="N509">
        <f>N508+IF(AND($E509&lt;&gt;"",$E509&lt;=N$2,$F509&gt;=N$2),1,0)</f>
        <v/>
      </c>
      <c r="O509">
        <f>O508+IF(AND($E509&lt;&gt;"",$E509&lt;=O$2,$F509&gt;=O$2),1,0)</f>
        <v/>
      </c>
      <c r="P509">
        <f>P508+IF(AND($E509&lt;&gt;"",$E509&lt;=P$2,$F509&gt;=P$2),1,0)</f>
        <v/>
      </c>
      <c r="Q509">
        <f>Q508+IF(AND($E509&lt;&gt;"",$E509&lt;=Q$2,$F509&gt;=Q$2),1,0)</f>
        <v/>
      </c>
      <c r="R509">
        <f>R508+IF(AND($E509&lt;&gt;"",$E509&lt;=R$2,$F509&gt;=R$2),1,0)</f>
        <v/>
      </c>
      <c r="S509">
        <f>S508+IF(AND($E509&lt;&gt;"",$E509&lt;=S$2,$F509&gt;=S$2),1,0)</f>
        <v/>
      </c>
      <c r="T509">
        <f>T508+IF(AND($E509&lt;&gt;"",$E509&lt;=T$2,$F509&gt;=T$2),1,0)</f>
        <v/>
      </c>
      <c r="U509">
        <f>U508+IF(AND($E509&lt;&gt;"",$E509&lt;=U$2,$F509&gt;=U$2),1,0)</f>
        <v/>
      </c>
      <c r="V509">
        <f>V508+IF(AND($E509&lt;&gt;"",$E509&lt;=V$2,$F509&gt;=V$2),1,0)</f>
        <v/>
      </c>
      <c r="W509">
        <f>W508+IF(AND($E509&lt;&gt;"",$E509&lt;=W$2,$F509&gt;=W$2),1,0)</f>
        <v/>
      </c>
      <c r="X509">
        <f>X508+IF(AND($E509&lt;&gt;"",$E509&lt;=X$2,$F509&gt;=X$2),1,0)</f>
        <v/>
      </c>
      <c r="Y509">
        <f>Y508+IF(AND($E509&lt;&gt;"",$E509&lt;=Y$2,$F509&gt;=Y$2),1,0)</f>
        <v/>
      </c>
      <c r="Z509">
        <f>Z508+IF(AND($E509&lt;&gt;"",$E509&lt;=Z$2,$F509&gt;=Z$2),1,0)</f>
        <v/>
      </c>
      <c r="AA509">
        <f>AA508+IF(AND($E509&lt;&gt;"",$E509&lt;=AA$2,$F509&gt;=AA$2),1,0)</f>
        <v/>
      </c>
      <c r="AB509">
        <f>AB508+IF(AND($E509&lt;&gt;"",$E509&lt;=AB$2,$F509&gt;=AB$2),1,0)</f>
        <v/>
      </c>
      <c r="AC509">
        <f>AC508+IF(AND($E509&lt;&gt;"",$E509&lt;=AC$2,$F509&gt;=AC$2),1,0)</f>
        <v/>
      </c>
      <c r="AD509">
        <f>AD508+IF(AND($E509&lt;&gt;"",$E509&lt;=AD$2,$F509&gt;=AD$2),1,0)</f>
        <v/>
      </c>
      <c r="AE509">
        <f>AE508+IF(AND($E509&lt;&gt;"",$E509&lt;=AE$2,$F509&gt;=AE$2),1,0)</f>
        <v/>
      </c>
      <c r="AF509">
        <f>AF508+IF(AND($E509&lt;&gt;"",$E509&lt;=AF$2,$F509&gt;=AF$2),1,0)</f>
        <v/>
      </c>
      <c r="AG509">
        <f>AG508+IF(AND($E509&lt;&gt;"",$E509&lt;=AG$2,$F509&gt;=AG$2),1,0)</f>
        <v/>
      </c>
      <c r="AH509">
        <f>AH508+IF(AND($E509&lt;&gt;"",$E509&lt;=AH$2,$F509&gt;=AH$2),1,0)</f>
        <v/>
      </c>
      <c r="AI509">
        <f>AI508+IF(AND($E509&lt;&gt;"",$E509&lt;=AI$2,$F509&gt;=AI$2),1,0)</f>
        <v/>
      </c>
      <c r="AJ509">
        <f>AJ508+IF(AND($E509&lt;&gt;"",$E509&lt;=AJ$2,$F509&gt;=AJ$2),1,0)</f>
        <v/>
      </c>
      <c r="AK509">
        <f>AK508+IF(AND($E509&lt;&gt;"",$E509&lt;=AK$2,$F509&gt;=AK$2),1,0)</f>
        <v/>
      </c>
      <c r="AL509">
        <f>AL508+IF(AND($E509&lt;&gt;"",$E509&lt;=AL$2,$F509&gt;=AL$2),1,0)</f>
        <v/>
      </c>
      <c r="AM509">
        <f>AM508+IF(AND($E509&lt;&gt;"",$E509&lt;=AM$2,$F509&gt;=AM$2),1,0)</f>
        <v/>
      </c>
      <c r="AN509">
        <f>AN508+IF(AND($E509&lt;&gt;"",$E509&lt;=AN$2,$F509&gt;=AN$2),1,0)</f>
        <v/>
      </c>
      <c r="AO509">
        <f>AO508+IF(AND($E509&lt;&gt;"",$E509&lt;=AO$2,$F509&gt;=AO$2),1,0)</f>
        <v/>
      </c>
      <c r="AP509">
        <f>AP508+IF(AND($E509&lt;&gt;"",$E509&lt;=AP$2,$F509&gt;=AP$2),1,0)</f>
        <v/>
      </c>
      <c r="AQ509">
        <f>AQ508+IF(AND($E509&lt;&gt;"",$E509&lt;=AQ$2,$F509&gt;=AQ$2),1,0)</f>
        <v/>
      </c>
      <c r="AR509">
        <f>AR508+IF(AND($E509&lt;&gt;"",$E509&lt;=AR$2,$F509&gt;=AR$2),1,0)</f>
        <v/>
      </c>
      <c r="AS509">
        <f>AS508+IF(AND($E509&lt;&gt;"",$E509&lt;=AS$2,$F509&gt;=AS$2),1,0)</f>
        <v/>
      </c>
      <c r="AT509">
        <f>AT508+IF(AND($E509&lt;&gt;"",$E509&lt;=AT$2,$F509&gt;=AT$2),1,0)</f>
        <v/>
      </c>
      <c r="AU509">
        <f>AU508+IF(AND($E509&lt;&gt;"",$E509&lt;=AU$2,$F509&gt;=AU$2),1,0)</f>
        <v/>
      </c>
      <c r="AV509">
        <f>AV508+IF(AND($E509&lt;&gt;"",$E509&lt;=AV$2,$F509&gt;=AV$2),1,0)</f>
        <v/>
      </c>
      <c r="AW509">
        <f>AW508+IF(AND($E509&lt;&gt;"",$E509&lt;=AW$2,$F509&gt;=AW$2),1,0)</f>
        <v/>
      </c>
    </row>
    <row r="510">
      <c r="A510">
        <f>IF(AND(ISNUMBER(Events!$A512),ISNUMBER(Events!$B512)),MAX(0,Events!$B512-Events!$A512),0)</f>
        <v/>
      </c>
      <c r="B510">
        <f>IF(ISNUMBER(Events!$A512),DATE(YEAR($B$1)-1,MONTH(Events!$A512),DAY(Events!$A512)),"")</f>
        <v/>
      </c>
      <c r="C510">
        <f>IF(ISNUMBER(Events!$A512),DATE(YEAR($B$1),MONTH(Events!$A512),DAY(Events!$A512)),"")</f>
        <v/>
      </c>
      <c r="D510">
        <f>IF(ISNUMBER(Events!$A512),DATE(YEAR($B$2),MONTH(Events!$A512),DAY(Events!$A512)),"")</f>
        <v/>
      </c>
      <c r="E510">
        <f>IF(OR(NOT(ISNUMBER(Events!$A512)),Events!$G512="No",Calendar!$H$4="None"),"",IF(OR(Calendar!$H$4="All events",Events!$D512=Calendar!$H$4),IF(Events!$E512="Yes",IF(AND(B510&gt;=Events!$A512,B510&lt;=$B$2,B510+$A510&gt;=$B$1),B510,IF(AND(C510&gt;=Events!$A512,C510&lt;=$B$2,C510+$A510&gt;=$B$1),C510,IF(AND(D510&gt;=Events!$A512,D510&lt;=$B$2,D510+$A510&gt;=$B$1),D510,""))),IF(AND(Events!$A512&lt;=$B$2,Events!$A512+$A510&gt;=$B$1),Events!$A512,"")),""))</f>
        <v/>
      </c>
      <c r="F510">
        <f>IF(E510="","",E510+A510)</f>
        <v/>
      </c>
      <c r="G510">
        <f>IF(E510="","",IF(AND(E510&lt;=EOMONTH(Calendar!$K$2,0),F510&gt;=Calendar!$K$2),E510+507/100000,""))</f>
        <v/>
      </c>
      <c r="H510">
        <f>H509+IF(AND($E510&lt;&gt;"",$E510&lt;=H$2,$F510&gt;=H$2),1,0)</f>
        <v/>
      </c>
      <c r="I510">
        <f>I509+IF(AND($E510&lt;&gt;"",$E510&lt;=I$2,$F510&gt;=I$2),1,0)</f>
        <v/>
      </c>
      <c r="J510">
        <f>J509+IF(AND($E510&lt;&gt;"",$E510&lt;=J$2,$F510&gt;=J$2),1,0)</f>
        <v/>
      </c>
      <c r="K510">
        <f>K509+IF(AND($E510&lt;&gt;"",$E510&lt;=K$2,$F510&gt;=K$2),1,0)</f>
        <v/>
      </c>
      <c r="L510">
        <f>L509+IF(AND($E510&lt;&gt;"",$E510&lt;=L$2,$F510&gt;=L$2),1,0)</f>
        <v/>
      </c>
      <c r="M510">
        <f>M509+IF(AND($E510&lt;&gt;"",$E510&lt;=M$2,$F510&gt;=M$2),1,0)</f>
        <v/>
      </c>
      <c r="N510">
        <f>N509+IF(AND($E510&lt;&gt;"",$E510&lt;=N$2,$F510&gt;=N$2),1,0)</f>
        <v/>
      </c>
      <c r="O510">
        <f>O509+IF(AND($E510&lt;&gt;"",$E510&lt;=O$2,$F510&gt;=O$2),1,0)</f>
        <v/>
      </c>
      <c r="P510">
        <f>P509+IF(AND($E510&lt;&gt;"",$E510&lt;=P$2,$F510&gt;=P$2),1,0)</f>
        <v/>
      </c>
      <c r="Q510">
        <f>Q509+IF(AND($E510&lt;&gt;"",$E510&lt;=Q$2,$F510&gt;=Q$2),1,0)</f>
        <v/>
      </c>
      <c r="R510">
        <f>R509+IF(AND($E510&lt;&gt;"",$E510&lt;=R$2,$F510&gt;=R$2),1,0)</f>
        <v/>
      </c>
      <c r="S510">
        <f>S509+IF(AND($E510&lt;&gt;"",$E510&lt;=S$2,$F510&gt;=S$2),1,0)</f>
        <v/>
      </c>
      <c r="T510">
        <f>T509+IF(AND($E510&lt;&gt;"",$E510&lt;=T$2,$F510&gt;=T$2),1,0)</f>
        <v/>
      </c>
      <c r="U510">
        <f>U509+IF(AND($E510&lt;&gt;"",$E510&lt;=U$2,$F510&gt;=U$2),1,0)</f>
        <v/>
      </c>
      <c r="V510">
        <f>V509+IF(AND($E510&lt;&gt;"",$E510&lt;=V$2,$F510&gt;=V$2),1,0)</f>
        <v/>
      </c>
      <c r="W510">
        <f>W509+IF(AND($E510&lt;&gt;"",$E510&lt;=W$2,$F510&gt;=W$2),1,0)</f>
        <v/>
      </c>
      <c r="X510">
        <f>X509+IF(AND($E510&lt;&gt;"",$E510&lt;=X$2,$F510&gt;=X$2),1,0)</f>
        <v/>
      </c>
      <c r="Y510">
        <f>Y509+IF(AND($E510&lt;&gt;"",$E510&lt;=Y$2,$F510&gt;=Y$2),1,0)</f>
        <v/>
      </c>
      <c r="Z510">
        <f>Z509+IF(AND($E510&lt;&gt;"",$E510&lt;=Z$2,$F510&gt;=Z$2),1,0)</f>
        <v/>
      </c>
      <c r="AA510">
        <f>AA509+IF(AND($E510&lt;&gt;"",$E510&lt;=AA$2,$F510&gt;=AA$2),1,0)</f>
        <v/>
      </c>
      <c r="AB510">
        <f>AB509+IF(AND($E510&lt;&gt;"",$E510&lt;=AB$2,$F510&gt;=AB$2),1,0)</f>
        <v/>
      </c>
      <c r="AC510">
        <f>AC509+IF(AND($E510&lt;&gt;"",$E510&lt;=AC$2,$F510&gt;=AC$2),1,0)</f>
        <v/>
      </c>
      <c r="AD510">
        <f>AD509+IF(AND($E510&lt;&gt;"",$E510&lt;=AD$2,$F510&gt;=AD$2),1,0)</f>
        <v/>
      </c>
      <c r="AE510">
        <f>AE509+IF(AND($E510&lt;&gt;"",$E510&lt;=AE$2,$F510&gt;=AE$2),1,0)</f>
        <v/>
      </c>
      <c r="AF510">
        <f>AF509+IF(AND($E510&lt;&gt;"",$E510&lt;=AF$2,$F510&gt;=AF$2),1,0)</f>
        <v/>
      </c>
      <c r="AG510">
        <f>AG509+IF(AND($E510&lt;&gt;"",$E510&lt;=AG$2,$F510&gt;=AG$2),1,0)</f>
        <v/>
      </c>
      <c r="AH510">
        <f>AH509+IF(AND($E510&lt;&gt;"",$E510&lt;=AH$2,$F510&gt;=AH$2),1,0)</f>
        <v/>
      </c>
      <c r="AI510">
        <f>AI509+IF(AND($E510&lt;&gt;"",$E510&lt;=AI$2,$F510&gt;=AI$2),1,0)</f>
        <v/>
      </c>
      <c r="AJ510">
        <f>AJ509+IF(AND($E510&lt;&gt;"",$E510&lt;=AJ$2,$F510&gt;=AJ$2),1,0)</f>
        <v/>
      </c>
      <c r="AK510">
        <f>AK509+IF(AND($E510&lt;&gt;"",$E510&lt;=AK$2,$F510&gt;=AK$2),1,0)</f>
        <v/>
      </c>
      <c r="AL510">
        <f>AL509+IF(AND($E510&lt;&gt;"",$E510&lt;=AL$2,$F510&gt;=AL$2),1,0)</f>
        <v/>
      </c>
      <c r="AM510">
        <f>AM509+IF(AND($E510&lt;&gt;"",$E510&lt;=AM$2,$F510&gt;=AM$2),1,0)</f>
        <v/>
      </c>
      <c r="AN510">
        <f>AN509+IF(AND($E510&lt;&gt;"",$E510&lt;=AN$2,$F510&gt;=AN$2),1,0)</f>
        <v/>
      </c>
      <c r="AO510">
        <f>AO509+IF(AND($E510&lt;&gt;"",$E510&lt;=AO$2,$F510&gt;=AO$2),1,0)</f>
        <v/>
      </c>
      <c r="AP510">
        <f>AP509+IF(AND($E510&lt;&gt;"",$E510&lt;=AP$2,$F510&gt;=AP$2),1,0)</f>
        <v/>
      </c>
      <c r="AQ510">
        <f>AQ509+IF(AND($E510&lt;&gt;"",$E510&lt;=AQ$2,$F510&gt;=AQ$2),1,0)</f>
        <v/>
      </c>
      <c r="AR510">
        <f>AR509+IF(AND($E510&lt;&gt;"",$E510&lt;=AR$2,$F510&gt;=AR$2),1,0)</f>
        <v/>
      </c>
      <c r="AS510">
        <f>AS509+IF(AND($E510&lt;&gt;"",$E510&lt;=AS$2,$F510&gt;=AS$2),1,0)</f>
        <v/>
      </c>
      <c r="AT510">
        <f>AT509+IF(AND($E510&lt;&gt;"",$E510&lt;=AT$2,$F510&gt;=AT$2),1,0)</f>
        <v/>
      </c>
      <c r="AU510">
        <f>AU509+IF(AND($E510&lt;&gt;"",$E510&lt;=AU$2,$F510&gt;=AU$2),1,0)</f>
        <v/>
      </c>
      <c r="AV510">
        <f>AV509+IF(AND($E510&lt;&gt;"",$E510&lt;=AV$2,$F510&gt;=AV$2),1,0)</f>
        <v/>
      </c>
      <c r="AW510">
        <f>AW509+IF(AND($E510&lt;&gt;"",$E510&lt;=AW$2,$F510&gt;=AW$2),1,0)</f>
        <v/>
      </c>
    </row>
    <row r="511">
      <c r="A511">
        <f>IF(AND(ISNUMBER(Events!$A513),ISNUMBER(Events!$B513)),MAX(0,Events!$B513-Events!$A513),0)</f>
        <v/>
      </c>
      <c r="B511">
        <f>IF(ISNUMBER(Events!$A513),DATE(YEAR($B$1)-1,MONTH(Events!$A513),DAY(Events!$A513)),"")</f>
        <v/>
      </c>
      <c r="C511">
        <f>IF(ISNUMBER(Events!$A513),DATE(YEAR($B$1),MONTH(Events!$A513),DAY(Events!$A513)),"")</f>
        <v/>
      </c>
      <c r="D511">
        <f>IF(ISNUMBER(Events!$A513),DATE(YEAR($B$2),MONTH(Events!$A513),DAY(Events!$A513)),"")</f>
        <v/>
      </c>
      <c r="E511">
        <f>IF(OR(NOT(ISNUMBER(Events!$A513)),Events!$G513="No",Calendar!$H$4="None"),"",IF(OR(Calendar!$H$4="All events",Events!$D513=Calendar!$H$4),IF(Events!$E513="Yes",IF(AND(B511&gt;=Events!$A513,B511&lt;=$B$2,B511+$A511&gt;=$B$1),B511,IF(AND(C511&gt;=Events!$A513,C511&lt;=$B$2,C511+$A511&gt;=$B$1),C511,IF(AND(D511&gt;=Events!$A513,D511&lt;=$B$2,D511+$A511&gt;=$B$1),D511,""))),IF(AND(Events!$A513&lt;=$B$2,Events!$A513+$A511&gt;=$B$1),Events!$A513,"")),""))</f>
        <v/>
      </c>
      <c r="F511">
        <f>IF(E511="","",E511+A511)</f>
        <v/>
      </c>
      <c r="G511">
        <f>IF(E511="","",IF(AND(E511&lt;=EOMONTH(Calendar!$K$2,0),F511&gt;=Calendar!$K$2),E511+508/100000,""))</f>
        <v/>
      </c>
      <c r="H511">
        <f>H510+IF(AND($E511&lt;&gt;"",$E511&lt;=H$2,$F511&gt;=H$2),1,0)</f>
        <v/>
      </c>
      <c r="I511">
        <f>I510+IF(AND($E511&lt;&gt;"",$E511&lt;=I$2,$F511&gt;=I$2),1,0)</f>
        <v/>
      </c>
      <c r="J511">
        <f>J510+IF(AND($E511&lt;&gt;"",$E511&lt;=J$2,$F511&gt;=J$2),1,0)</f>
        <v/>
      </c>
      <c r="K511">
        <f>K510+IF(AND($E511&lt;&gt;"",$E511&lt;=K$2,$F511&gt;=K$2),1,0)</f>
        <v/>
      </c>
      <c r="L511">
        <f>L510+IF(AND($E511&lt;&gt;"",$E511&lt;=L$2,$F511&gt;=L$2),1,0)</f>
        <v/>
      </c>
      <c r="M511">
        <f>M510+IF(AND($E511&lt;&gt;"",$E511&lt;=M$2,$F511&gt;=M$2),1,0)</f>
        <v/>
      </c>
      <c r="N511">
        <f>N510+IF(AND($E511&lt;&gt;"",$E511&lt;=N$2,$F511&gt;=N$2),1,0)</f>
        <v/>
      </c>
      <c r="O511">
        <f>O510+IF(AND($E511&lt;&gt;"",$E511&lt;=O$2,$F511&gt;=O$2),1,0)</f>
        <v/>
      </c>
      <c r="P511">
        <f>P510+IF(AND($E511&lt;&gt;"",$E511&lt;=P$2,$F511&gt;=P$2),1,0)</f>
        <v/>
      </c>
      <c r="Q511">
        <f>Q510+IF(AND($E511&lt;&gt;"",$E511&lt;=Q$2,$F511&gt;=Q$2),1,0)</f>
        <v/>
      </c>
      <c r="R511">
        <f>R510+IF(AND($E511&lt;&gt;"",$E511&lt;=R$2,$F511&gt;=R$2),1,0)</f>
        <v/>
      </c>
      <c r="S511">
        <f>S510+IF(AND($E511&lt;&gt;"",$E511&lt;=S$2,$F511&gt;=S$2),1,0)</f>
        <v/>
      </c>
      <c r="T511">
        <f>T510+IF(AND($E511&lt;&gt;"",$E511&lt;=T$2,$F511&gt;=T$2),1,0)</f>
        <v/>
      </c>
      <c r="U511">
        <f>U510+IF(AND($E511&lt;&gt;"",$E511&lt;=U$2,$F511&gt;=U$2),1,0)</f>
        <v/>
      </c>
      <c r="V511">
        <f>V510+IF(AND($E511&lt;&gt;"",$E511&lt;=V$2,$F511&gt;=V$2),1,0)</f>
        <v/>
      </c>
      <c r="W511">
        <f>W510+IF(AND($E511&lt;&gt;"",$E511&lt;=W$2,$F511&gt;=W$2),1,0)</f>
        <v/>
      </c>
      <c r="X511">
        <f>X510+IF(AND($E511&lt;&gt;"",$E511&lt;=X$2,$F511&gt;=X$2),1,0)</f>
        <v/>
      </c>
      <c r="Y511">
        <f>Y510+IF(AND($E511&lt;&gt;"",$E511&lt;=Y$2,$F511&gt;=Y$2),1,0)</f>
        <v/>
      </c>
      <c r="Z511">
        <f>Z510+IF(AND($E511&lt;&gt;"",$E511&lt;=Z$2,$F511&gt;=Z$2),1,0)</f>
        <v/>
      </c>
      <c r="AA511">
        <f>AA510+IF(AND($E511&lt;&gt;"",$E511&lt;=AA$2,$F511&gt;=AA$2),1,0)</f>
        <v/>
      </c>
      <c r="AB511">
        <f>AB510+IF(AND($E511&lt;&gt;"",$E511&lt;=AB$2,$F511&gt;=AB$2),1,0)</f>
        <v/>
      </c>
      <c r="AC511">
        <f>AC510+IF(AND($E511&lt;&gt;"",$E511&lt;=AC$2,$F511&gt;=AC$2),1,0)</f>
        <v/>
      </c>
      <c r="AD511">
        <f>AD510+IF(AND($E511&lt;&gt;"",$E511&lt;=AD$2,$F511&gt;=AD$2),1,0)</f>
        <v/>
      </c>
      <c r="AE511">
        <f>AE510+IF(AND($E511&lt;&gt;"",$E511&lt;=AE$2,$F511&gt;=AE$2),1,0)</f>
        <v/>
      </c>
      <c r="AF511">
        <f>AF510+IF(AND($E511&lt;&gt;"",$E511&lt;=AF$2,$F511&gt;=AF$2),1,0)</f>
        <v/>
      </c>
      <c r="AG511">
        <f>AG510+IF(AND($E511&lt;&gt;"",$E511&lt;=AG$2,$F511&gt;=AG$2),1,0)</f>
        <v/>
      </c>
      <c r="AH511">
        <f>AH510+IF(AND($E511&lt;&gt;"",$E511&lt;=AH$2,$F511&gt;=AH$2),1,0)</f>
        <v/>
      </c>
      <c r="AI511">
        <f>AI510+IF(AND($E511&lt;&gt;"",$E511&lt;=AI$2,$F511&gt;=AI$2),1,0)</f>
        <v/>
      </c>
      <c r="AJ511">
        <f>AJ510+IF(AND($E511&lt;&gt;"",$E511&lt;=AJ$2,$F511&gt;=AJ$2),1,0)</f>
        <v/>
      </c>
      <c r="AK511">
        <f>AK510+IF(AND($E511&lt;&gt;"",$E511&lt;=AK$2,$F511&gt;=AK$2),1,0)</f>
        <v/>
      </c>
      <c r="AL511">
        <f>AL510+IF(AND($E511&lt;&gt;"",$E511&lt;=AL$2,$F511&gt;=AL$2),1,0)</f>
        <v/>
      </c>
      <c r="AM511">
        <f>AM510+IF(AND($E511&lt;&gt;"",$E511&lt;=AM$2,$F511&gt;=AM$2),1,0)</f>
        <v/>
      </c>
      <c r="AN511">
        <f>AN510+IF(AND($E511&lt;&gt;"",$E511&lt;=AN$2,$F511&gt;=AN$2),1,0)</f>
        <v/>
      </c>
      <c r="AO511">
        <f>AO510+IF(AND($E511&lt;&gt;"",$E511&lt;=AO$2,$F511&gt;=AO$2),1,0)</f>
        <v/>
      </c>
      <c r="AP511">
        <f>AP510+IF(AND($E511&lt;&gt;"",$E511&lt;=AP$2,$F511&gt;=AP$2),1,0)</f>
        <v/>
      </c>
      <c r="AQ511">
        <f>AQ510+IF(AND($E511&lt;&gt;"",$E511&lt;=AQ$2,$F511&gt;=AQ$2),1,0)</f>
        <v/>
      </c>
      <c r="AR511">
        <f>AR510+IF(AND($E511&lt;&gt;"",$E511&lt;=AR$2,$F511&gt;=AR$2),1,0)</f>
        <v/>
      </c>
      <c r="AS511">
        <f>AS510+IF(AND($E511&lt;&gt;"",$E511&lt;=AS$2,$F511&gt;=AS$2),1,0)</f>
        <v/>
      </c>
      <c r="AT511">
        <f>AT510+IF(AND($E511&lt;&gt;"",$E511&lt;=AT$2,$F511&gt;=AT$2),1,0)</f>
        <v/>
      </c>
      <c r="AU511">
        <f>AU510+IF(AND($E511&lt;&gt;"",$E511&lt;=AU$2,$F511&gt;=AU$2),1,0)</f>
        <v/>
      </c>
      <c r="AV511">
        <f>AV510+IF(AND($E511&lt;&gt;"",$E511&lt;=AV$2,$F511&gt;=AV$2),1,0)</f>
        <v/>
      </c>
      <c r="AW511">
        <f>AW510+IF(AND($E511&lt;&gt;"",$E511&lt;=AW$2,$F511&gt;=AW$2),1,0)</f>
        <v/>
      </c>
    </row>
    <row r="512">
      <c r="A512">
        <f>IF(AND(ISNUMBER(Events!$A514),ISNUMBER(Events!$B514)),MAX(0,Events!$B514-Events!$A514),0)</f>
        <v/>
      </c>
      <c r="B512">
        <f>IF(ISNUMBER(Events!$A514),DATE(YEAR($B$1)-1,MONTH(Events!$A514),DAY(Events!$A514)),"")</f>
        <v/>
      </c>
      <c r="C512">
        <f>IF(ISNUMBER(Events!$A514),DATE(YEAR($B$1),MONTH(Events!$A514),DAY(Events!$A514)),"")</f>
        <v/>
      </c>
      <c r="D512">
        <f>IF(ISNUMBER(Events!$A514),DATE(YEAR($B$2),MONTH(Events!$A514),DAY(Events!$A514)),"")</f>
        <v/>
      </c>
      <c r="E512">
        <f>IF(OR(NOT(ISNUMBER(Events!$A514)),Events!$G514="No",Calendar!$H$4="None"),"",IF(OR(Calendar!$H$4="All events",Events!$D514=Calendar!$H$4),IF(Events!$E514="Yes",IF(AND(B512&gt;=Events!$A514,B512&lt;=$B$2,B512+$A512&gt;=$B$1),B512,IF(AND(C512&gt;=Events!$A514,C512&lt;=$B$2,C512+$A512&gt;=$B$1),C512,IF(AND(D512&gt;=Events!$A514,D512&lt;=$B$2,D512+$A512&gt;=$B$1),D512,""))),IF(AND(Events!$A514&lt;=$B$2,Events!$A514+$A512&gt;=$B$1),Events!$A514,"")),""))</f>
        <v/>
      </c>
      <c r="F512">
        <f>IF(E512="","",E512+A512)</f>
        <v/>
      </c>
      <c r="G512">
        <f>IF(E512="","",IF(AND(E512&lt;=EOMONTH(Calendar!$K$2,0),F512&gt;=Calendar!$K$2),E512+509/100000,""))</f>
        <v/>
      </c>
      <c r="H512">
        <f>H511+IF(AND($E512&lt;&gt;"",$E512&lt;=H$2,$F512&gt;=H$2),1,0)</f>
        <v/>
      </c>
      <c r="I512">
        <f>I511+IF(AND($E512&lt;&gt;"",$E512&lt;=I$2,$F512&gt;=I$2),1,0)</f>
        <v/>
      </c>
      <c r="J512">
        <f>J511+IF(AND($E512&lt;&gt;"",$E512&lt;=J$2,$F512&gt;=J$2),1,0)</f>
        <v/>
      </c>
      <c r="K512">
        <f>K511+IF(AND($E512&lt;&gt;"",$E512&lt;=K$2,$F512&gt;=K$2),1,0)</f>
        <v/>
      </c>
      <c r="L512">
        <f>L511+IF(AND($E512&lt;&gt;"",$E512&lt;=L$2,$F512&gt;=L$2),1,0)</f>
        <v/>
      </c>
      <c r="M512">
        <f>M511+IF(AND($E512&lt;&gt;"",$E512&lt;=M$2,$F512&gt;=M$2),1,0)</f>
        <v/>
      </c>
      <c r="N512">
        <f>N511+IF(AND($E512&lt;&gt;"",$E512&lt;=N$2,$F512&gt;=N$2),1,0)</f>
        <v/>
      </c>
      <c r="O512">
        <f>O511+IF(AND($E512&lt;&gt;"",$E512&lt;=O$2,$F512&gt;=O$2),1,0)</f>
        <v/>
      </c>
      <c r="P512">
        <f>P511+IF(AND($E512&lt;&gt;"",$E512&lt;=P$2,$F512&gt;=P$2),1,0)</f>
        <v/>
      </c>
      <c r="Q512">
        <f>Q511+IF(AND($E512&lt;&gt;"",$E512&lt;=Q$2,$F512&gt;=Q$2),1,0)</f>
        <v/>
      </c>
      <c r="R512">
        <f>R511+IF(AND($E512&lt;&gt;"",$E512&lt;=R$2,$F512&gt;=R$2),1,0)</f>
        <v/>
      </c>
      <c r="S512">
        <f>S511+IF(AND($E512&lt;&gt;"",$E512&lt;=S$2,$F512&gt;=S$2),1,0)</f>
        <v/>
      </c>
      <c r="T512">
        <f>T511+IF(AND($E512&lt;&gt;"",$E512&lt;=T$2,$F512&gt;=T$2),1,0)</f>
        <v/>
      </c>
      <c r="U512">
        <f>U511+IF(AND($E512&lt;&gt;"",$E512&lt;=U$2,$F512&gt;=U$2),1,0)</f>
        <v/>
      </c>
      <c r="V512">
        <f>V511+IF(AND($E512&lt;&gt;"",$E512&lt;=V$2,$F512&gt;=V$2),1,0)</f>
        <v/>
      </c>
      <c r="W512">
        <f>W511+IF(AND($E512&lt;&gt;"",$E512&lt;=W$2,$F512&gt;=W$2),1,0)</f>
        <v/>
      </c>
      <c r="X512">
        <f>X511+IF(AND($E512&lt;&gt;"",$E512&lt;=X$2,$F512&gt;=X$2),1,0)</f>
        <v/>
      </c>
      <c r="Y512">
        <f>Y511+IF(AND($E512&lt;&gt;"",$E512&lt;=Y$2,$F512&gt;=Y$2),1,0)</f>
        <v/>
      </c>
      <c r="Z512">
        <f>Z511+IF(AND($E512&lt;&gt;"",$E512&lt;=Z$2,$F512&gt;=Z$2),1,0)</f>
        <v/>
      </c>
      <c r="AA512">
        <f>AA511+IF(AND($E512&lt;&gt;"",$E512&lt;=AA$2,$F512&gt;=AA$2),1,0)</f>
        <v/>
      </c>
      <c r="AB512">
        <f>AB511+IF(AND($E512&lt;&gt;"",$E512&lt;=AB$2,$F512&gt;=AB$2),1,0)</f>
        <v/>
      </c>
      <c r="AC512">
        <f>AC511+IF(AND($E512&lt;&gt;"",$E512&lt;=AC$2,$F512&gt;=AC$2),1,0)</f>
        <v/>
      </c>
      <c r="AD512">
        <f>AD511+IF(AND($E512&lt;&gt;"",$E512&lt;=AD$2,$F512&gt;=AD$2),1,0)</f>
        <v/>
      </c>
      <c r="AE512">
        <f>AE511+IF(AND($E512&lt;&gt;"",$E512&lt;=AE$2,$F512&gt;=AE$2),1,0)</f>
        <v/>
      </c>
      <c r="AF512">
        <f>AF511+IF(AND($E512&lt;&gt;"",$E512&lt;=AF$2,$F512&gt;=AF$2),1,0)</f>
        <v/>
      </c>
      <c r="AG512">
        <f>AG511+IF(AND($E512&lt;&gt;"",$E512&lt;=AG$2,$F512&gt;=AG$2),1,0)</f>
        <v/>
      </c>
      <c r="AH512">
        <f>AH511+IF(AND($E512&lt;&gt;"",$E512&lt;=AH$2,$F512&gt;=AH$2),1,0)</f>
        <v/>
      </c>
      <c r="AI512">
        <f>AI511+IF(AND($E512&lt;&gt;"",$E512&lt;=AI$2,$F512&gt;=AI$2),1,0)</f>
        <v/>
      </c>
      <c r="AJ512">
        <f>AJ511+IF(AND($E512&lt;&gt;"",$E512&lt;=AJ$2,$F512&gt;=AJ$2),1,0)</f>
        <v/>
      </c>
      <c r="AK512">
        <f>AK511+IF(AND($E512&lt;&gt;"",$E512&lt;=AK$2,$F512&gt;=AK$2),1,0)</f>
        <v/>
      </c>
      <c r="AL512">
        <f>AL511+IF(AND($E512&lt;&gt;"",$E512&lt;=AL$2,$F512&gt;=AL$2),1,0)</f>
        <v/>
      </c>
      <c r="AM512">
        <f>AM511+IF(AND($E512&lt;&gt;"",$E512&lt;=AM$2,$F512&gt;=AM$2),1,0)</f>
        <v/>
      </c>
      <c r="AN512">
        <f>AN511+IF(AND($E512&lt;&gt;"",$E512&lt;=AN$2,$F512&gt;=AN$2),1,0)</f>
        <v/>
      </c>
      <c r="AO512">
        <f>AO511+IF(AND($E512&lt;&gt;"",$E512&lt;=AO$2,$F512&gt;=AO$2),1,0)</f>
        <v/>
      </c>
      <c r="AP512">
        <f>AP511+IF(AND($E512&lt;&gt;"",$E512&lt;=AP$2,$F512&gt;=AP$2),1,0)</f>
        <v/>
      </c>
      <c r="AQ512">
        <f>AQ511+IF(AND($E512&lt;&gt;"",$E512&lt;=AQ$2,$F512&gt;=AQ$2),1,0)</f>
        <v/>
      </c>
      <c r="AR512">
        <f>AR511+IF(AND($E512&lt;&gt;"",$E512&lt;=AR$2,$F512&gt;=AR$2),1,0)</f>
        <v/>
      </c>
      <c r="AS512">
        <f>AS511+IF(AND($E512&lt;&gt;"",$E512&lt;=AS$2,$F512&gt;=AS$2),1,0)</f>
        <v/>
      </c>
      <c r="AT512">
        <f>AT511+IF(AND($E512&lt;&gt;"",$E512&lt;=AT$2,$F512&gt;=AT$2),1,0)</f>
        <v/>
      </c>
      <c r="AU512">
        <f>AU511+IF(AND($E512&lt;&gt;"",$E512&lt;=AU$2,$F512&gt;=AU$2),1,0)</f>
        <v/>
      </c>
      <c r="AV512">
        <f>AV511+IF(AND($E512&lt;&gt;"",$E512&lt;=AV$2,$F512&gt;=AV$2),1,0)</f>
        <v/>
      </c>
      <c r="AW512">
        <f>AW511+IF(AND($E512&lt;&gt;"",$E512&lt;=AW$2,$F512&gt;=AW$2),1,0)</f>
        <v/>
      </c>
    </row>
    <row r="513">
      <c r="A513">
        <f>IF(AND(ISNUMBER(Events!$A515),ISNUMBER(Events!$B515)),MAX(0,Events!$B515-Events!$A515),0)</f>
        <v/>
      </c>
      <c r="B513">
        <f>IF(ISNUMBER(Events!$A515),DATE(YEAR($B$1)-1,MONTH(Events!$A515),DAY(Events!$A515)),"")</f>
        <v/>
      </c>
      <c r="C513">
        <f>IF(ISNUMBER(Events!$A515),DATE(YEAR($B$1),MONTH(Events!$A515),DAY(Events!$A515)),"")</f>
        <v/>
      </c>
      <c r="D513">
        <f>IF(ISNUMBER(Events!$A515),DATE(YEAR($B$2),MONTH(Events!$A515),DAY(Events!$A515)),"")</f>
        <v/>
      </c>
      <c r="E513">
        <f>IF(OR(NOT(ISNUMBER(Events!$A515)),Events!$G515="No",Calendar!$H$4="None"),"",IF(OR(Calendar!$H$4="All events",Events!$D515=Calendar!$H$4),IF(Events!$E515="Yes",IF(AND(B513&gt;=Events!$A515,B513&lt;=$B$2,B513+$A513&gt;=$B$1),B513,IF(AND(C513&gt;=Events!$A515,C513&lt;=$B$2,C513+$A513&gt;=$B$1),C513,IF(AND(D513&gt;=Events!$A515,D513&lt;=$B$2,D513+$A513&gt;=$B$1),D513,""))),IF(AND(Events!$A515&lt;=$B$2,Events!$A515+$A513&gt;=$B$1),Events!$A515,"")),""))</f>
        <v/>
      </c>
      <c r="F513">
        <f>IF(E513="","",E513+A513)</f>
        <v/>
      </c>
      <c r="G513">
        <f>IF(E513="","",IF(AND(E513&lt;=EOMONTH(Calendar!$K$2,0),F513&gt;=Calendar!$K$2),E513+510/100000,""))</f>
        <v/>
      </c>
      <c r="H513">
        <f>H512+IF(AND($E513&lt;&gt;"",$E513&lt;=H$2,$F513&gt;=H$2),1,0)</f>
        <v/>
      </c>
      <c r="I513">
        <f>I512+IF(AND($E513&lt;&gt;"",$E513&lt;=I$2,$F513&gt;=I$2),1,0)</f>
        <v/>
      </c>
      <c r="J513">
        <f>J512+IF(AND($E513&lt;&gt;"",$E513&lt;=J$2,$F513&gt;=J$2),1,0)</f>
        <v/>
      </c>
      <c r="K513">
        <f>K512+IF(AND($E513&lt;&gt;"",$E513&lt;=K$2,$F513&gt;=K$2),1,0)</f>
        <v/>
      </c>
      <c r="L513">
        <f>L512+IF(AND($E513&lt;&gt;"",$E513&lt;=L$2,$F513&gt;=L$2),1,0)</f>
        <v/>
      </c>
      <c r="M513">
        <f>M512+IF(AND($E513&lt;&gt;"",$E513&lt;=M$2,$F513&gt;=M$2),1,0)</f>
        <v/>
      </c>
      <c r="N513">
        <f>N512+IF(AND($E513&lt;&gt;"",$E513&lt;=N$2,$F513&gt;=N$2),1,0)</f>
        <v/>
      </c>
      <c r="O513">
        <f>O512+IF(AND($E513&lt;&gt;"",$E513&lt;=O$2,$F513&gt;=O$2),1,0)</f>
        <v/>
      </c>
      <c r="P513">
        <f>P512+IF(AND($E513&lt;&gt;"",$E513&lt;=P$2,$F513&gt;=P$2),1,0)</f>
        <v/>
      </c>
      <c r="Q513">
        <f>Q512+IF(AND($E513&lt;&gt;"",$E513&lt;=Q$2,$F513&gt;=Q$2),1,0)</f>
        <v/>
      </c>
      <c r="R513">
        <f>R512+IF(AND($E513&lt;&gt;"",$E513&lt;=R$2,$F513&gt;=R$2),1,0)</f>
        <v/>
      </c>
      <c r="S513">
        <f>S512+IF(AND($E513&lt;&gt;"",$E513&lt;=S$2,$F513&gt;=S$2),1,0)</f>
        <v/>
      </c>
      <c r="T513">
        <f>T512+IF(AND($E513&lt;&gt;"",$E513&lt;=T$2,$F513&gt;=T$2),1,0)</f>
        <v/>
      </c>
      <c r="U513">
        <f>U512+IF(AND($E513&lt;&gt;"",$E513&lt;=U$2,$F513&gt;=U$2),1,0)</f>
        <v/>
      </c>
      <c r="V513">
        <f>V512+IF(AND($E513&lt;&gt;"",$E513&lt;=V$2,$F513&gt;=V$2),1,0)</f>
        <v/>
      </c>
      <c r="W513">
        <f>W512+IF(AND($E513&lt;&gt;"",$E513&lt;=W$2,$F513&gt;=W$2),1,0)</f>
        <v/>
      </c>
      <c r="X513">
        <f>X512+IF(AND($E513&lt;&gt;"",$E513&lt;=X$2,$F513&gt;=X$2),1,0)</f>
        <v/>
      </c>
      <c r="Y513">
        <f>Y512+IF(AND($E513&lt;&gt;"",$E513&lt;=Y$2,$F513&gt;=Y$2),1,0)</f>
        <v/>
      </c>
      <c r="Z513">
        <f>Z512+IF(AND($E513&lt;&gt;"",$E513&lt;=Z$2,$F513&gt;=Z$2),1,0)</f>
        <v/>
      </c>
      <c r="AA513">
        <f>AA512+IF(AND($E513&lt;&gt;"",$E513&lt;=AA$2,$F513&gt;=AA$2),1,0)</f>
        <v/>
      </c>
      <c r="AB513">
        <f>AB512+IF(AND($E513&lt;&gt;"",$E513&lt;=AB$2,$F513&gt;=AB$2),1,0)</f>
        <v/>
      </c>
      <c r="AC513">
        <f>AC512+IF(AND($E513&lt;&gt;"",$E513&lt;=AC$2,$F513&gt;=AC$2),1,0)</f>
        <v/>
      </c>
      <c r="AD513">
        <f>AD512+IF(AND($E513&lt;&gt;"",$E513&lt;=AD$2,$F513&gt;=AD$2),1,0)</f>
        <v/>
      </c>
      <c r="AE513">
        <f>AE512+IF(AND($E513&lt;&gt;"",$E513&lt;=AE$2,$F513&gt;=AE$2),1,0)</f>
        <v/>
      </c>
      <c r="AF513">
        <f>AF512+IF(AND($E513&lt;&gt;"",$E513&lt;=AF$2,$F513&gt;=AF$2),1,0)</f>
        <v/>
      </c>
      <c r="AG513">
        <f>AG512+IF(AND($E513&lt;&gt;"",$E513&lt;=AG$2,$F513&gt;=AG$2),1,0)</f>
        <v/>
      </c>
      <c r="AH513">
        <f>AH512+IF(AND($E513&lt;&gt;"",$E513&lt;=AH$2,$F513&gt;=AH$2),1,0)</f>
        <v/>
      </c>
      <c r="AI513">
        <f>AI512+IF(AND($E513&lt;&gt;"",$E513&lt;=AI$2,$F513&gt;=AI$2),1,0)</f>
        <v/>
      </c>
      <c r="AJ513">
        <f>AJ512+IF(AND($E513&lt;&gt;"",$E513&lt;=AJ$2,$F513&gt;=AJ$2),1,0)</f>
        <v/>
      </c>
      <c r="AK513">
        <f>AK512+IF(AND($E513&lt;&gt;"",$E513&lt;=AK$2,$F513&gt;=AK$2),1,0)</f>
        <v/>
      </c>
      <c r="AL513">
        <f>AL512+IF(AND($E513&lt;&gt;"",$E513&lt;=AL$2,$F513&gt;=AL$2),1,0)</f>
        <v/>
      </c>
      <c r="AM513">
        <f>AM512+IF(AND($E513&lt;&gt;"",$E513&lt;=AM$2,$F513&gt;=AM$2),1,0)</f>
        <v/>
      </c>
      <c r="AN513">
        <f>AN512+IF(AND($E513&lt;&gt;"",$E513&lt;=AN$2,$F513&gt;=AN$2),1,0)</f>
        <v/>
      </c>
      <c r="AO513">
        <f>AO512+IF(AND($E513&lt;&gt;"",$E513&lt;=AO$2,$F513&gt;=AO$2),1,0)</f>
        <v/>
      </c>
      <c r="AP513">
        <f>AP512+IF(AND($E513&lt;&gt;"",$E513&lt;=AP$2,$F513&gt;=AP$2),1,0)</f>
        <v/>
      </c>
      <c r="AQ513">
        <f>AQ512+IF(AND($E513&lt;&gt;"",$E513&lt;=AQ$2,$F513&gt;=AQ$2),1,0)</f>
        <v/>
      </c>
      <c r="AR513">
        <f>AR512+IF(AND($E513&lt;&gt;"",$E513&lt;=AR$2,$F513&gt;=AR$2),1,0)</f>
        <v/>
      </c>
      <c r="AS513">
        <f>AS512+IF(AND($E513&lt;&gt;"",$E513&lt;=AS$2,$F513&gt;=AS$2),1,0)</f>
        <v/>
      </c>
      <c r="AT513">
        <f>AT512+IF(AND($E513&lt;&gt;"",$E513&lt;=AT$2,$F513&gt;=AT$2),1,0)</f>
        <v/>
      </c>
      <c r="AU513">
        <f>AU512+IF(AND($E513&lt;&gt;"",$E513&lt;=AU$2,$F513&gt;=AU$2),1,0)</f>
        <v/>
      </c>
      <c r="AV513">
        <f>AV512+IF(AND($E513&lt;&gt;"",$E513&lt;=AV$2,$F513&gt;=AV$2),1,0)</f>
        <v/>
      </c>
      <c r="AW513">
        <f>AW512+IF(AND($E513&lt;&gt;"",$E513&lt;=AW$2,$F513&gt;=AW$2),1,0)</f>
        <v/>
      </c>
    </row>
    <row r="514">
      <c r="A514">
        <f>IF(AND(ISNUMBER(Events!$A516),ISNUMBER(Events!$B516)),MAX(0,Events!$B516-Events!$A516),0)</f>
        <v/>
      </c>
      <c r="B514">
        <f>IF(ISNUMBER(Events!$A516),DATE(YEAR($B$1)-1,MONTH(Events!$A516),DAY(Events!$A516)),"")</f>
        <v/>
      </c>
      <c r="C514">
        <f>IF(ISNUMBER(Events!$A516),DATE(YEAR($B$1),MONTH(Events!$A516),DAY(Events!$A516)),"")</f>
        <v/>
      </c>
      <c r="D514">
        <f>IF(ISNUMBER(Events!$A516),DATE(YEAR($B$2),MONTH(Events!$A516),DAY(Events!$A516)),"")</f>
        <v/>
      </c>
      <c r="E514">
        <f>IF(OR(NOT(ISNUMBER(Events!$A516)),Events!$G516="No",Calendar!$H$4="None"),"",IF(OR(Calendar!$H$4="All events",Events!$D516=Calendar!$H$4),IF(Events!$E516="Yes",IF(AND(B514&gt;=Events!$A516,B514&lt;=$B$2,B514+$A514&gt;=$B$1),B514,IF(AND(C514&gt;=Events!$A516,C514&lt;=$B$2,C514+$A514&gt;=$B$1),C514,IF(AND(D514&gt;=Events!$A516,D514&lt;=$B$2,D514+$A514&gt;=$B$1),D514,""))),IF(AND(Events!$A516&lt;=$B$2,Events!$A516+$A514&gt;=$B$1),Events!$A516,"")),""))</f>
        <v/>
      </c>
      <c r="F514">
        <f>IF(E514="","",E514+A514)</f>
        <v/>
      </c>
      <c r="G514">
        <f>IF(E514="","",IF(AND(E514&lt;=EOMONTH(Calendar!$K$2,0),F514&gt;=Calendar!$K$2),E514+511/100000,""))</f>
        <v/>
      </c>
      <c r="H514">
        <f>H513+IF(AND($E514&lt;&gt;"",$E514&lt;=H$2,$F514&gt;=H$2),1,0)</f>
        <v/>
      </c>
      <c r="I514">
        <f>I513+IF(AND($E514&lt;&gt;"",$E514&lt;=I$2,$F514&gt;=I$2),1,0)</f>
        <v/>
      </c>
      <c r="J514">
        <f>J513+IF(AND($E514&lt;&gt;"",$E514&lt;=J$2,$F514&gt;=J$2),1,0)</f>
        <v/>
      </c>
      <c r="K514">
        <f>K513+IF(AND($E514&lt;&gt;"",$E514&lt;=K$2,$F514&gt;=K$2),1,0)</f>
        <v/>
      </c>
      <c r="L514">
        <f>L513+IF(AND($E514&lt;&gt;"",$E514&lt;=L$2,$F514&gt;=L$2),1,0)</f>
        <v/>
      </c>
      <c r="M514">
        <f>M513+IF(AND($E514&lt;&gt;"",$E514&lt;=M$2,$F514&gt;=M$2),1,0)</f>
        <v/>
      </c>
      <c r="N514">
        <f>N513+IF(AND($E514&lt;&gt;"",$E514&lt;=N$2,$F514&gt;=N$2),1,0)</f>
        <v/>
      </c>
      <c r="O514">
        <f>O513+IF(AND($E514&lt;&gt;"",$E514&lt;=O$2,$F514&gt;=O$2),1,0)</f>
        <v/>
      </c>
      <c r="P514">
        <f>P513+IF(AND($E514&lt;&gt;"",$E514&lt;=P$2,$F514&gt;=P$2),1,0)</f>
        <v/>
      </c>
      <c r="Q514">
        <f>Q513+IF(AND($E514&lt;&gt;"",$E514&lt;=Q$2,$F514&gt;=Q$2),1,0)</f>
        <v/>
      </c>
      <c r="R514">
        <f>R513+IF(AND($E514&lt;&gt;"",$E514&lt;=R$2,$F514&gt;=R$2),1,0)</f>
        <v/>
      </c>
      <c r="S514">
        <f>S513+IF(AND($E514&lt;&gt;"",$E514&lt;=S$2,$F514&gt;=S$2),1,0)</f>
        <v/>
      </c>
      <c r="T514">
        <f>T513+IF(AND($E514&lt;&gt;"",$E514&lt;=T$2,$F514&gt;=T$2),1,0)</f>
        <v/>
      </c>
      <c r="U514">
        <f>U513+IF(AND($E514&lt;&gt;"",$E514&lt;=U$2,$F514&gt;=U$2),1,0)</f>
        <v/>
      </c>
      <c r="V514">
        <f>V513+IF(AND($E514&lt;&gt;"",$E514&lt;=V$2,$F514&gt;=V$2),1,0)</f>
        <v/>
      </c>
      <c r="W514">
        <f>W513+IF(AND($E514&lt;&gt;"",$E514&lt;=W$2,$F514&gt;=W$2),1,0)</f>
        <v/>
      </c>
      <c r="X514">
        <f>X513+IF(AND($E514&lt;&gt;"",$E514&lt;=X$2,$F514&gt;=X$2),1,0)</f>
        <v/>
      </c>
      <c r="Y514">
        <f>Y513+IF(AND($E514&lt;&gt;"",$E514&lt;=Y$2,$F514&gt;=Y$2),1,0)</f>
        <v/>
      </c>
      <c r="Z514">
        <f>Z513+IF(AND($E514&lt;&gt;"",$E514&lt;=Z$2,$F514&gt;=Z$2),1,0)</f>
        <v/>
      </c>
      <c r="AA514">
        <f>AA513+IF(AND($E514&lt;&gt;"",$E514&lt;=AA$2,$F514&gt;=AA$2),1,0)</f>
        <v/>
      </c>
      <c r="AB514">
        <f>AB513+IF(AND($E514&lt;&gt;"",$E514&lt;=AB$2,$F514&gt;=AB$2),1,0)</f>
        <v/>
      </c>
      <c r="AC514">
        <f>AC513+IF(AND($E514&lt;&gt;"",$E514&lt;=AC$2,$F514&gt;=AC$2),1,0)</f>
        <v/>
      </c>
      <c r="AD514">
        <f>AD513+IF(AND($E514&lt;&gt;"",$E514&lt;=AD$2,$F514&gt;=AD$2),1,0)</f>
        <v/>
      </c>
      <c r="AE514">
        <f>AE513+IF(AND($E514&lt;&gt;"",$E514&lt;=AE$2,$F514&gt;=AE$2),1,0)</f>
        <v/>
      </c>
      <c r="AF514">
        <f>AF513+IF(AND($E514&lt;&gt;"",$E514&lt;=AF$2,$F514&gt;=AF$2),1,0)</f>
        <v/>
      </c>
      <c r="AG514">
        <f>AG513+IF(AND($E514&lt;&gt;"",$E514&lt;=AG$2,$F514&gt;=AG$2),1,0)</f>
        <v/>
      </c>
      <c r="AH514">
        <f>AH513+IF(AND($E514&lt;&gt;"",$E514&lt;=AH$2,$F514&gt;=AH$2),1,0)</f>
        <v/>
      </c>
      <c r="AI514">
        <f>AI513+IF(AND($E514&lt;&gt;"",$E514&lt;=AI$2,$F514&gt;=AI$2),1,0)</f>
        <v/>
      </c>
      <c r="AJ514">
        <f>AJ513+IF(AND($E514&lt;&gt;"",$E514&lt;=AJ$2,$F514&gt;=AJ$2),1,0)</f>
        <v/>
      </c>
      <c r="AK514">
        <f>AK513+IF(AND($E514&lt;&gt;"",$E514&lt;=AK$2,$F514&gt;=AK$2),1,0)</f>
        <v/>
      </c>
      <c r="AL514">
        <f>AL513+IF(AND($E514&lt;&gt;"",$E514&lt;=AL$2,$F514&gt;=AL$2),1,0)</f>
        <v/>
      </c>
      <c r="AM514">
        <f>AM513+IF(AND($E514&lt;&gt;"",$E514&lt;=AM$2,$F514&gt;=AM$2),1,0)</f>
        <v/>
      </c>
      <c r="AN514">
        <f>AN513+IF(AND($E514&lt;&gt;"",$E514&lt;=AN$2,$F514&gt;=AN$2),1,0)</f>
        <v/>
      </c>
      <c r="AO514">
        <f>AO513+IF(AND($E514&lt;&gt;"",$E514&lt;=AO$2,$F514&gt;=AO$2),1,0)</f>
        <v/>
      </c>
      <c r="AP514">
        <f>AP513+IF(AND($E514&lt;&gt;"",$E514&lt;=AP$2,$F514&gt;=AP$2),1,0)</f>
        <v/>
      </c>
      <c r="AQ514">
        <f>AQ513+IF(AND($E514&lt;&gt;"",$E514&lt;=AQ$2,$F514&gt;=AQ$2),1,0)</f>
        <v/>
      </c>
      <c r="AR514">
        <f>AR513+IF(AND($E514&lt;&gt;"",$E514&lt;=AR$2,$F514&gt;=AR$2),1,0)</f>
        <v/>
      </c>
      <c r="AS514">
        <f>AS513+IF(AND($E514&lt;&gt;"",$E514&lt;=AS$2,$F514&gt;=AS$2),1,0)</f>
        <v/>
      </c>
      <c r="AT514">
        <f>AT513+IF(AND($E514&lt;&gt;"",$E514&lt;=AT$2,$F514&gt;=AT$2),1,0)</f>
        <v/>
      </c>
      <c r="AU514">
        <f>AU513+IF(AND($E514&lt;&gt;"",$E514&lt;=AU$2,$F514&gt;=AU$2),1,0)</f>
        <v/>
      </c>
      <c r="AV514">
        <f>AV513+IF(AND($E514&lt;&gt;"",$E514&lt;=AV$2,$F514&gt;=AV$2),1,0)</f>
        <v/>
      </c>
      <c r="AW514">
        <f>AW513+IF(AND($E514&lt;&gt;"",$E514&lt;=AW$2,$F514&gt;=AW$2),1,0)</f>
        <v/>
      </c>
    </row>
    <row r="515">
      <c r="A515">
        <f>IF(AND(ISNUMBER(Events!$A517),ISNUMBER(Events!$B517)),MAX(0,Events!$B517-Events!$A517),0)</f>
        <v/>
      </c>
      <c r="B515">
        <f>IF(ISNUMBER(Events!$A517),DATE(YEAR($B$1)-1,MONTH(Events!$A517),DAY(Events!$A517)),"")</f>
        <v/>
      </c>
      <c r="C515">
        <f>IF(ISNUMBER(Events!$A517),DATE(YEAR($B$1),MONTH(Events!$A517),DAY(Events!$A517)),"")</f>
        <v/>
      </c>
      <c r="D515">
        <f>IF(ISNUMBER(Events!$A517),DATE(YEAR($B$2),MONTH(Events!$A517),DAY(Events!$A517)),"")</f>
        <v/>
      </c>
      <c r="E515">
        <f>IF(OR(NOT(ISNUMBER(Events!$A517)),Events!$G517="No",Calendar!$H$4="None"),"",IF(OR(Calendar!$H$4="All events",Events!$D517=Calendar!$H$4),IF(Events!$E517="Yes",IF(AND(B515&gt;=Events!$A517,B515&lt;=$B$2,B515+$A515&gt;=$B$1),B515,IF(AND(C515&gt;=Events!$A517,C515&lt;=$B$2,C515+$A515&gt;=$B$1),C515,IF(AND(D515&gt;=Events!$A517,D515&lt;=$B$2,D515+$A515&gt;=$B$1),D515,""))),IF(AND(Events!$A517&lt;=$B$2,Events!$A517+$A515&gt;=$B$1),Events!$A517,"")),""))</f>
        <v/>
      </c>
      <c r="F515">
        <f>IF(E515="","",E515+A515)</f>
        <v/>
      </c>
      <c r="G515">
        <f>IF(E515="","",IF(AND(E515&lt;=EOMONTH(Calendar!$K$2,0),F515&gt;=Calendar!$K$2),E515+512/100000,""))</f>
        <v/>
      </c>
      <c r="H515">
        <f>H514+IF(AND($E515&lt;&gt;"",$E515&lt;=H$2,$F515&gt;=H$2),1,0)</f>
        <v/>
      </c>
      <c r="I515">
        <f>I514+IF(AND($E515&lt;&gt;"",$E515&lt;=I$2,$F515&gt;=I$2),1,0)</f>
        <v/>
      </c>
      <c r="J515">
        <f>J514+IF(AND($E515&lt;&gt;"",$E515&lt;=J$2,$F515&gt;=J$2),1,0)</f>
        <v/>
      </c>
      <c r="K515">
        <f>K514+IF(AND($E515&lt;&gt;"",$E515&lt;=K$2,$F515&gt;=K$2),1,0)</f>
        <v/>
      </c>
      <c r="L515">
        <f>L514+IF(AND($E515&lt;&gt;"",$E515&lt;=L$2,$F515&gt;=L$2),1,0)</f>
        <v/>
      </c>
      <c r="M515">
        <f>M514+IF(AND($E515&lt;&gt;"",$E515&lt;=M$2,$F515&gt;=M$2),1,0)</f>
        <v/>
      </c>
      <c r="N515">
        <f>N514+IF(AND($E515&lt;&gt;"",$E515&lt;=N$2,$F515&gt;=N$2),1,0)</f>
        <v/>
      </c>
      <c r="O515">
        <f>O514+IF(AND($E515&lt;&gt;"",$E515&lt;=O$2,$F515&gt;=O$2),1,0)</f>
        <v/>
      </c>
      <c r="P515">
        <f>P514+IF(AND($E515&lt;&gt;"",$E515&lt;=P$2,$F515&gt;=P$2),1,0)</f>
        <v/>
      </c>
      <c r="Q515">
        <f>Q514+IF(AND($E515&lt;&gt;"",$E515&lt;=Q$2,$F515&gt;=Q$2),1,0)</f>
        <v/>
      </c>
      <c r="R515">
        <f>R514+IF(AND($E515&lt;&gt;"",$E515&lt;=R$2,$F515&gt;=R$2),1,0)</f>
        <v/>
      </c>
      <c r="S515">
        <f>S514+IF(AND($E515&lt;&gt;"",$E515&lt;=S$2,$F515&gt;=S$2),1,0)</f>
        <v/>
      </c>
      <c r="T515">
        <f>T514+IF(AND($E515&lt;&gt;"",$E515&lt;=T$2,$F515&gt;=T$2),1,0)</f>
        <v/>
      </c>
      <c r="U515">
        <f>U514+IF(AND($E515&lt;&gt;"",$E515&lt;=U$2,$F515&gt;=U$2),1,0)</f>
        <v/>
      </c>
      <c r="V515">
        <f>V514+IF(AND($E515&lt;&gt;"",$E515&lt;=V$2,$F515&gt;=V$2),1,0)</f>
        <v/>
      </c>
      <c r="W515">
        <f>W514+IF(AND($E515&lt;&gt;"",$E515&lt;=W$2,$F515&gt;=W$2),1,0)</f>
        <v/>
      </c>
      <c r="X515">
        <f>X514+IF(AND($E515&lt;&gt;"",$E515&lt;=X$2,$F515&gt;=X$2),1,0)</f>
        <v/>
      </c>
      <c r="Y515">
        <f>Y514+IF(AND($E515&lt;&gt;"",$E515&lt;=Y$2,$F515&gt;=Y$2),1,0)</f>
        <v/>
      </c>
      <c r="Z515">
        <f>Z514+IF(AND($E515&lt;&gt;"",$E515&lt;=Z$2,$F515&gt;=Z$2),1,0)</f>
        <v/>
      </c>
      <c r="AA515">
        <f>AA514+IF(AND($E515&lt;&gt;"",$E515&lt;=AA$2,$F515&gt;=AA$2),1,0)</f>
        <v/>
      </c>
      <c r="AB515">
        <f>AB514+IF(AND($E515&lt;&gt;"",$E515&lt;=AB$2,$F515&gt;=AB$2),1,0)</f>
        <v/>
      </c>
      <c r="AC515">
        <f>AC514+IF(AND($E515&lt;&gt;"",$E515&lt;=AC$2,$F515&gt;=AC$2),1,0)</f>
        <v/>
      </c>
      <c r="AD515">
        <f>AD514+IF(AND($E515&lt;&gt;"",$E515&lt;=AD$2,$F515&gt;=AD$2),1,0)</f>
        <v/>
      </c>
      <c r="AE515">
        <f>AE514+IF(AND($E515&lt;&gt;"",$E515&lt;=AE$2,$F515&gt;=AE$2),1,0)</f>
        <v/>
      </c>
      <c r="AF515">
        <f>AF514+IF(AND($E515&lt;&gt;"",$E515&lt;=AF$2,$F515&gt;=AF$2),1,0)</f>
        <v/>
      </c>
      <c r="AG515">
        <f>AG514+IF(AND($E515&lt;&gt;"",$E515&lt;=AG$2,$F515&gt;=AG$2),1,0)</f>
        <v/>
      </c>
      <c r="AH515">
        <f>AH514+IF(AND($E515&lt;&gt;"",$E515&lt;=AH$2,$F515&gt;=AH$2),1,0)</f>
        <v/>
      </c>
      <c r="AI515">
        <f>AI514+IF(AND($E515&lt;&gt;"",$E515&lt;=AI$2,$F515&gt;=AI$2),1,0)</f>
        <v/>
      </c>
      <c r="AJ515">
        <f>AJ514+IF(AND($E515&lt;&gt;"",$E515&lt;=AJ$2,$F515&gt;=AJ$2),1,0)</f>
        <v/>
      </c>
      <c r="AK515">
        <f>AK514+IF(AND($E515&lt;&gt;"",$E515&lt;=AK$2,$F515&gt;=AK$2),1,0)</f>
        <v/>
      </c>
      <c r="AL515">
        <f>AL514+IF(AND($E515&lt;&gt;"",$E515&lt;=AL$2,$F515&gt;=AL$2),1,0)</f>
        <v/>
      </c>
      <c r="AM515">
        <f>AM514+IF(AND($E515&lt;&gt;"",$E515&lt;=AM$2,$F515&gt;=AM$2),1,0)</f>
        <v/>
      </c>
      <c r="AN515">
        <f>AN514+IF(AND($E515&lt;&gt;"",$E515&lt;=AN$2,$F515&gt;=AN$2),1,0)</f>
        <v/>
      </c>
      <c r="AO515">
        <f>AO514+IF(AND($E515&lt;&gt;"",$E515&lt;=AO$2,$F515&gt;=AO$2),1,0)</f>
        <v/>
      </c>
      <c r="AP515">
        <f>AP514+IF(AND($E515&lt;&gt;"",$E515&lt;=AP$2,$F515&gt;=AP$2),1,0)</f>
        <v/>
      </c>
      <c r="AQ515">
        <f>AQ514+IF(AND($E515&lt;&gt;"",$E515&lt;=AQ$2,$F515&gt;=AQ$2),1,0)</f>
        <v/>
      </c>
      <c r="AR515">
        <f>AR514+IF(AND($E515&lt;&gt;"",$E515&lt;=AR$2,$F515&gt;=AR$2),1,0)</f>
        <v/>
      </c>
      <c r="AS515">
        <f>AS514+IF(AND($E515&lt;&gt;"",$E515&lt;=AS$2,$F515&gt;=AS$2),1,0)</f>
        <v/>
      </c>
      <c r="AT515">
        <f>AT514+IF(AND($E515&lt;&gt;"",$E515&lt;=AT$2,$F515&gt;=AT$2),1,0)</f>
        <v/>
      </c>
      <c r="AU515">
        <f>AU514+IF(AND($E515&lt;&gt;"",$E515&lt;=AU$2,$F515&gt;=AU$2),1,0)</f>
        <v/>
      </c>
      <c r="AV515">
        <f>AV514+IF(AND($E515&lt;&gt;"",$E515&lt;=AV$2,$F515&gt;=AV$2),1,0)</f>
        <v/>
      </c>
      <c r="AW515">
        <f>AW514+IF(AND($E515&lt;&gt;"",$E515&lt;=AW$2,$F515&gt;=AW$2),1,0)</f>
        <v/>
      </c>
    </row>
    <row r="516">
      <c r="A516">
        <f>IF(AND(ISNUMBER(Events!$A518),ISNUMBER(Events!$B518)),MAX(0,Events!$B518-Events!$A518),0)</f>
        <v/>
      </c>
      <c r="B516">
        <f>IF(ISNUMBER(Events!$A518),DATE(YEAR($B$1)-1,MONTH(Events!$A518),DAY(Events!$A518)),"")</f>
        <v/>
      </c>
      <c r="C516">
        <f>IF(ISNUMBER(Events!$A518),DATE(YEAR($B$1),MONTH(Events!$A518),DAY(Events!$A518)),"")</f>
        <v/>
      </c>
      <c r="D516">
        <f>IF(ISNUMBER(Events!$A518),DATE(YEAR($B$2),MONTH(Events!$A518),DAY(Events!$A518)),"")</f>
        <v/>
      </c>
      <c r="E516">
        <f>IF(OR(NOT(ISNUMBER(Events!$A518)),Events!$G518="No",Calendar!$H$4="None"),"",IF(OR(Calendar!$H$4="All events",Events!$D518=Calendar!$H$4),IF(Events!$E518="Yes",IF(AND(B516&gt;=Events!$A518,B516&lt;=$B$2,B516+$A516&gt;=$B$1),B516,IF(AND(C516&gt;=Events!$A518,C516&lt;=$B$2,C516+$A516&gt;=$B$1),C516,IF(AND(D516&gt;=Events!$A518,D516&lt;=$B$2,D516+$A516&gt;=$B$1),D516,""))),IF(AND(Events!$A518&lt;=$B$2,Events!$A518+$A516&gt;=$B$1),Events!$A518,"")),""))</f>
        <v/>
      </c>
      <c r="F516">
        <f>IF(E516="","",E516+A516)</f>
        <v/>
      </c>
      <c r="G516">
        <f>IF(E516="","",IF(AND(E516&lt;=EOMONTH(Calendar!$K$2,0),F516&gt;=Calendar!$K$2),E516+513/100000,""))</f>
        <v/>
      </c>
      <c r="H516">
        <f>H515+IF(AND($E516&lt;&gt;"",$E516&lt;=H$2,$F516&gt;=H$2),1,0)</f>
        <v/>
      </c>
      <c r="I516">
        <f>I515+IF(AND($E516&lt;&gt;"",$E516&lt;=I$2,$F516&gt;=I$2),1,0)</f>
        <v/>
      </c>
      <c r="J516">
        <f>J515+IF(AND($E516&lt;&gt;"",$E516&lt;=J$2,$F516&gt;=J$2),1,0)</f>
        <v/>
      </c>
      <c r="K516">
        <f>K515+IF(AND($E516&lt;&gt;"",$E516&lt;=K$2,$F516&gt;=K$2),1,0)</f>
        <v/>
      </c>
      <c r="L516">
        <f>L515+IF(AND($E516&lt;&gt;"",$E516&lt;=L$2,$F516&gt;=L$2),1,0)</f>
        <v/>
      </c>
      <c r="M516">
        <f>M515+IF(AND($E516&lt;&gt;"",$E516&lt;=M$2,$F516&gt;=M$2),1,0)</f>
        <v/>
      </c>
      <c r="N516">
        <f>N515+IF(AND($E516&lt;&gt;"",$E516&lt;=N$2,$F516&gt;=N$2),1,0)</f>
        <v/>
      </c>
      <c r="O516">
        <f>O515+IF(AND($E516&lt;&gt;"",$E516&lt;=O$2,$F516&gt;=O$2),1,0)</f>
        <v/>
      </c>
      <c r="P516">
        <f>P515+IF(AND($E516&lt;&gt;"",$E516&lt;=P$2,$F516&gt;=P$2),1,0)</f>
        <v/>
      </c>
      <c r="Q516">
        <f>Q515+IF(AND($E516&lt;&gt;"",$E516&lt;=Q$2,$F516&gt;=Q$2),1,0)</f>
        <v/>
      </c>
      <c r="R516">
        <f>R515+IF(AND($E516&lt;&gt;"",$E516&lt;=R$2,$F516&gt;=R$2),1,0)</f>
        <v/>
      </c>
      <c r="S516">
        <f>S515+IF(AND($E516&lt;&gt;"",$E516&lt;=S$2,$F516&gt;=S$2),1,0)</f>
        <v/>
      </c>
      <c r="T516">
        <f>T515+IF(AND($E516&lt;&gt;"",$E516&lt;=T$2,$F516&gt;=T$2),1,0)</f>
        <v/>
      </c>
      <c r="U516">
        <f>U515+IF(AND($E516&lt;&gt;"",$E516&lt;=U$2,$F516&gt;=U$2),1,0)</f>
        <v/>
      </c>
      <c r="V516">
        <f>V515+IF(AND($E516&lt;&gt;"",$E516&lt;=V$2,$F516&gt;=V$2),1,0)</f>
        <v/>
      </c>
      <c r="W516">
        <f>W515+IF(AND($E516&lt;&gt;"",$E516&lt;=W$2,$F516&gt;=W$2),1,0)</f>
        <v/>
      </c>
      <c r="X516">
        <f>X515+IF(AND($E516&lt;&gt;"",$E516&lt;=X$2,$F516&gt;=X$2),1,0)</f>
        <v/>
      </c>
      <c r="Y516">
        <f>Y515+IF(AND($E516&lt;&gt;"",$E516&lt;=Y$2,$F516&gt;=Y$2),1,0)</f>
        <v/>
      </c>
      <c r="Z516">
        <f>Z515+IF(AND($E516&lt;&gt;"",$E516&lt;=Z$2,$F516&gt;=Z$2),1,0)</f>
        <v/>
      </c>
      <c r="AA516">
        <f>AA515+IF(AND($E516&lt;&gt;"",$E516&lt;=AA$2,$F516&gt;=AA$2),1,0)</f>
        <v/>
      </c>
      <c r="AB516">
        <f>AB515+IF(AND($E516&lt;&gt;"",$E516&lt;=AB$2,$F516&gt;=AB$2),1,0)</f>
        <v/>
      </c>
      <c r="AC516">
        <f>AC515+IF(AND($E516&lt;&gt;"",$E516&lt;=AC$2,$F516&gt;=AC$2),1,0)</f>
        <v/>
      </c>
      <c r="AD516">
        <f>AD515+IF(AND($E516&lt;&gt;"",$E516&lt;=AD$2,$F516&gt;=AD$2),1,0)</f>
        <v/>
      </c>
      <c r="AE516">
        <f>AE515+IF(AND($E516&lt;&gt;"",$E516&lt;=AE$2,$F516&gt;=AE$2),1,0)</f>
        <v/>
      </c>
      <c r="AF516">
        <f>AF515+IF(AND($E516&lt;&gt;"",$E516&lt;=AF$2,$F516&gt;=AF$2),1,0)</f>
        <v/>
      </c>
      <c r="AG516">
        <f>AG515+IF(AND($E516&lt;&gt;"",$E516&lt;=AG$2,$F516&gt;=AG$2),1,0)</f>
        <v/>
      </c>
      <c r="AH516">
        <f>AH515+IF(AND($E516&lt;&gt;"",$E516&lt;=AH$2,$F516&gt;=AH$2),1,0)</f>
        <v/>
      </c>
      <c r="AI516">
        <f>AI515+IF(AND($E516&lt;&gt;"",$E516&lt;=AI$2,$F516&gt;=AI$2),1,0)</f>
        <v/>
      </c>
      <c r="AJ516">
        <f>AJ515+IF(AND($E516&lt;&gt;"",$E516&lt;=AJ$2,$F516&gt;=AJ$2),1,0)</f>
        <v/>
      </c>
      <c r="AK516">
        <f>AK515+IF(AND($E516&lt;&gt;"",$E516&lt;=AK$2,$F516&gt;=AK$2),1,0)</f>
        <v/>
      </c>
      <c r="AL516">
        <f>AL515+IF(AND($E516&lt;&gt;"",$E516&lt;=AL$2,$F516&gt;=AL$2),1,0)</f>
        <v/>
      </c>
      <c r="AM516">
        <f>AM515+IF(AND($E516&lt;&gt;"",$E516&lt;=AM$2,$F516&gt;=AM$2),1,0)</f>
        <v/>
      </c>
      <c r="AN516">
        <f>AN515+IF(AND($E516&lt;&gt;"",$E516&lt;=AN$2,$F516&gt;=AN$2),1,0)</f>
        <v/>
      </c>
      <c r="AO516">
        <f>AO515+IF(AND($E516&lt;&gt;"",$E516&lt;=AO$2,$F516&gt;=AO$2),1,0)</f>
        <v/>
      </c>
      <c r="AP516">
        <f>AP515+IF(AND($E516&lt;&gt;"",$E516&lt;=AP$2,$F516&gt;=AP$2),1,0)</f>
        <v/>
      </c>
      <c r="AQ516">
        <f>AQ515+IF(AND($E516&lt;&gt;"",$E516&lt;=AQ$2,$F516&gt;=AQ$2),1,0)</f>
        <v/>
      </c>
      <c r="AR516">
        <f>AR515+IF(AND($E516&lt;&gt;"",$E516&lt;=AR$2,$F516&gt;=AR$2),1,0)</f>
        <v/>
      </c>
      <c r="AS516">
        <f>AS515+IF(AND($E516&lt;&gt;"",$E516&lt;=AS$2,$F516&gt;=AS$2),1,0)</f>
        <v/>
      </c>
      <c r="AT516">
        <f>AT515+IF(AND($E516&lt;&gt;"",$E516&lt;=AT$2,$F516&gt;=AT$2),1,0)</f>
        <v/>
      </c>
      <c r="AU516">
        <f>AU515+IF(AND($E516&lt;&gt;"",$E516&lt;=AU$2,$F516&gt;=AU$2),1,0)</f>
        <v/>
      </c>
      <c r="AV516">
        <f>AV515+IF(AND($E516&lt;&gt;"",$E516&lt;=AV$2,$F516&gt;=AV$2),1,0)</f>
        <v/>
      </c>
      <c r="AW516">
        <f>AW515+IF(AND($E516&lt;&gt;"",$E516&lt;=AW$2,$F516&gt;=AW$2),1,0)</f>
        <v/>
      </c>
    </row>
    <row r="517">
      <c r="A517">
        <f>IF(AND(ISNUMBER(Events!$A519),ISNUMBER(Events!$B519)),MAX(0,Events!$B519-Events!$A519),0)</f>
        <v/>
      </c>
      <c r="B517">
        <f>IF(ISNUMBER(Events!$A519),DATE(YEAR($B$1)-1,MONTH(Events!$A519),DAY(Events!$A519)),"")</f>
        <v/>
      </c>
      <c r="C517">
        <f>IF(ISNUMBER(Events!$A519),DATE(YEAR($B$1),MONTH(Events!$A519),DAY(Events!$A519)),"")</f>
        <v/>
      </c>
      <c r="D517">
        <f>IF(ISNUMBER(Events!$A519),DATE(YEAR($B$2),MONTH(Events!$A519),DAY(Events!$A519)),"")</f>
        <v/>
      </c>
      <c r="E517">
        <f>IF(OR(NOT(ISNUMBER(Events!$A519)),Events!$G519="No",Calendar!$H$4="None"),"",IF(OR(Calendar!$H$4="All events",Events!$D519=Calendar!$H$4),IF(Events!$E519="Yes",IF(AND(B517&gt;=Events!$A519,B517&lt;=$B$2,B517+$A517&gt;=$B$1),B517,IF(AND(C517&gt;=Events!$A519,C517&lt;=$B$2,C517+$A517&gt;=$B$1),C517,IF(AND(D517&gt;=Events!$A519,D517&lt;=$B$2,D517+$A517&gt;=$B$1),D517,""))),IF(AND(Events!$A519&lt;=$B$2,Events!$A519+$A517&gt;=$B$1),Events!$A519,"")),""))</f>
        <v/>
      </c>
      <c r="F517">
        <f>IF(E517="","",E517+A517)</f>
        <v/>
      </c>
      <c r="G517">
        <f>IF(E517="","",IF(AND(E517&lt;=EOMONTH(Calendar!$K$2,0),F517&gt;=Calendar!$K$2),E517+514/100000,""))</f>
        <v/>
      </c>
      <c r="H517">
        <f>H516+IF(AND($E517&lt;&gt;"",$E517&lt;=H$2,$F517&gt;=H$2),1,0)</f>
        <v/>
      </c>
      <c r="I517">
        <f>I516+IF(AND($E517&lt;&gt;"",$E517&lt;=I$2,$F517&gt;=I$2),1,0)</f>
        <v/>
      </c>
      <c r="J517">
        <f>J516+IF(AND($E517&lt;&gt;"",$E517&lt;=J$2,$F517&gt;=J$2),1,0)</f>
        <v/>
      </c>
      <c r="K517">
        <f>K516+IF(AND($E517&lt;&gt;"",$E517&lt;=K$2,$F517&gt;=K$2),1,0)</f>
        <v/>
      </c>
      <c r="L517">
        <f>L516+IF(AND($E517&lt;&gt;"",$E517&lt;=L$2,$F517&gt;=L$2),1,0)</f>
        <v/>
      </c>
      <c r="M517">
        <f>M516+IF(AND($E517&lt;&gt;"",$E517&lt;=M$2,$F517&gt;=M$2),1,0)</f>
        <v/>
      </c>
      <c r="N517">
        <f>N516+IF(AND($E517&lt;&gt;"",$E517&lt;=N$2,$F517&gt;=N$2),1,0)</f>
        <v/>
      </c>
      <c r="O517">
        <f>O516+IF(AND($E517&lt;&gt;"",$E517&lt;=O$2,$F517&gt;=O$2),1,0)</f>
        <v/>
      </c>
      <c r="P517">
        <f>P516+IF(AND($E517&lt;&gt;"",$E517&lt;=P$2,$F517&gt;=P$2),1,0)</f>
        <v/>
      </c>
      <c r="Q517">
        <f>Q516+IF(AND($E517&lt;&gt;"",$E517&lt;=Q$2,$F517&gt;=Q$2),1,0)</f>
        <v/>
      </c>
      <c r="R517">
        <f>R516+IF(AND($E517&lt;&gt;"",$E517&lt;=R$2,$F517&gt;=R$2),1,0)</f>
        <v/>
      </c>
      <c r="S517">
        <f>S516+IF(AND($E517&lt;&gt;"",$E517&lt;=S$2,$F517&gt;=S$2),1,0)</f>
        <v/>
      </c>
      <c r="T517">
        <f>T516+IF(AND($E517&lt;&gt;"",$E517&lt;=T$2,$F517&gt;=T$2),1,0)</f>
        <v/>
      </c>
      <c r="U517">
        <f>U516+IF(AND($E517&lt;&gt;"",$E517&lt;=U$2,$F517&gt;=U$2),1,0)</f>
        <v/>
      </c>
      <c r="V517">
        <f>V516+IF(AND($E517&lt;&gt;"",$E517&lt;=V$2,$F517&gt;=V$2),1,0)</f>
        <v/>
      </c>
      <c r="W517">
        <f>W516+IF(AND($E517&lt;&gt;"",$E517&lt;=W$2,$F517&gt;=W$2),1,0)</f>
        <v/>
      </c>
      <c r="X517">
        <f>X516+IF(AND($E517&lt;&gt;"",$E517&lt;=X$2,$F517&gt;=X$2),1,0)</f>
        <v/>
      </c>
      <c r="Y517">
        <f>Y516+IF(AND($E517&lt;&gt;"",$E517&lt;=Y$2,$F517&gt;=Y$2),1,0)</f>
        <v/>
      </c>
      <c r="Z517">
        <f>Z516+IF(AND($E517&lt;&gt;"",$E517&lt;=Z$2,$F517&gt;=Z$2),1,0)</f>
        <v/>
      </c>
      <c r="AA517">
        <f>AA516+IF(AND($E517&lt;&gt;"",$E517&lt;=AA$2,$F517&gt;=AA$2),1,0)</f>
        <v/>
      </c>
      <c r="AB517">
        <f>AB516+IF(AND($E517&lt;&gt;"",$E517&lt;=AB$2,$F517&gt;=AB$2),1,0)</f>
        <v/>
      </c>
      <c r="AC517">
        <f>AC516+IF(AND($E517&lt;&gt;"",$E517&lt;=AC$2,$F517&gt;=AC$2),1,0)</f>
        <v/>
      </c>
      <c r="AD517">
        <f>AD516+IF(AND($E517&lt;&gt;"",$E517&lt;=AD$2,$F517&gt;=AD$2),1,0)</f>
        <v/>
      </c>
      <c r="AE517">
        <f>AE516+IF(AND($E517&lt;&gt;"",$E517&lt;=AE$2,$F517&gt;=AE$2),1,0)</f>
        <v/>
      </c>
      <c r="AF517">
        <f>AF516+IF(AND($E517&lt;&gt;"",$E517&lt;=AF$2,$F517&gt;=AF$2),1,0)</f>
        <v/>
      </c>
      <c r="AG517">
        <f>AG516+IF(AND($E517&lt;&gt;"",$E517&lt;=AG$2,$F517&gt;=AG$2),1,0)</f>
        <v/>
      </c>
      <c r="AH517">
        <f>AH516+IF(AND($E517&lt;&gt;"",$E517&lt;=AH$2,$F517&gt;=AH$2),1,0)</f>
        <v/>
      </c>
      <c r="AI517">
        <f>AI516+IF(AND($E517&lt;&gt;"",$E517&lt;=AI$2,$F517&gt;=AI$2),1,0)</f>
        <v/>
      </c>
      <c r="AJ517">
        <f>AJ516+IF(AND($E517&lt;&gt;"",$E517&lt;=AJ$2,$F517&gt;=AJ$2),1,0)</f>
        <v/>
      </c>
      <c r="AK517">
        <f>AK516+IF(AND($E517&lt;&gt;"",$E517&lt;=AK$2,$F517&gt;=AK$2),1,0)</f>
        <v/>
      </c>
      <c r="AL517">
        <f>AL516+IF(AND($E517&lt;&gt;"",$E517&lt;=AL$2,$F517&gt;=AL$2),1,0)</f>
        <v/>
      </c>
      <c r="AM517">
        <f>AM516+IF(AND($E517&lt;&gt;"",$E517&lt;=AM$2,$F517&gt;=AM$2),1,0)</f>
        <v/>
      </c>
      <c r="AN517">
        <f>AN516+IF(AND($E517&lt;&gt;"",$E517&lt;=AN$2,$F517&gt;=AN$2),1,0)</f>
        <v/>
      </c>
      <c r="AO517">
        <f>AO516+IF(AND($E517&lt;&gt;"",$E517&lt;=AO$2,$F517&gt;=AO$2),1,0)</f>
        <v/>
      </c>
      <c r="AP517">
        <f>AP516+IF(AND($E517&lt;&gt;"",$E517&lt;=AP$2,$F517&gt;=AP$2),1,0)</f>
        <v/>
      </c>
      <c r="AQ517">
        <f>AQ516+IF(AND($E517&lt;&gt;"",$E517&lt;=AQ$2,$F517&gt;=AQ$2),1,0)</f>
        <v/>
      </c>
      <c r="AR517">
        <f>AR516+IF(AND($E517&lt;&gt;"",$E517&lt;=AR$2,$F517&gt;=AR$2),1,0)</f>
        <v/>
      </c>
      <c r="AS517">
        <f>AS516+IF(AND($E517&lt;&gt;"",$E517&lt;=AS$2,$F517&gt;=AS$2),1,0)</f>
        <v/>
      </c>
      <c r="AT517">
        <f>AT516+IF(AND($E517&lt;&gt;"",$E517&lt;=AT$2,$F517&gt;=AT$2),1,0)</f>
        <v/>
      </c>
      <c r="AU517">
        <f>AU516+IF(AND($E517&lt;&gt;"",$E517&lt;=AU$2,$F517&gt;=AU$2),1,0)</f>
        <v/>
      </c>
      <c r="AV517">
        <f>AV516+IF(AND($E517&lt;&gt;"",$E517&lt;=AV$2,$F517&gt;=AV$2),1,0)</f>
        <v/>
      </c>
      <c r="AW517">
        <f>AW516+IF(AND($E517&lt;&gt;"",$E517&lt;=AW$2,$F517&gt;=AW$2),1,0)</f>
        <v/>
      </c>
    </row>
    <row r="518">
      <c r="A518">
        <f>IF(AND(ISNUMBER(Events!$A520),ISNUMBER(Events!$B520)),MAX(0,Events!$B520-Events!$A520),0)</f>
        <v/>
      </c>
      <c r="B518">
        <f>IF(ISNUMBER(Events!$A520),DATE(YEAR($B$1)-1,MONTH(Events!$A520),DAY(Events!$A520)),"")</f>
        <v/>
      </c>
      <c r="C518">
        <f>IF(ISNUMBER(Events!$A520),DATE(YEAR($B$1),MONTH(Events!$A520),DAY(Events!$A520)),"")</f>
        <v/>
      </c>
      <c r="D518">
        <f>IF(ISNUMBER(Events!$A520),DATE(YEAR($B$2),MONTH(Events!$A520),DAY(Events!$A520)),"")</f>
        <v/>
      </c>
      <c r="E518">
        <f>IF(OR(NOT(ISNUMBER(Events!$A520)),Events!$G520="No",Calendar!$H$4="None"),"",IF(OR(Calendar!$H$4="All events",Events!$D520=Calendar!$H$4),IF(Events!$E520="Yes",IF(AND(B518&gt;=Events!$A520,B518&lt;=$B$2,B518+$A518&gt;=$B$1),B518,IF(AND(C518&gt;=Events!$A520,C518&lt;=$B$2,C518+$A518&gt;=$B$1),C518,IF(AND(D518&gt;=Events!$A520,D518&lt;=$B$2,D518+$A518&gt;=$B$1),D518,""))),IF(AND(Events!$A520&lt;=$B$2,Events!$A520+$A518&gt;=$B$1),Events!$A520,"")),""))</f>
        <v/>
      </c>
      <c r="F518">
        <f>IF(E518="","",E518+A518)</f>
        <v/>
      </c>
      <c r="G518">
        <f>IF(E518="","",IF(AND(E518&lt;=EOMONTH(Calendar!$K$2,0),F518&gt;=Calendar!$K$2),E518+515/100000,""))</f>
        <v/>
      </c>
      <c r="H518">
        <f>H517+IF(AND($E518&lt;&gt;"",$E518&lt;=H$2,$F518&gt;=H$2),1,0)</f>
        <v/>
      </c>
      <c r="I518">
        <f>I517+IF(AND($E518&lt;&gt;"",$E518&lt;=I$2,$F518&gt;=I$2),1,0)</f>
        <v/>
      </c>
      <c r="J518">
        <f>J517+IF(AND($E518&lt;&gt;"",$E518&lt;=J$2,$F518&gt;=J$2),1,0)</f>
        <v/>
      </c>
      <c r="K518">
        <f>K517+IF(AND($E518&lt;&gt;"",$E518&lt;=K$2,$F518&gt;=K$2),1,0)</f>
        <v/>
      </c>
      <c r="L518">
        <f>L517+IF(AND($E518&lt;&gt;"",$E518&lt;=L$2,$F518&gt;=L$2),1,0)</f>
        <v/>
      </c>
      <c r="M518">
        <f>M517+IF(AND($E518&lt;&gt;"",$E518&lt;=M$2,$F518&gt;=M$2),1,0)</f>
        <v/>
      </c>
      <c r="N518">
        <f>N517+IF(AND($E518&lt;&gt;"",$E518&lt;=N$2,$F518&gt;=N$2),1,0)</f>
        <v/>
      </c>
      <c r="O518">
        <f>O517+IF(AND($E518&lt;&gt;"",$E518&lt;=O$2,$F518&gt;=O$2),1,0)</f>
        <v/>
      </c>
      <c r="P518">
        <f>P517+IF(AND($E518&lt;&gt;"",$E518&lt;=P$2,$F518&gt;=P$2),1,0)</f>
        <v/>
      </c>
      <c r="Q518">
        <f>Q517+IF(AND($E518&lt;&gt;"",$E518&lt;=Q$2,$F518&gt;=Q$2),1,0)</f>
        <v/>
      </c>
      <c r="R518">
        <f>R517+IF(AND($E518&lt;&gt;"",$E518&lt;=R$2,$F518&gt;=R$2),1,0)</f>
        <v/>
      </c>
      <c r="S518">
        <f>S517+IF(AND($E518&lt;&gt;"",$E518&lt;=S$2,$F518&gt;=S$2),1,0)</f>
        <v/>
      </c>
      <c r="T518">
        <f>T517+IF(AND($E518&lt;&gt;"",$E518&lt;=T$2,$F518&gt;=T$2),1,0)</f>
        <v/>
      </c>
      <c r="U518">
        <f>U517+IF(AND($E518&lt;&gt;"",$E518&lt;=U$2,$F518&gt;=U$2),1,0)</f>
        <v/>
      </c>
      <c r="V518">
        <f>V517+IF(AND($E518&lt;&gt;"",$E518&lt;=V$2,$F518&gt;=V$2),1,0)</f>
        <v/>
      </c>
      <c r="W518">
        <f>W517+IF(AND($E518&lt;&gt;"",$E518&lt;=W$2,$F518&gt;=W$2),1,0)</f>
        <v/>
      </c>
      <c r="X518">
        <f>X517+IF(AND($E518&lt;&gt;"",$E518&lt;=X$2,$F518&gt;=X$2),1,0)</f>
        <v/>
      </c>
      <c r="Y518">
        <f>Y517+IF(AND($E518&lt;&gt;"",$E518&lt;=Y$2,$F518&gt;=Y$2),1,0)</f>
        <v/>
      </c>
      <c r="Z518">
        <f>Z517+IF(AND($E518&lt;&gt;"",$E518&lt;=Z$2,$F518&gt;=Z$2),1,0)</f>
        <v/>
      </c>
      <c r="AA518">
        <f>AA517+IF(AND($E518&lt;&gt;"",$E518&lt;=AA$2,$F518&gt;=AA$2),1,0)</f>
        <v/>
      </c>
      <c r="AB518">
        <f>AB517+IF(AND($E518&lt;&gt;"",$E518&lt;=AB$2,$F518&gt;=AB$2),1,0)</f>
        <v/>
      </c>
      <c r="AC518">
        <f>AC517+IF(AND($E518&lt;&gt;"",$E518&lt;=AC$2,$F518&gt;=AC$2),1,0)</f>
        <v/>
      </c>
      <c r="AD518">
        <f>AD517+IF(AND($E518&lt;&gt;"",$E518&lt;=AD$2,$F518&gt;=AD$2),1,0)</f>
        <v/>
      </c>
      <c r="AE518">
        <f>AE517+IF(AND($E518&lt;&gt;"",$E518&lt;=AE$2,$F518&gt;=AE$2),1,0)</f>
        <v/>
      </c>
      <c r="AF518">
        <f>AF517+IF(AND($E518&lt;&gt;"",$E518&lt;=AF$2,$F518&gt;=AF$2),1,0)</f>
        <v/>
      </c>
      <c r="AG518">
        <f>AG517+IF(AND($E518&lt;&gt;"",$E518&lt;=AG$2,$F518&gt;=AG$2),1,0)</f>
        <v/>
      </c>
      <c r="AH518">
        <f>AH517+IF(AND($E518&lt;&gt;"",$E518&lt;=AH$2,$F518&gt;=AH$2),1,0)</f>
        <v/>
      </c>
      <c r="AI518">
        <f>AI517+IF(AND($E518&lt;&gt;"",$E518&lt;=AI$2,$F518&gt;=AI$2),1,0)</f>
        <v/>
      </c>
      <c r="AJ518">
        <f>AJ517+IF(AND($E518&lt;&gt;"",$E518&lt;=AJ$2,$F518&gt;=AJ$2),1,0)</f>
        <v/>
      </c>
      <c r="AK518">
        <f>AK517+IF(AND($E518&lt;&gt;"",$E518&lt;=AK$2,$F518&gt;=AK$2),1,0)</f>
        <v/>
      </c>
      <c r="AL518">
        <f>AL517+IF(AND($E518&lt;&gt;"",$E518&lt;=AL$2,$F518&gt;=AL$2),1,0)</f>
        <v/>
      </c>
      <c r="AM518">
        <f>AM517+IF(AND($E518&lt;&gt;"",$E518&lt;=AM$2,$F518&gt;=AM$2),1,0)</f>
        <v/>
      </c>
      <c r="AN518">
        <f>AN517+IF(AND($E518&lt;&gt;"",$E518&lt;=AN$2,$F518&gt;=AN$2),1,0)</f>
        <v/>
      </c>
      <c r="AO518">
        <f>AO517+IF(AND($E518&lt;&gt;"",$E518&lt;=AO$2,$F518&gt;=AO$2),1,0)</f>
        <v/>
      </c>
      <c r="AP518">
        <f>AP517+IF(AND($E518&lt;&gt;"",$E518&lt;=AP$2,$F518&gt;=AP$2),1,0)</f>
        <v/>
      </c>
      <c r="AQ518">
        <f>AQ517+IF(AND($E518&lt;&gt;"",$E518&lt;=AQ$2,$F518&gt;=AQ$2),1,0)</f>
        <v/>
      </c>
      <c r="AR518">
        <f>AR517+IF(AND($E518&lt;&gt;"",$E518&lt;=AR$2,$F518&gt;=AR$2),1,0)</f>
        <v/>
      </c>
      <c r="AS518">
        <f>AS517+IF(AND($E518&lt;&gt;"",$E518&lt;=AS$2,$F518&gt;=AS$2),1,0)</f>
        <v/>
      </c>
      <c r="AT518">
        <f>AT517+IF(AND($E518&lt;&gt;"",$E518&lt;=AT$2,$F518&gt;=AT$2),1,0)</f>
        <v/>
      </c>
      <c r="AU518">
        <f>AU517+IF(AND($E518&lt;&gt;"",$E518&lt;=AU$2,$F518&gt;=AU$2),1,0)</f>
        <v/>
      </c>
      <c r="AV518">
        <f>AV517+IF(AND($E518&lt;&gt;"",$E518&lt;=AV$2,$F518&gt;=AV$2),1,0)</f>
        <v/>
      </c>
      <c r="AW518">
        <f>AW517+IF(AND($E518&lt;&gt;"",$E518&lt;=AW$2,$F518&gt;=AW$2),1,0)</f>
        <v/>
      </c>
    </row>
    <row r="519">
      <c r="A519">
        <f>IF(AND(ISNUMBER(Events!$A521),ISNUMBER(Events!$B521)),MAX(0,Events!$B521-Events!$A521),0)</f>
        <v/>
      </c>
      <c r="B519">
        <f>IF(ISNUMBER(Events!$A521),DATE(YEAR($B$1)-1,MONTH(Events!$A521),DAY(Events!$A521)),"")</f>
        <v/>
      </c>
      <c r="C519">
        <f>IF(ISNUMBER(Events!$A521),DATE(YEAR($B$1),MONTH(Events!$A521),DAY(Events!$A521)),"")</f>
        <v/>
      </c>
      <c r="D519">
        <f>IF(ISNUMBER(Events!$A521),DATE(YEAR($B$2),MONTH(Events!$A521),DAY(Events!$A521)),"")</f>
        <v/>
      </c>
      <c r="E519">
        <f>IF(OR(NOT(ISNUMBER(Events!$A521)),Events!$G521="No",Calendar!$H$4="None"),"",IF(OR(Calendar!$H$4="All events",Events!$D521=Calendar!$H$4),IF(Events!$E521="Yes",IF(AND(B519&gt;=Events!$A521,B519&lt;=$B$2,B519+$A519&gt;=$B$1),B519,IF(AND(C519&gt;=Events!$A521,C519&lt;=$B$2,C519+$A519&gt;=$B$1),C519,IF(AND(D519&gt;=Events!$A521,D519&lt;=$B$2,D519+$A519&gt;=$B$1),D519,""))),IF(AND(Events!$A521&lt;=$B$2,Events!$A521+$A519&gt;=$B$1),Events!$A521,"")),""))</f>
        <v/>
      </c>
      <c r="F519">
        <f>IF(E519="","",E519+A519)</f>
        <v/>
      </c>
      <c r="G519">
        <f>IF(E519="","",IF(AND(E519&lt;=EOMONTH(Calendar!$K$2,0),F519&gt;=Calendar!$K$2),E519+516/100000,""))</f>
        <v/>
      </c>
      <c r="H519">
        <f>H518+IF(AND($E519&lt;&gt;"",$E519&lt;=H$2,$F519&gt;=H$2),1,0)</f>
        <v/>
      </c>
      <c r="I519">
        <f>I518+IF(AND($E519&lt;&gt;"",$E519&lt;=I$2,$F519&gt;=I$2),1,0)</f>
        <v/>
      </c>
      <c r="J519">
        <f>J518+IF(AND($E519&lt;&gt;"",$E519&lt;=J$2,$F519&gt;=J$2),1,0)</f>
        <v/>
      </c>
      <c r="K519">
        <f>K518+IF(AND($E519&lt;&gt;"",$E519&lt;=K$2,$F519&gt;=K$2),1,0)</f>
        <v/>
      </c>
      <c r="L519">
        <f>L518+IF(AND($E519&lt;&gt;"",$E519&lt;=L$2,$F519&gt;=L$2),1,0)</f>
        <v/>
      </c>
      <c r="M519">
        <f>M518+IF(AND($E519&lt;&gt;"",$E519&lt;=M$2,$F519&gt;=M$2),1,0)</f>
        <v/>
      </c>
      <c r="N519">
        <f>N518+IF(AND($E519&lt;&gt;"",$E519&lt;=N$2,$F519&gt;=N$2),1,0)</f>
        <v/>
      </c>
      <c r="O519">
        <f>O518+IF(AND($E519&lt;&gt;"",$E519&lt;=O$2,$F519&gt;=O$2),1,0)</f>
        <v/>
      </c>
      <c r="P519">
        <f>P518+IF(AND($E519&lt;&gt;"",$E519&lt;=P$2,$F519&gt;=P$2),1,0)</f>
        <v/>
      </c>
      <c r="Q519">
        <f>Q518+IF(AND($E519&lt;&gt;"",$E519&lt;=Q$2,$F519&gt;=Q$2),1,0)</f>
        <v/>
      </c>
      <c r="R519">
        <f>R518+IF(AND($E519&lt;&gt;"",$E519&lt;=R$2,$F519&gt;=R$2),1,0)</f>
        <v/>
      </c>
      <c r="S519">
        <f>S518+IF(AND($E519&lt;&gt;"",$E519&lt;=S$2,$F519&gt;=S$2),1,0)</f>
        <v/>
      </c>
      <c r="T519">
        <f>T518+IF(AND($E519&lt;&gt;"",$E519&lt;=T$2,$F519&gt;=T$2),1,0)</f>
        <v/>
      </c>
      <c r="U519">
        <f>U518+IF(AND($E519&lt;&gt;"",$E519&lt;=U$2,$F519&gt;=U$2),1,0)</f>
        <v/>
      </c>
      <c r="V519">
        <f>V518+IF(AND($E519&lt;&gt;"",$E519&lt;=V$2,$F519&gt;=V$2),1,0)</f>
        <v/>
      </c>
      <c r="W519">
        <f>W518+IF(AND($E519&lt;&gt;"",$E519&lt;=W$2,$F519&gt;=W$2),1,0)</f>
        <v/>
      </c>
      <c r="X519">
        <f>X518+IF(AND($E519&lt;&gt;"",$E519&lt;=X$2,$F519&gt;=X$2),1,0)</f>
        <v/>
      </c>
      <c r="Y519">
        <f>Y518+IF(AND($E519&lt;&gt;"",$E519&lt;=Y$2,$F519&gt;=Y$2),1,0)</f>
        <v/>
      </c>
      <c r="Z519">
        <f>Z518+IF(AND($E519&lt;&gt;"",$E519&lt;=Z$2,$F519&gt;=Z$2),1,0)</f>
        <v/>
      </c>
      <c r="AA519">
        <f>AA518+IF(AND($E519&lt;&gt;"",$E519&lt;=AA$2,$F519&gt;=AA$2),1,0)</f>
        <v/>
      </c>
      <c r="AB519">
        <f>AB518+IF(AND($E519&lt;&gt;"",$E519&lt;=AB$2,$F519&gt;=AB$2),1,0)</f>
        <v/>
      </c>
      <c r="AC519">
        <f>AC518+IF(AND($E519&lt;&gt;"",$E519&lt;=AC$2,$F519&gt;=AC$2),1,0)</f>
        <v/>
      </c>
      <c r="AD519">
        <f>AD518+IF(AND($E519&lt;&gt;"",$E519&lt;=AD$2,$F519&gt;=AD$2),1,0)</f>
        <v/>
      </c>
      <c r="AE519">
        <f>AE518+IF(AND($E519&lt;&gt;"",$E519&lt;=AE$2,$F519&gt;=AE$2),1,0)</f>
        <v/>
      </c>
      <c r="AF519">
        <f>AF518+IF(AND($E519&lt;&gt;"",$E519&lt;=AF$2,$F519&gt;=AF$2),1,0)</f>
        <v/>
      </c>
      <c r="AG519">
        <f>AG518+IF(AND($E519&lt;&gt;"",$E519&lt;=AG$2,$F519&gt;=AG$2),1,0)</f>
        <v/>
      </c>
      <c r="AH519">
        <f>AH518+IF(AND($E519&lt;&gt;"",$E519&lt;=AH$2,$F519&gt;=AH$2),1,0)</f>
        <v/>
      </c>
      <c r="AI519">
        <f>AI518+IF(AND($E519&lt;&gt;"",$E519&lt;=AI$2,$F519&gt;=AI$2),1,0)</f>
        <v/>
      </c>
      <c r="AJ519">
        <f>AJ518+IF(AND($E519&lt;&gt;"",$E519&lt;=AJ$2,$F519&gt;=AJ$2),1,0)</f>
        <v/>
      </c>
      <c r="AK519">
        <f>AK518+IF(AND($E519&lt;&gt;"",$E519&lt;=AK$2,$F519&gt;=AK$2),1,0)</f>
        <v/>
      </c>
      <c r="AL519">
        <f>AL518+IF(AND($E519&lt;&gt;"",$E519&lt;=AL$2,$F519&gt;=AL$2),1,0)</f>
        <v/>
      </c>
      <c r="AM519">
        <f>AM518+IF(AND($E519&lt;&gt;"",$E519&lt;=AM$2,$F519&gt;=AM$2),1,0)</f>
        <v/>
      </c>
      <c r="AN519">
        <f>AN518+IF(AND($E519&lt;&gt;"",$E519&lt;=AN$2,$F519&gt;=AN$2),1,0)</f>
        <v/>
      </c>
      <c r="AO519">
        <f>AO518+IF(AND($E519&lt;&gt;"",$E519&lt;=AO$2,$F519&gt;=AO$2),1,0)</f>
        <v/>
      </c>
      <c r="AP519">
        <f>AP518+IF(AND($E519&lt;&gt;"",$E519&lt;=AP$2,$F519&gt;=AP$2),1,0)</f>
        <v/>
      </c>
      <c r="AQ519">
        <f>AQ518+IF(AND($E519&lt;&gt;"",$E519&lt;=AQ$2,$F519&gt;=AQ$2),1,0)</f>
        <v/>
      </c>
      <c r="AR519">
        <f>AR518+IF(AND($E519&lt;&gt;"",$E519&lt;=AR$2,$F519&gt;=AR$2),1,0)</f>
        <v/>
      </c>
      <c r="AS519">
        <f>AS518+IF(AND($E519&lt;&gt;"",$E519&lt;=AS$2,$F519&gt;=AS$2),1,0)</f>
        <v/>
      </c>
      <c r="AT519">
        <f>AT518+IF(AND($E519&lt;&gt;"",$E519&lt;=AT$2,$F519&gt;=AT$2),1,0)</f>
        <v/>
      </c>
      <c r="AU519">
        <f>AU518+IF(AND($E519&lt;&gt;"",$E519&lt;=AU$2,$F519&gt;=AU$2),1,0)</f>
        <v/>
      </c>
      <c r="AV519">
        <f>AV518+IF(AND($E519&lt;&gt;"",$E519&lt;=AV$2,$F519&gt;=AV$2),1,0)</f>
        <v/>
      </c>
      <c r="AW519">
        <f>AW518+IF(AND($E519&lt;&gt;"",$E519&lt;=AW$2,$F519&gt;=AW$2),1,0)</f>
        <v/>
      </c>
    </row>
    <row r="520">
      <c r="A520">
        <f>IF(AND(ISNUMBER(Events!$A522),ISNUMBER(Events!$B522)),MAX(0,Events!$B522-Events!$A522),0)</f>
        <v/>
      </c>
      <c r="B520">
        <f>IF(ISNUMBER(Events!$A522),DATE(YEAR($B$1)-1,MONTH(Events!$A522),DAY(Events!$A522)),"")</f>
        <v/>
      </c>
      <c r="C520">
        <f>IF(ISNUMBER(Events!$A522),DATE(YEAR($B$1),MONTH(Events!$A522),DAY(Events!$A522)),"")</f>
        <v/>
      </c>
      <c r="D520">
        <f>IF(ISNUMBER(Events!$A522),DATE(YEAR($B$2),MONTH(Events!$A522),DAY(Events!$A522)),"")</f>
        <v/>
      </c>
      <c r="E520">
        <f>IF(OR(NOT(ISNUMBER(Events!$A522)),Events!$G522="No",Calendar!$H$4="None"),"",IF(OR(Calendar!$H$4="All events",Events!$D522=Calendar!$H$4),IF(Events!$E522="Yes",IF(AND(B520&gt;=Events!$A522,B520&lt;=$B$2,B520+$A520&gt;=$B$1),B520,IF(AND(C520&gt;=Events!$A522,C520&lt;=$B$2,C520+$A520&gt;=$B$1),C520,IF(AND(D520&gt;=Events!$A522,D520&lt;=$B$2,D520+$A520&gt;=$B$1),D520,""))),IF(AND(Events!$A522&lt;=$B$2,Events!$A522+$A520&gt;=$B$1),Events!$A522,"")),""))</f>
        <v/>
      </c>
      <c r="F520">
        <f>IF(E520="","",E520+A520)</f>
        <v/>
      </c>
      <c r="G520">
        <f>IF(E520="","",IF(AND(E520&lt;=EOMONTH(Calendar!$K$2,0),F520&gt;=Calendar!$K$2),E520+517/100000,""))</f>
        <v/>
      </c>
      <c r="H520">
        <f>H519+IF(AND($E520&lt;&gt;"",$E520&lt;=H$2,$F520&gt;=H$2),1,0)</f>
        <v/>
      </c>
      <c r="I520">
        <f>I519+IF(AND($E520&lt;&gt;"",$E520&lt;=I$2,$F520&gt;=I$2),1,0)</f>
        <v/>
      </c>
      <c r="J520">
        <f>J519+IF(AND($E520&lt;&gt;"",$E520&lt;=J$2,$F520&gt;=J$2),1,0)</f>
        <v/>
      </c>
      <c r="K520">
        <f>K519+IF(AND($E520&lt;&gt;"",$E520&lt;=K$2,$F520&gt;=K$2),1,0)</f>
        <v/>
      </c>
      <c r="L520">
        <f>L519+IF(AND($E520&lt;&gt;"",$E520&lt;=L$2,$F520&gt;=L$2),1,0)</f>
        <v/>
      </c>
      <c r="M520">
        <f>M519+IF(AND($E520&lt;&gt;"",$E520&lt;=M$2,$F520&gt;=M$2),1,0)</f>
        <v/>
      </c>
      <c r="N520">
        <f>N519+IF(AND($E520&lt;&gt;"",$E520&lt;=N$2,$F520&gt;=N$2),1,0)</f>
        <v/>
      </c>
      <c r="O520">
        <f>O519+IF(AND($E520&lt;&gt;"",$E520&lt;=O$2,$F520&gt;=O$2),1,0)</f>
        <v/>
      </c>
      <c r="P520">
        <f>P519+IF(AND($E520&lt;&gt;"",$E520&lt;=P$2,$F520&gt;=P$2),1,0)</f>
        <v/>
      </c>
      <c r="Q520">
        <f>Q519+IF(AND($E520&lt;&gt;"",$E520&lt;=Q$2,$F520&gt;=Q$2),1,0)</f>
        <v/>
      </c>
      <c r="R520">
        <f>R519+IF(AND($E520&lt;&gt;"",$E520&lt;=R$2,$F520&gt;=R$2),1,0)</f>
        <v/>
      </c>
      <c r="S520">
        <f>S519+IF(AND($E520&lt;&gt;"",$E520&lt;=S$2,$F520&gt;=S$2),1,0)</f>
        <v/>
      </c>
      <c r="T520">
        <f>T519+IF(AND($E520&lt;&gt;"",$E520&lt;=T$2,$F520&gt;=T$2),1,0)</f>
        <v/>
      </c>
      <c r="U520">
        <f>U519+IF(AND($E520&lt;&gt;"",$E520&lt;=U$2,$F520&gt;=U$2),1,0)</f>
        <v/>
      </c>
      <c r="V520">
        <f>V519+IF(AND($E520&lt;&gt;"",$E520&lt;=V$2,$F520&gt;=V$2),1,0)</f>
        <v/>
      </c>
      <c r="W520">
        <f>W519+IF(AND($E520&lt;&gt;"",$E520&lt;=W$2,$F520&gt;=W$2),1,0)</f>
        <v/>
      </c>
      <c r="X520">
        <f>X519+IF(AND($E520&lt;&gt;"",$E520&lt;=X$2,$F520&gt;=X$2),1,0)</f>
        <v/>
      </c>
      <c r="Y520">
        <f>Y519+IF(AND($E520&lt;&gt;"",$E520&lt;=Y$2,$F520&gt;=Y$2),1,0)</f>
        <v/>
      </c>
      <c r="Z520">
        <f>Z519+IF(AND($E520&lt;&gt;"",$E520&lt;=Z$2,$F520&gt;=Z$2),1,0)</f>
        <v/>
      </c>
      <c r="AA520">
        <f>AA519+IF(AND($E520&lt;&gt;"",$E520&lt;=AA$2,$F520&gt;=AA$2),1,0)</f>
        <v/>
      </c>
      <c r="AB520">
        <f>AB519+IF(AND($E520&lt;&gt;"",$E520&lt;=AB$2,$F520&gt;=AB$2),1,0)</f>
        <v/>
      </c>
      <c r="AC520">
        <f>AC519+IF(AND($E520&lt;&gt;"",$E520&lt;=AC$2,$F520&gt;=AC$2),1,0)</f>
        <v/>
      </c>
      <c r="AD520">
        <f>AD519+IF(AND($E520&lt;&gt;"",$E520&lt;=AD$2,$F520&gt;=AD$2),1,0)</f>
        <v/>
      </c>
      <c r="AE520">
        <f>AE519+IF(AND($E520&lt;&gt;"",$E520&lt;=AE$2,$F520&gt;=AE$2),1,0)</f>
        <v/>
      </c>
      <c r="AF520">
        <f>AF519+IF(AND($E520&lt;&gt;"",$E520&lt;=AF$2,$F520&gt;=AF$2),1,0)</f>
        <v/>
      </c>
      <c r="AG520">
        <f>AG519+IF(AND($E520&lt;&gt;"",$E520&lt;=AG$2,$F520&gt;=AG$2),1,0)</f>
        <v/>
      </c>
      <c r="AH520">
        <f>AH519+IF(AND($E520&lt;&gt;"",$E520&lt;=AH$2,$F520&gt;=AH$2),1,0)</f>
        <v/>
      </c>
      <c r="AI520">
        <f>AI519+IF(AND($E520&lt;&gt;"",$E520&lt;=AI$2,$F520&gt;=AI$2),1,0)</f>
        <v/>
      </c>
      <c r="AJ520">
        <f>AJ519+IF(AND($E520&lt;&gt;"",$E520&lt;=AJ$2,$F520&gt;=AJ$2),1,0)</f>
        <v/>
      </c>
      <c r="AK520">
        <f>AK519+IF(AND($E520&lt;&gt;"",$E520&lt;=AK$2,$F520&gt;=AK$2),1,0)</f>
        <v/>
      </c>
      <c r="AL520">
        <f>AL519+IF(AND($E520&lt;&gt;"",$E520&lt;=AL$2,$F520&gt;=AL$2),1,0)</f>
        <v/>
      </c>
      <c r="AM520">
        <f>AM519+IF(AND($E520&lt;&gt;"",$E520&lt;=AM$2,$F520&gt;=AM$2),1,0)</f>
        <v/>
      </c>
      <c r="AN520">
        <f>AN519+IF(AND($E520&lt;&gt;"",$E520&lt;=AN$2,$F520&gt;=AN$2),1,0)</f>
        <v/>
      </c>
      <c r="AO520">
        <f>AO519+IF(AND($E520&lt;&gt;"",$E520&lt;=AO$2,$F520&gt;=AO$2),1,0)</f>
        <v/>
      </c>
      <c r="AP520">
        <f>AP519+IF(AND($E520&lt;&gt;"",$E520&lt;=AP$2,$F520&gt;=AP$2),1,0)</f>
        <v/>
      </c>
      <c r="AQ520">
        <f>AQ519+IF(AND($E520&lt;&gt;"",$E520&lt;=AQ$2,$F520&gt;=AQ$2),1,0)</f>
        <v/>
      </c>
      <c r="AR520">
        <f>AR519+IF(AND($E520&lt;&gt;"",$E520&lt;=AR$2,$F520&gt;=AR$2),1,0)</f>
        <v/>
      </c>
      <c r="AS520">
        <f>AS519+IF(AND($E520&lt;&gt;"",$E520&lt;=AS$2,$F520&gt;=AS$2),1,0)</f>
        <v/>
      </c>
      <c r="AT520">
        <f>AT519+IF(AND($E520&lt;&gt;"",$E520&lt;=AT$2,$F520&gt;=AT$2),1,0)</f>
        <v/>
      </c>
      <c r="AU520">
        <f>AU519+IF(AND($E520&lt;&gt;"",$E520&lt;=AU$2,$F520&gt;=AU$2),1,0)</f>
        <v/>
      </c>
      <c r="AV520">
        <f>AV519+IF(AND($E520&lt;&gt;"",$E520&lt;=AV$2,$F520&gt;=AV$2),1,0)</f>
        <v/>
      </c>
      <c r="AW520">
        <f>AW519+IF(AND($E520&lt;&gt;"",$E520&lt;=AW$2,$F520&gt;=AW$2),1,0)</f>
        <v/>
      </c>
    </row>
    <row r="521">
      <c r="A521">
        <f>IF(AND(ISNUMBER(Events!$A523),ISNUMBER(Events!$B523)),MAX(0,Events!$B523-Events!$A523),0)</f>
        <v/>
      </c>
      <c r="B521">
        <f>IF(ISNUMBER(Events!$A523),DATE(YEAR($B$1)-1,MONTH(Events!$A523),DAY(Events!$A523)),"")</f>
        <v/>
      </c>
      <c r="C521">
        <f>IF(ISNUMBER(Events!$A523),DATE(YEAR($B$1),MONTH(Events!$A523),DAY(Events!$A523)),"")</f>
        <v/>
      </c>
      <c r="D521">
        <f>IF(ISNUMBER(Events!$A523),DATE(YEAR($B$2),MONTH(Events!$A523),DAY(Events!$A523)),"")</f>
        <v/>
      </c>
      <c r="E521">
        <f>IF(OR(NOT(ISNUMBER(Events!$A523)),Events!$G523="No",Calendar!$H$4="None"),"",IF(OR(Calendar!$H$4="All events",Events!$D523=Calendar!$H$4),IF(Events!$E523="Yes",IF(AND(B521&gt;=Events!$A523,B521&lt;=$B$2,B521+$A521&gt;=$B$1),B521,IF(AND(C521&gt;=Events!$A523,C521&lt;=$B$2,C521+$A521&gt;=$B$1),C521,IF(AND(D521&gt;=Events!$A523,D521&lt;=$B$2,D521+$A521&gt;=$B$1),D521,""))),IF(AND(Events!$A523&lt;=$B$2,Events!$A523+$A521&gt;=$B$1),Events!$A523,"")),""))</f>
        <v/>
      </c>
      <c r="F521">
        <f>IF(E521="","",E521+A521)</f>
        <v/>
      </c>
      <c r="G521">
        <f>IF(E521="","",IF(AND(E521&lt;=EOMONTH(Calendar!$K$2,0),F521&gt;=Calendar!$K$2),E521+518/100000,""))</f>
        <v/>
      </c>
      <c r="H521">
        <f>H520+IF(AND($E521&lt;&gt;"",$E521&lt;=H$2,$F521&gt;=H$2),1,0)</f>
        <v/>
      </c>
      <c r="I521">
        <f>I520+IF(AND($E521&lt;&gt;"",$E521&lt;=I$2,$F521&gt;=I$2),1,0)</f>
        <v/>
      </c>
      <c r="J521">
        <f>J520+IF(AND($E521&lt;&gt;"",$E521&lt;=J$2,$F521&gt;=J$2),1,0)</f>
        <v/>
      </c>
      <c r="K521">
        <f>K520+IF(AND($E521&lt;&gt;"",$E521&lt;=K$2,$F521&gt;=K$2),1,0)</f>
        <v/>
      </c>
      <c r="L521">
        <f>L520+IF(AND($E521&lt;&gt;"",$E521&lt;=L$2,$F521&gt;=L$2),1,0)</f>
        <v/>
      </c>
      <c r="M521">
        <f>M520+IF(AND($E521&lt;&gt;"",$E521&lt;=M$2,$F521&gt;=M$2),1,0)</f>
        <v/>
      </c>
      <c r="N521">
        <f>N520+IF(AND($E521&lt;&gt;"",$E521&lt;=N$2,$F521&gt;=N$2),1,0)</f>
        <v/>
      </c>
      <c r="O521">
        <f>O520+IF(AND($E521&lt;&gt;"",$E521&lt;=O$2,$F521&gt;=O$2),1,0)</f>
        <v/>
      </c>
      <c r="P521">
        <f>P520+IF(AND($E521&lt;&gt;"",$E521&lt;=P$2,$F521&gt;=P$2),1,0)</f>
        <v/>
      </c>
      <c r="Q521">
        <f>Q520+IF(AND($E521&lt;&gt;"",$E521&lt;=Q$2,$F521&gt;=Q$2),1,0)</f>
        <v/>
      </c>
      <c r="R521">
        <f>R520+IF(AND($E521&lt;&gt;"",$E521&lt;=R$2,$F521&gt;=R$2),1,0)</f>
        <v/>
      </c>
      <c r="S521">
        <f>S520+IF(AND($E521&lt;&gt;"",$E521&lt;=S$2,$F521&gt;=S$2),1,0)</f>
        <v/>
      </c>
      <c r="T521">
        <f>T520+IF(AND($E521&lt;&gt;"",$E521&lt;=T$2,$F521&gt;=T$2),1,0)</f>
        <v/>
      </c>
      <c r="U521">
        <f>U520+IF(AND($E521&lt;&gt;"",$E521&lt;=U$2,$F521&gt;=U$2),1,0)</f>
        <v/>
      </c>
      <c r="V521">
        <f>V520+IF(AND($E521&lt;&gt;"",$E521&lt;=V$2,$F521&gt;=V$2),1,0)</f>
        <v/>
      </c>
      <c r="W521">
        <f>W520+IF(AND($E521&lt;&gt;"",$E521&lt;=W$2,$F521&gt;=W$2),1,0)</f>
        <v/>
      </c>
      <c r="X521">
        <f>X520+IF(AND($E521&lt;&gt;"",$E521&lt;=X$2,$F521&gt;=X$2),1,0)</f>
        <v/>
      </c>
      <c r="Y521">
        <f>Y520+IF(AND($E521&lt;&gt;"",$E521&lt;=Y$2,$F521&gt;=Y$2),1,0)</f>
        <v/>
      </c>
      <c r="Z521">
        <f>Z520+IF(AND($E521&lt;&gt;"",$E521&lt;=Z$2,$F521&gt;=Z$2),1,0)</f>
        <v/>
      </c>
      <c r="AA521">
        <f>AA520+IF(AND($E521&lt;&gt;"",$E521&lt;=AA$2,$F521&gt;=AA$2),1,0)</f>
        <v/>
      </c>
      <c r="AB521">
        <f>AB520+IF(AND($E521&lt;&gt;"",$E521&lt;=AB$2,$F521&gt;=AB$2),1,0)</f>
        <v/>
      </c>
      <c r="AC521">
        <f>AC520+IF(AND($E521&lt;&gt;"",$E521&lt;=AC$2,$F521&gt;=AC$2),1,0)</f>
        <v/>
      </c>
      <c r="AD521">
        <f>AD520+IF(AND($E521&lt;&gt;"",$E521&lt;=AD$2,$F521&gt;=AD$2),1,0)</f>
        <v/>
      </c>
      <c r="AE521">
        <f>AE520+IF(AND($E521&lt;&gt;"",$E521&lt;=AE$2,$F521&gt;=AE$2),1,0)</f>
        <v/>
      </c>
      <c r="AF521">
        <f>AF520+IF(AND($E521&lt;&gt;"",$E521&lt;=AF$2,$F521&gt;=AF$2),1,0)</f>
        <v/>
      </c>
      <c r="AG521">
        <f>AG520+IF(AND($E521&lt;&gt;"",$E521&lt;=AG$2,$F521&gt;=AG$2),1,0)</f>
        <v/>
      </c>
      <c r="AH521">
        <f>AH520+IF(AND($E521&lt;&gt;"",$E521&lt;=AH$2,$F521&gt;=AH$2),1,0)</f>
        <v/>
      </c>
      <c r="AI521">
        <f>AI520+IF(AND($E521&lt;&gt;"",$E521&lt;=AI$2,$F521&gt;=AI$2),1,0)</f>
        <v/>
      </c>
      <c r="AJ521">
        <f>AJ520+IF(AND($E521&lt;&gt;"",$E521&lt;=AJ$2,$F521&gt;=AJ$2),1,0)</f>
        <v/>
      </c>
      <c r="AK521">
        <f>AK520+IF(AND($E521&lt;&gt;"",$E521&lt;=AK$2,$F521&gt;=AK$2),1,0)</f>
        <v/>
      </c>
      <c r="AL521">
        <f>AL520+IF(AND($E521&lt;&gt;"",$E521&lt;=AL$2,$F521&gt;=AL$2),1,0)</f>
        <v/>
      </c>
      <c r="AM521">
        <f>AM520+IF(AND($E521&lt;&gt;"",$E521&lt;=AM$2,$F521&gt;=AM$2),1,0)</f>
        <v/>
      </c>
      <c r="AN521">
        <f>AN520+IF(AND($E521&lt;&gt;"",$E521&lt;=AN$2,$F521&gt;=AN$2),1,0)</f>
        <v/>
      </c>
      <c r="AO521">
        <f>AO520+IF(AND($E521&lt;&gt;"",$E521&lt;=AO$2,$F521&gt;=AO$2),1,0)</f>
        <v/>
      </c>
      <c r="AP521">
        <f>AP520+IF(AND($E521&lt;&gt;"",$E521&lt;=AP$2,$F521&gt;=AP$2),1,0)</f>
        <v/>
      </c>
      <c r="AQ521">
        <f>AQ520+IF(AND($E521&lt;&gt;"",$E521&lt;=AQ$2,$F521&gt;=AQ$2),1,0)</f>
        <v/>
      </c>
      <c r="AR521">
        <f>AR520+IF(AND($E521&lt;&gt;"",$E521&lt;=AR$2,$F521&gt;=AR$2),1,0)</f>
        <v/>
      </c>
      <c r="AS521">
        <f>AS520+IF(AND($E521&lt;&gt;"",$E521&lt;=AS$2,$F521&gt;=AS$2),1,0)</f>
        <v/>
      </c>
      <c r="AT521">
        <f>AT520+IF(AND($E521&lt;&gt;"",$E521&lt;=AT$2,$F521&gt;=AT$2),1,0)</f>
        <v/>
      </c>
      <c r="AU521">
        <f>AU520+IF(AND($E521&lt;&gt;"",$E521&lt;=AU$2,$F521&gt;=AU$2),1,0)</f>
        <v/>
      </c>
      <c r="AV521">
        <f>AV520+IF(AND($E521&lt;&gt;"",$E521&lt;=AV$2,$F521&gt;=AV$2),1,0)</f>
        <v/>
      </c>
      <c r="AW521">
        <f>AW520+IF(AND($E521&lt;&gt;"",$E521&lt;=AW$2,$F521&gt;=AW$2),1,0)</f>
        <v/>
      </c>
    </row>
    <row r="522">
      <c r="A522">
        <f>IF(AND(ISNUMBER(Events!$A524),ISNUMBER(Events!$B524)),MAX(0,Events!$B524-Events!$A524),0)</f>
        <v/>
      </c>
      <c r="B522">
        <f>IF(ISNUMBER(Events!$A524),DATE(YEAR($B$1)-1,MONTH(Events!$A524),DAY(Events!$A524)),"")</f>
        <v/>
      </c>
      <c r="C522">
        <f>IF(ISNUMBER(Events!$A524),DATE(YEAR($B$1),MONTH(Events!$A524),DAY(Events!$A524)),"")</f>
        <v/>
      </c>
      <c r="D522">
        <f>IF(ISNUMBER(Events!$A524),DATE(YEAR($B$2),MONTH(Events!$A524),DAY(Events!$A524)),"")</f>
        <v/>
      </c>
      <c r="E522">
        <f>IF(OR(NOT(ISNUMBER(Events!$A524)),Events!$G524="No",Calendar!$H$4="None"),"",IF(OR(Calendar!$H$4="All events",Events!$D524=Calendar!$H$4),IF(Events!$E524="Yes",IF(AND(B522&gt;=Events!$A524,B522&lt;=$B$2,B522+$A522&gt;=$B$1),B522,IF(AND(C522&gt;=Events!$A524,C522&lt;=$B$2,C522+$A522&gt;=$B$1),C522,IF(AND(D522&gt;=Events!$A524,D522&lt;=$B$2,D522+$A522&gt;=$B$1),D522,""))),IF(AND(Events!$A524&lt;=$B$2,Events!$A524+$A522&gt;=$B$1),Events!$A524,"")),""))</f>
        <v/>
      </c>
      <c r="F522">
        <f>IF(E522="","",E522+A522)</f>
        <v/>
      </c>
      <c r="G522">
        <f>IF(E522="","",IF(AND(E522&lt;=EOMONTH(Calendar!$K$2,0),F522&gt;=Calendar!$K$2),E522+519/100000,""))</f>
        <v/>
      </c>
      <c r="H522">
        <f>H521+IF(AND($E522&lt;&gt;"",$E522&lt;=H$2,$F522&gt;=H$2),1,0)</f>
        <v/>
      </c>
      <c r="I522">
        <f>I521+IF(AND($E522&lt;&gt;"",$E522&lt;=I$2,$F522&gt;=I$2),1,0)</f>
        <v/>
      </c>
      <c r="J522">
        <f>J521+IF(AND($E522&lt;&gt;"",$E522&lt;=J$2,$F522&gt;=J$2),1,0)</f>
        <v/>
      </c>
      <c r="K522">
        <f>K521+IF(AND($E522&lt;&gt;"",$E522&lt;=K$2,$F522&gt;=K$2),1,0)</f>
        <v/>
      </c>
      <c r="L522">
        <f>L521+IF(AND($E522&lt;&gt;"",$E522&lt;=L$2,$F522&gt;=L$2),1,0)</f>
        <v/>
      </c>
      <c r="M522">
        <f>M521+IF(AND($E522&lt;&gt;"",$E522&lt;=M$2,$F522&gt;=M$2),1,0)</f>
        <v/>
      </c>
      <c r="N522">
        <f>N521+IF(AND($E522&lt;&gt;"",$E522&lt;=N$2,$F522&gt;=N$2),1,0)</f>
        <v/>
      </c>
      <c r="O522">
        <f>O521+IF(AND($E522&lt;&gt;"",$E522&lt;=O$2,$F522&gt;=O$2),1,0)</f>
        <v/>
      </c>
      <c r="P522">
        <f>P521+IF(AND($E522&lt;&gt;"",$E522&lt;=P$2,$F522&gt;=P$2),1,0)</f>
        <v/>
      </c>
      <c r="Q522">
        <f>Q521+IF(AND($E522&lt;&gt;"",$E522&lt;=Q$2,$F522&gt;=Q$2),1,0)</f>
        <v/>
      </c>
      <c r="R522">
        <f>R521+IF(AND($E522&lt;&gt;"",$E522&lt;=R$2,$F522&gt;=R$2),1,0)</f>
        <v/>
      </c>
      <c r="S522">
        <f>S521+IF(AND($E522&lt;&gt;"",$E522&lt;=S$2,$F522&gt;=S$2),1,0)</f>
        <v/>
      </c>
      <c r="T522">
        <f>T521+IF(AND($E522&lt;&gt;"",$E522&lt;=T$2,$F522&gt;=T$2),1,0)</f>
        <v/>
      </c>
      <c r="U522">
        <f>U521+IF(AND($E522&lt;&gt;"",$E522&lt;=U$2,$F522&gt;=U$2),1,0)</f>
        <v/>
      </c>
      <c r="V522">
        <f>V521+IF(AND($E522&lt;&gt;"",$E522&lt;=V$2,$F522&gt;=V$2),1,0)</f>
        <v/>
      </c>
      <c r="W522">
        <f>W521+IF(AND($E522&lt;&gt;"",$E522&lt;=W$2,$F522&gt;=W$2),1,0)</f>
        <v/>
      </c>
      <c r="X522">
        <f>X521+IF(AND($E522&lt;&gt;"",$E522&lt;=X$2,$F522&gt;=X$2),1,0)</f>
        <v/>
      </c>
      <c r="Y522">
        <f>Y521+IF(AND($E522&lt;&gt;"",$E522&lt;=Y$2,$F522&gt;=Y$2),1,0)</f>
        <v/>
      </c>
      <c r="Z522">
        <f>Z521+IF(AND($E522&lt;&gt;"",$E522&lt;=Z$2,$F522&gt;=Z$2),1,0)</f>
        <v/>
      </c>
      <c r="AA522">
        <f>AA521+IF(AND($E522&lt;&gt;"",$E522&lt;=AA$2,$F522&gt;=AA$2),1,0)</f>
        <v/>
      </c>
      <c r="AB522">
        <f>AB521+IF(AND($E522&lt;&gt;"",$E522&lt;=AB$2,$F522&gt;=AB$2),1,0)</f>
        <v/>
      </c>
      <c r="AC522">
        <f>AC521+IF(AND($E522&lt;&gt;"",$E522&lt;=AC$2,$F522&gt;=AC$2),1,0)</f>
        <v/>
      </c>
      <c r="AD522">
        <f>AD521+IF(AND($E522&lt;&gt;"",$E522&lt;=AD$2,$F522&gt;=AD$2),1,0)</f>
        <v/>
      </c>
      <c r="AE522">
        <f>AE521+IF(AND($E522&lt;&gt;"",$E522&lt;=AE$2,$F522&gt;=AE$2),1,0)</f>
        <v/>
      </c>
      <c r="AF522">
        <f>AF521+IF(AND($E522&lt;&gt;"",$E522&lt;=AF$2,$F522&gt;=AF$2),1,0)</f>
        <v/>
      </c>
      <c r="AG522">
        <f>AG521+IF(AND($E522&lt;&gt;"",$E522&lt;=AG$2,$F522&gt;=AG$2),1,0)</f>
        <v/>
      </c>
      <c r="AH522">
        <f>AH521+IF(AND($E522&lt;&gt;"",$E522&lt;=AH$2,$F522&gt;=AH$2),1,0)</f>
        <v/>
      </c>
      <c r="AI522">
        <f>AI521+IF(AND($E522&lt;&gt;"",$E522&lt;=AI$2,$F522&gt;=AI$2),1,0)</f>
        <v/>
      </c>
      <c r="AJ522">
        <f>AJ521+IF(AND($E522&lt;&gt;"",$E522&lt;=AJ$2,$F522&gt;=AJ$2),1,0)</f>
        <v/>
      </c>
      <c r="AK522">
        <f>AK521+IF(AND($E522&lt;&gt;"",$E522&lt;=AK$2,$F522&gt;=AK$2),1,0)</f>
        <v/>
      </c>
      <c r="AL522">
        <f>AL521+IF(AND($E522&lt;&gt;"",$E522&lt;=AL$2,$F522&gt;=AL$2),1,0)</f>
        <v/>
      </c>
      <c r="AM522">
        <f>AM521+IF(AND($E522&lt;&gt;"",$E522&lt;=AM$2,$F522&gt;=AM$2),1,0)</f>
        <v/>
      </c>
      <c r="AN522">
        <f>AN521+IF(AND($E522&lt;&gt;"",$E522&lt;=AN$2,$F522&gt;=AN$2),1,0)</f>
        <v/>
      </c>
      <c r="AO522">
        <f>AO521+IF(AND($E522&lt;&gt;"",$E522&lt;=AO$2,$F522&gt;=AO$2),1,0)</f>
        <v/>
      </c>
      <c r="AP522">
        <f>AP521+IF(AND($E522&lt;&gt;"",$E522&lt;=AP$2,$F522&gt;=AP$2),1,0)</f>
        <v/>
      </c>
      <c r="AQ522">
        <f>AQ521+IF(AND($E522&lt;&gt;"",$E522&lt;=AQ$2,$F522&gt;=AQ$2),1,0)</f>
        <v/>
      </c>
      <c r="AR522">
        <f>AR521+IF(AND($E522&lt;&gt;"",$E522&lt;=AR$2,$F522&gt;=AR$2),1,0)</f>
        <v/>
      </c>
      <c r="AS522">
        <f>AS521+IF(AND($E522&lt;&gt;"",$E522&lt;=AS$2,$F522&gt;=AS$2),1,0)</f>
        <v/>
      </c>
      <c r="AT522">
        <f>AT521+IF(AND($E522&lt;&gt;"",$E522&lt;=AT$2,$F522&gt;=AT$2),1,0)</f>
        <v/>
      </c>
      <c r="AU522">
        <f>AU521+IF(AND($E522&lt;&gt;"",$E522&lt;=AU$2,$F522&gt;=AU$2),1,0)</f>
        <v/>
      </c>
      <c r="AV522">
        <f>AV521+IF(AND($E522&lt;&gt;"",$E522&lt;=AV$2,$F522&gt;=AV$2),1,0)</f>
        <v/>
      </c>
      <c r="AW522">
        <f>AW521+IF(AND($E522&lt;&gt;"",$E522&lt;=AW$2,$F522&gt;=AW$2),1,0)</f>
        <v/>
      </c>
    </row>
    <row r="523">
      <c r="A523">
        <f>IF(AND(ISNUMBER(Events!$A525),ISNUMBER(Events!$B525)),MAX(0,Events!$B525-Events!$A525),0)</f>
        <v/>
      </c>
      <c r="B523">
        <f>IF(ISNUMBER(Events!$A525),DATE(YEAR($B$1)-1,MONTH(Events!$A525),DAY(Events!$A525)),"")</f>
        <v/>
      </c>
      <c r="C523">
        <f>IF(ISNUMBER(Events!$A525),DATE(YEAR($B$1),MONTH(Events!$A525),DAY(Events!$A525)),"")</f>
        <v/>
      </c>
      <c r="D523">
        <f>IF(ISNUMBER(Events!$A525),DATE(YEAR($B$2),MONTH(Events!$A525),DAY(Events!$A525)),"")</f>
        <v/>
      </c>
      <c r="E523">
        <f>IF(OR(NOT(ISNUMBER(Events!$A525)),Events!$G525="No",Calendar!$H$4="None"),"",IF(OR(Calendar!$H$4="All events",Events!$D525=Calendar!$H$4),IF(Events!$E525="Yes",IF(AND(B523&gt;=Events!$A525,B523&lt;=$B$2,B523+$A523&gt;=$B$1),B523,IF(AND(C523&gt;=Events!$A525,C523&lt;=$B$2,C523+$A523&gt;=$B$1),C523,IF(AND(D523&gt;=Events!$A525,D523&lt;=$B$2,D523+$A523&gt;=$B$1),D523,""))),IF(AND(Events!$A525&lt;=$B$2,Events!$A525+$A523&gt;=$B$1),Events!$A525,"")),""))</f>
        <v/>
      </c>
      <c r="F523">
        <f>IF(E523="","",E523+A523)</f>
        <v/>
      </c>
      <c r="G523">
        <f>IF(E523="","",IF(AND(E523&lt;=EOMONTH(Calendar!$K$2,0),F523&gt;=Calendar!$K$2),E523+520/100000,""))</f>
        <v/>
      </c>
      <c r="H523">
        <f>H522+IF(AND($E523&lt;&gt;"",$E523&lt;=H$2,$F523&gt;=H$2),1,0)</f>
        <v/>
      </c>
      <c r="I523">
        <f>I522+IF(AND($E523&lt;&gt;"",$E523&lt;=I$2,$F523&gt;=I$2),1,0)</f>
        <v/>
      </c>
      <c r="J523">
        <f>J522+IF(AND($E523&lt;&gt;"",$E523&lt;=J$2,$F523&gt;=J$2),1,0)</f>
        <v/>
      </c>
      <c r="K523">
        <f>K522+IF(AND($E523&lt;&gt;"",$E523&lt;=K$2,$F523&gt;=K$2),1,0)</f>
        <v/>
      </c>
      <c r="L523">
        <f>L522+IF(AND($E523&lt;&gt;"",$E523&lt;=L$2,$F523&gt;=L$2),1,0)</f>
        <v/>
      </c>
      <c r="M523">
        <f>M522+IF(AND($E523&lt;&gt;"",$E523&lt;=M$2,$F523&gt;=M$2),1,0)</f>
        <v/>
      </c>
      <c r="N523">
        <f>N522+IF(AND($E523&lt;&gt;"",$E523&lt;=N$2,$F523&gt;=N$2),1,0)</f>
        <v/>
      </c>
      <c r="O523">
        <f>O522+IF(AND($E523&lt;&gt;"",$E523&lt;=O$2,$F523&gt;=O$2),1,0)</f>
        <v/>
      </c>
      <c r="P523">
        <f>P522+IF(AND($E523&lt;&gt;"",$E523&lt;=P$2,$F523&gt;=P$2),1,0)</f>
        <v/>
      </c>
      <c r="Q523">
        <f>Q522+IF(AND($E523&lt;&gt;"",$E523&lt;=Q$2,$F523&gt;=Q$2),1,0)</f>
        <v/>
      </c>
      <c r="R523">
        <f>R522+IF(AND($E523&lt;&gt;"",$E523&lt;=R$2,$F523&gt;=R$2),1,0)</f>
        <v/>
      </c>
      <c r="S523">
        <f>S522+IF(AND($E523&lt;&gt;"",$E523&lt;=S$2,$F523&gt;=S$2),1,0)</f>
        <v/>
      </c>
      <c r="T523">
        <f>T522+IF(AND($E523&lt;&gt;"",$E523&lt;=T$2,$F523&gt;=T$2),1,0)</f>
        <v/>
      </c>
      <c r="U523">
        <f>U522+IF(AND($E523&lt;&gt;"",$E523&lt;=U$2,$F523&gt;=U$2),1,0)</f>
        <v/>
      </c>
      <c r="V523">
        <f>V522+IF(AND($E523&lt;&gt;"",$E523&lt;=V$2,$F523&gt;=V$2),1,0)</f>
        <v/>
      </c>
      <c r="W523">
        <f>W522+IF(AND($E523&lt;&gt;"",$E523&lt;=W$2,$F523&gt;=W$2),1,0)</f>
        <v/>
      </c>
      <c r="X523">
        <f>X522+IF(AND($E523&lt;&gt;"",$E523&lt;=X$2,$F523&gt;=X$2),1,0)</f>
        <v/>
      </c>
      <c r="Y523">
        <f>Y522+IF(AND($E523&lt;&gt;"",$E523&lt;=Y$2,$F523&gt;=Y$2),1,0)</f>
        <v/>
      </c>
      <c r="Z523">
        <f>Z522+IF(AND($E523&lt;&gt;"",$E523&lt;=Z$2,$F523&gt;=Z$2),1,0)</f>
        <v/>
      </c>
      <c r="AA523">
        <f>AA522+IF(AND($E523&lt;&gt;"",$E523&lt;=AA$2,$F523&gt;=AA$2),1,0)</f>
        <v/>
      </c>
      <c r="AB523">
        <f>AB522+IF(AND($E523&lt;&gt;"",$E523&lt;=AB$2,$F523&gt;=AB$2),1,0)</f>
        <v/>
      </c>
      <c r="AC523">
        <f>AC522+IF(AND($E523&lt;&gt;"",$E523&lt;=AC$2,$F523&gt;=AC$2),1,0)</f>
        <v/>
      </c>
      <c r="AD523">
        <f>AD522+IF(AND($E523&lt;&gt;"",$E523&lt;=AD$2,$F523&gt;=AD$2),1,0)</f>
        <v/>
      </c>
      <c r="AE523">
        <f>AE522+IF(AND($E523&lt;&gt;"",$E523&lt;=AE$2,$F523&gt;=AE$2),1,0)</f>
        <v/>
      </c>
      <c r="AF523">
        <f>AF522+IF(AND($E523&lt;&gt;"",$E523&lt;=AF$2,$F523&gt;=AF$2),1,0)</f>
        <v/>
      </c>
      <c r="AG523">
        <f>AG522+IF(AND($E523&lt;&gt;"",$E523&lt;=AG$2,$F523&gt;=AG$2),1,0)</f>
        <v/>
      </c>
      <c r="AH523">
        <f>AH522+IF(AND($E523&lt;&gt;"",$E523&lt;=AH$2,$F523&gt;=AH$2),1,0)</f>
        <v/>
      </c>
      <c r="AI523">
        <f>AI522+IF(AND($E523&lt;&gt;"",$E523&lt;=AI$2,$F523&gt;=AI$2),1,0)</f>
        <v/>
      </c>
      <c r="AJ523">
        <f>AJ522+IF(AND($E523&lt;&gt;"",$E523&lt;=AJ$2,$F523&gt;=AJ$2),1,0)</f>
        <v/>
      </c>
      <c r="AK523">
        <f>AK522+IF(AND($E523&lt;&gt;"",$E523&lt;=AK$2,$F523&gt;=AK$2),1,0)</f>
        <v/>
      </c>
      <c r="AL523">
        <f>AL522+IF(AND($E523&lt;&gt;"",$E523&lt;=AL$2,$F523&gt;=AL$2),1,0)</f>
        <v/>
      </c>
      <c r="AM523">
        <f>AM522+IF(AND($E523&lt;&gt;"",$E523&lt;=AM$2,$F523&gt;=AM$2),1,0)</f>
        <v/>
      </c>
      <c r="AN523">
        <f>AN522+IF(AND($E523&lt;&gt;"",$E523&lt;=AN$2,$F523&gt;=AN$2),1,0)</f>
        <v/>
      </c>
      <c r="AO523">
        <f>AO522+IF(AND($E523&lt;&gt;"",$E523&lt;=AO$2,$F523&gt;=AO$2),1,0)</f>
        <v/>
      </c>
      <c r="AP523">
        <f>AP522+IF(AND($E523&lt;&gt;"",$E523&lt;=AP$2,$F523&gt;=AP$2),1,0)</f>
        <v/>
      </c>
      <c r="AQ523">
        <f>AQ522+IF(AND($E523&lt;&gt;"",$E523&lt;=AQ$2,$F523&gt;=AQ$2),1,0)</f>
        <v/>
      </c>
      <c r="AR523">
        <f>AR522+IF(AND($E523&lt;&gt;"",$E523&lt;=AR$2,$F523&gt;=AR$2),1,0)</f>
        <v/>
      </c>
      <c r="AS523">
        <f>AS522+IF(AND($E523&lt;&gt;"",$E523&lt;=AS$2,$F523&gt;=AS$2),1,0)</f>
        <v/>
      </c>
      <c r="AT523">
        <f>AT522+IF(AND($E523&lt;&gt;"",$E523&lt;=AT$2,$F523&gt;=AT$2),1,0)</f>
        <v/>
      </c>
      <c r="AU523">
        <f>AU522+IF(AND($E523&lt;&gt;"",$E523&lt;=AU$2,$F523&gt;=AU$2),1,0)</f>
        <v/>
      </c>
      <c r="AV523">
        <f>AV522+IF(AND($E523&lt;&gt;"",$E523&lt;=AV$2,$F523&gt;=AV$2),1,0)</f>
        <v/>
      </c>
      <c r="AW523">
        <f>AW522+IF(AND($E523&lt;&gt;"",$E523&lt;=AW$2,$F523&gt;=AW$2),1,0)</f>
        <v/>
      </c>
    </row>
    <row r="524">
      <c r="A524">
        <f>IF(AND(ISNUMBER(Events!$A526),ISNUMBER(Events!$B526)),MAX(0,Events!$B526-Events!$A526),0)</f>
        <v/>
      </c>
      <c r="B524">
        <f>IF(ISNUMBER(Events!$A526),DATE(YEAR($B$1)-1,MONTH(Events!$A526),DAY(Events!$A526)),"")</f>
        <v/>
      </c>
      <c r="C524">
        <f>IF(ISNUMBER(Events!$A526),DATE(YEAR($B$1),MONTH(Events!$A526),DAY(Events!$A526)),"")</f>
        <v/>
      </c>
      <c r="D524">
        <f>IF(ISNUMBER(Events!$A526),DATE(YEAR($B$2),MONTH(Events!$A526),DAY(Events!$A526)),"")</f>
        <v/>
      </c>
      <c r="E524">
        <f>IF(OR(NOT(ISNUMBER(Events!$A526)),Events!$G526="No",Calendar!$H$4="None"),"",IF(OR(Calendar!$H$4="All events",Events!$D526=Calendar!$H$4),IF(Events!$E526="Yes",IF(AND(B524&gt;=Events!$A526,B524&lt;=$B$2,B524+$A524&gt;=$B$1),B524,IF(AND(C524&gt;=Events!$A526,C524&lt;=$B$2,C524+$A524&gt;=$B$1),C524,IF(AND(D524&gt;=Events!$A526,D524&lt;=$B$2,D524+$A524&gt;=$B$1),D524,""))),IF(AND(Events!$A526&lt;=$B$2,Events!$A526+$A524&gt;=$B$1),Events!$A526,"")),""))</f>
        <v/>
      </c>
      <c r="F524">
        <f>IF(E524="","",E524+A524)</f>
        <v/>
      </c>
      <c r="G524">
        <f>IF(E524="","",IF(AND(E524&lt;=EOMONTH(Calendar!$K$2,0),F524&gt;=Calendar!$K$2),E524+521/100000,""))</f>
        <v/>
      </c>
      <c r="H524">
        <f>H523+IF(AND($E524&lt;&gt;"",$E524&lt;=H$2,$F524&gt;=H$2),1,0)</f>
        <v/>
      </c>
      <c r="I524">
        <f>I523+IF(AND($E524&lt;&gt;"",$E524&lt;=I$2,$F524&gt;=I$2),1,0)</f>
        <v/>
      </c>
      <c r="J524">
        <f>J523+IF(AND($E524&lt;&gt;"",$E524&lt;=J$2,$F524&gt;=J$2),1,0)</f>
        <v/>
      </c>
      <c r="K524">
        <f>K523+IF(AND($E524&lt;&gt;"",$E524&lt;=K$2,$F524&gt;=K$2),1,0)</f>
        <v/>
      </c>
      <c r="L524">
        <f>L523+IF(AND($E524&lt;&gt;"",$E524&lt;=L$2,$F524&gt;=L$2),1,0)</f>
        <v/>
      </c>
      <c r="M524">
        <f>M523+IF(AND($E524&lt;&gt;"",$E524&lt;=M$2,$F524&gt;=M$2),1,0)</f>
        <v/>
      </c>
      <c r="N524">
        <f>N523+IF(AND($E524&lt;&gt;"",$E524&lt;=N$2,$F524&gt;=N$2),1,0)</f>
        <v/>
      </c>
      <c r="O524">
        <f>O523+IF(AND($E524&lt;&gt;"",$E524&lt;=O$2,$F524&gt;=O$2),1,0)</f>
        <v/>
      </c>
      <c r="P524">
        <f>P523+IF(AND($E524&lt;&gt;"",$E524&lt;=P$2,$F524&gt;=P$2),1,0)</f>
        <v/>
      </c>
      <c r="Q524">
        <f>Q523+IF(AND($E524&lt;&gt;"",$E524&lt;=Q$2,$F524&gt;=Q$2),1,0)</f>
        <v/>
      </c>
      <c r="R524">
        <f>R523+IF(AND($E524&lt;&gt;"",$E524&lt;=R$2,$F524&gt;=R$2),1,0)</f>
        <v/>
      </c>
      <c r="S524">
        <f>S523+IF(AND($E524&lt;&gt;"",$E524&lt;=S$2,$F524&gt;=S$2),1,0)</f>
        <v/>
      </c>
      <c r="T524">
        <f>T523+IF(AND($E524&lt;&gt;"",$E524&lt;=T$2,$F524&gt;=T$2),1,0)</f>
        <v/>
      </c>
      <c r="U524">
        <f>U523+IF(AND($E524&lt;&gt;"",$E524&lt;=U$2,$F524&gt;=U$2),1,0)</f>
        <v/>
      </c>
      <c r="V524">
        <f>V523+IF(AND($E524&lt;&gt;"",$E524&lt;=V$2,$F524&gt;=V$2),1,0)</f>
        <v/>
      </c>
      <c r="W524">
        <f>W523+IF(AND($E524&lt;&gt;"",$E524&lt;=W$2,$F524&gt;=W$2),1,0)</f>
        <v/>
      </c>
      <c r="X524">
        <f>X523+IF(AND($E524&lt;&gt;"",$E524&lt;=X$2,$F524&gt;=X$2),1,0)</f>
        <v/>
      </c>
      <c r="Y524">
        <f>Y523+IF(AND($E524&lt;&gt;"",$E524&lt;=Y$2,$F524&gt;=Y$2),1,0)</f>
        <v/>
      </c>
      <c r="Z524">
        <f>Z523+IF(AND($E524&lt;&gt;"",$E524&lt;=Z$2,$F524&gt;=Z$2),1,0)</f>
        <v/>
      </c>
      <c r="AA524">
        <f>AA523+IF(AND($E524&lt;&gt;"",$E524&lt;=AA$2,$F524&gt;=AA$2),1,0)</f>
        <v/>
      </c>
      <c r="AB524">
        <f>AB523+IF(AND($E524&lt;&gt;"",$E524&lt;=AB$2,$F524&gt;=AB$2),1,0)</f>
        <v/>
      </c>
      <c r="AC524">
        <f>AC523+IF(AND($E524&lt;&gt;"",$E524&lt;=AC$2,$F524&gt;=AC$2),1,0)</f>
        <v/>
      </c>
      <c r="AD524">
        <f>AD523+IF(AND($E524&lt;&gt;"",$E524&lt;=AD$2,$F524&gt;=AD$2),1,0)</f>
        <v/>
      </c>
      <c r="AE524">
        <f>AE523+IF(AND($E524&lt;&gt;"",$E524&lt;=AE$2,$F524&gt;=AE$2),1,0)</f>
        <v/>
      </c>
      <c r="AF524">
        <f>AF523+IF(AND($E524&lt;&gt;"",$E524&lt;=AF$2,$F524&gt;=AF$2),1,0)</f>
        <v/>
      </c>
      <c r="AG524">
        <f>AG523+IF(AND($E524&lt;&gt;"",$E524&lt;=AG$2,$F524&gt;=AG$2),1,0)</f>
        <v/>
      </c>
      <c r="AH524">
        <f>AH523+IF(AND($E524&lt;&gt;"",$E524&lt;=AH$2,$F524&gt;=AH$2),1,0)</f>
        <v/>
      </c>
      <c r="AI524">
        <f>AI523+IF(AND($E524&lt;&gt;"",$E524&lt;=AI$2,$F524&gt;=AI$2),1,0)</f>
        <v/>
      </c>
      <c r="AJ524">
        <f>AJ523+IF(AND($E524&lt;&gt;"",$E524&lt;=AJ$2,$F524&gt;=AJ$2),1,0)</f>
        <v/>
      </c>
      <c r="AK524">
        <f>AK523+IF(AND($E524&lt;&gt;"",$E524&lt;=AK$2,$F524&gt;=AK$2),1,0)</f>
        <v/>
      </c>
      <c r="AL524">
        <f>AL523+IF(AND($E524&lt;&gt;"",$E524&lt;=AL$2,$F524&gt;=AL$2),1,0)</f>
        <v/>
      </c>
      <c r="AM524">
        <f>AM523+IF(AND($E524&lt;&gt;"",$E524&lt;=AM$2,$F524&gt;=AM$2),1,0)</f>
        <v/>
      </c>
      <c r="AN524">
        <f>AN523+IF(AND($E524&lt;&gt;"",$E524&lt;=AN$2,$F524&gt;=AN$2),1,0)</f>
        <v/>
      </c>
      <c r="AO524">
        <f>AO523+IF(AND($E524&lt;&gt;"",$E524&lt;=AO$2,$F524&gt;=AO$2),1,0)</f>
        <v/>
      </c>
      <c r="AP524">
        <f>AP523+IF(AND($E524&lt;&gt;"",$E524&lt;=AP$2,$F524&gt;=AP$2),1,0)</f>
        <v/>
      </c>
      <c r="AQ524">
        <f>AQ523+IF(AND($E524&lt;&gt;"",$E524&lt;=AQ$2,$F524&gt;=AQ$2),1,0)</f>
        <v/>
      </c>
      <c r="AR524">
        <f>AR523+IF(AND($E524&lt;&gt;"",$E524&lt;=AR$2,$F524&gt;=AR$2),1,0)</f>
        <v/>
      </c>
      <c r="AS524">
        <f>AS523+IF(AND($E524&lt;&gt;"",$E524&lt;=AS$2,$F524&gt;=AS$2),1,0)</f>
        <v/>
      </c>
      <c r="AT524">
        <f>AT523+IF(AND($E524&lt;&gt;"",$E524&lt;=AT$2,$F524&gt;=AT$2),1,0)</f>
        <v/>
      </c>
      <c r="AU524">
        <f>AU523+IF(AND($E524&lt;&gt;"",$E524&lt;=AU$2,$F524&gt;=AU$2),1,0)</f>
        <v/>
      </c>
      <c r="AV524">
        <f>AV523+IF(AND($E524&lt;&gt;"",$E524&lt;=AV$2,$F524&gt;=AV$2),1,0)</f>
        <v/>
      </c>
      <c r="AW524">
        <f>AW523+IF(AND($E524&lt;&gt;"",$E524&lt;=AW$2,$F524&gt;=AW$2),1,0)</f>
        <v/>
      </c>
    </row>
    <row r="525">
      <c r="A525">
        <f>IF(AND(ISNUMBER(Events!$A527),ISNUMBER(Events!$B527)),MAX(0,Events!$B527-Events!$A527),0)</f>
        <v/>
      </c>
      <c r="B525">
        <f>IF(ISNUMBER(Events!$A527),DATE(YEAR($B$1)-1,MONTH(Events!$A527),DAY(Events!$A527)),"")</f>
        <v/>
      </c>
      <c r="C525">
        <f>IF(ISNUMBER(Events!$A527),DATE(YEAR($B$1),MONTH(Events!$A527),DAY(Events!$A527)),"")</f>
        <v/>
      </c>
      <c r="D525">
        <f>IF(ISNUMBER(Events!$A527),DATE(YEAR($B$2),MONTH(Events!$A527),DAY(Events!$A527)),"")</f>
        <v/>
      </c>
      <c r="E525">
        <f>IF(OR(NOT(ISNUMBER(Events!$A527)),Events!$G527="No",Calendar!$H$4="None"),"",IF(OR(Calendar!$H$4="All events",Events!$D527=Calendar!$H$4),IF(Events!$E527="Yes",IF(AND(B525&gt;=Events!$A527,B525&lt;=$B$2,B525+$A525&gt;=$B$1),B525,IF(AND(C525&gt;=Events!$A527,C525&lt;=$B$2,C525+$A525&gt;=$B$1),C525,IF(AND(D525&gt;=Events!$A527,D525&lt;=$B$2,D525+$A525&gt;=$B$1),D525,""))),IF(AND(Events!$A527&lt;=$B$2,Events!$A527+$A525&gt;=$B$1),Events!$A527,"")),""))</f>
        <v/>
      </c>
      <c r="F525">
        <f>IF(E525="","",E525+A525)</f>
        <v/>
      </c>
      <c r="G525">
        <f>IF(E525="","",IF(AND(E525&lt;=EOMONTH(Calendar!$K$2,0),F525&gt;=Calendar!$K$2),E525+522/100000,""))</f>
        <v/>
      </c>
      <c r="H525">
        <f>H524+IF(AND($E525&lt;&gt;"",$E525&lt;=H$2,$F525&gt;=H$2),1,0)</f>
        <v/>
      </c>
      <c r="I525">
        <f>I524+IF(AND($E525&lt;&gt;"",$E525&lt;=I$2,$F525&gt;=I$2),1,0)</f>
        <v/>
      </c>
      <c r="J525">
        <f>J524+IF(AND($E525&lt;&gt;"",$E525&lt;=J$2,$F525&gt;=J$2),1,0)</f>
        <v/>
      </c>
      <c r="K525">
        <f>K524+IF(AND($E525&lt;&gt;"",$E525&lt;=K$2,$F525&gt;=K$2),1,0)</f>
        <v/>
      </c>
      <c r="L525">
        <f>L524+IF(AND($E525&lt;&gt;"",$E525&lt;=L$2,$F525&gt;=L$2),1,0)</f>
        <v/>
      </c>
      <c r="M525">
        <f>M524+IF(AND($E525&lt;&gt;"",$E525&lt;=M$2,$F525&gt;=M$2),1,0)</f>
        <v/>
      </c>
      <c r="N525">
        <f>N524+IF(AND($E525&lt;&gt;"",$E525&lt;=N$2,$F525&gt;=N$2),1,0)</f>
        <v/>
      </c>
      <c r="O525">
        <f>O524+IF(AND($E525&lt;&gt;"",$E525&lt;=O$2,$F525&gt;=O$2),1,0)</f>
        <v/>
      </c>
      <c r="P525">
        <f>P524+IF(AND($E525&lt;&gt;"",$E525&lt;=P$2,$F525&gt;=P$2),1,0)</f>
        <v/>
      </c>
      <c r="Q525">
        <f>Q524+IF(AND($E525&lt;&gt;"",$E525&lt;=Q$2,$F525&gt;=Q$2),1,0)</f>
        <v/>
      </c>
      <c r="R525">
        <f>R524+IF(AND($E525&lt;&gt;"",$E525&lt;=R$2,$F525&gt;=R$2),1,0)</f>
        <v/>
      </c>
      <c r="S525">
        <f>S524+IF(AND($E525&lt;&gt;"",$E525&lt;=S$2,$F525&gt;=S$2),1,0)</f>
        <v/>
      </c>
      <c r="T525">
        <f>T524+IF(AND($E525&lt;&gt;"",$E525&lt;=T$2,$F525&gt;=T$2),1,0)</f>
        <v/>
      </c>
      <c r="U525">
        <f>U524+IF(AND($E525&lt;&gt;"",$E525&lt;=U$2,$F525&gt;=U$2),1,0)</f>
        <v/>
      </c>
      <c r="V525">
        <f>V524+IF(AND($E525&lt;&gt;"",$E525&lt;=V$2,$F525&gt;=V$2),1,0)</f>
        <v/>
      </c>
      <c r="W525">
        <f>W524+IF(AND($E525&lt;&gt;"",$E525&lt;=W$2,$F525&gt;=W$2),1,0)</f>
        <v/>
      </c>
      <c r="X525">
        <f>X524+IF(AND($E525&lt;&gt;"",$E525&lt;=X$2,$F525&gt;=X$2),1,0)</f>
        <v/>
      </c>
      <c r="Y525">
        <f>Y524+IF(AND($E525&lt;&gt;"",$E525&lt;=Y$2,$F525&gt;=Y$2),1,0)</f>
        <v/>
      </c>
      <c r="Z525">
        <f>Z524+IF(AND($E525&lt;&gt;"",$E525&lt;=Z$2,$F525&gt;=Z$2),1,0)</f>
        <v/>
      </c>
      <c r="AA525">
        <f>AA524+IF(AND($E525&lt;&gt;"",$E525&lt;=AA$2,$F525&gt;=AA$2),1,0)</f>
        <v/>
      </c>
      <c r="AB525">
        <f>AB524+IF(AND($E525&lt;&gt;"",$E525&lt;=AB$2,$F525&gt;=AB$2),1,0)</f>
        <v/>
      </c>
      <c r="AC525">
        <f>AC524+IF(AND($E525&lt;&gt;"",$E525&lt;=AC$2,$F525&gt;=AC$2),1,0)</f>
        <v/>
      </c>
      <c r="AD525">
        <f>AD524+IF(AND($E525&lt;&gt;"",$E525&lt;=AD$2,$F525&gt;=AD$2),1,0)</f>
        <v/>
      </c>
      <c r="AE525">
        <f>AE524+IF(AND($E525&lt;&gt;"",$E525&lt;=AE$2,$F525&gt;=AE$2),1,0)</f>
        <v/>
      </c>
      <c r="AF525">
        <f>AF524+IF(AND($E525&lt;&gt;"",$E525&lt;=AF$2,$F525&gt;=AF$2),1,0)</f>
        <v/>
      </c>
      <c r="AG525">
        <f>AG524+IF(AND($E525&lt;&gt;"",$E525&lt;=AG$2,$F525&gt;=AG$2),1,0)</f>
        <v/>
      </c>
      <c r="AH525">
        <f>AH524+IF(AND($E525&lt;&gt;"",$E525&lt;=AH$2,$F525&gt;=AH$2),1,0)</f>
        <v/>
      </c>
      <c r="AI525">
        <f>AI524+IF(AND($E525&lt;&gt;"",$E525&lt;=AI$2,$F525&gt;=AI$2),1,0)</f>
        <v/>
      </c>
      <c r="AJ525">
        <f>AJ524+IF(AND($E525&lt;&gt;"",$E525&lt;=AJ$2,$F525&gt;=AJ$2),1,0)</f>
        <v/>
      </c>
      <c r="AK525">
        <f>AK524+IF(AND($E525&lt;&gt;"",$E525&lt;=AK$2,$F525&gt;=AK$2),1,0)</f>
        <v/>
      </c>
      <c r="AL525">
        <f>AL524+IF(AND($E525&lt;&gt;"",$E525&lt;=AL$2,$F525&gt;=AL$2),1,0)</f>
        <v/>
      </c>
      <c r="AM525">
        <f>AM524+IF(AND($E525&lt;&gt;"",$E525&lt;=AM$2,$F525&gt;=AM$2),1,0)</f>
        <v/>
      </c>
      <c r="AN525">
        <f>AN524+IF(AND($E525&lt;&gt;"",$E525&lt;=AN$2,$F525&gt;=AN$2),1,0)</f>
        <v/>
      </c>
      <c r="AO525">
        <f>AO524+IF(AND($E525&lt;&gt;"",$E525&lt;=AO$2,$F525&gt;=AO$2),1,0)</f>
        <v/>
      </c>
      <c r="AP525">
        <f>AP524+IF(AND($E525&lt;&gt;"",$E525&lt;=AP$2,$F525&gt;=AP$2),1,0)</f>
        <v/>
      </c>
      <c r="AQ525">
        <f>AQ524+IF(AND($E525&lt;&gt;"",$E525&lt;=AQ$2,$F525&gt;=AQ$2),1,0)</f>
        <v/>
      </c>
      <c r="AR525">
        <f>AR524+IF(AND($E525&lt;&gt;"",$E525&lt;=AR$2,$F525&gt;=AR$2),1,0)</f>
        <v/>
      </c>
      <c r="AS525">
        <f>AS524+IF(AND($E525&lt;&gt;"",$E525&lt;=AS$2,$F525&gt;=AS$2),1,0)</f>
        <v/>
      </c>
      <c r="AT525">
        <f>AT524+IF(AND($E525&lt;&gt;"",$E525&lt;=AT$2,$F525&gt;=AT$2),1,0)</f>
        <v/>
      </c>
      <c r="AU525">
        <f>AU524+IF(AND($E525&lt;&gt;"",$E525&lt;=AU$2,$F525&gt;=AU$2),1,0)</f>
        <v/>
      </c>
      <c r="AV525">
        <f>AV524+IF(AND($E525&lt;&gt;"",$E525&lt;=AV$2,$F525&gt;=AV$2),1,0)</f>
        <v/>
      </c>
      <c r="AW525">
        <f>AW524+IF(AND($E525&lt;&gt;"",$E525&lt;=AW$2,$F525&gt;=AW$2),1,0)</f>
        <v/>
      </c>
    </row>
    <row r="526">
      <c r="A526">
        <f>IF(AND(ISNUMBER(Events!$A528),ISNUMBER(Events!$B528)),MAX(0,Events!$B528-Events!$A528),0)</f>
        <v/>
      </c>
      <c r="B526">
        <f>IF(ISNUMBER(Events!$A528),DATE(YEAR($B$1)-1,MONTH(Events!$A528),DAY(Events!$A528)),"")</f>
        <v/>
      </c>
      <c r="C526">
        <f>IF(ISNUMBER(Events!$A528),DATE(YEAR($B$1),MONTH(Events!$A528),DAY(Events!$A528)),"")</f>
        <v/>
      </c>
      <c r="D526">
        <f>IF(ISNUMBER(Events!$A528),DATE(YEAR($B$2),MONTH(Events!$A528),DAY(Events!$A528)),"")</f>
        <v/>
      </c>
      <c r="E526">
        <f>IF(OR(NOT(ISNUMBER(Events!$A528)),Events!$G528="No",Calendar!$H$4="None"),"",IF(OR(Calendar!$H$4="All events",Events!$D528=Calendar!$H$4),IF(Events!$E528="Yes",IF(AND(B526&gt;=Events!$A528,B526&lt;=$B$2,B526+$A526&gt;=$B$1),B526,IF(AND(C526&gt;=Events!$A528,C526&lt;=$B$2,C526+$A526&gt;=$B$1),C526,IF(AND(D526&gt;=Events!$A528,D526&lt;=$B$2,D526+$A526&gt;=$B$1),D526,""))),IF(AND(Events!$A528&lt;=$B$2,Events!$A528+$A526&gt;=$B$1),Events!$A528,"")),""))</f>
        <v/>
      </c>
      <c r="F526">
        <f>IF(E526="","",E526+A526)</f>
        <v/>
      </c>
      <c r="G526">
        <f>IF(E526="","",IF(AND(E526&lt;=EOMONTH(Calendar!$K$2,0),F526&gt;=Calendar!$K$2),E526+523/100000,""))</f>
        <v/>
      </c>
      <c r="H526">
        <f>H525+IF(AND($E526&lt;&gt;"",$E526&lt;=H$2,$F526&gt;=H$2),1,0)</f>
        <v/>
      </c>
      <c r="I526">
        <f>I525+IF(AND($E526&lt;&gt;"",$E526&lt;=I$2,$F526&gt;=I$2),1,0)</f>
        <v/>
      </c>
      <c r="J526">
        <f>J525+IF(AND($E526&lt;&gt;"",$E526&lt;=J$2,$F526&gt;=J$2),1,0)</f>
        <v/>
      </c>
      <c r="K526">
        <f>K525+IF(AND($E526&lt;&gt;"",$E526&lt;=K$2,$F526&gt;=K$2),1,0)</f>
        <v/>
      </c>
      <c r="L526">
        <f>L525+IF(AND($E526&lt;&gt;"",$E526&lt;=L$2,$F526&gt;=L$2),1,0)</f>
        <v/>
      </c>
      <c r="M526">
        <f>M525+IF(AND($E526&lt;&gt;"",$E526&lt;=M$2,$F526&gt;=M$2),1,0)</f>
        <v/>
      </c>
      <c r="N526">
        <f>N525+IF(AND($E526&lt;&gt;"",$E526&lt;=N$2,$F526&gt;=N$2),1,0)</f>
        <v/>
      </c>
      <c r="O526">
        <f>O525+IF(AND($E526&lt;&gt;"",$E526&lt;=O$2,$F526&gt;=O$2),1,0)</f>
        <v/>
      </c>
      <c r="P526">
        <f>P525+IF(AND($E526&lt;&gt;"",$E526&lt;=P$2,$F526&gt;=P$2),1,0)</f>
        <v/>
      </c>
      <c r="Q526">
        <f>Q525+IF(AND($E526&lt;&gt;"",$E526&lt;=Q$2,$F526&gt;=Q$2),1,0)</f>
        <v/>
      </c>
      <c r="R526">
        <f>R525+IF(AND($E526&lt;&gt;"",$E526&lt;=R$2,$F526&gt;=R$2),1,0)</f>
        <v/>
      </c>
      <c r="S526">
        <f>S525+IF(AND($E526&lt;&gt;"",$E526&lt;=S$2,$F526&gt;=S$2),1,0)</f>
        <v/>
      </c>
      <c r="T526">
        <f>T525+IF(AND($E526&lt;&gt;"",$E526&lt;=T$2,$F526&gt;=T$2),1,0)</f>
        <v/>
      </c>
      <c r="U526">
        <f>U525+IF(AND($E526&lt;&gt;"",$E526&lt;=U$2,$F526&gt;=U$2),1,0)</f>
        <v/>
      </c>
      <c r="V526">
        <f>V525+IF(AND($E526&lt;&gt;"",$E526&lt;=V$2,$F526&gt;=V$2),1,0)</f>
        <v/>
      </c>
      <c r="W526">
        <f>W525+IF(AND($E526&lt;&gt;"",$E526&lt;=W$2,$F526&gt;=W$2),1,0)</f>
        <v/>
      </c>
      <c r="X526">
        <f>X525+IF(AND($E526&lt;&gt;"",$E526&lt;=X$2,$F526&gt;=X$2),1,0)</f>
        <v/>
      </c>
      <c r="Y526">
        <f>Y525+IF(AND($E526&lt;&gt;"",$E526&lt;=Y$2,$F526&gt;=Y$2),1,0)</f>
        <v/>
      </c>
      <c r="Z526">
        <f>Z525+IF(AND($E526&lt;&gt;"",$E526&lt;=Z$2,$F526&gt;=Z$2),1,0)</f>
        <v/>
      </c>
      <c r="AA526">
        <f>AA525+IF(AND($E526&lt;&gt;"",$E526&lt;=AA$2,$F526&gt;=AA$2),1,0)</f>
        <v/>
      </c>
      <c r="AB526">
        <f>AB525+IF(AND($E526&lt;&gt;"",$E526&lt;=AB$2,$F526&gt;=AB$2),1,0)</f>
        <v/>
      </c>
      <c r="AC526">
        <f>AC525+IF(AND($E526&lt;&gt;"",$E526&lt;=AC$2,$F526&gt;=AC$2),1,0)</f>
        <v/>
      </c>
      <c r="AD526">
        <f>AD525+IF(AND($E526&lt;&gt;"",$E526&lt;=AD$2,$F526&gt;=AD$2),1,0)</f>
        <v/>
      </c>
      <c r="AE526">
        <f>AE525+IF(AND($E526&lt;&gt;"",$E526&lt;=AE$2,$F526&gt;=AE$2),1,0)</f>
        <v/>
      </c>
      <c r="AF526">
        <f>AF525+IF(AND($E526&lt;&gt;"",$E526&lt;=AF$2,$F526&gt;=AF$2),1,0)</f>
        <v/>
      </c>
      <c r="AG526">
        <f>AG525+IF(AND($E526&lt;&gt;"",$E526&lt;=AG$2,$F526&gt;=AG$2),1,0)</f>
        <v/>
      </c>
      <c r="AH526">
        <f>AH525+IF(AND($E526&lt;&gt;"",$E526&lt;=AH$2,$F526&gt;=AH$2),1,0)</f>
        <v/>
      </c>
      <c r="AI526">
        <f>AI525+IF(AND($E526&lt;&gt;"",$E526&lt;=AI$2,$F526&gt;=AI$2),1,0)</f>
        <v/>
      </c>
      <c r="AJ526">
        <f>AJ525+IF(AND($E526&lt;&gt;"",$E526&lt;=AJ$2,$F526&gt;=AJ$2),1,0)</f>
        <v/>
      </c>
      <c r="AK526">
        <f>AK525+IF(AND($E526&lt;&gt;"",$E526&lt;=AK$2,$F526&gt;=AK$2),1,0)</f>
        <v/>
      </c>
      <c r="AL526">
        <f>AL525+IF(AND($E526&lt;&gt;"",$E526&lt;=AL$2,$F526&gt;=AL$2),1,0)</f>
        <v/>
      </c>
      <c r="AM526">
        <f>AM525+IF(AND($E526&lt;&gt;"",$E526&lt;=AM$2,$F526&gt;=AM$2),1,0)</f>
        <v/>
      </c>
      <c r="AN526">
        <f>AN525+IF(AND($E526&lt;&gt;"",$E526&lt;=AN$2,$F526&gt;=AN$2),1,0)</f>
        <v/>
      </c>
      <c r="AO526">
        <f>AO525+IF(AND($E526&lt;&gt;"",$E526&lt;=AO$2,$F526&gt;=AO$2),1,0)</f>
        <v/>
      </c>
      <c r="AP526">
        <f>AP525+IF(AND($E526&lt;&gt;"",$E526&lt;=AP$2,$F526&gt;=AP$2),1,0)</f>
        <v/>
      </c>
      <c r="AQ526">
        <f>AQ525+IF(AND($E526&lt;&gt;"",$E526&lt;=AQ$2,$F526&gt;=AQ$2),1,0)</f>
        <v/>
      </c>
      <c r="AR526">
        <f>AR525+IF(AND($E526&lt;&gt;"",$E526&lt;=AR$2,$F526&gt;=AR$2),1,0)</f>
        <v/>
      </c>
      <c r="AS526">
        <f>AS525+IF(AND($E526&lt;&gt;"",$E526&lt;=AS$2,$F526&gt;=AS$2),1,0)</f>
        <v/>
      </c>
      <c r="AT526">
        <f>AT525+IF(AND($E526&lt;&gt;"",$E526&lt;=AT$2,$F526&gt;=AT$2),1,0)</f>
        <v/>
      </c>
      <c r="AU526">
        <f>AU525+IF(AND($E526&lt;&gt;"",$E526&lt;=AU$2,$F526&gt;=AU$2),1,0)</f>
        <v/>
      </c>
      <c r="AV526">
        <f>AV525+IF(AND($E526&lt;&gt;"",$E526&lt;=AV$2,$F526&gt;=AV$2),1,0)</f>
        <v/>
      </c>
      <c r="AW526">
        <f>AW525+IF(AND($E526&lt;&gt;"",$E526&lt;=AW$2,$F526&gt;=AW$2),1,0)</f>
        <v/>
      </c>
    </row>
    <row r="527">
      <c r="A527">
        <f>IF(AND(ISNUMBER(Events!$A529),ISNUMBER(Events!$B529)),MAX(0,Events!$B529-Events!$A529),0)</f>
        <v/>
      </c>
      <c r="B527">
        <f>IF(ISNUMBER(Events!$A529),DATE(YEAR($B$1)-1,MONTH(Events!$A529),DAY(Events!$A529)),"")</f>
        <v/>
      </c>
      <c r="C527">
        <f>IF(ISNUMBER(Events!$A529),DATE(YEAR($B$1),MONTH(Events!$A529),DAY(Events!$A529)),"")</f>
        <v/>
      </c>
      <c r="D527">
        <f>IF(ISNUMBER(Events!$A529),DATE(YEAR($B$2),MONTH(Events!$A529),DAY(Events!$A529)),"")</f>
        <v/>
      </c>
      <c r="E527">
        <f>IF(OR(NOT(ISNUMBER(Events!$A529)),Events!$G529="No",Calendar!$H$4="None"),"",IF(OR(Calendar!$H$4="All events",Events!$D529=Calendar!$H$4),IF(Events!$E529="Yes",IF(AND(B527&gt;=Events!$A529,B527&lt;=$B$2,B527+$A527&gt;=$B$1),B527,IF(AND(C527&gt;=Events!$A529,C527&lt;=$B$2,C527+$A527&gt;=$B$1),C527,IF(AND(D527&gt;=Events!$A529,D527&lt;=$B$2,D527+$A527&gt;=$B$1),D527,""))),IF(AND(Events!$A529&lt;=$B$2,Events!$A529+$A527&gt;=$B$1),Events!$A529,"")),""))</f>
        <v/>
      </c>
      <c r="F527">
        <f>IF(E527="","",E527+A527)</f>
        <v/>
      </c>
      <c r="G527">
        <f>IF(E527="","",IF(AND(E527&lt;=EOMONTH(Calendar!$K$2,0),F527&gt;=Calendar!$K$2),E527+524/100000,""))</f>
        <v/>
      </c>
      <c r="H527">
        <f>H526+IF(AND($E527&lt;&gt;"",$E527&lt;=H$2,$F527&gt;=H$2),1,0)</f>
        <v/>
      </c>
      <c r="I527">
        <f>I526+IF(AND($E527&lt;&gt;"",$E527&lt;=I$2,$F527&gt;=I$2),1,0)</f>
        <v/>
      </c>
      <c r="J527">
        <f>J526+IF(AND($E527&lt;&gt;"",$E527&lt;=J$2,$F527&gt;=J$2),1,0)</f>
        <v/>
      </c>
      <c r="K527">
        <f>K526+IF(AND($E527&lt;&gt;"",$E527&lt;=K$2,$F527&gt;=K$2),1,0)</f>
        <v/>
      </c>
      <c r="L527">
        <f>L526+IF(AND($E527&lt;&gt;"",$E527&lt;=L$2,$F527&gt;=L$2),1,0)</f>
        <v/>
      </c>
      <c r="M527">
        <f>M526+IF(AND($E527&lt;&gt;"",$E527&lt;=M$2,$F527&gt;=M$2),1,0)</f>
        <v/>
      </c>
      <c r="N527">
        <f>N526+IF(AND($E527&lt;&gt;"",$E527&lt;=N$2,$F527&gt;=N$2),1,0)</f>
        <v/>
      </c>
      <c r="O527">
        <f>O526+IF(AND($E527&lt;&gt;"",$E527&lt;=O$2,$F527&gt;=O$2),1,0)</f>
        <v/>
      </c>
      <c r="P527">
        <f>P526+IF(AND($E527&lt;&gt;"",$E527&lt;=P$2,$F527&gt;=P$2),1,0)</f>
        <v/>
      </c>
      <c r="Q527">
        <f>Q526+IF(AND($E527&lt;&gt;"",$E527&lt;=Q$2,$F527&gt;=Q$2),1,0)</f>
        <v/>
      </c>
      <c r="R527">
        <f>R526+IF(AND($E527&lt;&gt;"",$E527&lt;=R$2,$F527&gt;=R$2),1,0)</f>
        <v/>
      </c>
      <c r="S527">
        <f>S526+IF(AND($E527&lt;&gt;"",$E527&lt;=S$2,$F527&gt;=S$2),1,0)</f>
        <v/>
      </c>
      <c r="T527">
        <f>T526+IF(AND($E527&lt;&gt;"",$E527&lt;=T$2,$F527&gt;=T$2),1,0)</f>
        <v/>
      </c>
      <c r="U527">
        <f>U526+IF(AND($E527&lt;&gt;"",$E527&lt;=U$2,$F527&gt;=U$2),1,0)</f>
        <v/>
      </c>
      <c r="V527">
        <f>V526+IF(AND($E527&lt;&gt;"",$E527&lt;=V$2,$F527&gt;=V$2),1,0)</f>
        <v/>
      </c>
      <c r="W527">
        <f>W526+IF(AND($E527&lt;&gt;"",$E527&lt;=W$2,$F527&gt;=W$2),1,0)</f>
        <v/>
      </c>
      <c r="X527">
        <f>X526+IF(AND($E527&lt;&gt;"",$E527&lt;=X$2,$F527&gt;=X$2),1,0)</f>
        <v/>
      </c>
      <c r="Y527">
        <f>Y526+IF(AND($E527&lt;&gt;"",$E527&lt;=Y$2,$F527&gt;=Y$2),1,0)</f>
        <v/>
      </c>
      <c r="Z527">
        <f>Z526+IF(AND($E527&lt;&gt;"",$E527&lt;=Z$2,$F527&gt;=Z$2),1,0)</f>
        <v/>
      </c>
      <c r="AA527">
        <f>AA526+IF(AND($E527&lt;&gt;"",$E527&lt;=AA$2,$F527&gt;=AA$2),1,0)</f>
        <v/>
      </c>
      <c r="AB527">
        <f>AB526+IF(AND($E527&lt;&gt;"",$E527&lt;=AB$2,$F527&gt;=AB$2),1,0)</f>
        <v/>
      </c>
      <c r="AC527">
        <f>AC526+IF(AND($E527&lt;&gt;"",$E527&lt;=AC$2,$F527&gt;=AC$2),1,0)</f>
        <v/>
      </c>
      <c r="AD527">
        <f>AD526+IF(AND($E527&lt;&gt;"",$E527&lt;=AD$2,$F527&gt;=AD$2),1,0)</f>
        <v/>
      </c>
      <c r="AE527">
        <f>AE526+IF(AND($E527&lt;&gt;"",$E527&lt;=AE$2,$F527&gt;=AE$2),1,0)</f>
        <v/>
      </c>
      <c r="AF527">
        <f>AF526+IF(AND($E527&lt;&gt;"",$E527&lt;=AF$2,$F527&gt;=AF$2),1,0)</f>
        <v/>
      </c>
      <c r="AG527">
        <f>AG526+IF(AND($E527&lt;&gt;"",$E527&lt;=AG$2,$F527&gt;=AG$2),1,0)</f>
        <v/>
      </c>
      <c r="AH527">
        <f>AH526+IF(AND($E527&lt;&gt;"",$E527&lt;=AH$2,$F527&gt;=AH$2),1,0)</f>
        <v/>
      </c>
      <c r="AI527">
        <f>AI526+IF(AND($E527&lt;&gt;"",$E527&lt;=AI$2,$F527&gt;=AI$2),1,0)</f>
        <v/>
      </c>
      <c r="AJ527">
        <f>AJ526+IF(AND($E527&lt;&gt;"",$E527&lt;=AJ$2,$F527&gt;=AJ$2),1,0)</f>
        <v/>
      </c>
      <c r="AK527">
        <f>AK526+IF(AND($E527&lt;&gt;"",$E527&lt;=AK$2,$F527&gt;=AK$2),1,0)</f>
        <v/>
      </c>
      <c r="AL527">
        <f>AL526+IF(AND($E527&lt;&gt;"",$E527&lt;=AL$2,$F527&gt;=AL$2),1,0)</f>
        <v/>
      </c>
      <c r="AM527">
        <f>AM526+IF(AND($E527&lt;&gt;"",$E527&lt;=AM$2,$F527&gt;=AM$2),1,0)</f>
        <v/>
      </c>
      <c r="AN527">
        <f>AN526+IF(AND($E527&lt;&gt;"",$E527&lt;=AN$2,$F527&gt;=AN$2),1,0)</f>
        <v/>
      </c>
      <c r="AO527">
        <f>AO526+IF(AND($E527&lt;&gt;"",$E527&lt;=AO$2,$F527&gt;=AO$2),1,0)</f>
        <v/>
      </c>
      <c r="AP527">
        <f>AP526+IF(AND($E527&lt;&gt;"",$E527&lt;=AP$2,$F527&gt;=AP$2),1,0)</f>
        <v/>
      </c>
      <c r="AQ527">
        <f>AQ526+IF(AND($E527&lt;&gt;"",$E527&lt;=AQ$2,$F527&gt;=AQ$2),1,0)</f>
        <v/>
      </c>
      <c r="AR527">
        <f>AR526+IF(AND($E527&lt;&gt;"",$E527&lt;=AR$2,$F527&gt;=AR$2),1,0)</f>
        <v/>
      </c>
      <c r="AS527">
        <f>AS526+IF(AND($E527&lt;&gt;"",$E527&lt;=AS$2,$F527&gt;=AS$2),1,0)</f>
        <v/>
      </c>
      <c r="AT527">
        <f>AT526+IF(AND($E527&lt;&gt;"",$E527&lt;=AT$2,$F527&gt;=AT$2),1,0)</f>
        <v/>
      </c>
      <c r="AU527">
        <f>AU526+IF(AND($E527&lt;&gt;"",$E527&lt;=AU$2,$F527&gt;=AU$2),1,0)</f>
        <v/>
      </c>
      <c r="AV527">
        <f>AV526+IF(AND($E527&lt;&gt;"",$E527&lt;=AV$2,$F527&gt;=AV$2),1,0)</f>
        <v/>
      </c>
      <c r="AW527">
        <f>AW526+IF(AND($E527&lt;&gt;"",$E527&lt;=AW$2,$F527&gt;=AW$2),1,0)</f>
        <v/>
      </c>
    </row>
    <row r="528">
      <c r="A528">
        <f>IF(AND(ISNUMBER(Events!$A530),ISNUMBER(Events!$B530)),MAX(0,Events!$B530-Events!$A530),0)</f>
        <v/>
      </c>
      <c r="B528">
        <f>IF(ISNUMBER(Events!$A530),DATE(YEAR($B$1)-1,MONTH(Events!$A530),DAY(Events!$A530)),"")</f>
        <v/>
      </c>
      <c r="C528">
        <f>IF(ISNUMBER(Events!$A530),DATE(YEAR($B$1),MONTH(Events!$A530),DAY(Events!$A530)),"")</f>
        <v/>
      </c>
      <c r="D528">
        <f>IF(ISNUMBER(Events!$A530),DATE(YEAR($B$2),MONTH(Events!$A530),DAY(Events!$A530)),"")</f>
        <v/>
      </c>
      <c r="E528">
        <f>IF(OR(NOT(ISNUMBER(Events!$A530)),Events!$G530="No",Calendar!$H$4="None"),"",IF(OR(Calendar!$H$4="All events",Events!$D530=Calendar!$H$4),IF(Events!$E530="Yes",IF(AND(B528&gt;=Events!$A530,B528&lt;=$B$2,B528+$A528&gt;=$B$1),B528,IF(AND(C528&gt;=Events!$A530,C528&lt;=$B$2,C528+$A528&gt;=$B$1),C528,IF(AND(D528&gt;=Events!$A530,D528&lt;=$B$2,D528+$A528&gt;=$B$1),D528,""))),IF(AND(Events!$A530&lt;=$B$2,Events!$A530+$A528&gt;=$B$1),Events!$A530,"")),""))</f>
        <v/>
      </c>
      <c r="F528">
        <f>IF(E528="","",E528+A528)</f>
        <v/>
      </c>
      <c r="G528">
        <f>IF(E528="","",IF(AND(E528&lt;=EOMONTH(Calendar!$K$2,0),F528&gt;=Calendar!$K$2),E528+525/100000,""))</f>
        <v/>
      </c>
      <c r="H528">
        <f>H527+IF(AND($E528&lt;&gt;"",$E528&lt;=H$2,$F528&gt;=H$2),1,0)</f>
        <v/>
      </c>
      <c r="I528">
        <f>I527+IF(AND($E528&lt;&gt;"",$E528&lt;=I$2,$F528&gt;=I$2),1,0)</f>
        <v/>
      </c>
      <c r="J528">
        <f>J527+IF(AND($E528&lt;&gt;"",$E528&lt;=J$2,$F528&gt;=J$2),1,0)</f>
        <v/>
      </c>
      <c r="K528">
        <f>K527+IF(AND($E528&lt;&gt;"",$E528&lt;=K$2,$F528&gt;=K$2),1,0)</f>
        <v/>
      </c>
      <c r="L528">
        <f>L527+IF(AND($E528&lt;&gt;"",$E528&lt;=L$2,$F528&gt;=L$2),1,0)</f>
        <v/>
      </c>
      <c r="M528">
        <f>M527+IF(AND($E528&lt;&gt;"",$E528&lt;=M$2,$F528&gt;=M$2),1,0)</f>
        <v/>
      </c>
      <c r="N528">
        <f>N527+IF(AND($E528&lt;&gt;"",$E528&lt;=N$2,$F528&gt;=N$2),1,0)</f>
        <v/>
      </c>
      <c r="O528">
        <f>O527+IF(AND($E528&lt;&gt;"",$E528&lt;=O$2,$F528&gt;=O$2),1,0)</f>
        <v/>
      </c>
      <c r="P528">
        <f>P527+IF(AND($E528&lt;&gt;"",$E528&lt;=P$2,$F528&gt;=P$2),1,0)</f>
        <v/>
      </c>
      <c r="Q528">
        <f>Q527+IF(AND($E528&lt;&gt;"",$E528&lt;=Q$2,$F528&gt;=Q$2),1,0)</f>
        <v/>
      </c>
      <c r="R528">
        <f>R527+IF(AND($E528&lt;&gt;"",$E528&lt;=R$2,$F528&gt;=R$2),1,0)</f>
        <v/>
      </c>
      <c r="S528">
        <f>S527+IF(AND($E528&lt;&gt;"",$E528&lt;=S$2,$F528&gt;=S$2),1,0)</f>
        <v/>
      </c>
      <c r="T528">
        <f>T527+IF(AND($E528&lt;&gt;"",$E528&lt;=T$2,$F528&gt;=T$2),1,0)</f>
        <v/>
      </c>
      <c r="U528">
        <f>U527+IF(AND($E528&lt;&gt;"",$E528&lt;=U$2,$F528&gt;=U$2),1,0)</f>
        <v/>
      </c>
      <c r="V528">
        <f>V527+IF(AND($E528&lt;&gt;"",$E528&lt;=V$2,$F528&gt;=V$2),1,0)</f>
        <v/>
      </c>
      <c r="W528">
        <f>W527+IF(AND($E528&lt;&gt;"",$E528&lt;=W$2,$F528&gt;=W$2),1,0)</f>
        <v/>
      </c>
      <c r="X528">
        <f>X527+IF(AND($E528&lt;&gt;"",$E528&lt;=X$2,$F528&gt;=X$2),1,0)</f>
        <v/>
      </c>
      <c r="Y528">
        <f>Y527+IF(AND($E528&lt;&gt;"",$E528&lt;=Y$2,$F528&gt;=Y$2),1,0)</f>
        <v/>
      </c>
      <c r="Z528">
        <f>Z527+IF(AND($E528&lt;&gt;"",$E528&lt;=Z$2,$F528&gt;=Z$2),1,0)</f>
        <v/>
      </c>
      <c r="AA528">
        <f>AA527+IF(AND($E528&lt;&gt;"",$E528&lt;=AA$2,$F528&gt;=AA$2),1,0)</f>
        <v/>
      </c>
      <c r="AB528">
        <f>AB527+IF(AND($E528&lt;&gt;"",$E528&lt;=AB$2,$F528&gt;=AB$2),1,0)</f>
        <v/>
      </c>
      <c r="AC528">
        <f>AC527+IF(AND($E528&lt;&gt;"",$E528&lt;=AC$2,$F528&gt;=AC$2),1,0)</f>
        <v/>
      </c>
      <c r="AD528">
        <f>AD527+IF(AND($E528&lt;&gt;"",$E528&lt;=AD$2,$F528&gt;=AD$2),1,0)</f>
        <v/>
      </c>
      <c r="AE528">
        <f>AE527+IF(AND($E528&lt;&gt;"",$E528&lt;=AE$2,$F528&gt;=AE$2),1,0)</f>
        <v/>
      </c>
      <c r="AF528">
        <f>AF527+IF(AND($E528&lt;&gt;"",$E528&lt;=AF$2,$F528&gt;=AF$2),1,0)</f>
        <v/>
      </c>
      <c r="AG528">
        <f>AG527+IF(AND($E528&lt;&gt;"",$E528&lt;=AG$2,$F528&gt;=AG$2),1,0)</f>
        <v/>
      </c>
      <c r="AH528">
        <f>AH527+IF(AND($E528&lt;&gt;"",$E528&lt;=AH$2,$F528&gt;=AH$2),1,0)</f>
        <v/>
      </c>
      <c r="AI528">
        <f>AI527+IF(AND($E528&lt;&gt;"",$E528&lt;=AI$2,$F528&gt;=AI$2),1,0)</f>
        <v/>
      </c>
      <c r="AJ528">
        <f>AJ527+IF(AND($E528&lt;&gt;"",$E528&lt;=AJ$2,$F528&gt;=AJ$2),1,0)</f>
        <v/>
      </c>
      <c r="AK528">
        <f>AK527+IF(AND($E528&lt;&gt;"",$E528&lt;=AK$2,$F528&gt;=AK$2),1,0)</f>
        <v/>
      </c>
      <c r="AL528">
        <f>AL527+IF(AND($E528&lt;&gt;"",$E528&lt;=AL$2,$F528&gt;=AL$2),1,0)</f>
        <v/>
      </c>
      <c r="AM528">
        <f>AM527+IF(AND($E528&lt;&gt;"",$E528&lt;=AM$2,$F528&gt;=AM$2),1,0)</f>
        <v/>
      </c>
      <c r="AN528">
        <f>AN527+IF(AND($E528&lt;&gt;"",$E528&lt;=AN$2,$F528&gt;=AN$2),1,0)</f>
        <v/>
      </c>
      <c r="AO528">
        <f>AO527+IF(AND($E528&lt;&gt;"",$E528&lt;=AO$2,$F528&gt;=AO$2),1,0)</f>
        <v/>
      </c>
      <c r="AP528">
        <f>AP527+IF(AND($E528&lt;&gt;"",$E528&lt;=AP$2,$F528&gt;=AP$2),1,0)</f>
        <v/>
      </c>
      <c r="AQ528">
        <f>AQ527+IF(AND($E528&lt;&gt;"",$E528&lt;=AQ$2,$F528&gt;=AQ$2),1,0)</f>
        <v/>
      </c>
      <c r="AR528">
        <f>AR527+IF(AND($E528&lt;&gt;"",$E528&lt;=AR$2,$F528&gt;=AR$2),1,0)</f>
        <v/>
      </c>
      <c r="AS528">
        <f>AS527+IF(AND($E528&lt;&gt;"",$E528&lt;=AS$2,$F528&gt;=AS$2),1,0)</f>
        <v/>
      </c>
      <c r="AT528">
        <f>AT527+IF(AND($E528&lt;&gt;"",$E528&lt;=AT$2,$F528&gt;=AT$2),1,0)</f>
        <v/>
      </c>
      <c r="AU528">
        <f>AU527+IF(AND($E528&lt;&gt;"",$E528&lt;=AU$2,$F528&gt;=AU$2),1,0)</f>
        <v/>
      </c>
      <c r="AV528">
        <f>AV527+IF(AND($E528&lt;&gt;"",$E528&lt;=AV$2,$F528&gt;=AV$2),1,0)</f>
        <v/>
      </c>
      <c r="AW528">
        <f>AW527+IF(AND($E528&lt;&gt;"",$E528&lt;=AW$2,$F528&gt;=AW$2),1,0)</f>
        <v/>
      </c>
    </row>
    <row r="529">
      <c r="A529">
        <f>IF(AND(ISNUMBER(Events!$A531),ISNUMBER(Events!$B531)),MAX(0,Events!$B531-Events!$A531),0)</f>
        <v/>
      </c>
      <c r="B529">
        <f>IF(ISNUMBER(Events!$A531),DATE(YEAR($B$1)-1,MONTH(Events!$A531),DAY(Events!$A531)),"")</f>
        <v/>
      </c>
      <c r="C529">
        <f>IF(ISNUMBER(Events!$A531),DATE(YEAR($B$1),MONTH(Events!$A531),DAY(Events!$A531)),"")</f>
        <v/>
      </c>
      <c r="D529">
        <f>IF(ISNUMBER(Events!$A531),DATE(YEAR($B$2),MONTH(Events!$A531),DAY(Events!$A531)),"")</f>
        <v/>
      </c>
      <c r="E529">
        <f>IF(OR(NOT(ISNUMBER(Events!$A531)),Events!$G531="No",Calendar!$H$4="None"),"",IF(OR(Calendar!$H$4="All events",Events!$D531=Calendar!$H$4),IF(Events!$E531="Yes",IF(AND(B529&gt;=Events!$A531,B529&lt;=$B$2,B529+$A529&gt;=$B$1),B529,IF(AND(C529&gt;=Events!$A531,C529&lt;=$B$2,C529+$A529&gt;=$B$1),C529,IF(AND(D529&gt;=Events!$A531,D529&lt;=$B$2,D529+$A529&gt;=$B$1),D529,""))),IF(AND(Events!$A531&lt;=$B$2,Events!$A531+$A529&gt;=$B$1),Events!$A531,"")),""))</f>
        <v/>
      </c>
      <c r="F529">
        <f>IF(E529="","",E529+A529)</f>
        <v/>
      </c>
      <c r="G529">
        <f>IF(E529="","",IF(AND(E529&lt;=EOMONTH(Calendar!$K$2,0),F529&gt;=Calendar!$K$2),E529+526/100000,""))</f>
        <v/>
      </c>
      <c r="H529">
        <f>H528+IF(AND($E529&lt;&gt;"",$E529&lt;=H$2,$F529&gt;=H$2),1,0)</f>
        <v/>
      </c>
      <c r="I529">
        <f>I528+IF(AND($E529&lt;&gt;"",$E529&lt;=I$2,$F529&gt;=I$2),1,0)</f>
        <v/>
      </c>
      <c r="J529">
        <f>J528+IF(AND($E529&lt;&gt;"",$E529&lt;=J$2,$F529&gt;=J$2),1,0)</f>
        <v/>
      </c>
      <c r="K529">
        <f>K528+IF(AND($E529&lt;&gt;"",$E529&lt;=K$2,$F529&gt;=K$2),1,0)</f>
        <v/>
      </c>
      <c r="L529">
        <f>L528+IF(AND($E529&lt;&gt;"",$E529&lt;=L$2,$F529&gt;=L$2),1,0)</f>
        <v/>
      </c>
      <c r="M529">
        <f>M528+IF(AND($E529&lt;&gt;"",$E529&lt;=M$2,$F529&gt;=M$2),1,0)</f>
        <v/>
      </c>
      <c r="N529">
        <f>N528+IF(AND($E529&lt;&gt;"",$E529&lt;=N$2,$F529&gt;=N$2),1,0)</f>
        <v/>
      </c>
      <c r="O529">
        <f>O528+IF(AND($E529&lt;&gt;"",$E529&lt;=O$2,$F529&gt;=O$2),1,0)</f>
        <v/>
      </c>
      <c r="P529">
        <f>P528+IF(AND($E529&lt;&gt;"",$E529&lt;=P$2,$F529&gt;=P$2),1,0)</f>
        <v/>
      </c>
      <c r="Q529">
        <f>Q528+IF(AND($E529&lt;&gt;"",$E529&lt;=Q$2,$F529&gt;=Q$2),1,0)</f>
        <v/>
      </c>
      <c r="R529">
        <f>R528+IF(AND($E529&lt;&gt;"",$E529&lt;=R$2,$F529&gt;=R$2),1,0)</f>
        <v/>
      </c>
      <c r="S529">
        <f>S528+IF(AND($E529&lt;&gt;"",$E529&lt;=S$2,$F529&gt;=S$2),1,0)</f>
        <v/>
      </c>
      <c r="T529">
        <f>T528+IF(AND($E529&lt;&gt;"",$E529&lt;=T$2,$F529&gt;=T$2),1,0)</f>
        <v/>
      </c>
      <c r="U529">
        <f>U528+IF(AND($E529&lt;&gt;"",$E529&lt;=U$2,$F529&gt;=U$2),1,0)</f>
        <v/>
      </c>
      <c r="V529">
        <f>V528+IF(AND($E529&lt;&gt;"",$E529&lt;=V$2,$F529&gt;=V$2),1,0)</f>
        <v/>
      </c>
      <c r="W529">
        <f>W528+IF(AND($E529&lt;&gt;"",$E529&lt;=W$2,$F529&gt;=W$2),1,0)</f>
        <v/>
      </c>
      <c r="X529">
        <f>X528+IF(AND($E529&lt;&gt;"",$E529&lt;=X$2,$F529&gt;=X$2),1,0)</f>
        <v/>
      </c>
      <c r="Y529">
        <f>Y528+IF(AND($E529&lt;&gt;"",$E529&lt;=Y$2,$F529&gt;=Y$2),1,0)</f>
        <v/>
      </c>
      <c r="Z529">
        <f>Z528+IF(AND($E529&lt;&gt;"",$E529&lt;=Z$2,$F529&gt;=Z$2),1,0)</f>
        <v/>
      </c>
      <c r="AA529">
        <f>AA528+IF(AND($E529&lt;&gt;"",$E529&lt;=AA$2,$F529&gt;=AA$2),1,0)</f>
        <v/>
      </c>
      <c r="AB529">
        <f>AB528+IF(AND($E529&lt;&gt;"",$E529&lt;=AB$2,$F529&gt;=AB$2),1,0)</f>
        <v/>
      </c>
      <c r="AC529">
        <f>AC528+IF(AND($E529&lt;&gt;"",$E529&lt;=AC$2,$F529&gt;=AC$2),1,0)</f>
        <v/>
      </c>
      <c r="AD529">
        <f>AD528+IF(AND($E529&lt;&gt;"",$E529&lt;=AD$2,$F529&gt;=AD$2),1,0)</f>
        <v/>
      </c>
      <c r="AE529">
        <f>AE528+IF(AND($E529&lt;&gt;"",$E529&lt;=AE$2,$F529&gt;=AE$2),1,0)</f>
        <v/>
      </c>
      <c r="AF529">
        <f>AF528+IF(AND($E529&lt;&gt;"",$E529&lt;=AF$2,$F529&gt;=AF$2),1,0)</f>
        <v/>
      </c>
      <c r="AG529">
        <f>AG528+IF(AND($E529&lt;&gt;"",$E529&lt;=AG$2,$F529&gt;=AG$2),1,0)</f>
        <v/>
      </c>
      <c r="AH529">
        <f>AH528+IF(AND($E529&lt;&gt;"",$E529&lt;=AH$2,$F529&gt;=AH$2),1,0)</f>
        <v/>
      </c>
      <c r="AI529">
        <f>AI528+IF(AND($E529&lt;&gt;"",$E529&lt;=AI$2,$F529&gt;=AI$2),1,0)</f>
        <v/>
      </c>
      <c r="AJ529">
        <f>AJ528+IF(AND($E529&lt;&gt;"",$E529&lt;=AJ$2,$F529&gt;=AJ$2),1,0)</f>
        <v/>
      </c>
      <c r="AK529">
        <f>AK528+IF(AND($E529&lt;&gt;"",$E529&lt;=AK$2,$F529&gt;=AK$2),1,0)</f>
        <v/>
      </c>
      <c r="AL529">
        <f>AL528+IF(AND($E529&lt;&gt;"",$E529&lt;=AL$2,$F529&gt;=AL$2),1,0)</f>
        <v/>
      </c>
      <c r="AM529">
        <f>AM528+IF(AND($E529&lt;&gt;"",$E529&lt;=AM$2,$F529&gt;=AM$2),1,0)</f>
        <v/>
      </c>
      <c r="AN529">
        <f>AN528+IF(AND($E529&lt;&gt;"",$E529&lt;=AN$2,$F529&gt;=AN$2),1,0)</f>
        <v/>
      </c>
      <c r="AO529">
        <f>AO528+IF(AND($E529&lt;&gt;"",$E529&lt;=AO$2,$F529&gt;=AO$2),1,0)</f>
        <v/>
      </c>
      <c r="AP529">
        <f>AP528+IF(AND($E529&lt;&gt;"",$E529&lt;=AP$2,$F529&gt;=AP$2),1,0)</f>
        <v/>
      </c>
      <c r="AQ529">
        <f>AQ528+IF(AND($E529&lt;&gt;"",$E529&lt;=AQ$2,$F529&gt;=AQ$2),1,0)</f>
        <v/>
      </c>
      <c r="AR529">
        <f>AR528+IF(AND($E529&lt;&gt;"",$E529&lt;=AR$2,$F529&gt;=AR$2),1,0)</f>
        <v/>
      </c>
      <c r="AS529">
        <f>AS528+IF(AND($E529&lt;&gt;"",$E529&lt;=AS$2,$F529&gt;=AS$2),1,0)</f>
        <v/>
      </c>
      <c r="AT529">
        <f>AT528+IF(AND($E529&lt;&gt;"",$E529&lt;=AT$2,$F529&gt;=AT$2),1,0)</f>
        <v/>
      </c>
      <c r="AU529">
        <f>AU528+IF(AND($E529&lt;&gt;"",$E529&lt;=AU$2,$F529&gt;=AU$2),1,0)</f>
        <v/>
      </c>
      <c r="AV529">
        <f>AV528+IF(AND($E529&lt;&gt;"",$E529&lt;=AV$2,$F529&gt;=AV$2),1,0)</f>
        <v/>
      </c>
      <c r="AW529">
        <f>AW528+IF(AND($E529&lt;&gt;"",$E529&lt;=AW$2,$F529&gt;=AW$2),1,0)</f>
        <v/>
      </c>
    </row>
    <row r="530">
      <c r="A530">
        <f>IF(AND(ISNUMBER(Events!$A532),ISNUMBER(Events!$B532)),MAX(0,Events!$B532-Events!$A532),0)</f>
        <v/>
      </c>
      <c r="B530">
        <f>IF(ISNUMBER(Events!$A532),DATE(YEAR($B$1)-1,MONTH(Events!$A532),DAY(Events!$A532)),"")</f>
        <v/>
      </c>
      <c r="C530">
        <f>IF(ISNUMBER(Events!$A532),DATE(YEAR($B$1),MONTH(Events!$A532),DAY(Events!$A532)),"")</f>
        <v/>
      </c>
      <c r="D530">
        <f>IF(ISNUMBER(Events!$A532),DATE(YEAR($B$2),MONTH(Events!$A532),DAY(Events!$A532)),"")</f>
        <v/>
      </c>
      <c r="E530">
        <f>IF(OR(NOT(ISNUMBER(Events!$A532)),Events!$G532="No",Calendar!$H$4="None"),"",IF(OR(Calendar!$H$4="All events",Events!$D532=Calendar!$H$4),IF(Events!$E532="Yes",IF(AND(B530&gt;=Events!$A532,B530&lt;=$B$2,B530+$A530&gt;=$B$1),B530,IF(AND(C530&gt;=Events!$A532,C530&lt;=$B$2,C530+$A530&gt;=$B$1),C530,IF(AND(D530&gt;=Events!$A532,D530&lt;=$B$2,D530+$A530&gt;=$B$1),D530,""))),IF(AND(Events!$A532&lt;=$B$2,Events!$A532+$A530&gt;=$B$1),Events!$A532,"")),""))</f>
        <v/>
      </c>
      <c r="F530">
        <f>IF(E530="","",E530+A530)</f>
        <v/>
      </c>
      <c r="G530">
        <f>IF(E530="","",IF(AND(E530&lt;=EOMONTH(Calendar!$K$2,0),F530&gt;=Calendar!$K$2),E530+527/100000,""))</f>
        <v/>
      </c>
      <c r="H530">
        <f>H529+IF(AND($E530&lt;&gt;"",$E530&lt;=H$2,$F530&gt;=H$2),1,0)</f>
        <v/>
      </c>
      <c r="I530">
        <f>I529+IF(AND($E530&lt;&gt;"",$E530&lt;=I$2,$F530&gt;=I$2),1,0)</f>
        <v/>
      </c>
      <c r="J530">
        <f>J529+IF(AND($E530&lt;&gt;"",$E530&lt;=J$2,$F530&gt;=J$2),1,0)</f>
        <v/>
      </c>
      <c r="K530">
        <f>K529+IF(AND($E530&lt;&gt;"",$E530&lt;=K$2,$F530&gt;=K$2),1,0)</f>
        <v/>
      </c>
      <c r="L530">
        <f>L529+IF(AND($E530&lt;&gt;"",$E530&lt;=L$2,$F530&gt;=L$2),1,0)</f>
        <v/>
      </c>
      <c r="M530">
        <f>M529+IF(AND($E530&lt;&gt;"",$E530&lt;=M$2,$F530&gt;=M$2),1,0)</f>
        <v/>
      </c>
      <c r="N530">
        <f>N529+IF(AND($E530&lt;&gt;"",$E530&lt;=N$2,$F530&gt;=N$2),1,0)</f>
        <v/>
      </c>
      <c r="O530">
        <f>O529+IF(AND($E530&lt;&gt;"",$E530&lt;=O$2,$F530&gt;=O$2),1,0)</f>
        <v/>
      </c>
      <c r="P530">
        <f>P529+IF(AND($E530&lt;&gt;"",$E530&lt;=P$2,$F530&gt;=P$2),1,0)</f>
        <v/>
      </c>
      <c r="Q530">
        <f>Q529+IF(AND($E530&lt;&gt;"",$E530&lt;=Q$2,$F530&gt;=Q$2),1,0)</f>
        <v/>
      </c>
      <c r="R530">
        <f>R529+IF(AND($E530&lt;&gt;"",$E530&lt;=R$2,$F530&gt;=R$2),1,0)</f>
        <v/>
      </c>
      <c r="S530">
        <f>S529+IF(AND($E530&lt;&gt;"",$E530&lt;=S$2,$F530&gt;=S$2),1,0)</f>
        <v/>
      </c>
      <c r="T530">
        <f>T529+IF(AND($E530&lt;&gt;"",$E530&lt;=T$2,$F530&gt;=T$2),1,0)</f>
        <v/>
      </c>
      <c r="U530">
        <f>U529+IF(AND($E530&lt;&gt;"",$E530&lt;=U$2,$F530&gt;=U$2),1,0)</f>
        <v/>
      </c>
      <c r="V530">
        <f>V529+IF(AND($E530&lt;&gt;"",$E530&lt;=V$2,$F530&gt;=V$2),1,0)</f>
        <v/>
      </c>
      <c r="W530">
        <f>W529+IF(AND($E530&lt;&gt;"",$E530&lt;=W$2,$F530&gt;=W$2),1,0)</f>
        <v/>
      </c>
      <c r="X530">
        <f>X529+IF(AND($E530&lt;&gt;"",$E530&lt;=X$2,$F530&gt;=X$2),1,0)</f>
        <v/>
      </c>
      <c r="Y530">
        <f>Y529+IF(AND($E530&lt;&gt;"",$E530&lt;=Y$2,$F530&gt;=Y$2),1,0)</f>
        <v/>
      </c>
      <c r="Z530">
        <f>Z529+IF(AND($E530&lt;&gt;"",$E530&lt;=Z$2,$F530&gt;=Z$2),1,0)</f>
        <v/>
      </c>
      <c r="AA530">
        <f>AA529+IF(AND($E530&lt;&gt;"",$E530&lt;=AA$2,$F530&gt;=AA$2),1,0)</f>
        <v/>
      </c>
      <c r="AB530">
        <f>AB529+IF(AND($E530&lt;&gt;"",$E530&lt;=AB$2,$F530&gt;=AB$2),1,0)</f>
        <v/>
      </c>
      <c r="AC530">
        <f>AC529+IF(AND($E530&lt;&gt;"",$E530&lt;=AC$2,$F530&gt;=AC$2),1,0)</f>
        <v/>
      </c>
      <c r="AD530">
        <f>AD529+IF(AND($E530&lt;&gt;"",$E530&lt;=AD$2,$F530&gt;=AD$2),1,0)</f>
        <v/>
      </c>
      <c r="AE530">
        <f>AE529+IF(AND($E530&lt;&gt;"",$E530&lt;=AE$2,$F530&gt;=AE$2),1,0)</f>
        <v/>
      </c>
      <c r="AF530">
        <f>AF529+IF(AND($E530&lt;&gt;"",$E530&lt;=AF$2,$F530&gt;=AF$2),1,0)</f>
        <v/>
      </c>
      <c r="AG530">
        <f>AG529+IF(AND($E530&lt;&gt;"",$E530&lt;=AG$2,$F530&gt;=AG$2),1,0)</f>
        <v/>
      </c>
      <c r="AH530">
        <f>AH529+IF(AND($E530&lt;&gt;"",$E530&lt;=AH$2,$F530&gt;=AH$2),1,0)</f>
        <v/>
      </c>
      <c r="AI530">
        <f>AI529+IF(AND($E530&lt;&gt;"",$E530&lt;=AI$2,$F530&gt;=AI$2),1,0)</f>
        <v/>
      </c>
      <c r="AJ530">
        <f>AJ529+IF(AND($E530&lt;&gt;"",$E530&lt;=AJ$2,$F530&gt;=AJ$2),1,0)</f>
        <v/>
      </c>
      <c r="AK530">
        <f>AK529+IF(AND($E530&lt;&gt;"",$E530&lt;=AK$2,$F530&gt;=AK$2),1,0)</f>
        <v/>
      </c>
      <c r="AL530">
        <f>AL529+IF(AND($E530&lt;&gt;"",$E530&lt;=AL$2,$F530&gt;=AL$2),1,0)</f>
        <v/>
      </c>
      <c r="AM530">
        <f>AM529+IF(AND($E530&lt;&gt;"",$E530&lt;=AM$2,$F530&gt;=AM$2),1,0)</f>
        <v/>
      </c>
      <c r="AN530">
        <f>AN529+IF(AND($E530&lt;&gt;"",$E530&lt;=AN$2,$F530&gt;=AN$2),1,0)</f>
        <v/>
      </c>
      <c r="AO530">
        <f>AO529+IF(AND($E530&lt;&gt;"",$E530&lt;=AO$2,$F530&gt;=AO$2),1,0)</f>
        <v/>
      </c>
      <c r="AP530">
        <f>AP529+IF(AND($E530&lt;&gt;"",$E530&lt;=AP$2,$F530&gt;=AP$2),1,0)</f>
        <v/>
      </c>
      <c r="AQ530">
        <f>AQ529+IF(AND($E530&lt;&gt;"",$E530&lt;=AQ$2,$F530&gt;=AQ$2),1,0)</f>
        <v/>
      </c>
      <c r="AR530">
        <f>AR529+IF(AND($E530&lt;&gt;"",$E530&lt;=AR$2,$F530&gt;=AR$2),1,0)</f>
        <v/>
      </c>
      <c r="AS530">
        <f>AS529+IF(AND($E530&lt;&gt;"",$E530&lt;=AS$2,$F530&gt;=AS$2),1,0)</f>
        <v/>
      </c>
      <c r="AT530">
        <f>AT529+IF(AND($E530&lt;&gt;"",$E530&lt;=AT$2,$F530&gt;=AT$2),1,0)</f>
        <v/>
      </c>
      <c r="AU530">
        <f>AU529+IF(AND($E530&lt;&gt;"",$E530&lt;=AU$2,$F530&gt;=AU$2),1,0)</f>
        <v/>
      </c>
      <c r="AV530">
        <f>AV529+IF(AND($E530&lt;&gt;"",$E530&lt;=AV$2,$F530&gt;=AV$2),1,0)</f>
        <v/>
      </c>
      <c r="AW530">
        <f>AW529+IF(AND($E530&lt;&gt;"",$E530&lt;=AW$2,$F530&gt;=AW$2),1,0)</f>
        <v/>
      </c>
    </row>
    <row r="531">
      <c r="A531">
        <f>IF(AND(ISNUMBER(Events!$A533),ISNUMBER(Events!$B533)),MAX(0,Events!$B533-Events!$A533),0)</f>
        <v/>
      </c>
      <c r="B531">
        <f>IF(ISNUMBER(Events!$A533),DATE(YEAR($B$1)-1,MONTH(Events!$A533),DAY(Events!$A533)),"")</f>
        <v/>
      </c>
      <c r="C531">
        <f>IF(ISNUMBER(Events!$A533),DATE(YEAR($B$1),MONTH(Events!$A533),DAY(Events!$A533)),"")</f>
        <v/>
      </c>
      <c r="D531">
        <f>IF(ISNUMBER(Events!$A533),DATE(YEAR($B$2),MONTH(Events!$A533),DAY(Events!$A533)),"")</f>
        <v/>
      </c>
      <c r="E531">
        <f>IF(OR(NOT(ISNUMBER(Events!$A533)),Events!$G533="No",Calendar!$H$4="None"),"",IF(OR(Calendar!$H$4="All events",Events!$D533=Calendar!$H$4),IF(Events!$E533="Yes",IF(AND(B531&gt;=Events!$A533,B531&lt;=$B$2,B531+$A531&gt;=$B$1),B531,IF(AND(C531&gt;=Events!$A533,C531&lt;=$B$2,C531+$A531&gt;=$B$1),C531,IF(AND(D531&gt;=Events!$A533,D531&lt;=$B$2,D531+$A531&gt;=$B$1),D531,""))),IF(AND(Events!$A533&lt;=$B$2,Events!$A533+$A531&gt;=$B$1),Events!$A533,"")),""))</f>
        <v/>
      </c>
      <c r="F531">
        <f>IF(E531="","",E531+A531)</f>
        <v/>
      </c>
      <c r="G531">
        <f>IF(E531="","",IF(AND(E531&lt;=EOMONTH(Calendar!$K$2,0),F531&gt;=Calendar!$K$2),E531+528/100000,""))</f>
        <v/>
      </c>
      <c r="H531">
        <f>H530+IF(AND($E531&lt;&gt;"",$E531&lt;=H$2,$F531&gt;=H$2),1,0)</f>
        <v/>
      </c>
      <c r="I531">
        <f>I530+IF(AND($E531&lt;&gt;"",$E531&lt;=I$2,$F531&gt;=I$2),1,0)</f>
        <v/>
      </c>
      <c r="J531">
        <f>J530+IF(AND($E531&lt;&gt;"",$E531&lt;=J$2,$F531&gt;=J$2),1,0)</f>
        <v/>
      </c>
      <c r="K531">
        <f>K530+IF(AND($E531&lt;&gt;"",$E531&lt;=K$2,$F531&gt;=K$2),1,0)</f>
        <v/>
      </c>
      <c r="L531">
        <f>L530+IF(AND($E531&lt;&gt;"",$E531&lt;=L$2,$F531&gt;=L$2),1,0)</f>
        <v/>
      </c>
      <c r="M531">
        <f>M530+IF(AND($E531&lt;&gt;"",$E531&lt;=M$2,$F531&gt;=M$2),1,0)</f>
        <v/>
      </c>
      <c r="N531">
        <f>N530+IF(AND($E531&lt;&gt;"",$E531&lt;=N$2,$F531&gt;=N$2),1,0)</f>
        <v/>
      </c>
      <c r="O531">
        <f>O530+IF(AND($E531&lt;&gt;"",$E531&lt;=O$2,$F531&gt;=O$2),1,0)</f>
        <v/>
      </c>
      <c r="P531">
        <f>P530+IF(AND($E531&lt;&gt;"",$E531&lt;=P$2,$F531&gt;=P$2),1,0)</f>
        <v/>
      </c>
      <c r="Q531">
        <f>Q530+IF(AND($E531&lt;&gt;"",$E531&lt;=Q$2,$F531&gt;=Q$2),1,0)</f>
        <v/>
      </c>
      <c r="R531">
        <f>R530+IF(AND($E531&lt;&gt;"",$E531&lt;=R$2,$F531&gt;=R$2),1,0)</f>
        <v/>
      </c>
      <c r="S531">
        <f>S530+IF(AND($E531&lt;&gt;"",$E531&lt;=S$2,$F531&gt;=S$2),1,0)</f>
        <v/>
      </c>
      <c r="T531">
        <f>T530+IF(AND($E531&lt;&gt;"",$E531&lt;=T$2,$F531&gt;=T$2),1,0)</f>
        <v/>
      </c>
      <c r="U531">
        <f>U530+IF(AND($E531&lt;&gt;"",$E531&lt;=U$2,$F531&gt;=U$2),1,0)</f>
        <v/>
      </c>
      <c r="V531">
        <f>V530+IF(AND($E531&lt;&gt;"",$E531&lt;=V$2,$F531&gt;=V$2),1,0)</f>
        <v/>
      </c>
      <c r="W531">
        <f>W530+IF(AND($E531&lt;&gt;"",$E531&lt;=W$2,$F531&gt;=W$2),1,0)</f>
        <v/>
      </c>
      <c r="X531">
        <f>X530+IF(AND($E531&lt;&gt;"",$E531&lt;=X$2,$F531&gt;=X$2),1,0)</f>
        <v/>
      </c>
      <c r="Y531">
        <f>Y530+IF(AND($E531&lt;&gt;"",$E531&lt;=Y$2,$F531&gt;=Y$2),1,0)</f>
        <v/>
      </c>
      <c r="Z531">
        <f>Z530+IF(AND($E531&lt;&gt;"",$E531&lt;=Z$2,$F531&gt;=Z$2),1,0)</f>
        <v/>
      </c>
      <c r="AA531">
        <f>AA530+IF(AND($E531&lt;&gt;"",$E531&lt;=AA$2,$F531&gt;=AA$2),1,0)</f>
        <v/>
      </c>
      <c r="AB531">
        <f>AB530+IF(AND($E531&lt;&gt;"",$E531&lt;=AB$2,$F531&gt;=AB$2),1,0)</f>
        <v/>
      </c>
      <c r="AC531">
        <f>AC530+IF(AND($E531&lt;&gt;"",$E531&lt;=AC$2,$F531&gt;=AC$2),1,0)</f>
        <v/>
      </c>
      <c r="AD531">
        <f>AD530+IF(AND($E531&lt;&gt;"",$E531&lt;=AD$2,$F531&gt;=AD$2),1,0)</f>
        <v/>
      </c>
      <c r="AE531">
        <f>AE530+IF(AND($E531&lt;&gt;"",$E531&lt;=AE$2,$F531&gt;=AE$2),1,0)</f>
        <v/>
      </c>
      <c r="AF531">
        <f>AF530+IF(AND($E531&lt;&gt;"",$E531&lt;=AF$2,$F531&gt;=AF$2),1,0)</f>
        <v/>
      </c>
      <c r="AG531">
        <f>AG530+IF(AND($E531&lt;&gt;"",$E531&lt;=AG$2,$F531&gt;=AG$2),1,0)</f>
        <v/>
      </c>
      <c r="AH531">
        <f>AH530+IF(AND($E531&lt;&gt;"",$E531&lt;=AH$2,$F531&gt;=AH$2),1,0)</f>
        <v/>
      </c>
      <c r="AI531">
        <f>AI530+IF(AND($E531&lt;&gt;"",$E531&lt;=AI$2,$F531&gt;=AI$2),1,0)</f>
        <v/>
      </c>
      <c r="AJ531">
        <f>AJ530+IF(AND($E531&lt;&gt;"",$E531&lt;=AJ$2,$F531&gt;=AJ$2),1,0)</f>
        <v/>
      </c>
      <c r="AK531">
        <f>AK530+IF(AND($E531&lt;&gt;"",$E531&lt;=AK$2,$F531&gt;=AK$2),1,0)</f>
        <v/>
      </c>
      <c r="AL531">
        <f>AL530+IF(AND($E531&lt;&gt;"",$E531&lt;=AL$2,$F531&gt;=AL$2),1,0)</f>
        <v/>
      </c>
      <c r="AM531">
        <f>AM530+IF(AND($E531&lt;&gt;"",$E531&lt;=AM$2,$F531&gt;=AM$2),1,0)</f>
        <v/>
      </c>
      <c r="AN531">
        <f>AN530+IF(AND($E531&lt;&gt;"",$E531&lt;=AN$2,$F531&gt;=AN$2),1,0)</f>
        <v/>
      </c>
      <c r="AO531">
        <f>AO530+IF(AND($E531&lt;&gt;"",$E531&lt;=AO$2,$F531&gt;=AO$2),1,0)</f>
        <v/>
      </c>
      <c r="AP531">
        <f>AP530+IF(AND($E531&lt;&gt;"",$E531&lt;=AP$2,$F531&gt;=AP$2),1,0)</f>
        <v/>
      </c>
      <c r="AQ531">
        <f>AQ530+IF(AND($E531&lt;&gt;"",$E531&lt;=AQ$2,$F531&gt;=AQ$2),1,0)</f>
        <v/>
      </c>
      <c r="AR531">
        <f>AR530+IF(AND($E531&lt;&gt;"",$E531&lt;=AR$2,$F531&gt;=AR$2),1,0)</f>
        <v/>
      </c>
      <c r="AS531">
        <f>AS530+IF(AND($E531&lt;&gt;"",$E531&lt;=AS$2,$F531&gt;=AS$2),1,0)</f>
        <v/>
      </c>
      <c r="AT531">
        <f>AT530+IF(AND($E531&lt;&gt;"",$E531&lt;=AT$2,$F531&gt;=AT$2),1,0)</f>
        <v/>
      </c>
      <c r="AU531">
        <f>AU530+IF(AND($E531&lt;&gt;"",$E531&lt;=AU$2,$F531&gt;=AU$2),1,0)</f>
        <v/>
      </c>
      <c r="AV531">
        <f>AV530+IF(AND($E531&lt;&gt;"",$E531&lt;=AV$2,$F531&gt;=AV$2),1,0)</f>
        <v/>
      </c>
      <c r="AW531">
        <f>AW530+IF(AND($E531&lt;&gt;"",$E531&lt;=AW$2,$F531&gt;=AW$2),1,0)</f>
        <v/>
      </c>
    </row>
    <row r="532">
      <c r="A532">
        <f>IF(AND(ISNUMBER(Events!$A534),ISNUMBER(Events!$B534)),MAX(0,Events!$B534-Events!$A534),0)</f>
        <v/>
      </c>
      <c r="B532">
        <f>IF(ISNUMBER(Events!$A534),DATE(YEAR($B$1)-1,MONTH(Events!$A534),DAY(Events!$A534)),"")</f>
        <v/>
      </c>
      <c r="C532">
        <f>IF(ISNUMBER(Events!$A534),DATE(YEAR($B$1),MONTH(Events!$A534),DAY(Events!$A534)),"")</f>
        <v/>
      </c>
      <c r="D532">
        <f>IF(ISNUMBER(Events!$A534),DATE(YEAR($B$2),MONTH(Events!$A534),DAY(Events!$A534)),"")</f>
        <v/>
      </c>
      <c r="E532">
        <f>IF(OR(NOT(ISNUMBER(Events!$A534)),Events!$G534="No",Calendar!$H$4="None"),"",IF(OR(Calendar!$H$4="All events",Events!$D534=Calendar!$H$4),IF(Events!$E534="Yes",IF(AND(B532&gt;=Events!$A534,B532&lt;=$B$2,B532+$A532&gt;=$B$1),B532,IF(AND(C532&gt;=Events!$A534,C532&lt;=$B$2,C532+$A532&gt;=$B$1),C532,IF(AND(D532&gt;=Events!$A534,D532&lt;=$B$2,D532+$A532&gt;=$B$1),D532,""))),IF(AND(Events!$A534&lt;=$B$2,Events!$A534+$A532&gt;=$B$1),Events!$A534,"")),""))</f>
        <v/>
      </c>
      <c r="F532">
        <f>IF(E532="","",E532+A532)</f>
        <v/>
      </c>
      <c r="G532">
        <f>IF(E532="","",IF(AND(E532&lt;=EOMONTH(Calendar!$K$2,0),F532&gt;=Calendar!$K$2),E532+529/100000,""))</f>
        <v/>
      </c>
      <c r="H532">
        <f>H531+IF(AND($E532&lt;&gt;"",$E532&lt;=H$2,$F532&gt;=H$2),1,0)</f>
        <v/>
      </c>
      <c r="I532">
        <f>I531+IF(AND($E532&lt;&gt;"",$E532&lt;=I$2,$F532&gt;=I$2),1,0)</f>
        <v/>
      </c>
      <c r="J532">
        <f>J531+IF(AND($E532&lt;&gt;"",$E532&lt;=J$2,$F532&gt;=J$2),1,0)</f>
        <v/>
      </c>
      <c r="K532">
        <f>K531+IF(AND($E532&lt;&gt;"",$E532&lt;=K$2,$F532&gt;=K$2),1,0)</f>
        <v/>
      </c>
      <c r="L532">
        <f>L531+IF(AND($E532&lt;&gt;"",$E532&lt;=L$2,$F532&gt;=L$2),1,0)</f>
        <v/>
      </c>
      <c r="M532">
        <f>M531+IF(AND($E532&lt;&gt;"",$E532&lt;=M$2,$F532&gt;=M$2),1,0)</f>
        <v/>
      </c>
      <c r="N532">
        <f>N531+IF(AND($E532&lt;&gt;"",$E532&lt;=N$2,$F532&gt;=N$2),1,0)</f>
        <v/>
      </c>
      <c r="O532">
        <f>O531+IF(AND($E532&lt;&gt;"",$E532&lt;=O$2,$F532&gt;=O$2),1,0)</f>
        <v/>
      </c>
      <c r="P532">
        <f>P531+IF(AND($E532&lt;&gt;"",$E532&lt;=P$2,$F532&gt;=P$2),1,0)</f>
        <v/>
      </c>
      <c r="Q532">
        <f>Q531+IF(AND($E532&lt;&gt;"",$E532&lt;=Q$2,$F532&gt;=Q$2),1,0)</f>
        <v/>
      </c>
      <c r="R532">
        <f>R531+IF(AND($E532&lt;&gt;"",$E532&lt;=R$2,$F532&gt;=R$2),1,0)</f>
        <v/>
      </c>
      <c r="S532">
        <f>S531+IF(AND($E532&lt;&gt;"",$E532&lt;=S$2,$F532&gt;=S$2),1,0)</f>
        <v/>
      </c>
      <c r="T532">
        <f>T531+IF(AND($E532&lt;&gt;"",$E532&lt;=T$2,$F532&gt;=T$2),1,0)</f>
        <v/>
      </c>
      <c r="U532">
        <f>U531+IF(AND($E532&lt;&gt;"",$E532&lt;=U$2,$F532&gt;=U$2),1,0)</f>
        <v/>
      </c>
      <c r="V532">
        <f>V531+IF(AND($E532&lt;&gt;"",$E532&lt;=V$2,$F532&gt;=V$2),1,0)</f>
        <v/>
      </c>
      <c r="W532">
        <f>W531+IF(AND($E532&lt;&gt;"",$E532&lt;=W$2,$F532&gt;=W$2),1,0)</f>
        <v/>
      </c>
      <c r="X532">
        <f>X531+IF(AND($E532&lt;&gt;"",$E532&lt;=X$2,$F532&gt;=X$2),1,0)</f>
        <v/>
      </c>
      <c r="Y532">
        <f>Y531+IF(AND($E532&lt;&gt;"",$E532&lt;=Y$2,$F532&gt;=Y$2),1,0)</f>
        <v/>
      </c>
      <c r="Z532">
        <f>Z531+IF(AND($E532&lt;&gt;"",$E532&lt;=Z$2,$F532&gt;=Z$2),1,0)</f>
        <v/>
      </c>
      <c r="AA532">
        <f>AA531+IF(AND($E532&lt;&gt;"",$E532&lt;=AA$2,$F532&gt;=AA$2),1,0)</f>
        <v/>
      </c>
      <c r="AB532">
        <f>AB531+IF(AND($E532&lt;&gt;"",$E532&lt;=AB$2,$F532&gt;=AB$2),1,0)</f>
        <v/>
      </c>
      <c r="AC532">
        <f>AC531+IF(AND($E532&lt;&gt;"",$E532&lt;=AC$2,$F532&gt;=AC$2),1,0)</f>
        <v/>
      </c>
      <c r="AD532">
        <f>AD531+IF(AND($E532&lt;&gt;"",$E532&lt;=AD$2,$F532&gt;=AD$2),1,0)</f>
        <v/>
      </c>
      <c r="AE532">
        <f>AE531+IF(AND($E532&lt;&gt;"",$E532&lt;=AE$2,$F532&gt;=AE$2),1,0)</f>
        <v/>
      </c>
      <c r="AF532">
        <f>AF531+IF(AND($E532&lt;&gt;"",$E532&lt;=AF$2,$F532&gt;=AF$2),1,0)</f>
        <v/>
      </c>
      <c r="AG532">
        <f>AG531+IF(AND($E532&lt;&gt;"",$E532&lt;=AG$2,$F532&gt;=AG$2),1,0)</f>
        <v/>
      </c>
      <c r="AH532">
        <f>AH531+IF(AND($E532&lt;&gt;"",$E532&lt;=AH$2,$F532&gt;=AH$2),1,0)</f>
        <v/>
      </c>
      <c r="AI532">
        <f>AI531+IF(AND($E532&lt;&gt;"",$E532&lt;=AI$2,$F532&gt;=AI$2),1,0)</f>
        <v/>
      </c>
      <c r="AJ532">
        <f>AJ531+IF(AND($E532&lt;&gt;"",$E532&lt;=AJ$2,$F532&gt;=AJ$2),1,0)</f>
        <v/>
      </c>
      <c r="AK532">
        <f>AK531+IF(AND($E532&lt;&gt;"",$E532&lt;=AK$2,$F532&gt;=AK$2),1,0)</f>
        <v/>
      </c>
      <c r="AL532">
        <f>AL531+IF(AND($E532&lt;&gt;"",$E532&lt;=AL$2,$F532&gt;=AL$2),1,0)</f>
        <v/>
      </c>
      <c r="AM532">
        <f>AM531+IF(AND($E532&lt;&gt;"",$E532&lt;=AM$2,$F532&gt;=AM$2),1,0)</f>
        <v/>
      </c>
      <c r="AN532">
        <f>AN531+IF(AND($E532&lt;&gt;"",$E532&lt;=AN$2,$F532&gt;=AN$2),1,0)</f>
        <v/>
      </c>
      <c r="AO532">
        <f>AO531+IF(AND($E532&lt;&gt;"",$E532&lt;=AO$2,$F532&gt;=AO$2),1,0)</f>
        <v/>
      </c>
      <c r="AP532">
        <f>AP531+IF(AND($E532&lt;&gt;"",$E532&lt;=AP$2,$F532&gt;=AP$2),1,0)</f>
        <v/>
      </c>
      <c r="AQ532">
        <f>AQ531+IF(AND($E532&lt;&gt;"",$E532&lt;=AQ$2,$F532&gt;=AQ$2),1,0)</f>
        <v/>
      </c>
      <c r="AR532">
        <f>AR531+IF(AND($E532&lt;&gt;"",$E532&lt;=AR$2,$F532&gt;=AR$2),1,0)</f>
        <v/>
      </c>
      <c r="AS532">
        <f>AS531+IF(AND($E532&lt;&gt;"",$E532&lt;=AS$2,$F532&gt;=AS$2),1,0)</f>
        <v/>
      </c>
      <c r="AT532">
        <f>AT531+IF(AND($E532&lt;&gt;"",$E532&lt;=AT$2,$F532&gt;=AT$2),1,0)</f>
        <v/>
      </c>
      <c r="AU532">
        <f>AU531+IF(AND($E532&lt;&gt;"",$E532&lt;=AU$2,$F532&gt;=AU$2),1,0)</f>
        <v/>
      </c>
      <c r="AV532">
        <f>AV531+IF(AND($E532&lt;&gt;"",$E532&lt;=AV$2,$F532&gt;=AV$2),1,0)</f>
        <v/>
      </c>
      <c r="AW532">
        <f>AW531+IF(AND($E532&lt;&gt;"",$E532&lt;=AW$2,$F532&gt;=AW$2),1,0)</f>
        <v/>
      </c>
    </row>
    <row r="533">
      <c r="A533">
        <f>IF(AND(ISNUMBER(Events!$A535),ISNUMBER(Events!$B535)),MAX(0,Events!$B535-Events!$A535),0)</f>
        <v/>
      </c>
      <c r="B533">
        <f>IF(ISNUMBER(Events!$A535),DATE(YEAR($B$1)-1,MONTH(Events!$A535),DAY(Events!$A535)),"")</f>
        <v/>
      </c>
      <c r="C533">
        <f>IF(ISNUMBER(Events!$A535),DATE(YEAR($B$1),MONTH(Events!$A535),DAY(Events!$A535)),"")</f>
        <v/>
      </c>
      <c r="D533">
        <f>IF(ISNUMBER(Events!$A535),DATE(YEAR($B$2),MONTH(Events!$A535),DAY(Events!$A535)),"")</f>
        <v/>
      </c>
      <c r="E533">
        <f>IF(OR(NOT(ISNUMBER(Events!$A535)),Events!$G535="No",Calendar!$H$4="None"),"",IF(OR(Calendar!$H$4="All events",Events!$D535=Calendar!$H$4),IF(Events!$E535="Yes",IF(AND(B533&gt;=Events!$A535,B533&lt;=$B$2,B533+$A533&gt;=$B$1),B533,IF(AND(C533&gt;=Events!$A535,C533&lt;=$B$2,C533+$A533&gt;=$B$1),C533,IF(AND(D533&gt;=Events!$A535,D533&lt;=$B$2,D533+$A533&gt;=$B$1),D533,""))),IF(AND(Events!$A535&lt;=$B$2,Events!$A535+$A533&gt;=$B$1),Events!$A535,"")),""))</f>
        <v/>
      </c>
      <c r="F533">
        <f>IF(E533="","",E533+A533)</f>
        <v/>
      </c>
      <c r="G533">
        <f>IF(E533="","",IF(AND(E533&lt;=EOMONTH(Calendar!$K$2,0),F533&gt;=Calendar!$K$2),E533+530/100000,""))</f>
        <v/>
      </c>
      <c r="H533">
        <f>H532+IF(AND($E533&lt;&gt;"",$E533&lt;=H$2,$F533&gt;=H$2),1,0)</f>
        <v/>
      </c>
      <c r="I533">
        <f>I532+IF(AND($E533&lt;&gt;"",$E533&lt;=I$2,$F533&gt;=I$2),1,0)</f>
        <v/>
      </c>
      <c r="J533">
        <f>J532+IF(AND($E533&lt;&gt;"",$E533&lt;=J$2,$F533&gt;=J$2),1,0)</f>
        <v/>
      </c>
      <c r="K533">
        <f>K532+IF(AND($E533&lt;&gt;"",$E533&lt;=K$2,$F533&gt;=K$2),1,0)</f>
        <v/>
      </c>
      <c r="L533">
        <f>L532+IF(AND($E533&lt;&gt;"",$E533&lt;=L$2,$F533&gt;=L$2),1,0)</f>
        <v/>
      </c>
      <c r="M533">
        <f>M532+IF(AND($E533&lt;&gt;"",$E533&lt;=M$2,$F533&gt;=M$2),1,0)</f>
        <v/>
      </c>
      <c r="N533">
        <f>N532+IF(AND($E533&lt;&gt;"",$E533&lt;=N$2,$F533&gt;=N$2),1,0)</f>
        <v/>
      </c>
      <c r="O533">
        <f>O532+IF(AND($E533&lt;&gt;"",$E533&lt;=O$2,$F533&gt;=O$2),1,0)</f>
        <v/>
      </c>
      <c r="P533">
        <f>P532+IF(AND($E533&lt;&gt;"",$E533&lt;=P$2,$F533&gt;=P$2),1,0)</f>
        <v/>
      </c>
      <c r="Q533">
        <f>Q532+IF(AND($E533&lt;&gt;"",$E533&lt;=Q$2,$F533&gt;=Q$2),1,0)</f>
        <v/>
      </c>
      <c r="R533">
        <f>R532+IF(AND($E533&lt;&gt;"",$E533&lt;=R$2,$F533&gt;=R$2),1,0)</f>
        <v/>
      </c>
      <c r="S533">
        <f>S532+IF(AND($E533&lt;&gt;"",$E533&lt;=S$2,$F533&gt;=S$2),1,0)</f>
        <v/>
      </c>
      <c r="T533">
        <f>T532+IF(AND($E533&lt;&gt;"",$E533&lt;=T$2,$F533&gt;=T$2),1,0)</f>
        <v/>
      </c>
      <c r="U533">
        <f>U532+IF(AND($E533&lt;&gt;"",$E533&lt;=U$2,$F533&gt;=U$2),1,0)</f>
        <v/>
      </c>
      <c r="V533">
        <f>V532+IF(AND($E533&lt;&gt;"",$E533&lt;=V$2,$F533&gt;=V$2),1,0)</f>
        <v/>
      </c>
      <c r="W533">
        <f>W532+IF(AND($E533&lt;&gt;"",$E533&lt;=W$2,$F533&gt;=W$2),1,0)</f>
        <v/>
      </c>
      <c r="X533">
        <f>X532+IF(AND($E533&lt;&gt;"",$E533&lt;=X$2,$F533&gt;=X$2),1,0)</f>
        <v/>
      </c>
      <c r="Y533">
        <f>Y532+IF(AND($E533&lt;&gt;"",$E533&lt;=Y$2,$F533&gt;=Y$2),1,0)</f>
        <v/>
      </c>
      <c r="Z533">
        <f>Z532+IF(AND($E533&lt;&gt;"",$E533&lt;=Z$2,$F533&gt;=Z$2),1,0)</f>
        <v/>
      </c>
      <c r="AA533">
        <f>AA532+IF(AND($E533&lt;&gt;"",$E533&lt;=AA$2,$F533&gt;=AA$2),1,0)</f>
        <v/>
      </c>
      <c r="AB533">
        <f>AB532+IF(AND($E533&lt;&gt;"",$E533&lt;=AB$2,$F533&gt;=AB$2),1,0)</f>
        <v/>
      </c>
      <c r="AC533">
        <f>AC532+IF(AND($E533&lt;&gt;"",$E533&lt;=AC$2,$F533&gt;=AC$2),1,0)</f>
        <v/>
      </c>
      <c r="AD533">
        <f>AD532+IF(AND($E533&lt;&gt;"",$E533&lt;=AD$2,$F533&gt;=AD$2),1,0)</f>
        <v/>
      </c>
      <c r="AE533">
        <f>AE532+IF(AND($E533&lt;&gt;"",$E533&lt;=AE$2,$F533&gt;=AE$2),1,0)</f>
        <v/>
      </c>
      <c r="AF533">
        <f>AF532+IF(AND($E533&lt;&gt;"",$E533&lt;=AF$2,$F533&gt;=AF$2),1,0)</f>
        <v/>
      </c>
      <c r="AG533">
        <f>AG532+IF(AND($E533&lt;&gt;"",$E533&lt;=AG$2,$F533&gt;=AG$2),1,0)</f>
        <v/>
      </c>
      <c r="AH533">
        <f>AH532+IF(AND($E533&lt;&gt;"",$E533&lt;=AH$2,$F533&gt;=AH$2),1,0)</f>
        <v/>
      </c>
      <c r="AI533">
        <f>AI532+IF(AND($E533&lt;&gt;"",$E533&lt;=AI$2,$F533&gt;=AI$2),1,0)</f>
        <v/>
      </c>
      <c r="AJ533">
        <f>AJ532+IF(AND($E533&lt;&gt;"",$E533&lt;=AJ$2,$F533&gt;=AJ$2),1,0)</f>
        <v/>
      </c>
      <c r="AK533">
        <f>AK532+IF(AND($E533&lt;&gt;"",$E533&lt;=AK$2,$F533&gt;=AK$2),1,0)</f>
        <v/>
      </c>
      <c r="AL533">
        <f>AL532+IF(AND($E533&lt;&gt;"",$E533&lt;=AL$2,$F533&gt;=AL$2),1,0)</f>
        <v/>
      </c>
      <c r="AM533">
        <f>AM532+IF(AND($E533&lt;&gt;"",$E533&lt;=AM$2,$F533&gt;=AM$2),1,0)</f>
        <v/>
      </c>
      <c r="AN533">
        <f>AN532+IF(AND($E533&lt;&gt;"",$E533&lt;=AN$2,$F533&gt;=AN$2),1,0)</f>
        <v/>
      </c>
      <c r="AO533">
        <f>AO532+IF(AND($E533&lt;&gt;"",$E533&lt;=AO$2,$F533&gt;=AO$2),1,0)</f>
        <v/>
      </c>
      <c r="AP533">
        <f>AP532+IF(AND($E533&lt;&gt;"",$E533&lt;=AP$2,$F533&gt;=AP$2),1,0)</f>
        <v/>
      </c>
      <c r="AQ533">
        <f>AQ532+IF(AND($E533&lt;&gt;"",$E533&lt;=AQ$2,$F533&gt;=AQ$2),1,0)</f>
        <v/>
      </c>
      <c r="AR533">
        <f>AR532+IF(AND($E533&lt;&gt;"",$E533&lt;=AR$2,$F533&gt;=AR$2),1,0)</f>
        <v/>
      </c>
      <c r="AS533">
        <f>AS532+IF(AND($E533&lt;&gt;"",$E533&lt;=AS$2,$F533&gt;=AS$2),1,0)</f>
        <v/>
      </c>
      <c r="AT533">
        <f>AT532+IF(AND($E533&lt;&gt;"",$E533&lt;=AT$2,$F533&gt;=AT$2),1,0)</f>
        <v/>
      </c>
      <c r="AU533">
        <f>AU532+IF(AND($E533&lt;&gt;"",$E533&lt;=AU$2,$F533&gt;=AU$2),1,0)</f>
        <v/>
      </c>
      <c r="AV533">
        <f>AV532+IF(AND($E533&lt;&gt;"",$E533&lt;=AV$2,$F533&gt;=AV$2),1,0)</f>
        <v/>
      </c>
      <c r="AW533">
        <f>AW532+IF(AND($E533&lt;&gt;"",$E533&lt;=AW$2,$F533&gt;=AW$2),1,0)</f>
        <v/>
      </c>
    </row>
    <row r="534">
      <c r="A534">
        <f>IF(AND(ISNUMBER(Events!$A536),ISNUMBER(Events!$B536)),MAX(0,Events!$B536-Events!$A536),0)</f>
        <v/>
      </c>
      <c r="B534">
        <f>IF(ISNUMBER(Events!$A536),DATE(YEAR($B$1)-1,MONTH(Events!$A536),DAY(Events!$A536)),"")</f>
        <v/>
      </c>
      <c r="C534">
        <f>IF(ISNUMBER(Events!$A536),DATE(YEAR($B$1),MONTH(Events!$A536),DAY(Events!$A536)),"")</f>
        <v/>
      </c>
      <c r="D534">
        <f>IF(ISNUMBER(Events!$A536),DATE(YEAR($B$2),MONTH(Events!$A536),DAY(Events!$A536)),"")</f>
        <v/>
      </c>
      <c r="E534">
        <f>IF(OR(NOT(ISNUMBER(Events!$A536)),Events!$G536="No",Calendar!$H$4="None"),"",IF(OR(Calendar!$H$4="All events",Events!$D536=Calendar!$H$4),IF(Events!$E536="Yes",IF(AND(B534&gt;=Events!$A536,B534&lt;=$B$2,B534+$A534&gt;=$B$1),B534,IF(AND(C534&gt;=Events!$A536,C534&lt;=$B$2,C534+$A534&gt;=$B$1),C534,IF(AND(D534&gt;=Events!$A536,D534&lt;=$B$2,D534+$A534&gt;=$B$1),D534,""))),IF(AND(Events!$A536&lt;=$B$2,Events!$A536+$A534&gt;=$B$1),Events!$A536,"")),""))</f>
        <v/>
      </c>
      <c r="F534">
        <f>IF(E534="","",E534+A534)</f>
        <v/>
      </c>
      <c r="G534">
        <f>IF(E534="","",IF(AND(E534&lt;=EOMONTH(Calendar!$K$2,0),F534&gt;=Calendar!$K$2),E534+531/100000,""))</f>
        <v/>
      </c>
      <c r="H534">
        <f>H533+IF(AND($E534&lt;&gt;"",$E534&lt;=H$2,$F534&gt;=H$2),1,0)</f>
        <v/>
      </c>
      <c r="I534">
        <f>I533+IF(AND($E534&lt;&gt;"",$E534&lt;=I$2,$F534&gt;=I$2),1,0)</f>
        <v/>
      </c>
      <c r="J534">
        <f>J533+IF(AND($E534&lt;&gt;"",$E534&lt;=J$2,$F534&gt;=J$2),1,0)</f>
        <v/>
      </c>
      <c r="K534">
        <f>K533+IF(AND($E534&lt;&gt;"",$E534&lt;=K$2,$F534&gt;=K$2),1,0)</f>
        <v/>
      </c>
      <c r="L534">
        <f>L533+IF(AND($E534&lt;&gt;"",$E534&lt;=L$2,$F534&gt;=L$2),1,0)</f>
        <v/>
      </c>
      <c r="M534">
        <f>M533+IF(AND($E534&lt;&gt;"",$E534&lt;=M$2,$F534&gt;=M$2),1,0)</f>
        <v/>
      </c>
      <c r="N534">
        <f>N533+IF(AND($E534&lt;&gt;"",$E534&lt;=N$2,$F534&gt;=N$2),1,0)</f>
        <v/>
      </c>
      <c r="O534">
        <f>O533+IF(AND($E534&lt;&gt;"",$E534&lt;=O$2,$F534&gt;=O$2),1,0)</f>
        <v/>
      </c>
      <c r="P534">
        <f>P533+IF(AND($E534&lt;&gt;"",$E534&lt;=P$2,$F534&gt;=P$2),1,0)</f>
        <v/>
      </c>
      <c r="Q534">
        <f>Q533+IF(AND($E534&lt;&gt;"",$E534&lt;=Q$2,$F534&gt;=Q$2),1,0)</f>
        <v/>
      </c>
      <c r="R534">
        <f>R533+IF(AND($E534&lt;&gt;"",$E534&lt;=R$2,$F534&gt;=R$2),1,0)</f>
        <v/>
      </c>
      <c r="S534">
        <f>S533+IF(AND($E534&lt;&gt;"",$E534&lt;=S$2,$F534&gt;=S$2),1,0)</f>
        <v/>
      </c>
      <c r="T534">
        <f>T533+IF(AND($E534&lt;&gt;"",$E534&lt;=T$2,$F534&gt;=T$2),1,0)</f>
        <v/>
      </c>
      <c r="U534">
        <f>U533+IF(AND($E534&lt;&gt;"",$E534&lt;=U$2,$F534&gt;=U$2),1,0)</f>
        <v/>
      </c>
      <c r="V534">
        <f>V533+IF(AND($E534&lt;&gt;"",$E534&lt;=V$2,$F534&gt;=V$2),1,0)</f>
        <v/>
      </c>
      <c r="W534">
        <f>W533+IF(AND($E534&lt;&gt;"",$E534&lt;=W$2,$F534&gt;=W$2),1,0)</f>
        <v/>
      </c>
      <c r="X534">
        <f>X533+IF(AND($E534&lt;&gt;"",$E534&lt;=X$2,$F534&gt;=X$2),1,0)</f>
        <v/>
      </c>
      <c r="Y534">
        <f>Y533+IF(AND($E534&lt;&gt;"",$E534&lt;=Y$2,$F534&gt;=Y$2),1,0)</f>
        <v/>
      </c>
      <c r="Z534">
        <f>Z533+IF(AND($E534&lt;&gt;"",$E534&lt;=Z$2,$F534&gt;=Z$2),1,0)</f>
        <v/>
      </c>
      <c r="AA534">
        <f>AA533+IF(AND($E534&lt;&gt;"",$E534&lt;=AA$2,$F534&gt;=AA$2),1,0)</f>
        <v/>
      </c>
      <c r="AB534">
        <f>AB533+IF(AND($E534&lt;&gt;"",$E534&lt;=AB$2,$F534&gt;=AB$2),1,0)</f>
        <v/>
      </c>
      <c r="AC534">
        <f>AC533+IF(AND($E534&lt;&gt;"",$E534&lt;=AC$2,$F534&gt;=AC$2),1,0)</f>
        <v/>
      </c>
      <c r="AD534">
        <f>AD533+IF(AND($E534&lt;&gt;"",$E534&lt;=AD$2,$F534&gt;=AD$2),1,0)</f>
        <v/>
      </c>
      <c r="AE534">
        <f>AE533+IF(AND($E534&lt;&gt;"",$E534&lt;=AE$2,$F534&gt;=AE$2),1,0)</f>
        <v/>
      </c>
      <c r="AF534">
        <f>AF533+IF(AND($E534&lt;&gt;"",$E534&lt;=AF$2,$F534&gt;=AF$2),1,0)</f>
        <v/>
      </c>
      <c r="AG534">
        <f>AG533+IF(AND($E534&lt;&gt;"",$E534&lt;=AG$2,$F534&gt;=AG$2),1,0)</f>
        <v/>
      </c>
      <c r="AH534">
        <f>AH533+IF(AND($E534&lt;&gt;"",$E534&lt;=AH$2,$F534&gt;=AH$2),1,0)</f>
        <v/>
      </c>
      <c r="AI534">
        <f>AI533+IF(AND($E534&lt;&gt;"",$E534&lt;=AI$2,$F534&gt;=AI$2),1,0)</f>
        <v/>
      </c>
      <c r="AJ534">
        <f>AJ533+IF(AND($E534&lt;&gt;"",$E534&lt;=AJ$2,$F534&gt;=AJ$2),1,0)</f>
        <v/>
      </c>
      <c r="AK534">
        <f>AK533+IF(AND($E534&lt;&gt;"",$E534&lt;=AK$2,$F534&gt;=AK$2),1,0)</f>
        <v/>
      </c>
      <c r="AL534">
        <f>AL533+IF(AND($E534&lt;&gt;"",$E534&lt;=AL$2,$F534&gt;=AL$2),1,0)</f>
        <v/>
      </c>
      <c r="AM534">
        <f>AM533+IF(AND($E534&lt;&gt;"",$E534&lt;=AM$2,$F534&gt;=AM$2),1,0)</f>
        <v/>
      </c>
      <c r="AN534">
        <f>AN533+IF(AND($E534&lt;&gt;"",$E534&lt;=AN$2,$F534&gt;=AN$2),1,0)</f>
        <v/>
      </c>
      <c r="AO534">
        <f>AO533+IF(AND($E534&lt;&gt;"",$E534&lt;=AO$2,$F534&gt;=AO$2),1,0)</f>
        <v/>
      </c>
      <c r="AP534">
        <f>AP533+IF(AND($E534&lt;&gt;"",$E534&lt;=AP$2,$F534&gt;=AP$2),1,0)</f>
        <v/>
      </c>
      <c r="AQ534">
        <f>AQ533+IF(AND($E534&lt;&gt;"",$E534&lt;=AQ$2,$F534&gt;=AQ$2),1,0)</f>
        <v/>
      </c>
      <c r="AR534">
        <f>AR533+IF(AND($E534&lt;&gt;"",$E534&lt;=AR$2,$F534&gt;=AR$2),1,0)</f>
        <v/>
      </c>
      <c r="AS534">
        <f>AS533+IF(AND($E534&lt;&gt;"",$E534&lt;=AS$2,$F534&gt;=AS$2),1,0)</f>
        <v/>
      </c>
      <c r="AT534">
        <f>AT533+IF(AND($E534&lt;&gt;"",$E534&lt;=AT$2,$F534&gt;=AT$2),1,0)</f>
        <v/>
      </c>
      <c r="AU534">
        <f>AU533+IF(AND($E534&lt;&gt;"",$E534&lt;=AU$2,$F534&gt;=AU$2),1,0)</f>
        <v/>
      </c>
      <c r="AV534">
        <f>AV533+IF(AND($E534&lt;&gt;"",$E534&lt;=AV$2,$F534&gt;=AV$2),1,0)</f>
        <v/>
      </c>
      <c r="AW534">
        <f>AW533+IF(AND($E534&lt;&gt;"",$E534&lt;=AW$2,$F534&gt;=AW$2),1,0)</f>
        <v/>
      </c>
    </row>
    <row r="535">
      <c r="A535">
        <f>IF(AND(ISNUMBER(Events!$A537),ISNUMBER(Events!$B537)),MAX(0,Events!$B537-Events!$A537),0)</f>
        <v/>
      </c>
      <c r="B535">
        <f>IF(ISNUMBER(Events!$A537),DATE(YEAR($B$1)-1,MONTH(Events!$A537),DAY(Events!$A537)),"")</f>
        <v/>
      </c>
      <c r="C535">
        <f>IF(ISNUMBER(Events!$A537),DATE(YEAR($B$1),MONTH(Events!$A537),DAY(Events!$A537)),"")</f>
        <v/>
      </c>
      <c r="D535">
        <f>IF(ISNUMBER(Events!$A537),DATE(YEAR($B$2),MONTH(Events!$A537),DAY(Events!$A537)),"")</f>
        <v/>
      </c>
      <c r="E535">
        <f>IF(OR(NOT(ISNUMBER(Events!$A537)),Events!$G537="No",Calendar!$H$4="None"),"",IF(OR(Calendar!$H$4="All events",Events!$D537=Calendar!$H$4),IF(Events!$E537="Yes",IF(AND(B535&gt;=Events!$A537,B535&lt;=$B$2,B535+$A535&gt;=$B$1),B535,IF(AND(C535&gt;=Events!$A537,C535&lt;=$B$2,C535+$A535&gt;=$B$1),C535,IF(AND(D535&gt;=Events!$A537,D535&lt;=$B$2,D535+$A535&gt;=$B$1),D535,""))),IF(AND(Events!$A537&lt;=$B$2,Events!$A537+$A535&gt;=$B$1),Events!$A537,"")),""))</f>
        <v/>
      </c>
      <c r="F535">
        <f>IF(E535="","",E535+A535)</f>
        <v/>
      </c>
      <c r="G535">
        <f>IF(E535="","",IF(AND(E535&lt;=EOMONTH(Calendar!$K$2,0),F535&gt;=Calendar!$K$2),E535+532/100000,""))</f>
        <v/>
      </c>
      <c r="H535">
        <f>H534+IF(AND($E535&lt;&gt;"",$E535&lt;=H$2,$F535&gt;=H$2),1,0)</f>
        <v/>
      </c>
      <c r="I535">
        <f>I534+IF(AND($E535&lt;&gt;"",$E535&lt;=I$2,$F535&gt;=I$2),1,0)</f>
        <v/>
      </c>
      <c r="J535">
        <f>J534+IF(AND($E535&lt;&gt;"",$E535&lt;=J$2,$F535&gt;=J$2),1,0)</f>
        <v/>
      </c>
      <c r="K535">
        <f>K534+IF(AND($E535&lt;&gt;"",$E535&lt;=K$2,$F535&gt;=K$2),1,0)</f>
        <v/>
      </c>
      <c r="L535">
        <f>L534+IF(AND($E535&lt;&gt;"",$E535&lt;=L$2,$F535&gt;=L$2),1,0)</f>
        <v/>
      </c>
      <c r="M535">
        <f>M534+IF(AND($E535&lt;&gt;"",$E535&lt;=M$2,$F535&gt;=M$2),1,0)</f>
        <v/>
      </c>
      <c r="N535">
        <f>N534+IF(AND($E535&lt;&gt;"",$E535&lt;=N$2,$F535&gt;=N$2),1,0)</f>
        <v/>
      </c>
      <c r="O535">
        <f>O534+IF(AND($E535&lt;&gt;"",$E535&lt;=O$2,$F535&gt;=O$2),1,0)</f>
        <v/>
      </c>
      <c r="P535">
        <f>P534+IF(AND($E535&lt;&gt;"",$E535&lt;=P$2,$F535&gt;=P$2),1,0)</f>
        <v/>
      </c>
      <c r="Q535">
        <f>Q534+IF(AND($E535&lt;&gt;"",$E535&lt;=Q$2,$F535&gt;=Q$2),1,0)</f>
        <v/>
      </c>
      <c r="R535">
        <f>R534+IF(AND($E535&lt;&gt;"",$E535&lt;=R$2,$F535&gt;=R$2),1,0)</f>
        <v/>
      </c>
      <c r="S535">
        <f>S534+IF(AND($E535&lt;&gt;"",$E535&lt;=S$2,$F535&gt;=S$2),1,0)</f>
        <v/>
      </c>
      <c r="T535">
        <f>T534+IF(AND($E535&lt;&gt;"",$E535&lt;=T$2,$F535&gt;=T$2),1,0)</f>
        <v/>
      </c>
      <c r="U535">
        <f>U534+IF(AND($E535&lt;&gt;"",$E535&lt;=U$2,$F535&gt;=U$2),1,0)</f>
        <v/>
      </c>
      <c r="V535">
        <f>V534+IF(AND($E535&lt;&gt;"",$E535&lt;=V$2,$F535&gt;=V$2),1,0)</f>
        <v/>
      </c>
      <c r="W535">
        <f>W534+IF(AND($E535&lt;&gt;"",$E535&lt;=W$2,$F535&gt;=W$2),1,0)</f>
        <v/>
      </c>
      <c r="X535">
        <f>X534+IF(AND($E535&lt;&gt;"",$E535&lt;=X$2,$F535&gt;=X$2),1,0)</f>
        <v/>
      </c>
      <c r="Y535">
        <f>Y534+IF(AND($E535&lt;&gt;"",$E535&lt;=Y$2,$F535&gt;=Y$2),1,0)</f>
        <v/>
      </c>
      <c r="Z535">
        <f>Z534+IF(AND($E535&lt;&gt;"",$E535&lt;=Z$2,$F535&gt;=Z$2),1,0)</f>
        <v/>
      </c>
      <c r="AA535">
        <f>AA534+IF(AND($E535&lt;&gt;"",$E535&lt;=AA$2,$F535&gt;=AA$2),1,0)</f>
        <v/>
      </c>
      <c r="AB535">
        <f>AB534+IF(AND($E535&lt;&gt;"",$E535&lt;=AB$2,$F535&gt;=AB$2),1,0)</f>
        <v/>
      </c>
      <c r="AC535">
        <f>AC534+IF(AND($E535&lt;&gt;"",$E535&lt;=AC$2,$F535&gt;=AC$2),1,0)</f>
        <v/>
      </c>
      <c r="AD535">
        <f>AD534+IF(AND($E535&lt;&gt;"",$E535&lt;=AD$2,$F535&gt;=AD$2),1,0)</f>
        <v/>
      </c>
      <c r="AE535">
        <f>AE534+IF(AND($E535&lt;&gt;"",$E535&lt;=AE$2,$F535&gt;=AE$2),1,0)</f>
        <v/>
      </c>
      <c r="AF535">
        <f>AF534+IF(AND($E535&lt;&gt;"",$E535&lt;=AF$2,$F535&gt;=AF$2),1,0)</f>
        <v/>
      </c>
      <c r="AG535">
        <f>AG534+IF(AND($E535&lt;&gt;"",$E535&lt;=AG$2,$F535&gt;=AG$2),1,0)</f>
        <v/>
      </c>
      <c r="AH535">
        <f>AH534+IF(AND($E535&lt;&gt;"",$E535&lt;=AH$2,$F535&gt;=AH$2),1,0)</f>
        <v/>
      </c>
      <c r="AI535">
        <f>AI534+IF(AND($E535&lt;&gt;"",$E535&lt;=AI$2,$F535&gt;=AI$2),1,0)</f>
        <v/>
      </c>
      <c r="AJ535">
        <f>AJ534+IF(AND($E535&lt;&gt;"",$E535&lt;=AJ$2,$F535&gt;=AJ$2),1,0)</f>
        <v/>
      </c>
      <c r="AK535">
        <f>AK534+IF(AND($E535&lt;&gt;"",$E535&lt;=AK$2,$F535&gt;=AK$2),1,0)</f>
        <v/>
      </c>
      <c r="AL535">
        <f>AL534+IF(AND($E535&lt;&gt;"",$E535&lt;=AL$2,$F535&gt;=AL$2),1,0)</f>
        <v/>
      </c>
      <c r="AM535">
        <f>AM534+IF(AND($E535&lt;&gt;"",$E535&lt;=AM$2,$F535&gt;=AM$2),1,0)</f>
        <v/>
      </c>
      <c r="AN535">
        <f>AN534+IF(AND($E535&lt;&gt;"",$E535&lt;=AN$2,$F535&gt;=AN$2),1,0)</f>
        <v/>
      </c>
      <c r="AO535">
        <f>AO534+IF(AND($E535&lt;&gt;"",$E535&lt;=AO$2,$F535&gt;=AO$2),1,0)</f>
        <v/>
      </c>
      <c r="AP535">
        <f>AP534+IF(AND($E535&lt;&gt;"",$E535&lt;=AP$2,$F535&gt;=AP$2),1,0)</f>
        <v/>
      </c>
      <c r="AQ535">
        <f>AQ534+IF(AND($E535&lt;&gt;"",$E535&lt;=AQ$2,$F535&gt;=AQ$2),1,0)</f>
        <v/>
      </c>
      <c r="AR535">
        <f>AR534+IF(AND($E535&lt;&gt;"",$E535&lt;=AR$2,$F535&gt;=AR$2),1,0)</f>
        <v/>
      </c>
      <c r="AS535">
        <f>AS534+IF(AND($E535&lt;&gt;"",$E535&lt;=AS$2,$F535&gt;=AS$2),1,0)</f>
        <v/>
      </c>
      <c r="AT535">
        <f>AT534+IF(AND($E535&lt;&gt;"",$E535&lt;=AT$2,$F535&gt;=AT$2),1,0)</f>
        <v/>
      </c>
      <c r="AU535">
        <f>AU534+IF(AND($E535&lt;&gt;"",$E535&lt;=AU$2,$F535&gt;=AU$2),1,0)</f>
        <v/>
      </c>
      <c r="AV535">
        <f>AV534+IF(AND($E535&lt;&gt;"",$E535&lt;=AV$2,$F535&gt;=AV$2),1,0)</f>
        <v/>
      </c>
      <c r="AW535">
        <f>AW534+IF(AND($E535&lt;&gt;"",$E535&lt;=AW$2,$F535&gt;=AW$2),1,0)</f>
        <v/>
      </c>
    </row>
    <row r="536">
      <c r="A536">
        <f>IF(AND(ISNUMBER(Events!$A538),ISNUMBER(Events!$B538)),MAX(0,Events!$B538-Events!$A538),0)</f>
        <v/>
      </c>
      <c r="B536">
        <f>IF(ISNUMBER(Events!$A538),DATE(YEAR($B$1)-1,MONTH(Events!$A538),DAY(Events!$A538)),"")</f>
        <v/>
      </c>
      <c r="C536">
        <f>IF(ISNUMBER(Events!$A538),DATE(YEAR($B$1),MONTH(Events!$A538),DAY(Events!$A538)),"")</f>
        <v/>
      </c>
      <c r="D536">
        <f>IF(ISNUMBER(Events!$A538),DATE(YEAR($B$2),MONTH(Events!$A538),DAY(Events!$A538)),"")</f>
        <v/>
      </c>
      <c r="E536">
        <f>IF(OR(NOT(ISNUMBER(Events!$A538)),Events!$G538="No",Calendar!$H$4="None"),"",IF(OR(Calendar!$H$4="All events",Events!$D538=Calendar!$H$4),IF(Events!$E538="Yes",IF(AND(B536&gt;=Events!$A538,B536&lt;=$B$2,B536+$A536&gt;=$B$1),B536,IF(AND(C536&gt;=Events!$A538,C536&lt;=$B$2,C536+$A536&gt;=$B$1),C536,IF(AND(D536&gt;=Events!$A538,D536&lt;=$B$2,D536+$A536&gt;=$B$1),D536,""))),IF(AND(Events!$A538&lt;=$B$2,Events!$A538+$A536&gt;=$B$1),Events!$A538,"")),""))</f>
        <v/>
      </c>
      <c r="F536">
        <f>IF(E536="","",E536+A536)</f>
        <v/>
      </c>
      <c r="G536">
        <f>IF(E536="","",IF(AND(E536&lt;=EOMONTH(Calendar!$K$2,0),F536&gt;=Calendar!$K$2),E536+533/100000,""))</f>
        <v/>
      </c>
      <c r="H536">
        <f>H535+IF(AND($E536&lt;&gt;"",$E536&lt;=H$2,$F536&gt;=H$2),1,0)</f>
        <v/>
      </c>
      <c r="I536">
        <f>I535+IF(AND($E536&lt;&gt;"",$E536&lt;=I$2,$F536&gt;=I$2),1,0)</f>
        <v/>
      </c>
      <c r="J536">
        <f>J535+IF(AND($E536&lt;&gt;"",$E536&lt;=J$2,$F536&gt;=J$2),1,0)</f>
        <v/>
      </c>
      <c r="K536">
        <f>K535+IF(AND($E536&lt;&gt;"",$E536&lt;=K$2,$F536&gt;=K$2),1,0)</f>
        <v/>
      </c>
      <c r="L536">
        <f>L535+IF(AND($E536&lt;&gt;"",$E536&lt;=L$2,$F536&gt;=L$2),1,0)</f>
        <v/>
      </c>
      <c r="M536">
        <f>M535+IF(AND($E536&lt;&gt;"",$E536&lt;=M$2,$F536&gt;=M$2),1,0)</f>
        <v/>
      </c>
      <c r="N536">
        <f>N535+IF(AND($E536&lt;&gt;"",$E536&lt;=N$2,$F536&gt;=N$2),1,0)</f>
        <v/>
      </c>
      <c r="O536">
        <f>O535+IF(AND($E536&lt;&gt;"",$E536&lt;=O$2,$F536&gt;=O$2),1,0)</f>
        <v/>
      </c>
      <c r="P536">
        <f>P535+IF(AND($E536&lt;&gt;"",$E536&lt;=P$2,$F536&gt;=P$2),1,0)</f>
        <v/>
      </c>
      <c r="Q536">
        <f>Q535+IF(AND($E536&lt;&gt;"",$E536&lt;=Q$2,$F536&gt;=Q$2),1,0)</f>
        <v/>
      </c>
      <c r="R536">
        <f>R535+IF(AND($E536&lt;&gt;"",$E536&lt;=R$2,$F536&gt;=R$2),1,0)</f>
        <v/>
      </c>
      <c r="S536">
        <f>S535+IF(AND($E536&lt;&gt;"",$E536&lt;=S$2,$F536&gt;=S$2),1,0)</f>
        <v/>
      </c>
      <c r="T536">
        <f>T535+IF(AND($E536&lt;&gt;"",$E536&lt;=T$2,$F536&gt;=T$2),1,0)</f>
        <v/>
      </c>
      <c r="U536">
        <f>U535+IF(AND($E536&lt;&gt;"",$E536&lt;=U$2,$F536&gt;=U$2),1,0)</f>
        <v/>
      </c>
      <c r="V536">
        <f>V535+IF(AND($E536&lt;&gt;"",$E536&lt;=V$2,$F536&gt;=V$2),1,0)</f>
        <v/>
      </c>
      <c r="W536">
        <f>W535+IF(AND($E536&lt;&gt;"",$E536&lt;=W$2,$F536&gt;=W$2),1,0)</f>
        <v/>
      </c>
      <c r="X536">
        <f>X535+IF(AND($E536&lt;&gt;"",$E536&lt;=X$2,$F536&gt;=X$2),1,0)</f>
        <v/>
      </c>
      <c r="Y536">
        <f>Y535+IF(AND($E536&lt;&gt;"",$E536&lt;=Y$2,$F536&gt;=Y$2),1,0)</f>
        <v/>
      </c>
      <c r="Z536">
        <f>Z535+IF(AND($E536&lt;&gt;"",$E536&lt;=Z$2,$F536&gt;=Z$2),1,0)</f>
        <v/>
      </c>
      <c r="AA536">
        <f>AA535+IF(AND($E536&lt;&gt;"",$E536&lt;=AA$2,$F536&gt;=AA$2),1,0)</f>
        <v/>
      </c>
      <c r="AB536">
        <f>AB535+IF(AND($E536&lt;&gt;"",$E536&lt;=AB$2,$F536&gt;=AB$2),1,0)</f>
        <v/>
      </c>
      <c r="AC536">
        <f>AC535+IF(AND($E536&lt;&gt;"",$E536&lt;=AC$2,$F536&gt;=AC$2),1,0)</f>
        <v/>
      </c>
      <c r="AD536">
        <f>AD535+IF(AND($E536&lt;&gt;"",$E536&lt;=AD$2,$F536&gt;=AD$2),1,0)</f>
        <v/>
      </c>
      <c r="AE536">
        <f>AE535+IF(AND($E536&lt;&gt;"",$E536&lt;=AE$2,$F536&gt;=AE$2),1,0)</f>
        <v/>
      </c>
      <c r="AF536">
        <f>AF535+IF(AND($E536&lt;&gt;"",$E536&lt;=AF$2,$F536&gt;=AF$2),1,0)</f>
        <v/>
      </c>
      <c r="AG536">
        <f>AG535+IF(AND($E536&lt;&gt;"",$E536&lt;=AG$2,$F536&gt;=AG$2),1,0)</f>
        <v/>
      </c>
      <c r="AH536">
        <f>AH535+IF(AND($E536&lt;&gt;"",$E536&lt;=AH$2,$F536&gt;=AH$2),1,0)</f>
        <v/>
      </c>
      <c r="AI536">
        <f>AI535+IF(AND($E536&lt;&gt;"",$E536&lt;=AI$2,$F536&gt;=AI$2),1,0)</f>
        <v/>
      </c>
      <c r="AJ536">
        <f>AJ535+IF(AND($E536&lt;&gt;"",$E536&lt;=AJ$2,$F536&gt;=AJ$2),1,0)</f>
        <v/>
      </c>
      <c r="AK536">
        <f>AK535+IF(AND($E536&lt;&gt;"",$E536&lt;=AK$2,$F536&gt;=AK$2),1,0)</f>
        <v/>
      </c>
      <c r="AL536">
        <f>AL535+IF(AND($E536&lt;&gt;"",$E536&lt;=AL$2,$F536&gt;=AL$2),1,0)</f>
        <v/>
      </c>
      <c r="AM536">
        <f>AM535+IF(AND($E536&lt;&gt;"",$E536&lt;=AM$2,$F536&gt;=AM$2),1,0)</f>
        <v/>
      </c>
      <c r="AN536">
        <f>AN535+IF(AND($E536&lt;&gt;"",$E536&lt;=AN$2,$F536&gt;=AN$2),1,0)</f>
        <v/>
      </c>
      <c r="AO536">
        <f>AO535+IF(AND($E536&lt;&gt;"",$E536&lt;=AO$2,$F536&gt;=AO$2),1,0)</f>
        <v/>
      </c>
      <c r="AP536">
        <f>AP535+IF(AND($E536&lt;&gt;"",$E536&lt;=AP$2,$F536&gt;=AP$2),1,0)</f>
        <v/>
      </c>
      <c r="AQ536">
        <f>AQ535+IF(AND($E536&lt;&gt;"",$E536&lt;=AQ$2,$F536&gt;=AQ$2),1,0)</f>
        <v/>
      </c>
      <c r="AR536">
        <f>AR535+IF(AND($E536&lt;&gt;"",$E536&lt;=AR$2,$F536&gt;=AR$2),1,0)</f>
        <v/>
      </c>
      <c r="AS536">
        <f>AS535+IF(AND($E536&lt;&gt;"",$E536&lt;=AS$2,$F536&gt;=AS$2),1,0)</f>
        <v/>
      </c>
      <c r="AT536">
        <f>AT535+IF(AND($E536&lt;&gt;"",$E536&lt;=AT$2,$F536&gt;=AT$2),1,0)</f>
        <v/>
      </c>
      <c r="AU536">
        <f>AU535+IF(AND($E536&lt;&gt;"",$E536&lt;=AU$2,$F536&gt;=AU$2),1,0)</f>
        <v/>
      </c>
      <c r="AV536">
        <f>AV535+IF(AND($E536&lt;&gt;"",$E536&lt;=AV$2,$F536&gt;=AV$2),1,0)</f>
        <v/>
      </c>
      <c r="AW536">
        <f>AW535+IF(AND($E536&lt;&gt;"",$E536&lt;=AW$2,$F536&gt;=AW$2),1,0)</f>
        <v/>
      </c>
    </row>
    <row r="537">
      <c r="A537">
        <f>IF(AND(ISNUMBER(Events!$A539),ISNUMBER(Events!$B539)),MAX(0,Events!$B539-Events!$A539),0)</f>
        <v/>
      </c>
      <c r="B537">
        <f>IF(ISNUMBER(Events!$A539),DATE(YEAR($B$1)-1,MONTH(Events!$A539),DAY(Events!$A539)),"")</f>
        <v/>
      </c>
      <c r="C537">
        <f>IF(ISNUMBER(Events!$A539),DATE(YEAR($B$1),MONTH(Events!$A539),DAY(Events!$A539)),"")</f>
        <v/>
      </c>
      <c r="D537">
        <f>IF(ISNUMBER(Events!$A539),DATE(YEAR($B$2),MONTH(Events!$A539),DAY(Events!$A539)),"")</f>
        <v/>
      </c>
      <c r="E537">
        <f>IF(OR(NOT(ISNUMBER(Events!$A539)),Events!$G539="No",Calendar!$H$4="None"),"",IF(OR(Calendar!$H$4="All events",Events!$D539=Calendar!$H$4),IF(Events!$E539="Yes",IF(AND(B537&gt;=Events!$A539,B537&lt;=$B$2,B537+$A537&gt;=$B$1),B537,IF(AND(C537&gt;=Events!$A539,C537&lt;=$B$2,C537+$A537&gt;=$B$1),C537,IF(AND(D537&gt;=Events!$A539,D537&lt;=$B$2,D537+$A537&gt;=$B$1),D537,""))),IF(AND(Events!$A539&lt;=$B$2,Events!$A539+$A537&gt;=$B$1),Events!$A539,"")),""))</f>
        <v/>
      </c>
      <c r="F537">
        <f>IF(E537="","",E537+A537)</f>
        <v/>
      </c>
      <c r="G537">
        <f>IF(E537="","",IF(AND(E537&lt;=EOMONTH(Calendar!$K$2,0),F537&gt;=Calendar!$K$2),E537+534/100000,""))</f>
        <v/>
      </c>
      <c r="H537">
        <f>H536+IF(AND($E537&lt;&gt;"",$E537&lt;=H$2,$F537&gt;=H$2),1,0)</f>
        <v/>
      </c>
      <c r="I537">
        <f>I536+IF(AND($E537&lt;&gt;"",$E537&lt;=I$2,$F537&gt;=I$2),1,0)</f>
        <v/>
      </c>
      <c r="J537">
        <f>J536+IF(AND($E537&lt;&gt;"",$E537&lt;=J$2,$F537&gt;=J$2),1,0)</f>
        <v/>
      </c>
      <c r="K537">
        <f>K536+IF(AND($E537&lt;&gt;"",$E537&lt;=K$2,$F537&gt;=K$2),1,0)</f>
        <v/>
      </c>
      <c r="L537">
        <f>L536+IF(AND($E537&lt;&gt;"",$E537&lt;=L$2,$F537&gt;=L$2),1,0)</f>
        <v/>
      </c>
      <c r="M537">
        <f>M536+IF(AND($E537&lt;&gt;"",$E537&lt;=M$2,$F537&gt;=M$2),1,0)</f>
        <v/>
      </c>
      <c r="N537">
        <f>N536+IF(AND($E537&lt;&gt;"",$E537&lt;=N$2,$F537&gt;=N$2),1,0)</f>
        <v/>
      </c>
      <c r="O537">
        <f>O536+IF(AND($E537&lt;&gt;"",$E537&lt;=O$2,$F537&gt;=O$2),1,0)</f>
        <v/>
      </c>
      <c r="P537">
        <f>P536+IF(AND($E537&lt;&gt;"",$E537&lt;=P$2,$F537&gt;=P$2),1,0)</f>
        <v/>
      </c>
      <c r="Q537">
        <f>Q536+IF(AND($E537&lt;&gt;"",$E537&lt;=Q$2,$F537&gt;=Q$2),1,0)</f>
        <v/>
      </c>
      <c r="R537">
        <f>R536+IF(AND($E537&lt;&gt;"",$E537&lt;=R$2,$F537&gt;=R$2),1,0)</f>
        <v/>
      </c>
      <c r="S537">
        <f>S536+IF(AND($E537&lt;&gt;"",$E537&lt;=S$2,$F537&gt;=S$2),1,0)</f>
        <v/>
      </c>
      <c r="T537">
        <f>T536+IF(AND($E537&lt;&gt;"",$E537&lt;=T$2,$F537&gt;=T$2),1,0)</f>
        <v/>
      </c>
      <c r="U537">
        <f>U536+IF(AND($E537&lt;&gt;"",$E537&lt;=U$2,$F537&gt;=U$2),1,0)</f>
        <v/>
      </c>
      <c r="V537">
        <f>V536+IF(AND($E537&lt;&gt;"",$E537&lt;=V$2,$F537&gt;=V$2),1,0)</f>
        <v/>
      </c>
      <c r="W537">
        <f>W536+IF(AND($E537&lt;&gt;"",$E537&lt;=W$2,$F537&gt;=W$2),1,0)</f>
        <v/>
      </c>
      <c r="X537">
        <f>X536+IF(AND($E537&lt;&gt;"",$E537&lt;=X$2,$F537&gt;=X$2),1,0)</f>
        <v/>
      </c>
      <c r="Y537">
        <f>Y536+IF(AND($E537&lt;&gt;"",$E537&lt;=Y$2,$F537&gt;=Y$2),1,0)</f>
        <v/>
      </c>
      <c r="Z537">
        <f>Z536+IF(AND($E537&lt;&gt;"",$E537&lt;=Z$2,$F537&gt;=Z$2),1,0)</f>
        <v/>
      </c>
      <c r="AA537">
        <f>AA536+IF(AND($E537&lt;&gt;"",$E537&lt;=AA$2,$F537&gt;=AA$2),1,0)</f>
        <v/>
      </c>
      <c r="AB537">
        <f>AB536+IF(AND($E537&lt;&gt;"",$E537&lt;=AB$2,$F537&gt;=AB$2),1,0)</f>
        <v/>
      </c>
      <c r="AC537">
        <f>AC536+IF(AND($E537&lt;&gt;"",$E537&lt;=AC$2,$F537&gt;=AC$2),1,0)</f>
        <v/>
      </c>
      <c r="AD537">
        <f>AD536+IF(AND($E537&lt;&gt;"",$E537&lt;=AD$2,$F537&gt;=AD$2),1,0)</f>
        <v/>
      </c>
      <c r="AE537">
        <f>AE536+IF(AND($E537&lt;&gt;"",$E537&lt;=AE$2,$F537&gt;=AE$2),1,0)</f>
        <v/>
      </c>
      <c r="AF537">
        <f>AF536+IF(AND($E537&lt;&gt;"",$E537&lt;=AF$2,$F537&gt;=AF$2),1,0)</f>
        <v/>
      </c>
      <c r="AG537">
        <f>AG536+IF(AND($E537&lt;&gt;"",$E537&lt;=AG$2,$F537&gt;=AG$2),1,0)</f>
        <v/>
      </c>
      <c r="AH537">
        <f>AH536+IF(AND($E537&lt;&gt;"",$E537&lt;=AH$2,$F537&gt;=AH$2),1,0)</f>
        <v/>
      </c>
      <c r="AI537">
        <f>AI536+IF(AND($E537&lt;&gt;"",$E537&lt;=AI$2,$F537&gt;=AI$2),1,0)</f>
        <v/>
      </c>
      <c r="AJ537">
        <f>AJ536+IF(AND($E537&lt;&gt;"",$E537&lt;=AJ$2,$F537&gt;=AJ$2),1,0)</f>
        <v/>
      </c>
      <c r="AK537">
        <f>AK536+IF(AND($E537&lt;&gt;"",$E537&lt;=AK$2,$F537&gt;=AK$2),1,0)</f>
        <v/>
      </c>
      <c r="AL537">
        <f>AL536+IF(AND($E537&lt;&gt;"",$E537&lt;=AL$2,$F537&gt;=AL$2),1,0)</f>
        <v/>
      </c>
      <c r="AM537">
        <f>AM536+IF(AND($E537&lt;&gt;"",$E537&lt;=AM$2,$F537&gt;=AM$2),1,0)</f>
        <v/>
      </c>
      <c r="AN537">
        <f>AN536+IF(AND($E537&lt;&gt;"",$E537&lt;=AN$2,$F537&gt;=AN$2),1,0)</f>
        <v/>
      </c>
      <c r="AO537">
        <f>AO536+IF(AND($E537&lt;&gt;"",$E537&lt;=AO$2,$F537&gt;=AO$2),1,0)</f>
        <v/>
      </c>
      <c r="AP537">
        <f>AP536+IF(AND($E537&lt;&gt;"",$E537&lt;=AP$2,$F537&gt;=AP$2),1,0)</f>
        <v/>
      </c>
      <c r="AQ537">
        <f>AQ536+IF(AND($E537&lt;&gt;"",$E537&lt;=AQ$2,$F537&gt;=AQ$2),1,0)</f>
        <v/>
      </c>
      <c r="AR537">
        <f>AR536+IF(AND($E537&lt;&gt;"",$E537&lt;=AR$2,$F537&gt;=AR$2),1,0)</f>
        <v/>
      </c>
      <c r="AS537">
        <f>AS536+IF(AND($E537&lt;&gt;"",$E537&lt;=AS$2,$F537&gt;=AS$2),1,0)</f>
        <v/>
      </c>
      <c r="AT537">
        <f>AT536+IF(AND($E537&lt;&gt;"",$E537&lt;=AT$2,$F537&gt;=AT$2),1,0)</f>
        <v/>
      </c>
      <c r="AU537">
        <f>AU536+IF(AND($E537&lt;&gt;"",$E537&lt;=AU$2,$F537&gt;=AU$2),1,0)</f>
        <v/>
      </c>
      <c r="AV537">
        <f>AV536+IF(AND($E537&lt;&gt;"",$E537&lt;=AV$2,$F537&gt;=AV$2),1,0)</f>
        <v/>
      </c>
      <c r="AW537">
        <f>AW536+IF(AND($E537&lt;&gt;"",$E537&lt;=AW$2,$F537&gt;=AW$2),1,0)</f>
        <v/>
      </c>
    </row>
    <row r="538">
      <c r="A538">
        <f>IF(AND(ISNUMBER(Events!$A540),ISNUMBER(Events!$B540)),MAX(0,Events!$B540-Events!$A540),0)</f>
        <v/>
      </c>
      <c r="B538">
        <f>IF(ISNUMBER(Events!$A540),DATE(YEAR($B$1)-1,MONTH(Events!$A540),DAY(Events!$A540)),"")</f>
        <v/>
      </c>
      <c r="C538">
        <f>IF(ISNUMBER(Events!$A540),DATE(YEAR($B$1),MONTH(Events!$A540),DAY(Events!$A540)),"")</f>
        <v/>
      </c>
      <c r="D538">
        <f>IF(ISNUMBER(Events!$A540),DATE(YEAR($B$2),MONTH(Events!$A540),DAY(Events!$A540)),"")</f>
        <v/>
      </c>
      <c r="E538">
        <f>IF(OR(NOT(ISNUMBER(Events!$A540)),Events!$G540="No",Calendar!$H$4="None"),"",IF(OR(Calendar!$H$4="All events",Events!$D540=Calendar!$H$4),IF(Events!$E540="Yes",IF(AND(B538&gt;=Events!$A540,B538&lt;=$B$2,B538+$A538&gt;=$B$1),B538,IF(AND(C538&gt;=Events!$A540,C538&lt;=$B$2,C538+$A538&gt;=$B$1),C538,IF(AND(D538&gt;=Events!$A540,D538&lt;=$B$2,D538+$A538&gt;=$B$1),D538,""))),IF(AND(Events!$A540&lt;=$B$2,Events!$A540+$A538&gt;=$B$1),Events!$A540,"")),""))</f>
        <v/>
      </c>
      <c r="F538">
        <f>IF(E538="","",E538+A538)</f>
        <v/>
      </c>
      <c r="G538">
        <f>IF(E538="","",IF(AND(E538&lt;=EOMONTH(Calendar!$K$2,0),F538&gt;=Calendar!$K$2),E538+535/100000,""))</f>
        <v/>
      </c>
      <c r="H538">
        <f>H537+IF(AND($E538&lt;&gt;"",$E538&lt;=H$2,$F538&gt;=H$2),1,0)</f>
        <v/>
      </c>
      <c r="I538">
        <f>I537+IF(AND($E538&lt;&gt;"",$E538&lt;=I$2,$F538&gt;=I$2),1,0)</f>
        <v/>
      </c>
      <c r="J538">
        <f>J537+IF(AND($E538&lt;&gt;"",$E538&lt;=J$2,$F538&gt;=J$2),1,0)</f>
        <v/>
      </c>
      <c r="K538">
        <f>K537+IF(AND($E538&lt;&gt;"",$E538&lt;=K$2,$F538&gt;=K$2),1,0)</f>
        <v/>
      </c>
      <c r="L538">
        <f>L537+IF(AND($E538&lt;&gt;"",$E538&lt;=L$2,$F538&gt;=L$2),1,0)</f>
        <v/>
      </c>
      <c r="M538">
        <f>M537+IF(AND($E538&lt;&gt;"",$E538&lt;=M$2,$F538&gt;=M$2),1,0)</f>
        <v/>
      </c>
      <c r="N538">
        <f>N537+IF(AND($E538&lt;&gt;"",$E538&lt;=N$2,$F538&gt;=N$2),1,0)</f>
        <v/>
      </c>
      <c r="O538">
        <f>O537+IF(AND($E538&lt;&gt;"",$E538&lt;=O$2,$F538&gt;=O$2),1,0)</f>
        <v/>
      </c>
      <c r="P538">
        <f>P537+IF(AND($E538&lt;&gt;"",$E538&lt;=P$2,$F538&gt;=P$2),1,0)</f>
        <v/>
      </c>
      <c r="Q538">
        <f>Q537+IF(AND($E538&lt;&gt;"",$E538&lt;=Q$2,$F538&gt;=Q$2),1,0)</f>
        <v/>
      </c>
      <c r="R538">
        <f>R537+IF(AND($E538&lt;&gt;"",$E538&lt;=R$2,$F538&gt;=R$2),1,0)</f>
        <v/>
      </c>
      <c r="S538">
        <f>S537+IF(AND($E538&lt;&gt;"",$E538&lt;=S$2,$F538&gt;=S$2),1,0)</f>
        <v/>
      </c>
      <c r="T538">
        <f>T537+IF(AND($E538&lt;&gt;"",$E538&lt;=T$2,$F538&gt;=T$2),1,0)</f>
        <v/>
      </c>
      <c r="U538">
        <f>U537+IF(AND($E538&lt;&gt;"",$E538&lt;=U$2,$F538&gt;=U$2),1,0)</f>
        <v/>
      </c>
      <c r="V538">
        <f>V537+IF(AND($E538&lt;&gt;"",$E538&lt;=V$2,$F538&gt;=V$2),1,0)</f>
        <v/>
      </c>
      <c r="W538">
        <f>W537+IF(AND($E538&lt;&gt;"",$E538&lt;=W$2,$F538&gt;=W$2),1,0)</f>
        <v/>
      </c>
      <c r="X538">
        <f>X537+IF(AND($E538&lt;&gt;"",$E538&lt;=X$2,$F538&gt;=X$2),1,0)</f>
        <v/>
      </c>
      <c r="Y538">
        <f>Y537+IF(AND($E538&lt;&gt;"",$E538&lt;=Y$2,$F538&gt;=Y$2),1,0)</f>
        <v/>
      </c>
      <c r="Z538">
        <f>Z537+IF(AND($E538&lt;&gt;"",$E538&lt;=Z$2,$F538&gt;=Z$2),1,0)</f>
        <v/>
      </c>
      <c r="AA538">
        <f>AA537+IF(AND($E538&lt;&gt;"",$E538&lt;=AA$2,$F538&gt;=AA$2),1,0)</f>
        <v/>
      </c>
      <c r="AB538">
        <f>AB537+IF(AND($E538&lt;&gt;"",$E538&lt;=AB$2,$F538&gt;=AB$2),1,0)</f>
        <v/>
      </c>
      <c r="AC538">
        <f>AC537+IF(AND($E538&lt;&gt;"",$E538&lt;=AC$2,$F538&gt;=AC$2),1,0)</f>
        <v/>
      </c>
      <c r="AD538">
        <f>AD537+IF(AND($E538&lt;&gt;"",$E538&lt;=AD$2,$F538&gt;=AD$2),1,0)</f>
        <v/>
      </c>
      <c r="AE538">
        <f>AE537+IF(AND($E538&lt;&gt;"",$E538&lt;=AE$2,$F538&gt;=AE$2),1,0)</f>
        <v/>
      </c>
      <c r="AF538">
        <f>AF537+IF(AND($E538&lt;&gt;"",$E538&lt;=AF$2,$F538&gt;=AF$2),1,0)</f>
        <v/>
      </c>
      <c r="AG538">
        <f>AG537+IF(AND($E538&lt;&gt;"",$E538&lt;=AG$2,$F538&gt;=AG$2),1,0)</f>
        <v/>
      </c>
      <c r="AH538">
        <f>AH537+IF(AND($E538&lt;&gt;"",$E538&lt;=AH$2,$F538&gt;=AH$2),1,0)</f>
        <v/>
      </c>
      <c r="AI538">
        <f>AI537+IF(AND($E538&lt;&gt;"",$E538&lt;=AI$2,$F538&gt;=AI$2),1,0)</f>
        <v/>
      </c>
      <c r="AJ538">
        <f>AJ537+IF(AND($E538&lt;&gt;"",$E538&lt;=AJ$2,$F538&gt;=AJ$2),1,0)</f>
        <v/>
      </c>
      <c r="AK538">
        <f>AK537+IF(AND($E538&lt;&gt;"",$E538&lt;=AK$2,$F538&gt;=AK$2),1,0)</f>
        <v/>
      </c>
      <c r="AL538">
        <f>AL537+IF(AND($E538&lt;&gt;"",$E538&lt;=AL$2,$F538&gt;=AL$2),1,0)</f>
        <v/>
      </c>
      <c r="AM538">
        <f>AM537+IF(AND($E538&lt;&gt;"",$E538&lt;=AM$2,$F538&gt;=AM$2),1,0)</f>
        <v/>
      </c>
      <c r="AN538">
        <f>AN537+IF(AND($E538&lt;&gt;"",$E538&lt;=AN$2,$F538&gt;=AN$2),1,0)</f>
        <v/>
      </c>
      <c r="AO538">
        <f>AO537+IF(AND($E538&lt;&gt;"",$E538&lt;=AO$2,$F538&gt;=AO$2),1,0)</f>
        <v/>
      </c>
      <c r="AP538">
        <f>AP537+IF(AND($E538&lt;&gt;"",$E538&lt;=AP$2,$F538&gt;=AP$2),1,0)</f>
        <v/>
      </c>
      <c r="AQ538">
        <f>AQ537+IF(AND($E538&lt;&gt;"",$E538&lt;=AQ$2,$F538&gt;=AQ$2),1,0)</f>
        <v/>
      </c>
      <c r="AR538">
        <f>AR537+IF(AND($E538&lt;&gt;"",$E538&lt;=AR$2,$F538&gt;=AR$2),1,0)</f>
        <v/>
      </c>
      <c r="AS538">
        <f>AS537+IF(AND($E538&lt;&gt;"",$E538&lt;=AS$2,$F538&gt;=AS$2),1,0)</f>
        <v/>
      </c>
      <c r="AT538">
        <f>AT537+IF(AND($E538&lt;&gt;"",$E538&lt;=AT$2,$F538&gt;=AT$2),1,0)</f>
        <v/>
      </c>
      <c r="AU538">
        <f>AU537+IF(AND($E538&lt;&gt;"",$E538&lt;=AU$2,$F538&gt;=AU$2),1,0)</f>
        <v/>
      </c>
      <c r="AV538">
        <f>AV537+IF(AND($E538&lt;&gt;"",$E538&lt;=AV$2,$F538&gt;=AV$2),1,0)</f>
        <v/>
      </c>
      <c r="AW538">
        <f>AW537+IF(AND($E538&lt;&gt;"",$E538&lt;=AW$2,$F538&gt;=AW$2),1,0)</f>
        <v/>
      </c>
    </row>
    <row r="539">
      <c r="A539">
        <f>IF(AND(ISNUMBER(Events!$A541),ISNUMBER(Events!$B541)),MAX(0,Events!$B541-Events!$A541),0)</f>
        <v/>
      </c>
      <c r="B539">
        <f>IF(ISNUMBER(Events!$A541),DATE(YEAR($B$1)-1,MONTH(Events!$A541),DAY(Events!$A541)),"")</f>
        <v/>
      </c>
      <c r="C539">
        <f>IF(ISNUMBER(Events!$A541),DATE(YEAR($B$1),MONTH(Events!$A541),DAY(Events!$A541)),"")</f>
        <v/>
      </c>
      <c r="D539">
        <f>IF(ISNUMBER(Events!$A541),DATE(YEAR($B$2),MONTH(Events!$A541),DAY(Events!$A541)),"")</f>
        <v/>
      </c>
      <c r="E539">
        <f>IF(OR(NOT(ISNUMBER(Events!$A541)),Events!$G541="No",Calendar!$H$4="None"),"",IF(OR(Calendar!$H$4="All events",Events!$D541=Calendar!$H$4),IF(Events!$E541="Yes",IF(AND(B539&gt;=Events!$A541,B539&lt;=$B$2,B539+$A539&gt;=$B$1),B539,IF(AND(C539&gt;=Events!$A541,C539&lt;=$B$2,C539+$A539&gt;=$B$1),C539,IF(AND(D539&gt;=Events!$A541,D539&lt;=$B$2,D539+$A539&gt;=$B$1),D539,""))),IF(AND(Events!$A541&lt;=$B$2,Events!$A541+$A539&gt;=$B$1),Events!$A541,"")),""))</f>
        <v/>
      </c>
      <c r="F539">
        <f>IF(E539="","",E539+A539)</f>
        <v/>
      </c>
      <c r="G539">
        <f>IF(E539="","",IF(AND(E539&lt;=EOMONTH(Calendar!$K$2,0),F539&gt;=Calendar!$K$2),E539+536/100000,""))</f>
        <v/>
      </c>
      <c r="H539">
        <f>H538+IF(AND($E539&lt;&gt;"",$E539&lt;=H$2,$F539&gt;=H$2),1,0)</f>
        <v/>
      </c>
      <c r="I539">
        <f>I538+IF(AND($E539&lt;&gt;"",$E539&lt;=I$2,$F539&gt;=I$2),1,0)</f>
        <v/>
      </c>
      <c r="J539">
        <f>J538+IF(AND($E539&lt;&gt;"",$E539&lt;=J$2,$F539&gt;=J$2),1,0)</f>
        <v/>
      </c>
      <c r="K539">
        <f>K538+IF(AND($E539&lt;&gt;"",$E539&lt;=K$2,$F539&gt;=K$2),1,0)</f>
        <v/>
      </c>
      <c r="L539">
        <f>L538+IF(AND($E539&lt;&gt;"",$E539&lt;=L$2,$F539&gt;=L$2),1,0)</f>
        <v/>
      </c>
      <c r="M539">
        <f>M538+IF(AND($E539&lt;&gt;"",$E539&lt;=M$2,$F539&gt;=M$2),1,0)</f>
        <v/>
      </c>
      <c r="N539">
        <f>N538+IF(AND($E539&lt;&gt;"",$E539&lt;=N$2,$F539&gt;=N$2),1,0)</f>
        <v/>
      </c>
      <c r="O539">
        <f>O538+IF(AND($E539&lt;&gt;"",$E539&lt;=O$2,$F539&gt;=O$2),1,0)</f>
        <v/>
      </c>
      <c r="P539">
        <f>P538+IF(AND($E539&lt;&gt;"",$E539&lt;=P$2,$F539&gt;=P$2),1,0)</f>
        <v/>
      </c>
      <c r="Q539">
        <f>Q538+IF(AND($E539&lt;&gt;"",$E539&lt;=Q$2,$F539&gt;=Q$2),1,0)</f>
        <v/>
      </c>
      <c r="R539">
        <f>R538+IF(AND($E539&lt;&gt;"",$E539&lt;=R$2,$F539&gt;=R$2),1,0)</f>
        <v/>
      </c>
      <c r="S539">
        <f>S538+IF(AND($E539&lt;&gt;"",$E539&lt;=S$2,$F539&gt;=S$2),1,0)</f>
        <v/>
      </c>
      <c r="T539">
        <f>T538+IF(AND($E539&lt;&gt;"",$E539&lt;=T$2,$F539&gt;=T$2),1,0)</f>
        <v/>
      </c>
      <c r="U539">
        <f>U538+IF(AND($E539&lt;&gt;"",$E539&lt;=U$2,$F539&gt;=U$2),1,0)</f>
        <v/>
      </c>
      <c r="V539">
        <f>V538+IF(AND($E539&lt;&gt;"",$E539&lt;=V$2,$F539&gt;=V$2),1,0)</f>
        <v/>
      </c>
      <c r="W539">
        <f>W538+IF(AND($E539&lt;&gt;"",$E539&lt;=W$2,$F539&gt;=W$2),1,0)</f>
        <v/>
      </c>
      <c r="X539">
        <f>X538+IF(AND($E539&lt;&gt;"",$E539&lt;=X$2,$F539&gt;=X$2),1,0)</f>
        <v/>
      </c>
      <c r="Y539">
        <f>Y538+IF(AND($E539&lt;&gt;"",$E539&lt;=Y$2,$F539&gt;=Y$2),1,0)</f>
        <v/>
      </c>
      <c r="Z539">
        <f>Z538+IF(AND($E539&lt;&gt;"",$E539&lt;=Z$2,$F539&gt;=Z$2),1,0)</f>
        <v/>
      </c>
      <c r="AA539">
        <f>AA538+IF(AND($E539&lt;&gt;"",$E539&lt;=AA$2,$F539&gt;=AA$2),1,0)</f>
        <v/>
      </c>
      <c r="AB539">
        <f>AB538+IF(AND($E539&lt;&gt;"",$E539&lt;=AB$2,$F539&gt;=AB$2),1,0)</f>
        <v/>
      </c>
      <c r="AC539">
        <f>AC538+IF(AND($E539&lt;&gt;"",$E539&lt;=AC$2,$F539&gt;=AC$2),1,0)</f>
        <v/>
      </c>
      <c r="AD539">
        <f>AD538+IF(AND($E539&lt;&gt;"",$E539&lt;=AD$2,$F539&gt;=AD$2),1,0)</f>
        <v/>
      </c>
      <c r="AE539">
        <f>AE538+IF(AND($E539&lt;&gt;"",$E539&lt;=AE$2,$F539&gt;=AE$2),1,0)</f>
        <v/>
      </c>
      <c r="AF539">
        <f>AF538+IF(AND($E539&lt;&gt;"",$E539&lt;=AF$2,$F539&gt;=AF$2),1,0)</f>
        <v/>
      </c>
      <c r="AG539">
        <f>AG538+IF(AND($E539&lt;&gt;"",$E539&lt;=AG$2,$F539&gt;=AG$2),1,0)</f>
        <v/>
      </c>
      <c r="AH539">
        <f>AH538+IF(AND($E539&lt;&gt;"",$E539&lt;=AH$2,$F539&gt;=AH$2),1,0)</f>
        <v/>
      </c>
      <c r="AI539">
        <f>AI538+IF(AND($E539&lt;&gt;"",$E539&lt;=AI$2,$F539&gt;=AI$2),1,0)</f>
        <v/>
      </c>
      <c r="AJ539">
        <f>AJ538+IF(AND($E539&lt;&gt;"",$E539&lt;=AJ$2,$F539&gt;=AJ$2),1,0)</f>
        <v/>
      </c>
      <c r="AK539">
        <f>AK538+IF(AND($E539&lt;&gt;"",$E539&lt;=AK$2,$F539&gt;=AK$2),1,0)</f>
        <v/>
      </c>
      <c r="AL539">
        <f>AL538+IF(AND($E539&lt;&gt;"",$E539&lt;=AL$2,$F539&gt;=AL$2),1,0)</f>
        <v/>
      </c>
      <c r="AM539">
        <f>AM538+IF(AND($E539&lt;&gt;"",$E539&lt;=AM$2,$F539&gt;=AM$2),1,0)</f>
        <v/>
      </c>
      <c r="AN539">
        <f>AN538+IF(AND($E539&lt;&gt;"",$E539&lt;=AN$2,$F539&gt;=AN$2),1,0)</f>
        <v/>
      </c>
      <c r="AO539">
        <f>AO538+IF(AND($E539&lt;&gt;"",$E539&lt;=AO$2,$F539&gt;=AO$2),1,0)</f>
        <v/>
      </c>
      <c r="AP539">
        <f>AP538+IF(AND($E539&lt;&gt;"",$E539&lt;=AP$2,$F539&gt;=AP$2),1,0)</f>
        <v/>
      </c>
      <c r="AQ539">
        <f>AQ538+IF(AND($E539&lt;&gt;"",$E539&lt;=AQ$2,$F539&gt;=AQ$2),1,0)</f>
        <v/>
      </c>
      <c r="AR539">
        <f>AR538+IF(AND($E539&lt;&gt;"",$E539&lt;=AR$2,$F539&gt;=AR$2),1,0)</f>
        <v/>
      </c>
      <c r="AS539">
        <f>AS538+IF(AND($E539&lt;&gt;"",$E539&lt;=AS$2,$F539&gt;=AS$2),1,0)</f>
        <v/>
      </c>
      <c r="AT539">
        <f>AT538+IF(AND($E539&lt;&gt;"",$E539&lt;=AT$2,$F539&gt;=AT$2),1,0)</f>
        <v/>
      </c>
      <c r="AU539">
        <f>AU538+IF(AND($E539&lt;&gt;"",$E539&lt;=AU$2,$F539&gt;=AU$2),1,0)</f>
        <v/>
      </c>
      <c r="AV539">
        <f>AV538+IF(AND($E539&lt;&gt;"",$E539&lt;=AV$2,$F539&gt;=AV$2),1,0)</f>
        <v/>
      </c>
      <c r="AW539">
        <f>AW538+IF(AND($E539&lt;&gt;"",$E539&lt;=AW$2,$F539&gt;=AW$2),1,0)</f>
        <v/>
      </c>
    </row>
    <row r="540">
      <c r="A540">
        <f>IF(AND(ISNUMBER(Events!$A542),ISNUMBER(Events!$B542)),MAX(0,Events!$B542-Events!$A542),0)</f>
        <v/>
      </c>
      <c r="B540">
        <f>IF(ISNUMBER(Events!$A542),DATE(YEAR($B$1)-1,MONTH(Events!$A542),DAY(Events!$A542)),"")</f>
        <v/>
      </c>
      <c r="C540">
        <f>IF(ISNUMBER(Events!$A542),DATE(YEAR($B$1),MONTH(Events!$A542),DAY(Events!$A542)),"")</f>
        <v/>
      </c>
      <c r="D540">
        <f>IF(ISNUMBER(Events!$A542),DATE(YEAR($B$2),MONTH(Events!$A542),DAY(Events!$A542)),"")</f>
        <v/>
      </c>
      <c r="E540">
        <f>IF(OR(NOT(ISNUMBER(Events!$A542)),Events!$G542="No",Calendar!$H$4="None"),"",IF(OR(Calendar!$H$4="All events",Events!$D542=Calendar!$H$4),IF(Events!$E542="Yes",IF(AND(B540&gt;=Events!$A542,B540&lt;=$B$2,B540+$A540&gt;=$B$1),B540,IF(AND(C540&gt;=Events!$A542,C540&lt;=$B$2,C540+$A540&gt;=$B$1),C540,IF(AND(D540&gt;=Events!$A542,D540&lt;=$B$2,D540+$A540&gt;=$B$1),D540,""))),IF(AND(Events!$A542&lt;=$B$2,Events!$A542+$A540&gt;=$B$1),Events!$A542,"")),""))</f>
        <v/>
      </c>
      <c r="F540">
        <f>IF(E540="","",E540+A540)</f>
        <v/>
      </c>
      <c r="G540">
        <f>IF(E540="","",IF(AND(E540&lt;=EOMONTH(Calendar!$K$2,0),F540&gt;=Calendar!$K$2),E540+537/100000,""))</f>
        <v/>
      </c>
      <c r="H540">
        <f>H539+IF(AND($E540&lt;&gt;"",$E540&lt;=H$2,$F540&gt;=H$2),1,0)</f>
        <v/>
      </c>
      <c r="I540">
        <f>I539+IF(AND($E540&lt;&gt;"",$E540&lt;=I$2,$F540&gt;=I$2),1,0)</f>
        <v/>
      </c>
      <c r="J540">
        <f>J539+IF(AND($E540&lt;&gt;"",$E540&lt;=J$2,$F540&gt;=J$2),1,0)</f>
        <v/>
      </c>
      <c r="K540">
        <f>K539+IF(AND($E540&lt;&gt;"",$E540&lt;=K$2,$F540&gt;=K$2),1,0)</f>
        <v/>
      </c>
      <c r="L540">
        <f>L539+IF(AND($E540&lt;&gt;"",$E540&lt;=L$2,$F540&gt;=L$2),1,0)</f>
        <v/>
      </c>
      <c r="M540">
        <f>M539+IF(AND($E540&lt;&gt;"",$E540&lt;=M$2,$F540&gt;=M$2),1,0)</f>
        <v/>
      </c>
      <c r="N540">
        <f>N539+IF(AND($E540&lt;&gt;"",$E540&lt;=N$2,$F540&gt;=N$2),1,0)</f>
        <v/>
      </c>
      <c r="O540">
        <f>O539+IF(AND($E540&lt;&gt;"",$E540&lt;=O$2,$F540&gt;=O$2),1,0)</f>
        <v/>
      </c>
      <c r="P540">
        <f>P539+IF(AND($E540&lt;&gt;"",$E540&lt;=P$2,$F540&gt;=P$2),1,0)</f>
        <v/>
      </c>
      <c r="Q540">
        <f>Q539+IF(AND($E540&lt;&gt;"",$E540&lt;=Q$2,$F540&gt;=Q$2),1,0)</f>
        <v/>
      </c>
      <c r="R540">
        <f>R539+IF(AND($E540&lt;&gt;"",$E540&lt;=R$2,$F540&gt;=R$2),1,0)</f>
        <v/>
      </c>
      <c r="S540">
        <f>S539+IF(AND($E540&lt;&gt;"",$E540&lt;=S$2,$F540&gt;=S$2),1,0)</f>
        <v/>
      </c>
      <c r="T540">
        <f>T539+IF(AND($E540&lt;&gt;"",$E540&lt;=T$2,$F540&gt;=T$2),1,0)</f>
        <v/>
      </c>
      <c r="U540">
        <f>U539+IF(AND($E540&lt;&gt;"",$E540&lt;=U$2,$F540&gt;=U$2),1,0)</f>
        <v/>
      </c>
      <c r="V540">
        <f>V539+IF(AND($E540&lt;&gt;"",$E540&lt;=V$2,$F540&gt;=V$2),1,0)</f>
        <v/>
      </c>
      <c r="W540">
        <f>W539+IF(AND($E540&lt;&gt;"",$E540&lt;=W$2,$F540&gt;=W$2),1,0)</f>
        <v/>
      </c>
      <c r="X540">
        <f>X539+IF(AND($E540&lt;&gt;"",$E540&lt;=X$2,$F540&gt;=X$2),1,0)</f>
        <v/>
      </c>
      <c r="Y540">
        <f>Y539+IF(AND($E540&lt;&gt;"",$E540&lt;=Y$2,$F540&gt;=Y$2),1,0)</f>
        <v/>
      </c>
      <c r="Z540">
        <f>Z539+IF(AND($E540&lt;&gt;"",$E540&lt;=Z$2,$F540&gt;=Z$2),1,0)</f>
        <v/>
      </c>
      <c r="AA540">
        <f>AA539+IF(AND($E540&lt;&gt;"",$E540&lt;=AA$2,$F540&gt;=AA$2),1,0)</f>
        <v/>
      </c>
      <c r="AB540">
        <f>AB539+IF(AND($E540&lt;&gt;"",$E540&lt;=AB$2,$F540&gt;=AB$2),1,0)</f>
        <v/>
      </c>
      <c r="AC540">
        <f>AC539+IF(AND($E540&lt;&gt;"",$E540&lt;=AC$2,$F540&gt;=AC$2),1,0)</f>
        <v/>
      </c>
      <c r="AD540">
        <f>AD539+IF(AND($E540&lt;&gt;"",$E540&lt;=AD$2,$F540&gt;=AD$2),1,0)</f>
        <v/>
      </c>
      <c r="AE540">
        <f>AE539+IF(AND($E540&lt;&gt;"",$E540&lt;=AE$2,$F540&gt;=AE$2),1,0)</f>
        <v/>
      </c>
      <c r="AF540">
        <f>AF539+IF(AND($E540&lt;&gt;"",$E540&lt;=AF$2,$F540&gt;=AF$2),1,0)</f>
        <v/>
      </c>
      <c r="AG540">
        <f>AG539+IF(AND($E540&lt;&gt;"",$E540&lt;=AG$2,$F540&gt;=AG$2),1,0)</f>
        <v/>
      </c>
      <c r="AH540">
        <f>AH539+IF(AND($E540&lt;&gt;"",$E540&lt;=AH$2,$F540&gt;=AH$2),1,0)</f>
        <v/>
      </c>
      <c r="AI540">
        <f>AI539+IF(AND($E540&lt;&gt;"",$E540&lt;=AI$2,$F540&gt;=AI$2),1,0)</f>
        <v/>
      </c>
      <c r="AJ540">
        <f>AJ539+IF(AND($E540&lt;&gt;"",$E540&lt;=AJ$2,$F540&gt;=AJ$2),1,0)</f>
        <v/>
      </c>
      <c r="AK540">
        <f>AK539+IF(AND($E540&lt;&gt;"",$E540&lt;=AK$2,$F540&gt;=AK$2),1,0)</f>
        <v/>
      </c>
      <c r="AL540">
        <f>AL539+IF(AND($E540&lt;&gt;"",$E540&lt;=AL$2,$F540&gt;=AL$2),1,0)</f>
        <v/>
      </c>
      <c r="AM540">
        <f>AM539+IF(AND($E540&lt;&gt;"",$E540&lt;=AM$2,$F540&gt;=AM$2),1,0)</f>
        <v/>
      </c>
      <c r="AN540">
        <f>AN539+IF(AND($E540&lt;&gt;"",$E540&lt;=AN$2,$F540&gt;=AN$2),1,0)</f>
        <v/>
      </c>
      <c r="AO540">
        <f>AO539+IF(AND($E540&lt;&gt;"",$E540&lt;=AO$2,$F540&gt;=AO$2),1,0)</f>
        <v/>
      </c>
      <c r="AP540">
        <f>AP539+IF(AND($E540&lt;&gt;"",$E540&lt;=AP$2,$F540&gt;=AP$2),1,0)</f>
        <v/>
      </c>
      <c r="AQ540">
        <f>AQ539+IF(AND($E540&lt;&gt;"",$E540&lt;=AQ$2,$F540&gt;=AQ$2),1,0)</f>
        <v/>
      </c>
      <c r="AR540">
        <f>AR539+IF(AND($E540&lt;&gt;"",$E540&lt;=AR$2,$F540&gt;=AR$2),1,0)</f>
        <v/>
      </c>
      <c r="AS540">
        <f>AS539+IF(AND($E540&lt;&gt;"",$E540&lt;=AS$2,$F540&gt;=AS$2),1,0)</f>
        <v/>
      </c>
      <c r="AT540">
        <f>AT539+IF(AND($E540&lt;&gt;"",$E540&lt;=AT$2,$F540&gt;=AT$2),1,0)</f>
        <v/>
      </c>
      <c r="AU540">
        <f>AU539+IF(AND($E540&lt;&gt;"",$E540&lt;=AU$2,$F540&gt;=AU$2),1,0)</f>
        <v/>
      </c>
      <c r="AV540">
        <f>AV539+IF(AND($E540&lt;&gt;"",$E540&lt;=AV$2,$F540&gt;=AV$2),1,0)</f>
        <v/>
      </c>
      <c r="AW540">
        <f>AW539+IF(AND($E540&lt;&gt;"",$E540&lt;=AW$2,$F540&gt;=AW$2),1,0)</f>
        <v/>
      </c>
    </row>
    <row r="541">
      <c r="A541">
        <f>IF(AND(ISNUMBER(Events!$A543),ISNUMBER(Events!$B543)),MAX(0,Events!$B543-Events!$A543),0)</f>
        <v/>
      </c>
      <c r="B541">
        <f>IF(ISNUMBER(Events!$A543),DATE(YEAR($B$1)-1,MONTH(Events!$A543),DAY(Events!$A543)),"")</f>
        <v/>
      </c>
      <c r="C541">
        <f>IF(ISNUMBER(Events!$A543),DATE(YEAR($B$1),MONTH(Events!$A543),DAY(Events!$A543)),"")</f>
        <v/>
      </c>
      <c r="D541">
        <f>IF(ISNUMBER(Events!$A543),DATE(YEAR($B$2),MONTH(Events!$A543),DAY(Events!$A543)),"")</f>
        <v/>
      </c>
      <c r="E541">
        <f>IF(OR(NOT(ISNUMBER(Events!$A543)),Events!$G543="No",Calendar!$H$4="None"),"",IF(OR(Calendar!$H$4="All events",Events!$D543=Calendar!$H$4),IF(Events!$E543="Yes",IF(AND(B541&gt;=Events!$A543,B541&lt;=$B$2,B541+$A541&gt;=$B$1),B541,IF(AND(C541&gt;=Events!$A543,C541&lt;=$B$2,C541+$A541&gt;=$B$1),C541,IF(AND(D541&gt;=Events!$A543,D541&lt;=$B$2,D541+$A541&gt;=$B$1),D541,""))),IF(AND(Events!$A543&lt;=$B$2,Events!$A543+$A541&gt;=$B$1),Events!$A543,"")),""))</f>
        <v/>
      </c>
      <c r="F541">
        <f>IF(E541="","",E541+A541)</f>
        <v/>
      </c>
      <c r="G541">
        <f>IF(E541="","",IF(AND(E541&lt;=EOMONTH(Calendar!$K$2,0),F541&gt;=Calendar!$K$2),E541+538/100000,""))</f>
        <v/>
      </c>
      <c r="H541">
        <f>H540+IF(AND($E541&lt;&gt;"",$E541&lt;=H$2,$F541&gt;=H$2),1,0)</f>
        <v/>
      </c>
      <c r="I541">
        <f>I540+IF(AND($E541&lt;&gt;"",$E541&lt;=I$2,$F541&gt;=I$2),1,0)</f>
        <v/>
      </c>
      <c r="J541">
        <f>J540+IF(AND($E541&lt;&gt;"",$E541&lt;=J$2,$F541&gt;=J$2),1,0)</f>
        <v/>
      </c>
      <c r="K541">
        <f>K540+IF(AND($E541&lt;&gt;"",$E541&lt;=K$2,$F541&gt;=K$2),1,0)</f>
        <v/>
      </c>
      <c r="L541">
        <f>L540+IF(AND($E541&lt;&gt;"",$E541&lt;=L$2,$F541&gt;=L$2),1,0)</f>
        <v/>
      </c>
      <c r="M541">
        <f>M540+IF(AND($E541&lt;&gt;"",$E541&lt;=M$2,$F541&gt;=M$2),1,0)</f>
        <v/>
      </c>
      <c r="N541">
        <f>N540+IF(AND($E541&lt;&gt;"",$E541&lt;=N$2,$F541&gt;=N$2),1,0)</f>
        <v/>
      </c>
      <c r="O541">
        <f>O540+IF(AND($E541&lt;&gt;"",$E541&lt;=O$2,$F541&gt;=O$2),1,0)</f>
        <v/>
      </c>
      <c r="P541">
        <f>P540+IF(AND($E541&lt;&gt;"",$E541&lt;=P$2,$F541&gt;=P$2),1,0)</f>
        <v/>
      </c>
      <c r="Q541">
        <f>Q540+IF(AND($E541&lt;&gt;"",$E541&lt;=Q$2,$F541&gt;=Q$2),1,0)</f>
        <v/>
      </c>
      <c r="R541">
        <f>R540+IF(AND($E541&lt;&gt;"",$E541&lt;=R$2,$F541&gt;=R$2),1,0)</f>
        <v/>
      </c>
      <c r="S541">
        <f>S540+IF(AND($E541&lt;&gt;"",$E541&lt;=S$2,$F541&gt;=S$2),1,0)</f>
        <v/>
      </c>
      <c r="T541">
        <f>T540+IF(AND($E541&lt;&gt;"",$E541&lt;=T$2,$F541&gt;=T$2),1,0)</f>
        <v/>
      </c>
      <c r="U541">
        <f>U540+IF(AND($E541&lt;&gt;"",$E541&lt;=U$2,$F541&gt;=U$2),1,0)</f>
        <v/>
      </c>
      <c r="V541">
        <f>V540+IF(AND($E541&lt;&gt;"",$E541&lt;=V$2,$F541&gt;=V$2),1,0)</f>
        <v/>
      </c>
      <c r="W541">
        <f>W540+IF(AND($E541&lt;&gt;"",$E541&lt;=W$2,$F541&gt;=W$2),1,0)</f>
        <v/>
      </c>
      <c r="X541">
        <f>X540+IF(AND($E541&lt;&gt;"",$E541&lt;=X$2,$F541&gt;=X$2),1,0)</f>
        <v/>
      </c>
      <c r="Y541">
        <f>Y540+IF(AND($E541&lt;&gt;"",$E541&lt;=Y$2,$F541&gt;=Y$2),1,0)</f>
        <v/>
      </c>
      <c r="Z541">
        <f>Z540+IF(AND($E541&lt;&gt;"",$E541&lt;=Z$2,$F541&gt;=Z$2),1,0)</f>
        <v/>
      </c>
      <c r="AA541">
        <f>AA540+IF(AND($E541&lt;&gt;"",$E541&lt;=AA$2,$F541&gt;=AA$2),1,0)</f>
        <v/>
      </c>
      <c r="AB541">
        <f>AB540+IF(AND($E541&lt;&gt;"",$E541&lt;=AB$2,$F541&gt;=AB$2),1,0)</f>
        <v/>
      </c>
      <c r="AC541">
        <f>AC540+IF(AND($E541&lt;&gt;"",$E541&lt;=AC$2,$F541&gt;=AC$2),1,0)</f>
        <v/>
      </c>
      <c r="AD541">
        <f>AD540+IF(AND($E541&lt;&gt;"",$E541&lt;=AD$2,$F541&gt;=AD$2),1,0)</f>
        <v/>
      </c>
      <c r="AE541">
        <f>AE540+IF(AND($E541&lt;&gt;"",$E541&lt;=AE$2,$F541&gt;=AE$2),1,0)</f>
        <v/>
      </c>
      <c r="AF541">
        <f>AF540+IF(AND($E541&lt;&gt;"",$E541&lt;=AF$2,$F541&gt;=AF$2),1,0)</f>
        <v/>
      </c>
      <c r="AG541">
        <f>AG540+IF(AND($E541&lt;&gt;"",$E541&lt;=AG$2,$F541&gt;=AG$2),1,0)</f>
        <v/>
      </c>
      <c r="AH541">
        <f>AH540+IF(AND($E541&lt;&gt;"",$E541&lt;=AH$2,$F541&gt;=AH$2),1,0)</f>
        <v/>
      </c>
      <c r="AI541">
        <f>AI540+IF(AND($E541&lt;&gt;"",$E541&lt;=AI$2,$F541&gt;=AI$2),1,0)</f>
        <v/>
      </c>
      <c r="AJ541">
        <f>AJ540+IF(AND($E541&lt;&gt;"",$E541&lt;=AJ$2,$F541&gt;=AJ$2),1,0)</f>
        <v/>
      </c>
      <c r="AK541">
        <f>AK540+IF(AND($E541&lt;&gt;"",$E541&lt;=AK$2,$F541&gt;=AK$2),1,0)</f>
        <v/>
      </c>
      <c r="AL541">
        <f>AL540+IF(AND($E541&lt;&gt;"",$E541&lt;=AL$2,$F541&gt;=AL$2),1,0)</f>
        <v/>
      </c>
      <c r="AM541">
        <f>AM540+IF(AND($E541&lt;&gt;"",$E541&lt;=AM$2,$F541&gt;=AM$2),1,0)</f>
        <v/>
      </c>
      <c r="AN541">
        <f>AN540+IF(AND($E541&lt;&gt;"",$E541&lt;=AN$2,$F541&gt;=AN$2),1,0)</f>
        <v/>
      </c>
      <c r="AO541">
        <f>AO540+IF(AND($E541&lt;&gt;"",$E541&lt;=AO$2,$F541&gt;=AO$2),1,0)</f>
        <v/>
      </c>
      <c r="AP541">
        <f>AP540+IF(AND($E541&lt;&gt;"",$E541&lt;=AP$2,$F541&gt;=AP$2),1,0)</f>
        <v/>
      </c>
      <c r="AQ541">
        <f>AQ540+IF(AND($E541&lt;&gt;"",$E541&lt;=AQ$2,$F541&gt;=AQ$2),1,0)</f>
        <v/>
      </c>
      <c r="AR541">
        <f>AR540+IF(AND($E541&lt;&gt;"",$E541&lt;=AR$2,$F541&gt;=AR$2),1,0)</f>
        <v/>
      </c>
      <c r="AS541">
        <f>AS540+IF(AND($E541&lt;&gt;"",$E541&lt;=AS$2,$F541&gt;=AS$2),1,0)</f>
        <v/>
      </c>
      <c r="AT541">
        <f>AT540+IF(AND($E541&lt;&gt;"",$E541&lt;=AT$2,$F541&gt;=AT$2),1,0)</f>
        <v/>
      </c>
      <c r="AU541">
        <f>AU540+IF(AND($E541&lt;&gt;"",$E541&lt;=AU$2,$F541&gt;=AU$2),1,0)</f>
        <v/>
      </c>
      <c r="AV541">
        <f>AV540+IF(AND($E541&lt;&gt;"",$E541&lt;=AV$2,$F541&gt;=AV$2),1,0)</f>
        <v/>
      </c>
      <c r="AW541">
        <f>AW540+IF(AND($E541&lt;&gt;"",$E541&lt;=AW$2,$F541&gt;=AW$2),1,0)</f>
        <v/>
      </c>
    </row>
    <row r="542">
      <c r="A542">
        <f>IF(AND(ISNUMBER(Events!$A544),ISNUMBER(Events!$B544)),MAX(0,Events!$B544-Events!$A544),0)</f>
        <v/>
      </c>
      <c r="B542">
        <f>IF(ISNUMBER(Events!$A544),DATE(YEAR($B$1)-1,MONTH(Events!$A544),DAY(Events!$A544)),"")</f>
        <v/>
      </c>
      <c r="C542">
        <f>IF(ISNUMBER(Events!$A544),DATE(YEAR($B$1),MONTH(Events!$A544),DAY(Events!$A544)),"")</f>
        <v/>
      </c>
      <c r="D542">
        <f>IF(ISNUMBER(Events!$A544),DATE(YEAR($B$2),MONTH(Events!$A544),DAY(Events!$A544)),"")</f>
        <v/>
      </c>
      <c r="E542">
        <f>IF(OR(NOT(ISNUMBER(Events!$A544)),Events!$G544="No",Calendar!$H$4="None"),"",IF(OR(Calendar!$H$4="All events",Events!$D544=Calendar!$H$4),IF(Events!$E544="Yes",IF(AND(B542&gt;=Events!$A544,B542&lt;=$B$2,B542+$A542&gt;=$B$1),B542,IF(AND(C542&gt;=Events!$A544,C542&lt;=$B$2,C542+$A542&gt;=$B$1),C542,IF(AND(D542&gt;=Events!$A544,D542&lt;=$B$2,D542+$A542&gt;=$B$1),D542,""))),IF(AND(Events!$A544&lt;=$B$2,Events!$A544+$A542&gt;=$B$1),Events!$A544,"")),""))</f>
        <v/>
      </c>
      <c r="F542">
        <f>IF(E542="","",E542+A542)</f>
        <v/>
      </c>
      <c r="G542">
        <f>IF(E542="","",IF(AND(E542&lt;=EOMONTH(Calendar!$K$2,0),F542&gt;=Calendar!$K$2),E542+539/100000,""))</f>
        <v/>
      </c>
      <c r="H542">
        <f>H541+IF(AND($E542&lt;&gt;"",$E542&lt;=H$2,$F542&gt;=H$2),1,0)</f>
        <v/>
      </c>
      <c r="I542">
        <f>I541+IF(AND($E542&lt;&gt;"",$E542&lt;=I$2,$F542&gt;=I$2),1,0)</f>
        <v/>
      </c>
      <c r="J542">
        <f>J541+IF(AND($E542&lt;&gt;"",$E542&lt;=J$2,$F542&gt;=J$2),1,0)</f>
        <v/>
      </c>
      <c r="K542">
        <f>K541+IF(AND($E542&lt;&gt;"",$E542&lt;=K$2,$F542&gt;=K$2),1,0)</f>
        <v/>
      </c>
      <c r="L542">
        <f>L541+IF(AND($E542&lt;&gt;"",$E542&lt;=L$2,$F542&gt;=L$2),1,0)</f>
        <v/>
      </c>
      <c r="M542">
        <f>M541+IF(AND($E542&lt;&gt;"",$E542&lt;=M$2,$F542&gt;=M$2),1,0)</f>
        <v/>
      </c>
      <c r="N542">
        <f>N541+IF(AND($E542&lt;&gt;"",$E542&lt;=N$2,$F542&gt;=N$2),1,0)</f>
        <v/>
      </c>
      <c r="O542">
        <f>O541+IF(AND($E542&lt;&gt;"",$E542&lt;=O$2,$F542&gt;=O$2),1,0)</f>
        <v/>
      </c>
      <c r="P542">
        <f>P541+IF(AND($E542&lt;&gt;"",$E542&lt;=P$2,$F542&gt;=P$2),1,0)</f>
        <v/>
      </c>
      <c r="Q542">
        <f>Q541+IF(AND($E542&lt;&gt;"",$E542&lt;=Q$2,$F542&gt;=Q$2),1,0)</f>
        <v/>
      </c>
      <c r="R542">
        <f>R541+IF(AND($E542&lt;&gt;"",$E542&lt;=R$2,$F542&gt;=R$2),1,0)</f>
        <v/>
      </c>
      <c r="S542">
        <f>S541+IF(AND($E542&lt;&gt;"",$E542&lt;=S$2,$F542&gt;=S$2),1,0)</f>
        <v/>
      </c>
      <c r="T542">
        <f>T541+IF(AND($E542&lt;&gt;"",$E542&lt;=T$2,$F542&gt;=T$2),1,0)</f>
        <v/>
      </c>
      <c r="U542">
        <f>U541+IF(AND($E542&lt;&gt;"",$E542&lt;=U$2,$F542&gt;=U$2),1,0)</f>
        <v/>
      </c>
      <c r="V542">
        <f>V541+IF(AND($E542&lt;&gt;"",$E542&lt;=V$2,$F542&gt;=V$2),1,0)</f>
        <v/>
      </c>
      <c r="W542">
        <f>W541+IF(AND($E542&lt;&gt;"",$E542&lt;=W$2,$F542&gt;=W$2),1,0)</f>
        <v/>
      </c>
      <c r="X542">
        <f>X541+IF(AND($E542&lt;&gt;"",$E542&lt;=X$2,$F542&gt;=X$2),1,0)</f>
        <v/>
      </c>
      <c r="Y542">
        <f>Y541+IF(AND($E542&lt;&gt;"",$E542&lt;=Y$2,$F542&gt;=Y$2),1,0)</f>
        <v/>
      </c>
      <c r="Z542">
        <f>Z541+IF(AND($E542&lt;&gt;"",$E542&lt;=Z$2,$F542&gt;=Z$2),1,0)</f>
        <v/>
      </c>
      <c r="AA542">
        <f>AA541+IF(AND($E542&lt;&gt;"",$E542&lt;=AA$2,$F542&gt;=AA$2),1,0)</f>
        <v/>
      </c>
      <c r="AB542">
        <f>AB541+IF(AND($E542&lt;&gt;"",$E542&lt;=AB$2,$F542&gt;=AB$2),1,0)</f>
        <v/>
      </c>
      <c r="AC542">
        <f>AC541+IF(AND($E542&lt;&gt;"",$E542&lt;=AC$2,$F542&gt;=AC$2),1,0)</f>
        <v/>
      </c>
      <c r="AD542">
        <f>AD541+IF(AND($E542&lt;&gt;"",$E542&lt;=AD$2,$F542&gt;=AD$2),1,0)</f>
        <v/>
      </c>
      <c r="AE542">
        <f>AE541+IF(AND($E542&lt;&gt;"",$E542&lt;=AE$2,$F542&gt;=AE$2),1,0)</f>
        <v/>
      </c>
      <c r="AF542">
        <f>AF541+IF(AND($E542&lt;&gt;"",$E542&lt;=AF$2,$F542&gt;=AF$2),1,0)</f>
        <v/>
      </c>
      <c r="AG542">
        <f>AG541+IF(AND($E542&lt;&gt;"",$E542&lt;=AG$2,$F542&gt;=AG$2),1,0)</f>
        <v/>
      </c>
      <c r="AH542">
        <f>AH541+IF(AND($E542&lt;&gt;"",$E542&lt;=AH$2,$F542&gt;=AH$2),1,0)</f>
        <v/>
      </c>
      <c r="AI542">
        <f>AI541+IF(AND($E542&lt;&gt;"",$E542&lt;=AI$2,$F542&gt;=AI$2),1,0)</f>
        <v/>
      </c>
      <c r="AJ542">
        <f>AJ541+IF(AND($E542&lt;&gt;"",$E542&lt;=AJ$2,$F542&gt;=AJ$2),1,0)</f>
        <v/>
      </c>
      <c r="AK542">
        <f>AK541+IF(AND($E542&lt;&gt;"",$E542&lt;=AK$2,$F542&gt;=AK$2),1,0)</f>
        <v/>
      </c>
      <c r="AL542">
        <f>AL541+IF(AND($E542&lt;&gt;"",$E542&lt;=AL$2,$F542&gt;=AL$2),1,0)</f>
        <v/>
      </c>
      <c r="AM542">
        <f>AM541+IF(AND($E542&lt;&gt;"",$E542&lt;=AM$2,$F542&gt;=AM$2),1,0)</f>
        <v/>
      </c>
      <c r="AN542">
        <f>AN541+IF(AND($E542&lt;&gt;"",$E542&lt;=AN$2,$F542&gt;=AN$2),1,0)</f>
        <v/>
      </c>
      <c r="AO542">
        <f>AO541+IF(AND($E542&lt;&gt;"",$E542&lt;=AO$2,$F542&gt;=AO$2),1,0)</f>
        <v/>
      </c>
      <c r="AP542">
        <f>AP541+IF(AND($E542&lt;&gt;"",$E542&lt;=AP$2,$F542&gt;=AP$2),1,0)</f>
        <v/>
      </c>
      <c r="AQ542">
        <f>AQ541+IF(AND($E542&lt;&gt;"",$E542&lt;=AQ$2,$F542&gt;=AQ$2),1,0)</f>
        <v/>
      </c>
      <c r="AR542">
        <f>AR541+IF(AND($E542&lt;&gt;"",$E542&lt;=AR$2,$F542&gt;=AR$2),1,0)</f>
        <v/>
      </c>
      <c r="AS542">
        <f>AS541+IF(AND($E542&lt;&gt;"",$E542&lt;=AS$2,$F542&gt;=AS$2),1,0)</f>
        <v/>
      </c>
      <c r="AT542">
        <f>AT541+IF(AND($E542&lt;&gt;"",$E542&lt;=AT$2,$F542&gt;=AT$2),1,0)</f>
        <v/>
      </c>
      <c r="AU542">
        <f>AU541+IF(AND($E542&lt;&gt;"",$E542&lt;=AU$2,$F542&gt;=AU$2),1,0)</f>
        <v/>
      </c>
      <c r="AV542">
        <f>AV541+IF(AND($E542&lt;&gt;"",$E542&lt;=AV$2,$F542&gt;=AV$2),1,0)</f>
        <v/>
      </c>
      <c r="AW542">
        <f>AW541+IF(AND($E542&lt;&gt;"",$E542&lt;=AW$2,$F542&gt;=AW$2),1,0)</f>
        <v/>
      </c>
    </row>
    <row r="543">
      <c r="A543">
        <f>IF(AND(ISNUMBER(Events!$A545),ISNUMBER(Events!$B545)),MAX(0,Events!$B545-Events!$A545),0)</f>
        <v/>
      </c>
      <c r="B543">
        <f>IF(ISNUMBER(Events!$A545),DATE(YEAR($B$1)-1,MONTH(Events!$A545),DAY(Events!$A545)),"")</f>
        <v/>
      </c>
      <c r="C543">
        <f>IF(ISNUMBER(Events!$A545),DATE(YEAR($B$1),MONTH(Events!$A545),DAY(Events!$A545)),"")</f>
        <v/>
      </c>
      <c r="D543">
        <f>IF(ISNUMBER(Events!$A545),DATE(YEAR($B$2),MONTH(Events!$A545),DAY(Events!$A545)),"")</f>
        <v/>
      </c>
      <c r="E543">
        <f>IF(OR(NOT(ISNUMBER(Events!$A545)),Events!$G545="No",Calendar!$H$4="None"),"",IF(OR(Calendar!$H$4="All events",Events!$D545=Calendar!$H$4),IF(Events!$E545="Yes",IF(AND(B543&gt;=Events!$A545,B543&lt;=$B$2,B543+$A543&gt;=$B$1),B543,IF(AND(C543&gt;=Events!$A545,C543&lt;=$B$2,C543+$A543&gt;=$B$1),C543,IF(AND(D543&gt;=Events!$A545,D543&lt;=$B$2,D543+$A543&gt;=$B$1),D543,""))),IF(AND(Events!$A545&lt;=$B$2,Events!$A545+$A543&gt;=$B$1),Events!$A545,"")),""))</f>
        <v/>
      </c>
      <c r="F543">
        <f>IF(E543="","",E543+A543)</f>
        <v/>
      </c>
      <c r="G543">
        <f>IF(E543="","",IF(AND(E543&lt;=EOMONTH(Calendar!$K$2,0),F543&gt;=Calendar!$K$2),E543+540/100000,""))</f>
        <v/>
      </c>
      <c r="H543">
        <f>H542+IF(AND($E543&lt;&gt;"",$E543&lt;=H$2,$F543&gt;=H$2),1,0)</f>
        <v/>
      </c>
      <c r="I543">
        <f>I542+IF(AND($E543&lt;&gt;"",$E543&lt;=I$2,$F543&gt;=I$2),1,0)</f>
        <v/>
      </c>
      <c r="J543">
        <f>J542+IF(AND($E543&lt;&gt;"",$E543&lt;=J$2,$F543&gt;=J$2),1,0)</f>
        <v/>
      </c>
      <c r="K543">
        <f>K542+IF(AND($E543&lt;&gt;"",$E543&lt;=K$2,$F543&gt;=K$2),1,0)</f>
        <v/>
      </c>
      <c r="L543">
        <f>L542+IF(AND($E543&lt;&gt;"",$E543&lt;=L$2,$F543&gt;=L$2),1,0)</f>
        <v/>
      </c>
      <c r="M543">
        <f>M542+IF(AND($E543&lt;&gt;"",$E543&lt;=M$2,$F543&gt;=M$2),1,0)</f>
        <v/>
      </c>
      <c r="N543">
        <f>N542+IF(AND($E543&lt;&gt;"",$E543&lt;=N$2,$F543&gt;=N$2),1,0)</f>
        <v/>
      </c>
      <c r="O543">
        <f>O542+IF(AND($E543&lt;&gt;"",$E543&lt;=O$2,$F543&gt;=O$2),1,0)</f>
        <v/>
      </c>
      <c r="P543">
        <f>P542+IF(AND($E543&lt;&gt;"",$E543&lt;=P$2,$F543&gt;=P$2),1,0)</f>
        <v/>
      </c>
      <c r="Q543">
        <f>Q542+IF(AND($E543&lt;&gt;"",$E543&lt;=Q$2,$F543&gt;=Q$2),1,0)</f>
        <v/>
      </c>
      <c r="R543">
        <f>R542+IF(AND($E543&lt;&gt;"",$E543&lt;=R$2,$F543&gt;=R$2),1,0)</f>
        <v/>
      </c>
      <c r="S543">
        <f>S542+IF(AND($E543&lt;&gt;"",$E543&lt;=S$2,$F543&gt;=S$2),1,0)</f>
        <v/>
      </c>
      <c r="T543">
        <f>T542+IF(AND($E543&lt;&gt;"",$E543&lt;=T$2,$F543&gt;=T$2),1,0)</f>
        <v/>
      </c>
      <c r="U543">
        <f>U542+IF(AND($E543&lt;&gt;"",$E543&lt;=U$2,$F543&gt;=U$2),1,0)</f>
        <v/>
      </c>
      <c r="V543">
        <f>V542+IF(AND($E543&lt;&gt;"",$E543&lt;=V$2,$F543&gt;=V$2),1,0)</f>
        <v/>
      </c>
      <c r="W543">
        <f>W542+IF(AND($E543&lt;&gt;"",$E543&lt;=W$2,$F543&gt;=W$2),1,0)</f>
        <v/>
      </c>
      <c r="X543">
        <f>X542+IF(AND($E543&lt;&gt;"",$E543&lt;=X$2,$F543&gt;=X$2),1,0)</f>
        <v/>
      </c>
      <c r="Y543">
        <f>Y542+IF(AND($E543&lt;&gt;"",$E543&lt;=Y$2,$F543&gt;=Y$2),1,0)</f>
        <v/>
      </c>
      <c r="Z543">
        <f>Z542+IF(AND($E543&lt;&gt;"",$E543&lt;=Z$2,$F543&gt;=Z$2),1,0)</f>
        <v/>
      </c>
      <c r="AA543">
        <f>AA542+IF(AND($E543&lt;&gt;"",$E543&lt;=AA$2,$F543&gt;=AA$2),1,0)</f>
        <v/>
      </c>
      <c r="AB543">
        <f>AB542+IF(AND($E543&lt;&gt;"",$E543&lt;=AB$2,$F543&gt;=AB$2),1,0)</f>
        <v/>
      </c>
      <c r="AC543">
        <f>AC542+IF(AND($E543&lt;&gt;"",$E543&lt;=AC$2,$F543&gt;=AC$2),1,0)</f>
        <v/>
      </c>
      <c r="AD543">
        <f>AD542+IF(AND($E543&lt;&gt;"",$E543&lt;=AD$2,$F543&gt;=AD$2),1,0)</f>
        <v/>
      </c>
      <c r="AE543">
        <f>AE542+IF(AND($E543&lt;&gt;"",$E543&lt;=AE$2,$F543&gt;=AE$2),1,0)</f>
        <v/>
      </c>
      <c r="AF543">
        <f>AF542+IF(AND($E543&lt;&gt;"",$E543&lt;=AF$2,$F543&gt;=AF$2),1,0)</f>
        <v/>
      </c>
      <c r="AG543">
        <f>AG542+IF(AND($E543&lt;&gt;"",$E543&lt;=AG$2,$F543&gt;=AG$2),1,0)</f>
        <v/>
      </c>
      <c r="AH543">
        <f>AH542+IF(AND($E543&lt;&gt;"",$E543&lt;=AH$2,$F543&gt;=AH$2),1,0)</f>
        <v/>
      </c>
      <c r="AI543">
        <f>AI542+IF(AND($E543&lt;&gt;"",$E543&lt;=AI$2,$F543&gt;=AI$2),1,0)</f>
        <v/>
      </c>
      <c r="AJ543">
        <f>AJ542+IF(AND($E543&lt;&gt;"",$E543&lt;=AJ$2,$F543&gt;=AJ$2),1,0)</f>
        <v/>
      </c>
      <c r="AK543">
        <f>AK542+IF(AND($E543&lt;&gt;"",$E543&lt;=AK$2,$F543&gt;=AK$2),1,0)</f>
        <v/>
      </c>
      <c r="AL543">
        <f>AL542+IF(AND($E543&lt;&gt;"",$E543&lt;=AL$2,$F543&gt;=AL$2),1,0)</f>
        <v/>
      </c>
      <c r="AM543">
        <f>AM542+IF(AND($E543&lt;&gt;"",$E543&lt;=AM$2,$F543&gt;=AM$2),1,0)</f>
        <v/>
      </c>
      <c r="AN543">
        <f>AN542+IF(AND($E543&lt;&gt;"",$E543&lt;=AN$2,$F543&gt;=AN$2),1,0)</f>
        <v/>
      </c>
      <c r="AO543">
        <f>AO542+IF(AND($E543&lt;&gt;"",$E543&lt;=AO$2,$F543&gt;=AO$2),1,0)</f>
        <v/>
      </c>
      <c r="AP543">
        <f>AP542+IF(AND($E543&lt;&gt;"",$E543&lt;=AP$2,$F543&gt;=AP$2),1,0)</f>
        <v/>
      </c>
      <c r="AQ543">
        <f>AQ542+IF(AND($E543&lt;&gt;"",$E543&lt;=AQ$2,$F543&gt;=AQ$2),1,0)</f>
        <v/>
      </c>
      <c r="AR543">
        <f>AR542+IF(AND($E543&lt;&gt;"",$E543&lt;=AR$2,$F543&gt;=AR$2),1,0)</f>
        <v/>
      </c>
      <c r="AS543">
        <f>AS542+IF(AND($E543&lt;&gt;"",$E543&lt;=AS$2,$F543&gt;=AS$2),1,0)</f>
        <v/>
      </c>
      <c r="AT543">
        <f>AT542+IF(AND($E543&lt;&gt;"",$E543&lt;=AT$2,$F543&gt;=AT$2),1,0)</f>
        <v/>
      </c>
      <c r="AU543">
        <f>AU542+IF(AND($E543&lt;&gt;"",$E543&lt;=AU$2,$F543&gt;=AU$2),1,0)</f>
        <v/>
      </c>
      <c r="AV543">
        <f>AV542+IF(AND($E543&lt;&gt;"",$E543&lt;=AV$2,$F543&gt;=AV$2),1,0)</f>
        <v/>
      </c>
      <c r="AW543">
        <f>AW542+IF(AND($E543&lt;&gt;"",$E543&lt;=AW$2,$F543&gt;=AW$2),1,0)</f>
        <v/>
      </c>
    </row>
    <row r="544">
      <c r="A544">
        <f>IF(AND(ISNUMBER(Events!$A546),ISNUMBER(Events!$B546)),MAX(0,Events!$B546-Events!$A546),0)</f>
        <v/>
      </c>
      <c r="B544">
        <f>IF(ISNUMBER(Events!$A546),DATE(YEAR($B$1)-1,MONTH(Events!$A546),DAY(Events!$A546)),"")</f>
        <v/>
      </c>
      <c r="C544">
        <f>IF(ISNUMBER(Events!$A546),DATE(YEAR($B$1),MONTH(Events!$A546),DAY(Events!$A546)),"")</f>
        <v/>
      </c>
      <c r="D544">
        <f>IF(ISNUMBER(Events!$A546),DATE(YEAR($B$2),MONTH(Events!$A546),DAY(Events!$A546)),"")</f>
        <v/>
      </c>
      <c r="E544">
        <f>IF(OR(NOT(ISNUMBER(Events!$A546)),Events!$G546="No",Calendar!$H$4="None"),"",IF(OR(Calendar!$H$4="All events",Events!$D546=Calendar!$H$4),IF(Events!$E546="Yes",IF(AND(B544&gt;=Events!$A546,B544&lt;=$B$2,B544+$A544&gt;=$B$1),B544,IF(AND(C544&gt;=Events!$A546,C544&lt;=$B$2,C544+$A544&gt;=$B$1),C544,IF(AND(D544&gt;=Events!$A546,D544&lt;=$B$2,D544+$A544&gt;=$B$1),D544,""))),IF(AND(Events!$A546&lt;=$B$2,Events!$A546+$A544&gt;=$B$1),Events!$A546,"")),""))</f>
        <v/>
      </c>
      <c r="F544">
        <f>IF(E544="","",E544+A544)</f>
        <v/>
      </c>
      <c r="G544">
        <f>IF(E544="","",IF(AND(E544&lt;=EOMONTH(Calendar!$K$2,0),F544&gt;=Calendar!$K$2),E544+541/100000,""))</f>
        <v/>
      </c>
      <c r="H544">
        <f>H543+IF(AND($E544&lt;&gt;"",$E544&lt;=H$2,$F544&gt;=H$2),1,0)</f>
        <v/>
      </c>
      <c r="I544">
        <f>I543+IF(AND($E544&lt;&gt;"",$E544&lt;=I$2,$F544&gt;=I$2),1,0)</f>
        <v/>
      </c>
      <c r="J544">
        <f>J543+IF(AND($E544&lt;&gt;"",$E544&lt;=J$2,$F544&gt;=J$2),1,0)</f>
        <v/>
      </c>
      <c r="K544">
        <f>K543+IF(AND($E544&lt;&gt;"",$E544&lt;=K$2,$F544&gt;=K$2),1,0)</f>
        <v/>
      </c>
      <c r="L544">
        <f>L543+IF(AND($E544&lt;&gt;"",$E544&lt;=L$2,$F544&gt;=L$2),1,0)</f>
        <v/>
      </c>
      <c r="M544">
        <f>M543+IF(AND($E544&lt;&gt;"",$E544&lt;=M$2,$F544&gt;=M$2),1,0)</f>
        <v/>
      </c>
      <c r="N544">
        <f>N543+IF(AND($E544&lt;&gt;"",$E544&lt;=N$2,$F544&gt;=N$2),1,0)</f>
        <v/>
      </c>
      <c r="O544">
        <f>O543+IF(AND($E544&lt;&gt;"",$E544&lt;=O$2,$F544&gt;=O$2),1,0)</f>
        <v/>
      </c>
      <c r="P544">
        <f>P543+IF(AND($E544&lt;&gt;"",$E544&lt;=P$2,$F544&gt;=P$2),1,0)</f>
        <v/>
      </c>
      <c r="Q544">
        <f>Q543+IF(AND($E544&lt;&gt;"",$E544&lt;=Q$2,$F544&gt;=Q$2),1,0)</f>
        <v/>
      </c>
      <c r="R544">
        <f>R543+IF(AND($E544&lt;&gt;"",$E544&lt;=R$2,$F544&gt;=R$2),1,0)</f>
        <v/>
      </c>
      <c r="S544">
        <f>S543+IF(AND($E544&lt;&gt;"",$E544&lt;=S$2,$F544&gt;=S$2),1,0)</f>
        <v/>
      </c>
      <c r="T544">
        <f>T543+IF(AND($E544&lt;&gt;"",$E544&lt;=T$2,$F544&gt;=T$2),1,0)</f>
        <v/>
      </c>
      <c r="U544">
        <f>U543+IF(AND($E544&lt;&gt;"",$E544&lt;=U$2,$F544&gt;=U$2),1,0)</f>
        <v/>
      </c>
      <c r="V544">
        <f>V543+IF(AND($E544&lt;&gt;"",$E544&lt;=V$2,$F544&gt;=V$2),1,0)</f>
        <v/>
      </c>
      <c r="W544">
        <f>W543+IF(AND($E544&lt;&gt;"",$E544&lt;=W$2,$F544&gt;=W$2),1,0)</f>
        <v/>
      </c>
      <c r="X544">
        <f>X543+IF(AND($E544&lt;&gt;"",$E544&lt;=X$2,$F544&gt;=X$2),1,0)</f>
        <v/>
      </c>
      <c r="Y544">
        <f>Y543+IF(AND($E544&lt;&gt;"",$E544&lt;=Y$2,$F544&gt;=Y$2),1,0)</f>
        <v/>
      </c>
      <c r="Z544">
        <f>Z543+IF(AND($E544&lt;&gt;"",$E544&lt;=Z$2,$F544&gt;=Z$2),1,0)</f>
        <v/>
      </c>
      <c r="AA544">
        <f>AA543+IF(AND($E544&lt;&gt;"",$E544&lt;=AA$2,$F544&gt;=AA$2),1,0)</f>
        <v/>
      </c>
      <c r="AB544">
        <f>AB543+IF(AND($E544&lt;&gt;"",$E544&lt;=AB$2,$F544&gt;=AB$2),1,0)</f>
        <v/>
      </c>
      <c r="AC544">
        <f>AC543+IF(AND($E544&lt;&gt;"",$E544&lt;=AC$2,$F544&gt;=AC$2),1,0)</f>
        <v/>
      </c>
      <c r="AD544">
        <f>AD543+IF(AND($E544&lt;&gt;"",$E544&lt;=AD$2,$F544&gt;=AD$2),1,0)</f>
        <v/>
      </c>
      <c r="AE544">
        <f>AE543+IF(AND($E544&lt;&gt;"",$E544&lt;=AE$2,$F544&gt;=AE$2),1,0)</f>
        <v/>
      </c>
      <c r="AF544">
        <f>AF543+IF(AND($E544&lt;&gt;"",$E544&lt;=AF$2,$F544&gt;=AF$2),1,0)</f>
        <v/>
      </c>
      <c r="AG544">
        <f>AG543+IF(AND($E544&lt;&gt;"",$E544&lt;=AG$2,$F544&gt;=AG$2),1,0)</f>
        <v/>
      </c>
      <c r="AH544">
        <f>AH543+IF(AND($E544&lt;&gt;"",$E544&lt;=AH$2,$F544&gt;=AH$2),1,0)</f>
        <v/>
      </c>
      <c r="AI544">
        <f>AI543+IF(AND($E544&lt;&gt;"",$E544&lt;=AI$2,$F544&gt;=AI$2),1,0)</f>
        <v/>
      </c>
      <c r="AJ544">
        <f>AJ543+IF(AND($E544&lt;&gt;"",$E544&lt;=AJ$2,$F544&gt;=AJ$2),1,0)</f>
        <v/>
      </c>
      <c r="AK544">
        <f>AK543+IF(AND($E544&lt;&gt;"",$E544&lt;=AK$2,$F544&gt;=AK$2),1,0)</f>
        <v/>
      </c>
      <c r="AL544">
        <f>AL543+IF(AND($E544&lt;&gt;"",$E544&lt;=AL$2,$F544&gt;=AL$2),1,0)</f>
        <v/>
      </c>
      <c r="AM544">
        <f>AM543+IF(AND($E544&lt;&gt;"",$E544&lt;=AM$2,$F544&gt;=AM$2),1,0)</f>
        <v/>
      </c>
      <c r="AN544">
        <f>AN543+IF(AND($E544&lt;&gt;"",$E544&lt;=AN$2,$F544&gt;=AN$2),1,0)</f>
        <v/>
      </c>
      <c r="AO544">
        <f>AO543+IF(AND($E544&lt;&gt;"",$E544&lt;=AO$2,$F544&gt;=AO$2),1,0)</f>
        <v/>
      </c>
      <c r="AP544">
        <f>AP543+IF(AND($E544&lt;&gt;"",$E544&lt;=AP$2,$F544&gt;=AP$2),1,0)</f>
        <v/>
      </c>
      <c r="AQ544">
        <f>AQ543+IF(AND($E544&lt;&gt;"",$E544&lt;=AQ$2,$F544&gt;=AQ$2),1,0)</f>
        <v/>
      </c>
      <c r="AR544">
        <f>AR543+IF(AND($E544&lt;&gt;"",$E544&lt;=AR$2,$F544&gt;=AR$2),1,0)</f>
        <v/>
      </c>
      <c r="AS544">
        <f>AS543+IF(AND($E544&lt;&gt;"",$E544&lt;=AS$2,$F544&gt;=AS$2),1,0)</f>
        <v/>
      </c>
      <c r="AT544">
        <f>AT543+IF(AND($E544&lt;&gt;"",$E544&lt;=AT$2,$F544&gt;=AT$2),1,0)</f>
        <v/>
      </c>
      <c r="AU544">
        <f>AU543+IF(AND($E544&lt;&gt;"",$E544&lt;=AU$2,$F544&gt;=AU$2),1,0)</f>
        <v/>
      </c>
      <c r="AV544">
        <f>AV543+IF(AND($E544&lt;&gt;"",$E544&lt;=AV$2,$F544&gt;=AV$2),1,0)</f>
        <v/>
      </c>
      <c r="AW544">
        <f>AW543+IF(AND($E544&lt;&gt;"",$E544&lt;=AW$2,$F544&gt;=AW$2),1,0)</f>
        <v/>
      </c>
    </row>
    <row r="545">
      <c r="A545">
        <f>IF(AND(ISNUMBER(Events!$A547),ISNUMBER(Events!$B547)),MAX(0,Events!$B547-Events!$A547),0)</f>
        <v/>
      </c>
      <c r="B545">
        <f>IF(ISNUMBER(Events!$A547),DATE(YEAR($B$1)-1,MONTH(Events!$A547),DAY(Events!$A547)),"")</f>
        <v/>
      </c>
      <c r="C545">
        <f>IF(ISNUMBER(Events!$A547),DATE(YEAR($B$1),MONTH(Events!$A547),DAY(Events!$A547)),"")</f>
        <v/>
      </c>
      <c r="D545">
        <f>IF(ISNUMBER(Events!$A547),DATE(YEAR($B$2),MONTH(Events!$A547),DAY(Events!$A547)),"")</f>
        <v/>
      </c>
      <c r="E545">
        <f>IF(OR(NOT(ISNUMBER(Events!$A547)),Events!$G547="No",Calendar!$H$4="None"),"",IF(OR(Calendar!$H$4="All events",Events!$D547=Calendar!$H$4),IF(Events!$E547="Yes",IF(AND(B545&gt;=Events!$A547,B545&lt;=$B$2,B545+$A545&gt;=$B$1),B545,IF(AND(C545&gt;=Events!$A547,C545&lt;=$B$2,C545+$A545&gt;=$B$1),C545,IF(AND(D545&gt;=Events!$A547,D545&lt;=$B$2,D545+$A545&gt;=$B$1),D545,""))),IF(AND(Events!$A547&lt;=$B$2,Events!$A547+$A545&gt;=$B$1),Events!$A547,"")),""))</f>
        <v/>
      </c>
      <c r="F545">
        <f>IF(E545="","",E545+A545)</f>
        <v/>
      </c>
      <c r="G545">
        <f>IF(E545="","",IF(AND(E545&lt;=EOMONTH(Calendar!$K$2,0),F545&gt;=Calendar!$K$2),E545+542/100000,""))</f>
        <v/>
      </c>
      <c r="H545">
        <f>H544+IF(AND($E545&lt;&gt;"",$E545&lt;=H$2,$F545&gt;=H$2),1,0)</f>
        <v/>
      </c>
      <c r="I545">
        <f>I544+IF(AND($E545&lt;&gt;"",$E545&lt;=I$2,$F545&gt;=I$2),1,0)</f>
        <v/>
      </c>
      <c r="J545">
        <f>J544+IF(AND($E545&lt;&gt;"",$E545&lt;=J$2,$F545&gt;=J$2),1,0)</f>
        <v/>
      </c>
      <c r="K545">
        <f>K544+IF(AND($E545&lt;&gt;"",$E545&lt;=K$2,$F545&gt;=K$2),1,0)</f>
        <v/>
      </c>
      <c r="L545">
        <f>L544+IF(AND($E545&lt;&gt;"",$E545&lt;=L$2,$F545&gt;=L$2),1,0)</f>
        <v/>
      </c>
      <c r="M545">
        <f>M544+IF(AND($E545&lt;&gt;"",$E545&lt;=M$2,$F545&gt;=M$2),1,0)</f>
        <v/>
      </c>
      <c r="N545">
        <f>N544+IF(AND($E545&lt;&gt;"",$E545&lt;=N$2,$F545&gt;=N$2),1,0)</f>
        <v/>
      </c>
      <c r="O545">
        <f>O544+IF(AND($E545&lt;&gt;"",$E545&lt;=O$2,$F545&gt;=O$2),1,0)</f>
        <v/>
      </c>
      <c r="P545">
        <f>P544+IF(AND($E545&lt;&gt;"",$E545&lt;=P$2,$F545&gt;=P$2),1,0)</f>
        <v/>
      </c>
      <c r="Q545">
        <f>Q544+IF(AND($E545&lt;&gt;"",$E545&lt;=Q$2,$F545&gt;=Q$2),1,0)</f>
        <v/>
      </c>
      <c r="R545">
        <f>R544+IF(AND($E545&lt;&gt;"",$E545&lt;=R$2,$F545&gt;=R$2),1,0)</f>
        <v/>
      </c>
      <c r="S545">
        <f>S544+IF(AND($E545&lt;&gt;"",$E545&lt;=S$2,$F545&gt;=S$2),1,0)</f>
        <v/>
      </c>
      <c r="T545">
        <f>T544+IF(AND($E545&lt;&gt;"",$E545&lt;=T$2,$F545&gt;=T$2),1,0)</f>
        <v/>
      </c>
      <c r="U545">
        <f>U544+IF(AND($E545&lt;&gt;"",$E545&lt;=U$2,$F545&gt;=U$2),1,0)</f>
        <v/>
      </c>
      <c r="V545">
        <f>V544+IF(AND($E545&lt;&gt;"",$E545&lt;=V$2,$F545&gt;=V$2),1,0)</f>
        <v/>
      </c>
      <c r="W545">
        <f>W544+IF(AND($E545&lt;&gt;"",$E545&lt;=W$2,$F545&gt;=W$2),1,0)</f>
        <v/>
      </c>
      <c r="X545">
        <f>X544+IF(AND($E545&lt;&gt;"",$E545&lt;=X$2,$F545&gt;=X$2),1,0)</f>
        <v/>
      </c>
      <c r="Y545">
        <f>Y544+IF(AND($E545&lt;&gt;"",$E545&lt;=Y$2,$F545&gt;=Y$2),1,0)</f>
        <v/>
      </c>
      <c r="Z545">
        <f>Z544+IF(AND($E545&lt;&gt;"",$E545&lt;=Z$2,$F545&gt;=Z$2),1,0)</f>
        <v/>
      </c>
      <c r="AA545">
        <f>AA544+IF(AND($E545&lt;&gt;"",$E545&lt;=AA$2,$F545&gt;=AA$2),1,0)</f>
        <v/>
      </c>
      <c r="AB545">
        <f>AB544+IF(AND($E545&lt;&gt;"",$E545&lt;=AB$2,$F545&gt;=AB$2),1,0)</f>
        <v/>
      </c>
      <c r="AC545">
        <f>AC544+IF(AND($E545&lt;&gt;"",$E545&lt;=AC$2,$F545&gt;=AC$2),1,0)</f>
        <v/>
      </c>
      <c r="AD545">
        <f>AD544+IF(AND($E545&lt;&gt;"",$E545&lt;=AD$2,$F545&gt;=AD$2),1,0)</f>
        <v/>
      </c>
      <c r="AE545">
        <f>AE544+IF(AND($E545&lt;&gt;"",$E545&lt;=AE$2,$F545&gt;=AE$2),1,0)</f>
        <v/>
      </c>
      <c r="AF545">
        <f>AF544+IF(AND($E545&lt;&gt;"",$E545&lt;=AF$2,$F545&gt;=AF$2),1,0)</f>
        <v/>
      </c>
      <c r="AG545">
        <f>AG544+IF(AND($E545&lt;&gt;"",$E545&lt;=AG$2,$F545&gt;=AG$2),1,0)</f>
        <v/>
      </c>
      <c r="AH545">
        <f>AH544+IF(AND($E545&lt;&gt;"",$E545&lt;=AH$2,$F545&gt;=AH$2),1,0)</f>
        <v/>
      </c>
      <c r="AI545">
        <f>AI544+IF(AND($E545&lt;&gt;"",$E545&lt;=AI$2,$F545&gt;=AI$2),1,0)</f>
        <v/>
      </c>
      <c r="AJ545">
        <f>AJ544+IF(AND($E545&lt;&gt;"",$E545&lt;=AJ$2,$F545&gt;=AJ$2),1,0)</f>
        <v/>
      </c>
      <c r="AK545">
        <f>AK544+IF(AND($E545&lt;&gt;"",$E545&lt;=AK$2,$F545&gt;=AK$2),1,0)</f>
        <v/>
      </c>
      <c r="AL545">
        <f>AL544+IF(AND($E545&lt;&gt;"",$E545&lt;=AL$2,$F545&gt;=AL$2),1,0)</f>
        <v/>
      </c>
      <c r="AM545">
        <f>AM544+IF(AND($E545&lt;&gt;"",$E545&lt;=AM$2,$F545&gt;=AM$2),1,0)</f>
        <v/>
      </c>
      <c r="AN545">
        <f>AN544+IF(AND($E545&lt;&gt;"",$E545&lt;=AN$2,$F545&gt;=AN$2),1,0)</f>
        <v/>
      </c>
      <c r="AO545">
        <f>AO544+IF(AND($E545&lt;&gt;"",$E545&lt;=AO$2,$F545&gt;=AO$2),1,0)</f>
        <v/>
      </c>
      <c r="AP545">
        <f>AP544+IF(AND($E545&lt;&gt;"",$E545&lt;=AP$2,$F545&gt;=AP$2),1,0)</f>
        <v/>
      </c>
      <c r="AQ545">
        <f>AQ544+IF(AND($E545&lt;&gt;"",$E545&lt;=AQ$2,$F545&gt;=AQ$2),1,0)</f>
        <v/>
      </c>
      <c r="AR545">
        <f>AR544+IF(AND($E545&lt;&gt;"",$E545&lt;=AR$2,$F545&gt;=AR$2),1,0)</f>
        <v/>
      </c>
      <c r="AS545">
        <f>AS544+IF(AND($E545&lt;&gt;"",$E545&lt;=AS$2,$F545&gt;=AS$2),1,0)</f>
        <v/>
      </c>
      <c r="AT545">
        <f>AT544+IF(AND($E545&lt;&gt;"",$E545&lt;=AT$2,$F545&gt;=AT$2),1,0)</f>
        <v/>
      </c>
      <c r="AU545">
        <f>AU544+IF(AND($E545&lt;&gt;"",$E545&lt;=AU$2,$F545&gt;=AU$2),1,0)</f>
        <v/>
      </c>
      <c r="AV545">
        <f>AV544+IF(AND($E545&lt;&gt;"",$E545&lt;=AV$2,$F545&gt;=AV$2),1,0)</f>
        <v/>
      </c>
      <c r="AW545">
        <f>AW544+IF(AND($E545&lt;&gt;"",$E545&lt;=AW$2,$F545&gt;=AW$2),1,0)</f>
        <v/>
      </c>
    </row>
    <row r="546">
      <c r="A546">
        <f>IF(AND(ISNUMBER(Events!$A548),ISNUMBER(Events!$B548)),MAX(0,Events!$B548-Events!$A548),0)</f>
        <v/>
      </c>
      <c r="B546">
        <f>IF(ISNUMBER(Events!$A548),DATE(YEAR($B$1)-1,MONTH(Events!$A548),DAY(Events!$A548)),"")</f>
        <v/>
      </c>
      <c r="C546">
        <f>IF(ISNUMBER(Events!$A548),DATE(YEAR($B$1),MONTH(Events!$A548),DAY(Events!$A548)),"")</f>
        <v/>
      </c>
      <c r="D546">
        <f>IF(ISNUMBER(Events!$A548),DATE(YEAR($B$2),MONTH(Events!$A548),DAY(Events!$A548)),"")</f>
        <v/>
      </c>
      <c r="E546">
        <f>IF(OR(NOT(ISNUMBER(Events!$A548)),Events!$G548="No",Calendar!$H$4="None"),"",IF(OR(Calendar!$H$4="All events",Events!$D548=Calendar!$H$4),IF(Events!$E548="Yes",IF(AND(B546&gt;=Events!$A548,B546&lt;=$B$2,B546+$A546&gt;=$B$1),B546,IF(AND(C546&gt;=Events!$A548,C546&lt;=$B$2,C546+$A546&gt;=$B$1),C546,IF(AND(D546&gt;=Events!$A548,D546&lt;=$B$2,D546+$A546&gt;=$B$1),D546,""))),IF(AND(Events!$A548&lt;=$B$2,Events!$A548+$A546&gt;=$B$1),Events!$A548,"")),""))</f>
        <v/>
      </c>
      <c r="F546">
        <f>IF(E546="","",E546+A546)</f>
        <v/>
      </c>
      <c r="G546">
        <f>IF(E546="","",IF(AND(E546&lt;=EOMONTH(Calendar!$K$2,0),F546&gt;=Calendar!$K$2),E546+543/100000,""))</f>
        <v/>
      </c>
      <c r="H546">
        <f>H545+IF(AND($E546&lt;&gt;"",$E546&lt;=H$2,$F546&gt;=H$2),1,0)</f>
        <v/>
      </c>
      <c r="I546">
        <f>I545+IF(AND($E546&lt;&gt;"",$E546&lt;=I$2,$F546&gt;=I$2),1,0)</f>
        <v/>
      </c>
      <c r="J546">
        <f>J545+IF(AND($E546&lt;&gt;"",$E546&lt;=J$2,$F546&gt;=J$2),1,0)</f>
        <v/>
      </c>
      <c r="K546">
        <f>K545+IF(AND($E546&lt;&gt;"",$E546&lt;=K$2,$F546&gt;=K$2),1,0)</f>
        <v/>
      </c>
      <c r="L546">
        <f>L545+IF(AND($E546&lt;&gt;"",$E546&lt;=L$2,$F546&gt;=L$2),1,0)</f>
        <v/>
      </c>
      <c r="M546">
        <f>M545+IF(AND($E546&lt;&gt;"",$E546&lt;=M$2,$F546&gt;=M$2),1,0)</f>
        <v/>
      </c>
      <c r="N546">
        <f>N545+IF(AND($E546&lt;&gt;"",$E546&lt;=N$2,$F546&gt;=N$2),1,0)</f>
        <v/>
      </c>
      <c r="O546">
        <f>O545+IF(AND($E546&lt;&gt;"",$E546&lt;=O$2,$F546&gt;=O$2),1,0)</f>
        <v/>
      </c>
      <c r="P546">
        <f>P545+IF(AND($E546&lt;&gt;"",$E546&lt;=P$2,$F546&gt;=P$2),1,0)</f>
        <v/>
      </c>
      <c r="Q546">
        <f>Q545+IF(AND($E546&lt;&gt;"",$E546&lt;=Q$2,$F546&gt;=Q$2),1,0)</f>
        <v/>
      </c>
      <c r="R546">
        <f>R545+IF(AND($E546&lt;&gt;"",$E546&lt;=R$2,$F546&gt;=R$2),1,0)</f>
        <v/>
      </c>
      <c r="S546">
        <f>S545+IF(AND($E546&lt;&gt;"",$E546&lt;=S$2,$F546&gt;=S$2),1,0)</f>
        <v/>
      </c>
      <c r="T546">
        <f>T545+IF(AND($E546&lt;&gt;"",$E546&lt;=T$2,$F546&gt;=T$2),1,0)</f>
        <v/>
      </c>
      <c r="U546">
        <f>U545+IF(AND($E546&lt;&gt;"",$E546&lt;=U$2,$F546&gt;=U$2),1,0)</f>
        <v/>
      </c>
      <c r="V546">
        <f>V545+IF(AND($E546&lt;&gt;"",$E546&lt;=V$2,$F546&gt;=V$2),1,0)</f>
        <v/>
      </c>
      <c r="W546">
        <f>W545+IF(AND($E546&lt;&gt;"",$E546&lt;=W$2,$F546&gt;=W$2),1,0)</f>
        <v/>
      </c>
      <c r="X546">
        <f>X545+IF(AND($E546&lt;&gt;"",$E546&lt;=X$2,$F546&gt;=X$2),1,0)</f>
        <v/>
      </c>
      <c r="Y546">
        <f>Y545+IF(AND($E546&lt;&gt;"",$E546&lt;=Y$2,$F546&gt;=Y$2),1,0)</f>
        <v/>
      </c>
      <c r="Z546">
        <f>Z545+IF(AND($E546&lt;&gt;"",$E546&lt;=Z$2,$F546&gt;=Z$2),1,0)</f>
        <v/>
      </c>
      <c r="AA546">
        <f>AA545+IF(AND($E546&lt;&gt;"",$E546&lt;=AA$2,$F546&gt;=AA$2),1,0)</f>
        <v/>
      </c>
      <c r="AB546">
        <f>AB545+IF(AND($E546&lt;&gt;"",$E546&lt;=AB$2,$F546&gt;=AB$2),1,0)</f>
        <v/>
      </c>
      <c r="AC546">
        <f>AC545+IF(AND($E546&lt;&gt;"",$E546&lt;=AC$2,$F546&gt;=AC$2),1,0)</f>
        <v/>
      </c>
      <c r="AD546">
        <f>AD545+IF(AND($E546&lt;&gt;"",$E546&lt;=AD$2,$F546&gt;=AD$2),1,0)</f>
        <v/>
      </c>
      <c r="AE546">
        <f>AE545+IF(AND($E546&lt;&gt;"",$E546&lt;=AE$2,$F546&gt;=AE$2),1,0)</f>
        <v/>
      </c>
      <c r="AF546">
        <f>AF545+IF(AND($E546&lt;&gt;"",$E546&lt;=AF$2,$F546&gt;=AF$2),1,0)</f>
        <v/>
      </c>
      <c r="AG546">
        <f>AG545+IF(AND($E546&lt;&gt;"",$E546&lt;=AG$2,$F546&gt;=AG$2),1,0)</f>
        <v/>
      </c>
      <c r="AH546">
        <f>AH545+IF(AND($E546&lt;&gt;"",$E546&lt;=AH$2,$F546&gt;=AH$2),1,0)</f>
        <v/>
      </c>
      <c r="AI546">
        <f>AI545+IF(AND($E546&lt;&gt;"",$E546&lt;=AI$2,$F546&gt;=AI$2),1,0)</f>
        <v/>
      </c>
      <c r="AJ546">
        <f>AJ545+IF(AND($E546&lt;&gt;"",$E546&lt;=AJ$2,$F546&gt;=AJ$2),1,0)</f>
        <v/>
      </c>
      <c r="AK546">
        <f>AK545+IF(AND($E546&lt;&gt;"",$E546&lt;=AK$2,$F546&gt;=AK$2),1,0)</f>
        <v/>
      </c>
      <c r="AL546">
        <f>AL545+IF(AND($E546&lt;&gt;"",$E546&lt;=AL$2,$F546&gt;=AL$2),1,0)</f>
        <v/>
      </c>
      <c r="AM546">
        <f>AM545+IF(AND($E546&lt;&gt;"",$E546&lt;=AM$2,$F546&gt;=AM$2),1,0)</f>
        <v/>
      </c>
      <c r="AN546">
        <f>AN545+IF(AND($E546&lt;&gt;"",$E546&lt;=AN$2,$F546&gt;=AN$2),1,0)</f>
        <v/>
      </c>
      <c r="AO546">
        <f>AO545+IF(AND($E546&lt;&gt;"",$E546&lt;=AO$2,$F546&gt;=AO$2),1,0)</f>
        <v/>
      </c>
      <c r="AP546">
        <f>AP545+IF(AND($E546&lt;&gt;"",$E546&lt;=AP$2,$F546&gt;=AP$2),1,0)</f>
        <v/>
      </c>
      <c r="AQ546">
        <f>AQ545+IF(AND($E546&lt;&gt;"",$E546&lt;=AQ$2,$F546&gt;=AQ$2),1,0)</f>
        <v/>
      </c>
      <c r="AR546">
        <f>AR545+IF(AND($E546&lt;&gt;"",$E546&lt;=AR$2,$F546&gt;=AR$2),1,0)</f>
        <v/>
      </c>
      <c r="AS546">
        <f>AS545+IF(AND($E546&lt;&gt;"",$E546&lt;=AS$2,$F546&gt;=AS$2),1,0)</f>
        <v/>
      </c>
      <c r="AT546">
        <f>AT545+IF(AND($E546&lt;&gt;"",$E546&lt;=AT$2,$F546&gt;=AT$2),1,0)</f>
        <v/>
      </c>
      <c r="AU546">
        <f>AU545+IF(AND($E546&lt;&gt;"",$E546&lt;=AU$2,$F546&gt;=AU$2),1,0)</f>
        <v/>
      </c>
      <c r="AV546">
        <f>AV545+IF(AND($E546&lt;&gt;"",$E546&lt;=AV$2,$F546&gt;=AV$2),1,0)</f>
        <v/>
      </c>
      <c r="AW546">
        <f>AW545+IF(AND($E546&lt;&gt;"",$E546&lt;=AW$2,$F546&gt;=AW$2),1,0)</f>
        <v/>
      </c>
    </row>
    <row r="547">
      <c r="A547">
        <f>IF(AND(ISNUMBER(Events!$A549),ISNUMBER(Events!$B549)),MAX(0,Events!$B549-Events!$A549),0)</f>
        <v/>
      </c>
      <c r="B547">
        <f>IF(ISNUMBER(Events!$A549),DATE(YEAR($B$1)-1,MONTH(Events!$A549),DAY(Events!$A549)),"")</f>
        <v/>
      </c>
      <c r="C547">
        <f>IF(ISNUMBER(Events!$A549),DATE(YEAR($B$1),MONTH(Events!$A549),DAY(Events!$A549)),"")</f>
        <v/>
      </c>
      <c r="D547">
        <f>IF(ISNUMBER(Events!$A549),DATE(YEAR($B$2),MONTH(Events!$A549),DAY(Events!$A549)),"")</f>
        <v/>
      </c>
      <c r="E547">
        <f>IF(OR(NOT(ISNUMBER(Events!$A549)),Events!$G549="No",Calendar!$H$4="None"),"",IF(OR(Calendar!$H$4="All events",Events!$D549=Calendar!$H$4),IF(Events!$E549="Yes",IF(AND(B547&gt;=Events!$A549,B547&lt;=$B$2,B547+$A547&gt;=$B$1),B547,IF(AND(C547&gt;=Events!$A549,C547&lt;=$B$2,C547+$A547&gt;=$B$1),C547,IF(AND(D547&gt;=Events!$A549,D547&lt;=$B$2,D547+$A547&gt;=$B$1),D547,""))),IF(AND(Events!$A549&lt;=$B$2,Events!$A549+$A547&gt;=$B$1),Events!$A549,"")),""))</f>
        <v/>
      </c>
      <c r="F547">
        <f>IF(E547="","",E547+A547)</f>
        <v/>
      </c>
      <c r="G547">
        <f>IF(E547="","",IF(AND(E547&lt;=EOMONTH(Calendar!$K$2,0),F547&gt;=Calendar!$K$2),E547+544/100000,""))</f>
        <v/>
      </c>
      <c r="H547">
        <f>H546+IF(AND($E547&lt;&gt;"",$E547&lt;=H$2,$F547&gt;=H$2),1,0)</f>
        <v/>
      </c>
      <c r="I547">
        <f>I546+IF(AND($E547&lt;&gt;"",$E547&lt;=I$2,$F547&gt;=I$2),1,0)</f>
        <v/>
      </c>
      <c r="J547">
        <f>J546+IF(AND($E547&lt;&gt;"",$E547&lt;=J$2,$F547&gt;=J$2),1,0)</f>
        <v/>
      </c>
      <c r="K547">
        <f>K546+IF(AND($E547&lt;&gt;"",$E547&lt;=K$2,$F547&gt;=K$2),1,0)</f>
        <v/>
      </c>
      <c r="L547">
        <f>L546+IF(AND($E547&lt;&gt;"",$E547&lt;=L$2,$F547&gt;=L$2),1,0)</f>
        <v/>
      </c>
      <c r="M547">
        <f>M546+IF(AND($E547&lt;&gt;"",$E547&lt;=M$2,$F547&gt;=M$2),1,0)</f>
        <v/>
      </c>
      <c r="N547">
        <f>N546+IF(AND($E547&lt;&gt;"",$E547&lt;=N$2,$F547&gt;=N$2),1,0)</f>
        <v/>
      </c>
      <c r="O547">
        <f>O546+IF(AND($E547&lt;&gt;"",$E547&lt;=O$2,$F547&gt;=O$2),1,0)</f>
        <v/>
      </c>
      <c r="P547">
        <f>P546+IF(AND($E547&lt;&gt;"",$E547&lt;=P$2,$F547&gt;=P$2),1,0)</f>
        <v/>
      </c>
      <c r="Q547">
        <f>Q546+IF(AND($E547&lt;&gt;"",$E547&lt;=Q$2,$F547&gt;=Q$2),1,0)</f>
        <v/>
      </c>
      <c r="R547">
        <f>R546+IF(AND($E547&lt;&gt;"",$E547&lt;=R$2,$F547&gt;=R$2),1,0)</f>
        <v/>
      </c>
      <c r="S547">
        <f>S546+IF(AND($E547&lt;&gt;"",$E547&lt;=S$2,$F547&gt;=S$2),1,0)</f>
        <v/>
      </c>
      <c r="T547">
        <f>T546+IF(AND($E547&lt;&gt;"",$E547&lt;=T$2,$F547&gt;=T$2),1,0)</f>
        <v/>
      </c>
      <c r="U547">
        <f>U546+IF(AND($E547&lt;&gt;"",$E547&lt;=U$2,$F547&gt;=U$2),1,0)</f>
        <v/>
      </c>
      <c r="V547">
        <f>V546+IF(AND($E547&lt;&gt;"",$E547&lt;=V$2,$F547&gt;=V$2),1,0)</f>
        <v/>
      </c>
      <c r="W547">
        <f>W546+IF(AND($E547&lt;&gt;"",$E547&lt;=W$2,$F547&gt;=W$2),1,0)</f>
        <v/>
      </c>
      <c r="X547">
        <f>X546+IF(AND($E547&lt;&gt;"",$E547&lt;=X$2,$F547&gt;=X$2),1,0)</f>
        <v/>
      </c>
      <c r="Y547">
        <f>Y546+IF(AND($E547&lt;&gt;"",$E547&lt;=Y$2,$F547&gt;=Y$2),1,0)</f>
        <v/>
      </c>
      <c r="Z547">
        <f>Z546+IF(AND($E547&lt;&gt;"",$E547&lt;=Z$2,$F547&gt;=Z$2),1,0)</f>
        <v/>
      </c>
      <c r="AA547">
        <f>AA546+IF(AND($E547&lt;&gt;"",$E547&lt;=AA$2,$F547&gt;=AA$2),1,0)</f>
        <v/>
      </c>
      <c r="AB547">
        <f>AB546+IF(AND($E547&lt;&gt;"",$E547&lt;=AB$2,$F547&gt;=AB$2),1,0)</f>
        <v/>
      </c>
      <c r="AC547">
        <f>AC546+IF(AND($E547&lt;&gt;"",$E547&lt;=AC$2,$F547&gt;=AC$2),1,0)</f>
        <v/>
      </c>
      <c r="AD547">
        <f>AD546+IF(AND($E547&lt;&gt;"",$E547&lt;=AD$2,$F547&gt;=AD$2),1,0)</f>
        <v/>
      </c>
      <c r="AE547">
        <f>AE546+IF(AND($E547&lt;&gt;"",$E547&lt;=AE$2,$F547&gt;=AE$2),1,0)</f>
        <v/>
      </c>
      <c r="AF547">
        <f>AF546+IF(AND($E547&lt;&gt;"",$E547&lt;=AF$2,$F547&gt;=AF$2),1,0)</f>
        <v/>
      </c>
      <c r="AG547">
        <f>AG546+IF(AND($E547&lt;&gt;"",$E547&lt;=AG$2,$F547&gt;=AG$2),1,0)</f>
        <v/>
      </c>
      <c r="AH547">
        <f>AH546+IF(AND($E547&lt;&gt;"",$E547&lt;=AH$2,$F547&gt;=AH$2),1,0)</f>
        <v/>
      </c>
      <c r="AI547">
        <f>AI546+IF(AND($E547&lt;&gt;"",$E547&lt;=AI$2,$F547&gt;=AI$2),1,0)</f>
        <v/>
      </c>
      <c r="AJ547">
        <f>AJ546+IF(AND($E547&lt;&gt;"",$E547&lt;=AJ$2,$F547&gt;=AJ$2),1,0)</f>
        <v/>
      </c>
      <c r="AK547">
        <f>AK546+IF(AND($E547&lt;&gt;"",$E547&lt;=AK$2,$F547&gt;=AK$2),1,0)</f>
        <v/>
      </c>
      <c r="AL547">
        <f>AL546+IF(AND($E547&lt;&gt;"",$E547&lt;=AL$2,$F547&gt;=AL$2),1,0)</f>
        <v/>
      </c>
      <c r="AM547">
        <f>AM546+IF(AND($E547&lt;&gt;"",$E547&lt;=AM$2,$F547&gt;=AM$2),1,0)</f>
        <v/>
      </c>
      <c r="AN547">
        <f>AN546+IF(AND($E547&lt;&gt;"",$E547&lt;=AN$2,$F547&gt;=AN$2),1,0)</f>
        <v/>
      </c>
      <c r="AO547">
        <f>AO546+IF(AND($E547&lt;&gt;"",$E547&lt;=AO$2,$F547&gt;=AO$2),1,0)</f>
        <v/>
      </c>
      <c r="AP547">
        <f>AP546+IF(AND($E547&lt;&gt;"",$E547&lt;=AP$2,$F547&gt;=AP$2),1,0)</f>
        <v/>
      </c>
      <c r="AQ547">
        <f>AQ546+IF(AND($E547&lt;&gt;"",$E547&lt;=AQ$2,$F547&gt;=AQ$2),1,0)</f>
        <v/>
      </c>
      <c r="AR547">
        <f>AR546+IF(AND($E547&lt;&gt;"",$E547&lt;=AR$2,$F547&gt;=AR$2),1,0)</f>
        <v/>
      </c>
      <c r="AS547">
        <f>AS546+IF(AND($E547&lt;&gt;"",$E547&lt;=AS$2,$F547&gt;=AS$2),1,0)</f>
        <v/>
      </c>
      <c r="AT547">
        <f>AT546+IF(AND($E547&lt;&gt;"",$E547&lt;=AT$2,$F547&gt;=AT$2),1,0)</f>
        <v/>
      </c>
      <c r="AU547">
        <f>AU546+IF(AND($E547&lt;&gt;"",$E547&lt;=AU$2,$F547&gt;=AU$2),1,0)</f>
        <v/>
      </c>
      <c r="AV547">
        <f>AV546+IF(AND($E547&lt;&gt;"",$E547&lt;=AV$2,$F547&gt;=AV$2),1,0)</f>
        <v/>
      </c>
      <c r="AW547">
        <f>AW546+IF(AND($E547&lt;&gt;"",$E547&lt;=AW$2,$F547&gt;=AW$2),1,0)</f>
        <v/>
      </c>
    </row>
    <row r="548">
      <c r="A548">
        <f>IF(AND(ISNUMBER(Events!$A550),ISNUMBER(Events!$B550)),MAX(0,Events!$B550-Events!$A550),0)</f>
        <v/>
      </c>
      <c r="B548">
        <f>IF(ISNUMBER(Events!$A550),DATE(YEAR($B$1)-1,MONTH(Events!$A550),DAY(Events!$A550)),"")</f>
        <v/>
      </c>
      <c r="C548">
        <f>IF(ISNUMBER(Events!$A550),DATE(YEAR($B$1),MONTH(Events!$A550),DAY(Events!$A550)),"")</f>
        <v/>
      </c>
      <c r="D548">
        <f>IF(ISNUMBER(Events!$A550),DATE(YEAR($B$2),MONTH(Events!$A550),DAY(Events!$A550)),"")</f>
        <v/>
      </c>
      <c r="E548">
        <f>IF(OR(NOT(ISNUMBER(Events!$A550)),Events!$G550="No",Calendar!$H$4="None"),"",IF(OR(Calendar!$H$4="All events",Events!$D550=Calendar!$H$4),IF(Events!$E550="Yes",IF(AND(B548&gt;=Events!$A550,B548&lt;=$B$2,B548+$A548&gt;=$B$1),B548,IF(AND(C548&gt;=Events!$A550,C548&lt;=$B$2,C548+$A548&gt;=$B$1),C548,IF(AND(D548&gt;=Events!$A550,D548&lt;=$B$2,D548+$A548&gt;=$B$1),D548,""))),IF(AND(Events!$A550&lt;=$B$2,Events!$A550+$A548&gt;=$B$1),Events!$A550,"")),""))</f>
        <v/>
      </c>
      <c r="F548">
        <f>IF(E548="","",E548+A548)</f>
        <v/>
      </c>
      <c r="G548">
        <f>IF(E548="","",IF(AND(E548&lt;=EOMONTH(Calendar!$K$2,0),F548&gt;=Calendar!$K$2),E548+545/100000,""))</f>
        <v/>
      </c>
      <c r="H548">
        <f>H547+IF(AND($E548&lt;&gt;"",$E548&lt;=H$2,$F548&gt;=H$2),1,0)</f>
        <v/>
      </c>
      <c r="I548">
        <f>I547+IF(AND($E548&lt;&gt;"",$E548&lt;=I$2,$F548&gt;=I$2),1,0)</f>
        <v/>
      </c>
      <c r="J548">
        <f>J547+IF(AND($E548&lt;&gt;"",$E548&lt;=J$2,$F548&gt;=J$2),1,0)</f>
        <v/>
      </c>
      <c r="K548">
        <f>K547+IF(AND($E548&lt;&gt;"",$E548&lt;=K$2,$F548&gt;=K$2),1,0)</f>
        <v/>
      </c>
      <c r="L548">
        <f>L547+IF(AND($E548&lt;&gt;"",$E548&lt;=L$2,$F548&gt;=L$2),1,0)</f>
        <v/>
      </c>
      <c r="M548">
        <f>M547+IF(AND($E548&lt;&gt;"",$E548&lt;=M$2,$F548&gt;=M$2),1,0)</f>
        <v/>
      </c>
      <c r="N548">
        <f>N547+IF(AND($E548&lt;&gt;"",$E548&lt;=N$2,$F548&gt;=N$2),1,0)</f>
        <v/>
      </c>
      <c r="O548">
        <f>O547+IF(AND($E548&lt;&gt;"",$E548&lt;=O$2,$F548&gt;=O$2),1,0)</f>
        <v/>
      </c>
      <c r="P548">
        <f>P547+IF(AND($E548&lt;&gt;"",$E548&lt;=P$2,$F548&gt;=P$2),1,0)</f>
        <v/>
      </c>
      <c r="Q548">
        <f>Q547+IF(AND($E548&lt;&gt;"",$E548&lt;=Q$2,$F548&gt;=Q$2),1,0)</f>
        <v/>
      </c>
      <c r="R548">
        <f>R547+IF(AND($E548&lt;&gt;"",$E548&lt;=R$2,$F548&gt;=R$2),1,0)</f>
        <v/>
      </c>
      <c r="S548">
        <f>S547+IF(AND($E548&lt;&gt;"",$E548&lt;=S$2,$F548&gt;=S$2),1,0)</f>
        <v/>
      </c>
      <c r="T548">
        <f>T547+IF(AND($E548&lt;&gt;"",$E548&lt;=T$2,$F548&gt;=T$2),1,0)</f>
        <v/>
      </c>
      <c r="U548">
        <f>U547+IF(AND($E548&lt;&gt;"",$E548&lt;=U$2,$F548&gt;=U$2),1,0)</f>
        <v/>
      </c>
      <c r="V548">
        <f>V547+IF(AND($E548&lt;&gt;"",$E548&lt;=V$2,$F548&gt;=V$2),1,0)</f>
        <v/>
      </c>
      <c r="W548">
        <f>W547+IF(AND($E548&lt;&gt;"",$E548&lt;=W$2,$F548&gt;=W$2),1,0)</f>
        <v/>
      </c>
      <c r="X548">
        <f>X547+IF(AND($E548&lt;&gt;"",$E548&lt;=X$2,$F548&gt;=X$2),1,0)</f>
        <v/>
      </c>
      <c r="Y548">
        <f>Y547+IF(AND($E548&lt;&gt;"",$E548&lt;=Y$2,$F548&gt;=Y$2),1,0)</f>
        <v/>
      </c>
      <c r="Z548">
        <f>Z547+IF(AND($E548&lt;&gt;"",$E548&lt;=Z$2,$F548&gt;=Z$2),1,0)</f>
        <v/>
      </c>
      <c r="AA548">
        <f>AA547+IF(AND($E548&lt;&gt;"",$E548&lt;=AA$2,$F548&gt;=AA$2),1,0)</f>
        <v/>
      </c>
      <c r="AB548">
        <f>AB547+IF(AND($E548&lt;&gt;"",$E548&lt;=AB$2,$F548&gt;=AB$2),1,0)</f>
        <v/>
      </c>
      <c r="AC548">
        <f>AC547+IF(AND($E548&lt;&gt;"",$E548&lt;=AC$2,$F548&gt;=AC$2),1,0)</f>
        <v/>
      </c>
      <c r="AD548">
        <f>AD547+IF(AND($E548&lt;&gt;"",$E548&lt;=AD$2,$F548&gt;=AD$2),1,0)</f>
        <v/>
      </c>
      <c r="AE548">
        <f>AE547+IF(AND($E548&lt;&gt;"",$E548&lt;=AE$2,$F548&gt;=AE$2),1,0)</f>
        <v/>
      </c>
      <c r="AF548">
        <f>AF547+IF(AND($E548&lt;&gt;"",$E548&lt;=AF$2,$F548&gt;=AF$2),1,0)</f>
        <v/>
      </c>
      <c r="AG548">
        <f>AG547+IF(AND($E548&lt;&gt;"",$E548&lt;=AG$2,$F548&gt;=AG$2),1,0)</f>
        <v/>
      </c>
      <c r="AH548">
        <f>AH547+IF(AND($E548&lt;&gt;"",$E548&lt;=AH$2,$F548&gt;=AH$2),1,0)</f>
        <v/>
      </c>
      <c r="AI548">
        <f>AI547+IF(AND($E548&lt;&gt;"",$E548&lt;=AI$2,$F548&gt;=AI$2),1,0)</f>
        <v/>
      </c>
      <c r="AJ548">
        <f>AJ547+IF(AND($E548&lt;&gt;"",$E548&lt;=AJ$2,$F548&gt;=AJ$2),1,0)</f>
        <v/>
      </c>
      <c r="AK548">
        <f>AK547+IF(AND($E548&lt;&gt;"",$E548&lt;=AK$2,$F548&gt;=AK$2),1,0)</f>
        <v/>
      </c>
      <c r="AL548">
        <f>AL547+IF(AND($E548&lt;&gt;"",$E548&lt;=AL$2,$F548&gt;=AL$2),1,0)</f>
        <v/>
      </c>
      <c r="AM548">
        <f>AM547+IF(AND($E548&lt;&gt;"",$E548&lt;=AM$2,$F548&gt;=AM$2),1,0)</f>
        <v/>
      </c>
      <c r="AN548">
        <f>AN547+IF(AND($E548&lt;&gt;"",$E548&lt;=AN$2,$F548&gt;=AN$2),1,0)</f>
        <v/>
      </c>
      <c r="AO548">
        <f>AO547+IF(AND($E548&lt;&gt;"",$E548&lt;=AO$2,$F548&gt;=AO$2),1,0)</f>
        <v/>
      </c>
      <c r="AP548">
        <f>AP547+IF(AND($E548&lt;&gt;"",$E548&lt;=AP$2,$F548&gt;=AP$2),1,0)</f>
        <v/>
      </c>
      <c r="AQ548">
        <f>AQ547+IF(AND($E548&lt;&gt;"",$E548&lt;=AQ$2,$F548&gt;=AQ$2),1,0)</f>
        <v/>
      </c>
      <c r="AR548">
        <f>AR547+IF(AND($E548&lt;&gt;"",$E548&lt;=AR$2,$F548&gt;=AR$2),1,0)</f>
        <v/>
      </c>
      <c r="AS548">
        <f>AS547+IF(AND($E548&lt;&gt;"",$E548&lt;=AS$2,$F548&gt;=AS$2),1,0)</f>
        <v/>
      </c>
      <c r="AT548">
        <f>AT547+IF(AND($E548&lt;&gt;"",$E548&lt;=AT$2,$F548&gt;=AT$2),1,0)</f>
        <v/>
      </c>
      <c r="AU548">
        <f>AU547+IF(AND($E548&lt;&gt;"",$E548&lt;=AU$2,$F548&gt;=AU$2),1,0)</f>
        <v/>
      </c>
      <c r="AV548">
        <f>AV547+IF(AND($E548&lt;&gt;"",$E548&lt;=AV$2,$F548&gt;=AV$2),1,0)</f>
        <v/>
      </c>
      <c r="AW548">
        <f>AW547+IF(AND($E548&lt;&gt;"",$E548&lt;=AW$2,$F548&gt;=AW$2),1,0)</f>
        <v/>
      </c>
    </row>
    <row r="549">
      <c r="A549">
        <f>IF(AND(ISNUMBER(Events!$A551),ISNUMBER(Events!$B551)),MAX(0,Events!$B551-Events!$A551),0)</f>
        <v/>
      </c>
      <c r="B549">
        <f>IF(ISNUMBER(Events!$A551),DATE(YEAR($B$1)-1,MONTH(Events!$A551),DAY(Events!$A551)),"")</f>
        <v/>
      </c>
      <c r="C549">
        <f>IF(ISNUMBER(Events!$A551),DATE(YEAR($B$1),MONTH(Events!$A551),DAY(Events!$A551)),"")</f>
        <v/>
      </c>
      <c r="D549">
        <f>IF(ISNUMBER(Events!$A551),DATE(YEAR($B$2),MONTH(Events!$A551),DAY(Events!$A551)),"")</f>
        <v/>
      </c>
      <c r="E549">
        <f>IF(OR(NOT(ISNUMBER(Events!$A551)),Events!$G551="No",Calendar!$H$4="None"),"",IF(OR(Calendar!$H$4="All events",Events!$D551=Calendar!$H$4),IF(Events!$E551="Yes",IF(AND(B549&gt;=Events!$A551,B549&lt;=$B$2,B549+$A549&gt;=$B$1),B549,IF(AND(C549&gt;=Events!$A551,C549&lt;=$B$2,C549+$A549&gt;=$B$1),C549,IF(AND(D549&gt;=Events!$A551,D549&lt;=$B$2,D549+$A549&gt;=$B$1),D549,""))),IF(AND(Events!$A551&lt;=$B$2,Events!$A551+$A549&gt;=$B$1),Events!$A551,"")),""))</f>
        <v/>
      </c>
      <c r="F549">
        <f>IF(E549="","",E549+A549)</f>
        <v/>
      </c>
      <c r="G549">
        <f>IF(E549="","",IF(AND(E549&lt;=EOMONTH(Calendar!$K$2,0),F549&gt;=Calendar!$K$2),E549+546/100000,""))</f>
        <v/>
      </c>
      <c r="H549">
        <f>H548+IF(AND($E549&lt;&gt;"",$E549&lt;=H$2,$F549&gt;=H$2),1,0)</f>
        <v/>
      </c>
      <c r="I549">
        <f>I548+IF(AND($E549&lt;&gt;"",$E549&lt;=I$2,$F549&gt;=I$2),1,0)</f>
        <v/>
      </c>
      <c r="J549">
        <f>J548+IF(AND($E549&lt;&gt;"",$E549&lt;=J$2,$F549&gt;=J$2),1,0)</f>
        <v/>
      </c>
      <c r="K549">
        <f>K548+IF(AND($E549&lt;&gt;"",$E549&lt;=K$2,$F549&gt;=K$2),1,0)</f>
        <v/>
      </c>
      <c r="L549">
        <f>L548+IF(AND($E549&lt;&gt;"",$E549&lt;=L$2,$F549&gt;=L$2),1,0)</f>
        <v/>
      </c>
      <c r="M549">
        <f>M548+IF(AND($E549&lt;&gt;"",$E549&lt;=M$2,$F549&gt;=M$2),1,0)</f>
        <v/>
      </c>
      <c r="N549">
        <f>N548+IF(AND($E549&lt;&gt;"",$E549&lt;=N$2,$F549&gt;=N$2),1,0)</f>
        <v/>
      </c>
      <c r="O549">
        <f>O548+IF(AND($E549&lt;&gt;"",$E549&lt;=O$2,$F549&gt;=O$2),1,0)</f>
        <v/>
      </c>
      <c r="P549">
        <f>P548+IF(AND($E549&lt;&gt;"",$E549&lt;=P$2,$F549&gt;=P$2),1,0)</f>
        <v/>
      </c>
      <c r="Q549">
        <f>Q548+IF(AND($E549&lt;&gt;"",$E549&lt;=Q$2,$F549&gt;=Q$2),1,0)</f>
        <v/>
      </c>
      <c r="R549">
        <f>R548+IF(AND($E549&lt;&gt;"",$E549&lt;=R$2,$F549&gt;=R$2),1,0)</f>
        <v/>
      </c>
      <c r="S549">
        <f>S548+IF(AND($E549&lt;&gt;"",$E549&lt;=S$2,$F549&gt;=S$2),1,0)</f>
        <v/>
      </c>
      <c r="T549">
        <f>T548+IF(AND($E549&lt;&gt;"",$E549&lt;=T$2,$F549&gt;=T$2),1,0)</f>
        <v/>
      </c>
      <c r="U549">
        <f>U548+IF(AND($E549&lt;&gt;"",$E549&lt;=U$2,$F549&gt;=U$2),1,0)</f>
        <v/>
      </c>
      <c r="V549">
        <f>V548+IF(AND($E549&lt;&gt;"",$E549&lt;=V$2,$F549&gt;=V$2),1,0)</f>
        <v/>
      </c>
      <c r="W549">
        <f>W548+IF(AND($E549&lt;&gt;"",$E549&lt;=W$2,$F549&gt;=W$2),1,0)</f>
        <v/>
      </c>
      <c r="X549">
        <f>X548+IF(AND($E549&lt;&gt;"",$E549&lt;=X$2,$F549&gt;=X$2),1,0)</f>
        <v/>
      </c>
      <c r="Y549">
        <f>Y548+IF(AND($E549&lt;&gt;"",$E549&lt;=Y$2,$F549&gt;=Y$2),1,0)</f>
        <v/>
      </c>
      <c r="Z549">
        <f>Z548+IF(AND($E549&lt;&gt;"",$E549&lt;=Z$2,$F549&gt;=Z$2),1,0)</f>
        <v/>
      </c>
      <c r="AA549">
        <f>AA548+IF(AND($E549&lt;&gt;"",$E549&lt;=AA$2,$F549&gt;=AA$2),1,0)</f>
        <v/>
      </c>
      <c r="AB549">
        <f>AB548+IF(AND($E549&lt;&gt;"",$E549&lt;=AB$2,$F549&gt;=AB$2),1,0)</f>
        <v/>
      </c>
      <c r="AC549">
        <f>AC548+IF(AND($E549&lt;&gt;"",$E549&lt;=AC$2,$F549&gt;=AC$2),1,0)</f>
        <v/>
      </c>
      <c r="AD549">
        <f>AD548+IF(AND($E549&lt;&gt;"",$E549&lt;=AD$2,$F549&gt;=AD$2),1,0)</f>
        <v/>
      </c>
      <c r="AE549">
        <f>AE548+IF(AND($E549&lt;&gt;"",$E549&lt;=AE$2,$F549&gt;=AE$2),1,0)</f>
        <v/>
      </c>
      <c r="AF549">
        <f>AF548+IF(AND($E549&lt;&gt;"",$E549&lt;=AF$2,$F549&gt;=AF$2),1,0)</f>
        <v/>
      </c>
      <c r="AG549">
        <f>AG548+IF(AND($E549&lt;&gt;"",$E549&lt;=AG$2,$F549&gt;=AG$2),1,0)</f>
        <v/>
      </c>
      <c r="AH549">
        <f>AH548+IF(AND($E549&lt;&gt;"",$E549&lt;=AH$2,$F549&gt;=AH$2),1,0)</f>
        <v/>
      </c>
      <c r="AI549">
        <f>AI548+IF(AND($E549&lt;&gt;"",$E549&lt;=AI$2,$F549&gt;=AI$2),1,0)</f>
        <v/>
      </c>
      <c r="AJ549">
        <f>AJ548+IF(AND($E549&lt;&gt;"",$E549&lt;=AJ$2,$F549&gt;=AJ$2),1,0)</f>
        <v/>
      </c>
      <c r="AK549">
        <f>AK548+IF(AND($E549&lt;&gt;"",$E549&lt;=AK$2,$F549&gt;=AK$2),1,0)</f>
        <v/>
      </c>
      <c r="AL549">
        <f>AL548+IF(AND($E549&lt;&gt;"",$E549&lt;=AL$2,$F549&gt;=AL$2),1,0)</f>
        <v/>
      </c>
      <c r="AM549">
        <f>AM548+IF(AND($E549&lt;&gt;"",$E549&lt;=AM$2,$F549&gt;=AM$2),1,0)</f>
        <v/>
      </c>
      <c r="AN549">
        <f>AN548+IF(AND($E549&lt;&gt;"",$E549&lt;=AN$2,$F549&gt;=AN$2),1,0)</f>
        <v/>
      </c>
      <c r="AO549">
        <f>AO548+IF(AND($E549&lt;&gt;"",$E549&lt;=AO$2,$F549&gt;=AO$2),1,0)</f>
        <v/>
      </c>
      <c r="AP549">
        <f>AP548+IF(AND($E549&lt;&gt;"",$E549&lt;=AP$2,$F549&gt;=AP$2),1,0)</f>
        <v/>
      </c>
      <c r="AQ549">
        <f>AQ548+IF(AND($E549&lt;&gt;"",$E549&lt;=AQ$2,$F549&gt;=AQ$2),1,0)</f>
        <v/>
      </c>
      <c r="AR549">
        <f>AR548+IF(AND($E549&lt;&gt;"",$E549&lt;=AR$2,$F549&gt;=AR$2),1,0)</f>
        <v/>
      </c>
      <c r="AS549">
        <f>AS548+IF(AND($E549&lt;&gt;"",$E549&lt;=AS$2,$F549&gt;=AS$2),1,0)</f>
        <v/>
      </c>
      <c r="AT549">
        <f>AT548+IF(AND($E549&lt;&gt;"",$E549&lt;=AT$2,$F549&gt;=AT$2),1,0)</f>
        <v/>
      </c>
      <c r="AU549">
        <f>AU548+IF(AND($E549&lt;&gt;"",$E549&lt;=AU$2,$F549&gt;=AU$2),1,0)</f>
        <v/>
      </c>
      <c r="AV549">
        <f>AV548+IF(AND($E549&lt;&gt;"",$E549&lt;=AV$2,$F549&gt;=AV$2),1,0)</f>
        <v/>
      </c>
      <c r="AW549">
        <f>AW548+IF(AND($E549&lt;&gt;"",$E549&lt;=AW$2,$F549&gt;=AW$2),1,0)</f>
        <v/>
      </c>
    </row>
    <row r="550">
      <c r="A550">
        <f>IF(AND(ISNUMBER(Events!$A552),ISNUMBER(Events!$B552)),MAX(0,Events!$B552-Events!$A552),0)</f>
        <v/>
      </c>
      <c r="B550">
        <f>IF(ISNUMBER(Events!$A552),DATE(YEAR($B$1)-1,MONTH(Events!$A552),DAY(Events!$A552)),"")</f>
        <v/>
      </c>
      <c r="C550">
        <f>IF(ISNUMBER(Events!$A552),DATE(YEAR($B$1),MONTH(Events!$A552),DAY(Events!$A552)),"")</f>
        <v/>
      </c>
      <c r="D550">
        <f>IF(ISNUMBER(Events!$A552),DATE(YEAR($B$2),MONTH(Events!$A552),DAY(Events!$A552)),"")</f>
        <v/>
      </c>
      <c r="E550">
        <f>IF(OR(NOT(ISNUMBER(Events!$A552)),Events!$G552="No",Calendar!$H$4="None"),"",IF(OR(Calendar!$H$4="All events",Events!$D552=Calendar!$H$4),IF(Events!$E552="Yes",IF(AND(B550&gt;=Events!$A552,B550&lt;=$B$2,B550+$A550&gt;=$B$1),B550,IF(AND(C550&gt;=Events!$A552,C550&lt;=$B$2,C550+$A550&gt;=$B$1),C550,IF(AND(D550&gt;=Events!$A552,D550&lt;=$B$2,D550+$A550&gt;=$B$1),D550,""))),IF(AND(Events!$A552&lt;=$B$2,Events!$A552+$A550&gt;=$B$1),Events!$A552,"")),""))</f>
        <v/>
      </c>
      <c r="F550">
        <f>IF(E550="","",E550+A550)</f>
        <v/>
      </c>
      <c r="G550">
        <f>IF(E550="","",IF(AND(E550&lt;=EOMONTH(Calendar!$K$2,0),F550&gt;=Calendar!$K$2),E550+547/100000,""))</f>
        <v/>
      </c>
      <c r="H550">
        <f>H549+IF(AND($E550&lt;&gt;"",$E550&lt;=H$2,$F550&gt;=H$2),1,0)</f>
        <v/>
      </c>
      <c r="I550">
        <f>I549+IF(AND($E550&lt;&gt;"",$E550&lt;=I$2,$F550&gt;=I$2),1,0)</f>
        <v/>
      </c>
      <c r="J550">
        <f>J549+IF(AND($E550&lt;&gt;"",$E550&lt;=J$2,$F550&gt;=J$2),1,0)</f>
        <v/>
      </c>
      <c r="K550">
        <f>K549+IF(AND($E550&lt;&gt;"",$E550&lt;=K$2,$F550&gt;=K$2),1,0)</f>
        <v/>
      </c>
      <c r="L550">
        <f>L549+IF(AND($E550&lt;&gt;"",$E550&lt;=L$2,$F550&gt;=L$2),1,0)</f>
        <v/>
      </c>
      <c r="M550">
        <f>M549+IF(AND($E550&lt;&gt;"",$E550&lt;=M$2,$F550&gt;=M$2),1,0)</f>
        <v/>
      </c>
      <c r="N550">
        <f>N549+IF(AND($E550&lt;&gt;"",$E550&lt;=N$2,$F550&gt;=N$2),1,0)</f>
        <v/>
      </c>
      <c r="O550">
        <f>O549+IF(AND($E550&lt;&gt;"",$E550&lt;=O$2,$F550&gt;=O$2),1,0)</f>
        <v/>
      </c>
      <c r="P550">
        <f>P549+IF(AND($E550&lt;&gt;"",$E550&lt;=P$2,$F550&gt;=P$2),1,0)</f>
        <v/>
      </c>
      <c r="Q550">
        <f>Q549+IF(AND($E550&lt;&gt;"",$E550&lt;=Q$2,$F550&gt;=Q$2),1,0)</f>
        <v/>
      </c>
      <c r="R550">
        <f>R549+IF(AND($E550&lt;&gt;"",$E550&lt;=R$2,$F550&gt;=R$2),1,0)</f>
        <v/>
      </c>
      <c r="S550">
        <f>S549+IF(AND($E550&lt;&gt;"",$E550&lt;=S$2,$F550&gt;=S$2),1,0)</f>
        <v/>
      </c>
      <c r="T550">
        <f>T549+IF(AND($E550&lt;&gt;"",$E550&lt;=T$2,$F550&gt;=T$2),1,0)</f>
        <v/>
      </c>
      <c r="U550">
        <f>U549+IF(AND($E550&lt;&gt;"",$E550&lt;=U$2,$F550&gt;=U$2),1,0)</f>
        <v/>
      </c>
      <c r="V550">
        <f>V549+IF(AND($E550&lt;&gt;"",$E550&lt;=V$2,$F550&gt;=V$2),1,0)</f>
        <v/>
      </c>
      <c r="W550">
        <f>W549+IF(AND($E550&lt;&gt;"",$E550&lt;=W$2,$F550&gt;=W$2),1,0)</f>
        <v/>
      </c>
      <c r="X550">
        <f>X549+IF(AND($E550&lt;&gt;"",$E550&lt;=X$2,$F550&gt;=X$2),1,0)</f>
        <v/>
      </c>
      <c r="Y550">
        <f>Y549+IF(AND($E550&lt;&gt;"",$E550&lt;=Y$2,$F550&gt;=Y$2),1,0)</f>
        <v/>
      </c>
      <c r="Z550">
        <f>Z549+IF(AND($E550&lt;&gt;"",$E550&lt;=Z$2,$F550&gt;=Z$2),1,0)</f>
        <v/>
      </c>
      <c r="AA550">
        <f>AA549+IF(AND($E550&lt;&gt;"",$E550&lt;=AA$2,$F550&gt;=AA$2),1,0)</f>
        <v/>
      </c>
      <c r="AB550">
        <f>AB549+IF(AND($E550&lt;&gt;"",$E550&lt;=AB$2,$F550&gt;=AB$2),1,0)</f>
        <v/>
      </c>
      <c r="AC550">
        <f>AC549+IF(AND($E550&lt;&gt;"",$E550&lt;=AC$2,$F550&gt;=AC$2),1,0)</f>
        <v/>
      </c>
      <c r="AD550">
        <f>AD549+IF(AND($E550&lt;&gt;"",$E550&lt;=AD$2,$F550&gt;=AD$2),1,0)</f>
        <v/>
      </c>
      <c r="AE550">
        <f>AE549+IF(AND($E550&lt;&gt;"",$E550&lt;=AE$2,$F550&gt;=AE$2),1,0)</f>
        <v/>
      </c>
      <c r="AF550">
        <f>AF549+IF(AND($E550&lt;&gt;"",$E550&lt;=AF$2,$F550&gt;=AF$2),1,0)</f>
        <v/>
      </c>
      <c r="AG550">
        <f>AG549+IF(AND($E550&lt;&gt;"",$E550&lt;=AG$2,$F550&gt;=AG$2),1,0)</f>
        <v/>
      </c>
      <c r="AH550">
        <f>AH549+IF(AND($E550&lt;&gt;"",$E550&lt;=AH$2,$F550&gt;=AH$2),1,0)</f>
        <v/>
      </c>
      <c r="AI550">
        <f>AI549+IF(AND($E550&lt;&gt;"",$E550&lt;=AI$2,$F550&gt;=AI$2),1,0)</f>
        <v/>
      </c>
      <c r="AJ550">
        <f>AJ549+IF(AND($E550&lt;&gt;"",$E550&lt;=AJ$2,$F550&gt;=AJ$2),1,0)</f>
        <v/>
      </c>
      <c r="AK550">
        <f>AK549+IF(AND($E550&lt;&gt;"",$E550&lt;=AK$2,$F550&gt;=AK$2),1,0)</f>
        <v/>
      </c>
      <c r="AL550">
        <f>AL549+IF(AND($E550&lt;&gt;"",$E550&lt;=AL$2,$F550&gt;=AL$2),1,0)</f>
        <v/>
      </c>
      <c r="AM550">
        <f>AM549+IF(AND($E550&lt;&gt;"",$E550&lt;=AM$2,$F550&gt;=AM$2),1,0)</f>
        <v/>
      </c>
      <c r="AN550">
        <f>AN549+IF(AND($E550&lt;&gt;"",$E550&lt;=AN$2,$F550&gt;=AN$2),1,0)</f>
        <v/>
      </c>
      <c r="AO550">
        <f>AO549+IF(AND($E550&lt;&gt;"",$E550&lt;=AO$2,$F550&gt;=AO$2),1,0)</f>
        <v/>
      </c>
      <c r="AP550">
        <f>AP549+IF(AND($E550&lt;&gt;"",$E550&lt;=AP$2,$F550&gt;=AP$2),1,0)</f>
        <v/>
      </c>
      <c r="AQ550">
        <f>AQ549+IF(AND($E550&lt;&gt;"",$E550&lt;=AQ$2,$F550&gt;=AQ$2),1,0)</f>
        <v/>
      </c>
      <c r="AR550">
        <f>AR549+IF(AND($E550&lt;&gt;"",$E550&lt;=AR$2,$F550&gt;=AR$2),1,0)</f>
        <v/>
      </c>
      <c r="AS550">
        <f>AS549+IF(AND($E550&lt;&gt;"",$E550&lt;=AS$2,$F550&gt;=AS$2),1,0)</f>
        <v/>
      </c>
      <c r="AT550">
        <f>AT549+IF(AND($E550&lt;&gt;"",$E550&lt;=AT$2,$F550&gt;=AT$2),1,0)</f>
        <v/>
      </c>
      <c r="AU550">
        <f>AU549+IF(AND($E550&lt;&gt;"",$E550&lt;=AU$2,$F550&gt;=AU$2),1,0)</f>
        <v/>
      </c>
      <c r="AV550">
        <f>AV549+IF(AND($E550&lt;&gt;"",$E550&lt;=AV$2,$F550&gt;=AV$2),1,0)</f>
        <v/>
      </c>
      <c r="AW550">
        <f>AW549+IF(AND($E550&lt;&gt;"",$E550&lt;=AW$2,$F550&gt;=AW$2),1,0)</f>
        <v/>
      </c>
    </row>
    <row r="551">
      <c r="A551">
        <f>IF(AND(ISNUMBER(Events!$A553),ISNUMBER(Events!$B553)),MAX(0,Events!$B553-Events!$A553),0)</f>
        <v/>
      </c>
      <c r="B551">
        <f>IF(ISNUMBER(Events!$A553),DATE(YEAR($B$1)-1,MONTH(Events!$A553),DAY(Events!$A553)),"")</f>
        <v/>
      </c>
      <c r="C551">
        <f>IF(ISNUMBER(Events!$A553),DATE(YEAR($B$1),MONTH(Events!$A553),DAY(Events!$A553)),"")</f>
        <v/>
      </c>
      <c r="D551">
        <f>IF(ISNUMBER(Events!$A553),DATE(YEAR($B$2),MONTH(Events!$A553),DAY(Events!$A553)),"")</f>
        <v/>
      </c>
      <c r="E551">
        <f>IF(OR(NOT(ISNUMBER(Events!$A553)),Events!$G553="No",Calendar!$H$4="None"),"",IF(OR(Calendar!$H$4="All events",Events!$D553=Calendar!$H$4),IF(Events!$E553="Yes",IF(AND(B551&gt;=Events!$A553,B551&lt;=$B$2,B551+$A551&gt;=$B$1),B551,IF(AND(C551&gt;=Events!$A553,C551&lt;=$B$2,C551+$A551&gt;=$B$1),C551,IF(AND(D551&gt;=Events!$A553,D551&lt;=$B$2,D551+$A551&gt;=$B$1),D551,""))),IF(AND(Events!$A553&lt;=$B$2,Events!$A553+$A551&gt;=$B$1),Events!$A553,"")),""))</f>
        <v/>
      </c>
      <c r="F551">
        <f>IF(E551="","",E551+A551)</f>
        <v/>
      </c>
      <c r="G551">
        <f>IF(E551="","",IF(AND(E551&lt;=EOMONTH(Calendar!$K$2,0),F551&gt;=Calendar!$K$2),E551+548/100000,""))</f>
        <v/>
      </c>
      <c r="H551">
        <f>H550+IF(AND($E551&lt;&gt;"",$E551&lt;=H$2,$F551&gt;=H$2),1,0)</f>
        <v/>
      </c>
      <c r="I551">
        <f>I550+IF(AND($E551&lt;&gt;"",$E551&lt;=I$2,$F551&gt;=I$2),1,0)</f>
        <v/>
      </c>
      <c r="J551">
        <f>J550+IF(AND($E551&lt;&gt;"",$E551&lt;=J$2,$F551&gt;=J$2),1,0)</f>
        <v/>
      </c>
      <c r="K551">
        <f>K550+IF(AND($E551&lt;&gt;"",$E551&lt;=K$2,$F551&gt;=K$2),1,0)</f>
        <v/>
      </c>
      <c r="L551">
        <f>L550+IF(AND($E551&lt;&gt;"",$E551&lt;=L$2,$F551&gt;=L$2),1,0)</f>
        <v/>
      </c>
      <c r="M551">
        <f>M550+IF(AND($E551&lt;&gt;"",$E551&lt;=M$2,$F551&gt;=M$2),1,0)</f>
        <v/>
      </c>
      <c r="N551">
        <f>N550+IF(AND($E551&lt;&gt;"",$E551&lt;=N$2,$F551&gt;=N$2),1,0)</f>
        <v/>
      </c>
      <c r="O551">
        <f>O550+IF(AND($E551&lt;&gt;"",$E551&lt;=O$2,$F551&gt;=O$2),1,0)</f>
        <v/>
      </c>
      <c r="P551">
        <f>P550+IF(AND($E551&lt;&gt;"",$E551&lt;=P$2,$F551&gt;=P$2),1,0)</f>
        <v/>
      </c>
      <c r="Q551">
        <f>Q550+IF(AND($E551&lt;&gt;"",$E551&lt;=Q$2,$F551&gt;=Q$2),1,0)</f>
        <v/>
      </c>
      <c r="R551">
        <f>R550+IF(AND($E551&lt;&gt;"",$E551&lt;=R$2,$F551&gt;=R$2),1,0)</f>
        <v/>
      </c>
      <c r="S551">
        <f>S550+IF(AND($E551&lt;&gt;"",$E551&lt;=S$2,$F551&gt;=S$2),1,0)</f>
        <v/>
      </c>
      <c r="T551">
        <f>T550+IF(AND($E551&lt;&gt;"",$E551&lt;=T$2,$F551&gt;=T$2),1,0)</f>
        <v/>
      </c>
      <c r="U551">
        <f>U550+IF(AND($E551&lt;&gt;"",$E551&lt;=U$2,$F551&gt;=U$2),1,0)</f>
        <v/>
      </c>
      <c r="V551">
        <f>V550+IF(AND($E551&lt;&gt;"",$E551&lt;=V$2,$F551&gt;=V$2),1,0)</f>
        <v/>
      </c>
      <c r="W551">
        <f>W550+IF(AND($E551&lt;&gt;"",$E551&lt;=W$2,$F551&gt;=W$2),1,0)</f>
        <v/>
      </c>
      <c r="X551">
        <f>X550+IF(AND($E551&lt;&gt;"",$E551&lt;=X$2,$F551&gt;=X$2),1,0)</f>
        <v/>
      </c>
      <c r="Y551">
        <f>Y550+IF(AND($E551&lt;&gt;"",$E551&lt;=Y$2,$F551&gt;=Y$2),1,0)</f>
        <v/>
      </c>
      <c r="Z551">
        <f>Z550+IF(AND($E551&lt;&gt;"",$E551&lt;=Z$2,$F551&gt;=Z$2),1,0)</f>
        <v/>
      </c>
      <c r="AA551">
        <f>AA550+IF(AND($E551&lt;&gt;"",$E551&lt;=AA$2,$F551&gt;=AA$2),1,0)</f>
        <v/>
      </c>
      <c r="AB551">
        <f>AB550+IF(AND($E551&lt;&gt;"",$E551&lt;=AB$2,$F551&gt;=AB$2),1,0)</f>
        <v/>
      </c>
      <c r="AC551">
        <f>AC550+IF(AND($E551&lt;&gt;"",$E551&lt;=AC$2,$F551&gt;=AC$2),1,0)</f>
        <v/>
      </c>
      <c r="AD551">
        <f>AD550+IF(AND($E551&lt;&gt;"",$E551&lt;=AD$2,$F551&gt;=AD$2),1,0)</f>
        <v/>
      </c>
      <c r="AE551">
        <f>AE550+IF(AND($E551&lt;&gt;"",$E551&lt;=AE$2,$F551&gt;=AE$2),1,0)</f>
        <v/>
      </c>
      <c r="AF551">
        <f>AF550+IF(AND($E551&lt;&gt;"",$E551&lt;=AF$2,$F551&gt;=AF$2),1,0)</f>
        <v/>
      </c>
      <c r="AG551">
        <f>AG550+IF(AND($E551&lt;&gt;"",$E551&lt;=AG$2,$F551&gt;=AG$2),1,0)</f>
        <v/>
      </c>
      <c r="AH551">
        <f>AH550+IF(AND($E551&lt;&gt;"",$E551&lt;=AH$2,$F551&gt;=AH$2),1,0)</f>
        <v/>
      </c>
      <c r="AI551">
        <f>AI550+IF(AND($E551&lt;&gt;"",$E551&lt;=AI$2,$F551&gt;=AI$2),1,0)</f>
        <v/>
      </c>
      <c r="AJ551">
        <f>AJ550+IF(AND($E551&lt;&gt;"",$E551&lt;=AJ$2,$F551&gt;=AJ$2),1,0)</f>
        <v/>
      </c>
      <c r="AK551">
        <f>AK550+IF(AND($E551&lt;&gt;"",$E551&lt;=AK$2,$F551&gt;=AK$2),1,0)</f>
        <v/>
      </c>
      <c r="AL551">
        <f>AL550+IF(AND($E551&lt;&gt;"",$E551&lt;=AL$2,$F551&gt;=AL$2),1,0)</f>
        <v/>
      </c>
      <c r="AM551">
        <f>AM550+IF(AND($E551&lt;&gt;"",$E551&lt;=AM$2,$F551&gt;=AM$2),1,0)</f>
        <v/>
      </c>
      <c r="AN551">
        <f>AN550+IF(AND($E551&lt;&gt;"",$E551&lt;=AN$2,$F551&gt;=AN$2),1,0)</f>
        <v/>
      </c>
      <c r="AO551">
        <f>AO550+IF(AND($E551&lt;&gt;"",$E551&lt;=AO$2,$F551&gt;=AO$2),1,0)</f>
        <v/>
      </c>
      <c r="AP551">
        <f>AP550+IF(AND($E551&lt;&gt;"",$E551&lt;=AP$2,$F551&gt;=AP$2),1,0)</f>
        <v/>
      </c>
      <c r="AQ551">
        <f>AQ550+IF(AND($E551&lt;&gt;"",$E551&lt;=AQ$2,$F551&gt;=AQ$2),1,0)</f>
        <v/>
      </c>
      <c r="AR551">
        <f>AR550+IF(AND($E551&lt;&gt;"",$E551&lt;=AR$2,$F551&gt;=AR$2),1,0)</f>
        <v/>
      </c>
      <c r="AS551">
        <f>AS550+IF(AND($E551&lt;&gt;"",$E551&lt;=AS$2,$F551&gt;=AS$2),1,0)</f>
        <v/>
      </c>
      <c r="AT551">
        <f>AT550+IF(AND($E551&lt;&gt;"",$E551&lt;=AT$2,$F551&gt;=AT$2),1,0)</f>
        <v/>
      </c>
      <c r="AU551">
        <f>AU550+IF(AND($E551&lt;&gt;"",$E551&lt;=AU$2,$F551&gt;=AU$2),1,0)</f>
        <v/>
      </c>
      <c r="AV551">
        <f>AV550+IF(AND($E551&lt;&gt;"",$E551&lt;=AV$2,$F551&gt;=AV$2),1,0)</f>
        <v/>
      </c>
      <c r="AW551">
        <f>AW550+IF(AND($E551&lt;&gt;"",$E551&lt;=AW$2,$F551&gt;=AW$2),1,0)</f>
        <v/>
      </c>
    </row>
    <row r="552">
      <c r="A552">
        <f>IF(AND(ISNUMBER(Events!$A554),ISNUMBER(Events!$B554)),MAX(0,Events!$B554-Events!$A554),0)</f>
        <v/>
      </c>
      <c r="B552">
        <f>IF(ISNUMBER(Events!$A554),DATE(YEAR($B$1)-1,MONTH(Events!$A554),DAY(Events!$A554)),"")</f>
        <v/>
      </c>
      <c r="C552">
        <f>IF(ISNUMBER(Events!$A554),DATE(YEAR($B$1),MONTH(Events!$A554),DAY(Events!$A554)),"")</f>
        <v/>
      </c>
      <c r="D552">
        <f>IF(ISNUMBER(Events!$A554),DATE(YEAR($B$2),MONTH(Events!$A554),DAY(Events!$A554)),"")</f>
        <v/>
      </c>
      <c r="E552">
        <f>IF(OR(NOT(ISNUMBER(Events!$A554)),Events!$G554="No",Calendar!$H$4="None"),"",IF(OR(Calendar!$H$4="All events",Events!$D554=Calendar!$H$4),IF(Events!$E554="Yes",IF(AND(B552&gt;=Events!$A554,B552&lt;=$B$2,B552+$A552&gt;=$B$1),B552,IF(AND(C552&gt;=Events!$A554,C552&lt;=$B$2,C552+$A552&gt;=$B$1),C552,IF(AND(D552&gt;=Events!$A554,D552&lt;=$B$2,D552+$A552&gt;=$B$1),D552,""))),IF(AND(Events!$A554&lt;=$B$2,Events!$A554+$A552&gt;=$B$1),Events!$A554,"")),""))</f>
        <v/>
      </c>
      <c r="F552">
        <f>IF(E552="","",E552+A552)</f>
        <v/>
      </c>
      <c r="G552">
        <f>IF(E552="","",IF(AND(E552&lt;=EOMONTH(Calendar!$K$2,0),F552&gt;=Calendar!$K$2),E552+549/100000,""))</f>
        <v/>
      </c>
      <c r="H552">
        <f>H551+IF(AND($E552&lt;&gt;"",$E552&lt;=H$2,$F552&gt;=H$2),1,0)</f>
        <v/>
      </c>
      <c r="I552">
        <f>I551+IF(AND($E552&lt;&gt;"",$E552&lt;=I$2,$F552&gt;=I$2),1,0)</f>
        <v/>
      </c>
      <c r="J552">
        <f>J551+IF(AND($E552&lt;&gt;"",$E552&lt;=J$2,$F552&gt;=J$2),1,0)</f>
        <v/>
      </c>
      <c r="K552">
        <f>K551+IF(AND($E552&lt;&gt;"",$E552&lt;=K$2,$F552&gt;=K$2),1,0)</f>
        <v/>
      </c>
      <c r="L552">
        <f>L551+IF(AND($E552&lt;&gt;"",$E552&lt;=L$2,$F552&gt;=L$2),1,0)</f>
        <v/>
      </c>
      <c r="M552">
        <f>M551+IF(AND($E552&lt;&gt;"",$E552&lt;=M$2,$F552&gt;=M$2),1,0)</f>
        <v/>
      </c>
      <c r="N552">
        <f>N551+IF(AND($E552&lt;&gt;"",$E552&lt;=N$2,$F552&gt;=N$2),1,0)</f>
        <v/>
      </c>
      <c r="O552">
        <f>O551+IF(AND($E552&lt;&gt;"",$E552&lt;=O$2,$F552&gt;=O$2),1,0)</f>
        <v/>
      </c>
      <c r="P552">
        <f>P551+IF(AND($E552&lt;&gt;"",$E552&lt;=P$2,$F552&gt;=P$2),1,0)</f>
        <v/>
      </c>
      <c r="Q552">
        <f>Q551+IF(AND($E552&lt;&gt;"",$E552&lt;=Q$2,$F552&gt;=Q$2),1,0)</f>
        <v/>
      </c>
      <c r="R552">
        <f>R551+IF(AND($E552&lt;&gt;"",$E552&lt;=R$2,$F552&gt;=R$2),1,0)</f>
        <v/>
      </c>
      <c r="S552">
        <f>S551+IF(AND($E552&lt;&gt;"",$E552&lt;=S$2,$F552&gt;=S$2),1,0)</f>
        <v/>
      </c>
      <c r="T552">
        <f>T551+IF(AND($E552&lt;&gt;"",$E552&lt;=T$2,$F552&gt;=T$2),1,0)</f>
        <v/>
      </c>
      <c r="U552">
        <f>U551+IF(AND($E552&lt;&gt;"",$E552&lt;=U$2,$F552&gt;=U$2),1,0)</f>
        <v/>
      </c>
      <c r="V552">
        <f>V551+IF(AND($E552&lt;&gt;"",$E552&lt;=V$2,$F552&gt;=V$2),1,0)</f>
        <v/>
      </c>
      <c r="W552">
        <f>W551+IF(AND($E552&lt;&gt;"",$E552&lt;=W$2,$F552&gt;=W$2),1,0)</f>
        <v/>
      </c>
      <c r="X552">
        <f>X551+IF(AND($E552&lt;&gt;"",$E552&lt;=X$2,$F552&gt;=X$2),1,0)</f>
        <v/>
      </c>
      <c r="Y552">
        <f>Y551+IF(AND($E552&lt;&gt;"",$E552&lt;=Y$2,$F552&gt;=Y$2),1,0)</f>
        <v/>
      </c>
      <c r="Z552">
        <f>Z551+IF(AND($E552&lt;&gt;"",$E552&lt;=Z$2,$F552&gt;=Z$2),1,0)</f>
        <v/>
      </c>
      <c r="AA552">
        <f>AA551+IF(AND($E552&lt;&gt;"",$E552&lt;=AA$2,$F552&gt;=AA$2),1,0)</f>
        <v/>
      </c>
      <c r="AB552">
        <f>AB551+IF(AND($E552&lt;&gt;"",$E552&lt;=AB$2,$F552&gt;=AB$2),1,0)</f>
        <v/>
      </c>
      <c r="AC552">
        <f>AC551+IF(AND($E552&lt;&gt;"",$E552&lt;=AC$2,$F552&gt;=AC$2),1,0)</f>
        <v/>
      </c>
      <c r="AD552">
        <f>AD551+IF(AND($E552&lt;&gt;"",$E552&lt;=AD$2,$F552&gt;=AD$2),1,0)</f>
        <v/>
      </c>
      <c r="AE552">
        <f>AE551+IF(AND($E552&lt;&gt;"",$E552&lt;=AE$2,$F552&gt;=AE$2),1,0)</f>
        <v/>
      </c>
      <c r="AF552">
        <f>AF551+IF(AND($E552&lt;&gt;"",$E552&lt;=AF$2,$F552&gt;=AF$2),1,0)</f>
        <v/>
      </c>
      <c r="AG552">
        <f>AG551+IF(AND($E552&lt;&gt;"",$E552&lt;=AG$2,$F552&gt;=AG$2),1,0)</f>
        <v/>
      </c>
      <c r="AH552">
        <f>AH551+IF(AND($E552&lt;&gt;"",$E552&lt;=AH$2,$F552&gt;=AH$2),1,0)</f>
        <v/>
      </c>
      <c r="AI552">
        <f>AI551+IF(AND($E552&lt;&gt;"",$E552&lt;=AI$2,$F552&gt;=AI$2),1,0)</f>
        <v/>
      </c>
      <c r="AJ552">
        <f>AJ551+IF(AND($E552&lt;&gt;"",$E552&lt;=AJ$2,$F552&gt;=AJ$2),1,0)</f>
        <v/>
      </c>
      <c r="AK552">
        <f>AK551+IF(AND($E552&lt;&gt;"",$E552&lt;=AK$2,$F552&gt;=AK$2),1,0)</f>
        <v/>
      </c>
      <c r="AL552">
        <f>AL551+IF(AND($E552&lt;&gt;"",$E552&lt;=AL$2,$F552&gt;=AL$2),1,0)</f>
        <v/>
      </c>
      <c r="AM552">
        <f>AM551+IF(AND($E552&lt;&gt;"",$E552&lt;=AM$2,$F552&gt;=AM$2),1,0)</f>
        <v/>
      </c>
      <c r="AN552">
        <f>AN551+IF(AND($E552&lt;&gt;"",$E552&lt;=AN$2,$F552&gt;=AN$2),1,0)</f>
        <v/>
      </c>
      <c r="AO552">
        <f>AO551+IF(AND($E552&lt;&gt;"",$E552&lt;=AO$2,$F552&gt;=AO$2),1,0)</f>
        <v/>
      </c>
      <c r="AP552">
        <f>AP551+IF(AND($E552&lt;&gt;"",$E552&lt;=AP$2,$F552&gt;=AP$2),1,0)</f>
        <v/>
      </c>
      <c r="AQ552">
        <f>AQ551+IF(AND($E552&lt;&gt;"",$E552&lt;=AQ$2,$F552&gt;=AQ$2),1,0)</f>
        <v/>
      </c>
      <c r="AR552">
        <f>AR551+IF(AND($E552&lt;&gt;"",$E552&lt;=AR$2,$F552&gt;=AR$2),1,0)</f>
        <v/>
      </c>
      <c r="AS552">
        <f>AS551+IF(AND($E552&lt;&gt;"",$E552&lt;=AS$2,$F552&gt;=AS$2),1,0)</f>
        <v/>
      </c>
      <c r="AT552">
        <f>AT551+IF(AND($E552&lt;&gt;"",$E552&lt;=AT$2,$F552&gt;=AT$2),1,0)</f>
        <v/>
      </c>
      <c r="AU552">
        <f>AU551+IF(AND($E552&lt;&gt;"",$E552&lt;=AU$2,$F552&gt;=AU$2),1,0)</f>
        <v/>
      </c>
      <c r="AV552">
        <f>AV551+IF(AND($E552&lt;&gt;"",$E552&lt;=AV$2,$F552&gt;=AV$2),1,0)</f>
        <v/>
      </c>
      <c r="AW552">
        <f>AW551+IF(AND($E552&lt;&gt;"",$E552&lt;=AW$2,$F552&gt;=AW$2),1,0)</f>
        <v/>
      </c>
    </row>
    <row r="553">
      <c r="A553">
        <f>IF(AND(ISNUMBER(Events!$A555),ISNUMBER(Events!$B555)),MAX(0,Events!$B555-Events!$A555),0)</f>
        <v/>
      </c>
      <c r="B553">
        <f>IF(ISNUMBER(Events!$A555),DATE(YEAR($B$1)-1,MONTH(Events!$A555),DAY(Events!$A555)),"")</f>
        <v/>
      </c>
      <c r="C553">
        <f>IF(ISNUMBER(Events!$A555),DATE(YEAR($B$1),MONTH(Events!$A555),DAY(Events!$A555)),"")</f>
        <v/>
      </c>
      <c r="D553">
        <f>IF(ISNUMBER(Events!$A555),DATE(YEAR($B$2),MONTH(Events!$A555),DAY(Events!$A555)),"")</f>
        <v/>
      </c>
      <c r="E553">
        <f>IF(OR(NOT(ISNUMBER(Events!$A555)),Events!$G555="No",Calendar!$H$4="None"),"",IF(OR(Calendar!$H$4="All events",Events!$D555=Calendar!$H$4),IF(Events!$E555="Yes",IF(AND(B553&gt;=Events!$A555,B553&lt;=$B$2,B553+$A553&gt;=$B$1),B553,IF(AND(C553&gt;=Events!$A555,C553&lt;=$B$2,C553+$A553&gt;=$B$1),C553,IF(AND(D553&gt;=Events!$A555,D553&lt;=$B$2,D553+$A553&gt;=$B$1),D553,""))),IF(AND(Events!$A555&lt;=$B$2,Events!$A555+$A553&gt;=$B$1),Events!$A555,"")),""))</f>
        <v/>
      </c>
      <c r="F553">
        <f>IF(E553="","",E553+A553)</f>
        <v/>
      </c>
      <c r="G553">
        <f>IF(E553="","",IF(AND(E553&lt;=EOMONTH(Calendar!$K$2,0),F553&gt;=Calendar!$K$2),E553+550/100000,""))</f>
        <v/>
      </c>
      <c r="H553">
        <f>H552+IF(AND($E553&lt;&gt;"",$E553&lt;=H$2,$F553&gt;=H$2),1,0)</f>
        <v/>
      </c>
      <c r="I553">
        <f>I552+IF(AND($E553&lt;&gt;"",$E553&lt;=I$2,$F553&gt;=I$2),1,0)</f>
        <v/>
      </c>
      <c r="J553">
        <f>J552+IF(AND($E553&lt;&gt;"",$E553&lt;=J$2,$F553&gt;=J$2),1,0)</f>
        <v/>
      </c>
      <c r="K553">
        <f>K552+IF(AND($E553&lt;&gt;"",$E553&lt;=K$2,$F553&gt;=K$2),1,0)</f>
        <v/>
      </c>
      <c r="L553">
        <f>L552+IF(AND($E553&lt;&gt;"",$E553&lt;=L$2,$F553&gt;=L$2),1,0)</f>
        <v/>
      </c>
      <c r="M553">
        <f>M552+IF(AND($E553&lt;&gt;"",$E553&lt;=M$2,$F553&gt;=M$2),1,0)</f>
        <v/>
      </c>
      <c r="N553">
        <f>N552+IF(AND($E553&lt;&gt;"",$E553&lt;=N$2,$F553&gt;=N$2),1,0)</f>
        <v/>
      </c>
      <c r="O553">
        <f>O552+IF(AND($E553&lt;&gt;"",$E553&lt;=O$2,$F553&gt;=O$2),1,0)</f>
        <v/>
      </c>
      <c r="P553">
        <f>P552+IF(AND($E553&lt;&gt;"",$E553&lt;=P$2,$F553&gt;=P$2),1,0)</f>
        <v/>
      </c>
      <c r="Q553">
        <f>Q552+IF(AND($E553&lt;&gt;"",$E553&lt;=Q$2,$F553&gt;=Q$2),1,0)</f>
        <v/>
      </c>
      <c r="R553">
        <f>R552+IF(AND($E553&lt;&gt;"",$E553&lt;=R$2,$F553&gt;=R$2),1,0)</f>
        <v/>
      </c>
      <c r="S553">
        <f>S552+IF(AND($E553&lt;&gt;"",$E553&lt;=S$2,$F553&gt;=S$2),1,0)</f>
        <v/>
      </c>
      <c r="T553">
        <f>T552+IF(AND($E553&lt;&gt;"",$E553&lt;=T$2,$F553&gt;=T$2),1,0)</f>
        <v/>
      </c>
      <c r="U553">
        <f>U552+IF(AND($E553&lt;&gt;"",$E553&lt;=U$2,$F553&gt;=U$2),1,0)</f>
        <v/>
      </c>
      <c r="V553">
        <f>V552+IF(AND($E553&lt;&gt;"",$E553&lt;=V$2,$F553&gt;=V$2),1,0)</f>
        <v/>
      </c>
      <c r="W553">
        <f>W552+IF(AND($E553&lt;&gt;"",$E553&lt;=W$2,$F553&gt;=W$2),1,0)</f>
        <v/>
      </c>
      <c r="X553">
        <f>X552+IF(AND($E553&lt;&gt;"",$E553&lt;=X$2,$F553&gt;=X$2),1,0)</f>
        <v/>
      </c>
      <c r="Y553">
        <f>Y552+IF(AND($E553&lt;&gt;"",$E553&lt;=Y$2,$F553&gt;=Y$2),1,0)</f>
        <v/>
      </c>
      <c r="Z553">
        <f>Z552+IF(AND($E553&lt;&gt;"",$E553&lt;=Z$2,$F553&gt;=Z$2),1,0)</f>
        <v/>
      </c>
      <c r="AA553">
        <f>AA552+IF(AND($E553&lt;&gt;"",$E553&lt;=AA$2,$F553&gt;=AA$2),1,0)</f>
        <v/>
      </c>
      <c r="AB553">
        <f>AB552+IF(AND($E553&lt;&gt;"",$E553&lt;=AB$2,$F553&gt;=AB$2),1,0)</f>
        <v/>
      </c>
      <c r="AC553">
        <f>AC552+IF(AND($E553&lt;&gt;"",$E553&lt;=AC$2,$F553&gt;=AC$2),1,0)</f>
        <v/>
      </c>
      <c r="AD553">
        <f>AD552+IF(AND($E553&lt;&gt;"",$E553&lt;=AD$2,$F553&gt;=AD$2),1,0)</f>
        <v/>
      </c>
      <c r="AE553">
        <f>AE552+IF(AND($E553&lt;&gt;"",$E553&lt;=AE$2,$F553&gt;=AE$2),1,0)</f>
        <v/>
      </c>
      <c r="AF553">
        <f>AF552+IF(AND($E553&lt;&gt;"",$E553&lt;=AF$2,$F553&gt;=AF$2),1,0)</f>
        <v/>
      </c>
      <c r="AG553">
        <f>AG552+IF(AND($E553&lt;&gt;"",$E553&lt;=AG$2,$F553&gt;=AG$2),1,0)</f>
        <v/>
      </c>
      <c r="AH553">
        <f>AH552+IF(AND($E553&lt;&gt;"",$E553&lt;=AH$2,$F553&gt;=AH$2),1,0)</f>
        <v/>
      </c>
      <c r="AI553">
        <f>AI552+IF(AND($E553&lt;&gt;"",$E553&lt;=AI$2,$F553&gt;=AI$2),1,0)</f>
        <v/>
      </c>
      <c r="AJ553">
        <f>AJ552+IF(AND($E553&lt;&gt;"",$E553&lt;=AJ$2,$F553&gt;=AJ$2),1,0)</f>
        <v/>
      </c>
      <c r="AK553">
        <f>AK552+IF(AND($E553&lt;&gt;"",$E553&lt;=AK$2,$F553&gt;=AK$2),1,0)</f>
        <v/>
      </c>
      <c r="AL553">
        <f>AL552+IF(AND($E553&lt;&gt;"",$E553&lt;=AL$2,$F553&gt;=AL$2),1,0)</f>
        <v/>
      </c>
      <c r="AM553">
        <f>AM552+IF(AND($E553&lt;&gt;"",$E553&lt;=AM$2,$F553&gt;=AM$2),1,0)</f>
        <v/>
      </c>
      <c r="AN553">
        <f>AN552+IF(AND($E553&lt;&gt;"",$E553&lt;=AN$2,$F553&gt;=AN$2),1,0)</f>
        <v/>
      </c>
      <c r="AO553">
        <f>AO552+IF(AND($E553&lt;&gt;"",$E553&lt;=AO$2,$F553&gt;=AO$2),1,0)</f>
        <v/>
      </c>
      <c r="AP553">
        <f>AP552+IF(AND($E553&lt;&gt;"",$E553&lt;=AP$2,$F553&gt;=AP$2),1,0)</f>
        <v/>
      </c>
      <c r="AQ553">
        <f>AQ552+IF(AND($E553&lt;&gt;"",$E553&lt;=AQ$2,$F553&gt;=AQ$2),1,0)</f>
        <v/>
      </c>
      <c r="AR553">
        <f>AR552+IF(AND($E553&lt;&gt;"",$E553&lt;=AR$2,$F553&gt;=AR$2),1,0)</f>
        <v/>
      </c>
      <c r="AS553">
        <f>AS552+IF(AND($E553&lt;&gt;"",$E553&lt;=AS$2,$F553&gt;=AS$2),1,0)</f>
        <v/>
      </c>
      <c r="AT553">
        <f>AT552+IF(AND($E553&lt;&gt;"",$E553&lt;=AT$2,$F553&gt;=AT$2),1,0)</f>
        <v/>
      </c>
      <c r="AU553">
        <f>AU552+IF(AND($E553&lt;&gt;"",$E553&lt;=AU$2,$F553&gt;=AU$2),1,0)</f>
        <v/>
      </c>
      <c r="AV553">
        <f>AV552+IF(AND($E553&lt;&gt;"",$E553&lt;=AV$2,$F553&gt;=AV$2),1,0)</f>
        <v/>
      </c>
      <c r="AW553">
        <f>AW552+IF(AND($E553&lt;&gt;"",$E553&lt;=AW$2,$F553&gt;=AW$2),1,0)</f>
        <v/>
      </c>
    </row>
    <row r="554">
      <c r="A554">
        <f>IF(AND(ISNUMBER(Events!$A556),ISNUMBER(Events!$B556)),MAX(0,Events!$B556-Events!$A556),0)</f>
        <v/>
      </c>
      <c r="B554">
        <f>IF(ISNUMBER(Events!$A556),DATE(YEAR($B$1)-1,MONTH(Events!$A556),DAY(Events!$A556)),"")</f>
        <v/>
      </c>
      <c r="C554">
        <f>IF(ISNUMBER(Events!$A556),DATE(YEAR($B$1),MONTH(Events!$A556),DAY(Events!$A556)),"")</f>
        <v/>
      </c>
      <c r="D554">
        <f>IF(ISNUMBER(Events!$A556),DATE(YEAR($B$2),MONTH(Events!$A556),DAY(Events!$A556)),"")</f>
        <v/>
      </c>
      <c r="E554">
        <f>IF(OR(NOT(ISNUMBER(Events!$A556)),Events!$G556="No",Calendar!$H$4="None"),"",IF(OR(Calendar!$H$4="All events",Events!$D556=Calendar!$H$4),IF(Events!$E556="Yes",IF(AND(B554&gt;=Events!$A556,B554&lt;=$B$2,B554+$A554&gt;=$B$1),B554,IF(AND(C554&gt;=Events!$A556,C554&lt;=$B$2,C554+$A554&gt;=$B$1),C554,IF(AND(D554&gt;=Events!$A556,D554&lt;=$B$2,D554+$A554&gt;=$B$1),D554,""))),IF(AND(Events!$A556&lt;=$B$2,Events!$A556+$A554&gt;=$B$1),Events!$A556,"")),""))</f>
        <v/>
      </c>
      <c r="F554">
        <f>IF(E554="","",E554+A554)</f>
        <v/>
      </c>
      <c r="G554">
        <f>IF(E554="","",IF(AND(E554&lt;=EOMONTH(Calendar!$K$2,0),F554&gt;=Calendar!$K$2),E554+551/100000,""))</f>
        <v/>
      </c>
      <c r="H554">
        <f>H553+IF(AND($E554&lt;&gt;"",$E554&lt;=H$2,$F554&gt;=H$2),1,0)</f>
        <v/>
      </c>
      <c r="I554">
        <f>I553+IF(AND($E554&lt;&gt;"",$E554&lt;=I$2,$F554&gt;=I$2),1,0)</f>
        <v/>
      </c>
      <c r="J554">
        <f>J553+IF(AND($E554&lt;&gt;"",$E554&lt;=J$2,$F554&gt;=J$2),1,0)</f>
        <v/>
      </c>
      <c r="K554">
        <f>K553+IF(AND($E554&lt;&gt;"",$E554&lt;=K$2,$F554&gt;=K$2),1,0)</f>
        <v/>
      </c>
      <c r="L554">
        <f>L553+IF(AND($E554&lt;&gt;"",$E554&lt;=L$2,$F554&gt;=L$2),1,0)</f>
        <v/>
      </c>
      <c r="M554">
        <f>M553+IF(AND($E554&lt;&gt;"",$E554&lt;=M$2,$F554&gt;=M$2),1,0)</f>
        <v/>
      </c>
      <c r="N554">
        <f>N553+IF(AND($E554&lt;&gt;"",$E554&lt;=N$2,$F554&gt;=N$2),1,0)</f>
        <v/>
      </c>
      <c r="O554">
        <f>O553+IF(AND($E554&lt;&gt;"",$E554&lt;=O$2,$F554&gt;=O$2),1,0)</f>
        <v/>
      </c>
      <c r="P554">
        <f>P553+IF(AND($E554&lt;&gt;"",$E554&lt;=P$2,$F554&gt;=P$2),1,0)</f>
        <v/>
      </c>
      <c r="Q554">
        <f>Q553+IF(AND($E554&lt;&gt;"",$E554&lt;=Q$2,$F554&gt;=Q$2),1,0)</f>
        <v/>
      </c>
      <c r="R554">
        <f>R553+IF(AND($E554&lt;&gt;"",$E554&lt;=R$2,$F554&gt;=R$2),1,0)</f>
        <v/>
      </c>
      <c r="S554">
        <f>S553+IF(AND($E554&lt;&gt;"",$E554&lt;=S$2,$F554&gt;=S$2),1,0)</f>
        <v/>
      </c>
      <c r="T554">
        <f>T553+IF(AND($E554&lt;&gt;"",$E554&lt;=T$2,$F554&gt;=T$2),1,0)</f>
        <v/>
      </c>
      <c r="U554">
        <f>U553+IF(AND($E554&lt;&gt;"",$E554&lt;=U$2,$F554&gt;=U$2),1,0)</f>
        <v/>
      </c>
      <c r="V554">
        <f>V553+IF(AND($E554&lt;&gt;"",$E554&lt;=V$2,$F554&gt;=V$2),1,0)</f>
        <v/>
      </c>
      <c r="W554">
        <f>W553+IF(AND($E554&lt;&gt;"",$E554&lt;=W$2,$F554&gt;=W$2),1,0)</f>
        <v/>
      </c>
      <c r="X554">
        <f>X553+IF(AND($E554&lt;&gt;"",$E554&lt;=X$2,$F554&gt;=X$2),1,0)</f>
        <v/>
      </c>
      <c r="Y554">
        <f>Y553+IF(AND($E554&lt;&gt;"",$E554&lt;=Y$2,$F554&gt;=Y$2),1,0)</f>
        <v/>
      </c>
      <c r="Z554">
        <f>Z553+IF(AND($E554&lt;&gt;"",$E554&lt;=Z$2,$F554&gt;=Z$2),1,0)</f>
        <v/>
      </c>
      <c r="AA554">
        <f>AA553+IF(AND($E554&lt;&gt;"",$E554&lt;=AA$2,$F554&gt;=AA$2),1,0)</f>
        <v/>
      </c>
      <c r="AB554">
        <f>AB553+IF(AND($E554&lt;&gt;"",$E554&lt;=AB$2,$F554&gt;=AB$2),1,0)</f>
        <v/>
      </c>
      <c r="AC554">
        <f>AC553+IF(AND($E554&lt;&gt;"",$E554&lt;=AC$2,$F554&gt;=AC$2),1,0)</f>
        <v/>
      </c>
      <c r="AD554">
        <f>AD553+IF(AND($E554&lt;&gt;"",$E554&lt;=AD$2,$F554&gt;=AD$2),1,0)</f>
        <v/>
      </c>
      <c r="AE554">
        <f>AE553+IF(AND($E554&lt;&gt;"",$E554&lt;=AE$2,$F554&gt;=AE$2),1,0)</f>
        <v/>
      </c>
      <c r="AF554">
        <f>AF553+IF(AND($E554&lt;&gt;"",$E554&lt;=AF$2,$F554&gt;=AF$2),1,0)</f>
        <v/>
      </c>
      <c r="AG554">
        <f>AG553+IF(AND($E554&lt;&gt;"",$E554&lt;=AG$2,$F554&gt;=AG$2),1,0)</f>
        <v/>
      </c>
      <c r="AH554">
        <f>AH553+IF(AND($E554&lt;&gt;"",$E554&lt;=AH$2,$F554&gt;=AH$2),1,0)</f>
        <v/>
      </c>
      <c r="AI554">
        <f>AI553+IF(AND($E554&lt;&gt;"",$E554&lt;=AI$2,$F554&gt;=AI$2),1,0)</f>
        <v/>
      </c>
      <c r="AJ554">
        <f>AJ553+IF(AND($E554&lt;&gt;"",$E554&lt;=AJ$2,$F554&gt;=AJ$2),1,0)</f>
        <v/>
      </c>
      <c r="AK554">
        <f>AK553+IF(AND($E554&lt;&gt;"",$E554&lt;=AK$2,$F554&gt;=AK$2),1,0)</f>
        <v/>
      </c>
      <c r="AL554">
        <f>AL553+IF(AND($E554&lt;&gt;"",$E554&lt;=AL$2,$F554&gt;=AL$2),1,0)</f>
        <v/>
      </c>
      <c r="AM554">
        <f>AM553+IF(AND($E554&lt;&gt;"",$E554&lt;=AM$2,$F554&gt;=AM$2),1,0)</f>
        <v/>
      </c>
      <c r="AN554">
        <f>AN553+IF(AND($E554&lt;&gt;"",$E554&lt;=AN$2,$F554&gt;=AN$2),1,0)</f>
        <v/>
      </c>
      <c r="AO554">
        <f>AO553+IF(AND($E554&lt;&gt;"",$E554&lt;=AO$2,$F554&gt;=AO$2),1,0)</f>
        <v/>
      </c>
      <c r="AP554">
        <f>AP553+IF(AND($E554&lt;&gt;"",$E554&lt;=AP$2,$F554&gt;=AP$2),1,0)</f>
        <v/>
      </c>
      <c r="AQ554">
        <f>AQ553+IF(AND($E554&lt;&gt;"",$E554&lt;=AQ$2,$F554&gt;=AQ$2),1,0)</f>
        <v/>
      </c>
      <c r="AR554">
        <f>AR553+IF(AND($E554&lt;&gt;"",$E554&lt;=AR$2,$F554&gt;=AR$2),1,0)</f>
        <v/>
      </c>
      <c r="AS554">
        <f>AS553+IF(AND($E554&lt;&gt;"",$E554&lt;=AS$2,$F554&gt;=AS$2),1,0)</f>
        <v/>
      </c>
      <c r="AT554">
        <f>AT553+IF(AND($E554&lt;&gt;"",$E554&lt;=AT$2,$F554&gt;=AT$2),1,0)</f>
        <v/>
      </c>
      <c r="AU554">
        <f>AU553+IF(AND($E554&lt;&gt;"",$E554&lt;=AU$2,$F554&gt;=AU$2),1,0)</f>
        <v/>
      </c>
      <c r="AV554">
        <f>AV553+IF(AND($E554&lt;&gt;"",$E554&lt;=AV$2,$F554&gt;=AV$2),1,0)</f>
        <v/>
      </c>
      <c r="AW554">
        <f>AW553+IF(AND($E554&lt;&gt;"",$E554&lt;=AW$2,$F554&gt;=AW$2),1,0)</f>
        <v/>
      </c>
    </row>
    <row r="555">
      <c r="A555">
        <f>IF(AND(ISNUMBER(Events!$A557),ISNUMBER(Events!$B557)),MAX(0,Events!$B557-Events!$A557),0)</f>
        <v/>
      </c>
      <c r="B555">
        <f>IF(ISNUMBER(Events!$A557),DATE(YEAR($B$1)-1,MONTH(Events!$A557),DAY(Events!$A557)),"")</f>
        <v/>
      </c>
      <c r="C555">
        <f>IF(ISNUMBER(Events!$A557),DATE(YEAR($B$1),MONTH(Events!$A557),DAY(Events!$A557)),"")</f>
        <v/>
      </c>
      <c r="D555">
        <f>IF(ISNUMBER(Events!$A557),DATE(YEAR($B$2),MONTH(Events!$A557),DAY(Events!$A557)),"")</f>
        <v/>
      </c>
      <c r="E555">
        <f>IF(OR(NOT(ISNUMBER(Events!$A557)),Events!$G557="No",Calendar!$H$4="None"),"",IF(OR(Calendar!$H$4="All events",Events!$D557=Calendar!$H$4),IF(Events!$E557="Yes",IF(AND(B555&gt;=Events!$A557,B555&lt;=$B$2,B555+$A555&gt;=$B$1),B555,IF(AND(C555&gt;=Events!$A557,C555&lt;=$B$2,C555+$A555&gt;=$B$1),C555,IF(AND(D555&gt;=Events!$A557,D555&lt;=$B$2,D555+$A555&gt;=$B$1),D555,""))),IF(AND(Events!$A557&lt;=$B$2,Events!$A557+$A555&gt;=$B$1),Events!$A557,"")),""))</f>
        <v/>
      </c>
      <c r="F555">
        <f>IF(E555="","",E555+A555)</f>
        <v/>
      </c>
      <c r="G555">
        <f>IF(E555="","",IF(AND(E555&lt;=EOMONTH(Calendar!$K$2,0),F555&gt;=Calendar!$K$2),E555+552/100000,""))</f>
        <v/>
      </c>
      <c r="H555">
        <f>H554+IF(AND($E555&lt;&gt;"",$E555&lt;=H$2,$F555&gt;=H$2),1,0)</f>
        <v/>
      </c>
      <c r="I555">
        <f>I554+IF(AND($E555&lt;&gt;"",$E555&lt;=I$2,$F555&gt;=I$2),1,0)</f>
        <v/>
      </c>
      <c r="J555">
        <f>J554+IF(AND($E555&lt;&gt;"",$E555&lt;=J$2,$F555&gt;=J$2),1,0)</f>
        <v/>
      </c>
      <c r="K555">
        <f>K554+IF(AND($E555&lt;&gt;"",$E555&lt;=K$2,$F555&gt;=K$2),1,0)</f>
        <v/>
      </c>
      <c r="L555">
        <f>L554+IF(AND($E555&lt;&gt;"",$E555&lt;=L$2,$F555&gt;=L$2),1,0)</f>
        <v/>
      </c>
      <c r="M555">
        <f>M554+IF(AND($E555&lt;&gt;"",$E555&lt;=M$2,$F555&gt;=M$2),1,0)</f>
        <v/>
      </c>
      <c r="N555">
        <f>N554+IF(AND($E555&lt;&gt;"",$E555&lt;=N$2,$F555&gt;=N$2),1,0)</f>
        <v/>
      </c>
      <c r="O555">
        <f>O554+IF(AND($E555&lt;&gt;"",$E555&lt;=O$2,$F555&gt;=O$2),1,0)</f>
        <v/>
      </c>
      <c r="P555">
        <f>P554+IF(AND($E555&lt;&gt;"",$E555&lt;=P$2,$F555&gt;=P$2),1,0)</f>
        <v/>
      </c>
      <c r="Q555">
        <f>Q554+IF(AND($E555&lt;&gt;"",$E555&lt;=Q$2,$F555&gt;=Q$2),1,0)</f>
        <v/>
      </c>
      <c r="R555">
        <f>R554+IF(AND($E555&lt;&gt;"",$E555&lt;=R$2,$F555&gt;=R$2),1,0)</f>
        <v/>
      </c>
      <c r="S555">
        <f>S554+IF(AND($E555&lt;&gt;"",$E555&lt;=S$2,$F555&gt;=S$2),1,0)</f>
        <v/>
      </c>
      <c r="T555">
        <f>T554+IF(AND($E555&lt;&gt;"",$E555&lt;=T$2,$F555&gt;=T$2),1,0)</f>
        <v/>
      </c>
      <c r="U555">
        <f>U554+IF(AND($E555&lt;&gt;"",$E555&lt;=U$2,$F555&gt;=U$2),1,0)</f>
        <v/>
      </c>
      <c r="V555">
        <f>V554+IF(AND($E555&lt;&gt;"",$E555&lt;=V$2,$F555&gt;=V$2),1,0)</f>
        <v/>
      </c>
      <c r="W555">
        <f>W554+IF(AND($E555&lt;&gt;"",$E555&lt;=W$2,$F555&gt;=W$2),1,0)</f>
        <v/>
      </c>
      <c r="X555">
        <f>X554+IF(AND($E555&lt;&gt;"",$E555&lt;=X$2,$F555&gt;=X$2),1,0)</f>
        <v/>
      </c>
      <c r="Y555">
        <f>Y554+IF(AND($E555&lt;&gt;"",$E555&lt;=Y$2,$F555&gt;=Y$2),1,0)</f>
        <v/>
      </c>
      <c r="Z555">
        <f>Z554+IF(AND($E555&lt;&gt;"",$E555&lt;=Z$2,$F555&gt;=Z$2),1,0)</f>
        <v/>
      </c>
      <c r="AA555">
        <f>AA554+IF(AND($E555&lt;&gt;"",$E555&lt;=AA$2,$F555&gt;=AA$2),1,0)</f>
        <v/>
      </c>
      <c r="AB555">
        <f>AB554+IF(AND($E555&lt;&gt;"",$E555&lt;=AB$2,$F555&gt;=AB$2),1,0)</f>
        <v/>
      </c>
      <c r="AC555">
        <f>AC554+IF(AND($E555&lt;&gt;"",$E555&lt;=AC$2,$F555&gt;=AC$2),1,0)</f>
        <v/>
      </c>
      <c r="AD555">
        <f>AD554+IF(AND($E555&lt;&gt;"",$E555&lt;=AD$2,$F555&gt;=AD$2),1,0)</f>
        <v/>
      </c>
      <c r="AE555">
        <f>AE554+IF(AND($E555&lt;&gt;"",$E555&lt;=AE$2,$F555&gt;=AE$2),1,0)</f>
        <v/>
      </c>
      <c r="AF555">
        <f>AF554+IF(AND($E555&lt;&gt;"",$E555&lt;=AF$2,$F555&gt;=AF$2),1,0)</f>
        <v/>
      </c>
      <c r="AG555">
        <f>AG554+IF(AND($E555&lt;&gt;"",$E555&lt;=AG$2,$F555&gt;=AG$2),1,0)</f>
        <v/>
      </c>
      <c r="AH555">
        <f>AH554+IF(AND($E555&lt;&gt;"",$E555&lt;=AH$2,$F555&gt;=AH$2),1,0)</f>
        <v/>
      </c>
      <c r="AI555">
        <f>AI554+IF(AND($E555&lt;&gt;"",$E555&lt;=AI$2,$F555&gt;=AI$2),1,0)</f>
        <v/>
      </c>
      <c r="AJ555">
        <f>AJ554+IF(AND($E555&lt;&gt;"",$E555&lt;=AJ$2,$F555&gt;=AJ$2),1,0)</f>
        <v/>
      </c>
      <c r="AK555">
        <f>AK554+IF(AND($E555&lt;&gt;"",$E555&lt;=AK$2,$F555&gt;=AK$2),1,0)</f>
        <v/>
      </c>
      <c r="AL555">
        <f>AL554+IF(AND($E555&lt;&gt;"",$E555&lt;=AL$2,$F555&gt;=AL$2),1,0)</f>
        <v/>
      </c>
      <c r="AM555">
        <f>AM554+IF(AND($E555&lt;&gt;"",$E555&lt;=AM$2,$F555&gt;=AM$2),1,0)</f>
        <v/>
      </c>
      <c r="AN555">
        <f>AN554+IF(AND($E555&lt;&gt;"",$E555&lt;=AN$2,$F555&gt;=AN$2),1,0)</f>
        <v/>
      </c>
      <c r="AO555">
        <f>AO554+IF(AND($E555&lt;&gt;"",$E555&lt;=AO$2,$F555&gt;=AO$2),1,0)</f>
        <v/>
      </c>
      <c r="AP555">
        <f>AP554+IF(AND($E555&lt;&gt;"",$E555&lt;=AP$2,$F555&gt;=AP$2),1,0)</f>
        <v/>
      </c>
      <c r="AQ555">
        <f>AQ554+IF(AND($E555&lt;&gt;"",$E555&lt;=AQ$2,$F555&gt;=AQ$2),1,0)</f>
        <v/>
      </c>
      <c r="AR555">
        <f>AR554+IF(AND($E555&lt;&gt;"",$E555&lt;=AR$2,$F555&gt;=AR$2),1,0)</f>
        <v/>
      </c>
      <c r="AS555">
        <f>AS554+IF(AND($E555&lt;&gt;"",$E555&lt;=AS$2,$F555&gt;=AS$2),1,0)</f>
        <v/>
      </c>
      <c r="AT555">
        <f>AT554+IF(AND($E555&lt;&gt;"",$E555&lt;=AT$2,$F555&gt;=AT$2),1,0)</f>
        <v/>
      </c>
      <c r="AU555">
        <f>AU554+IF(AND($E555&lt;&gt;"",$E555&lt;=AU$2,$F555&gt;=AU$2),1,0)</f>
        <v/>
      </c>
      <c r="AV555">
        <f>AV554+IF(AND($E555&lt;&gt;"",$E555&lt;=AV$2,$F555&gt;=AV$2),1,0)</f>
        <v/>
      </c>
      <c r="AW555">
        <f>AW554+IF(AND($E555&lt;&gt;"",$E555&lt;=AW$2,$F555&gt;=AW$2),1,0)</f>
        <v/>
      </c>
    </row>
    <row r="556">
      <c r="A556">
        <f>IF(AND(ISNUMBER(Events!$A558),ISNUMBER(Events!$B558)),MAX(0,Events!$B558-Events!$A558),0)</f>
        <v/>
      </c>
      <c r="B556">
        <f>IF(ISNUMBER(Events!$A558),DATE(YEAR($B$1)-1,MONTH(Events!$A558),DAY(Events!$A558)),"")</f>
        <v/>
      </c>
      <c r="C556">
        <f>IF(ISNUMBER(Events!$A558),DATE(YEAR($B$1),MONTH(Events!$A558),DAY(Events!$A558)),"")</f>
        <v/>
      </c>
      <c r="D556">
        <f>IF(ISNUMBER(Events!$A558),DATE(YEAR($B$2),MONTH(Events!$A558),DAY(Events!$A558)),"")</f>
        <v/>
      </c>
      <c r="E556">
        <f>IF(OR(NOT(ISNUMBER(Events!$A558)),Events!$G558="No",Calendar!$H$4="None"),"",IF(OR(Calendar!$H$4="All events",Events!$D558=Calendar!$H$4),IF(Events!$E558="Yes",IF(AND(B556&gt;=Events!$A558,B556&lt;=$B$2,B556+$A556&gt;=$B$1),B556,IF(AND(C556&gt;=Events!$A558,C556&lt;=$B$2,C556+$A556&gt;=$B$1),C556,IF(AND(D556&gt;=Events!$A558,D556&lt;=$B$2,D556+$A556&gt;=$B$1),D556,""))),IF(AND(Events!$A558&lt;=$B$2,Events!$A558+$A556&gt;=$B$1),Events!$A558,"")),""))</f>
        <v/>
      </c>
      <c r="F556">
        <f>IF(E556="","",E556+A556)</f>
        <v/>
      </c>
      <c r="G556">
        <f>IF(E556="","",IF(AND(E556&lt;=EOMONTH(Calendar!$K$2,0),F556&gt;=Calendar!$K$2),E556+553/100000,""))</f>
        <v/>
      </c>
      <c r="H556">
        <f>H555+IF(AND($E556&lt;&gt;"",$E556&lt;=H$2,$F556&gt;=H$2),1,0)</f>
        <v/>
      </c>
      <c r="I556">
        <f>I555+IF(AND($E556&lt;&gt;"",$E556&lt;=I$2,$F556&gt;=I$2),1,0)</f>
        <v/>
      </c>
      <c r="J556">
        <f>J555+IF(AND($E556&lt;&gt;"",$E556&lt;=J$2,$F556&gt;=J$2),1,0)</f>
        <v/>
      </c>
      <c r="K556">
        <f>K555+IF(AND($E556&lt;&gt;"",$E556&lt;=K$2,$F556&gt;=K$2),1,0)</f>
        <v/>
      </c>
      <c r="L556">
        <f>L555+IF(AND($E556&lt;&gt;"",$E556&lt;=L$2,$F556&gt;=L$2),1,0)</f>
        <v/>
      </c>
      <c r="M556">
        <f>M555+IF(AND($E556&lt;&gt;"",$E556&lt;=M$2,$F556&gt;=M$2),1,0)</f>
        <v/>
      </c>
      <c r="N556">
        <f>N555+IF(AND($E556&lt;&gt;"",$E556&lt;=N$2,$F556&gt;=N$2),1,0)</f>
        <v/>
      </c>
      <c r="O556">
        <f>O555+IF(AND($E556&lt;&gt;"",$E556&lt;=O$2,$F556&gt;=O$2),1,0)</f>
        <v/>
      </c>
      <c r="P556">
        <f>P555+IF(AND($E556&lt;&gt;"",$E556&lt;=P$2,$F556&gt;=P$2),1,0)</f>
        <v/>
      </c>
      <c r="Q556">
        <f>Q555+IF(AND($E556&lt;&gt;"",$E556&lt;=Q$2,$F556&gt;=Q$2),1,0)</f>
        <v/>
      </c>
      <c r="R556">
        <f>R555+IF(AND($E556&lt;&gt;"",$E556&lt;=R$2,$F556&gt;=R$2),1,0)</f>
        <v/>
      </c>
      <c r="S556">
        <f>S555+IF(AND($E556&lt;&gt;"",$E556&lt;=S$2,$F556&gt;=S$2),1,0)</f>
        <v/>
      </c>
      <c r="T556">
        <f>T555+IF(AND($E556&lt;&gt;"",$E556&lt;=T$2,$F556&gt;=T$2),1,0)</f>
        <v/>
      </c>
      <c r="U556">
        <f>U555+IF(AND($E556&lt;&gt;"",$E556&lt;=U$2,$F556&gt;=U$2),1,0)</f>
        <v/>
      </c>
      <c r="V556">
        <f>V555+IF(AND($E556&lt;&gt;"",$E556&lt;=V$2,$F556&gt;=V$2),1,0)</f>
        <v/>
      </c>
      <c r="W556">
        <f>W555+IF(AND($E556&lt;&gt;"",$E556&lt;=W$2,$F556&gt;=W$2),1,0)</f>
        <v/>
      </c>
      <c r="X556">
        <f>X555+IF(AND($E556&lt;&gt;"",$E556&lt;=X$2,$F556&gt;=X$2),1,0)</f>
        <v/>
      </c>
      <c r="Y556">
        <f>Y555+IF(AND($E556&lt;&gt;"",$E556&lt;=Y$2,$F556&gt;=Y$2),1,0)</f>
        <v/>
      </c>
      <c r="Z556">
        <f>Z555+IF(AND($E556&lt;&gt;"",$E556&lt;=Z$2,$F556&gt;=Z$2),1,0)</f>
        <v/>
      </c>
      <c r="AA556">
        <f>AA555+IF(AND($E556&lt;&gt;"",$E556&lt;=AA$2,$F556&gt;=AA$2),1,0)</f>
        <v/>
      </c>
      <c r="AB556">
        <f>AB555+IF(AND($E556&lt;&gt;"",$E556&lt;=AB$2,$F556&gt;=AB$2),1,0)</f>
        <v/>
      </c>
      <c r="AC556">
        <f>AC555+IF(AND($E556&lt;&gt;"",$E556&lt;=AC$2,$F556&gt;=AC$2),1,0)</f>
        <v/>
      </c>
      <c r="AD556">
        <f>AD555+IF(AND($E556&lt;&gt;"",$E556&lt;=AD$2,$F556&gt;=AD$2),1,0)</f>
        <v/>
      </c>
      <c r="AE556">
        <f>AE555+IF(AND($E556&lt;&gt;"",$E556&lt;=AE$2,$F556&gt;=AE$2),1,0)</f>
        <v/>
      </c>
      <c r="AF556">
        <f>AF555+IF(AND($E556&lt;&gt;"",$E556&lt;=AF$2,$F556&gt;=AF$2),1,0)</f>
        <v/>
      </c>
      <c r="AG556">
        <f>AG555+IF(AND($E556&lt;&gt;"",$E556&lt;=AG$2,$F556&gt;=AG$2),1,0)</f>
        <v/>
      </c>
      <c r="AH556">
        <f>AH555+IF(AND($E556&lt;&gt;"",$E556&lt;=AH$2,$F556&gt;=AH$2),1,0)</f>
        <v/>
      </c>
      <c r="AI556">
        <f>AI555+IF(AND($E556&lt;&gt;"",$E556&lt;=AI$2,$F556&gt;=AI$2),1,0)</f>
        <v/>
      </c>
      <c r="AJ556">
        <f>AJ555+IF(AND($E556&lt;&gt;"",$E556&lt;=AJ$2,$F556&gt;=AJ$2),1,0)</f>
        <v/>
      </c>
      <c r="AK556">
        <f>AK555+IF(AND($E556&lt;&gt;"",$E556&lt;=AK$2,$F556&gt;=AK$2),1,0)</f>
        <v/>
      </c>
      <c r="AL556">
        <f>AL555+IF(AND($E556&lt;&gt;"",$E556&lt;=AL$2,$F556&gt;=AL$2),1,0)</f>
        <v/>
      </c>
      <c r="AM556">
        <f>AM555+IF(AND($E556&lt;&gt;"",$E556&lt;=AM$2,$F556&gt;=AM$2),1,0)</f>
        <v/>
      </c>
      <c r="AN556">
        <f>AN555+IF(AND($E556&lt;&gt;"",$E556&lt;=AN$2,$F556&gt;=AN$2),1,0)</f>
        <v/>
      </c>
      <c r="AO556">
        <f>AO555+IF(AND($E556&lt;&gt;"",$E556&lt;=AO$2,$F556&gt;=AO$2),1,0)</f>
        <v/>
      </c>
      <c r="AP556">
        <f>AP555+IF(AND($E556&lt;&gt;"",$E556&lt;=AP$2,$F556&gt;=AP$2),1,0)</f>
        <v/>
      </c>
      <c r="AQ556">
        <f>AQ555+IF(AND($E556&lt;&gt;"",$E556&lt;=AQ$2,$F556&gt;=AQ$2),1,0)</f>
        <v/>
      </c>
      <c r="AR556">
        <f>AR555+IF(AND($E556&lt;&gt;"",$E556&lt;=AR$2,$F556&gt;=AR$2),1,0)</f>
        <v/>
      </c>
      <c r="AS556">
        <f>AS555+IF(AND($E556&lt;&gt;"",$E556&lt;=AS$2,$F556&gt;=AS$2),1,0)</f>
        <v/>
      </c>
      <c r="AT556">
        <f>AT555+IF(AND($E556&lt;&gt;"",$E556&lt;=AT$2,$F556&gt;=AT$2),1,0)</f>
        <v/>
      </c>
      <c r="AU556">
        <f>AU555+IF(AND($E556&lt;&gt;"",$E556&lt;=AU$2,$F556&gt;=AU$2),1,0)</f>
        <v/>
      </c>
      <c r="AV556">
        <f>AV555+IF(AND($E556&lt;&gt;"",$E556&lt;=AV$2,$F556&gt;=AV$2),1,0)</f>
        <v/>
      </c>
      <c r="AW556">
        <f>AW555+IF(AND($E556&lt;&gt;"",$E556&lt;=AW$2,$F556&gt;=AW$2),1,0)</f>
        <v/>
      </c>
    </row>
    <row r="557">
      <c r="A557">
        <f>IF(AND(ISNUMBER(Events!$A559),ISNUMBER(Events!$B559)),MAX(0,Events!$B559-Events!$A559),0)</f>
        <v/>
      </c>
      <c r="B557">
        <f>IF(ISNUMBER(Events!$A559),DATE(YEAR($B$1)-1,MONTH(Events!$A559),DAY(Events!$A559)),"")</f>
        <v/>
      </c>
      <c r="C557">
        <f>IF(ISNUMBER(Events!$A559),DATE(YEAR($B$1),MONTH(Events!$A559),DAY(Events!$A559)),"")</f>
        <v/>
      </c>
      <c r="D557">
        <f>IF(ISNUMBER(Events!$A559),DATE(YEAR($B$2),MONTH(Events!$A559),DAY(Events!$A559)),"")</f>
        <v/>
      </c>
      <c r="E557">
        <f>IF(OR(NOT(ISNUMBER(Events!$A559)),Events!$G559="No",Calendar!$H$4="None"),"",IF(OR(Calendar!$H$4="All events",Events!$D559=Calendar!$H$4),IF(Events!$E559="Yes",IF(AND(B557&gt;=Events!$A559,B557&lt;=$B$2,B557+$A557&gt;=$B$1),B557,IF(AND(C557&gt;=Events!$A559,C557&lt;=$B$2,C557+$A557&gt;=$B$1),C557,IF(AND(D557&gt;=Events!$A559,D557&lt;=$B$2,D557+$A557&gt;=$B$1),D557,""))),IF(AND(Events!$A559&lt;=$B$2,Events!$A559+$A557&gt;=$B$1),Events!$A559,"")),""))</f>
        <v/>
      </c>
      <c r="F557">
        <f>IF(E557="","",E557+A557)</f>
        <v/>
      </c>
      <c r="G557">
        <f>IF(E557="","",IF(AND(E557&lt;=EOMONTH(Calendar!$K$2,0),F557&gt;=Calendar!$K$2),E557+554/100000,""))</f>
        <v/>
      </c>
      <c r="H557">
        <f>H556+IF(AND($E557&lt;&gt;"",$E557&lt;=H$2,$F557&gt;=H$2),1,0)</f>
        <v/>
      </c>
      <c r="I557">
        <f>I556+IF(AND($E557&lt;&gt;"",$E557&lt;=I$2,$F557&gt;=I$2),1,0)</f>
        <v/>
      </c>
      <c r="J557">
        <f>J556+IF(AND($E557&lt;&gt;"",$E557&lt;=J$2,$F557&gt;=J$2),1,0)</f>
        <v/>
      </c>
      <c r="K557">
        <f>K556+IF(AND($E557&lt;&gt;"",$E557&lt;=K$2,$F557&gt;=K$2),1,0)</f>
        <v/>
      </c>
      <c r="L557">
        <f>L556+IF(AND($E557&lt;&gt;"",$E557&lt;=L$2,$F557&gt;=L$2),1,0)</f>
        <v/>
      </c>
      <c r="M557">
        <f>M556+IF(AND($E557&lt;&gt;"",$E557&lt;=M$2,$F557&gt;=M$2),1,0)</f>
        <v/>
      </c>
      <c r="N557">
        <f>N556+IF(AND($E557&lt;&gt;"",$E557&lt;=N$2,$F557&gt;=N$2),1,0)</f>
        <v/>
      </c>
      <c r="O557">
        <f>O556+IF(AND($E557&lt;&gt;"",$E557&lt;=O$2,$F557&gt;=O$2),1,0)</f>
        <v/>
      </c>
      <c r="P557">
        <f>P556+IF(AND($E557&lt;&gt;"",$E557&lt;=P$2,$F557&gt;=P$2),1,0)</f>
        <v/>
      </c>
      <c r="Q557">
        <f>Q556+IF(AND($E557&lt;&gt;"",$E557&lt;=Q$2,$F557&gt;=Q$2),1,0)</f>
        <v/>
      </c>
      <c r="R557">
        <f>R556+IF(AND($E557&lt;&gt;"",$E557&lt;=R$2,$F557&gt;=R$2),1,0)</f>
        <v/>
      </c>
      <c r="S557">
        <f>S556+IF(AND($E557&lt;&gt;"",$E557&lt;=S$2,$F557&gt;=S$2),1,0)</f>
        <v/>
      </c>
      <c r="T557">
        <f>T556+IF(AND($E557&lt;&gt;"",$E557&lt;=T$2,$F557&gt;=T$2),1,0)</f>
        <v/>
      </c>
      <c r="U557">
        <f>U556+IF(AND($E557&lt;&gt;"",$E557&lt;=U$2,$F557&gt;=U$2),1,0)</f>
        <v/>
      </c>
      <c r="V557">
        <f>V556+IF(AND($E557&lt;&gt;"",$E557&lt;=V$2,$F557&gt;=V$2),1,0)</f>
        <v/>
      </c>
      <c r="W557">
        <f>W556+IF(AND($E557&lt;&gt;"",$E557&lt;=W$2,$F557&gt;=W$2),1,0)</f>
        <v/>
      </c>
      <c r="X557">
        <f>X556+IF(AND($E557&lt;&gt;"",$E557&lt;=X$2,$F557&gt;=X$2),1,0)</f>
        <v/>
      </c>
      <c r="Y557">
        <f>Y556+IF(AND($E557&lt;&gt;"",$E557&lt;=Y$2,$F557&gt;=Y$2),1,0)</f>
        <v/>
      </c>
      <c r="Z557">
        <f>Z556+IF(AND($E557&lt;&gt;"",$E557&lt;=Z$2,$F557&gt;=Z$2),1,0)</f>
        <v/>
      </c>
      <c r="AA557">
        <f>AA556+IF(AND($E557&lt;&gt;"",$E557&lt;=AA$2,$F557&gt;=AA$2),1,0)</f>
        <v/>
      </c>
      <c r="AB557">
        <f>AB556+IF(AND($E557&lt;&gt;"",$E557&lt;=AB$2,$F557&gt;=AB$2),1,0)</f>
        <v/>
      </c>
      <c r="AC557">
        <f>AC556+IF(AND($E557&lt;&gt;"",$E557&lt;=AC$2,$F557&gt;=AC$2),1,0)</f>
        <v/>
      </c>
      <c r="AD557">
        <f>AD556+IF(AND($E557&lt;&gt;"",$E557&lt;=AD$2,$F557&gt;=AD$2),1,0)</f>
        <v/>
      </c>
      <c r="AE557">
        <f>AE556+IF(AND($E557&lt;&gt;"",$E557&lt;=AE$2,$F557&gt;=AE$2),1,0)</f>
        <v/>
      </c>
      <c r="AF557">
        <f>AF556+IF(AND($E557&lt;&gt;"",$E557&lt;=AF$2,$F557&gt;=AF$2),1,0)</f>
        <v/>
      </c>
      <c r="AG557">
        <f>AG556+IF(AND($E557&lt;&gt;"",$E557&lt;=AG$2,$F557&gt;=AG$2),1,0)</f>
        <v/>
      </c>
      <c r="AH557">
        <f>AH556+IF(AND($E557&lt;&gt;"",$E557&lt;=AH$2,$F557&gt;=AH$2),1,0)</f>
        <v/>
      </c>
      <c r="AI557">
        <f>AI556+IF(AND($E557&lt;&gt;"",$E557&lt;=AI$2,$F557&gt;=AI$2),1,0)</f>
        <v/>
      </c>
      <c r="AJ557">
        <f>AJ556+IF(AND($E557&lt;&gt;"",$E557&lt;=AJ$2,$F557&gt;=AJ$2),1,0)</f>
        <v/>
      </c>
      <c r="AK557">
        <f>AK556+IF(AND($E557&lt;&gt;"",$E557&lt;=AK$2,$F557&gt;=AK$2),1,0)</f>
        <v/>
      </c>
      <c r="AL557">
        <f>AL556+IF(AND($E557&lt;&gt;"",$E557&lt;=AL$2,$F557&gt;=AL$2),1,0)</f>
        <v/>
      </c>
      <c r="AM557">
        <f>AM556+IF(AND($E557&lt;&gt;"",$E557&lt;=AM$2,$F557&gt;=AM$2),1,0)</f>
        <v/>
      </c>
      <c r="AN557">
        <f>AN556+IF(AND($E557&lt;&gt;"",$E557&lt;=AN$2,$F557&gt;=AN$2),1,0)</f>
        <v/>
      </c>
      <c r="AO557">
        <f>AO556+IF(AND($E557&lt;&gt;"",$E557&lt;=AO$2,$F557&gt;=AO$2),1,0)</f>
        <v/>
      </c>
      <c r="AP557">
        <f>AP556+IF(AND($E557&lt;&gt;"",$E557&lt;=AP$2,$F557&gt;=AP$2),1,0)</f>
        <v/>
      </c>
      <c r="AQ557">
        <f>AQ556+IF(AND($E557&lt;&gt;"",$E557&lt;=AQ$2,$F557&gt;=AQ$2),1,0)</f>
        <v/>
      </c>
      <c r="AR557">
        <f>AR556+IF(AND($E557&lt;&gt;"",$E557&lt;=AR$2,$F557&gt;=AR$2),1,0)</f>
        <v/>
      </c>
      <c r="AS557">
        <f>AS556+IF(AND($E557&lt;&gt;"",$E557&lt;=AS$2,$F557&gt;=AS$2),1,0)</f>
        <v/>
      </c>
      <c r="AT557">
        <f>AT556+IF(AND($E557&lt;&gt;"",$E557&lt;=AT$2,$F557&gt;=AT$2),1,0)</f>
        <v/>
      </c>
      <c r="AU557">
        <f>AU556+IF(AND($E557&lt;&gt;"",$E557&lt;=AU$2,$F557&gt;=AU$2),1,0)</f>
        <v/>
      </c>
      <c r="AV557">
        <f>AV556+IF(AND($E557&lt;&gt;"",$E557&lt;=AV$2,$F557&gt;=AV$2),1,0)</f>
        <v/>
      </c>
      <c r="AW557">
        <f>AW556+IF(AND($E557&lt;&gt;"",$E557&lt;=AW$2,$F557&gt;=AW$2),1,0)</f>
        <v/>
      </c>
    </row>
    <row r="558">
      <c r="A558">
        <f>IF(AND(ISNUMBER(Events!$A560),ISNUMBER(Events!$B560)),MAX(0,Events!$B560-Events!$A560),0)</f>
        <v/>
      </c>
      <c r="B558">
        <f>IF(ISNUMBER(Events!$A560),DATE(YEAR($B$1)-1,MONTH(Events!$A560),DAY(Events!$A560)),"")</f>
        <v/>
      </c>
      <c r="C558">
        <f>IF(ISNUMBER(Events!$A560),DATE(YEAR($B$1),MONTH(Events!$A560),DAY(Events!$A560)),"")</f>
        <v/>
      </c>
      <c r="D558">
        <f>IF(ISNUMBER(Events!$A560),DATE(YEAR($B$2),MONTH(Events!$A560),DAY(Events!$A560)),"")</f>
        <v/>
      </c>
      <c r="E558">
        <f>IF(OR(NOT(ISNUMBER(Events!$A560)),Events!$G560="No",Calendar!$H$4="None"),"",IF(OR(Calendar!$H$4="All events",Events!$D560=Calendar!$H$4),IF(Events!$E560="Yes",IF(AND(B558&gt;=Events!$A560,B558&lt;=$B$2,B558+$A558&gt;=$B$1),B558,IF(AND(C558&gt;=Events!$A560,C558&lt;=$B$2,C558+$A558&gt;=$B$1),C558,IF(AND(D558&gt;=Events!$A560,D558&lt;=$B$2,D558+$A558&gt;=$B$1),D558,""))),IF(AND(Events!$A560&lt;=$B$2,Events!$A560+$A558&gt;=$B$1),Events!$A560,"")),""))</f>
        <v/>
      </c>
      <c r="F558">
        <f>IF(E558="","",E558+A558)</f>
        <v/>
      </c>
      <c r="G558">
        <f>IF(E558="","",IF(AND(E558&lt;=EOMONTH(Calendar!$K$2,0),F558&gt;=Calendar!$K$2),E558+555/100000,""))</f>
        <v/>
      </c>
      <c r="H558">
        <f>H557+IF(AND($E558&lt;&gt;"",$E558&lt;=H$2,$F558&gt;=H$2),1,0)</f>
        <v/>
      </c>
      <c r="I558">
        <f>I557+IF(AND($E558&lt;&gt;"",$E558&lt;=I$2,$F558&gt;=I$2),1,0)</f>
        <v/>
      </c>
      <c r="J558">
        <f>J557+IF(AND($E558&lt;&gt;"",$E558&lt;=J$2,$F558&gt;=J$2),1,0)</f>
        <v/>
      </c>
      <c r="K558">
        <f>K557+IF(AND($E558&lt;&gt;"",$E558&lt;=K$2,$F558&gt;=K$2),1,0)</f>
        <v/>
      </c>
      <c r="L558">
        <f>L557+IF(AND($E558&lt;&gt;"",$E558&lt;=L$2,$F558&gt;=L$2),1,0)</f>
        <v/>
      </c>
      <c r="M558">
        <f>M557+IF(AND($E558&lt;&gt;"",$E558&lt;=M$2,$F558&gt;=M$2),1,0)</f>
        <v/>
      </c>
      <c r="N558">
        <f>N557+IF(AND($E558&lt;&gt;"",$E558&lt;=N$2,$F558&gt;=N$2),1,0)</f>
        <v/>
      </c>
      <c r="O558">
        <f>O557+IF(AND($E558&lt;&gt;"",$E558&lt;=O$2,$F558&gt;=O$2),1,0)</f>
        <v/>
      </c>
      <c r="P558">
        <f>P557+IF(AND($E558&lt;&gt;"",$E558&lt;=P$2,$F558&gt;=P$2),1,0)</f>
        <v/>
      </c>
      <c r="Q558">
        <f>Q557+IF(AND($E558&lt;&gt;"",$E558&lt;=Q$2,$F558&gt;=Q$2),1,0)</f>
        <v/>
      </c>
      <c r="R558">
        <f>R557+IF(AND($E558&lt;&gt;"",$E558&lt;=R$2,$F558&gt;=R$2),1,0)</f>
        <v/>
      </c>
      <c r="S558">
        <f>S557+IF(AND($E558&lt;&gt;"",$E558&lt;=S$2,$F558&gt;=S$2),1,0)</f>
        <v/>
      </c>
      <c r="T558">
        <f>T557+IF(AND($E558&lt;&gt;"",$E558&lt;=T$2,$F558&gt;=T$2),1,0)</f>
        <v/>
      </c>
      <c r="U558">
        <f>U557+IF(AND($E558&lt;&gt;"",$E558&lt;=U$2,$F558&gt;=U$2),1,0)</f>
        <v/>
      </c>
      <c r="V558">
        <f>V557+IF(AND($E558&lt;&gt;"",$E558&lt;=V$2,$F558&gt;=V$2),1,0)</f>
        <v/>
      </c>
      <c r="W558">
        <f>W557+IF(AND($E558&lt;&gt;"",$E558&lt;=W$2,$F558&gt;=W$2),1,0)</f>
        <v/>
      </c>
      <c r="X558">
        <f>X557+IF(AND($E558&lt;&gt;"",$E558&lt;=X$2,$F558&gt;=X$2),1,0)</f>
        <v/>
      </c>
      <c r="Y558">
        <f>Y557+IF(AND($E558&lt;&gt;"",$E558&lt;=Y$2,$F558&gt;=Y$2),1,0)</f>
        <v/>
      </c>
      <c r="Z558">
        <f>Z557+IF(AND($E558&lt;&gt;"",$E558&lt;=Z$2,$F558&gt;=Z$2),1,0)</f>
        <v/>
      </c>
      <c r="AA558">
        <f>AA557+IF(AND($E558&lt;&gt;"",$E558&lt;=AA$2,$F558&gt;=AA$2),1,0)</f>
        <v/>
      </c>
      <c r="AB558">
        <f>AB557+IF(AND($E558&lt;&gt;"",$E558&lt;=AB$2,$F558&gt;=AB$2),1,0)</f>
        <v/>
      </c>
      <c r="AC558">
        <f>AC557+IF(AND($E558&lt;&gt;"",$E558&lt;=AC$2,$F558&gt;=AC$2),1,0)</f>
        <v/>
      </c>
      <c r="AD558">
        <f>AD557+IF(AND($E558&lt;&gt;"",$E558&lt;=AD$2,$F558&gt;=AD$2),1,0)</f>
        <v/>
      </c>
      <c r="AE558">
        <f>AE557+IF(AND($E558&lt;&gt;"",$E558&lt;=AE$2,$F558&gt;=AE$2),1,0)</f>
        <v/>
      </c>
      <c r="AF558">
        <f>AF557+IF(AND($E558&lt;&gt;"",$E558&lt;=AF$2,$F558&gt;=AF$2),1,0)</f>
        <v/>
      </c>
      <c r="AG558">
        <f>AG557+IF(AND($E558&lt;&gt;"",$E558&lt;=AG$2,$F558&gt;=AG$2),1,0)</f>
        <v/>
      </c>
      <c r="AH558">
        <f>AH557+IF(AND($E558&lt;&gt;"",$E558&lt;=AH$2,$F558&gt;=AH$2),1,0)</f>
        <v/>
      </c>
      <c r="AI558">
        <f>AI557+IF(AND($E558&lt;&gt;"",$E558&lt;=AI$2,$F558&gt;=AI$2),1,0)</f>
        <v/>
      </c>
      <c r="AJ558">
        <f>AJ557+IF(AND($E558&lt;&gt;"",$E558&lt;=AJ$2,$F558&gt;=AJ$2),1,0)</f>
        <v/>
      </c>
      <c r="AK558">
        <f>AK557+IF(AND($E558&lt;&gt;"",$E558&lt;=AK$2,$F558&gt;=AK$2),1,0)</f>
        <v/>
      </c>
      <c r="AL558">
        <f>AL557+IF(AND($E558&lt;&gt;"",$E558&lt;=AL$2,$F558&gt;=AL$2),1,0)</f>
        <v/>
      </c>
      <c r="AM558">
        <f>AM557+IF(AND($E558&lt;&gt;"",$E558&lt;=AM$2,$F558&gt;=AM$2),1,0)</f>
        <v/>
      </c>
      <c r="AN558">
        <f>AN557+IF(AND($E558&lt;&gt;"",$E558&lt;=AN$2,$F558&gt;=AN$2),1,0)</f>
        <v/>
      </c>
      <c r="AO558">
        <f>AO557+IF(AND($E558&lt;&gt;"",$E558&lt;=AO$2,$F558&gt;=AO$2),1,0)</f>
        <v/>
      </c>
      <c r="AP558">
        <f>AP557+IF(AND($E558&lt;&gt;"",$E558&lt;=AP$2,$F558&gt;=AP$2),1,0)</f>
        <v/>
      </c>
      <c r="AQ558">
        <f>AQ557+IF(AND($E558&lt;&gt;"",$E558&lt;=AQ$2,$F558&gt;=AQ$2),1,0)</f>
        <v/>
      </c>
      <c r="AR558">
        <f>AR557+IF(AND($E558&lt;&gt;"",$E558&lt;=AR$2,$F558&gt;=AR$2),1,0)</f>
        <v/>
      </c>
      <c r="AS558">
        <f>AS557+IF(AND($E558&lt;&gt;"",$E558&lt;=AS$2,$F558&gt;=AS$2),1,0)</f>
        <v/>
      </c>
      <c r="AT558">
        <f>AT557+IF(AND($E558&lt;&gt;"",$E558&lt;=AT$2,$F558&gt;=AT$2),1,0)</f>
        <v/>
      </c>
      <c r="AU558">
        <f>AU557+IF(AND($E558&lt;&gt;"",$E558&lt;=AU$2,$F558&gt;=AU$2),1,0)</f>
        <v/>
      </c>
      <c r="AV558">
        <f>AV557+IF(AND($E558&lt;&gt;"",$E558&lt;=AV$2,$F558&gt;=AV$2),1,0)</f>
        <v/>
      </c>
      <c r="AW558">
        <f>AW557+IF(AND($E558&lt;&gt;"",$E558&lt;=AW$2,$F558&gt;=AW$2),1,0)</f>
        <v/>
      </c>
    </row>
    <row r="559">
      <c r="A559">
        <f>IF(AND(ISNUMBER(Events!$A561),ISNUMBER(Events!$B561)),MAX(0,Events!$B561-Events!$A561),0)</f>
        <v/>
      </c>
      <c r="B559">
        <f>IF(ISNUMBER(Events!$A561),DATE(YEAR($B$1)-1,MONTH(Events!$A561),DAY(Events!$A561)),"")</f>
        <v/>
      </c>
      <c r="C559">
        <f>IF(ISNUMBER(Events!$A561),DATE(YEAR($B$1),MONTH(Events!$A561),DAY(Events!$A561)),"")</f>
        <v/>
      </c>
      <c r="D559">
        <f>IF(ISNUMBER(Events!$A561),DATE(YEAR($B$2),MONTH(Events!$A561),DAY(Events!$A561)),"")</f>
        <v/>
      </c>
      <c r="E559">
        <f>IF(OR(NOT(ISNUMBER(Events!$A561)),Events!$G561="No",Calendar!$H$4="None"),"",IF(OR(Calendar!$H$4="All events",Events!$D561=Calendar!$H$4),IF(Events!$E561="Yes",IF(AND(B559&gt;=Events!$A561,B559&lt;=$B$2,B559+$A559&gt;=$B$1),B559,IF(AND(C559&gt;=Events!$A561,C559&lt;=$B$2,C559+$A559&gt;=$B$1),C559,IF(AND(D559&gt;=Events!$A561,D559&lt;=$B$2,D559+$A559&gt;=$B$1),D559,""))),IF(AND(Events!$A561&lt;=$B$2,Events!$A561+$A559&gt;=$B$1),Events!$A561,"")),""))</f>
        <v/>
      </c>
      <c r="F559">
        <f>IF(E559="","",E559+A559)</f>
        <v/>
      </c>
      <c r="G559">
        <f>IF(E559="","",IF(AND(E559&lt;=EOMONTH(Calendar!$K$2,0),F559&gt;=Calendar!$K$2),E559+556/100000,""))</f>
        <v/>
      </c>
      <c r="H559">
        <f>H558+IF(AND($E559&lt;&gt;"",$E559&lt;=H$2,$F559&gt;=H$2),1,0)</f>
        <v/>
      </c>
      <c r="I559">
        <f>I558+IF(AND($E559&lt;&gt;"",$E559&lt;=I$2,$F559&gt;=I$2),1,0)</f>
        <v/>
      </c>
      <c r="J559">
        <f>J558+IF(AND($E559&lt;&gt;"",$E559&lt;=J$2,$F559&gt;=J$2),1,0)</f>
        <v/>
      </c>
      <c r="K559">
        <f>K558+IF(AND($E559&lt;&gt;"",$E559&lt;=K$2,$F559&gt;=K$2),1,0)</f>
        <v/>
      </c>
      <c r="L559">
        <f>L558+IF(AND($E559&lt;&gt;"",$E559&lt;=L$2,$F559&gt;=L$2),1,0)</f>
        <v/>
      </c>
      <c r="M559">
        <f>M558+IF(AND($E559&lt;&gt;"",$E559&lt;=M$2,$F559&gt;=M$2),1,0)</f>
        <v/>
      </c>
      <c r="N559">
        <f>N558+IF(AND($E559&lt;&gt;"",$E559&lt;=N$2,$F559&gt;=N$2),1,0)</f>
        <v/>
      </c>
      <c r="O559">
        <f>O558+IF(AND($E559&lt;&gt;"",$E559&lt;=O$2,$F559&gt;=O$2),1,0)</f>
        <v/>
      </c>
      <c r="P559">
        <f>P558+IF(AND($E559&lt;&gt;"",$E559&lt;=P$2,$F559&gt;=P$2),1,0)</f>
        <v/>
      </c>
      <c r="Q559">
        <f>Q558+IF(AND($E559&lt;&gt;"",$E559&lt;=Q$2,$F559&gt;=Q$2),1,0)</f>
        <v/>
      </c>
      <c r="R559">
        <f>R558+IF(AND($E559&lt;&gt;"",$E559&lt;=R$2,$F559&gt;=R$2),1,0)</f>
        <v/>
      </c>
      <c r="S559">
        <f>S558+IF(AND($E559&lt;&gt;"",$E559&lt;=S$2,$F559&gt;=S$2),1,0)</f>
        <v/>
      </c>
      <c r="T559">
        <f>T558+IF(AND($E559&lt;&gt;"",$E559&lt;=T$2,$F559&gt;=T$2),1,0)</f>
        <v/>
      </c>
      <c r="U559">
        <f>U558+IF(AND($E559&lt;&gt;"",$E559&lt;=U$2,$F559&gt;=U$2),1,0)</f>
        <v/>
      </c>
      <c r="V559">
        <f>V558+IF(AND($E559&lt;&gt;"",$E559&lt;=V$2,$F559&gt;=V$2),1,0)</f>
        <v/>
      </c>
      <c r="W559">
        <f>W558+IF(AND($E559&lt;&gt;"",$E559&lt;=W$2,$F559&gt;=W$2),1,0)</f>
        <v/>
      </c>
      <c r="X559">
        <f>X558+IF(AND($E559&lt;&gt;"",$E559&lt;=X$2,$F559&gt;=X$2),1,0)</f>
        <v/>
      </c>
      <c r="Y559">
        <f>Y558+IF(AND($E559&lt;&gt;"",$E559&lt;=Y$2,$F559&gt;=Y$2),1,0)</f>
        <v/>
      </c>
      <c r="Z559">
        <f>Z558+IF(AND($E559&lt;&gt;"",$E559&lt;=Z$2,$F559&gt;=Z$2),1,0)</f>
        <v/>
      </c>
      <c r="AA559">
        <f>AA558+IF(AND($E559&lt;&gt;"",$E559&lt;=AA$2,$F559&gt;=AA$2),1,0)</f>
        <v/>
      </c>
      <c r="AB559">
        <f>AB558+IF(AND($E559&lt;&gt;"",$E559&lt;=AB$2,$F559&gt;=AB$2),1,0)</f>
        <v/>
      </c>
      <c r="AC559">
        <f>AC558+IF(AND($E559&lt;&gt;"",$E559&lt;=AC$2,$F559&gt;=AC$2),1,0)</f>
        <v/>
      </c>
      <c r="AD559">
        <f>AD558+IF(AND($E559&lt;&gt;"",$E559&lt;=AD$2,$F559&gt;=AD$2),1,0)</f>
        <v/>
      </c>
      <c r="AE559">
        <f>AE558+IF(AND($E559&lt;&gt;"",$E559&lt;=AE$2,$F559&gt;=AE$2),1,0)</f>
        <v/>
      </c>
      <c r="AF559">
        <f>AF558+IF(AND($E559&lt;&gt;"",$E559&lt;=AF$2,$F559&gt;=AF$2),1,0)</f>
        <v/>
      </c>
      <c r="AG559">
        <f>AG558+IF(AND($E559&lt;&gt;"",$E559&lt;=AG$2,$F559&gt;=AG$2),1,0)</f>
        <v/>
      </c>
      <c r="AH559">
        <f>AH558+IF(AND($E559&lt;&gt;"",$E559&lt;=AH$2,$F559&gt;=AH$2),1,0)</f>
        <v/>
      </c>
      <c r="AI559">
        <f>AI558+IF(AND($E559&lt;&gt;"",$E559&lt;=AI$2,$F559&gt;=AI$2),1,0)</f>
        <v/>
      </c>
      <c r="AJ559">
        <f>AJ558+IF(AND($E559&lt;&gt;"",$E559&lt;=AJ$2,$F559&gt;=AJ$2),1,0)</f>
        <v/>
      </c>
      <c r="AK559">
        <f>AK558+IF(AND($E559&lt;&gt;"",$E559&lt;=AK$2,$F559&gt;=AK$2),1,0)</f>
        <v/>
      </c>
      <c r="AL559">
        <f>AL558+IF(AND($E559&lt;&gt;"",$E559&lt;=AL$2,$F559&gt;=AL$2),1,0)</f>
        <v/>
      </c>
      <c r="AM559">
        <f>AM558+IF(AND($E559&lt;&gt;"",$E559&lt;=AM$2,$F559&gt;=AM$2),1,0)</f>
        <v/>
      </c>
      <c r="AN559">
        <f>AN558+IF(AND($E559&lt;&gt;"",$E559&lt;=AN$2,$F559&gt;=AN$2),1,0)</f>
        <v/>
      </c>
      <c r="AO559">
        <f>AO558+IF(AND($E559&lt;&gt;"",$E559&lt;=AO$2,$F559&gt;=AO$2),1,0)</f>
        <v/>
      </c>
      <c r="AP559">
        <f>AP558+IF(AND($E559&lt;&gt;"",$E559&lt;=AP$2,$F559&gt;=AP$2),1,0)</f>
        <v/>
      </c>
      <c r="AQ559">
        <f>AQ558+IF(AND($E559&lt;&gt;"",$E559&lt;=AQ$2,$F559&gt;=AQ$2),1,0)</f>
        <v/>
      </c>
      <c r="AR559">
        <f>AR558+IF(AND($E559&lt;&gt;"",$E559&lt;=AR$2,$F559&gt;=AR$2),1,0)</f>
        <v/>
      </c>
      <c r="AS559">
        <f>AS558+IF(AND($E559&lt;&gt;"",$E559&lt;=AS$2,$F559&gt;=AS$2),1,0)</f>
        <v/>
      </c>
      <c r="AT559">
        <f>AT558+IF(AND($E559&lt;&gt;"",$E559&lt;=AT$2,$F559&gt;=AT$2),1,0)</f>
        <v/>
      </c>
      <c r="AU559">
        <f>AU558+IF(AND($E559&lt;&gt;"",$E559&lt;=AU$2,$F559&gt;=AU$2),1,0)</f>
        <v/>
      </c>
      <c r="AV559">
        <f>AV558+IF(AND($E559&lt;&gt;"",$E559&lt;=AV$2,$F559&gt;=AV$2),1,0)</f>
        <v/>
      </c>
      <c r="AW559">
        <f>AW558+IF(AND($E559&lt;&gt;"",$E559&lt;=AW$2,$F559&gt;=AW$2),1,0)</f>
        <v/>
      </c>
    </row>
    <row r="560">
      <c r="A560">
        <f>IF(AND(ISNUMBER(Events!$A562),ISNUMBER(Events!$B562)),MAX(0,Events!$B562-Events!$A562),0)</f>
        <v/>
      </c>
      <c r="B560">
        <f>IF(ISNUMBER(Events!$A562),DATE(YEAR($B$1)-1,MONTH(Events!$A562),DAY(Events!$A562)),"")</f>
        <v/>
      </c>
      <c r="C560">
        <f>IF(ISNUMBER(Events!$A562),DATE(YEAR($B$1),MONTH(Events!$A562),DAY(Events!$A562)),"")</f>
        <v/>
      </c>
      <c r="D560">
        <f>IF(ISNUMBER(Events!$A562),DATE(YEAR($B$2),MONTH(Events!$A562),DAY(Events!$A562)),"")</f>
        <v/>
      </c>
      <c r="E560">
        <f>IF(OR(NOT(ISNUMBER(Events!$A562)),Events!$G562="No",Calendar!$H$4="None"),"",IF(OR(Calendar!$H$4="All events",Events!$D562=Calendar!$H$4),IF(Events!$E562="Yes",IF(AND(B560&gt;=Events!$A562,B560&lt;=$B$2,B560+$A560&gt;=$B$1),B560,IF(AND(C560&gt;=Events!$A562,C560&lt;=$B$2,C560+$A560&gt;=$B$1),C560,IF(AND(D560&gt;=Events!$A562,D560&lt;=$B$2,D560+$A560&gt;=$B$1),D560,""))),IF(AND(Events!$A562&lt;=$B$2,Events!$A562+$A560&gt;=$B$1),Events!$A562,"")),""))</f>
        <v/>
      </c>
      <c r="F560">
        <f>IF(E560="","",E560+A560)</f>
        <v/>
      </c>
      <c r="G560">
        <f>IF(E560="","",IF(AND(E560&lt;=EOMONTH(Calendar!$K$2,0),F560&gt;=Calendar!$K$2),E560+557/100000,""))</f>
        <v/>
      </c>
      <c r="H560">
        <f>H559+IF(AND($E560&lt;&gt;"",$E560&lt;=H$2,$F560&gt;=H$2),1,0)</f>
        <v/>
      </c>
      <c r="I560">
        <f>I559+IF(AND($E560&lt;&gt;"",$E560&lt;=I$2,$F560&gt;=I$2),1,0)</f>
        <v/>
      </c>
      <c r="J560">
        <f>J559+IF(AND($E560&lt;&gt;"",$E560&lt;=J$2,$F560&gt;=J$2),1,0)</f>
        <v/>
      </c>
      <c r="K560">
        <f>K559+IF(AND($E560&lt;&gt;"",$E560&lt;=K$2,$F560&gt;=K$2),1,0)</f>
        <v/>
      </c>
      <c r="L560">
        <f>L559+IF(AND($E560&lt;&gt;"",$E560&lt;=L$2,$F560&gt;=L$2),1,0)</f>
        <v/>
      </c>
      <c r="M560">
        <f>M559+IF(AND($E560&lt;&gt;"",$E560&lt;=M$2,$F560&gt;=M$2),1,0)</f>
        <v/>
      </c>
      <c r="N560">
        <f>N559+IF(AND($E560&lt;&gt;"",$E560&lt;=N$2,$F560&gt;=N$2),1,0)</f>
        <v/>
      </c>
      <c r="O560">
        <f>O559+IF(AND($E560&lt;&gt;"",$E560&lt;=O$2,$F560&gt;=O$2),1,0)</f>
        <v/>
      </c>
      <c r="P560">
        <f>P559+IF(AND($E560&lt;&gt;"",$E560&lt;=P$2,$F560&gt;=P$2),1,0)</f>
        <v/>
      </c>
      <c r="Q560">
        <f>Q559+IF(AND($E560&lt;&gt;"",$E560&lt;=Q$2,$F560&gt;=Q$2),1,0)</f>
        <v/>
      </c>
      <c r="R560">
        <f>R559+IF(AND($E560&lt;&gt;"",$E560&lt;=R$2,$F560&gt;=R$2),1,0)</f>
        <v/>
      </c>
      <c r="S560">
        <f>S559+IF(AND($E560&lt;&gt;"",$E560&lt;=S$2,$F560&gt;=S$2),1,0)</f>
        <v/>
      </c>
      <c r="T560">
        <f>T559+IF(AND($E560&lt;&gt;"",$E560&lt;=T$2,$F560&gt;=T$2),1,0)</f>
        <v/>
      </c>
      <c r="U560">
        <f>U559+IF(AND($E560&lt;&gt;"",$E560&lt;=U$2,$F560&gt;=U$2),1,0)</f>
        <v/>
      </c>
      <c r="V560">
        <f>V559+IF(AND($E560&lt;&gt;"",$E560&lt;=V$2,$F560&gt;=V$2),1,0)</f>
        <v/>
      </c>
      <c r="W560">
        <f>W559+IF(AND($E560&lt;&gt;"",$E560&lt;=W$2,$F560&gt;=W$2),1,0)</f>
        <v/>
      </c>
      <c r="X560">
        <f>X559+IF(AND($E560&lt;&gt;"",$E560&lt;=X$2,$F560&gt;=X$2),1,0)</f>
        <v/>
      </c>
      <c r="Y560">
        <f>Y559+IF(AND($E560&lt;&gt;"",$E560&lt;=Y$2,$F560&gt;=Y$2),1,0)</f>
        <v/>
      </c>
      <c r="Z560">
        <f>Z559+IF(AND($E560&lt;&gt;"",$E560&lt;=Z$2,$F560&gt;=Z$2),1,0)</f>
        <v/>
      </c>
      <c r="AA560">
        <f>AA559+IF(AND($E560&lt;&gt;"",$E560&lt;=AA$2,$F560&gt;=AA$2),1,0)</f>
        <v/>
      </c>
      <c r="AB560">
        <f>AB559+IF(AND($E560&lt;&gt;"",$E560&lt;=AB$2,$F560&gt;=AB$2),1,0)</f>
        <v/>
      </c>
      <c r="AC560">
        <f>AC559+IF(AND($E560&lt;&gt;"",$E560&lt;=AC$2,$F560&gt;=AC$2),1,0)</f>
        <v/>
      </c>
      <c r="AD560">
        <f>AD559+IF(AND($E560&lt;&gt;"",$E560&lt;=AD$2,$F560&gt;=AD$2),1,0)</f>
        <v/>
      </c>
      <c r="AE560">
        <f>AE559+IF(AND($E560&lt;&gt;"",$E560&lt;=AE$2,$F560&gt;=AE$2),1,0)</f>
        <v/>
      </c>
      <c r="AF560">
        <f>AF559+IF(AND($E560&lt;&gt;"",$E560&lt;=AF$2,$F560&gt;=AF$2),1,0)</f>
        <v/>
      </c>
      <c r="AG560">
        <f>AG559+IF(AND($E560&lt;&gt;"",$E560&lt;=AG$2,$F560&gt;=AG$2),1,0)</f>
        <v/>
      </c>
      <c r="AH560">
        <f>AH559+IF(AND($E560&lt;&gt;"",$E560&lt;=AH$2,$F560&gt;=AH$2),1,0)</f>
        <v/>
      </c>
      <c r="AI560">
        <f>AI559+IF(AND($E560&lt;&gt;"",$E560&lt;=AI$2,$F560&gt;=AI$2),1,0)</f>
        <v/>
      </c>
      <c r="AJ560">
        <f>AJ559+IF(AND($E560&lt;&gt;"",$E560&lt;=AJ$2,$F560&gt;=AJ$2),1,0)</f>
        <v/>
      </c>
      <c r="AK560">
        <f>AK559+IF(AND($E560&lt;&gt;"",$E560&lt;=AK$2,$F560&gt;=AK$2),1,0)</f>
        <v/>
      </c>
      <c r="AL560">
        <f>AL559+IF(AND($E560&lt;&gt;"",$E560&lt;=AL$2,$F560&gt;=AL$2),1,0)</f>
        <v/>
      </c>
      <c r="AM560">
        <f>AM559+IF(AND($E560&lt;&gt;"",$E560&lt;=AM$2,$F560&gt;=AM$2),1,0)</f>
        <v/>
      </c>
      <c r="AN560">
        <f>AN559+IF(AND($E560&lt;&gt;"",$E560&lt;=AN$2,$F560&gt;=AN$2),1,0)</f>
        <v/>
      </c>
      <c r="AO560">
        <f>AO559+IF(AND($E560&lt;&gt;"",$E560&lt;=AO$2,$F560&gt;=AO$2),1,0)</f>
        <v/>
      </c>
      <c r="AP560">
        <f>AP559+IF(AND($E560&lt;&gt;"",$E560&lt;=AP$2,$F560&gt;=AP$2),1,0)</f>
        <v/>
      </c>
      <c r="AQ560">
        <f>AQ559+IF(AND($E560&lt;&gt;"",$E560&lt;=AQ$2,$F560&gt;=AQ$2),1,0)</f>
        <v/>
      </c>
      <c r="AR560">
        <f>AR559+IF(AND($E560&lt;&gt;"",$E560&lt;=AR$2,$F560&gt;=AR$2),1,0)</f>
        <v/>
      </c>
      <c r="AS560">
        <f>AS559+IF(AND($E560&lt;&gt;"",$E560&lt;=AS$2,$F560&gt;=AS$2),1,0)</f>
        <v/>
      </c>
      <c r="AT560">
        <f>AT559+IF(AND($E560&lt;&gt;"",$E560&lt;=AT$2,$F560&gt;=AT$2),1,0)</f>
        <v/>
      </c>
      <c r="AU560">
        <f>AU559+IF(AND($E560&lt;&gt;"",$E560&lt;=AU$2,$F560&gt;=AU$2),1,0)</f>
        <v/>
      </c>
      <c r="AV560">
        <f>AV559+IF(AND($E560&lt;&gt;"",$E560&lt;=AV$2,$F560&gt;=AV$2),1,0)</f>
        <v/>
      </c>
      <c r="AW560">
        <f>AW559+IF(AND($E560&lt;&gt;"",$E560&lt;=AW$2,$F560&gt;=AW$2),1,0)</f>
        <v/>
      </c>
    </row>
    <row r="561">
      <c r="A561">
        <f>IF(AND(ISNUMBER(Events!$A563),ISNUMBER(Events!$B563)),MAX(0,Events!$B563-Events!$A563),0)</f>
        <v/>
      </c>
      <c r="B561">
        <f>IF(ISNUMBER(Events!$A563),DATE(YEAR($B$1)-1,MONTH(Events!$A563),DAY(Events!$A563)),"")</f>
        <v/>
      </c>
      <c r="C561">
        <f>IF(ISNUMBER(Events!$A563),DATE(YEAR($B$1),MONTH(Events!$A563),DAY(Events!$A563)),"")</f>
        <v/>
      </c>
      <c r="D561">
        <f>IF(ISNUMBER(Events!$A563),DATE(YEAR($B$2),MONTH(Events!$A563),DAY(Events!$A563)),"")</f>
        <v/>
      </c>
      <c r="E561">
        <f>IF(OR(NOT(ISNUMBER(Events!$A563)),Events!$G563="No",Calendar!$H$4="None"),"",IF(OR(Calendar!$H$4="All events",Events!$D563=Calendar!$H$4),IF(Events!$E563="Yes",IF(AND(B561&gt;=Events!$A563,B561&lt;=$B$2,B561+$A561&gt;=$B$1),B561,IF(AND(C561&gt;=Events!$A563,C561&lt;=$B$2,C561+$A561&gt;=$B$1),C561,IF(AND(D561&gt;=Events!$A563,D561&lt;=$B$2,D561+$A561&gt;=$B$1),D561,""))),IF(AND(Events!$A563&lt;=$B$2,Events!$A563+$A561&gt;=$B$1),Events!$A563,"")),""))</f>
        <v/>
      </c>
      <c r="F561">
        <f>IF(E561="","",E561+A561)</f>
        <v/>
      </c>
      <c r="G561">
        <f>IF(E561="","",IF(AND(E561&lt;=EOMONTH(Calendar!$K$2,0),F561&gt;=Calendar!$K$2),E561+558/100000,""))</f>
        <v/>
      </c>
      <c r="H561">
        <f>H560+IF(AND($E561&lt;&gt;"",$E561&lt;=H$2,$F561&gt;=H$2),1,0)</f>
        <v/>
      </c>
      <c r="I561">
        <f>I560+IF(AND($E561&lt;&gt;"",$E561&lt;=I$2,$F561&gt;=I$2),1,0)</f>
        <v/>
      </c>
      <c r="J561">
        <f>J560+IF(AND($E561&lt;&gt;"",$E561&lt;=J$2,$F561&gt;=J$2),1,0)</f>
        <v/>
      </c>
      <c r="K561">
        <f>K560+IF(AND($E561&lt;&gt;"",$E561&lt;=K$2,$F561&gt;=K$2),1,0)</f>
        <v/>
      </c>
      <c r="L561">
        <f>L560+IF(AND($E561&lt;&gt;"",$E561&lt;=L$2,$F561&gt;=L$2),1,0)</f>
        <v/>
      </c>
      <c r="M561">
        <f>M560+IF(AND($E561&lt;&gt;"",$E561&lt;=M$2,$F561&gt;=M$2),1,0)</f>
        <v/>
      </c>
      <c r="N561">
        <f>N560+IF(AND($E561&lt;&gt;"",$E561&lt;=N$2,$F561&gt;=N$2),1,0)</f>
        <v/>
      </c>
      <c r="O561">
        <f>O560+IF(AND($E561&lt;&gt;"",$E561&lt;=O$2,$F561&gt;=O$2),1,0)</f>
        <v/>
      </c>
      <c r="P561">
        <f>P560+IF(AND($E561&lt;&gt;"",$E561&lt;=P$2,$F561&gt;=P$2),1,0)</f>
        <v/>
      </c>
      <c r="Q561">
        <f>Q560+IF(AND($E561&lt;&gt;"",$E561&lt;=Q$2,$F561&gt;=Q$2),1,0)</f>
        <v/>
      </c>
      <c r="R561">
        <f>R560+IF(AND($E561&lt;&gt;"",$E561&lt;=R$2,$F561&gt;=R$2),1,0)</f>
        <v/>
      </c>
      <c r="S561">
        <f>S560+IF(AND($E561&lt;&gt;"",$E561&lt;=S$2,$F561&gt;=S$2),1,0)</f>
        <v/>
      </c>
      <c r="T561">
        <f>T560+IF(AND($E561&lt;&gt;"",$E561&lt;=T$2,$F561&gt;=T$2),1,0)</f>
        <v/>
      </c>
      <c r="U561">
        <f>U560+IF(AND($E561&lt;&gt;"",$E561&lt;=U$2,$F561&gt;=U$2),1,0)</f>
        <v/>
      </c>
      <c r="V561">
        <f>V560+IF(AND($E561&lt;&gt;"",$E561&lt;=V$2,$F561&gt;=V$2),1,0)</f>
        <v/>
      </c>
      <c r="W561">
        <f>W560+IF(AND($E561&lt;&gt;"",$E561&lt;=W$2,$F561&gt;=W$2),1,0)</f>
        <v/>
      </c>
      <c r="X561">
        <f>X560+IF(AND($E561&lt;&gt;"",$E561&lt;=X$2,$F561&gt;=X$2),1,0)</f>
        <v/>
      </c>
      <c r="Y561">
        <f>Y560+IF(AND($E561&lt;&gt;"",$E561&lt;=Y$2,$F561&gt;=Y$2),1,0)</f>
        <v/>
      </c>
      <c r="Z561">
        <f>Z560+IF(AND($E561&lt;&gt;"",$E561&lt;=Z$2,$F561&gt;=Z$2),1,0)</f>
        <v/>
      </c>
      <c r="AA561">
        <f>AA560+IF(AND($E561&lt;&gt;"",$E561&lt;=AA$2,$F561&gt;=AA$2),1,0)</f>
        <v/>
      </c>
      <c r="AB561">
        <f>AB560+IF(AND($E561&lt;&gt;"",$E561&lt;=AB$2,$F561&gt;=AB$2),1,0)</f>
        <v/>
      </c>
      <c r="AC561">
        <f>AC560+IF(AND($E561&lt;&gt;"",$E561&lt;=AC$2,$F561&gt;=AC$2),1,0)</f>
        <v/>
      </c>
      <c r="AD561">
        <f>AD560+IF(AND($E561&lt;&gt;"",$E561&lt;=AD$2,$F561&gt;=AD$2),1,0)</f>
        <v/>
      </c>
      <c r="AE561">
        <f>AE560+IF(AND($E561&lt;&gt;"",$E561&lt;=AE$2,$F561&gt;=AE$2),1,0)</f>
        <v/>
      </c>
      <c r="AF561">
        <f>AF560+IF(AND($E561&lt;&gt;"",$E561&lt;=AF$2,$F561&gt;=AF$2),1,0)</f>
        <v/>
      </c>
      <c r="AG561">
        <f>AG560+IF(AND($E561&lt;&gt;"",$E561&lt;=AG$2,$F561&gt;=AG$2),1,0)</f>
        <v/>
      </c>
      <c r="AH561">
        <f>AH560+IF(AND($E561&lt;&gt;"",$E561&lt;=AH$2,$F561&gt;=AH$2),1,0)</f>
        <v/>
      </c>
      <c r="AI561">
        <f>AI560+IF(AND($E561&lt;&gt;"",$E561&lt;=AI$2,$F561&gt;=AI$2),1,0)</f>
        <v/>
      </c>
      <c r="AJ561">
        <f>AJ560+IF(AND($E561&lt;&gt;"",$E561&lt;=AJ$2,$F561&gt;=AJ$2),1,0)</f>
        <v/>
      </c>
      <c r="AK561">
        <f>AK560+IF(AND($E561&lt;&gt;"",$E561&lt;=AK$2,$F561&gt;=AK$2),1,0)</f>
        <v/>
      </c>
      <c r="AL561">
        <f>AL560+IF(AND($E561&lt;&gt;"",$E561&lt;=AL$2,$F561&gt;=AL$2),1,0)</f>
        <v/>
      </c>
      <c r="AM561">
        <f>AM560+IF(AND($E561&lt;&gt;"",$E561&lt;=AM$2,$F561&gt;=AM$2),1,0)</f>
        <v/>
      </c>
      <c r="AN561">
        <f>AN560+IF(AND($E561&lt;&gt;"",$E561&lt;=AN$2,$F561&gt;=AN$2),1,0)</f>
        <v/>
      </c>
      <c r="AO561">
        <f>AO560+IF(AND($E561&lt;&gt;"",$E561&lt;=AO$2,$F561&gt;=AO$2),1,0)</f>
        <v/>
      </c>
      <c r="AP561">
        <f>AP560+IF(AND($E561&lt;&gt;"",$E561&lt;=AP$2,$F561&gt;=AP$2),1,0)</f>
        <v/>
      </c>
      <c r="AQ561">
        <f>AQ560+IF(AND($E561&lt;&gt;"",$E561&lt;=AQ$2,$F561&gt;=AQ$2),1,0)</f>
        <v/>
      </c>
      <c r="AR561">
        <f>AR560+IF(AND($E561&lt;&gt;"",$E561&lt;=AR$2,$F561&gt;=AR$2),1,0)</f>
        <v/>
      </c>
      <c r="AS561">
        <f>AS560+IF(AND($E561&lt;&gt;"",$E561&lt;=AS$2,$F561&gt;=AS$2),1,0)</f>
        <v/>
      </c>
      <c r="AT561">
        <f>AT560+IF(AND($E561&lt;&gt;"",$E561&lt;=AT$2,$F561&gt;=AT$2),1,0)</f>
        <v/>
      </c>
      <c r="AU561">
        <f>AU560+IF(AND($E561&lt;&gt;"",$E561&lt;=AU$2,$F561&gt;=AU$2),1,0)</f>
        <v/>
      </c>
      <c r="AV561">
        <f>AV560+IF(AND($E561&lt;&gt;"",$E561&lt;=AV$2,$F561&gt;=AV$2),1,0)</f>
        <v/>
      </c>
      <c r="AW561">
        <f>AW560+IF(AND($E561&lt;&gt;"",$E561&lt;=AW$2,$F561&gt;=AW$2),1,0)</f>
        <v/>
      </c>
    </row>
    <row r="562">
      <c r="A562">
        <f>IF(AND(ISNUMBER(Events!$A564),ISNUMBER(Events!$B564)),MAX(0,Events!$B564-Events!$A564),0)</f>
        <v/>
      </c>
      <c r="B562">
        <f>IF(ISNUMBER(Events!$A564),DATE(YEAR($B$1)-1,MONTH(Events!$A564),DAY(Events!$A564)),"")</f>
        <v/>
      </c>
      <c r="C562">
        <f>IF(ISNUMBER(Events!$A564),DATE(YEAR($B$1),MONTH(Events!$A564),DAY(Events!$A564)),"")</f>
        <v/>
      </c>
      <c r="D562">
        <f>IF(ISNUMBER(Events!$A564),DATE(YEAR($B$2),MONTH(Events!$A564),DAY(Events!$A564)),"")</f>
        <v/>
      </c>
      <c r="E562">
        <f>IF(OR(NOT(ISNUMBER(Events!$A564)),Events!$G564="No",Calendar!$H$4="None"),"",IF(OR(Calendar!$H$4="All events",Events!$D564=Calendar!$H$4),IF(Events!$E564="Yes",IF(AND(B562&gt;=Events!$A564,B562&lt;=$B$2,B562+$A562&gt;=$B$1),B562,IF(AND(C562&gt;=Events!$A564,C562&lt;=$B$2,C562+$A562&gt;=$B$1),C562,IF(AND(D562&gt;=Events!$A564,D562&lt;=$B$2,D562+$A562&gt;=$B$1),D562,""))),IF(AND(Events!$A564&lt;=$B$2,Events!$A564+$A562&gt;=$B$1),Events!$A564,"")),""))</f>
        <v/>
      </c>
      <c r="F562">
        <f>IF(E562="","",E562+A562)</f>
        <v/>
      </c>
      <c r="G562">
        <f>IF(E562="","",IF(AND(E562&lt;=EOMONTH(Calendar!$K$2,0),F562&gt;=Calendar!$K$2),E562+559/100000,""))</f>
        <v/>
      </c>
      <c r="H562">
        <f>H561+IF(AND($E562&lt;&gt;"",$E562&lt;=H$2,$F562&gt;=H$2),1,0)</f>
        <v/>
      </c>
      <c r="I562">
        <f>I561+IF(AND($E562&lt;&gt;"",$E562&lt;=I$2,$F562&gt;=I$2),1,0)</f>
        <v/>
      </c>
      <c r="J562">
        <f>J561+IF(AND($E562&lt;&gt;"",$E562&lt;=J$2,$F562&gt;=J$2),1,0)</f>
        <v/>
      </c>
      <c r="K562">
        <f>K561+IF(AND($E562&lt;&gt;"",$E562&lt;=K$2,$F562&gt;=K$2),1,0)</f>
        <v/>
      </c>
      <c r="L562">
        <f>L561+IF(AND($E562&lt;&gt;"",$E562&lt;=L$2,$F562&gt;=L$2),1,0)</f>
        <v/>
      </c>
      <c r="M562">
        <f>M561+IF(AND($E562&lt;&gt;"",$E562&lt;=M$2,$F562&gt;=M$2),1,0)</f>
        <v/>
      </c>
      <c r="N562">
        <f>N561+IF(AND($E562&lt;&gt;"",$E562&lt;=N$2,$F562&gt;=N$2),1,0)</f>
        <v/>
      </c>
      <c r="O562">
        <f>O561+IF(AND($E562&lt;&gt;"",$E562&lt;=O$2,$F562&gt;=O$2),1,0)</f>
        <v/>
      </c>
      <c r="P562">
        <f>P561+IF(AND($E562&lt;&gt;"",$E562&lt;=P$2,$F562&gt;=P$2),1,0)</f>
        <v/>
      </c>
      <c r="Q562">
        <f>Q561+IF(AND($E562&lt;&gt;"",$E562&lt;=Q$2,$F562&gt;=Q$2),1,0)</f>
        <v/>
      </c>
      <c r="R562">
        <f>R561+IF(AND($E562&lt;&gt;"",$E562&lt;=R$2,$F562&gt;=R$2),1,0)</f>
        <v/>
      </c>
      <c r="S562">
        <f>S561+IF(AND($E562&lt;&gt;"",$E562&lt;=S$2,$F562&gt;=S$2),1,0)</f>
        <v/>
      </c>
      <c r="T562">
        <f>T561+IF(AND($E562&lt;&gt;"",$E562&lt;=T$2,$F562&gt;=T$2),1,0)</f>
        <v/>
      </c>
      <c r="U562">
        <f>U561+IF(AND($E562&lt;&gt;"",$E562&lt;=U$2,$F562&gt;=U$2),1,0)</f>
        <v/>
      </c>
      <c r="V562">
        <f>V561+IF(AND($E562&lt;&gt;"",$E562&lt;=V$2,$F562&gt;=V$2),1,0)</f>
        <v/>
      </c>
      <c r="W562">
        <f>W561+IF(AND($E562&lt;&gt;"",$E562&lt;=W$2,$F562&gt;=W$2),1,0)</f>
        <v/>
      </c>
      <c r="X562">
        <f>X561+IF(AND($E562&lt;&gt;"",$E562&lt;=X$2,$F562&gt;=X$2),1,0)</f>
        <v/>
      </c>
      <c r="Y562">
        <f>Y561+IF(AND($E562&lt;&gt;"",$E562&lt;=Y$2,$F562&gt;=Y$2),1,0)</f>
        <v/>
      </c>
      <c r="Z562">
        <f>Z561+IF(AND($E562&lt;&gt;"",$E562&lt;=Z$2,$F562&gt;=Z$2),1,0)</f>
        <v/>
      </c>
      <c r="AA562">
        <f>AA561+IF(AND($E562&lt;&gt;"",$E562&lt;=AA$2,$F562&gt;=AA$2),1,0)</f>
        <v/>
      </c>
      <c r="AB562">
        <f>AB561+IF(AND($E562&lt;&gt;"",$E562&lt;=AB$2,$F562&gt;=AB$2),1,0)</f>
        <v/>
      </c>
      <c r="AC562">
        <f>AC561+IF(AND($E562&lt;&gt;"",$E562&lt;=AC$2,$F562&gt;=AC$2),1,0)</f>
        <v/>
      </c>
      <c r="AD562">
        <f>AD561+IF(AND($E562&lt;&gt;"",$E562&lt;=AD$2,$F562&gt;=AD$2),1,0)</f>
        <v/>
      </c>
      <c r="AE562">
        <f>AE561+IF(AND($E562&lt;&gt;"",$E562&lt;=AE$2,$F562&gt;=AE$2),1,0)</f>
        <v/>
      </c>
      <c r="AF562">
        <f>AF561+IF(AND($E562&lt;&gt;"",$E562&lt;=AF$2,$F562&gt;=AF$2),1,0)</f>
        <v/>
      </c>
      <c r="AG562">
        <f>AG561+IF(AND($E562&lt;&gt;"",$E562&lt;=AG$2,$F562&gt;=AG$2),1,0)</f>
        <v/>
      </c>
      <c r="AH562">
        <f>AH561+IF(AND($E562&lt;&gt;"",$E562&lt;=AH$2,$F562&gt;=AH$2),1,0)</f>
        <v/>
      </c>
      <c r="AI562">
        <f>AI561+IF(AND($E562&lt;&gt;"",$E562&lt;=AI$2,$F562&gt;=AI$2),1,0)</f>
        <v/>
      </c>
      <c r="AJ562">
        <f>AJ561+IF(AND($E562&lt;&gt;"",$E562&lt;=AJ$2,$F562&gt;=AJ$2),1,0)</f>
        <v/>
      </c>
      <c r="AK562">
        <f>AK561+IF(AND($E562&lt;&gt;"",$E562&lt;=AK$2,$F562&gt;=AK$2),1,0)</f>
        <v/>
      </c>
      <c r="AL562">
        <f>AL561+IF(AND($E562&lt;&gt;"",$E562&lt;=AL$2,$F562&gt;=AL$2),1,0)</f>
        <v/>
      </c>
      <c r="AM562">
        <f>AM561+IF(AND($E562&lt;&gt;"",$E562&lt;=AM$2,$F562&gt;=AM$2),1,0)</f>
        <v/>
      </c>
      <c r="AN562">
        <f>AN561+IF(AND($E562&lt;&gt;"",$E562&lt;=AN$2,$F562&gt;=AN$2),1,0)</f>
        <v/>
      </c>
      <c r="AO562">
        <f>AO561+IF(AND($E562&lt;&gt;"",$E562&lt;=AO$2,$F562&gt;=AO$2),1,0)</f>
        <v/>
      </c>
      <c r="AP562">
        <f>AP561+IF(AND($E562&lt;&gt;"",$E562&lt;=AP$2,$F562&gt;=AP$2),1,0)</f>
        <v/>
      </c>
      <c r="AQ562">
        <f>AQ561+IF(AND($E562&lt;&gt;"",$E562&lt;=AQ$2,$F562&gt;=AQ$2),1,0)</f>
        <v/>
      </c>
      <c r="AR562">
        <f>AR561+IF(AND($E562&lt;&gt;"",$E562&lt;=AR$2,$F562&gt;=AR$2),1,0)</f>
        <v/>
      </c>
      <c r="AS562">
        <f>AS561+IF(AND($E562&lt;&gt;"",$E562&lt;=AS$2,$F562&gt;=AS$2),1,0)</f>
        <v/>
      </c>
      <c r="AT562">
        <f>AT561+IF(AND($E562&lt;&gt;"",$E562&lt;=AT$2,$F562&gt;=AT$2),1,0)</f>
        <v/>
      </c>
      <c r="AU562">
        <f>AU561+IF(AND($E562&lt;&gt;"",$E562&lt;=AU$2,$F562&gt;=AU$2),1,0)</f>
        <v/>
      </c>
      <c r="AV562">
        <f>AV561+IF(AND($E562&lt;&gt;"",$E562&lt;=AV$2,$F562&gt;=AV$2),1,0)</f>
        <v/>
      </c>
      <c r="AW562">
        <f>AW561+IF(AND($E562&lt;&gt;"",$E562&lt;=AW$2,$F562&gt;=AW$2),1,0)</f>
        <v/>
      </c>
    </row>
    <row r="563">
      <c r="A563">
        <f>IF(AND(ISNUMBER(Events!$A565),ISNUMBER(Events!$B565)),MAX(0,Events!$B565-Events!$A565),0)</f>
        <v/>
      </c>
      <c r="B563">
        <f>IF(ISNUMBER(Events!$A565),DATE(YEAR($B$1)-1,MONTH(Events!$A565),DAY(Events!$A565)),"")</f>
        <v/>
      </c>
      <c r="C563">
        <f>IF(ISNUMBER(Events!$A565),DATE(YEAR($B$1),MONTH(Events!$A565),DAY(Events!$A565)),"")</f>
        <v/>
      </c>
      <c r="D563">
        <f>IF(ISNUMBER(Events!$A565),DATE(YEAR($B$2),MONTH(Events!$A565),DAY(Events!$A565)),"")</f>
        <v/>
      </c>
      <c r="E563">
        <f>IF(OR(NOT(ISNUMBER(Events!$A565)),Events!$G565="No",Calendar!$H$4="None"),"",IF(OR(Calendar!$H$4="All events",Events!$D565=Calendar!$H$4),IF(Events!$E565="Yes",IF(AND(B563&gt;=Events!$A565,B563&lt;=$B$2,B563+$A563&gt;=$B$1),B563,IF(AND(C563&gt;=Events!$A565,C563&lt;=$B$2,C563+$A563&gt;=$B$1),C563,IF(AND(D563&gt;=Events!$A565,D563&lt;=$B$2,D563+$A563&gt;=$B$1),D563,""))),IF(AND(Events!$A565&lt;=$B$2,Events!$A565+$A563&gt;=$B$1),Events!$A565,"")),""))</f>
        <v/>
      </c>
      <c r="F563">
        <f>IF(E563="","",E563+A563)</f>
        <v/>
      </c>
      <c r="G563">
        <f>IF(E563="","",IF(AND(E563&lt;=EOMONTH(Calendar!$K$2,0),F563&gt;=Calendar!$K$2),E563+560/100000,""))</f>
        <v/>
      </c>
      <c r="H563">
        <f>H562+IF(AND($E563&lt;&gt;"",$E563&lt;=H$2,$F563&gt;=H$2),1,0)</f>
        <v/>
      </c>
      <c r="I563">
        <f>I562+IF(AND($E563&lt;&gt;"",$E563&lt;=I$2,$F563&gt;=I$2),1,0)</f>
        <v/>
      </c>
      <c r="J563">
        <f>J562+IF(AND($E563&lt;&gt;"",$E563&lt;=J$2,$F563&gt;=J$2),1,0)</f>
        <v/>
      </c>
      <c r="K563">
        <f>K562+IF(AND($E563&lt;&gt;"",$E563&lt;=K$2,$F563&gt;=K$2),1,0)</f>
        <v/>
      </c>
      <c r="L563">
        <f>L562+IF(AND($E563&lt;&gt;"",$E563&lt;=L$2,$F563&gt;=L$2),1,0)</f>
        <v/>
      </c>
      <c r="M563">
        <f>M562+IF(AND($E563&lt;&gt;"",$E563&lt;=M$2,$F563&gt;=M$2),1,0)</f>
        <v/>
      </c>
      <c r="N563">
        <f>N562+IF(AND($E563&lt;&gt;"",$E563&lt;=N$2,$F563&gt;=N$2),1,0)</f>
        <v/>
      </c>
      <c r="O563">
        <f>O562+IF(AND($E563&lt;&gt;"",$E563&lt;=O$2,$F563&gt;=O$2),1,0)</f>
        <v/>
      </c>
      <c r="P563">
        <f>P562+IF(AND($E563&lt;&gt;"",$E563&lt;=P$2,$F563&gt;=P$2),1,0)</f>
        <v/>
      </c>
      <c r="Q563">
        <f>Q562+IF(AND($E563&lt;&gt;"",$E563&lt;=Q$2,$F563&gt;=Q$2),1,0)</f>
        <v/>
      </c>
      <c r="R563">
        <f>R562+IF(AND($E563&lt;&gt;"",$E563&lt;=R$2,$F563&gt;=R$2),1,0)</f>
        <v/>
      </c>
      <c r="S563">
        <f>S562+IF(AND($E563&lt;&gt;"",$E563&lt;=S$2,$F563&gt;=S$2),1,0)</f>
        <v/>
      </c>
      <c r="T563">
        <f>T562+IF(AND($E563&lt;&gt;"",$E563&lt;=T$2,$F563&gt;=T$2),1,0)</f>
        <v/>
      </c>
      <c r="U563">
        <f>U562+IF(AND($E563&lt;&gt;"",$E563&lt;=U$2,$F563&gt;=U$2),1,0)</f>
        <v/>
      </c>
      <c r="V563">
        <f>V562+IF(AND($E563&lt;&gt;"",$E563&lt;=V$2,$F563&gt;=V$2),1,0)</f>
        <v/>
      </c>
      <c r="W563">
        <f>W562+IF(AND($E563&lt;&gt;"",$E563&lt;=W$2,$F563&gt;=W$2),1,0)</f>
        <v/>
      </c>
      <c r="X563">
        <f>X562+IF(AND($E563&lt;&gt;"",$E563&lt;=X$2,$F563&gt;=X$2),1,0)</f>
        <v/>
      </c>
      <c r="Y563">
        <f>Y562+IF(AND($E563&lt;&gt;"",$E563&lt;=Y$2,$F563&gt;=Y$2),1,0)</f>
        <v/>
      </c>
      <c r="Z563">
        <f>Z562+IF(AND($E563&lt;&gt;"",$E563&lt;=Z$2,$F563&gt;=Z$2),1,0)</f>
        <v/>
      </c>
      <c r="AA563">
        <f>AA562+IF(AND($E563&lt;&gt;"",$E563&lt;=AA$2,$F563&gt;=AA$2),1,0)</f>
        <v/>
      </c>
      <c r="AB563">
        <f>AB562+IF(AND($E563&lt;&gt;"",$E563&lt;=AB$2,$F563&gt;=AB$2),1,0)</f>
        <v/>
      </c>
      <c r="AC563">
        <f>AC562+IF(AND($E563&lt;&gt;"",$E563&lt;=AC$2,$F563&gt;=AC$2),1,0)</f>
        <v/>
      </c>
      <c r="AD563">
        <f>AD562+IF(AND($E563&lt;&gt;"",$E563&lt;=AD$2,$F563&gt;=AD$2),1,0)</f>
        <v/>
      </c>
      <c r="AE563">
        <f>AE562+IF(AND($E563&lt;&gt;"",$E563&lt;=AE$2,$F563&gt;=AE$2),1,0)</f>
        <v/>
      </c>
      <c r="AF563">
        <f>AF562+IF(AND($E563&lt;&gt;"",$E563&lt;=AF$2,$F563&gt;=AF$2),1,0)</f>
        <v/>
      </c>
      <c r="AG563">
        <f>AG562+IF(AND($E563&lt;&gt;"",$E563&lt;=AG$2,$F563&gt;=AG$2),1,0)</f>
        <v/>
      </c>
      <c r="AH563">
        <f>AH562+IF(AND($E563&lt;&gt;"",$E563&lt;=AH$2,$F563&gt;=AH$2),1,0)</f>
        <v/>
      </c>
      <c r="AI563">
        <f>AI562+IF(AND($E563&lt;&gt;"",$E563&lt;=AI$2,$F563&gt;=AI$2),1,0)</f>
        <v/>
      </c>
      <c r="AJ563">
        <f>AJ562+IF(AND($E563&lt;&gt;"",$E563&lt;=AJ$2,$F563&gt;=AJ$2),1,0)</f>
        <v/>
      </c>
      <c r="AK563">
        <f>AK562+IF(AND($E563&lt;&gt;"",$E563&lt;=AK$2,$F563&gt;=AK$2),1,0)</f>
        <v/>
      </c>
      <c r="AL563">
        <f>AL562+IF(AND($E563&lt;&gt;"",$E563&lt;=AL$2,$F563&gt;=AL$2),1,0)</f>
        <v/>
      </c>
      <c r="AM563">
        <f>AM562+IF(AND($E563&lt;&gt;"",$E563&lt;=AM$2,$F563&gt;=AM$2),1,0)</f>
        <v/>
      </c>
      <c r="AN563">
        <f>AN562+IF(AND($E563&lt;&gt;"",$E563&lt;=AN$2,$F563&gt;=AN$2),1,0)</f>
        <v/>
      </c>
      <c r="AO563">
        <f>AO562+IF(AND($E563&lt;&gt;"",$E563&lt;=AO$2,$F563&gt;=AO$2),1,0)</f>
        <v/>
      </c>
      <c r="AP563">
        <f>AP562+IF(AND($E563&lt;&gt;"",$E563&lt;=AP$2,$F563&gt;=AP$2),1,0)</f>
        <v/>
      </c>
      <c r="AQ563">
        <f>AQ562+IF(AND($E563&lt;&gt;"",$E563&lt;=AQ$2,$F563&gt;=AQ$2),1,0)</f>
        <v/>
      </c>
      <c r="AR563">
        <f>AR562+IF(AND($E563&lt;&gt;"",$E563&lt;=AR$2,$F563&gt;=AR$2),1,0)</f>
        <v/>
      </c>
      <c r="AS563">
        <f>AS562+IF(AND($E563&lt;&gt;"",$E563&lt;=AS$2,$F563&gt;=AS$2),1,0)</f>
        <v/>
      </c>
      <c r="AT563">
        <f>AT562+IF(AND($E563&lt;&gt;"",$E563&lt;=AT$2,$F563&gt;=AT$2),1,0)</f>
        <v/>
      </c>
      <c r="AU563">
        <f>AU562+IF(AND($E563&lt;&gt;"",$E563&lt;=AU$2,$F563&gt;=AU$2),1,0)</f>
        <v/>
      </c>
      <c r="AV563">
        <f>AV562+IF(AND($E563&lt;&gt;"",$E563&lt;=AV$2,$F563&gt;=AV$2),1,0)</f>
        <v/>
      </c>
      <c r="AW563">
        <f>AW562+IF(AND($E563&lt;&gt;"",$E563&lt;=AW$2,$F563&gt;=AW$2),1,0)</f>
        <v/>
      </c>
    </row>
    <row r="564">
      <c r="A564">
        <f>IF(AND(ISNUMBER(Events!$A566),ISNUMBER(Events!$B566)),MAX(0,Events!$B566-Events!$A566),0)</f>
        <v/>
      </c>
      <c r="B564">
        <f>IF(ISNUMBER(Events!$A566),DATE(YEAR($B$1)-1,MONTH(Events!$A566),DAY(Events!$A566)),"")</f>
        <v/>
      </c>
      <c r="C564">
        <f>IF(ISNUMBER(Events!$A566),DATE(YEAR($B$1),MONTH(Events!$A566),DAY(Events!$A566)),"")</f>
        <v/>
      </c>
      <c r="D564">
        <f>IF(ISNUMBER(Events!$A566),DATE(YEAR($B$2),MONTH(Events!$A566),DAY(Events!$A566)),"")</f>
        <v/>
      </c>
      <c r="E564">
        <f>IF(OR(NOT(ISNUMBER(Events!$A566)),Events!$G566="No",Calendar!$H$4="None"),"",IF(OR(Calendar!$H$4="All events",Events!$D566=Calendar!$H$4),IF(Events!$E566="Yes",IF(AND(B564&gt;=Events!$A566,B564&lt;=$B$2,B564+$A564&gt;=$B$1),B564,IF(AND(C564&gt;=Events!$A566,C564&lt;=$B$2,C564+$A564&gt;=$B$1),C564,IF(AND(D564&gt;=Events!$A566,D564&lt;=$B$2,D564+$A564&gt;=$B$1),D564,""))),IF(AND(Events!$A566&lt;=$B$2,Events!$A566+$A564&gt;=$B$1),Events!$A566,"")),""))</f>
        <v/>
      </c>
      <c r="F564">
        <f>IF(E564="","",E564+A564)</f>
        <v/>
      </c>
      <c r="G564">
        <f>IF(E564="","",IF(AND(E564&lt;=EOMONTH(Calendar!$K$2,0),F564&gt;=Calendar!$K$2),E564+561/100000,""))</f>
        <v/>
      </c>
      <c r="H564">
        <f>H563+IF(AND($E564&lt;&gt;"",$E564&lt;=H$2,$F564&gt;=H$2),1,0)</f>
        <v/>
      </c>
      <c r="I564">
        <f>I563+IF(AND($E564&lt;&gt;"",$E564&lt;=I$2,$F564&gt;=I$2),1,0)</f>
        <v/>
      </c>
      <c r="J564">
        <f>J563+IF(AND($E564&lt;&gt;"",$E564&lt;=J$2,$F564&gt;=J$2),1,0)</f>
        <v/>
      </c>
      <c r="K564">
        <f>K563+IF(AND($E564&lt;&gt;"",$E564&lt;=K$2,$F564&gt;=K$2),1,0)</f>
        <v/>
      </c>
      <c r="L564">
        <f>L563+IF(AND($E564&lt;&gt;"",$E564&lt;=L$2,$F564&gt;=L$2),1,0)</f>
        <v/>
      </c>
      <c r="M564">
        <f>M563+IF(AND($E564&lt;&gt;"",$E564&lt;=M$2,$F564&gt;=M$2),1,0)</f>
        <v/>
      </c>
      <c r="N564">
        <f>N563+IF(AND($E564&lt;&gt;"",$E564&lt;=N$2,$F564&gt;=N$2),1,0)</f>
        <v/>
      </c>
      <c r="O564">
        <f>O563+IF(AND($E564&lt;&gt;"",$E564&lt;=O$2,$F564&gt;=O$2),1,0)</f>
        <v/>
      </c>
      <c r="P564">
        <f>P563+IF(AND($E564&lt;&gt;"",$E564&lt;=P$2,$F564&gt;=P$2),1,0)</f>
        <v/>
      </c>
      <c r="Q564">
        <f>Q563+IF(AND($E564&lt;&gt;"",$E564&lt;=Q$2,$F564&gt;=Q$2),1,0)</f>
        <v/>
      </c>
      <c r="R564">
        <f>R563+IF(AND($E564&lt;&gt;"",$E564&lt;=R$2,$F564&gt;=R$2),1,0)</f>
        <v/>
      </c>
      <c r="S564">
        <f>S563+IF(AND($E564&lt;&gt;"",$E564&lt;=S$2,$F564&gt;=S$2),1,0)</f>
        <v/>
      </c>
      <c r="T564">
        <f>T563+IF(AND($E564&lt;&gt;"",$E564&lt;=T$2,$F564&gt;=T$2),1,0)</f>
        <v/>
      </c>
      <c r="U564">
        <f>U563+IF(AND($E564&lt;&gt;"",$E564&lt;=U$2,$F564&gt;=U$2),1,0)</f>
        <v/>
      </c>
      <c r="V564">
        <f>V563+IF(AND($E564&lt;&gt;"",$E564&lt;=V$2,$F564&gt;=V$2),1,0)</f>
        <v/>
      </c>
      <c r="W564">
        <f>W563+IF(AND($E564&lt;&gt;"",$E564&lt;=W$2,$F564&gt;=W$2),1,0)</f>
        <v/>
      </c>
      <c r="X564">
        <f>X563+IF(AND($E564&lt;&gt;"",$E564&lt;=X$2,$F564&gt;=X$2),1,0)</f>
        <v/>
      </c>
      <c r="Y564">
        <f>Y563+IF(AND($E564&lt;&gt;"",$E564&lt;=Y$2,$F564&gt;=Y$2),1,0)</f>
        <v/>
      </c>
      <c r="Z564">
        <f>Z563+IF(AND($E564&lt;&gt;"",$E564&lt;=Z$2,$F564&gt;=Z$2),1,0)</f>
        <v/>
      </c>
      <c r="AA564">
        <f>AA563+IF(AND($E564&lt;&gt;"",$E564&lt;=AA$2,$F564&gt;=AA$2),1,0)</f>
        <v/>
      </c>
      <c r="AB564">
        <f>AB563+IF(AND($E564&lt;&gt;"",$E564&lt;=AB$2,$F564&gt;=AB$2),1,0)</f>
        <v/>
      </c>
      <c r="AC564">
        <f>AC563+IF(AND($E564&lt;&gt;"",$E564&lt;=AC$2,$F564&gt;=AC$2),1,0)</f>
        <v/>
      </c>
      <c r="AD564">
        <f>AD563+IF(AND($E564&lt;&gt;"",$E564&lt;=AD$2,$F564&gt;=AD$2),1,0)</f>
        <v/>
      </c>
      <c r="AE564">
        <f>AE563+IF(AND($E564&lt;&gt;"",$E564&lt;=AE$2,$F564&gt;=AE$2),1,0)</f>
        <v/>
      </c>
      <c r="AF564">
        <f>AF563+IF(AND($E564&lt;&gt;"",$E564&lt;=AF$2,$F564&gt;=AF$2),1,0)</f>
        <v/>
      </c>
      <c r="AG564">
        <f>AG563+IF(AND($E564&lt;&gt;"",$E564&lt;=AG$2,$F564&gt;=AG$2),1,0)</f>
        <v/>
      </c>
      <c r="AH564">
        <f>AH563+IF(AND($E564&lt;&gt;"",$E564&lt;=AH$2,$F564&gt;=AH$2),1,0)</f>
        <v/>
      </c>
      <c r="AI564">
        <f>AI563+IF(AND($E564&lt;&gt;"",$E564&lt;=AI$2,$F564&gt;=AI$2),1,0)</f>
        <v/>
      </c>
      <c r="AJ564">
        <f>AJ563+IF(AND($E564&lt;&gt;"",$E564&lt;=AJ$2,$F564&gt;=AJ$2),1,0)</f>
        <v/>
      </c>
      <c r="AK564">
        <f>AK563+IF(AND($E564&lt;&gt;"",$E564&lt;=AK$2,$F564&gt;=AK$2),1,0)</f>
        <v/>
      </c>
      <c r="AL564">
        <f>AL563+IF(AND($E564&lt;&gt;"",$E564&lt;=AL$2,$F564&gt;=AL$2),1,0)</f>
        <v/>
      </c>
      <c r="AM564">
        <f>AM563+IF(AND($E564&lt;&gt;"",$E564&lt;=AM$2,$F564&gt;=AM$2),1,0)</f>
        <v/>
      </c>
      <c r="AN564">
        <f>AN563+IF(AND($E564&lt;&gt;"",$E564&lt;=AN$2,$F564&gt;=AN$2),1,0)</f>
        <v/>
      </c>
      <c r="AO564">
        <f>AO563+IF(AND($E564&lt;&gt;"",$E564&lt;=AO$2,$F564&gt;=AO$2),1,0)</f>
        <v/>
      </c>
      <c r="AP564">
        <f>AP563+IF(AND($E564&lt;&gt;"",$E564&lt;=AP$2,$F564&gt;=AP$2),1,0)</f>
        <v/>
      </c>
      <c r="AQ564">
        <f>AQ563+IF(AND($E564&lt;&gt;"",$E564&lt;=AQ$2,$F564&gt;=AQ$2),1,0)</f>
        <v/>
      </c>
      <c r="AR564">
        <f>AR563+IF(AND($E564&lt;&gt;"",$E564&lt;=AR$2,$F564&gt;=AR$2),1,0)</f>
        <v/>
      </c>
      <c r="AS564">
        <f>AS563+IF(AND($E564&lt;&gt;"",$E564&lt;=AS$2,$F564&gt;=AS$2),1,0)</f>
        <v/>
      </c>
      <c r="AT564">
        <f>AT563+IF(AND($E564&lt;&gt;"",$E564&lt;=AT$2,$F564&gt;=AT$2),1,0)</f>
        <v/>
      </c>
      <c r="AU564">
        <f>AU563+IF(AND($E564&lt;&gt;"",$E564&lt;=AU$2,$F564&gt;=AU$2),1,0)</f>
        <v/>
      </c>
      <c r="AV564">
        <f>AV563+IF(AND($E564&lt;&gt;"",$E564&lt;=AV$2,$F564&gt;=AV$2),1,0)</f>
        <v/>
      </c>
      <c r="AW564">
        <f>AW563+IF(AND($E564&lt;&gt;"",$E564&lt;=AW$2,$F564&gt;=AW$2),1,0)</f>
        <v/>
      </c>
    </row>
    <row r="565">
      <c r="A565">
        <f>IF(AND(ISNUMBER(Events!$A567),ISNUMBER(Events!$B567)),MAX(0,Events!$B567-Events!$A567),0)</f>
        <v/>
      </c>
      <c r="B565">
        <f>IF(ISNUMBER(Events!$A567),DATE(YEAR($B$1)-1,MONTH(Events!$A567),DAY(Events!$A567)),"")</f>
        <v/>
      </c>
      <c r="C565">
        <f>IF(ISNUMBER(Events!$A567),DATE(YEAR($B$1),MONTH(Events!$A567),DAY(Events!$A567)),"")</f>
        <v/>
      </c>
      <c r="D565">
        <f>IF(ISNUMBER(Events!$A567),DATE(YEAR($B$2),MONTH(Events!$A567),DAY(Events!$A567)),"")</f>
        <v/>
      </c>
      <c r="E565">
        <f>IF(OR(NOT(ISNUMBER(Events!$A567)),Events!$G567="No",Calendar!$H$4="None"),"",IF(OR(Calendar!$H$4="All events",Events!$D567=Calendar!$H$4),IF(Events!$E567="Yes",IF(AND(B565&gt;=Events!$A567,B565&lt;=$B$2,B565+$A565&gt;=$B$1),B565,IF(AND(C565&gt;=Events!$A567,C565&lt;=$B$2,C565+$A565&gt;=$B$1),C565,IF(AND(D565&gt;=Events!$A567,D565&lt;=$B$2,D565+$A565&gt;=$B$1),D565,""))),IF(AND(Events!$A567&lt;=$B$2,Events!$A567+$A565&gt;=$B$1),Events!$A567,"")),""))</f>
        <v/>
      </c>
      <c r="F565">
        <f>IF(E565="","",E565+A565)</f>
        <v/>
      </c>
      <c r="G565">
        <f>IF(E565="","",IF(AND(E565&lt;=EOMONTH(Calendar!$K$2,0),F565&gt;=Calendar!$K$2),E565+562/100000,""))</f>
        <v/>
      </c>
      <c r="H565">
        <f>H564+IF(AND($E565&lt;&gt;"",$E565&lt;=H$2,$F565&gt;=H$2),1,0)</f>
        <v/>
      </c>
      <c r="I565">
        <f>I564+IF(AND($E565&lt;&gt;"",$E565&lt;=I$2,$F565&gt;=I$2),1,0)</f>
        <v/>
      </c>
      <c r="J565">
        <f>J564+IF(AND($E565&lt;&gt;"",$E565&lt;=J$2,$F565&gt;=J$2),1,0)</f>
        <v/>
      </c>
      <c r="K565">
        <f>K564+IF(AND($E565&lt;&gt;"",$E565&lt;=K$2,$F565&gt;=K$2),1,0)</f>
        <v/>
      </c>
      <c r="L565">
        <f>L564+IF(AND($E565&lt;&gt;"",$E565&lt;=L$2,$F565&gt;=L$2),1,0)</f>
        <v/>
      </c>
      <c r="M565">
        <f>M564+IF(AND($E565&lt;&gt;"",$E565&lt;=M$2,$F565&gt;=M$2),1,0)</f>
        <v/>
      </c>
      <c r="N565">
        <f>N564+IF(AND($E565&lt;&gt;"",$E565&lt;=N$2,$F565&gt;=N$2),1,0)</f>
        <v/>
      </c>
      <c r="O565">
        <f>O564+IF(AND($E565&lt;&gt;"",$E565&lt;=O$2,$F565&gt;=O$2),1,0)</f>
        <v/>
      </c>
      <c r="P565">
        <f>P564+IF(AND($E565&lt;&gt;"",$E565&lt;=P$2,$F565&gt;=P$2),1,0)</f>
        <v/>
      </c>
      <c r="Q565">
        <f>Q564+IF(AND($E565&lt;&gt;"",$E565&lt;=Q$2,$F565&gt;=Q$2),1,0)</f>
        <v/>
      </c>
      <c r="R565">
        <f>R564+IF(AND($E565&lt;&gt;"",$E565&lt;=R$2,$F565&gt;=R$2),1,0)</f>
        <v/>
      </c>
      <c r="S565">
        <f>S564+IF(AND($E565&lt;&gt;"",$E565&lt;=S$2,$F565&gt;=S$2),1,0)</f>
        <v/>
      </c>
      <c r="T565">
        <f>T564+IF(AND($E565&lt;&gt;"",$E565&lt;=T$2,$F565&gt;=T$2),1,0)</f>
        <v/>
      </c>
      <c r="U565">
        <f>U564+IF(AND($E565&lt;&gt;"",$E565&lt;=U$2,$F565&gt;=U$2),1,0)</f>
        <v/>
      </c>
      <c r="V565">
        <f>V564+IF(AND($E565&lt;&gt;"",$E565&lt;=V$2,$F565&gt;=V$2),1,0)</f>
        <v/>
      </c>
      <c r="W565">
        <f>W564+IF(AND($E565&lt;&gt;"",$E565&lt;=W$2,$F565&gt;=W$2),1,0)</f>
        <v/>
      </c>
      <c r="X565">
        <f>X564+IF(AND($E565&lt;&gt;"",$E565&lt;=X$2,$F565&gt;=X$2),1,0)</f>
        <v/>
      </c>
      <c r="Y565">
        <f>Y564+IF(AND($E565&lt;&gt;"",$E565&lt;=Y$2,$F565&gt;=Y$2),1,0)</f>
        <v/>
      </c>
      <c r="Z565">
        <f>Z564+IF(AND($E565&lt;&gt;"",$E565&lt;=Z$2,$F565&gt;=Z$2),1,0)</f>
        <v/>
      </c>
      <c r="AA565">
        <f>AA564+IF(AND($E565&lt;&gt;"",$E565&lt;=AA$2,$F565&gt;=AA$2),1,0)</f>
        <v/>
      </c>
      <c r="AB565">
        <f>AB564+IF(AND($E565&lt;&gt;"",$E565&lt;=AB$2,$F565&gt;=AB$2),1,0)</f>
        <v/>
      </c>
      <c r="AC565">
        <f>AC564+IF(AND($E565&lt;&gt;"",$E565&lt;=AC$2,$F565&gt;=AC$2),1,0)</f>
        <v/>
      </c>
      <c r="AD565">
        <f>AD564+IF(AND($E565&lt;&gt;"",$E565&lt;=AD$2,$F565&gt;=AD$2),1,0)</f>
        <v/>
      </c>
      <c r="AE565">
        <f>AE564+IF(AND($E565&lt;&gt;"",$E565&lt;=AE$2,$F565&gt;=AE$2),1,0)</f>
        <v/>
      </c>
      <c r="AF565">
        <f>AF564+IF(AND($E565&lt;&gt;"",$E565&lt;=AF$2,$F565&gt;=AF$2),1,0)</f>
        <v/>
      </c>
      <c r="AG565">
        <f>AG564+IF(AND($E565&lt;&gt;"",$E565&lt;=AG$2,$F565&gt;=AG$2),1,0)</f>
        <v/>
      </c>
      <c r="AH565">
        <f>AH564+IF(AND($E565&lt;&gt;"",$E565&lt;=AH$2,$F565&gt;=AH$2),1,0)</f>
        <v/>
      </c>
      <c r="AI565">
        <f>AI564+IF(AND($E565&lt;&gt;"",$E565&lt;=AI$2,$F565&gt;=AI$2),1,0)</f>
        <v/>
      </c>
      <c r="AJ565">
        <f>AJ564+IF(AND($E565&lt;&gt;"",$E565&lt;=AJ$2,$F565&gt;=AJ$2),1,0)</f>
        <v/>
      </c>
      <c r="AK565">
        <f>AK564+IF(AND($E565&lt;&gt;"",$E565&lt;=AK$2,$F565&gt;=AK$2),1,0)</f>
        <v/>
      </c>
      <c r="AL565">
        <f>AL564+IF(AND($E565&lt;&gt;"",$E565&lt;=AL$2,$F565&gt;=AL$2),1,0)</f>
        <v/>
      </c>
      <c r="AM565">
        <f>AM564+IF(AND($E565&lt;&gt;"",$E565&lt;=AM$2,$F565&gt;=AM$2),1,0)</f>
        <v/>
      </c>
      <c r="AN565">
        <f>AN564+IF(AND($E565&lt;&gt;"",$E565&lt;=AN$2,$F565&gt;=AN$2),1,0)</f>
        <v/>
      </c>
      <c r="AO565">
        <f>AO564+IF(AND($E565&lt;&gt;"",$E565&lt;=AO$2,$F565&gt;=AO$2),1,0)</f>
        <v/>
      </c>
      <c r="AP565">
        <f>AP564+IF(AND($E565&lt;&gt;"",$E565&lt;=AP$2,$F565&gt;=AP$2),1,0)</f>
        <v/>
      </c>
      <c r="AQ565">
        <f>AQ564+IF(AND($E565&lt;&gt;"",$E565&lt;=AQ$2,$F565&gt;=AQ$2),1,0)</f>
        <v/>
      </c>
      <c r="AR565">
        <f>AR564+IF(AND($E565&lt;&gt;"",$E565&lt;=AR$2,$F565&gt;=AR$2),1,0)</f>
        <v/>
      </c>
      <c r="AS565">
        <f>AS564+IF(AND($E565&lt;&gt;"",$E565&lt;=AS$2,$F565&gt;=AS$2),1,0)</f>
        <v/>
      </c>
      <c r="AT565">
        <f>AT564+IF(AND($E565&lt;&gt;"",$E565&lt;=AT$2,$F565&gt;=AT$2),1,0)</f>
        <v/>
      </c>
      <c r="AU565">
        <f>AU564+IF(AND($E565&lt;&gt;"",$E565&lt;=AU$2,$F565&gt;=AU$2),1,0)</f>
        <v/>
      </c>
      <c r="AV565">
        <f>AV564+IF(AND($E565&lt;&gt;"",$E565&lt;=AV$2,$F565&gt;=AV$2),1,0)</f>
        <v/>
      </c>
      <c r="AW565">
        <f>AW564+IF(AND($E565&lt;&gt;"",$E565&lt;=AW$2,$F565&gt;=AW$2),1,0)</f>
        <v/>
      </c>
    </row>
    <row r="566">
      <c r="A566">
        <f>IF(AND(ISNUMBER(Events!$A568),ISNUMBER(Events!$B568)),MAX(0,Events!$B568-Events!$A568),0)</f>
        <v/>
      </c>
      <c r="B566">
        <f>IF(ISNUMBER(Events!$A568),DATE(YEAR($B$1)-1,MONTH(Events!$A568),DAY(Events!$A568)),"")</f>
        <v/>
      </c>
      <c r="C566">
        <f>IF(ISNUMBER(Events!$A568),DATE(YEAR($B$1),MONTH(Events!$A568),DAY(Events!$A568)),"")</f>
        <v/>
      </c>
      <c r="D566">
        <f>IF(ISNUMBER(Events!$A568),DATE(YEAR($B$2),MONTH(Events!$A568),DAY(Events!$A568)),"")</f>
        <v/>
      </c>
      <c r="E566">
        <f>IF(OR(NOT(ISNUMBER(Events!$A568)),Events!$G568="No",Calendar!$H$4="None"),"",IF(OR(Calendar!$H$4="All events",Events!$D568=Calendar!$H$4),IF(Events!$E568="Yes",IF(AND(B566&gt;=Events!$A568,B566&lt;=$B$2,B566+$A566&gt;=$B$1),B566,IF(AND(C566&gt;=Events!$A568,C566&lt;=$B$2,C566+$A566&gt;=$B$1),C566,IF(AND(D566&gt;=Events!$A568,D566&lt;=$B$2,D566+$A566&gt;=$B$1),D566,""))),IF(AND(Events!$A568&lt;=$B$2,Events!$A568+$A566&gt;=$B$1),Events!$A568,"")),""))</f>
        <v/>
      </c>
      <c r="F566">
        <f>IF(E566="","",E566+A566)</f>
        <v/>
      </c>
      <c r="G566">
        <f>IF(E566="","",IF(AND(E566&lt;=EOMONTH(Calendar!$K$2,0),F566&gt;=Calendar!$K$2),E566+563/100000,""))</f>
        <v/>
      </c>
      <c r="H566">
        <f>H565+IF(AND($E566&lt;&gt;"",$E566&lt;=H$2,$F566&gt;=H$2),1,0)</f>
        <v/>
      </c>
      <c r="I566">
        <f>I565+IF(AND($E566&lt;&gt;"",$E566&lt;=I$2,$F566&gt;=I$2),1,0)</f>
        <v/>
      </c>
      <c r="J566">
        <f>J565+IF(AND($E566&lt;&gt;"",$E566&lt;=J$2,$F566&gt;=J$2),1,0)</f>
        <v/>
      </c>
      <c r="K566">
        <f>K565+IF(AND($E566&lt;&gt;"",$E566&lt;=K$2,$F566&gt;=K$2),1,0)</f>
        <v/>
      </c>
      <c r="L566">
        <f>L565+IF(AND($E566&lt;&gt;"",$E566&lt;=L$2,$F566&gt;=L$2),1,0)</f>
        <v/>
      </c>
      <c r="M566">
        <f>M565+IF(AND($E566&lt;&gt;"",$E566&lt;=M$2,$F566&gt;=M$2),1,0)</f>
        <v/>
      </c>
      <c r="N566">
        <f>N565+IF(AND($E566&lt;&gt;"",$E566&lt;=N$2,$F566&gt;=N$2),1,0)</f>
        <v/>
      </c>
      <c r="O566">
        <f>O565+IF(AND($E566&lt;&gt;"",$E566&lt;=O$2,$F566&gt;=O$2),1,0)</f>
        <v/>
      </c>
      <c r="P566">
        <f>P565+IF(AND($E566&lt;&gt;"",$E566&lt;=P$2,$F566&gt;=P$2),1,0)</f>
        <v/>
      </c>
      <c r="Q566">
        <f>Q565+IF(AND($E566&lt;&gt;"",$E566&lt;=Q$2,$F566&gt;=Q$2),1,0)</f>
        <v/>
      </c>
      <c r="R566">
        <f>R565+IF(AND($E566&lt;&gt;"",$E566&lt;=R$2,$F566&gt;=R$2),1,0)</f>
        <v/>
      </c>
      <c r="S566">
        <f>S565+IF(AND($E566&lt;&gt;"",$E566&lt;=S$2,$F566&gt;=S$2),1,0)</f>
        <v/>
      </c>
      <c r="T566">
        <f>T565+IF(AND($E566&lt;&gt;"",$E566&lt;=T$2,$F566&gt;=T$2),1,0)</f>
        <v/>
      </c>
      <c r="U566">
        <f>U565+IF(AND($E566&lt;&gt;"",$E566&lt;=U$2,$F566&gt;=U$2),1,0)</f>
        <v/>
      </c>
      <c r="V566">
        <f>V565+IF(AND($E566&lt;&gt;"",$E566&lt;=V$2,$F566&gt;=V$2),1,0)</f>
        <v/>
      </c>
      <c r="W566">
        <f>W565+IF(AND($E566&lt;&gt;"",$E566&lt;=W$2,$F566&gt;=W$2),1,0)</f>
        <v/>
      </c>
      <c r="X566">
        <f>X565+IF(AND($E566&lt;&gt;"",$E566&lt;=X$2,$F566&gt;=X$2),1,0)</f>
        <v/>
      </c>
      <c r="Y566">
        <f>Y565+IF(AND($E566&lt;&gt;"",$E566&lt;=Y$2,$F566&gt;=Y$2),1,0)</f>
        <v/>
      </c>
      <c r="Z566">
        <f>Z565+IF(AND($E566&lt;&gt;"",$E566&lt;=Z$2,$F566&gt;=Z$2),1,0)</f>
        <v/>
      </c>
      <c r="AA566">
        <f>AA565+IF(AND($E566&lt;&gt;"",$E566&lt;=AA$2,$F566&gt;=AA$2),1,0)</f>
        <v/>
      </c>
      <c r="AB566">
        <f>AB565+IF(AND($E566&lt;&gt;"",$E566&lt;=AB$2,$F566&gt;=AB$2),1,0)</f>
        <v/>
      </c>
      <c r="AC566">
        <f>AC565+IF(AND($E566&lt;&gt;"",$E566&lt;=AC$2,$F566&gt;=AC$2),1,0)</f>
        <v/>
      </c>
      <c r="AD566">
        <f>AD565+IF(AND($E566&lt;&gt;"",$E566&lt;=AD$2,$F566&gt;=AD$2),1,0)</f>
        <v/>
      </c>
      <c r="AE566">
        <f>AE565+IF(AND($E566&lt;&gt;"",$E566&lt;=AE$2,$F566&gt;=AE$2),1,0)</f>
        <v/>
      </c>
      <c r="AF566">
        <f>AF565+IF(AND($E566&lt;&gt;"",$E566&lt;=AF$2,$F566&gt;=AF$2),1,0)</f>
        <v/>
      </c>
      <c r="AG566">
        <f>AG565+IF(AND($E566&lt;&gt;"",$E566&lt;=AG$2,$F566&gt;=AG$2),1,0)</f>
        <v/>
      </c>
      <c r="AH566">
        <f>AH565+IF(AND($E566&lt;&gt;"",$E566&lt;=AH$2,$F566&gt;=AH$2),1,0)</f>
        <v/>
      </c>
      <c r="AI566">
        <f>AI565+IF(AND($E566&lt;&gt;"",$E566&lt;=AI$2,$F566&gt;=AI$2),1,0)</f>
        <v/>
      </c>
      <c r="AJ566">
        <f>AJ565+IF(AND($E566&lt;&gt;"",$E566&lt;=AJ$2,$F566&gt;=AJ$2),1,0)</f>
        <v/>
      </c>
      <c r="AK566">
        <f>AK565+IF(AND($E566&lt;&gt;"",$E566&lt;=AK$2,$F566&gt;=AK$2),1,0)</f>
        <v/>
      </c>
      <c r="AL566">
        <f>AL565+IF(AND($E566&lt;&gt;"",$E566&lt;=AL$2,$F566&gt;=AL$2),1,0)</f>
        <v/>
      </c>
      <c r="AM566">
        <f>AM565+IF(AND($E566&lt;&gt;"",$E566&lt;=AM$2,$F566&gt;=AM$2),1,0)</f>
        <v/>
      </c>
      <c r="AN566">
        <f>AN565+IF(AND($E566&lt;&gt;"",$E566&lt;=AN$2,$F566&gt;=AN$2),1,0)</f>
        <v/>
      </c>
      <c r="AO566">
        <f>AO565+IF(AND($E566&lt;&gt;"",$E566&lt;=AO$2,$F566&gt;=AO$2),1,0)</f>
        <v/>
      </c>
      <c r="AP566">
        <f>AP565+IF(AND($E566&lt;&gt;"",$E566&lt;=AP$2,$F566&gt;=AP$2),1,0)</f>
        <v/>
      </c>
      <c r="AQ566">
        <f>AQ565+IF(AND($E566&lt;&gt;"",$E566&lt;=AQ$2,$F566&gt;=AQ$2),1,0)</f>
        <v/>
      </c>
      <c r="AR566">
        <f>AR565+IF(AND($E566&lt;&gt;"",$E566&lt;=AR$2,$F566&gt;=AR$2),1,0)</f>
        <v/>
      </c>
      <c r="AS566">
        <f>AS565+IF(AND($E566&lt;&gt;"",$E566&lt;=AS$2,$F566&gt;=AS$2),1,0)</f>
        <v/>
      </c>
      <c r="AT566">
        <f>AT565+IF(AND($E566&lt;&gt;"",$E566&lt;=AT$2,$F566&gt;=AT$2),1,0)</f>
        <v/>
      </c>
      <c r="AU566">
        <f>AU565+IF(AND($E566&lt;&gt;"",$E566&lt;=AU$2,$F566&gt;=AU$2),1,0)</f>
        <v/>
      </c>
      <c r="AV566">
        <f>AV565+IF(AND($E566&lt;&gt;"",$E566&lt;=AV$2,$F566&gt;=AV$2),1,0)</f>
        <v/>
      </c>
      <c r="AW566">
        <f>AW565+IF(AND($E566&lt;&gt;"",$E566&lt;=AW$2,$F566&gt;=AW$2),1,0)</f>
        <v/>
      </c>
    </row>
    <row r="567">
      <c r="A567">
        <f>IF(AND(ISNUMBER(Events!$A569),ISNUMBER(Events!$B569)),MAX(0,Events!$B569-Events!$A569),0)</f>
        <v/>
      </c>
      <c r="B567">
        <f>IF(ISNUMBER(Events!$A569),DATE(YEAR($B$1)-1,MONTH(Events!$A569),DAY(Events!$A569)),"")</f>
        <v/>
      </c>
      <c r="C567">
        <f>IF(ISNUMBER(Events!$A569),DATE(YEAR($B$1),MONTH(Events!$A569),DAY(Events!$A569)),"")</f>
        <v/>
      </c>
      <c r="D567">
        <f>IF(ISNUMBER(Events!$A569),DATE(YEAR($B$2),MONTH(Events!$A569),DAY(Events!$A569)),"")</f>
        <v/>
      </c>
      <c r="E567">
        <f>IF(OR(NOT(ISNUMBER(Events!$A569)),Events!$G569="No",Calendar!$H$4="None"),"",IF(OR(Calendar!$H$4="All events",Events!$D569=Calendar!$H$4),IF(Events!$E569="Yes",IF(AND(B567&gt;=Events!$A569,B567&lt;=$B$2,B567+$A567&gt;=$B$1),B567,IF(AND(C567&gt;=Events!$A569,C567&lt;=$B$2,C567+$A567&gt;=$B$1),C567,IF(AND(D567&gt;=Events!$A569,D567&lt;=$B$2,D567+$A567&gt;=$B$1),D567,""))),IF(AND(Events!$A569&lt;=$B$2,Events!$A569+$A567&gt;=$B$1),Events!$A569,"")),""))</f>
        <v/>
      </c>
      <c r="F567">
        <f>IF(E567="","",E567+A567)</f>
        <v/>
      </c>
      <c r="G567">
        <f>IF(E567="","",IF(AND(E567&lt;=EOMONTH(Calendar!$K$2,0),F567&gt;=Calendar!$K$2),E567+564/100000,""))</f>
        <v/>
      </c>
      <c r="H567">
        <f>H566+IF(AND($E567&lt;&gt;"",$E567&lt;=H$2,$F567&gt;=H$2),1,0)</f>
        <v/>
      </c>
      <c r="I567">
        <f>I566+IF(AND($E567&lt;&gt;"",$E567&lt;=I$2,$F567&gt;=I$2),1,0)</f>
        <v/>
      </c>
      <c r="J567">
        <f>J566+IF(AND($E567&lt;&gt;"",$E567&lt;=J$2,$F567&gt;=J$2),1,0)</f>
        <v/>
      </c>
      <c r="K567">
        <f>K566+IF(AND($E567&lt;&gt;"",$E567&lt;=K$2,$F567&gt;=K$2),1,0)</f>
        <v/>
      </c>
      <c r="L567">
        <f>L566+IF(AND($E567&lt;&gt;"",$E567&lt;=L$2,$F567&gt;=L$2),1,0)</f>
        <v/>
      </c>
      <c r="M567">
        <f>M566+IF(AND($E567&lt;&gt;"",$E567&lt;=M$2,$F567&gt;=M$2),1,0)</f>
        <v/>
      </c>
      <c r="N567">
        <f>N566+IF(AND($E567&lt;&gt;"",$E567&lt;=N$2,$F567&gt;=N$2),1,0)</f>
        <v/>
      </c>
      <c r="O567">
        <f>O566+IF(AND($E567&lt;&gt;"",$E567&lt;=O$2,$F567&gt;=O$2),1,0)</f>
        <v/>
      </c>
      <c r="P567">
        <f>P566+IF(AND($E567&lt;&gt;"",$E567&lt;=P$2,$F567&gt;=P$2),1,0)</f>
        <v/>
      </c>
      <c r="Q567">
        <f>Q566+IF(AND($E567&lt;&gt;"",$E567&lt;=Q$2,$F567&gt;=Q$2),1,0)</f>
        <v/>
      </c>
      <c r="R567">
        <f>R566+IF(AND($E567&lt;&gt;"",$E567&lt;=R$2,$F567&gt;=R$2),1,0)</f>
        <v/>
      </c>
      <c r="S567">
        <f>S566+IF(AND($E567&lt;&gt;"",$E567&lt;=S$2,$F567&gt;=S$2),1,0)</f>
        <v/>
      </c>
      <c r="T567">
        <f>T566+IF(AND($E567&lt;&gt;"",$E567&lt;=T$2,$F567&gt;=T$2),1,0)</f>
        <v/>
      </c>
      <c r="U567">
        <f>U566+IF(AND($E567&lt;&gt;"",$E567&lt;=U$2,$F567&gt;=U$2),1,0)</f>
        <v/>
      </c>
      <c r="V567">
        <f>V566+IF(AND($E567&lt;&gt;"",$E567&lt;=V$2,$F567&gt;=V$2),1,0)</f>
        <v/>
      </c>
      <c r="W567">
        <f>W566+IF(AND($E567&lt;&gt;"",$E567&lt;=W$2,$F567&gt;=W$2),1,0)</f>
        <v/>
      </c>
      <c r="X567">
        <f>X566+IF(AND($E567&lt;&gt;"",$E567&lt;=X$2,$F567&gt;=X$2),1,0)</f>
        <v/>
      </c>
      <c r="Y567">
        <f>Y566+IF(AND($E567&lt;&gt;"",$E567&lt;=Y$2,$F567&gt;=Y$2),1,0)</f>
        <v/>
      </c>
      <c r="Z567">
        <f>Z566+IF(AND($E567&lt;&gt;"",$E567&lt;=Z$2,$F567&gt;=Z$2),1,0)</f>
        <v/>
      </c>
      <c r="AA567">
        <f>AA566+IF(AND($E567&lt;&gt;"",$E567&lt;=AA$2,$F567&gt;=AA$2),1,0)</f>
        <v/>
      </c>
      <c r="AB567">
        <f>AB566+IF(AND($E567&lt;&gt;"",$E567&lt;=AB$2,$F567&gt;=AB$2),1,0)</f>
        <v/>
      </c>
      <c r="AC567">
        <f>AC566+IF(AND($E567&lt;&gt;"",$E567&lt;=AC$2,$F567&gt;=AC$2),1,0)</f>
        <v/>
      </c>
      <c r="AD567">
        <f>AD566+IF(AND($E567&lt;&gt;"",$E567&lt;=AD$2,$F567&gt;=AD$2),1,0)</f>
        <v/>
      </c>
      <c r="AE567">
        <f>AE566+IF(AND($E567&lt;&gt;"",$E567&lt;=AE$2,$F567&gt;=AE$2),1,0)</f>
        <v/>
      </c>
      <c r="AF567">
        <f>AF566+IF(AND($E567&lt;&gt;"",$E567&lt;=AF$2,$F567&gt;=AF$2),1,0)</f>
        <v/>
      </c>
      <c r="AG567">
        <f>AG566+IF(AND($E567&lt;&gt;"",$E567&lt;=AG$2,$F567&gt;=AG$2),1,0)</f>
        <v/>
      </c>
      <c r="AH567">
        <f>AH566+IF(AND($E567&lt;&gt;"",$E567&lt;=AH$2,$F567&gt;=AH$2),1,0)</f>
        <v/>
      </c>
      <c r="AI567">
        <f>AI566+IF(AND($E567&lt;&gt;"",$E567&lt;=AI$2,$F567&gt;=AI$2),1,0)</f>
        <v/>
      </c>
      <c r="AJ567">
        <f>AJ566+IF(AND($E567&lt;&gt;"",$E567&lt;=AJ$2,$F567&gt;=AJ$2),1,0)</f>
        <v/>
      </c>
      <c r="AK567">
        <f>AK566+IF(AND($E567&lt;&gt;"",$E567&lt;=AK$2,$F567&gt;=AK$2),1,0)</f>
        <v/>
      </c>
      <c r="AL567">
        <f>AL566+IF(AND($E567&lt;&gt;"",$E567&lt;=AL$2,$F567&gt;=AL$2),1,0)</f>
        <v/>
      </c>
      <c r="AM567">
        <f>AM566+IF(AND($E567&lt;&gt;"",$E567&lt;=AM$2,$F567&gt;=AM$2),1,0)</f>
        <v/>
      </c>
      <c r="AN567">
        <f>AN566+IF(AND($E567&lt;&gt;"",$E567&lt;=AN$2,$F567&gt;=AN$2),1,0)</f>
        <v/>
      </c>
      <c r="AO567">
        <f>AO566+IF(AND($E567&lt;&gt;"",$E567&lt;=AO$2,$F567&gt;=AO$2),1,0)</f>
        <v/>
      </c>
      <c r="AP567">
        <f>AP566+IF(AND($E567&lt;&gt;"",$E567&lt;=AP$2,$F567&gt;=AP$2),1,0)</f>
        <v/>
      </c>
      <c r="AQ567">
        <f>AQ566+IF(AND($E567&lt;&gt;"",$E567&lt;=AQ$2,$F567&gt;=AQ$2),1,0)</f>
        <v/>
      </c>
      <c r="AR567">
        <f>AR566+IF(AND($E567&lt;&gt;"",$E567&lt;=AR$2,$F567&gt;=AR$2),1,0)</f>
        <v/>
      </c>
      <c r="AS567">
        <f>AS566+IF(AND($E567&lt;&gt;"",$E567&lt;=AS$2,$F567&gt;=AS$2),1,0)</f>
        <v/>
      </c>
      <c r="AT567">
        <f>AT566+IF(AND($E567&lt;&gt;"",$E567&lt;=AT$2,$F567&gt;=AT$2),1,0)</f>
        <v/>
      </c>
      <c r="AU567">
        <f>AU566+IF(AND($E567&lt;&gt;"",$E567&lt;=AU$2,$F567&gt;=AU$2),1,0)</f>
        <v/>
      </c>
      <c r="AV567">
        <f>AV566+IF(AND($E567&lt;&gt;"",$E567&lt;=AV$2,$F567&gt;=AV$2),1,0)</f>
        <v/>
      </c>
      <c r="AW567">
        <f>AW566+IF(AND($E567&lt;&gt;"",$E567&lt;=AW$2,$F567&gt;=AW$2),1,0)</f>
        <v/>
      </c>
    </row>
    <row r="568">
      <c r="A568">
        <f>IF(AND(ISNUMBER(Events!$A570),ISNUMBER(Events!$B570)),MAX(0,Events!$B570-Events!$A570),0)</f>
        <v/>
      </c>
      <c r="B568">
        <f>IF(ISNUMBER(Events!$A570),DATE(YEAR($B$1)-1,MONTH(Events!$A570),DAY(Events!$A570)),"")</f>
        <v/>
      </c>
      <c r="C568">
        <f>IF(ISNUMBER(Events!$A570),DATE(YEAR($B$1),MONTH(Events!$A570),DAY(Events!$A570)),"")</f>
        <v/>
      </c>
      <c r="D568">
        <f>IF(ISNUMBER(Events!$A570),DATE(YEAR($B$2),MONTH(Events!$A570),DAY(Events!$A570)),"")</f>
        <v/>
      </c>
      <c r="E568">
        <f>IF(OR(NOT(ISNUMBER(Events!$A570)),Events!$G570="No",Calendar!$H$4="None"),"",IF(OR(Calendar!$H$4="All events",Events!$D570=Calendar!$H$4),IF(Events!$E570="Yes",IF(AND(B568&gt;=Events!$A570,B568&lt;=$B$2,B568+$A568&gt;=$B$1),B568,IF(AND(C568&gt;=Events!$A570,C568&lt;=$B$2,C568+$A568&gt;=$B$1),C568,IF(AND(D568&gt;=Events!$A570,D568&lt;=$B$2,D568+$A568&gt;=$B$1),D568,""))),IF(AND(Events!$A570&lt;=$B$2,Events!$A570+$A568&gt;=$B$1),Events!$A570,"")),""))</f>
        <v/>
      </c>
      <c r="F568">
        <f>IF(E568="","",E568+A568)</f>
        <v/>
      </c>
      <c r="G568">
        <f>IF(E568="","",IF(AND(E568&lt;=EOMONTH(Calendar!$K$2,0),F568&gt;=Calendar!$K$2),E568+565/100000,""))</f>
        <v/>
      </c>
      <c r="H568">
        <f>H567+IF(AND($E568&lt;&gt;"",$E568&lt;=H$2,$F568&gt;=H$2),1,0)</f>
        <v/>
      </c>
      <c r="I568">
        <f>I567+IF(AND($E568&lt;&gt;"",$E568&lt;=I$2,$F568&gt;=I$2),1,0)</f>
        <v/>
      </c>
      <c r="J568">
        <f>J567+IF(AND($E568&lt;&gt;"",$E568&lt;=J$2,$F568&gt;=J$2),1,0)</f>
        <v/>
      </c>
      <c r="K568">
        <f>K567+IF(AND($E568&lt;&gt;"",$E568&lt;=K$2,$F568&gt;=K$2),1,0)</f>
        <v/>
      </c>
      <c r="L568">
        <f>L567+IF(AND($E568&lt;&gt;"",$E568&lt;=L$2,$F568&gt;=L$2),1,0)</f>
        <v/>
      </c>
      <c r="M568">
        <f>M567+IF(AND($E568&lt;&gt;"",$E568&lt;=M$2,$F568&gt;=M$2),1,0)</f>
        <v/>
      </c>
      <c r="N568">
        <f>N567+IF(AND($E568&lt;&gt;"",$E568&lt;=N$2,$F568&gt;=N$2),1,0)</f>
        <v/>
      </c>
      <c r="O568">
        <f>O567+IF(AND($E568&lt;&gt;"",$E568&lt;=O$2,$F568&gt;=O$2),1,0)</f>
        <v/>
      </c>
      <c r="P568">
        <f>P567+IF(AND($E568&lt;&gt;"",$E568&lt;=P$2,$F568&gt;=P$2),1,0)</f>
        <v/>
      </c>
      <c r="Q568">
        <f>Q567+IF(AND($E568&lt;&gt;"",$E568&lt;=Q$2,$F568&gt;=Q$2),1,0)</f>
        <v/>
      </c>
      <c r="R568">
        <f>R567+IF(AND($E568&lt;&gt;"",$E568&lt;=R$2,$F568&gt;=R$2),1,0)</f>
        <v/>
      </c>
      <c r="S568">
        <f>S567+IF(AND($E568&lt;&gt;"",$E568&lt;=S$2,$F568&gt;=S$2),1,0)</f>
        <v/>
      </c>
      <c r="T568">
        <f>T567+IF(AND($E568&lt;&gt;"",$E568&lt;=T$2,$F568&gt;=T$2),1,0)</f>
        <v/>
      </c>
      <c r="U568">
        <f>U567+IF(AND($E568&lt;&gt;"",$E568&lt;=U$2,$F568&gt;=U$2),1,0)</f>
        <v/>
      </c>
      <c r="V568">
        <f>V567+IF(AND($E568&lt;&gt;"",$E568&lt;=V$2,$F568&gt;=V$2),1,0)</f>
        <v/>
      </c>
      <c r="W568">
        <f>W567+IF(AND($E568&lt;&gt;"",$E568&lt;=W$2,$F568&gt;=W$2),1,0)</f>
        <v/>
      </c>
      <c r="X568">
        <f>X567+IF(AND($E568&lt;&gt;"",$E568&lt;=X$2,$F568&gt;=X$2),1,0)</f>
        <v/>
      </c>
      <c r="Y568">
        <f>Y567+IF(AND($E568&lt;&gt;"",$E568&lt;=Y$2,$F568&gt;=Y$2),1,0)</f>
        <v/>
      </c>
      <c r="Z568">
        <f>Z567+IF(AND($E568&lt;&gt;"",$E568&lt;=Z$2,$F568&gt;=Z$2),1,0)</f>
        <v/>
      </c>
      <c r="AA568">
        <f>AA567+IF(AND($E568&lt;&gt;"",$E568&lt;=AA$2,$F568&gt;=AA$2),1,0)</f>
        <v/>
      </c>
      <c r="AB568">
        <f>AB567+IF(AND($E568&lt;&gt;"",$E568&lt;=AB$2,$F568&gt;=AB$2),1,0)</f>
        <v/>
      </c>
      <c r="AC568">
        <f>AC567+IF(AND($E568&lt;&gt;"",$E568&lt;=AC$2,$F568&gt;=AC$2),1,0)</f>
        <v/>
      </c>
      <c r="AD568">
        <f>AD567+IF(AND($E568&lt;&gt;"",$E568&lt;=AD$2,$F568&gt;=AD$2),1,0)</f>
        <v/>
      </c>
      <c r="AE568">
        <f>AE567+IF(AND($E568&lt;&gt;"",$E568&lt;=AE$2,$F568&gt;=AE$2),1,0)</f>
        <v/>
      </c>
      <c r="AF568">
        <f>AF567+IF(AND($E568&lt;&gt;"",$E568&lt;=AF$2,$F568&gt;=AF$2),1,0)</f>
        <v/>
      </c>
      <c r="AG568">
        <f>AG567+IF(AND($E568&lt;&gt;"",$E568&lt;=AG$2,$F568&gt;=AG$2),1,0)</f>
        <v/>
      </c>
      <c r="AH568">
        <f>AH567+IF(AND($E568&lt;&gt;"",$E568&lt;=AH$2,$F568&gt;=AH$2),1,0)</f>
        <v/>
      </c>
      <c r="AI568">
        <f>AI567+IF(AND($E568&lt;&gt;"",$E568&lt;=AI$2,$F568&gt;=AI$2),1,0)</f>
        <v/>
      </c>
      <c r="AJ568">
        <f>AJ567+IF(AND($E568&lt;&gt;"",$E568&lt;=AJ$2,$F568&gt;=AJ$2),1,0)</f>
        <v/>
      </c>
      <c r="AK568">
        <f>AK567+IF(AND($E568&lt;&gt;"",$E568&lt;=AK$2,$F568&gt;=AK$2),1,0)</f>
        <v/>
      </c>
      <c r="AL568">
        <f>AL567+IF(AND($E568&lt;&gt;"",$E568&lt;=AL$2,$F568&gt;=AL$2),1,0)</f>
        <v/>
      </c>
      <c r="AM568">
        <f>AM567+IF(AND($E568&lt;&gt;"",$E568&lt;=AM$2,$F568&gt;=AM$2),1,0)</f>
        <v/>
      </c>
      <c r="AN568">
        <f>AN567+IF(AND($E568&lt;&gt;"",$E568&lt;=AN$2,$F568&gt;=AN$2),1,0)</f>
        <v/>
      </c>
      <c r="AO568">
        <f>AO567+IF(AND($E568&lt;&gt;"",$E568&lt;=AO$2,$F568&gt;=AO$2),1,0)</f>
        <v/>
      </c>
      <c r="AP568">
        <f>AP567+IF(AND($E568&lt;&gt;"",$E568&lt;=AP$2,$F568&gt;=AP$2),1,0)</f>
        <v/>
      </c>
      <c r="AQ568">
        <f>AQ567+IF(AND($E568&lt;&gt;"",$E568&lt;=AQ$2,$F568&gt;=AQ$2),1,0)</f>
        <v/>
      </c>
      <c r="AR568">
        <f>AR567+IF(AND($E568&lt;&gt;"",$E568&lt;=AR$2,$F568&gt;=AR$2),1,0)</f>
        <v/>
      </c>
      <c r="AS568">
        <f>AS567+IF(AND($E568&lt;&gt;"",$E568&lt;=AS$2,$F568&gt;=AS$2),1,0)</f>
        <v/>
      </c>
      <c r="AT568">
        <f>AT567+IF(AND($E568&lt;&gt;"",$E568&lt;=AT$2,$F568&gt;=AT$2),1,0)</f>
        <v/>
      </c>
      <c r="AU568">
        <f>AU567+IF(AND($E568&lt;&gt;"",$E568&lt;=AU$2,$F568&gt;=AU$2),1,0)</f>
        <v/>
      </c>
      <c r="AV568">
        <f>AV567+IF(AND($E568&lt;&gt;"",$E568&lt;=AV$2,$F568&gt;=AV$2),1,0)</f>
        <v/>
      </c>
      <c r="AW568">
        <f>AW567+IF(AND($E568&lt;&gt;"",$E568&lt;=AW$2,$F568&gt;=AW$2),1,0)</f>
        <v/>
      </c>
    </row>
    <row r="569">
      <c r="A569">
        <f>IF(AND(ISNUMBER(Events!$A571),ISNUMBER(Events!$B571)),MAX(0,Events!$B571-Events!$A571),0)</f>
        <v/>
      </c>
      <c r="B569">
        <f>IF(ISNUMBER(Events!$A571),DATE(YEAR($B$1)-1,MONTH(Events!$A571),DAY(Events!$A571)),"")</f>
        <v/>
      </c>
      <c r="C569">
        <f>IF(ISNUMBER(Events!$A571),DATE(YEAR($B$1),MONTH(Events!$A571),DAY(Events!$A571)),"")</f>
        <v/>
      </c>
      <c r="D569">
        <f>IF(ISNUMBER(Events!$A571),DATE(YEAR($B$2),MONTH(Events!$A571),DAY(Events!$A571)),"")</f>
        <v/>
      </c>
      <c r="E569">
        <f>IF(OR(NOT(ISNUMBER(Events!$A571)),Events!$G571="No",Calendar!$H$4="None"),"",IF(OR(Calendar!$H$4="All events",Events!$D571=Calendar!$H$4),IF(Events!$E571="Yes",IF(AND(B569&gt;=Events!$A571,B569&lt;=$B$2,B569+$A569&gt;=$B$1),B569,IF(AND(C569&gt;=Events!$A571,C569&lt;=$B$2,C569+$A569&gt;=$B$1),C569,IF(AND(D569&gt;=Events!$A571,D569&lt;=$B$2,D569+$A569&gt;=$B$1),D569,""))),IF(AND(Events!$A571&lt;=$B$2,Events!$A571+$A569&gt;=$B$1),Events!$A571,"")),""))</f>
        <v/>
      </c>
      <c r="F569">
        <f>IF(E569="","",E569+A569)</f>
        <v/>
      </c>
      <c r="G569">
        <f>IF(E569="","",IF(AND(E569&lt;=EOMONTH(Calendar!$K$2,0),F569&gt;=Calendar!$K$2),E569+566/100000,""))</f>
        <v/>
      </c>
      <c r="H569">
        <f>H568+IF(AND($E569&lt;&gt;"",$E569&lt;=H$2,$F569&gt;=H$2),1,0)</f>
        <v/>
      </c>
      <c r="I569">
        <f>I568+IF(AND($E569&lt;&gt;"",$E569&lt;=I$2,$F569&gt;=I$2),1,0)</f>
        <v/>
      </c>
      <c r="J569">
        <f>J568+IF(AND($E569&lt;&gt;"",$E569&lt;=J$2,$F569&gt;=J$2),1,0)</f>
        <v/>
      </c>
      <c r="K569">
        <f>K568+IF(AND($E569&lt;&gt;"",$E569&lt;=K$2,$F569&gt;=K$2),1,0)</f>
        <v/>
      </c>
      <c r="L569">
        <f>L568+IF(AND($E569&lt;&gt;"",$E569&lt;=L$2,$F569&gt;=L$2),1,0)</f>
        <v/>
      </c>
      <c r="M569">
        <f>M568+IF(AND($E569&lt;&gt;"",$E569&lt;=M$2,$F569&gt;=M$2),1,0)</f>
        <v/>
      </c>
      <c r="N569">
        <f>N568+IF(AND($E569&lt;&gt;"",$E569&lt;=N$2,$F569&gt;=N$2),1,0)</f>
        <v/>
      </c>
      <c r="O569">
        <f>O568+IF(AND($E569&lt;&gt;"",$E569&lt;=O$2,$F569&gt;=O$2),1,0)</f>
        <v/>
      </c>
      <c r="P569">
        <f>P568+IF(AND($E569&lt;&gt;"",$E569&lt;=P$2,$F569&gt;=P$2),1,0)</f>
        <v/>
      </c>
      <c r="Q569">
        <f>Q568+IF(AND($E569&lt;&gt;"",$E569&lt;=Q$2,$F569&gt;=Q$2),1,0)</f>
        <v/>
      </c>
      <c r="R569">
        <f>R568+IF(AND($E569&lt;&gt;"",$E569&lt;=R$2,$F569&gt;=R$2),1,0)</f>
        <v/>
      </c>
      <c r="S569">
        <f>S568+IF(AND($E569&lt;&gt;"",$E569&lt;=S$2,$F569&gt;=S$2),1,0)</f>
        <v/>
      </c>
      <c r="T569">
        <f>T568+IF(AND($E569&lt;&gt;"",$E569&lt;=T$2,$F569&gt;=T$2),1,0)</f>
        <v/>
      </c>
      <c r="U569">
        <f>U568+IF(AND($E569&lt;&gt;"",$E569&lt;=U$2,$F569&gt;=U$2),1,0)</f>
        <v/>
      </c>
      <c r="V569">
        <f>V568+IF(AND($E569&lt;&gt;"",$E569&lt;=V$2,$F569&gt;=V$2),1,0)</f>
        <v/>
      </c>
      <c r="W569">
        <f>W568+IF(AND($E569&lt;&gt;"",$E569&lt;=W$2,$F569&gt;=W$2),1,0)</f>
        <v/>
      </c>
      <c r="X569">
        <f>X568+IF(AND($E569&lt;&gt;"",$E569&lt;=X$2,$F569&gt;=X$2),1,0)</f>
        <v/>
      </c>
      <c r="Y569">
        <f>Y568+IF(AND($E569&lt;&gt;"",$E569&lt;=Y$2,$F569&gt;=Y$2),1,0)</f>
        <v/>
      </c>
      <c r="Z569">
        <f>Z568+IF(AND($E569&lt;&gt;"",$E569&lt;=Z$2,$F569&gt;=Z$2),1,0)</f>
        <v/>
      </c>
      <c r="AA569">
        <f>AA568+IF(AND($E569&lt;&gt;"",$E569&lt;=AA$2,$F569&gt;=AA$2),1,0)</f>
        <v/>
      </c>
      <c r="AB569">
        <f>AB568+IF(AND($E569&lt;&gt;"",$E569&lt;=AB$2,$F569&gt;=AB$2),1,0)</f>
        <v/>
      </c>
      <c r="AC569">
        <f>AC568+IF(AND($E569&lt;&gt;"",$E569&lt;=AC$2,$F569&gt;=AC$2),1,0)</f>
        <v/>
      </c>
      <c r="AD569">
        <f>AD568+IF(AND($E569&lt;&gt;"",$E569&lt;=AD$2,$F569&gt;=AD$2),1,0)</f>
        <v/>
      </c>
      <c r="AE569">
        <f>AE568+IF(AND($E569&lt;&gt;"",$E569&lt;=AE$2,$F569&gt;=AE$2),1,0)</f>
        <v/>
      </c>
      <c r="AF569">
        <f>AF568+IF(AND($E569&lt;&gt;"",$E569&lt;=AF$2,$F569&gt;=AF$2),1,0)</f>
        <v/>
      </c>
      <c r="AG569">
        <f>AG568+IF(AND($E569&lt;&gt;"",$E569&lt;=AG$2,$F569&gt;=AG$2),1,0)</f>
        <v/>
      </c>
      <c r="AH569">
        <f>AH568+IF(AND($E569&lt;&gt;"",$E569&lt;=AH$2,$F569&gt;=AH$2),1,0)</f>
        <v/>
      </c>
      <c r="AI569">
        <f>AI568+IF(AND($E569&lt;&gt;"",$E569&lt;=AI$2,$F569&gt;=AI$2),1,0)</f>
        <v/>
      </c>
      <c r="AJ569">
        <f>AJ568+IF(AND($E569&lt;&gt;"",$E569&lt;=AJ$2,$F569&gt;=AJ$2),1,0)</f>
        <v/>
      </c>
      <c r="AK569">
        <f>AK568+IF(AND($E569&lt;&gt;"",$E569&lt;=AK$2,$F569&gt;=AK$2),1,0)</f>
        <v/>
      </c>
      <c r="AL569">
        <f>AL568+IF(AND($E569&lt;&gt;"",$E569&lt;=AL$2,$F569&gt;=AL$2),1,0)</f>
        <v/>
      </c>
      <c r="AM569">
        <f>AM568+IF(AND($E569&lt;&gt;"",$E569&lt;=AM$2,$F569&gt;=AM$2),1,0)</f>
        <v/>
      </c>
      <c r="AN569">
        <f>AN568+IF(AND($E569&lt;&gt;"",$E569&lt;=AN$2,$F569&gt;=AN$2),1,0)</f>
        <v/>
      </c>
      <c r="AO569">
        <f>AO568+IF(AND($E569&lt;&gt;"",$E569&lt;=AO$2,$F569&gt;=AO$2),1,0)</f>
        <v/>
      </c>
      <c r="AP569">
        <f>AP568+IF(AND($E569&lt;&gt;"",$E569&lt;=AP$2,$F569&gt;=AP$2),1,0)</f>
        <v/>
      </c>
      <c r="AQ569">
        <f>AQ568+IF(AND($E569&lt;&gt;"",$E569&lt;=AQ$2,$F569&gt;=AQ$2),1,0)</f>
        <v/>
      </c>
      <c r="AR569">
        <f>AR568+IF(AND($E569&lt;&gt;"",$E569&lt;=AR$2,$F569&gt;=AR$2),1,0)</f>
        <v/>
      </c>
      <c r="AS569">
        <f>AS568+IF(AND($E569&lt;&gt;"",$E569&lt;=AS$2,$F569&gt;=AS$2),1,0)</f>
        <v/>
      </c>
      <c r="AT569">
        <f>AT568+IF(AND($E569&lt;&gt;"",$E569&lt;=AT$2,$F569&gt;=AT$2),1,0)</f>
        <v/>
      </c>
      <c r="AU569">
        <f>AU568+IF(AND($E569&lt;&gt;"",$E569&lt;=AU$2,$F569&gt;=AU$2),1,0)</f>
        <v/>
      </c>
      <c r="AV569">
        <f>AV568+IF(AND($E569&lt;&gt;"",$E569&lt;=AV$2,$F569&gt;=AV$2),1,0)</f>
        <v/>
      </c>
      <c r="AW569">
        <f>AW568+IF(AND($E569&lt;&gt;"",$E569&lt;=AW$2,$F569&gt;=AW$2),1,0)</f>
        <v/>
      </c>
    </row>
    <row r="570">
      <c r="A570">
        <f>IF(AND(ISNUMBER(Events!$A572),ISNUMBER(Events!$B572)),MAX(0,Events!$B572-Events!$A572),0)</f>
        <v/>
      </c>
      <c r="B570">
        <f>IF(ISNUMBER(Events!$A572),DATE(YEAR($B$1)-1,MONTH(Events!$A572),DAY(Events!$A572)),"")</f>
        <v/>
      </c>
      <c r="C570">
        <f>IF(ISNUMBER(Events!$A572),DATE(YEAR($B$1),MONTH(Events!$A572),DAY(Events!$A572)),"")</f>
        <v/>
      </c>
      <c r="D570">
        <f>IF(ISNUMBER(Events!$A572),DATE(YEAR($B$2),MONTH(Events!$A572),DAY(Events!$A572)),"")</f>
        <v/>
      </c>
      <c r="E570">
        <f>IF(OR(NOT(ISNUMBER(Events!$A572)),Events!$G572="No",Calendar!$H$4="None"),"",IF(OR(Calendar!$H$4="All events",Events!$D572=Calendar!$H$4),IF(Events!$E572="Yes",IF(AND(B570&gt;=Events!$A572,B570&lt;=$B$2,B570+$A570&gt;=$B$1),B570,IF(AND(C570&gt;=Events!$A572,C570&lt;=$B$2,C570+$A570&gt;=$B$1),C570,IF(AND(D570&gt;=Events!$A572,D570&lt;=$B$2,D570+$A570&gt;=$B$1),D570,""))),IF(AND(Events!$A572&lt;=$B$2,Events!$A572+$A570&gt;=$B$1),Events!$A572,"")),""))</f>
        <v/>
      </c>
      <c r="F570">
        <f>IF(E570="","",E570+A570)</f>
        <v/>
      </c>
      <c r="G570">
        <f>IF(E570="","",IF(AND(E570&lt;=EOMONTH(Calendar!$K$2,0),F570&gt;=Calendar!$K$2),E570+567/100000,""))</f>
        <v/>
      </c>
      <c r="H570">
        <f>H569+IF(AND($E570&lt;&gt;"",$E570&lt;=H$2,$F570&gt;=H$2),1,0)</f>
        <v/>
      </c>
      <c r="I570">
        <f>I569+IF(AND($E570&lt;&gt;"",$E570&lt;=I$2,$F570&gt;=I$2),1,0)</f>
        <v/>
      </c>
      <c r="J570">
        <f>J569+IF(AND($E570&lt;&gt;"",$E570&lt;=J$2,$F570&gt;=J$2),1,0)</f>
        <v/>
      </c>
      <c r="K570">
        <f>K569+IF(AND($E570&lt;&gt;"",$E570&lt;=K$2,$F570&gt;=K$2),1,0)</f>
        <v/>
      </c>
      <c r="L570">
        <f>L569+IF(AND($E570&lt;&gt;"",$E570&lt;=L$2,$F570&gt;=L$2),1,0)</f>
        <v/>
      </c>
      <c r="M570">
        <f>M569+IF(AND($E570&lt;&gt;"",$E570&lt;=M$2,$F570&gt;=M$2),1,0)</f>
        <v/>
      </c>
      <c r="N570">
        <f>N569+IF(AND($E570&lt;&gt;"",$E570&lt;=N$2,$F570&gt;=N$2),1,0)</f>
        <v/>
      </c>
      <c r="O570">
        <f>O569+IF(AND($E570&lt;&gt;"",$E570&lt;=O$2,$F570&gt;=O$2),1,0)</f>
        <v/>
      </c>
      <c r="P570">
        <f>P569+IF(AND($E570&lt;&gt;"",$E570&lt;=P$2,$F570&gt;=P$2),1,0)</f>
        <v/>
      </c>
      <c r="Q570">
        <f>Q569+IF(AND($E570&lt;&gt;"",$E570&lt;=Q$2,$F570&gt;=Q$2),1,0)</f>
        <v/>
      </c>
      <c r="R570">
        <f>R569+IF(AND($E570&lt;&gt;"",$E570&lt;=R$2,$F570&gt;=R$2),1,0)</f>
        <v/>
      </c>
      <c r="S570">
        <f>S569+IF(AND($E570&lt;&gt;"",$E570&lt;=S$2,$F570&gt;=S$2),1,0)</f>
        <v/>
      </c>
      <c r="T570">
        <f>T569+IF(AND($E570&lt;&gt;"",$E570&lt;=T$2,$F570&gt;=T$2),1,0)</f>
        <v/>
      </c>
      <c r="U570">
        <f>U569+IF(AND($E570&lt;&gt;"",$E570&lt;=U$2,$F570&gt;=U$2),1,0)</f>
        <v/>
      </c>
      <c r="V570">
        <f>V569+IF(AND($E570&lt;&gt;"",$E570&lt;=V$2,$F570&gt;=V$2),1,0)</f>
        <v/>
      </c>
      <c r="W570">
        <f>W569+IF(AND($E570&lt;&gt;"",$E570&lt;=W$2,$F570&gt;=W$2),1,0)</f>
        <v/>
      </c>
      <c r="X570">
        <f>X569+IF(AND($E570&lt;&gt;"",$E570&lt;=X$2,$F570&gt;=X$2),1,0)</f>
        <v/>
      </c>
      <c r="Y570">
        <f>Y569+IF(AND($E570&lt;&gt;"",$E570&lt;=Y$2,$F570&gt;=Y$2),1,0)</f>
        <v/>
      </c>
      <c r="Z570">
        <f>Z569+IF(AND($E570&lt;&gt;"",$E570&lt;=Z$2,$F570&gt;=Z$2),1,0)</f>
        <v/>
      </c>
      <c r="AA570">
        <f>AA569+IF(AND($E570&lt;&gt;"",$E570&lt;=AA$2,$F570&gt;=AA$2),1,0)</f>
        <v/>
      </c>
      <c r="AB570">
        <f>AB569+IF(AND($E570&lt;&gt;"",$E570&lt;=AB$2,$F570&gt;=AB$2),1,0)</f>
        <v/>
      </c>
      <c r="AC570">
        <f>AC569+IF(AND($E570&lt;&gt;"",$E570&lt;=AC$2,$F570&gt;=AC$2),1,0)</f>
        <v/>
      </c>
      <c r="AD570">
        <f>AD569+IF(AND($E570&lt;&gt;"",$E570&lt;=AD$2,$F570&gt;=AD$2),1,0)</f>
        <v/>
      </c>
      <c r="AE570">
        <f>AE569+IF(AND($E570&lt;&gt;"",$E570&lt;=AE$2,$F570&gt;=AE$2),1,0)</f>
        <v/>
      </c>
      <c r="AF570">
        <f>AF569+IF(AND($E570&lt;&gt;"",$E570&lt;=AF$2,$F570&gt;=AF$2),1,0)</f>
        <v/>
      </c>
      <c r="AG570">
        <f>AG569+IF(AND($E570&lt;&gt;"",$E570&lt;=AG$2,$F570&gt;=AG$2),1,0)</f>
        <v/>
      </c>
      <c r="AH570">
        <f>AH569+IF(AND($E570&lt;&gt;"",$E570&lt;=AH$2,$F570&gt;=AH$2),1,0)</f>
        <v/>
      </c>
      <c r="AI570">
        <f>AI569+IF(AND($E570&lt;&gt;"",$E570&lt;=AI$2,$F570&gt;=AI$2),1,0)</f>
        <v/>
      </c>
      <c r="AJ570">
        <f>AJ569+IF(AND($E570&lt;&gt;"",$E570&lt;=AJ$2,$F570&gt;=AJ$2),1,0)</f>
        <v/>
      </c>
      <c r="AK570">
        <f>AK569+IF(AND($E570&lt;&gt;"",$E570&lt;=AK$2,$F570&gt;=AK$2),1,0)</f>
        <v/>
      </c>
      <c r="AL570">
        <f>AL569+IF(AND($E570&lt;&gt;"",$E570&lt;=AL$2,$F570&gt;=AL$2),1,0)</f>
        <v/>
      </c>
      <c r="AM570">
        <f>AM569+IF(AND($E570&lt;&gt;"",$E570&lt;=AM$2,$F570&gt;=AM$2),1,0)</f>
        <v/>
      </c>
      <c r="AN570">
        <f>AN569+IF(AND($E570&lt;&gt;"",$E570&lt;=AN$2,$F570&gt;=AN$2),1,0)</f>
        <v/>
      </c>
      <c r="AO570">
        <f>AO569+IF(AND($E570&lt;&gt;"",$E570&lt;=AO$2,$F570&gt;=AO$2),1,0)</f>
        <v/>
      </c>
      <c r="AP570">
        <f>AP569+IF(AND($E570&lt;&gt;"",$E570&lt;=AP$2,$F570&gt;=AP$2),1,0)</f>
        <v/>
      </c>
      <c r="AQ570">
        <f>AQ569+IF(AND($E570&lt;&gt;"",$E570&lt;=AQ$2,$F570&gt;=AQ$2),1,0)</f>
        <v/>
      </c>
      <c r="AR570">
        <f>AR569+IF(AND($E570&lt;&gt;"",$E570&lt;=AR$2,$F570&gt;=AR$2),1,0)</f>
        <v/>
      </c>
      <c r="AS570">
        <f>AS569+IF(AND($E570&lt;&gt;"",$E570&lt;=AS$2,$F570&gt;=AS$2),1,0)</f>
        <v/>
      </c>
      <c r="AT570">
        <f>AT569+IF(AND($E570&lt;&gt;"",$E570&lt;=AT$2,$F570&gt;=AT$2),1,0)</f>
        <v/>
      </c>
      <c r="AU570">
        <f>AU569+IF(AND($E570&lt;&gt;"",$E570&lt;=AU$2,$F570&gt;=AU$2),1,0)</f>
        <v/>
      </c>
      <c r="AV570">
        <f>AV569+IF(AND($E570&lt;&gt;"",$E570&lt;=AV$2,$F570&gt;=AV$2),1,0)</f>
        <v/>
      </c>
      <c r="AW570">
        <f>AW569+IF(AND($E570&lt;&gt;"",$E570&lt;=AW$2,$F570&gt;=AW$2),1,0)</f>
        <v/>
      </c>
    </row>
    <row r="571">
      <c r="A571">
        <f>IF(AND(ISNUMBER(Events!$A573),ISNUMBER(Events!$B573)),MAX(0,Events!$B573-Events!$A573),0)</f>
        <v/>
      </c>
      <c r="B571">
        <f>IF(ISNUMBER(Events!$A573),DATE(YEAR($B$1)-1,MONTH(Events!$A573),DAY(Events!$A573)),"")</f>
        <v/>
      </c>
      <c r="C571">
        <f>IF(ISNUMBER(Events!$A573),DATE(YEAR($B$1),MONTH(Events!$A573),DAY(Events!$A573)),"")</f>
        <v/>
      </c>
      <c r="D571">
        <f>IF(ISNUMBER(Events!$A573),DATE(YEAR($B$2),MONTH(Events!$A573),DAY(Events!$A573)),"")</f>
        <v/>
      </c>
      <c r="E571">
        <f>IF(OR(NOT(ISNUMBER(Events!$A573)),Events!$G573="No",Calendar!$H$4="None"),"",IF(OR(Calendar!$H$4="All events",Events!$D573=Calendar!$H$4),IF(Events!$E573="Yes",IF(AND(B571&gt;=Events!$A573,B571&lt;=$B$2,B571+$A571&gt;=$B$1),B571,IF(AND(C571&gt;=Events!$A573,C571&lt;=$B$2,C571+$A571&gt;=$B$1),C571,IF(AND(D571&gt;=Events!$A573,D571&lt;=$B$2,D571+$A571&gt;=$B$1),D571,""))),IF(AND(Events!$A573&lt;=$B$2,Events!$A573+$A571&gt;=$B$1),Events!$A573,"")),""))</f>
        <v/>
      </c>
      <c r="F571">
        <f>IF(E571="","",E571+A571)</f>
        <v/>
      </c>
      <c r="G571">
        <f>IF(E571="","",IF(AND(E571&lt;=EOMONTH(Calendar!$K$2,0),F571&gt;=Calendar!$K$2),E571+568/100000,""))</f>
        <v/>
      </c>
      <c r="H571">
        <f>H570+IF(AND($E571&lt;&gt;"",$E571&lt;=H$2,$F571&gt;=H$2),1,0)</f>
        <v/>
      </c>
      <c r="I571">
        <f>I570+IF(AND($E571&lt;&gt;"",$E571&lt;=I$2,$F571&gt;=I$2),1,0)</f>
        <v/>
      </c>
      <c r="J571">
        <f>J570+IF(AND($E571&lt;&gt;"",$E571&lt;=J$2,$F571&gt;=J$2),1,0)</f>
        <v/>
      </c>
      <c r="K571">
        <f>K570+IF(AND($E571&lt;&gt;"",$E571&lt;=K$2,$F571&gt;=K$2),1,0)</f>
        <v/>
      </c>
      <c r="L571">
        <f>L570+IF(AND($E571&lt;&gt;"",$E571&lt;=L$2,$F571&gt;=L$2),1,0)</f>
        <v/>
      </c>
      <c r="M571">
        <f>M570+IF(AND($E571&lt;&gt;"",$E571&lt;=M$2,$F571&gt;=M$2),1,0)</f>
        <v/>
      </c>
      <c r="N571">
        <f>N570+IF(AND($E571&lt;&gt;"",$E571&lt;=N$2,$F571&gt;=N$2),1,0)</f>
        <v/>
      </c>
      <c r="O571">
        <f>O570+IF(AND($E571&lt;&gt;"",$E571&lt;=O$2,$F571&gt;=O$2),1,0)</f>
        <v/>
      </c>
      <c r="P571">
        <f>P570+IF(AND($E571&lt;&gt;"",$E571&lt;=P$2,$F571&gt;=P$2),1,0)</f>
        <v/>
      </c>
      <c r="Q571">
        <f>Q570+IF(AND($E571&lt;&gt;"",$E571&lt;=Q$2,$F571&gt;=Q$2),1,0)</f>
        <v/>
      </c>
      <c r="R571">
        <f>R570+IF(AND($E571&lt;&gt;"",$E571&lt;=R$2,$F571&gt;=R$2),1,0)</f>
        <v/>
      </c>
      <c r="S571">
        <f>S570+IF(AND($E571&lt;&gt;"",$E571&lt;=S$2,$F571&gt;=S$2),1,0)</f>
        <v/>
      </c>
      <c r="T571">
        <f>T570+IF(AND($E571&lt;&gt;"",$E571&lt;=T$2,$F571&gt;=T$2),1,0)</f>
        <v/>
      </c>
      <c r="U571">
        <f>U570+IF(AND($E571&lt;&gt;"",$E571&lt;=U$2,$F571&gt;=U$2),1,0)</f>
        <v/>
      </c>
      <c r="V571">
        <f>V570+IF(AND($E571&lt;&gt;"",$E571&lt;=V$2,$F571&gt;=V$2),1,0)</f>
        <v/>
      </c>
      <c r="W571">
        <f>W570+IF(AND($E571&lt;&gt;"",$E571&lt;=W$2,$F571&gt;=W$2),1,0)</f>
        <v/>
      </c>
      <c r="X571">
        <f>X570+IF(AND($E571&lt;&gt;"",$E571&lt;=X$2,$F571&gt;=X$2),1,0)</f>
        <v/>
      </c>
      <c r="Y571">
        <f>Y570+IF(AND($E571&lt;&gt;"",$E571&lt;=Y$2,$F571&gt;=Y$2),1,0)</f>
        <v/>
      </c>
      <c r="Z571">
        <f>Z570+IF(AND($E571&lt;&gt;"",$E571&lt;=Z$2,$F571&gt;=Z$2),1,0)</f>
        <v/>
      </c>
      <c r="AA571">
        <f>AA570+IF(AND($E571&lt;&gt;"",$E571&lt;=AA$2,$F571&gt;=AA$2),1,0)</f>
        <v/>
      </c>
      <c r="AB571">
        <f>AB570+IF(AND($E571&lt;&gt;"",$E571&lt;=AB$2,$F571&gt;=AB$2),1,0)</f>
        <v/>
      </c>
      <c r="AC571">
        <f>AC570+IF(AND($E571&lt;&gt;"",$E571&lt;=AC$2,$F571&gt;=AC$2),1,0)</f>
        <v/>
      </c>
      <c r="AD571">
        <f>AD570+IF(AND($E571&lt;&gt;"",$E571&lt;=AD$2,$F571&gt;=AD$2),1,0)</f>
        <v/>
      </c>
      <c r="AE571">
        <f>AE570+IF(AND($E571&lt;&gt;"",$E571&lt;=AE$2,$F571&gt;=AE$2),1,0)</f>
        <v/>
      </c>
      <c r="AF571">
        <f>AF570+IF(AND($E571&lt;&gt;"",$E571&lt;=AF$2,$F571&gt;=AF$2),1,0)</f>
        <v/>
      </c>
      <c r="AG571">
        <f>AG570+IF(AND($E571&lt;&gt;"",$E571&lt;=AG$2,$F571&gt;=AG$2),1,0)</f>
        <v/>
      </c>
      <c r="AH571">
        <f>AH570+IF(AND($E571&lt;&gt;"",$E571&lt;=AH$2,$F571&gt;=AH$2),1,0)</f>
        <v/>
      </c>
      <c r="AI571">
        <f>AI570+IF(AND($E571&lt;&gt;"",$E571&lt;=AI$2,$F571&gt;=AI$2),1,0)</f>
        <v/>
      </c>
      <c r="AJ571">
        <f>AJ570+IF(AND($E571&lt;&gt;"",$E571&lt;=AJ$2,$F571&gt;=AJ$2),1,0)</f>
        <v/>
      </c>
      <c r="AK571">
        <f>AK570+IF(AND($E571&lt;&gt;"",$E571&lt;=AK$2,$F571&gt;=AK$2),1,0)</f>
        <v/>
      </c>
      <c r="AL571">
        <f>AL570+IF(AND($E571&lt;&gt;"",$E571&lt;=AL$2,$F571&gt;=AL$2),1,0)</f>
        <v/>
      </c>
      <c r="AM571">
        <f>AM570+IF(AND($E571&lt;&gt;"",$E571&lt;=AM$2,$F571&gt;=AM$2),1,0)</f>
        <v/>
      </c>
      <c r="AN571">
        <f>AN570+IF(AND($E571&lt;&gt;"",$E571&lt;=AN$2,$F571&gt;=AN$2),1,0)</f>
        <v/>
      </c>
      <c r="AO571">
        <f>AO570+IF(AND($E571&lt;&gt;"",$E571&lt;=AO$2,$F571&gt;=AO$2),1,0)</f>
        <v/>
      </c>
      <c r="AP571">
        <f>AP570+IF(AND($E571&lt;&gt;"",$E571&lt;=AP$2,$F571&gt;=AP$2),1,0)</f>
        <v/>
      </c>
      <c r="AQ571">
        <f>AQ570+IF(AND($E571&lt;&gt;"",$E571&lt;=AQ$2,$F571&gt;=AQ$2),1,0)</f>
        <v/>
      </c>
      <c r="AR571">
        <f>AR570+IF(AND($E571&lt;&gt;"",$E571&lt;=AR$2,$F571&gt;=AR$2),1,0)</f>
        <v/>
      </c>
      <c r="AS571">
        <f>AS570+IF(AND($E571&lt;&gt;"",$E571&lt;=AS$2,$F571&gt;=AS$2),1,0)</f>
        <v/>
      </c>
      <c r="AT571">
        <f>AT570+IF(AND($E571&lt;&gt;"",$E571&lt;=AT$2,$F571&gt;=AT$2),1,0)</f>
        <v/>
      </c>
      <c r="AU571">
        <f>AU570+IF(AND($E571&lt;&gt;"",$E571&lt;=AU$2,$F571&gt;=AU$2),1,0)</f>
        <v/>
      </c>
      <c r="AV571">
        <f>AV570+IF(AND($E571&lt;&gt;"",$E571&lt;=AV$2,$F571&gt;=AV$2),1,0)</f>
        <v/>
      </c>
      <c r="AW571">
        <f>AW570+IF(AND($E571&lt;&gt;"",$E571&lt;=AW$2,$F571&gt;=AW$2),1,0)</f>
        <v/>
      </c>
    </row>
    <row r="572">
      <c r="A572">
        <f>IF(AND(ISNUMBER(Events!$A574),ISNUMBER(Events!$B574)),MAX(0,Events!$B574-Events!$A574),0)</f>
        <v/>
      </c>
      <c r="B572">
        <f>IF(ISNUMBER(Events!$A574),DATE(YEAR($B$1)-1,MONTH(Events!$A574),DAY(Events!$A574)),"")</f>
        <v/>
      </c>
      <c r="C572">
        <f>IF(ISNUMBER(Events!$A574),DATE(YEAR($B$1),MONTH(Events!$A574),DAY(Events!$A574)),"")</f>
        <v/>
      </c>
      <c r="D572">
        <f>IF(ISNUMBER(Events!$A574),DATE(YEAR($B$2),MONTH(Events!$A574),DAY(Events!$A574)),"")</f>
        <v/>
      </c>
      <c r="E572">
        <f>IF(OR(NOT(ISNUMBER(Events!$A574)),Events!$G574="No",Calendar!$H$4="None"),"",IF(OR(Calendar!$H$4="All events",Events!$D574=Calendar!$H$4),IF(Events!$E574="Yes",IF(AND(B572&gt;=Events!$A574,B572&lt;=$B$2,B572+$A572&gt;=$B$1),B572,IF(AND(C572&gt;=Events!$A574,C572&lt;=$B$2,C572+$A572&gt;=$B$1),C572,IF(AND(D572&gt;=Events!$A574,D572&lt;=$B$2,D572+$A572&gt;=$B$1),D572,""))),IF(AND(Events!$A574&lt;=$B$2,Events!$A574+$A572&gt;=$B$1),Events!$A574,"")),""))</f>
        <v/>
      </c>
      <c r="F572">
        <f>IF(E572="","",E572+A572)</f>
        <v/>
      </c>
      <c r="G572">
        <f>IF(E572="","",IF(AND(E572&lt;=EOMONTH(Calendar!$K$2,0),F572&gt;=Calendar!$K$2),E572+569/100000,""))</f>
        <v/>
      </c>
      <c r="H572">
        <f>H571+IF(AND($E572&lt;&gt;"",$E572&lt;=H$2,$F572&gt;=H$2),1,0)</f>
        <v/>
      </c>
      <c r="I572">
        <f>I571+IF(AND($E572&lt;&gt;"",$E572&lt;=I$2,$F572&gt;=I$2),1,0)</f>
        <v/>
      </c>
      <c r="J572">
        <f>J571+IF(AND($E572&lt;&gt;"",$E572&lt;=J$2,$F572&gt;=J$2),1,0)</f>
        <v/>
      </c>
      <c r="K572">
        <f>K571+IF(AND($E572&lt;&gt;"",$E572&lt;=K$2,$F572&gt;=K$2),1,0)</f>
        <v/>
      </c>
      <c r="L572">
        <f>L571+IF(AND($E572&lt;&gt;"",$E572&lt;=L$2,$F572&gt;=L$2),1,0)</f>
        <v/>
      </c>
      <c r="M572">
        <f>M571+IF(AND($E572&lt;&gt;"",$E572&lt;=M$2,$F572&gt;=M$2),1,0)</f>
        <v/>
      </c>
      <c r="N572">
        <f>N571+IF(AND($E572&lt;&gt;"",$E572&lt;=N$2,$F572&gt;=N$2),1,0)</f>
        <v/>
      </c>
      <c r="O572">
        <f>O571+IF(AND($E572&lt;&gt;"",$E572&lt;=O$2,$F572&gt;=O$2),1,0)</f>
        <v/>
      </c>
      <c r="P572">
        <f>P571+IF(AND($E572&lt;&gt;"",$E572&lt;=P$2,$F572&gt;=P$2),1,0)</f>
        <v/>
      </c>
      <c r="Q572">
        <f>Q571+IF(AND($E572&lt;&gt;"",$E572&lt;=Q$2,$F572&gt;=Q$2),1,0)</f>
        <v/>
      </c>
      <c r="R572">
        <f>R571+IF(AND($E572&lt;&gt;"",$E572&lt;=R$2,$F572&gt;=R$2),1,0)</f>
        <v/>
      </c>
      <c r="S572">
        <f>S571+IF(AND($E572&lt;&gt;"",$E572&lt;=S$2,$F572&gt;=S$2),1,0)</f>
        <v/>
      </c>
      <c r="T572">
        <f>T571+IF(AND($E572&lt;&gt;"",$E572&lt;=T$2,$F572&gt;=T$2),1,0)</f>
        <v/>
      </c>
      <c r="U572">
        <f>U571+IF(AND($E572&lt;&gt;"",$E572&lt;=U$2,$F572&gt;=U$2),1,0)</f>
        <v/>
      </c>
      <c r="V572">
        <f>V571+IF(AND($E572&lt;&gt;"",$E572&lt;=V$2,$F572&gt;=V$2),1,0)</f>
        <v/>
      </c>
      <c r="W572">
        <f>W571+IF(AND($E572&lt;&gt;"",$E572&lt;=W$2,$F572&gt;=W$2),1,0)</f>
        <v/>
      </c>
      <c r="X572">
        <f>X571+IF(AND($E572&lt;&gt;"",$E572&lt;=X$2,$F572&gt;=X$2),1,0)</f>
        <v/>
      </c>
      <c r="Y572">
        <f>Y571+IF(AND($E572&lt;&gt;"",$E572&lt;=Y$2,$F572&gt;=Y$2),1,0)</f>
        <v/>
      </c>
      <c r="Z572">
        <f>Z571+IF(AND($E572&lt;&gt;"",$E572&lt;=Z$2,$F572&gt;=Z$2),1,0)</f>
        <v/>
      </c>
      <c r="AA572">
        <f>AA571+IF(AND($E572&lt;&gt;"",$E572&lt;=AA$2,$F572&gt;=AA$2),1,0)</f>
        <v/>
      </c>
      <c r="AB572">
        <f>AB571+IF(AND($E572&lt;&gt;"",$E572&lt;=AB$2,$F572&gt;=AB$2),1,0)</f>
        <v/>
      </c>
      <c r="AC572">
        <f>AC571+IF(AND($E572&lt;&gt;"",$E572&lt;=AC$2,$F572&gt;=AC$2),1,0)</f>
        <v/>
      </c>
      <c r="AD572">
        <f>AD571+IF(AND($E572&lt;&gt;"",$E572&lt;=AD$2,$F572&gt;=AD$2),1,0)</f>
        <v/>
      </c>
      <c r="AE572">
        <f>AE571+IF(AND($E572&lt;&gt;"",$E572&lt;=AE$2,$F572&gt;=AE$2),1,0)</f>
        <v/>
      </c>
      <c r="AF572">
        <f>AF571+IF(AND($E572&lt;&gt;"",$E572&lt;=AF$2,$F572&gt;=AF$2),1,0)</f>
        <v/>
      </c>
      <c r="AG572">
        <f>AG571+IF(AND($E572&lt;&gt;"",$E572&lt;=AG$2,$F572&gt;=AG$2),1,0)</f>
        <v/>
      </c>
      <c r="AH572">
        <f>AH571+IF(AND($E572&lt;&gt;"",$E572&lt;=AH$2,$F572&gt;=AH$2),1,0)</f>
        <v/>
      </c>
      <c r="AI572">
        <f>AI571+IF(AND($E572&lt;&gt;"",$E572&lt;=AI$2,$F572&gt;=AI$2),1,0)</f>
        <v/>
      </c>
      <c r="AJ572">
        <f>AJ571+IF(AND($E572&lt;&gt;"",$E572&lt;=AJ$2,$F572&gt;=AJ$2),1,0)</f>
        <v/>
      </c>
      <c r="AK572">
        <f>AK571+IF(AND($E572&lt;&gt;"",$E572&lt;=AK$2,$F572&gt;=AK$2),1,0)</f>
        <v/>
      </c>
      <c r="AL572">
        <f>AL571+IF(AND($E572&lt;&gt;"",$E572&lt;=AL$2,$F572&gt;=AL$2),1,0)</f>
        <v/>
      </c>
      <c r="AM572">
        <f>AM571+IF(AND($E572&lt;&gt;"",$E572&lt;=AM$2,$F572&gt;=AM$2),1,0)</f>
        <v/>
      </c>
      <c r="AN572">
        <f>AN571+IF(AND($E572&lt;&gt;"",$E572&lt;=AN$2,$F572&gt;=AN$2),1,0)</f>
        <v/>
      </c>
      <c r="AO572">
        <f>AO571+IF(AND($E572&lt;&gt;"",$E572&lt;=AO$2,$F572&gt;=AO$2),1,0)</f>
        <v/>
      </c>
      <c r="AP572">
        <f>AP571+IF(AND($E572&lt;&gt;"",$E572&lt;=AP$2,$F572&gt;=AP$2),1,0)</f>
        <v/>
      </c>
      <c r="AQ572">
        <f>AQ571+IF(AND($E572&lt;&gt;"",$E572&lt;=AQ$2,$F572&gt;=AQ$2),1,0)</f>
        <v/>
      </c>
      <c r="AR572">
        <f>AR571+IF(AND($E572&lt;&gt;"",$E572&lt;=AR$2,$F572&gt;=AR$2),1,0)</f>
        <v/>
      </c>
      <c r="AS572">
        <f>AS571+IF(AND($E572&lt;&gt;"",$E572&lt;=AS$2,$F572&gt;=AS$2),1,0)</f>
        <v/>
      </c>
      <c r="AT572">
        <f>AT571+IF(AND($E572&lt;&gt;"",$E572&lt;=AT$2,$F572&gt;=AT$2),1,0)</f>
        <v/>
      </c>
      <c r="AU572">
        <f>AU571+IF(AND($E572&lt;&gt;"",$E572&lt;=AU$2,$F572&gt;=AU$2),1,0)</f>
        <v/>
      </c>
      <c r="AV572">
        <f>AV571+IF(AND($E572&lt;&gt;"",$E572&lt;=AV$2,$F572&gt;=AV$2),1,0)</f>
        <v/>
      </c>
      <c r="AW572">
        <f>AW571+IF(AND($E572&lt;&gt;"",$E572&lt;=AW$2,$F572&gt;=AW$2),1,0)</f>
        <v/>
      </c>
    </row>
    <row r="573">
      <c r="A573">
        <f>IF(AND(ISNUMBER(Events!$A575),ISNUMBER(Events!$B575)),MAX(0,Events!$B575-Events!$A575),0)</f>
        <v/>
      </c>
      <c r="B573">
        <f>IF(ISNUMBER(Events!$A575),DATE(YEAR($B$1)-1,MONTH(Events!$A575),DAY(Events!$A575)),"")</f>
        <v/>
      </c>
      <c r="C573">
        <f>IF(ISNUMBER(Events!$A575),DATE(YEAR($B$1),MONTH(Events!$A575),DAY(Events!$A575)),"")</f>
        <v/>
      </c>
      <c r="D573">
        <f>IF(ISNUMBER(Events!$A575),DATE(YEAR($B$2),MONTH(Events!$A575),DAY(Events!$A575)),"")</f>
        <v/>
      </c>
      <c r="E573">
        <f>IF(OR(NOT(ISNUMBER(Events!$A575)),Events!$G575="No",Calendar!$H$4="None"),"",IF(OR(Calendar!$H$4="All events",Events!$D575=Calendar!$H$4),IF(Events!$E575="Yes",IF(AND(B573&gt;=Events!$A575,B573&lt;=$B$2,B573+$A573&gt;=$B$1),B573,IF(AND(C573&gt;=Events!$A575,C573&lt;=$B$2,C573+$A573&gt;=$B$1),C573,IF(AND(D573&gt;=Events!$A575,D573&lt;=$B$2,D573+$A573&gt;=$B$1),D573,""))),IF(AND(Events!$A575&lt;=$B$2,Events!$A575+$A573&gt;=$B$1),Events!$A575,"")),""))</f>
        <v/>
      </c>
      <c r="F573">
        <f>IF(E573="","",E573+A573)</f>
        <v/>
      </c>
      <c r="G573">
        <f>IF(E573="","",IF(AND(E573&lt;=EOMONTH(Calendar!$K$2,0),F573&gt;=Calendar!$K$2),E573+570/100000,""))</f>
        <v/>
      </c>
      <c r="H573">
        <f>H572+IF(AND($E573&lt;&gt;"",$E573&lt;=H$2,$F573&gt;=H$2),1,0)</f>
        <v/>
      </c>
      <c r="I573">
        <f>I572+IF(AND($E573&lt;&gt;"",$E573&lt;=I$2,$F573&gt;=I$2),1,0)</f>
        <v/>
      </c>
      <c r="J573">
        <f>J572+IF(AND($E573&lt;&gt;"",$E573&lt;=J$2,$F573&gt;=J$2),1,0)</f>
        <v/>
      </c>
      <c r="K573">
        <f>K572+IF(AND($E573&lt;&gt;"",$E573&lt;=K$2,$F573&gt;=K$2),1,0)</f>
        <v/>
      </c>
      <c r="L573">
        <f>L572+IF(AND($E573&lt;&gt;"",$E573&lt;=L$2,$F573&gt;=L$2),1,0)</f>
        <v/>
      </c>
      <c r="M573">
        <f>M572+IF(AND($E573&lt;&gt;"",$E573&lt;=M$2,$F573&gt;=M$2),1,0)</f>
        <v/>
      </c>
      <c r="N573">
        <f>N572+IF(AND($E573&lt;&gt;"",$E573&lt;=N$2,$F573&gt;=N$2),1,0)</f>
        <v/>
      </c>
      <c r="O573">
        <f>O572+IF(AND($E573&lt;&gt;"",$E573&lt;=O$2,$F573&gt;=O$2),1,0)</f>
        <v/>
      </c>
      <c r="P573">
        <f>P572+IF(AND($E573&lt;&gt;"",$E573&lt;=P$2,$F573&gt;=P$2),1,0)</f>
        <v/>
      </c>
      <c r="Q573">
        <f>Q572+IF(AND($E573&lt;&gt;"",$E573&lt;=Q$2,$F573&gt;=Q$2),1,0)</f>
        <v/>
      </c>
      <c r="R573">
        <f>R572+IF(AND($E573&lt;&gt;"",$E573&lt;=R$2,$F573&gt;=R$2),1,0)</f>
        <v/>
      </c>
      <c r="S573">
        <f>S572+IF(AND($E573&lt;&gt;"",$E573&lt;=S$2,$F573&gt;=S$2),1,0)</f>
        <v/>
      </c>
      <c r="T573">
        <f>T572+IF(AND($E573&lt;&gt;"",$E573&lt;=T$2,$F573&gt;=T$2),1,0)</f>
        <v/>
      </c>
      <c r="U573">
        <f>U572+IF(AND($E573&lt;&gt;"",$E573&lt;=U$2,$F573&gt;=U$2),1,0)</f>
        <v/>
      </c>
      <c r="V573">
        <f>V572+IF(AND($E573&lt;&gt;"",$E573&lt;=V$2,$F573&gt;=V$2),1,0)</f>
        <v/>
      </c>
      <c r="W573">
        <f>W572+IF(AND($E573&lt;&gt;"",$E573&lt;=W$2,$F573&gt;=W$2),1,0)</f>
        <v/>
      </c>
      <c r="X573">
        <f>X572+IF(AND($E573&lt;&gt;"",$E573&lt;=X$2,$F573&gt;=X$2),1,0)</f>
        <v/>
      </c>
      <c r="Y573">
        <f>Y572+IF(AND($E573&lt;&gt;"",$E573&lt;=Y$2,$F573&gt;=Y$2),1,0)</f>
        <v/>
      </c>
      <c r="Z573">
        <f>Z572+IF(AND($E573&lt;&gt;"",$E573&lt;=Z$2,$F573&gt;=Z$2),1,0)</f>
        <v/>
      </c>
      <c r="AA573">
        <f>AA572+IF(AND($E573&lt;&gt;"",$E573&lt;=AA$2,$F573&gt;=AA$2),1,0)</f>
        <v/>
      </c>
      <c r="AB573">
        <f>AB572+IF(AND($E573&lt;&gt;"",$E573&lt;=AB$2,$F573&gt;=AB$2),1,0)</f>
        <v/>
      </c>
      <c r="AC573">
        <f>AC572+IF(AND($E573&lt;&gt;"",$E573&lt;=AC$2,$F573&gt;=AC$2),1,0)</f>
        <v/>
      </c>
      <c r="AD573">
        <f>AD572+IF(AND($E573&lt;&gt;"",$E573&lt;=AD$2,$F573&gt;=AD$2),1,0)</f>
        <v/>
      </c>
      <c r="AE573">
        <f>AE572+IF(AND($E573&lt;&gt;"",$E573&lt;=AE$2,$F573&gt;=AE$2),1,0)</f>
        <v/>
      </c>
      <c r="AF573">
        <f>AF572+IF(AND($E573&lt;&gt;"",$E573&lt;=AF$2,$F573&gt;=AF$2),1,0)</f>
        <v/>
      </c>
      <c r="AG573">
        <f>AG572+IF(AND($E573&lt;&gt;"",$E573&lt;=AG$2,$F573&gt;=AG$2),1,0)</f>
        <v/>
      </c>
      <c r="AH573">
        <f>AH572+IF(AND($E573&lt;&gt;"",$E573&lt;=AH$2,$F573&gt;=AH$2),1,0)</f>
        <v/>
      </c>
      <c r="AI573">
        <f>AI572+IF(AND($E573&lt;&gt;"",$E573&lt;=AI$2,$F573&gt;=AI$2),1,0)</f>
        <v/>
      </c>
      <c r="AJ573">
        <f>AJ572+IF(AND($E573&lt;&gt;"",$E573&lt;=AJ$2,$F573&gt;=AJ$2),1,0)</f>
        <v/>
      </c>
      <c r="AK573">
        <f>AK572+IF(AND($E573&lt;&gt;"",$E573&lt;=AK$2,$F573&gt;=AK$2),1,0)</f>
        <v/>
      </c>
      <c r="AL573">
        <f>AL572+IF(AND($E573&lt;&gt;"",$E573&lt;=AL$2,$F573&gt;=AL$2),1,0)</f>
        <v/>
      </c>
      <c r="AM573">
        <f>AM572+IF(AND($E573&lt;&gt;"",$E573&lt;=AM$2,$F573&gt;=AM$2),1,0)</f>
        <v/>
      </c>
      <c r="AN573">
        <f>AN572+IF(AND($E573&lt;&gt;"",$E573&lt;=AN$2,$F573&gt;=AN$2),1,0)</f>
        <v/>
      </c>
      <c r="AO573">
        <f>AO572+IF(AND($E573&lt;&gt;"",$E573&lt;=AO$2,$F573&gt;=AO$2),1,0)</f>
        <v/>
      </c>
      <c r="AP573">
        <f>AP572+IF(AND($E573&lt;&gt;"",$E573&lt;=AP$2,$F573&gt;=AP$2),1,0)</f>
        <v/>
      </c>
      <c r="AQ573">
        <f>AQ572+IF(AND($E573&lt;&gt;"",$E573&lt;=AQ$2,$F573&gt;=AQ$2),1,0)</f>
        <v/>
      </c>
      <c r="AR573">
        <f>AR572+IF(AND($E573&lt;&gt;"",$E573&lt;=AR$2,$F573&gt;=AR$2),1,0)</f>
        <v/>
      </c>
      <c r="AS573">
        <f>AS572+IF(AND($E573&lt;&gt;"",$E573&lt;=AS$2,$F573&gt;=AS$2),1,0)</f>
        <v/>
      </c>
      <c r="AT573">
        <f>AT572+IF(AND($E573&lt;&gt;"",$E573&lt;=AT$2,$F573&gt;=AT$2),1,0)</f>
        <v/>
      </c>
      <c r="AU573">
        <f>AU572+IF(AND($E573&lt;&gt;"",$E573&lt;=AU$2,$F573&gt;=AU$2),1,0)</f>
        <v/>
      </c>
      <c r="AV573">
        <f>AV572+IF(AND($E573&lt;&gt;"",$E573&lt;=AV$2,$F573&gt;=AV$2),1,0)</f>
        <v/>
      </c>
      <c r="AW573">
        <f>AW572+IF(AND($E573&lt;&gt;"",$E573&lt;=AW$2,$F573&gt;=AW$2),1,0)</f>
        <v/>
      </c>
    </row>
    <row r="574">
      <c r="A574">
        <f>IF(AND(ISNUMBER(Events!$A576),ISNUMBER(Events!$B576)),MAX(0,Events!$B576-Events!$A576),0)</f>
        <v/>
      </c>
      <c r="B574">
        <f>IF(ISNUMBER(Events!$A576),DATE(YEAR($B$1)-1,MONTH(Events!$A576),DAY(Events!$A576)),"")</f>
        <v/>
      </c>
      <c r="C574">
        <f>IF(ISNUMBER(Events!$A576),DATE(YEAR($B$1),MONTH(Events!$A576),DAY(Events!$A576)),"")</f>
        <v/>
      </c>
      <c r="D574">
        <f>IF(ISNUMBER(Events!$A576),DATE(YEAR($B$2),MONTH(Events!$A576),DAY(Events!$A576)),"")</f>
        <v/>
      </c>
      <c r="E574">
        <f>IF(OR(NOT(ISNUMBER(Events!$A576)),Events!$G576="No",Calendar!$H$4="None"),"",IF(OR(Calendar!$H$4="All events",Events!$D576=Calendar!$H$4),IF(Events!$E576="Yes",IF(AND(B574&gt;=Events!$A576,B574&lt;=$B$2,B574+$A574&gt;=$B$1),B574,IF(AND(C574&gt;=Events!$A576,C574&lt;=$B$2,C574+$A574&gt;=$B$1),C574,IF(AND(D574&gt;=Events!$A576,D574&lt;=$B$2,D574+$A574&gt;=$B$1),D574,""))),IF(AND(Events!$A576&lt;=$B$2,Events!$A576+$A574&gt;=$B$1),Events!$A576,"")),""))</f>
        <v/>
      </c>
      <c r="F574">
        <f>IF(E574="","",E574+A574)</f>
        <v/>
      </c>
      <c r="G574">
        <f>IF(E574="","",IF(AND(E574&lt;=EOMONTH(Calendar!$K$2,0),F574&gt;=Calendar!$K$2),E574+571/100000,""))</f>
        <v/>
      </c>
      <c r="H574">
        <f>H573+IF(AND($E574&lt;&gt;"",$E574&lt;=H$2,$F574&gt;=H$2),1,0)</f>
        <v/>
      </c>
      <c r="I574">
        <f>I573+IF(AND($E574&lt;&gt;"",$E574&lt;=I$2,$F574&gt;=I$2),1,0)</f>
        <v/>
      </c>
      <c r="J574">
        <f>J573+IF(AND($E574&lt;&gt;"",$E574&lt;=J$2,$F574&gt;=J$2),1,0)</f>
        <v/>
      </c>
      <c r="K574">
        <f>K573+IF(AND($E574&lt;&gt;"",$E574&lt;=K$2,$F574&gt;=K$2),1,0)</f>
        <v/>
      </c>
      <c r="L574">
        <f>L573+IF(AND($E574&lt;&gt;"",$E574&lt;=L$2,$F574&gt;=L$2),1,0)</f>
        <v/>
      </c>
      <c r="M574">
        <f>M573+IF(AND($E574&lt;&gt;"",$E574&lt;=M$2,$F574&gt;=M$2),1,0)</f>
        <v/>
      </c>
      <c r="N574">
        <f>N573+IF(AND($E574&lt;&gt;"",$E574&lt;=N$2,$F574&gt;=N$2),1,0)</f>
        <v/>
      </c>
      <c r="O574">
        <f>O573+IF(AND($E574&lt;&gt;"",$E574&lt;=O$2,$F574&gt;=O$2),1,0)</f>
        <v/>
      </c>
      <c r="P574">
        <f>P573+IF(AND($E574&lt;&gt;"",$E574&lt;=P$2,$F574&gt;=P$2),1,0)</f>
        <v/>
      </c>
      <c r="Q574">
        <f>Q573+IF(AND($E574&lt;&gt;"",$E574&lt;=Q$2,$F574&gt;=Q$2),1,0)</f>
        <v/>
      </c>
      <c r="R574">
        <f>R573+IF(AND($E574&lt;&gt;"",$E574&lt;=R$2,$F574&gt;=R$2),1,0)</f>
        <v/>
      </c>
      <c r="S574">
        <f>S573+IF(AND($E574&lt;&gt;"",$E574&lt;=S$2,$F574&gt;=S$2),1,0)</f>
        <v/>
      </c>
      <c r="T574">
        <f>T573+IF(AND($E574&lt;&gt;"",$E574&lt;=T$2,$F574&gt;=T$2),1,0)</f>
        <v/>
      </c>
      <c r="U574">
        <f>U573+IF(AND($E574&lt;&gt;"",$E574&lt;=U$2,$F574&gt;=U$2),1,0)</f>
        <v/>
      </c>
      <c r="V574">
        <f>V573+IF(AND($E574&lt;&gt;"",$E574&lt;=V$2,$F574&gt;=V$2),1,0)</f>
        <v/>
      </c>
      <c r="W574">
        <f>W573+IF(AND($E574&lt;&gt;"",$E574&lt;=W$2,$F574&gt;=W$2),1,0)</f>
        <v/>
      </c>
      <c r="X574">
        <f>X573+IF(AND($E574&lt;&gt;"",$E574&lt;=X$2,$F574&gt;=X$2),1,0)</f>
        <v/>
      </c>
      <c r="Y574">
        <f>Y573+IF(AND($E574&lt;&gt;"",$E574&lt;=Y$2,$F574&gt;=Y$2),1,0)</f>
        <v/>
      </c>
      <c r="Z574">
        <f>Z573+IF(AND($E574&lt;&gt;"",$E574&lt;=Z$2,$F574&gt;=Z$2),1,0)</f>
        <v/>
      </c>
      <c r="AA574">
        <f>AA573+IF(AND($E574&lt;&gt;"",$E574&lt;=AA$2,$F574&gt;=AA$2),1,0)</f>
        <v/>
      </c>
      <c r="AB574">
        <f>AB573+IF(AND($E574&lt;&gt;"",$E574&lt;=AB$2,$F574&gt;=AB$2),1,0)</f>
        <v/>
      </c>
      <c r="AC574">
        <f>AC573+IF(AND($E574&lt;&gt;"",$E574&lt;=AC$2,$F574&gt;=AC$2),1,0)</f>
        <v/>
      </c>
      <c r="AD574">
        <f>AD573+IF(AND($E574&lt;&gt;"",$E574&lt;=AD$2,$F574&gt;=AD$2),1,0)</f>
        <v/>
      </c>
      <c r="AE574">
        <f>AE573+IF(AND($E574&lt;&gt;"",$E574&lt;=AE$2,$F574&gt;=AE$2),1,0)</f>
        <v/>
      </c>
      <c r="AF574">
        <f>AF573+IF(AND($E574&lt;&gt;"",$E574&lt;=AF$2,$F574&gt;=AF$2),1,0)</f>
        <v/>
      </c>
      <c r="AG574">
        <f>AG573+IF(AND($E574&lt;&gt;"",$E574&lt;=AG$2,$F574&gt;=AG$2),1,0)</f>
        <v/>
      </c>
      <c r="AH574">
        <f>AH573+IF(AND($E574&lt;&gt;"",$E574&lt;=AH$2,$F574&gt;=AH$2),1,0)</f>
        <v/>
      </c>
      <c r="AI574">
        <f>AI573+IF(AND($E574&lt;&gt;"",$E574&lt;=AI$2,$F574&gt;=AI$2),1,0)</f>
        <v/>
      </c>
      <c r="AJ574">
        <f>AJ573+IF(AND($E574&lt;&gt;"",$E574&lt;=AJ$2,$F574&gt;=AJ$2),1,0)</f>
        <v/>
      </c>
      <c r="AK574">
        <f>AK573+IF(AND($E574&lt;&gt;"",$E574&lt;=AK$2,$F574&gt;=AK$2),1,0)</f>
        <v/>
      </c>
      <c r="AL574">
        <f>AL573+IF(AND($E574&lt;&gt;"",$E574&lt;=AL$2,$F574&gt;=AL$2),1,0)</f>
        <v/>
      </c>
      <c r="AM574">
        <f>AM573+IF(AND($E574&lt;&gt;"",$E574&lt;=AM$2,$F574&gt;=AM$2),1,0)</f>
        <v/>
      </c>
      <c r="AN574">
        <f>AN573+IF(AND($E574&lt;&gt;"",$E574&lt;=AN$2,$F574&gt;=AN$2),1,0)</f>
        <v/>
      </c>
      <c r="AO574">
        <f>AO573+IF(AND($E574&lt;&gt;"",$E574&lt;=AO$2,$F574&gt;=AO$2),1,0)</f>
        <v/>
      </c>
      <c r="AP574">
        <f>AP573+IF(AND($E574&lt;&gt;"",$E574&lt;=AP$2,$F574&gt;=AP$2),1,0)</f>
        <v/>
      </c>
      <c r="AQ574">
        <f>AQ573+IF(AND($E574&lt;&gt;"",$E574&lt;=AQ$2,$F574&gt;=AQ$2),1,0)</f>
        <v/>
      </c>
      <c r="AR574">
        <f>AR573+IF(AND($E574&lt;&gt;"",$E574&lt;=AR$2,$F574&gt;=AR$2),1,0)</f>
        <v/>
      </c>
      <c r="AS574">
        <f>AS573+IF(AND($E574&lt;&gt;"",$E574&lt;=AS$2,$F574&gt;=AS$2),1,0)</f>
        <v/>
      </c>
      <c r="AT574">
        <f>AT573+IF(AND($E574&lt;&gt;"",$E574&lt;=AT$2,$F574&gt;=AT$2),1,0)</f>
        <v/>
      </c>
      <c r="AU574">
        <f>AU573+IF(AND($E574&lt;&gt;"",$E574&lt;=AU$2,$F574&gt;=AU$2),1,0)</f>
        <v/>
      </c>
      <c r="AV574">
        <f>AV573+IF(AND($E574&lt;&gt;"",$E574&lt;=AV$2,$F574&gt;=AV$2),1,0)</f>
        <v/>
      </c>
      <c r="AW574">
        <f>AW573+IF(AND($E574&lt;&gt;"",$E574&lt;=AW$2,$F574&gt;=AW$2),1,0)</f>
        <v/>
      </c>
    </row>
    <row r="575">
      <c r="A575">
        <f>IF(AND(ISNUMBER(Events!$A577),ISNUMBER(Events!$B577)),MAX(0,Events!$B577-Events!$A577),0)</f>
        <v/>
      </c>
      <c r="B575">
        <f>IF(ISNUMBER(Events!$A577),DATE(YEAR($B$1)-1,MONTH(Events!$A577),DAY(Events!$A577)),"")</f>
        <v/>
      </c>
      <c r="C575">
        <f>IF(ISNUMBER(Events!$A577),DATE(YEAR($B$1),MONTH(Events!$A577),DAY(Events!$A577)),"")</f>
        <v/>
      </c>
      <c r="D575">
        <f>IF(ISNUMBER(Events!$A577),DATE(YEAR($B$2),MONTH(Events!$A577),DAY(Events!$A577)),"")</f>
        <v/>
      </c>
      <c r="E575">
        <f>IF(OR(NOT(ISNUMBER(Events!$A577)),Events!$G577="No",Calendar!$H$4="None"),"",IF(OR(Calendar!$H$4="All events",Events!$D577=Calendar!$H$4),IF(Events!$E577="Yes",IF(AND(B575&gt;=Events!$A577,B575&lt;=$B$2,B575+$A575&gt;=$B$1),B575,IF(AND(C575&gt;=Events!$A577,C575&lt;=$B$2,C575+$A575&gt;=$B$1),C575,IF(AND(D575&gt;=Events!$A577,D575&lt;=$B$2,D575+$A575&gt;=$B$1),D575,""))),IF(AND(Events!$A577&lt;=$B$2,Events!$A577+$A575&gt;=$B$1),Events!$A577,"")),""))</f>
        <v/>
      </c>
      <c r="F575">
        <f>IF(E575="","",E575+A575)</f>
        <v/>
      </c>
      <c r="G575">
        <f>IF(E575="","",IF(AND(E575&lt;=EOMONTH(Calendar!$K$2,0),F575&gt;=Calendar!$K$2),E575+572/100000,""))</f>
        <v/>
      </c>
      <c r="H575">
        <f>H574+IF(AND($E575&lt;&gt;"",$E575&lt;=H$2,$F575&gt;=H$2),1,0)</f>
        <v/>
      </c>
      <c r="I575">
        <f>I574+IF(AND($E575&lt;&gt;"",$E575&lt;=I$2,$F575&gt;=I$2),1,0)</f>
        <v/>
      </c>
      <c r="J575">
        <f>J574+IF(AND($E575&lt;&gt;"",$E575&lt;=J$2,$F575&gt;=J$2),1,0)</f>
        <v/>
      </c>
      <c r="K575">
        <f>K574+IF(AND($E575&lt;&gt;"",$E575&lt;=K$2,$F575&gt;=K$2),1,0)</f>
        <v/>
      </c>
      <c r="L575">
        <f>L574+IF(AND($E575&lt;&gt;"",$E575&lt;=L$2,$F575&gt;=L$2),1,0)</f>
        <v/>
      </c>
      <c r="M575">
        <f>M574+IF(AND($E575&lt;&gt;"",$E575&lt;=M$2,$F575&gt;=M$2),1,0)</f>
        <v/>
      </c>
      <c r="N575">
        <f>N574+IF(AND($E575&lt;&gt;"",$E575&lt;=N$2,$F575&gt;=N$2),1,0)</f>
        <v/>
      </c>
      <c r="O575">
        <f>O574+IF(AND($E575&lt;&gt;"",$E575&lt;=O$2,$F575&gt;=O$2),1,0)</f>
        <v/>
      </c>
      <c r="P575">
        <f>P574+IF(AND($E575&lt;&gt;"",$E575&lt;=P$2,$F575&gt;=P$2),1,0)</f>
        <v/>
      </c>
      <c r="Q575">
        <f>Q574+IF(AND($E575&lt;&gt;"",$E575&lt;=Q$2,$F575&gt;=Q$2),1,0)</f>
        <v/>
      </c>
      <c r="R575">
        <f>R574+IF(AND($E575&lt;&gt;"",$E575&lt;=R$2,$F575&gt;=R$2),1,0)</f>
        <v/>
      </c>
      <c r="S575">
        <f>S574+IF(AND($E575&lt;&gt;"",$E575&lt;=S$2,$F575&gt;=S$2),1,0)</f>
        <v/>
      </c>
      <c r="T575">
        <f>T574+IF(AND($E575&lt;&gt;"",$E575&lt;=T$2,$F575&gt;=T$2),1,0)</f>
        <v/>
      </c>
      <c r="U575">
        <f>U574+IF(AND($E575&lt;&gt;"",$E575&lt;=U$2,$F575&gt;=U$2),1,0)</f>
        <v/>
      </c>
      <c r="V575">
        <f>V574+IF(AND($E575&lt;&gt;"",$E575&lt;=V$2,$F575&gt;=V$2),1,0)</f>
        <v/>
      </c>
      <c r="W575">
        <f>W574+IF(AND($E575&lt;&gt;"",$E575&lt;=W$2,$F575&gt;=W$2),1,0)</f>
        <v/>
      </c>
      <c r="X575">
        <f>X574+IF(AND($E575&lt;&gt;"",$E575&lt;=X$2,$F575&gt;=X$2),1,0)</f>
        <v/>
      </c>
      <c r="Y575">
        <f>Y574+IF(AND($E575&lt;&gt;"",$E575&lt;=Y$2,$F575&gt;=Y$2),1,0)</f>
        <v/>
      </c>
      <c r="Z575">
        <f>Z574+IF(AND($E575&lt;&gt;"",$E575&lt;=Z$2,$F575&gt;=Z$2),1,0)</f>
        <v/>
      </c>
      <c r="AA575">
        <f>AA574+IF(AND($E575&lt;&gt;"",$E575&lt;=AA$2,$F575&gt;=AA$2),1,0)</f>
        <v/>
      </c>
      <c r="AB575">
        <f>AB574+IF(AND($E575&lt;&gt;"",$E575&lt;=AB$2,$F575&gt;=AB$2),1,0)</f>
        <v/>
      </c>
      <c r="AC575">
        <f>AC574+IF(AND($E575&lt;&gt;"",$E575&lt;=AC$2,$F575&gt;=AC$2),1,0)</f>
        <v/>
      </c>
      <c r="AD575">
        <f>AD574+IF(AND($E575&lt;&gt;"",$E575&lt;=AD$2,$F575&gt;=AD$2),1,0)</f>
        <v/>
      </c>
      <c r="AE575">
        <f>AE574+IF(AND($E575&lt;&gt;"",$E575&lt;=AE$2,$F575&gt;=AE$2),1,0)</f>
        <v/>
      </c>
      <c r="AF575">
        <f>AF574+IF(AND($E575&lt;&gt;"",$E575&lt;=AF$2,$F575&gt;=AF$2),1,0)</f>
        <v/>
      </c>
      <c r="AG575">
        <f>AG574+IF(AND($E575&lt;&gt;"",$E575&lt;=AG$2,$F575&gt;=AG$2),1,0)</f>
        <v/>
      </c>
      <c r="AH575">
        <f>AH574+IF(AND($E575&lt;&gt;"",$E575&lt;=AH$2,$F575&gt;=AH$2),1,0)</f>
        <v/>
      </c>
      <c r="AI575">
        <f>AI574+IF(AND($E575&lt;&gt;"",$E575&lt;=AI$2,$F575&gt;=AI$2),1,0)</f>
        <v/>
      </c>
      <c r="AJ575">
        <f>AJ574+IF(AND($E575&lt;&gt;"",$E575&lt;=AJ$2,$F575&gt;=AJ$2),1,0)</f>
        <v/>
      </c>
      <c r="AK575">
        <f>AK574+IF(AND($E575&lt;&gt;"",$E575&lt;=AK$2,$F575&gt;=AK$2),1,0)</f>
        <v/>
      </c>
      <c r="AL575">
        <f>AL574+IF(AND($E575&lt;&gt;"",$E575&lt;=AL$2,$F575&gt;=AL$2),1,0)</f>
        <v/>
      </c>
      <c r="AM575">
        <f>AM574+IF(AND($E575&lt;&gt;"",$E575&lt;=AM$2,$F575&gt;=AM$2),1,0)</f>
        <v/>
      </c>
      <c r="AN575">
        <f>AN574+IF(AND($E575&lt;&gt;"",$E575&lt;=AN$2,$F575&gt;=AN$2),1,0)</f>
        <v/>
      </c>
      <c r="AO575">
        <f>AO574+IF(AND($E575&lt;&gt;"",$E575&lt;=AO$2,$F575&gt;=AO$2),1,0)</f>
        <v/>
      </c>
      <c r="AP575">
        <f>AP574+IF(AND($E575&lt;&gt;"",$E575&lt;=AP$2,$F575&gt;=AP$2),1,0)</f>
        <v/>
      </c>
      <c r="AQ575">
        <f>AQ574+IF(AND($E575&lt;&gt;"",$E575&lt;=AQ$2,$F575&gt;=AQ$2),1,0)</f>
        <v/>
      </c>
      <c r="AR575">
        <f>AR574+IF(AND($E575&lt;&gt;"",$E575&lt;=AR$2,$F575&gt;=AR$2),1,0)</f>
        <v/>
      </c>
      <c r="AS575">
        <f>AS574+IF(AND($E575&lt;&gt;"",$E575&lt;=AS$2,$F575&gt;=AS$2),1,0)</f>
        <v/>
      </c>
      <c r="AT575">
        <f>AT574+IF(AND($E575&lt;&gt;"",$E575&lt;=AT$2,$F575&gt;=AT$2),1,0)</f>
        <v/>
      </c>
      <c r="AU575">
        <f>AU574+IF(AND($E575&lt;&gt;"",$E575&lt;=AU$2,$F575&gt;=AU$2),1,0)</f>
        <v/>
      </c>
      <c r="AV575">
        <f>AV574+IF(AND($E575&lt;&gt;"",$E575&lt;=AV$2,$F575&gt;=AV$2),1,0)</f>
        <v/>
      </c>
      <c r="AW575">
        <f>AW574+IF(AND($E575&lt;&gt;"",$E575&lt;=AW$2,$F575&gt;=AW$2),1,0)</f>
        <v/>
      </c>
    </row>
    <row r="576">
      <c r="A576">
        <f>IF(AND(ISNUMBER(Events!$A578),ISNUMBER(Events!$B578)),MAX(0,Events!$B578-Events!$A578),0)</f>
        <v/>
      </c>
      <c r="B576">
        <f>IF(ISNUMBER(Events!$A578),DATE(YEAR($B$1)-1,MONTH(Events!$A578),DAY(Events!$A578)),"")</f>
        <v/>
      </c>
      <c r="C576">
        <f>IF(ISNUMBER(Events!$A578),DATE(YEAR($B$1),MONTH(Events!$A578),DAY(Events!$A578)),"")</f>
        <v/>
      </c>
      <c r="D576">
        <f>IF(ISNUMBER(Events!$A578),DATE(YEAR($B$2),MONTH(Events!$A578),DAY(Events!$A578)),"")</f>
        <v/>
      </c>
      <c r="E576">
        <f>IF(OR(NOT(ISNUMBER(Events!$A578)),Events!$G578="No",Calendar!$H$4="None"),"",IF(OR(Calendar!$H$4="All events",Events!$D578=Calendar!$H$4),IF(Events!$E578="Yes",IF(AND(B576&gt;=Events!$A578,B576&lt;=$B$2,B576+$A576&gt;=$B$1),B576,IF(AND(C576&gt;=Events!$A578,C576&lt;=$B$2,C576+$A576&gt;=$B$1),C576,IF(AND(D576&gt;=Events!$A578,D576&lt;=$B$2,D576+$A576&gt;=$B$1),D576,""))),IF(AND(Events!$A578&lt;=$B$2,Events!$A578+$A576&gt;=$B$1),Events!$A578,"")),""))</f>
        <v/>
      </c>
      <c r="F576">
        <f>IF(E576="","",E576+A576)</f>
        <v/>
      </c>
      <c r="G576">
        <f>IF(E576="","",IF(AND(E576&lt;=EOMONTH(Calendar!$K$2,0),F576&gt;=Calendar!$K$2),E576+573/100000,""))</f>
        <v/>
      </c>
      <c r="H576">
        <f>H575+IF(AND($E576&lt;&gt;"",$E576&lt;=H$2,$F576&gt;=H$2),1,0)</f>
        <v/>
      </c>
      <c r="I576">
        <f>I575+IF(AND($E576&lt;&gt;"",$E576&lt;=I$2,$F576&gt;=I$2),1,0)</f>
        <v/>
      </c>
      <c r="J576">
        <f>J575+IF(AND($E576&lt;&gt;"",$E576&lt;=J$2,$F576&gt;=J$2),1,0)</f>
        <v/>
      </c>
      <c r="K576">
        <f>K575+IF(AND($E576&lt;&gt;"",$E576&lt;=K$2,$F576&gt;=K$2),1,0)</f>
        <v/>
      </c>
      <c r="L576">
        <f>L575+IF(AND($E576&lt;&gt;"",$E576&lt;=L$2,$F576&gt;=L$2),1,0)</f>
        <v/>
      </c>
      <c r="M576">
        <f>M575+IF(AND($E576&lt;&gt;"",$E576&lt;=M$2,$F576&gt;=M$2),1,0)</f>
        <v/>
      </c>
      <c r="N576">
        <f>N575+IF(AND($E576&lt;&gt;"",$E576&lt;=N$2,$F576&gt;=N$2),1,0)</f>
        <v/>
      </c>
      <c r="O576">
        <f>O575+IF(AND($E576&lt;&gt;"",$E576&lt;=O$2,$F576&gt;=O$2),1,0)</f>
        <v/>
      </c>
      <c r="P576">
        <f>P575+IF(AND($E576&lt;&gt;"",$E576&lt;=P$2,$F576&gt;=P$2),1,0)</f>
        <v/>
      </c>
      <c r="Q576">
        <f>Q575+IF(AND($E576&lt;&gt;"",$E576&lt;=Q$2,$F576&gt;=Q$2),1,0)</f>
        <v/>
      </c>
      <c r="R576">
        <f>R575+IF(AND($E576&lt;&gt;"",$E576&lt;=R$2,$F576&gt;=R$2),1,0)</f>
        <v/>
      </c>
      <c r="S576">
        <f>S575+IF(AND($E576&lt;&gt;"",$E576&lt;=S$2,$F576&gt;=S$2),1,0)</f>
        <v/>
      </c>
      <c r="T576">
        <f>T575+IF(AND($E576&lt;&gt;"",$E576&lt;=T$2,$F576&gt;=T$2),1,0)</f>
        <v/>
      </c>
      <c r="U576">
        <f>U575+IF(AND($E576&lt;&gt;"",$E576&lt;=U$2,$F576&gt;=U$2),1,0)</f>
        <v/>
      </c>
      <c r="V576">
        <f>V575+IF(AND($E576&lt;&gt;"",$E576&lt;=V$2,$F576&gt;=V$2),1,0)</f>
        <v/>
      </c>
      <c r="W576">
        <f>W575+IF(AND($E576&lt;&gt;"",$E576&lt;=W$2,$F576&gt;=W$2),1,0)</f>
        <v/>
      </c>
      <c r="X576">
        <f>X575+IF(AND($E576&lt;&gt;"",$E576&lt;=X$2,$F576&gt;=X$2),1,0)</f>
        <v/>
      </c>
      <c r="Y576">
        <f>Y575+IF(AND($E576&lt;&gt;"",$E576&lt;=Y$2,$F576&gt;=Y$2),1,0)</f>
        <v/>
      </c>
      <c r="Z576">
        <f>Z575+IF(AND($E576&lt;&gt;"",$E576&lt;=Z$2,$F576&gt;=Z$2),1,0)</f>
        <v/>
      </c>
      <c r="AA576">
        <f>AA575+IF(AND($E576&lt;&gt;"",$E576&lt;=AA$2,$F576&gt;=AA$2),1,0)</f>
        <v/>
      </c>
      <c r="AB576">
        <f>AB575+IF(AND($E576&lt;&gt;"",$E576&lt;=AB$2,$F576&gt;=AB$2),1,0)</f>
        <v/>
      </c>
      <c r="AC576">
        <f>AC575+IF(AND($E576&lt;&gt;"",$E576&lt;=AC$2,$F576&gt;=AC$2),1,0)</f>
        <v/>
      </c>
      <c r="AD576">
        <f>AD575+IF(AND($E576&lt;&gt;"",$E576&lt;=AD$2,$F576&gt;=AD$2),1,0)</f>
        <v/>
      </c>
      <c r="AE576">
        <f>AE575+IF(AND($E576&lt;&gt;"",$E576&lt;=AE$2,$F576&gt;=AE$2),1,0)</f>
        <v/>
      </c>
      <c r="AF576">
        <f>AF575+IF(AND($E576&lt;&gt;"",$E576&lt;=AF$2,$F576&gt;=AF$2),1,0)</f>
        <v/>
      </c>
      <c r="AG576">
        <f>AG575+IF(AND($E576&lt;&gt;"",$E576&lt;=AG$2,$F576&gt;=AG$2),1,0)</f>
        <v/>
      </c>
      <c r="AH576">
        <f>AH575+IF(AND($E576&lt;&gt;"",$E576&lt;=AH$2,$F576&gt;=AH$2),1,0)</f>
        <v/>
      </c>
      <c r="AI576">
        <f>AI575+IF(AND($E576&lt;&gt;"",$E576&lt;=AI$2,$F576&gt;=AI$2),1,0)</f>
        <v/>
      </c>
      <c r="AJ576">
        <f>AJ575+IF(AND($E576&lt;&gt;"",$E576&lt;=AJ$2,$F576&gt;=AJ$2),1,0)</f>
        <v/>
      </c>
      <c r="AK576">
        <f>AK575+IF(AND($E576&lt;&gt;"",$E576&lt;=AK$2,$F576&gt;=AK$2),1,0)</f>
        <v/>
      </c>
      <c r="AL576">
        <f>AL575+IF(AND($E576&lt;&gt;"",$E576&lt;=AL$2,$F576&gt;=AL$2),1,0)</f>
        <v/>
      </c>
      <c r="AM576">
        <f>AM575+IF(AND($E576&lt;&gt;"",$E576&lt;=AM$2,$F576&gt;=AM$2),1,0)</f>
        <v/>
      </c>
      <c r="AN576">
        <f>AN575+IF(AND($E576&lt;&gt;"",$E576&lt;=AN$2,$F576&gt;=AN$2),1,0)</f>
        <v/>
      </c>
      <c r="AO576">
        <f>AO575+IF(AND($E576&lt;&gt;"",$E576&lt;=AO$2,$F576&gt;=AO$2),1,0)</f>
        <v/>
      </c>
      <c r="AP576">
        <f>AP575+IF(AND($E576&lt;&gt;"",$E576&lt;=AP$2,$F576&gt;=AP$2),1,0)</f>
        <v/>
      </c>
      <c r="AQ576">
        <f>AQ575+IF(AND($E576&lt;&gt;"",$E576&lt;=AQ$2,$F576&gt;=AQ$2),1,0)</f>
        <v/>
      </c>
      <c r="AR576">
        <f>AR575+IF(AND($E576&lt;&gt;"",$E576&lt;=AR$2,$F576&gt;=AR$2),1,0)</f>
        <v/>
      </c>
      <c r="AS576">
        <f>AS575+IF(AND($E576&lt;&gt;"",$E576&lt;=AS$2,$F576&gt;=AS$2),1,0)</f>
        <v/>
      </c>
      <c r="AT576">
        <f>AT575+IF(AND($E576&lt;&gt;"",$E576&lt;=AT$2,$F576&gt;=AT$2),1,0)</f>
        <v/>
      </c>
      <c r="AU576">
        <f>AU575+IF(AND($E576&lt;&gt;"",$E576&lt;=AU$2,$F576&gt;=AU$2),1,0)</f>
        <v/>
      </c>
      <c r="AV576">
        <f>AV575+IF(AND($E576&lt;&gt;"",$E576&lt;=AV$2,$F576&gt;=AV$2),1,0)</f>
        <v/>
      </c>
      <c r="AW576">
        <f>AW575+IF(AND($E576&lt;&gt;"",$E576&lt;=AW$2,$F576&gt;=AW$2),1,0)</f>
        <v/>
      </c>
    </row>
    <row r="577">
      <c r="A577">
        <f>IF(AND(ISNUMBER(Events!$A579),ISNUMBER(Events!$B579)),MAX(0,Events!$B579-Events!$A579),0)</f>
        <v/>
      </c>
      <c r="B577">
        <f>IF(ISNUMBER(Events!$A579),DATE(YEAR($B$1)-1,MONTH(Events!$A579),DAY(Events!$A579)),"")</f>
        <v/>
      </c>
      <c r="C577">
        <f>IF(ISNUMBER(Events!$A579),DATE(YEAR($B$1),MONTH(Events!$A579),DAY(Events!$A579)),"")</f>
        <v/>
      </c>
      <c r="D577">
        <f>IF(ISNUMBER(Events!$A579),DATE(YEAR($B$2),MONTH(Events!$A579),DAY(Events!$A579)),"")</f>
        <v/>
      </c>
      <c r="E577">
        <f>IF(OR(NOT(ISNUMBER(Events!$A579)),Events!$G579="No",Calendar!$H$4="None"),"",IF(OR(Calendar!$H$4="All events",Events!$D579=Calendar!$H$4),IF(Events!$E579="Yes",IF(AND(B577&gt;=Events!$A579,B577&lt;=$B$2,B577+$A577&gt;=$B$1),B577,IF(AND(C577&gt;=Events!$A579,C577&lt;=$B$2,C577+$A577&gt;=$B$1),C577,IF(AND(D577&gt;=Events!$A579,D577&lt;=$B$2,D577+$A577&gt;=$B$1),D577,""))),IF(AND(Events!$A579&lt;=$B$2,Events!$A579+$A577&gt;=$B$1),Events!$A579,"")),""))</f>
        <v/>
      </c>
      <c r="F577">
        <f>IF(E577="","",E577+A577)</f>
        <v/>
      </c>
      <c r="G577">
        <f>IF(E577="","",IF(AND(E577&lt;=EOMONTH(Calendar!$K$2,0),F577&gt;=Calendar!$K$2),E577+574/100000,""))</f>
        <v/>
      </c>
      <c r="H577">
        <f>H576+IF(AND($E577&lt;&gt;"",$E577&lt;=H$2,$F577&gt;=H$2),1,0)</f>
        <v/>
      </c>
      <c r="I577">
        <f>I576+IF(AND($E577&lt;&gt;"",$E577&lt;=I$2,$F577&gt;=I$2),1,0)</f>
        <v/>
      </c>
      <c r="J577">
        <f>J576+IF(AND($E577&lt;&gt;"",$E577&lt;=J$2,$F577&gt;=J$2),1,0)</f>
        <v/>
      </c>
      <c r="K577">
        <f>K576+IF(AND($E577&lt;&gt;"",$E577&lt;=K$2,$F577&gt;=K$2),1,0)</f>
        <v/>
      </c>
      <c r="L577">
        <f>L576+IF(AND($E577&lt;&gt;"",$E577&lt;=L$2,$F577&gt;=L$2),1,0)</f>
        <v/>
      </c>
      <c r="M577">
        <f>M576+IF(AND($E577&lt;&gt;"",$E577&lt;=M$2,$F577&gt;=M$2),1,0)</f>
        <v/>
      </c>
      <c r="N577">
        <f>N576+IF(AND($E577&lt;&gt;"",$E577&lt;=N$2,$F577&gt;=N$2),1,0)</f>
        <v/>
      </c>
      <c r="O577">
        <f>O576+IF(AND($E577&lt;&gt;"",$E577&lt;=O$2,$F577&gt;=O$2),1,0)</f>
        <v/>
      </c>
      <c r="P577">
        <f>P576+IF(AND($E577&lt;&gt;"",$E577&lt;=P$2,$F577&gt;=P$2),1,0)</f>
        <v/>
      </c>
      <c r="Q577">
        <f>Q576+IF(AND($E577&lt;&gt;"",$E577&lt;=Q$2,$F577&gt;=Q$2),1,0)</f>
        <v/>
      </c>
      <c r="R577">
        <f>R576+IF(AND($E577&lt;&gt;"",$E577&lt;=R$2,$F577&gt;=R$2),1,0)</f>
        <v/>
      </c>
      <c r="S577">
        <f>S576+IF(AND($E577&lt;&gt;"",$E577&lt;=S$2,$F577&gt;=S$2),1,0)</f>
        <v/>
      </c>
      <c r="T577">
        <f>T576+IF(AND($E577&lt;&gt;"",$E577&lt;=T$2,$F577&gt;=T$2),1,0)</f>
        <v/>
      </c>
      <c r="U577">
        <f>U576+IF(AND($E577&lt;&gt;"",$E577&lt;=U$2,$F577&gt;=U$2),1,0)</f>
        <v/>
      </c>
      <c r="V577">
        <f>V576+IF(AND($E577&lt;&gt;"",$E577&lt;=V$2,$F577&gt;=V$2),1,0)</f>
        <v/>
      </c>
      <c r="W577">
        <f>W576+IF(AND($E577&lt;&gt;"",$E577&lt;=W$2,$F577&gt;=W$2),1,0)</f>
        <v/>
      </c>
      <c r="X577">
        <f>X576+IF(AND($E577&lt;&gt;"",$E577&lt;=X$2,$F577&gt;=X$2),1,0)</f>
        <v/>
      </c>
      <c r="Y577">
        <f>Y576+IF(AND($E577&lt;&gt;"",$E577&lt;=Y$2,$F577&gt;=Y$2),1,0)</f>
        <v/>
      </c>
      <c r="Z577">
        <f>Z576+IF(AND($E577&lt;&gt;"",$E577&lt;=Z$2,$F577&gt;=Z$2),1,0)</f>
        <v/>
      </c>
      <c r="AA577">
        <f>AA576+IF(AND($E577&lt;&gt;"",$E577&lt;=AA$2,$F577&gt;=AA$2),1,0)</f>
        <v/>
      </c>
      <c r="AB577">
        <f>AB576+IF(AND($E577&lt;&gt;"",$E577&lt;=AB$2,$F577&gt;=AB$2),1,0)</f>
        <v/>
      </c>
      <c r="AC577">
        <f>AC576+IF(AND($E577&lt;&gt;"",$E577&lt;=AC$2,$F577&gt;=AC$2),1,0)</f>
        <v/>
      </c>
      <c r="AD577">
        <f>AD576+IF(AND($E577&lt;&gt;"",$E577&lt;=AD$2,$F577&gt;=AD$2),1,0)</f>
        <v/>
      </c>
      <c r="AE577">
        <f>AE576+IF(AND($E577&lt;&gt;"",$E577&lt;=AE$2,$F577&gt;=AE$2),1,0)</f>
        <v/>
      </c>
      <c r="AF577">
        <f>AF576+IF(AND($E577&lt;&gt;"",$E577&lt;=AF$2,$F577&gt;=AF$2),1,0)</f>
        <v/>
      </c>
      <c r="AG577">
        <f>AG576+IF(AND($E577&lt;&gt;"",$E577&lt;=AG$2,$F577&gt;=AG$2),1,0)</f>
        <v/>
      </c>
      <c r="AH577">
        <f>AH576+IF(AND($E577&lt;&gt;"",$E577&lt;=AH$2,$F577&gt;=AH$2),1,0)</f>
        <v/>
      </c>
      <c r="AI577">
        <f>AI576+IF(AND($E577&lt;&gt;"",$E577&lt;=AI$2,$F577&gt;=AI$2),1,0)</f>
        <v/>
      </c>
      <c r="AJ577">
        <f>AJ576+IF(AND($E577&lt;&gt;"",$E577&lt;=AJ$2,$F577&gt;=AJ$2),1,0)</f>
        <v/>
      </c>
      <c r="AK577">
        <f>AK576+IF(AND($E577&lt;&gt;"",$E577&lt;=AK$2,$F577&gt;=AK$2),1,0)</f>
        <v/>
      </c>
      <c r="AL577">
        <f>AL576+IF(AND($E577&lt;&gt;"",$E577&lt;=AL$2,$F577&gt;=AL$2),1,0)</f>
        <v/>
      </c>
      <c r="AM577">
        <f>AM576+IF(AND($E577&lt;&gt;"",$E577&lt;=AM$2,$F577&gt;=AM$2),1,0)</f>
        <v/>
      </c>
      <c r="AN577">
        <f>AN576+IF(AND($E577&lt;&gt;"",$E577&lt;=AN$2,$F577&gt;=AN$2),1,0)</f>
        <v/>
      </c>
      <c r="AO577">
        <f>AO576+IF(AND($E577&lt;&gt;"",$E577&lt;=AO$2,$F577&gt;=AO$2),1,0)</f>
        <v/>
      </c>
      <c r="AP577">
        <f>AP576+IF(AND($E577&lt;&gt;"",$E577&lt;=AP$2,$F577&gt;=AP$2),1,0)</f>
        <v/>
      </c>
      <c r="AQ577">
        <f>AQ576+IF(AND($E577&lt;&gt;"",$E577&lt;=AQ$2,$F577&gt;=AQ$2),1,0)</f>
        <v/>
      </c>
      <c r="AR577">
        <f>AR576+IF(AND($E577&lt;&gt;"",$E577&lt;=AR$2,$F577&gt;=AR$2),1,0)</f>
        <v/>
      </c>
      <c r="AS577">
        <f>AS576+IF(AND($E577&lt;&gt;"",$E577&lt;=AS$2,$F577&gt;=AS$2),1,0)</f>
        <v/>
      </c>
      <c r="AT577">
        <f>AT576+IF(AND($E577&lt;&gt;"",$E577&lt;=AT$2,$F577&gt;=AT$2),1,0)</f>
        <v/>
      </c>
      <c r="AU577">
        <f>AU576+IF(AND($E577&lt;&gt;"",$E577&lt;=AU$2,$F577&gt;=AU$2),1,0)</f>
        <v/>
      </c>
      <c r="AV577">
        <f>AV576+IF(AND($E577&lt;&gt;"",$E577&lt;=AV$2,$F577&gt;=AV$2),1,0)</f>
        <v/>
      </c>
      <c r="AW577">
        <f>AW576+IF(AND($E577&lt;&gt;"",$E577&lt;=AW$2,$F577&gt;=AW$2),1,0)</f>
        <v/>
      </c>
    </row>
    <row r="578">
      <c r="A578">
        <f>IF(AND(ISNUMBER(Events!$A580),ISNUMBER(Events!$B580)),MAX(0,Events!$B580-Events!$A580),0)</f>
        <v/>
      </c>
      <c r="B578">
        <f>IF(ISNUMBER(Events!$A580),DATE(YEAR($B$1)-1,MONTH(Events!$A580),DAY(Events!$A580)),"")</f>
        <v/>
      </c>
      <c r="C578">
        <f>IF(ISNUMBER(Events!$A580),DATE(YEAR($B$1),MONTH(Events!$A580),DAY(Events!$A580)),"")</f>
        <v/>
      </c>
      <c r="D578">
        <f>IF(ISNUMBER(Events!$A580),DATE(YEAR($B$2),MONTH(Events!$A580),DAY(Events!$A580)),"")</f>
        <v/>
      </c>
      <c r="E578">
        <f>IF(OR(NOT(ISNUMBER(Events!$A580)),Events!$G580="No",Calendar!$H$4="None"),"",IF(OR(Calendar!$H$4="All events",Events!$D580=Calendar!$H$4),IF(Events!$E580="Yes",IF(AND(B578&gt;=Events!$A580,B578&lt;=$B$2,B578+$A578&gt;=$B$1),B578,IF(AND(C578&gt;=Events!$A580,C578&lt;=$B$2,C578+$A578&gt;=$B$1),C578,IF(AND(D578&gt;=Events!$A580,D578&lt;=$B$2,D578+$A578&gt;=$B$1),D578,""))),IF(AND(Events!$A580&lt;=$B$2,Events!$A580+$A578&gt;=$B$1),Events!$A580,"")),""))</f>
        <v/>
      </c>
      <c r="F578">
        <f>IF(E578="","",E578+A578)</f>
        <v/>
      </c>
      <c r="G578">
        <f>IF(E578="","",IF(AND(E578&lt;=EOMONTH(Calendar!$K$2,0),F578&gt;=Calendar!$K$2),E578+575/100000,""))</f>
        <v/>
      </c>
      <c r="H578">
        <f>H577+IF(AND($E578&lt;&gt;"",$E578&lt;=H$2,$F578&gt;=H$2),1,0)</f>
        <v/>
      </c>
      <c r="I578">
        <f>I577+IF(AND($E578&lt;&gt;"",$E578&lt;=I$2,$F578&gt;=I$2),1,0)</f>
        <v/>
      </c>
      <c r="J578">
        <f>J577+IF(AND($E578&lt;&gt;"",$E578&lt;=J$2,$F578&gt;=J$2),1,0)</f>
        <v/>
      </c>
      <c r="K578">
        <f>K577+IF(AND($E578&lt;&gt;"",$E578&lt;=K$2,$F578&gt;=K$2),1,0)</f>
        <v/>
      </c>
      <c r="L578">
        <f>L577+IF(AND($E578&lt;&gt;"",$E578&lt;=L$2,$F578&gt;=L$2),1,0)</f>
        <v/>
      </c>
      <c r="M578">
        <f>M577+IF(AND($E578&lt;&gt;"",$E578&lt;=M$2,$F578&gt;=M$2),1,0)</f>
        <v/>
      </c>
      <c r="N578">
        <f>N577+IF(AND($E578&lt;&gt;"",$E578&lt;=N$2,$F578&gt;=N$2),1,0)</f>
        <v/>
      </c>
      <c r="O578">
        <f>O577+IF(AND($E578&lt;&gt;"",$E578&lt;=O$2,$F578&gt;=O$2),1,0)</f>
        <v/>
      </c>
      <c r="P578">
        <f>P577+IF(AND($E578&lt;&gt;"",$E578&lt;=P$2,$F578&gt;=P$2),1,0)</f>
        <v/>
      </c>
      <c r="Q578">
        <f>Q577+IF(AND($E578&lt;&gt;"",$E578&lt;=Q$2,$F578&gt;=Q$2),1,0)</f>
        <v/>
      </c>
      <c r="R578">
        <f>R577+IF(AND($E578&lt;&gt;"",$E578&lt;=R$2,$F578&gt;=R$2),1,0)</f>
        <v/>
      </c>
      <c r="S578">
        <f>S577+IF(AND($E578&lt;&gt;"",$E578&lt;=S$2,$F578&gt;=S$2),1,0)</f>
        <v/>
      </c>
      <c r="T578">
        <f>T577+IF(AND($E578&lt;&gt;"",$E578&lt;=T$2,$F578&gt;=T$2),1,0)</f>
        <v/>
      </c>
      <c r="U578">
        <f>U577+IF(AND($E578&lt;&gt;"",$E578&lt;=U$2,$F578&gt;=U$2),1,0)</f>
        <v/>
      </c>
      <c r="V578">
        <f>V577+IF(AND($E578&lt;&gt;"",$E578&lt;=V$2,$F578&gt;=V$2),1,0)</f>
        <v/>
      </c>
      <c r="W578">
        <f>W577+IF(AND($E578&lt;&gt;"",$E578&lt;=W$2,$F578&gt;=W$2),1,0)</f>
        <v/>
      </c>
      <c r="X578">
        <f>X577+IF(AND($E578&lt;&gt;"",$E578&lt;=X$2,$F578&gt;=X$2),1,0)</f>
        <v/>
      </c>
      <c r="Y578">
        <f>Y577+IF(AND($E578&lt;&gt;"",$E578&lt;=Y$2,$F578&gt;=Y$2),1,0)</f>
        <v/>
      </c>
      <c r="Z578">
        <f>Z577+IF(AND($E578&lt;&gt;"",$E578&lt;=Z$2,$F578&gt;=Z$2),1,0)</f>
        <v/>
      </c>
      <c r="AA578">
        <f>AA577+IF(AND($E578&lt;&gt;"",$E578&lt;=AA$2,$F578&gt;=AA$2),1,0)</f>
        <v/>
      </c>
      <c r="AB578">
        <f>AB577+IF(AND($E578&lt;&gt;"",$E578&lt;=AB$2,$F578&gt;=AB$2),1,0)</f>
        <v/>
      </c>
      <c r="AC578">
        <f>AC577+IF(AND($E578&lt;&gt;"",$E578&lt;=AC$2,$F578&gt;=AC$2),1,0)</f>
        <v/>
      </c>
      <c r="AD578">
        <f>AD577+IF(AND($E578&lt;&gt;"",$E578&lt;=AD$2,$F578&gt;=AD$2),1,0)</f>
        <v/>
      </c>
      <c r="AE578">
        <f>AE577+IF(AND($E578&lt;&gt;"",$E578&lt;=AE$2,$F578&gt;=AE$2),1,0)</f>
        <v/>
      </c>
      <c r="AF578">
        <f>AF577+IF(AND($E578&lt;&gt;"",$E578&lt;=AF$2,$F578&gt;=AF$2),1,0)</f>
        <v/>
      </c>
      <c r="AG578">
        <f>AG577+IF(AND($E578&lt;&gt;"",$E578&lt;=AG$2,$F578&gt;=AG$2),1,0)</f>
        <v/>
      </c>
      <c r="AH578">
        <f>AH577+IF(AND($E578&lt;&gt;"",$E578&lt;=AH$2,$F578&gt;=AH$2),1,0)</f>
        <v/>
      </c>
      <c r="AI578">
        <f>AI577+IF(AND($E578&lt;&gt;"",$E578&lt;=AI$2,$F578&gt;=AI$2),1,0)</f>
        <v/>
      </c>
      <c r="AJ578">
        <f>AJ577+IF(AND($E578&lt;&gt;"",$E578&lt;=AJ$2,$F578&gt;=AJ$2),1,0)</f>
        <v/>
      </c>
      <c r="AK578">
        <f>AK577+IF(AND($E578&lt;&gt;"",$E578&lt;=AK$2,$F578&gt;=AK$2),1,0)</f>
        <v/>
      </c>
      <c r="AL578">
        <f>AL577+IF(AND($E578&lt;&gt;"",$E578&lt;=AL$2,$F578&gt;=AL$2),1,0)</f>
        <v/>
      </c>
      <c r="AM578">
        <f>AM577+IF(AND($E578&lt;&gt;"",$E578&lt;=AM$2,$F578&gt;=AM$2),1,0)</f>
        <v/>
      </c>
      <c r="AN578">
        <f>AN577+IF(AND($E578&lt;&gt;"",$E578&lt;=AN$2,$F578&gt;=AN$2),1,0)</f>
        <v/>
      </c>
      <c r="AO578">
        <f>AO577+IF(AND($E578&lt;&gt;"",$E578&lt;=AO$2,$F578&gt;=AO$2),1,0)</f>
        <v/>
      </c>
      <c r="AP578">
        <f>AP577+IF(AND($E578&lt;&gt;"",$E578&lt;=AP$2,$F578&gt;=AP$2),1,0)</f>
        <v/>
      </c>
      <c r="AQ578">
        <f>AQ577+IF(AND($E578&lt;&gt;"",$E578&lt;=AQ$2,$F578&gt;=AQ$2),1,0)</f>
        <v/>
      </c>
      <c r="AR578">
        <f>AR577+IF(AND($E578&lt;&gt;"",$E578&lt;=AR$2,$F578&gt;=AR$2),1,0)</f>
        <v/>
      </c>
      <c r="AS578">
        <f>AS577+IF(AND($E578&lt;&gt;"",$E578&lt;=AS$2,$F578&gt;=AS$2),1,0)</f>
        <v/>
      </c>
      <c r="AT578">
        <f>AT577+IF(AND($E578&lt;&gt;"",$E578&lt;=AT$2,$F578&gt;=AT$2),1,0)</f>
        <v/>
      </c>
      <c r="AU578">
        <f>AU577+IF(AND($E578&lt;&gt;"",$E578&lt;=AU$2,$F578&gt;=AU$2),1,0)</f>
        <v/>
      </c>
      <c r="AV578">
        <f>AV577+IF(AND($E578&lt;&gt;"",$E578&lt;=AV$2,$F578&gt;=AV$2),1,0)</f>
        <v/>
      </c>
      <c r="AW578">
        <f>AW577+IF(AND($E578&lt;&gt;"",$E578&lt;=AW$2,$F578&gt;=AW$2),1,0)</f>
        <v/>
      </c>
    </row>
    <row r="579">
      <c r="A579">
        <f>IF(AND(ISNUMBER(Events!$A581),ISNUMBER(Events!$B581)),MAX(0,Events!$B581-Events!$A581),0)</f>
        <v/>
      </c>
      <c r="B579">
        <f>IF(ISNUMBER(Events!$A581),DATE(YEAR($B$1)-1,MONTH(Events!$A581),DAY(Events!$A581)),"")</f>
        <v/>
      </c>
      <c r="C579">
        <f>IF(ISNUMBER(Events!$A581),DATE(YEAR($B$1),MONTH(Events!$A581),DAY(Events!$A581)),"")</f>
        <v/>
      </c>
      <c r="D579">
        <f>IF(ISNUMBER(Events!$A581),DATE(YEAR($B$2),MONTH(Events!$A581),DAY(Events!$A581)),"")</f>
        <v/>
      </c>
      <c r="E579">
        <f>IF(OR(NOT(ISNUMBER(Events!$A581)),Events!$G581="No",Calendar!$H$4="None"),"",IF(OR(Calendar!$H$4="All events",Events!$D581=Calendar!$H$4),IF(Events!$E581="Yes",IF(AND(B579&gt;=Events!$A581,B579&lt;=$B$2,B579+$A579&gt;=$B$1),B579,IF(AND(C579&gt;=Events!$A581,C579&lt;=$B$2,C579+$A579&gt;=$B$1),C579,IF(AND(D579&gt;=Events!$A581,D579&lt;=$B$2,D579+$A579&gt;=$B$1),D579,""))),IF(AND(Events!$A581&lt;=$B$2,Events!$A581+$A579&gt;=$B$1),Events!$A581,"")),""))</f>
        <v/>
      </c>
      <c r="F579">
        <f>IF(E579="","",E579+A579)</f>
        <v/>
      </c>
      <c r="G579">
        <f>IF(E579="","",IF(AND(E579&lt;=EOMONTH(Calendar!$K$2,0),F579&gt;=Calendar!$K$2),E579+576/100000,""))</f>
        <v/>
      </c>
      <c r="H579">
        <f>H578+IF(AND($E579&lt;&gt;"",$E579&lt;=H$2,$F579&gt;=H$2),1,0)</f>
        <v/>
      </c>
      <c r="I579">
        <f>I578+IF(AND($E579&lt;&gt;"",$E579&lt;=I$2,$F579&gt;=I$2),1,0)</f>
        <v/>
      </c>
      <c r="J579">
        <f>J578+IF(AND($E579&lt;&gt;"",$E579&lt;=J$2,$F579&gt;=J$2),1,0)</f>
        <v/>
      </c>
      <c r="K579">
        <f>K578+IF(AND($E579&lt;&gt;"",$E579&lt;=K$2,$F579&gt;=K$2),1,0)</f>
        <v/>
      </c>
      <c r="L579">
        <f>L578+IF(AND($E579&lt;&gt;"",$E579&lt;=L$2,$F579&gt;=L$2),1,0)</f>
        <v/>
      </c>
      <c r="M579">
        <f>M578+IF(AND($E579&lt;&gt;"",$E579&lt;=M$2,$F579&gt;=M$2),1,0)</f>
        <v/>
      </c>
      <c r="N579">
        <f>N578+IF(AND($E579&lt;&gt;"",$E579&lt;=N$2,$F579&gt;=N$2),1,0)</f>
        <v/>
      </c>
      <c r="O579">
        <f>O578+IF(AND($E579&lt;&gt;"",$E579&lt;=O$2,$F579&gt;=O$2),1,0)</f>
        <v/>
      </c>
      <c r="P579">
        <f>P578+IF(AND($E579&lt;&gt;"",$E579&lt;=P$2,$F579&gt;=P$2),1,0)</f>
        <v/>
      </c>
      <c r="Q579">
        <f>Q578+IF(AND($E579&lt;&gt;"",$E579&lt;=Q$2,$F579&gt;=Q$2),1,0)</f>
        <v/>
      </c>
      <c r="R579">
        <f>R578+IF(AND($E579&lt;&gt;"",$E579&lt;=R$2,$F579&gt;=R$2),1,0)</f>
        <v/>
      </c>
      <c r="S579">
        <f>S578+IF(AND($E579&lt;&gt;"",$E579&lt;=S$2,$F579&gt;=S$2),1,0)</f>
        <v/>
      </c>
      <c r="T579">
        <f>T578+IF(AND($E579&lt;&gt;"",$E579&lt;=T$2,$F579&gt;=T$2),1,0)</f>
        <v/>
      </c>
      <c r="U579">
        <f>U578+IF(AND($E579&lt;&gt;"",$E579&lt;=U$2,$F579&gt;=U$2),1,0)</f>
        <v/>
      </c>
      <c r="V579">
        <f>V578+IF(AND($E579&lt;&gt;"",$E579&lt;=V$2,$F579&gt;=V$2),1,0)</f>
        <v/>
      </c>
      <c r="W579">
        <f>W578+IF(AND($E579&lt;&gt;"",$E579&lt;=W$2,$F579&gt;=W$2),1,0)</f>
        <v/>
      </c>
      <c r="X579">
        <f>X578+IF(AND($E579&lt;&gt;"",$E579&lt;=X$2,$F579&gt;=X$2),1,0)</f>
        <v/>
      </c>
      <c r="Y579">
        <f>Y578+IF(AND($E579&lt;&gt;"",$E579&lt;=Y$2,$F579&gt;=Y$2),1,0)</f>
        <v/>
      </c>
      <c r="Z579">
        <f>Z578+IF(AND($E579&lt;&gt;"",$E579&lt;=Z$2,$F579&gt;=Z$2),1,0)</f>
        <v/>
      </c>
      <c r="AA579">
        <f>AA578+IF(AND($E579&lt;&gt;"",$E579&lt;=AA$2,$F579&gt;=AA$2),1,0)</f>
        <v/>
      </c>
      <c r="AB579">
        <f>AB578+IF(AND($E579&lt;&gt;"",$E579&lt;=AB$2,$F579&gt;=AB$2),1,0)</f>
        <v/>
      </c>
      <c r="AC579">
        <f>AC578+IF(AND($E579&lt;&gt;"",$E579&lt;=AC$2,$F579&gt;=AC$2),1,0)</f>
        <v/>
      </c>
      <c r="AD579">
        <f>AD578+IF(AND($E579&lt;&gt;"",$E579&lt;=AD$2,$F579&gt;=AD$2),1,0)</f>
        <v/>
      </c>
      <c r="AE579">
        <f>AE578+IF(AND($E579&lt;&gt;"",$E579&lt;=AE$2,$F579&gt;=AE$2),1,0)</f>
        <v/>
      </c>
      <c r="AF579">
        <f>AF578+IF(AND($E579&lt;&gt;"",$E579&lt;=AF$2,$F579&gt;=AF$2),1,0)</f>
        <v/>
      </c>
      <c r="AG579">
        <f>AG578+IF(AND($E579&lt;&gt;"",$E579&lt;=AG$2,$F579&gt;=AG$2),1,0)</f>
        <v/>
      </c>
      <c r="AH579">
        <f>AH578+IF(AND($E579&lt;&gt;"",$E579&lt;=AH$2,$F579&gt;=AH$2),1,0)</f>
        <v/>
      </c>
      <c r="AI579">
        <f>AI578+IF(AND($E579&lt;&gt;"",$E579&lt;=AI$2,$F579&gt;=AI$2),1,0)</f>
        <v/>
      </c>
      <c r="AJ579">
        <f>AJ578+IF(AND($E579&lt;&gt;"",$E579&lt;=AJ$2,$F579&gt;=AJ$2),1,0)</f>
        <v/>
      </c>
      <c r="AK579">
        <f>AK578+IF(AND($E579&lt;&gt;"",$E579&lt;=AK$2,$F579&gt;=AK$2),1,0)</f>
        <v/>
      </c>
      <c r="AL579">
        <f>AL578+IF(AND($E579&lt;&gt;"",$E579&lt;=AL$2,$F579&gt;=AL$2),1,0)</f>
        <v/>
      </c>
      <c r="AM579">
        <f>AM578+IF(AND($E579&lt;&gt;"",$E579&lt;=AM$2,$F579&gt;=AM$2),1,0)</f>
        <v/>
      </c>
      <c r="AN579">
        <f>AN578+IF(AND($E579&lt;&gt;"",$E579&lt;=AN$2,$F579&gt;=AN$2),1,0)</f>
        <v/>
      </c>
      <c r="AO579">
        <f>AO578+IF(AND($E579&lt;&gt;"",$E579&lt;=AO$2,$F579&gt;=AO$2),1,0)</f>
        <v/>
      </c>
      <c r="AP579">
        <f>AP578+IF(AND($E579&lt;&gt;"",$E579&lt;=AP$2,$F579&gt;=AP$2),1,0)</f>
        <v/>
      </c>
      <c r="AQ579">
        <f>AQ578+IF(AND($E579&lt;&gt;"",$E579&lt;=AQ$2,$F579&gt;=AQ$2),1,0)</f>
        <v/>
      </c>
      <c r="AR579">
        <f>AR578+IF(AND($E579&lt;&gt;"",$E579&lt;=AR$2,$F579&gt;=AR$2),1,0)</f>
        <v/>
      </c>
      <c r="AS579">
        <f>AS578+IF(AND($E579&lt;&gt;"",$E579&lt;=AS$2,$F579&gt;=AS$2),1,0)</f>
        <v/>
      </c>
      <c r="AT579">
        <f>AT578+IF(AND($E579&lt;&gt;"",$E579&lt;=AT$2,$F579&gt;=AT$2),1,0)</f>
        <v/>
      </c>
      <c r="AU579">
        <f>AU578+IF(AND($E579&lt;&gt;"",$E579&lt;=AU$2,$F579&gt;=AU$2),1,0)</f>
        <v/>
      </c>
      <c r="AV579">
        <f>AV578+IF(AND($E579&lt;&gt;"",$E579&lt;=AV$2,$F579&gt;=AV$2),1,0)</f>
        <v/>
      </c>
      <c r="AW579">
        <f>AW578+IF(AND($E579&lt;&gt;"",$E579&lt;=AW$2,$F579&gt;=AW$2),1,0)</f>
        <v/>
      </c>
    </row>
    <row r="580">
      <c r="A580">
        <f>IF(AND(ISNUMBER(Events!$A582),ISNUMBER(Events!$B582)),MAX(0,Events!$B582-Events!$A582),0)</f>
        <v/>
      </c>
      <c r="B580">
        <f>IF(ISNUMBER(Events!$A582),DATE(YEAR($B$1)-1,MONTH(Events!$A582),DAY(Events!$A582)),"")</f>
        <v/>
      </c>
      <c r="C580">
        <f>IF(ISNUMBER(Events!$A582),DATE(YEAR($B$1),MONTH(Events!$A582),DAY(Events!$A582)),"")</f>
        <v/>
      </c>
      <c r="D580">
        <f>IF(ISNUMBER(Events!$A582),DATE(YEAR($B$2),MONTH(Events!$A582),DAY(Events!$A582)),"")</f>
        <v/>
      </c>
      <c r="E580">
        <f>IF(OR(NOT(ISNUMBER(Events!$A582)),Events!$G582="No",Calendar!$H$4="None"),"",IF(OR(Calendar!$H$4="All events",Events!$D582=Calendar!$H$4),IF(Events!$E582="Yes",IF(AND(B580&gt;=Events!$A582,B580&lt;=$B$2,B580+$A580&gt;=$B$1),B580,IF(AND(C580&gt;=Events!$A582,C580&lt;=$B$2,C580+$A580&gt;=$B$1),C580,IF(AND(D580&gt;=Events!$A582,D580&lt;=$B$2,D580+$A580&gt;=$B$1),D580,""))),IF(AND(Events!$A582&lt;=$B$2,Events!$A582+$A580&gt;=$B$1),Events!$A582,"")),""))</f>
        <v/>
      </c>
      <c r="F580">
        <f>IF(E580="","",E580+A580)</f>
        <v/>
      </c>
      <c r="G580">
        <f>IF(E580="","",IF(AND(E580&lt;=EOMONTH(Calendar!$K$2,0),F580&gt;=Calendar!$K$2),E580+577/100000,""))</f>
        <v/>
      </c>
      <c r="H580">
        <f>H579+IF(AND($E580&lt;&gt;"",$E580&lt;=H$2,$F580&gt;=H$2),1,0)</f>
        <v/>
      </c>
      <c r="I580">
        <f>I579+IF(AND($E580&lt;&gt;"",$E580&lt;=I$2,$F580&gt;=I$2),1,0)</f>
        <v/>
      </c>
      <c r="J580">
        <f>J579+IF(AND($E580&lt;&gt;"",$E580&lt;=J$2,$F580&gt;=J$2),1,0)</f>
        <v/>
      </c>
      <c r="K580">
        <f>K579+IF(AND($E580&lt;&gt;"",$E580&lt;=K$2,$F580&gt;=K$2),1,0)</f>
        <v/>
      </c>
      <c r="L580">
        <f>L579+IF(AND($E580&lt;&gt;"",$E580&lt;=L$2,$F580&gt;=L$2),1,0)</f>
        <v/>
      </c>
      <c r="M580">
        <f>M579+IF(AND($E580&lt;&gt;"",$E580&lt;=M$2,$F580&gt;=M$2),1,0)</f>
        <v/>
      </c>
      <c r="N580">
        <f>N579+IF(AND($E580&lt;&gt;"",$E580&lt;=N$2,$F580&gt;=N$2),1,0)</f>
        <v/>
      </c>
      <c r="O580">
        <f>O579+IF(AND($E580&lt;&gt;"",$E580&lt;=O$2,$F580&gt;=O$2),1,0)</f>
        <v/>
      </c>
      <c r="P580">
        <f>P579+IF(AND($E580&lt;&gt;"",$E580&lt;=P$2,$F580&gt;=P$2),1,0)</f>
        <v/>
      </c>
      <c r="Q580">
        <f>Q579+IF(AND($E580&lt;&gt;"",$E580&lt;=Q$2,$F580&gt;=Q$2),1,0)</f>
        <v/>
      </c>
      <c r="R580">
        <f>R579+IF(AND($E580&lt;&gt;"",$E580&lt;=R$2,$F580&gt;=R$2),1,0)</f>
        <v/>
      </c>
      <c r="S580">
        <f>S579+IF(AND($E580&lt;&gt;"",$E580&lt;=S$2,$F580&gt;=S$2),1,0)</f>
        <v/>
      </c>
      <c r="T580">
        <f>T579+IF(AND($E580&lt;&gt;"",$E580&lt;=T$2,$F580&gt;=T$2),1,0)</f>
        <v/>
      </c>
      <c r="U580">
        <f>U579+IF(AND($E580&lt;&gt;"",$E580&lt;=U$2,$F580&gt;=U$2),1,0)</f>
        <v/>
      </c>
      <c r="V580">
        <f>V579+IF(AND($E580&lt;&gt;"",$E580&lt;=V$2,$F580&gt;=V$2),1,0)</f>
        <v/>
      </c>
      <c r="W580">
        <f>W579+IF(AND($E580&lt;&gt;"",$E580&lt;=W$2,$F580&gt;=W$2),1,0)</f>
        <v/>
      </c>
      <c r="X580">
        <f>X579+IF(AND($E580&lt;&gt;"",$E580&lt;=X$2,$F580&gt;=X$2),1,0)</f>
        <v/>
      </c>
      <c r="Y580">
        <f>Y579+IF(AND($E580&lt;&gt;"",$E580&lt;=Y$2,$F580&gt;=Y$2),1,0)</f>
        <v/>
      </c>
      <c r="Z580">
        <f>Z579+IF(AND($E580&lt;&gt;"",$E580&lt;=Z$2,$F580&gt;=Z$2),1,0)</f>
        <v/>
      </c>
      <c r="AA580">
        <f>AA579+IF(AND($E580&lt;&gt;"",$E580&lt;=AA$2,$F580&gt;=AA$2),1,0)</f>
        <v/>
      </c>
      <c r="AB580">
        <f>AB579+IF(AND($E580&lt;&gt;"",$E580&lt;=AB$2,$F580&gt;=AB$2),1,0)</f>
        <v/>
      </c>
      <c r="AC580">
        <f>AC579+IF(AND($E580&lt;&gt;"",$E580&lt;=AC$2,$F580&gt;=AC$2),1,0)</f>
        <v/>
      </c>
      <c r="AD580">
        <f>AD579+IF(AND($E580&lt;&gt;"",$E580&lt;=AD$2,$F580&gt;=AD$2),1,0)</f>
        <v/>
      </c>
      <c r="AE580">
        <f>AE579+IF(AND($E580&lt;&gt;"",$E580&lt;=AE$2,$F580&gt;=AE$2),1,0)</f>
        <v/>
      </c>
      <c r="AF580">
        <f>AF579+IF(AND($E580&lt;&gt;"",$E580&lt;=AF$2,$F580&gt;=AF$2),1,0)</f>
        <v/>
      </c>
      <c r="AG580">
        <f>AG579+IF(AND($E580&lt;&gt;"",$E580&lt;=AG$2,$F580&gt;=AG$2),1,0)</f>
        <v/>
      </c>
      <c r="AH580">
        <f>AH579+IF(AND($E580&lt;&gt;"",$E580&lt;=AH$2,$F580&gt;=AH$2),1,0)</f>
        <v/>
      </c>
      <c r="AI580">
        <f>AI579+IF(AND($E580&lt;&gt;"",$E580&lt;=AI$2,$F580&gt;=AI$2),1,0)</f>
        <v/>
      </c>
      <c r="AJ580">
        <f>AJ579+IF(AND($E580&lt;&gt;"",$E580&lt;=AJ$2,$F580&gt;=AJ$2),1,0)</f>
        <v/>
      </c>
      <c r="AK580">
        <f>AK579+IF(AND($E580&lt;&gt;"",$E580&lt;=AK$2,$F580&gt;=AK$2),1,0)</f>
        <v/>
      </c>
      <c r="AL580">
        <f>AL579+IF(AND($E580&lt;&gt;"",$E580&lt;=AL$2,$F580&gt;=AL$2),1,0)</f>
        <v/>
      </c>
      <c r="AM580">
        <f>AM579+IF(AND($E580&lt;&gt;"",$E580&lt;=AM$2,$F580&gt;=AM$2),1,0)</f>
        <v/>
      </c>
      <c r="AN580">
        <f>AN579+IF(AND($E580&lt;&gt;"",$E580&lt;=AN$2,$F580&gt;=AN$2),1,0)</f>
        <v/>
      </c>
      <c r="AO580">
        <f>AO579+IF(AND($E580&lt;&gt;"",$E580&lt;=AO$2,$F580&gt;=AO$2),1,0)</f>
        <v/>
      </c>
      <c r="AP580">
        <f>AP579+IF(AND($E580&lt;&gt;"",$E580&lt;=AP$2,$F580&gt;=AP$2),1,0)</f>
        <v/>
      </c>
      <c r="AQ580">
        <f>AQ579+IF(AND($E580&lt;&gt;"",$E580&lt;=AQ$2,$F580&gt;=AQ$2),1,0)</f>
        <v/>
      </c>
      <c r="AR580">
        <f>AR579+IF(AND($E580&lt;&gt;"",$E580&lt;=AR$2,$F580&gt;=AR$2),1,0)</f>
        <v/>
      </c>
      <c r="AS580">
        <f>AS579+IF(AND($E580&lt;&gt;"",$E580&lt;=AS$2,$F580&gt;=AS$2),1,0)</f>
        <v/>
      </c>
      <c r="AT580">
        <f>AT579+IF(AND($E580&lt;&gt;"",$E580&lt;=AT$2,$F580&gt;=AT$2),1,0)</f>
        <v/>
      </c>
      <c r="AU580">
        <f>AU579+IF(AND($E580&lt;&gt;"",$E580&lt;=AU$2,$F580&gt;=AU$2),1,0)</f>
        <v/>
      </c>
      <c r="AV580">
        <f>AV579+IF(AND($E580&lt;&gt;"",$E580&lt;=AV$2,$F580&gt;=AV$2),1,0)</f>
        <v/>
      </c>
      <c r="AW580">
        <f>AW579+IF(AND($E580&lt;&gt;"",$E580&lt;=AW$2,$F580&gt;=AW$2),1,0)</f>
        <v/>
      </c>
    </row>
    <row r="581">
      <c r="A581">
        <f>IF(AND(ISNUMBER(Events!$A583),ISNUMBER(Events!$B583)),MAX(0,Events!$B583-Events!$A583),0)</f>
        <v/>
      </c>
      <c r="B581">
        <f>IF(ISNUMBER(Events!$A583),DATE(YEAR($B$1)-1,MONTH(Events!$A583),DAY(Events!$A583)),"")</f>
        <v/>
      </c>
      <c r="C581">
        <f>IF(ISNUMBER(Events!$A583),DATE(YEAR($B$1),MONTH(Events!$A583),DAY(Events!$A583)),"")</f>
        <v/>
      </c>
      <c r="D581">
        <f>IF(ISNUMBER(Events!$A583),DATE(YEAR($B$2),MONTH(Events!$A583),DAY(Events!$A583)),"")</f>
        <v/>
      </c>
      <c r="E581">
        <f>IF(OR(NOT(ISNUMBER(Events!$A583)),Events!$G583="No",Calendar!$H$4="None"),"",IF(OR(Calendar!$H$4="All events",Events!$D583=Calendar!$H$4),IF(Events!$E583="Yes",IF(AND(B581&gt;=Events!$A583,B581&lt;=$B$2,B581+$A581&gt;=$B$1),B581,IF(AND(C581&gt;=Events!$A583,C581&lt;=$B$2,C581+$A581&gt;=$B$1),C581,IF(AND(D581&gt;=Events!$A583,D581&lt;=$B$2,D581+$A581&gt;=$B$1),D581,""))),IF(AND(Events!$A583&lt;=$B$2,Events!$A583+$A581&gt;=$B$1),Events!$A583,"")),""))</f>
        <v/>
      </c>
      <c r="F581">
        <f>IF(E581="","",E581+A581)</f>
        <v/>
      </c>
      <c r="G581">
        <f>IF(E581="","",IF(AND(E581&lt;=EOMONTH(Calendar!$K$2,0),F581&gt;=Calendar!$K$2),E581+578/100000,""))</f>
        <v/>
      </c>
      <c r="H581">
        <f>H580+IF(AND($E581&lt;&gt;"",$E581&lt;=H$2,$F581&gt;=H$2),1,0)</f>
        <v/>
      </c>
      <c r="I581">
        <f>I580+IF(AND($E581&lt;&gt;"",$E581&lt;=I$2,$F581&gt;=I$2),1,0)</f>
        <v/>
      </c>
      <c r="J581">
        <f>J580+IF(AND($E581&lt;&gt;"",$E581&lt;=J$2,$F581&gt;=J$2),1,0)</f>
        <v/>
      </c>
      <c r="K581">
        <f>K580+IF(AND($E581&lt;&gt;"",$E581&lt;=K$2,$F581&gt;=K$2),1,0)</f>
        <v/>
      </c>
      <c r="L581">
        <f>L580+IF(AND($E581&lt;&gt;"",$E581&lt;=L$2,$F581&gt;=L$2),1,0)</f>
        <v/>
      </c>
      <c r="M581">
        <f>M580+IF(AND($E581&lt;&gt;"",$E581&lt;=M$2,$F581&gt;=M$2),1,0)</f>
        <v/>
      </c>
      <c r="N581">
        <f>N580+IF(AND($E581&lt;&gt;"",$E581&lt;=N$2,$F581&gt;=N$2),1,0)</f>
        <v/>
      </c>
      <c r="O581">
        <f>O580+IF(AND($E581&lt;&gt;"",$E581&lt;=O$2,$F581&gt;=O$2),1,0)</f>
        <v/>
      </c>
      <c r="P581">
        <f>P580+IF(AND($E581&lt;&gt;"",$E581&lt;=P$2,$F581&gt;=P$2),1,0)</f>
        <v/>
      </c>
      <c r="Q581">
        <f>Q580+IF(AND($E581&lt;&gt;"",$E581&lt;=Q$2,$F581&gt;=Q$2),1,0)</f>
        <v/>
      </c>
      <c r="R581">
        <f>R580+IF(AND($E581&lt;&gt;"",$E581&lt;=R$2,$F581&gt;=R$2),1,0)</f>
        <v/>
      </c>
      <c r="S581">
        <f>S580+IF(AND($E581&lt;&gt;"",$E581&lt;=S$2,$F581&gt;=S$2),1,0)</f>
        <v/>
      </c>
      <c r="T581">
        <f>T580+IF(AND($E581&lt;&gt;"",$E581&lt;=T$2,$F581&gt;=T$2),1,0)</f>
        <v/>
      </c>
      <c r="U581">
        <f>U580+IF(AND($E581&lt;&gt;"",$E581&lt;=U$2,$F581&gt;=U$2),1,0)</f>
        <v/>
      </c>
      <c r="V581">
        <f>V580+IF(AND($E581&lt;&gt;"",$E581&lt;=V$2,$F581&gt;=V$2),1,0)</f>
        <v/>
      </c>
      <c r="W581">
        <f>W580+IF(AND($E581&lt;&gt;"",$E581&lt;=W$2,$F581&gt;=W$2),1,0)</f>
        <v/>
      </c>
      <c r="X581">
        <f>X580+IF(AND($E581&lt;&gt;"",$E581&lt;=X$2,$F581&gt;=X$2),1,0)</f>
        <v/>
      </c>
      <c r="Y581">
        <f>Y580+IF(AND($E581&lt;&gt;"",$E581&lt;=Y$2,$F581&gt;=Y$2),1,0)</f>
        <v/>
      </c>
      <c r="Z581">
        <f>Z580+IF(AND($E581&lt;&gt;"",$E581&lt;=Z$2,$F581&gt;=Z$2),1,0)</f>
        <v/>
      </c>
      <c r="AA581">
        <f>AA580+IF(AND($E581&lt;&gt;"",$E581&lt;=AA$2,$F581&gt;=AA$2),1,0)</f>
        <v/>
      </c>
      <c r="AB581">
        <f>AB580+IF(AND($E581&lt;&gt;"",$E581&lt;=AB$2,$F581&gt;=AB$2),1,0)</f>
        <v/>
      </c>
      <c r="AC581">
        <f>AC580+IF(AND($E581&lt;&gt;"",$E581&lt;=AC$2,$F581&gt;=AC$2),1,0)</f>
        <v/>
      </c>
      <c r="AD581">
        <f>AD580+IF(AND($E581&lt;&gt;"",$E581&lt;=AD$2,$F581&gt;=AD$2),1,0)</f>
        <v/>
      </c>
      <c r="AE581">
        <f>AE580+IF(AND($E581&lt;&gt;"",$E581&lt;=AE$2,$F581&gt;=AE$2),1,0)</f>
        <v/>
      </c>
      <c r="AF581">
        <f>AF580+IF(AND($E581&lt;&gt;"",$E581&lt;=AF$2,$F581&gt;=AF$2),1,0)</f>
        <v/>
      </c>
      <c r="AG581">
        <f>AG580+IF(AND($E581&lt;&gt;"",$E581&lt;=AG$2,$F581&gt;=AG$2),1,0)</f>
        <v/>
      </c>
      <c r="AH581">
        <f>AH580+IF(AND($E581&lt;&gt;"",$E581&lt;=AH$2,$F581&gt;=AH$2),1,0)</f>
        <v/>
      </c>
      <c r="AI581">
        <f>AI580+IF(AND($E581&lt;&gt;"",$E581&lt;=AI$2,$F581&gt;=AI$2),1,0)</f>
        <v/>
      </c>
      <c r="AJ581">
        <f>AJ580+IF(AND($E581&lt;&gt;"",$E581&lt;=AJ$2,$F581&gt;=AJ$2),1,0)</f>
        <v/>
      </c>
      <c r="AK581">
        <f>AK580+IF(AND($E581&lt;&gt;"",$E581&lt;=AK$2,$F581&gt;=AK$2),1,0)</f>
        <v/>
      </c>
      <c r="AL581">
        <f>AL580+IF(AND($E581&lt;&gt;"",$E581&lt;=AL$2,$F581&gt;=AL$2),1,0)</f>
        <v/>
      </c>
      <c r="AM581">
        <f>AM580+IF(AND($E581&lt;&gt;"",$E581&lt;=AM$2,$F581&gt;=AM$2),1,0)</f>
        <v/>
      </c>
      <c r="AN581">
        <f>AN580+IF(AND($E581&lt;&gt;"",$E581&lt;=AN$2,$F581&gt;=AN$2),1,0)</f>
        <v/>
      </c>
      <c r="AO581">
        <f>AO580+IF(AND($E581&lt;&gt;"",$E581&lt;=AO$2,$F581&gt;=AO$2),1,0)</f>
        <v/>
      </c>
      <c r="AP581">
        <f>AP580+IF(AND($E581&lt;&gt;"",$E581&lt;=AP$2,$F581&gt;=AP$2),1,0)</f>
        <v/>
      </c>
      <c r="AQ581">
        <f>AQ580+IF(AND($E581&lt;&gt;"",$E581&lt;=AQ$2,$F581&gt;=AQ$2),1,0)</f>
        <v/>
      </c>
      <c r="AR581">
        <f>AR580+IF(AND($E581&lt;&gt;"",$E581&lt;=AR$2,$F581&gt;=AR$2),1,0)</f>
        <v/>
      </c>
      <c r="AS581">
        <f>AS580+IF(AND($E581&lt;&gt;"",$E581&lt;=AS$2,$F581&gt;=AS$2),1,0)</f>
        <v/>
      </c>
      <c r="AT581">
        <f>AT580+IF(AND($E581&lt;&gt;"",$E581&lt;=AT$2,$F581&gt;=AT$2),1,0)</f>
        <v/>
      </c>
      <c r="AU581">
        <f>AU580+IF(AND($E581&lt;&gt;"",$E581&lt;=AU$2,$F581&gt;=AU$2),1,0)</f>
        <v/>
      </c>
      <c r="AV581">
        <f>AV580+IF(AND($E581&lt;&gt;"",$E581&lt;=AV$2,$F581&gt;=AV$2),1,0)</f>
        <v/>
      </c>
      <c r="AW581">
        <f>AW580+IF(AND($E581&lt;&gt;"",$E581&lt;=AW$2,$F581&gt;=AW$2),1,0)</f>
        <v/>
      </c>
    </row>
    <row r="582">
      <c r="A582">
        <f>IF(AND(ISNUMBER(Events!$A584),ISNUMBER(Events!$B584)),MAX(0,Events!$B584-Events!$A584),0)</f>
        <v/>
      </c>
      <c r="B582">
        <f>IF(ISNUMBER(Events!$A584),DATE(YEAR($B$1)-1,MONTH(Events!$A584),DAY(Events!$A584)),"")</f>
        <v/>
      </c>
      <c r="C582">
        <f>IF(ISNUMBER(Events!$A584),DATE(YEAR($B$1),MONTH(Events!$A584),DAY(Events!$A584)),"")</f>
        <v/>
      </c>
      <c r="D582">
        <f>IF(ISNUMBER(Events!$A584),DATE(YEAR($B$2),MONTH(Events!$A584),DAY(Events!$A584)),"")</f>
        <v/>
      </c>
      <c r="E582">
        <f>IF(OR(NOT(ISNUMBER(Events!$A584)),Events!$G584="No",Calendar!$H$4="None"),"",IF(OR(Calendar!$H$4="All events",Events!$D584=Calendar!$H$4),IF(Events!$E584="Yes",IF(AND(B582&gt;=Events!$A584,B582&lt;=$B$2,B582+$A582&gt;=$B$1),B582,IF(AND(C582&gt;=Events!$A584,C582&lt;=$B$2,C582+$A582&gt;=$B$1),C582,IF(AND(D582&gt;=Events!$A584,D582&lt;=$B$2,D582+$A582&gt;=$B$1),D582,""))),IF(AND(Events!$A584&lt;=$B$2,Events!$A584+$A582&gt;=$B$1),Events!$A584,"")),""))</f>
        <v/>
      </c>
      <c r="F582">
        <f>IF(E582="","",E582+A582)</f>
        <v/>
      </c>
      <c r="G582">
        <f>IF(E582="","",IF(AND(E582&lt;=EOMONTH(Calendar!$K$2,0),F582&gt;=Calendar!$K$2),E582+579/100000,""))</f>
        <v/>
      </c>
      <c r="H582">
        <f>H581+IF(AND($E582&lt;&gt;"",$E582&lt;=H$2,$F582&gt;=H$2),1,0)</f>
        <v/>
      </c>
      <c r="I582">
        <f>I581+IF(AND($E582&lt;&gt;"",$E582&lt;=I$2,$F582&gt;=I$2),1,0)</f>
        <v/>
      </c>
      <c r="J582">
        <f>J581+IF(AND($E582&lt;&gt;"",$E582&lt;=J$2,$F582&gt;=J$2),1,0)</f>
        <v/>
      </c>
      <c r="K582">
        <f>K581+IF(AND($E582&lt;&gt;"",$E582&lt;=K$2,$F582&gt;=K$2),1,0)</f>
        <v/>
      </c>
      <c r="L582">
        <f>L581+IF(AND($E582&lt;&gt;"",$E582&lt;=L$2,$F582&gt;=L$2),1,0)</f>
        <v/>
      </c>
      <c r="M582">
        <f>M581+IF(AND($E582&lt;&gt;"",$E582&lt;=M$2,$F582&gt;=M$2),1,0)</f>
        <v/>
      </c>
      <c r="N582">
        <f>N581+IF(AND($E582&lt;&gt;"",$E582&lt;=N$2,$F582&gt;=N$2),1,0)</f>
        <v/>
      </c>
      <c r="O582">
        <f>O581+IF(AND($E582&lt;&gt;"",$E582&lt;=O$2,$F582&gt;=O$2),1,0)</f>
        <v/>
      </c>
      <c r="P582">
        <f>P581+IF(AND($E582&lt;&gt;"",$E582&lt;=P$2,$F582&gt;=P$2),1,0)</f>
        <v/>
      </c>
      <c r="Q582">
        <f>Q581+IF(AND($E582&lt;&gt;"",$E582&lt;=Q$2,$F582&gt;=Q$2),1,0)</f>
        <v/>
      </c>
      <c r="R582">
        <f>R581+IF(AND($E582&lt;&gt;"",$E582&lt;=R$2,$F582&gt;=R$2),1,0)</f>
        <v/>
      </c>
      <c r="S582">
        <f>S581+IF(AND($E582&lt;&gt;"",$E582&lt;=S$2,$F582&gt;=S$2),1,0)</f>
        <v/>
      </c>
      <c r="T582">
        <f>T581+IF(AND($E582&lt;&gt;"",$E582&lt;=T$2,$F582&gt;=T$2),1,0)</f>
        <v/>
      </c>
      <c r="U582">
        <f>U581+IF(AND($E582&lt;&gt;"",$E582&lt;=U$2,$F582&gt;=U$2),1,0)</f>
        <v/>
      </c>
      <c r="V582">
        <f>V581+IF(AND($E582&lt;&gt;"",$E582&lt;=V$2,$F582&gt;=V$2),1,0)</f>
        <v/>
      </c>
      <c r="W582">
        <f>W581+IF(AND($E582&lt;&gt;"",$E582&lt;=W$2,$F582&gt;=W$2),1,0)</f>
        <v/>
      </c>
      <c r="X582">
        <f>X581+IF(AND($E582&lt;&gt;"",$E582&lt;=X$2,$F582&gt;=X$2),1,0)</f>
        <v/>
      </c>
      <c r="Y582">
        <f>Y581+IF(AND($E582&lt;&gt;"",$E582&lt;=Y$2,$F582&gt;=Y$2),1,0)</f>
        <v/>
      </c>
      <c r="Z582">
        <f>Z581+IF(AND($E582&lt;&gt;"",$E582&lt;=Z$2,$F582&gt;=Z$2),1,0)</f>
        <v/>
      </c>
      <c r="AA582">
        <f>AA581+IF(AND($E582&lt;&gt;"",$E582&lt;=AA$2,$F582&gt;=AA$2),1,0)</f>
        <v/>
      </c>
      <c r="AB582">
        <f>AB581+IF(AND($E582&lt;&gt;"",$E582&lt;=AB$2,$F582&gt;=AB$2),1,0)</f>
        <v/>
      </c>
      <c r="AC582">
        <f>AC581+IF(AND($E582&lt;&gt;"",$E582&lt;=AC$2,$F582&gt;=AC$2),1,0)</f>
        <v/>
      </c>
      <c r="AD582">
        <f>AD581+IF(AND($E582&lt;&gt;"",$E582&lt;=AD$2,$F582&gt;=AD$2),1,0)</f>
        <v/>
      </c>
      <c r="AE582">
        <f>AE581+IF(AND($E582&lt;&gt;"",$E582&lt;=AE$2,$F582&gt;=AE$2),1,0)</f>
        <v/>
      </c>
      <c r="AF582">
        <f>AF581+IF(AND($E582&lt;&gt;"",$E582&lt;=AF$2,$F582&gt;=AF$2),1,0)</f>
        <v/>
      </c>
      <c r="AG582">
        <f>AG581+IF(AND($E582&lt;&gt;"",$E582&lt;=AG$2,$F582&gt;=AG$2),1,0)</f>
        <v/>
      </c>
      <c r="AH582">
        <f>AH581+IF(AND($E582&lt;&gt;"",$E582&lt;=AH$2,$F582&gt;=AH$2),1,0)</f>
        <v/>
      </c>
      <c r="AI582">
        <f>AI581+IF(AND($E582&lt;&gt;"",$E582&lt;=AI$2,$F582&gt;=AI$2),1,0)</f>
        <v/>
      </c>
      <c r="AJ582">
        <f>AJ581+IF(AND($E582&lt;&gt;"",$E582&lt;=AJ$2,$F582&gt;=AJ$2),1,0)</f>
        <v/>
      </c>
      <c r="AK582">
        <f>AK581+IF(AND($E582&lt;&gt;"",$E582&lt;=AK$2,$F582&gt;=AK$2),1,0)</f>
        <v/>
      </c>
      <c r="AL582">
        <f>AL581+IF(AND($E582&lt;&gt;"",$E582&lt;=AL$2,$F582&gt;=AL$2),1,0)</f>
        <v/>
      </c>
      <c r="AM582">
        <f>AM581+IF(AND($E582&lt;&gt;"",$E582&lt;=AM$2,$F582&gt;=AM$2),1,0)</f>
        <v/>
      </c>
      <c r="AN582">
        <f>AN581+IF(AND($E582&lt;&gt;"",$E582&lt;=AN$2,$F582&gt;=AN$2),1,0)</f>
        <v/>
      </c>
      <c r="AO582">
        <f>AO581+IF(AND($E582&lt;&gt;"",$E582&lt;=AO$2,$F582&gt;=AO$2),1,0)</f>
        <v/>
      </c>
      <c r="AP582">
        <f>AP581+IF(AND($E582&lt;&gt;"",$E582&lt;=AP$2,$F582&gt;=AP$2),1,0)</f>
        <v/>
      </c>
      <c r="AQ582">
        <f>AQ581+IF(AND($E582&lt;&gt;"",$E582&lt;=AQ$2,$F582&gt;=AQ$2),1,0)</f>
        <v/>
      </c>
      <c r="AR582">
        <f>AR581+IF(AND($E582&lt;&gt;"",$E582&lt;=AR$2,$F582&gt;=AR$2),1,0)</f>
        <v/>
      </c>
      <c r="AS582">
        <f>AS581+IF(AND($E582&lt;&gt;"",$E582&lt;=AS$2,$F582&gt;=AS$2),1,0)</f>
        <v/>
      </c>
      <c r="AT582">
        <f>AT581+IF(AND($E582&lt;&gt;"",$E582&lt;=AT$2,$F582&gt;=AT$2),1,0)</f>
        <v/>
      </c>
      <c r="AU582">
        <f>AU581+IF(AND($E582&lt;&gt;"",$E582&lt;=AU$2,$F582&gt;=AU$2),1,0)</f>
        <v/>
      </c>
      <c r="AV582">
        <f>AV581+IF(AND($E582&lt;&gt;"",$E582&lt;=AV$2,$F582&gt;=AV$2),1,0)</f>
        <v/>
      </c>
      <c r="AW582">
        <f>AW581+IF(AND($E582&lt;&gt;"",$E582&lt;=AW$2,$F582&gt;=AW$2),1,0)</f>
        <v/>
      </c>
    </row>
    <row r="583">
      <c r="A583">
        <f>IF(AND(ISNUMBER(Events!$A585),ISNUMBER(Events!$B585)),MAX(0,Events!$B585-Events!$A585),0)</f>
        <v/>
      </c>
      <c r="B583">
        <f>IF(ISNUMBER(Events!$A585),DATE(YEAR($B$1)-1,MONTH(Events!$A585),DAY(Events!$A585)),"")</f>
        <v/>
      </c>
      <c r="C583">
        <f>IF(ISNUMBER(Events!$A585),DATE(YEAR($B$1),MONTH(Events!$A585),DAY(Events!$A585)),"")</f>
        <v/>
      </c>
      <c r="D583">
        <f>IF(ISNUMBER(Events!$A585),DATE(YEAR($B$2),MONTH(Events!$A585),DAY(Events!$A585)),"")</f>
        <v/>
      </c>
      <c r="E583">
        <f>IF(OR(NOT(ISNUMBER(Events!$A585)),Events!$G585="No",Calendar!$H$4="None"),"",IF(OR(Calendar!$H$4="All events",Events!$D585=Calendar!$H$4),IF(Events!$E585="Yes",IF(AND(B583&gt;=Events!$A585,B583&lt;=$B$2,B583+$A583&gt;=$B$1),B583,IF(AND(C583&gt;=Events!$A585,C583&lt;=$B$2,C583+$A583&gt;=$B$1),C583,IF(AND(D583&gt;=Events!$A585,D583&lt;=$B$2,D583+$A583&gt;=$B$1),D583,""))),IF(AND(Events!$A585&lt;=$B$2,Events!$A585+$A583&gt;=$B$1),Events!$A585,"")),""))</f>
        <v/>
      </c>
      <c r="F583">
        <f>IF(E583="","",E583+A583)</f>
        <v/>
      </c>
      <c r="G583">
        <f>IF(E583="","",IF(AND(E583&lt;=EOMONTH(Calendar!$K$2,0),F583&gt;=Calendar!$K$2),E583+580/100000,""))</f>
        <v/>
      </c>
      <c r="H583">
        <f>H582+IF(AND($E583&lt;&gt;"",$E583&lt;=H$2,$F583&gt;=H$2),1,0)</f>
        <v/>
      </c>
      <c r="I583">
        <f>I582+IF(AND($E583&lt;&gt;"",$E583&lt;=I$2,$F583&gt;=I$2),1,0)</f>
        <v/>
      </c>
      <c r="J583">
        <f>J582+IF(AND($E583&lt;&gt;"",$E583&lt;=J$2,$F583&gt;=J$2),1,0)</f>
        <v/>
      </c>
      <c r="K583">
        <f>K582+IF(AND($E583&lt;&gt;"",$E583&lt;=K$2,$F583&gt;=K$2),1,0)</f>
        <v/>
      </c>
      <c r="L583">
        <f>L582+IF(AND($E583&lt;&gt;"",$E583&lt;=L$2,$F583&gt;=L$2),1,0)</f>
        <v/>
      </c>
      <c r="M583">
        <f>M582+IF(AND($E583&lt;&gt;"",$E583&lt;=M$2,$F583&gt;=M$2),1,0)</f>
        <v/>
      </c>
      <c r="N583">
        <f>N582+IF(AND($E583&lt;&gt;"",$E583&lt;=N$2,$F583&gt;=N$2),1,0)</f>
        <v/>
      </c>
      <c r="O583">
        <f>O582+IF(AND($E583&lt;&gt;"",$E583&lt;=O$2,$F583&gt;=O$2),1,0)</f>
        <v/>
      </c>
      <c r="P583">
        <f>P582+IF(AND($E583&lt;&gt;"",$E583&lt;=P$2,$F583&gt;=P$2),1,0)</f>
        <v/>
      </c>
      <c r="Q583">
        <f>Q582+IF(AND($E583&lt;&gt;"",$E583&lt;=Q$2,$F583&gt;=Q$2),1,0)</f>
        <v/>
      </c>
      <c r="R583">
        <f>R582+IF(AND($E583&lt;&gt;"",$E583&lt;=R$2,$F583&gt;=R$2),1,0)</f>
        <v/>
      </c>
      <c r="S583">
        <f>S582+IF(AND($E583&lt;&gt;"",$E583&lt;=S$2,$F583&gt;=S$2),1,0)</f>
        <v/>
      </c>
      <c r="T583">
        <f>T582+IF(AND($E583&lt;&gt;"",$E583&lt;=T$2,$F583&gt;=T$2),1,0)</f>
        <v/>
      </c>
      <c r="U583">
        <f>U582+IF(AND($E583&lt;&gt;"",$E583&lt;=U$2,$F583&gt;=U$2),1,0)</f>
        <v/>
      </c>
      <c r="V583">
        <f>V582+IF(AND($E583&lt;&gt;"",$E583&lt;=V$2,$F583&gt;=V$2),1,0)</f>
        <v/>
      </c>
      <c r="W583">
        <f>W582+IF(AND($E583&lt;&gt;"",$E583&lt;=W$2,$F583&gt;=W$2),1,0)</f>
        <v/>
      </c>
      <c r="X583">
        <f>X582+IF(AND($E583&lt;&gt;"",$E583&lt;=X$2,$F583&gt;=X$2),1,0)</f>
        <v/>
      </c>
      <c r="Y583">
        <f>Y582+IF(AND($E583&lt;&gt;"",$E583&lt;=Y$2,$F583&gt;=Y$2),1,0)</f>
        <v/>
      </c>
      <c r="Z583">
        <f>Z582+IF(AND($E583&lt;&gt;"",$E583&lt;=Z$2,$F583&gt;=Z$2),1,0)</f>
        <v/>
      </c>
      <c r="AA583">
        <f>AA582+IF(AND($E583&lt;&gt;"",$E583&lt;=AA$2,$F583&gt;=AA$2),1,0)</f>
        <v/>
      </c>
      <c r="AB583">
        <f>AB582+IF(AND($E583&lt;&gt;"",$E583&lt;=AB$2,$F583&gt;=AB$2),1,0)</f>
        <v/>
      </c>
      <c r="AC583">
        <f>AC582+IF(AND($E583&lt;&gt;"",$E583&lt;=AC$2,$F583&gt;=AC$2),1,0)</f>
        <v/>
      </c>
      <c r="AD583">
        <f>AD582+IF(AND($E583&lt;&gt;"",$E583&lt;=AD$2,$F583&gt;=AD$2),1,0)</f>
        <v/>
      </c>
      <c r="AE583">
        <f>AE582+IF(AND($E583&lt;&gt;"",$E583&lt;=AE$2,$F583&gt;=AE$2),1,0)</f>
        <v/>
      </c>
      <c r="AF583">
        <f>AF582+IF(AND($E583&lt;&gt;"",$E583&lt;=AF$2,$F583&gt;=AF$2),1,0)</f>
        <v/>
      </c>
      <c r="AG583">
        <f>AG582+IF(AND($E583&lt;&gt;"",$E583&lt;=AG$2,$F583&gt;=AG$2),1,0)</f>
        <v/>
      </c>
      <c r="AH583">
        <f>AH582+IF(AND($E583&lt;&gt;"",$E583&lt;=AH$2,$F583&gt;=AH$2),1,0)</f>
        <v/>
      </c>
      <c r="AI583">
        <f>AI582+IF(AND($E583&lt;&gt;"",$E583&lt;=AI$2,$F583&gt;=AI$2),1,0)</f>
        <v/>
      </c>
      <c r="AJ583">
        <f>AJ582+IF(AND($E583&lt;&gt;"",$E583&lt;=AJ$2,$F583&gt;=AJ$2),1,0)</f>
        <v/>
      </c>
      <c r="AK583">
        <f>AK582+IF(AND($E583&lt;&gt;"",$E583&lt;=AK$2,$F583&gt;=AK$2),1,0)</f>
        <v/>
      </c>
      <c r="AL583">
        <f>AL582+IF(AND($E583&lt;&gt;"",$E583&lt;=AL$2,$F583&gt;=AL$2),1,0)</f>
        <v/>
      </c>
      <c r="AM583">
        <f>AM582+IF(AND($E583&lt;&gt;"",$E583&lt;=AM$2,$F583&gt;=AM$2),1,0)</f>
        <v/>
      </c>
      <c r="AN583">
        <f>AN582+IF(AND($E583&lt;&gt;"",$E583&lt;=AN$2,$F583&gt;=AN$2),1,0)</f>
        <v/>
      </c>
      <c r="AO583">
        <f>AO582+IF(AND($E583&lt;&gt;"",$E583&lt;=AO$2,$F583&gt;=AO$2),1,0)</f>
        <v/>
      </c>
      <c r="AP583">
        <f>AP582+IF(AND($E583&lt;&gt;"",$E583&lt;=AP$2,$F583&gt;=AP$2),1,0)</f>
        <v/>
      </c>
      <c r="AQ583">
        <f>AQ582+IF(AND($E583&lt;&gt;"",$E583&lt;=AQ$2,$F583&gt;=AQ$2),1,0)</f>
        <v/>
      </c>
      <c r="AR583">
        <f>AR582+IF(AND($E583&lt;&gt;"",$E583&lt;=AR$2,$F583&gt;=AR$2),1,0)</f>
        <v/>
      </c>
      <c r="AS583">
        <f>AS582+IF(AND($E583&lt;&gt;"",$E583&lt;=AS$2,$F583&gt;=AS$2),1,0)</f>
        <v/>
      </c>
      <c r="AT583">
        <f>AT582+IF(AND($E583&lt;&gt;"",$E583&lt;=AT$2,$F583&gt;=AT$2),1,0)</f>
        <v/>
      </c>
      <c r="AU583">
        <f>AU582+IF(AND($E583&lt;&gt;"",$E583&lt;=AU$2,$F583&gt;=AU$2),1,0)</f>
        <v/>
      </c>
      <c r="AV583">
        <f>AV582+IF(AND($E583&lt;&gt;"",$E583&lt;=AV$2,$F583&gt;=AV$2),1,0)</f>
        <v/>
      </c>
      <c r="AW583">
        <f>AW582+IF(AND($E583&lt;&gt;"",$E583&lt;=AW$2,$F583&gt;=AW$2),1,0)</f>
        <v/>
      </c>
    </row>
    <row r="584">
      <c r="A584">
        <f>IF(AND(ISNUMBER(Events!$A586),ISNUMBER(Events!$B586)),MAX(0,Events!$B586-Events!$A586),0)</f>
        <v/>
      </c>
      <c r="B584">
        <f>IF(ISNUMBER(Events!$A586),DATE(YEAR($B$1)-1,MONTH(Events!$A586),DAY(Events!$A586)),"")</f>
        <v/>
      </c>
      <c r="C584">
        <f>IF(ISNUMBER(Events!$A586),DATE(YEAR($B$1),MONTH(Events!$A586),DAY(Events!$A586)),"")</f>
        <v/>
      </c>
      <c r="D584">
        <f>IF(ISNUMBER(Events!$A586),DATE(YEAR($B$2),MONTH(Events!$A586),DAY(Events!$A586)),"")</f>
        <v/>
      </c>
      <c r="E584">
        <f>IF(OR(NOT(ISNUMBER(Events!$A586)),Events!$G586="No",Calendar!$H$4="None"),"",IF(OR(Calendar!$H$4="All events",Events!$D586=Calendar!$H$4),IF(Events!$E586="Yes",IF(AND(B584&gt;=Events!$A586,B584&lt;=$B$2,B584+$A584&gt;=$B$1),B584,IF(AND(C584&gt;=Events!$A586,C584&lt;=$B$2,C584+$A584&gt;=$B$1),C584,IF(AND(D584&gt;=Events!$A586,D584&lt;=$B$2,D584+$A584&gt;=$B$1),D584,""))),IF(AND(Events!$A586&lt;=$B$2,Events!$A586+$A584&gt;=$B$1),Events!$A586,"")),""))</f>
        <v/>
      </c>
      <c r="F584">
        <f>IF(E584="","",E584+A584)</f>
        <v/>
      </c>
      <c r="G584">
        <f>IF(E584="","",IF(AND(E584&lt;=EOMONTH(Calendar!$K$2,0),F584&gt;=Calendar!$K$2),E584+581/100000,""))</f>
        <v/>
      </c>
      <c r="H584">
        <f>H583+IF(AND($E584&lt;&gt;"",$E584&lt;=H$2,$F584&gt;=H$2),1,0)</f>
        <v/>
      </c>
      <c r="I584">
        <f>I583+IF(AND($E584&lt;&gt;"",$E584&lt;=I$2,$F584&gt;=I$2),1,0)</f>
        <v/>
      </c>
      <c r="J584">
        <f>J583+IF(AND($E584&lt;&gt;"",$E584&lt;=J$2,$F584&gt;=J$2),1,0)</f>
        <v/>
      </c>
      <c r="K584">
        <f>K583+IF(AND($E584&lt;&gt;"",$E584&lt;=K$2,$F584&gt;=K$2),1,0)</f>
        <v/>
      </c>
      <c r="L584">
        <f>L583+IF(AND($E584&lt;&gt;"",$E584&lt;=L$2,$F584&gt;=L$2),1,0)</f>
        <v/>
      </c>
      <c r="M584">
        <f>M583+IF(AND($E584&lt;&gt;"",$E584&lt;=M$2,$F584&gt;=M$2),1,0)</f>
        <v/>
      </c>
      <c r="N584">
        <f>N583+IF(AND($E584&lt;&gt;"",$E584&lt;=N$2,$F584&gt;=N$2),1,0)</f>
        <v/>
      </c>
      <c r="O584">
        <f>O583+IF(AND($E584&lt;&gt;"",$E584&lt;=O$2,$F584&gt;=O$2),1,0)</f>
        <v/>
      </c>
      <c r="P584">
        <f>P583+IF(AND($E584&lt;&gt;"",$E584&lt;=P$2,$F584&gt;=P$2),1,0)</f>
        <v/>
      </c>
      <c r="Q584">
        <f>Q583+IF(AND($E584&lt;&gt;"",$E584&lt;=Q$2,$F584&gt;=Q$2),1,0)</f>
        <v/>
      </c>
      <c r="R584">
        <f>R583+IF(AND($E584&lt;&gt;"",$E584&lt;=R$2,$F584&gt;=R$2),1,0)</f>
        <v/>
      </c>
      <c r="S584">
        <f>S583+IF(AND($E584&lt;&gt;"",$E584&lt;=S$2,$F584&gt;=S$2),1,0)</f>
        <v/>
      </c>
      <c r="T584">
        <f>T583+IF(AND($E584&lt;&gt;"",$E584&lt;=T$2,$F584&gt;=T$2),1,0)</f>
        <v/>
      </c>
      <c r="U584">
        <f>U583+IF(AND($E584&lt;&gt;"",$E584&lt;=U$2,$F584&gt;=U$2),1,0)</f>
        <v/>
      </c>
      <c r="V584">
        <f>V583+IF(AND($E584&lt;&gt;"",$E584&lt;=V$2,$F584&gt;=V$2),1,0)</f>
        <v/>
      </c>
      <c r="W584">
        <f>W583+IF(AND($E584&lt;&gt;"",$E584&lt;=W$2,$F584&gt;=W$2),1,0)</f>
        <v/>
      </c>
      <c r="X584">
        <f>X583+IF(AND($E584&lt;&gt;"",$E584&lt;=X$2,$F584&gt;=X$2),1,0)</f>
        <v/>
      </c>
      <c r="Y584">
        <f>Y583+IF(AND($E584&lt;&gt;"",$E584&lt;=Y$2,$F584&gt;=Y$2),1,0)</f>
        <v/>
      </c>
      <c r="Z584">
        <f>Z583+IF(AND($E584&lt;&gt;"",$E584&lt;=Z$2,$F584&gt;=Z$2),1,0)</f>
        <v/>
      </c>
      <c r="AA584">
        <f>AA583+IF(AND($E584&lt;&gt;"",$E584&lt;=AA$2,$F584&gt;=AA$2),1,0)</f>
        <v/>
      </c>
      <c r="AB584">
        <f>AB583+IF(AND($E584&lt;&gt;"",$E584&lt;=AB$2,$F584&gt;=AB$2),1,0)</f>
        <v/>
      </c>
      <c r="AC584">
        <f>AC583+IF(AND($E584&lt;&gt;"",$E584&lt;=AC$2,$F584&gt;=AC$2),1,0)</f>
        <v/>
      </c>
      <c r="AD584">
        <f>AD583+IF(AND($E584&lt;&gt;"",$E584&lt;=AD$2,$F584&gt;=AD$2),1,0)</f>
        <v/>
      </c>
      <c r="AE584">
        <f>AE583+IF(AND($E584&lt;&gt;"",$E584&lt;=AE$2,$F584&gt;=AE$2),1,0)</f>
        <v/>
      </c>
      <c r="AF584">
        <f>AF583+IF(AND($E584&lt;&gt;"",$E584&lt;=AF$2,$F584&gt;=AF$2),1,0)</f>
        <v/>
      </c>
      <c r="AG584">
        <f>AG583+IF(AND($E584&lt;&gt;"",$E584&lt;=AG$2,$F584&gt;=AG$2),1,0)</f>
        <v/>
      </c>
      <c r="AH584">
        <f>AH583+IF(AND($E584&lt;&gt;"",$E584&lt;=AH$2,$F584&gt;=AH$2),1,0)</f>
        <v/>
      </c>
      <c r="AI584">
        <f>AI583+IF(AND($E584&lt;&gt;"",$E584&lt;=AI$2,$F584&gt;=AI$2),1,0)</f>
        <v/>
      </c>
      <c r="AJ584">
        <f>AJ583+IF(AND($E584&lt;&gt;"",$E584&lt;=AJ$2,$F584&gt;=AJ$2),1,0)</f>
        <v/>
      </c>
      <c r="AK584">
        <f>AK583+IF(AND($E584&lt;&gt;"",$E584&lt;=AK$2,$F584&gt;=AK$2),1,0)</f>
        <v/>
      </c>
      <c r="AL584">
        <f>AL583+IF(AND($E584&lt;&gt;"",$E584&lt;=AL$2,$F584&gt;=AL$2),1,0)</f>
        <v/>
      </c>
      <c r="AM584">
        <f>AM583+IF(AND($E584&lt;&gt;"",$E584&lt;=AM$2,$F584&gt;=AM$2),1,0)</f>
        <v/>
      </c>
      <c r="AN584">
        <f>AN583+IF(AND($E584&lt;&gt;"",$E584&lt;=AN$2,$F584&gt;=AN$2),1,0)</f>
        <v/>
      </c>
      <c r="AO584">
        <f>AO583+IF(AND($E584&lt;&gt;"",$E584&lt;=AO$2,$F584&gt;=AO$2),1,0)</f>
        <v/>
      </c>
      <c r="AP584">
        <f>AP583+IF(AND($E584&lt;&gt;"",$E584&lt;=AP$2,$F584&gt;=AP$2),1,0)</f>
        <v/>
      </c>
      <c r="AQ584">
        <f>AQ583+IF(AND($E584&lt;&gt;"",$E584&lt;=AQ$2,$F584&gt;=AQ$2),1,0)</f>
        <v/>
      </c>
      <c r="AR584">
        <f>AR583+IF(AND($E584&lt;&gt;"",$E584&lt;=AR$2,$F584&gt;=AR$2),1,0)</f>
        <v/>
      </c>
      <c r="AS584">
        <f>AS583+IF(AND($E584&lt;&gt;"",$E584&lt;=AS$2,$F584&gt;=AS$2),1,0)</f>
        <v/>
      </c>
      <c r="AT584">
        <f>AT583+IF(AND($E584&lt;&gt;"",$E584&lt;=AT$2,$F584&gt;=AT$2),1,0)</f>
        <v/>
      </c>
      <c r="AU584">
        <f>AU583+IF(AND($E584&lt;&gt;"",$E584&lt;=AU$2,$F584&gt;=AU$2),1,0)</f>
        <v/>
      </c>
      <c r="AV584">
        <f>AV583+IF(AND($E584&lt;&gt;"",$E584&lt;=AV$2,$F584&gt;=AV$2),1,0)</f>
        <v/>
      </c>
      <c r="AW584">
        <f>AW583+IF(AND($E584&lt;&gt;"",$E584&lt;=AW$2,$F584&gt;=AW$2),1,0)</f>
        <v/>
      </c>
    </row>
    <row r="585">
      <c r="A585">
        <f>IF(AND(ISNUMBER(Events!$A587),ISNUMBER(Events!$B587)),MAX(0,Events!$B587-Events!$A587),0)</f>
        <v/>
      </c>
      <c r="B585">
        <f>IF(ISNUMBER(Events!$A587),DATE(YEAR($B$1)-1,MONTH(Events!$A587),DAY(Events!$A587)),"")</f>
        <v/>
      </c>
      <c r="C585">
        <f>IF(ISNUMBER(Events!$A587),DATE(YEAR($B$1),MONTH(Events!$A587),DAY(Events!$A587)),"")</f>
        <v/>
      </c>
      <c r="D585">
        <f>IF(ISNUMBER(Events!$A587),DATE(YEAR($B$2),MONTH(Events!$A587),DAY(Events!$A587)),"")</f>
        <v/>
      </c>
      <c r="E585">
        <f>IF(OR(NOT(ISNUMBER(Events!$A587)),Events!$G587="No",Calendar!$H$4="None"),"",IF(OR(Calendar!$H$4="All events",Events!$D587=Calendar!$H$4),IF(Events!$E587="Yes",IF(AND(B585&gt;=Events!$A587,B585&lt;=$B$2,B585+$A585&gt;=$B$1),B585,IF(AND(C585&gt;=Events!$A587,C585&lt;=$B$2,C585+$A585&gt;=$B$1),C585,IF(AND(D585&gt;=Events!$A587,D585&lt;=$B$2,D585+$A585&gt;=$B$1),D585,""))),IF(AND(Events!$A587&lt;=$B$2,Events!$A587+$A585&gt;=$B$1),Events!$A587,"")),""))</f>
        <v/>
      </c>
      <c r="F585">
        <f>IF(E585="","",E585+A585)</f>
        <v/>
      </c>
      <c r="G585">
        <f>IF(E585="","",IF(AND(E585&lt;=EOMONTH(Calendar!$K$2,0),F585&gt;=Calendar!$K$2),E585+582/100000,""))</f>
        <v/>
      </c>
      <c r="H585">
        <f>H584+IF(AND($E585&lt;&gt;"",$E585&lt;=H$2,$F585&gt;=H$2),1,0)</f>
        <v/>
      </c>
      <c r="I585">
        <f>I584+IF(AND($E585&lt;&gt;"",$E585&lt;=I$2,$F585&gt;=I$2),1,0)</f>
        <v/>
      </c>
      <c r="J585">
        <f>J584+IF(AND($E585&lt;&gt;"",$E585&lt;=J$2,$F585&gt;=J$2),1,0)</f>
        <v/>
      </c>
      <c r="K585">
        <f>K584+IF(AND($E585&lt;&gt;"",$E585&lt;=K$2,$F585&gt;=K$2),1,0)</f>
        <v/>
      </c>
      <c r="L585">
        <f>L584+IF(AND($E585&lt;&gt;"",$E585&lt;=L$2,$F585&gt;=L$2),1,0)</f>
        <v/>
      </c>
      <c r="M585">
        <f>M584+IF(AND($E585&lt;&gt;"",$E585&lt;=M$2,$F585&gt;=M$2),1,0)</f>
        <v/>
      </c>
      <c r="N585">
        <f>N584+IF(AND($E585&lt;&gt;"",$E585&lt;=N$2,$F585&gt;=N$2),1,0)</f>
        <v/>
      </c>
      <c r="O585">
        <f>O584+IF(AND($E585&lt;&gt;"",$E585&lt;=O$2,$F585&gt;=O$2),1,0)</f>
        <v/>
      </c>
      <c r="P585">
        <f>P584+IF(AND($E585&lt;&gt;"",$E585&lt;=P$2,$F585&gt;=P$2),1,0)</f>
        <v/>
      </c>
      <c r="Q585">
        <f>Q584+IF(AND($E585&lt;&gt;"",$E585&lt;=Q$2,$F585&gt;=Q$2),1,0)</f>
        <v/>
      </c>
      <c r="R585">
        <f>R584+IF(AND($E585&lt;&gt;"",$E585&lt;=R$2,$F585&gt;=R$2),1,0)</f>
        <v/>
      </c>
      <c r="S585">
        <f>S584+IF(AND($E585&lt;&gt;"",$E585&lt;=S$2,$F585&gt;=S$2),1,0)</f>
        <v/>
      </c>
      <c r="T585">
        <f>T584+IF(AND($E585&lt;&gt;"",$E585&lt;=T$2,$F585&gt;=T$2),1,0)</f>
        <v/>
      </c>
      <c r="U585">
        <f>U584+IF(AND($E585&lt;&gt;"",$E585&lt;=U$2,$F585&gt;=U$2),1,0)</f>
        <v/>
      </c>
      <c r="V585">
        <f>V584+IF(AND($E585&lt;&gt;"",$E585&lt;=V$2,$F585&gt;=V$2),1,0)</f>
        <v/>
      </c>
      <c r="W585">
        <f>W584+IF(AND($E585&lt;&gt;"",$E585&lt;=W$2,$F585&gt;=W$2),1,0)</f>
        <v/>
      </c>
      <c r="X585">
        <f>X584+IF(AND($E585&lt;&gt;"",$E585&lt;=X$2,$F585&gt;=X$2),1,0)</f>
        <v/>
      </c>
      <c r="Y585">
        <f>Y584+IF(AND($E585&lt;&gt;"",$E585&lt;=Y$2,$F585&gt;=Y$2),1,0)</f>
        <v/>
      </c>
      <c r="Z585">
        <f>Z584+IF(AND($E585&lt;&gt;"",$E585&lt;=Z$2,$F585&gt;=Z$2),1,0)</f>
        <v/>
      </c>
      <c r="AA585">
        <f>AA584+IF(AND($E585&lt;&gt;"",$E585&lt;=AA$2,$F585&gt;=AA$2),1,0)</f>
        <v/>
      </c>
      <c r="AB585">
        <f>AB584+IF(AND($E585&lt;&gt;"",$E585&lt;=AB$2,$F585&gt;=AB$2),1,0)</f>
        <v/>
      </c>
      <c r="AC585">
        <f>AC584+IF(AND($E585&lt;&gt;"",$E585&lt;=AC$2,$F585&gt;=AC$2),1,0)</f>
        <v/>
      </c>
      <c r="AD585">
        <f>AD584+IF(AND($E585&lt;&gt;"",$E585&lt;=AD$2,$F585&gt;=AD$2),1,0)</f>
        <v/>
      </c>
      <c r="AE585">
        <f>AE584+IF(AND($E585&lt;&gt;"",$E585&lt;=AE$2,$F585&gt;=AE$2),1,0)</f>
        <v/>
      </c>
      <c r="AF585">
        <f>AF584+IF(AND($E585&lt;&gt;"",$E585&lt;=AF$2,$F585&gt;=AF$2),1,0)</f>
        <v/>
      </c>
      <c r="AG585">
        <f>AG584+IF(AND($E585&lt;&gt;"",$E585&lt;=AG$2,$F585&gt;=AG$2),1,0)</f>
        <v/>
      </c>
      <c r="AH585">
        <f>AH584+IF(AND($E585&lt;&gt;"",$E585&lt;=AH$2,$F585&gt;=AH$2),1,0)</f>
        <v/>
      </c>
      <c r="AI585">
        <f>AI584+IF(AND($E585&lt;&gt;"",$E585&lt;=AI$2,$F585&gt;=AI$2),1,0)</f>
        <v/>
      </c>
      <c r="AJ585">
        <f>AJ584+IF(AND($E585&lt;&gt;"",$E585&lt;=AJ$2,$F585&gt;=AJ$2),1,0)</f>
        <v/>
      </c>
      <c r="AK585">
        <f>AK584+IF(AND($E585&lt;&gt;"",$E585&lt;=AK$2,$F585&gt;=AK$2),1,0)</f>
        <v/>
      </c>
      <c r="AL585">
        <f>AL584+IF(AND($E585&lt;&gt;"",$E585&lt;=AL$2,$F585&gt;=AL$2),1,0)</f>
        <v/>
      </c>
      <c r="AM585">
        <f>AM584+IF(AND($E585&lt;&gt;"",$E585&lt;=AM$2,$F585&gt;=AM$2),1,0)</f>
        <v/>
      </c>
      <c r="AN585">
        <f>AN584+IF(AND($E585&lt;&gt;"",$E585&lt;=AN$2,$F585&gt;=AN$2),1,0)</f>
        <v/>
      </c>
      <c r="AO585">
        <f>AO584+IF(AND($E585&lt;&gt;"",$E585&lt;=AO$2,$F585&gt;=AO$2),1,0)</f>
        <v/>
      </c>
      <c r="AP585">
        <f>AP584+IF(AND($E585&lt;&gt;"",$E585&lt;=AP$2,$F585&gt;=AP$2),1,0)</f>
        <v/>
      </c>
      <c r="AQ585">
        <f>AQ584+IF(AND($E585&lt;&gt;"",$E585&lt;=AQ$2,$F585&gt;=AQ$2),1,0)</f>
        <v/>
      </c>
      <c r="AR585">
        <f>AR584+IF(AND($E585&lt;&gt;"",$E585&lt;=AR$2,$F585&gt;=AR$2),1,0)</f>
        <v/>
      </c>
      <c r="AS585">
        <f>AS584+IF(AND($E585&lt;&gt;"",$E585&lt;=AS$2,$F585&gt;=AS$2),1,0)</f>
        <v/>
      </c>
      <c r="AT585">
        <f>AT584+IF(AND($E585&lt;&gt;"",$E585&lt;=AT$2,$F585&gt;=AT$2),1,0)</f>
        <v/>
      </c>
      <c r="AU585">
        <f>AU584+IF(AND($E585&lt;&gt;"",$E585&lt;=AU$2,$F585&gt;=AU$2),1,0)</f>
        <v/>
      </c>
      <c r="AV585">
        <f>AV584+IF(AND($E585&lt;&gt;"",$E585&lt;=AV$2,$F585&gt;=AV$2),1,0)</f>
        <v/>
      </c>
      <c r="AW585">
        <f>AW584+IF(AND($E585&lt;&gt;"",$E585&lt;=AW$2,$F585&gt;=AW$2),1,0)</f>
        <v/>
      </c>
    </row>
    <row r="586">
      <c r="A586">
        <f>IF(AND(ISNUMBER(Events!$A588),ISNUMBER(Events!$B588)),MAX(0,Events!$B588-Events!$A588),0)</f>
        <v/>
      </c>
      <c r="B586">
        <f>IF(ISNUMBER(Events!$A588),DATE(YEAR($B$1)-1,MONTH(Events!$A588),DAY(Events!$A588)),"")</f>
        <v/>
      </c>
      <c r="C586">
        <f>IF(ISNUMBER(Events!$A588),DATE(YEAR($B$1),MONTH(Events!$A588),DAY(Events!$A588)),"")</f>
        <v/>
      </c>
      <c r="D586">
        <f>IF(ISNUMBER(Events!$A588),DATE(YEAR($B$2),MONTH(Events!$A588),DAY(Events!$A588)),"")</f>
        <v/>
      </c>
      <c r="E586">
        <f>IF(OR(NOT(ISNUMBER(Events!$A588)),Events!$G588="No",Calendar!$H$4="None"),"",IF(OR(Calendar!$H$4="All events",Events!$D588=Calendar!$H$4),IF(Events!$E588="Yes",IF(AND(B586&gt;=Events!$A588,B586&lt;=$B$2,B586+$A586&gt;=$B$1),B586,IF(AND(C586&gt;=Events!$A588,C586&lt;=$B$2,C586+$A586&gt;=$B$1),C586,IF(AND(D586&gt;=Events!$A588,D586&lt;=$B$2,D586+$A586&gt;=$B$1),D586,""))),IF(AND(Events!$A588&lt;=$B$2,Events!$A588+$A586&gt;=$B$1),Events!$A588,"")),""))</f>
        <v/>
      </c>
      <c r="F586">
        <f>IF(E586="","",E586+A586)</f>
        <v/>
      </c>
      <c r="G586">
        <f>IF(E586="","",IF(AND(E586&lt;=EOMONTH(Calendar!$K$2,0),F586&gt;=Calendar!$K$2),E586+583/100000,""))</f>
        <v/>
      </c>
      <c r="H586">
        <f>H585+IF(AND($E586&lt;&gt;"",$E586&lt;=H$2,$F586&gt;=H$2),1,0)</f>
        <v/>
      </c>
      <c r="I586">
        <f>I585+IF(AND($E586&lt;&gt;"",$E586&lt;=I$2,$F586&gt;=I$2),1,0)</f>
        <v/>
      </c>
      <c r="J586">
        <f>J585+IF(AND($E586&lt;&gt;"",$E586&lt;=J$2,$F586&gt;=J$2),1,0)</f>
        <v/>
      </c>
      <c r="K586">
        <f>K585+IF(AND($E586&lt;&gt;"",$E586&lt;=K$2,$F586&gt;=K$2),1,0)</f>
        <v/>
      </c>
      <c r="L586">
        <f>L585+IF(AND($E586&lt;&gt;"",$E586&lt;=L$2,$F586&gt;=L$2),1,0)</f>
        <v/>
      </c>
      <c r="M586">
        <f>M585+IF(AND($E586&lt;&gt;"",$E586&lt;=M$2,$F586&gt;=M$2),1,0)</f>
        <v/>
      </c>
      <c r="N586">
        <f>N585+IF(AND($E586&lt;&gt;"",$E586&lt;=N$2,$F586&gt;=N$2),1,0)</f>
        <v/>
      </c>
      <c r="O586">
        <f>O585+IF(AND($E586&lt;&gt;"",$E586&lt;=O$2,$F586&gt;=O$2),1,0)</f>
        <v/>
      </c>
      <c r="P586">
        <f>P585+IF(AND($E586&lt;&gt;"",$E586&lt;=P$2,$F586&gt;=P$2),1,0)</f>
        <v/>
      </c>
      <c r="Q586">
        <f>Q585+IF(AND($E586&lt;&gt;"",$E586&lt;=Q$2,$F586&gt;=Q$2),1,0)</f>
        <v/>
      </c>
      <c r="R586">
        <f>R585+IF(AND($E586&lt;&gt;"",$E586&lt;=R$2,$F586&gt;=R$2),1,0)</f>
        <v/>
      </c>
      <c r="S586">
        <f>S585+IF(AND($E586&lt;&gt;"",$E586&lt;=S$2,$F586&gt;=S$2),1,0)</f>
        <v/>
      </c>
      <c r="T586">
        <f>T585+IF(AND($E586&lt;&gt;"",$E586&lt;=T$2,$F586&gt;=T$2),1,0)</f>
        <v/>
      </c>
      <c r="U586">
        <f>U585+IF(AND($E586&lt;&gt;"",$E586&lt;=U$2,$F586&gt;=U$2),1,0)</f>
        <v/>
      </c>
      <c r="V586">
        <f>V585+IF(AND($E586&lt;&gt;"",$E586&lt;=V$2,$F586&gt;=V$2),1,0)</f>
        <v/>
      </c>
      <c r="W586">
        <f>W585+IF(AND($E586&lt;&gt;"",$E586&lt;=W$2,$F586&gt;=W$2),1,0)</f>
        <v/>
      </c>
      <c r="X586">
        <f>X585+IF(AND($E586&lt;&gt;"",$E586&lt;=X$2,$F586&gt;=X$2),1,0)</f>
        <v/>
      </c>
      <c r="Y586">
        <f>Y585+IF(AND($E586&lt;&gt;"",$E586&lt;=Y$2,$F586&gt;=Y$2),1,0)</f>
        <v/>
      </c>
      <c r="Z586">
        <f>Z585+IF(AND($E586&lt;&gt;"",$E586&lt;=Z$2,$F586&gt;=Z$2),1,0)</f>
        <v/>
      </c>
      <c r="AA586">
        <f>AA585+IF(AND($E586&lt;&gt;"",$E586&lt;=AA$2,$F586&gt;=AA$2),1,0)</f>
        <v/>
      </c>
      <c r="AB586">
        <f>AB585+IF(AND($E586&lt;&gt;"",$E586&lt;=AB$2,$F586&gt;=AB$2),1,0)</f>
        <v/>
      </c>
      <c r="AC586">
        <f>AC585+IF(AND($E586&lt;&gt;"",$E586&lt;=AC$2,$F586&gt;=AC$2),1,0)</f>
        <v/>
      </c>
      <c r="AD586">
        <f>AD585+IF(AND($E586&lt;&gt;"",$E586&lt;=AD$2,$F586&gt;=AD$2),1,0)</f>
        <v/>
      </c>
      <c r="AE586">
        <f>AE585+IF(AND($E586&lt;&gt;"",$E586&lt;=AE$2,$F586&gt;=AE$2),1,0)</f>
        <v/>
      </c>
      <c r="AF586">
        <f>AF585+IF(AND($E586&lt;&gt;"",$E586&lt;=AF$2,$F586&gt;=AF$2),1,0)</f>
        <v/>
      </c>
      <c r="AG586">
        <f>AG585+IF(AND($E586&lt;&gt;"",$E586&lt;=AG$2,$F586&gt;=AG$2),1,0)</f>
        <v/>
      </c>
      <c r="AH586">
        <f>AH585+IF(AND($E586&lt;&gt;"",$E586&lt;=AH$2,$F586&gt;=AH$2),1,0)</f>
        <v/>
      </c>
      <c r="AI586">
        <f>AI585+IF(AND($E586&lt;&gt;"",$E586&lt;=AI$2,$F586&gt;=AI$2),1,0)</f>
        <v/>
      </c>
      <c r="AJ586">
        <f>AJ585+IF(AND($E586&lt;&gt;"",$E586&lt;=AJ$2,$F586&gt;=AJ$2),1,0)</f>
        <v/>
      </c>
      <c r="AK586">
        <f>AK585+IF(AND($E586&lt;&gt;"",$E586&lt;=AK$2,$F586&gt;=AK$2),1,0)</f>
        <v/>
      </c>
      <c r="AL586">
        <f>AL585+IF(AND($E586&lt;&gt;"",$E586&lt;=AL$2,$F586&gt;=AL$2),1,0)</f>
        <v/>
      </c>
      <c r="AM586">
        <f>AM585+IF(AND($E586&lt;&gt;"",$E586&lt;=AM$2,$F586&gt;=AM$2),1,0)</f>
        <v/>
      </c>
      <c r="AN586">
        <f>AN585+IF(AND($E586&lt;&gt;"",$E586&lt;=AN$2,$F586&gt;=AN$2),1,0)</f>
        <v/>
      </c>
      <c r="AO586">
        <f>AO585+IF(AND($E586&lt;&gt;"",$E586&lt;=AO$2,$F586&gt;=AO$2),1,0)</f>
        <v/>
      </c>
      <c r="AP586">
        <f>AP585+IF(AND($E586&lt;&gt;"",$E586&lt;=AP$2,$F586&gt;=AP$2),1,0)</f>
        <v/>
      </c>
      <c r="AQ586">
        <f>AQ585+IF(AND($E586&lt;&gt;"",$E586&lt;=AQ$2,$F586&gt;=AQ$2),1,0)</f>
        <v/>
      </c>
      <c r="AR586">
        <f>AR585+IF(AND($E586&lt;&gt;"",$E586&lt;=AR$2,$F586&gt;=AR$2),1,0)</f>
        <v/>
      </c>
      <c r="AS586">
        <f>AS585+IF(AND($E586&lt;&gt;"",$E586&lt;=AS$2,$F586&gt;=AS$2),1,0)</f>
        <v/>
      </c>
      <c r="AT586">
        <f>AT585+IF(AND($E586&lt;&gt;"",$E586&lt;=AT$2,$F586&gt;=AT$2),1,0)</f>
        <v/>
      </c>
      <c r="AU586">
        <f>AU585+IF(AND($E586&lt;&gt;"",$E586&lt;=AU$2,$F586&gt;=AU$2),1,0)</f>
        <v/>
      </c>
      <c r="AV586">
        <f>AV585+IF(AND($E586&lt;&gt;"",$E586&lt;=AV$2,$F586&gt;=AV$2),1,0)</f>
        <v/>
      </c>
      <c r="AW586">
        <f>AW585+IF(AND($E586&lt;&gt;"",$E586&lt;=AW$2,$F586&gt;=AW$2),1,0)</f>
        <v/>
      </c>
    </row>
    <row r="587">
      <c r="A587">
        <f>IF(AND(ISNUMBER(Events!$A589),ISNUMBER(Events!$B589)),MAX(0,Events!$B589-Events!$A589),0)</f>
        <v/>
      </c>
      <c r="B587">
        <f>IF(ISNUMBER(Events!$A589),DATE(YEAR($B$1)-1,MONTH(Events!$A589),DAY(Events!$A589)),"")</f>
        <v/>
      </c>
      <c r="C587">
        <f>IF(ISNUMBER(Events!$A589),DATE(YEAR($B$1),MONTH(Events!$A589),DAY(Events!$A589)),"")</f>
        <v/>
      </c>
      <c r="D587">
        <f>IF(ISNUMBER(Events!$A589),DATE(YEAR($B$2),MONTH(Events!$A589),DAY(Events!$A589)),"")</f>
        <v/>
      </c>
      <c r="E587">
        <f>IF(OR(NOT(ISNUMBER(Events!$A589)),Events!$G589="No",Calendar!$H$4="None"),"",IF(OR(Calendar!$H$4="All events",Events!$D589=Calendar!$H$4),IF(Events!$E589="Yes",IF(AND(B587&gt;=Events!$A589,B587&lt;=$B$2,B587+$A587&gt;=$B$1),B587,IF(AND(C587&gt;=Events!$A589,C587&lt;=$B$2,C587+$A587&gt;=$B$1),C587,IF(AND(D587&gt;=Events!$A589,D587&lt;=$B$2,D587+$A587&gt;=$B$1),D587,""))),IF(AND(Events!$A589&lt;=$B$2,Events!$A589+$A587&gt;=$B$1),Events!$A589,"")),""))</f>
        <v/>
      </c>
      <c r="F587">
        <f>IF(E587="","",E587+A587)</f>
        <v/>
      </c>
      <c r="G587">
        <f>IF(E587="","",IF(AND(E587&lt;=EOMONTH(Calendar!$K$2,0),F587&gt;=Calendar!$K$2),E587+584/100000,""))</f>
        <v/>
      </c>
      <c r="H587">
        <f>H586+IF(AND($E587&lt;&gt;"",$E587&lt;=H$2,$F587&gt;=H$2),1,0)</f>
        <v/>
      </c>
      <c r="I587">
        <f>I586+IF(AND($E587&lt;&gt;"",$E587&lt;=I$2,$F587&gt;=I$2),1,0)</f>
        <v/>
      </c>
      <c r="J587">
        <f>J586+IF(AND($E587&lt;&gt;"",$E587&lt;=J$2,$F587&gt;=J$2),1,0)</f>
        <v/>
      </c>
      <c r="K587">
        <f>K586+IF(AND($E587&lt;&gt;"",$E587&lt;=K$2,$F587&gt;=K$2),1,0)</f>
        <v/>
      </c>
      <c r="L587">
        <f>L586+IF(AND($E587&lt;&gt;"",$E587&lt;=L$2,$F587&gt;=L$2),1,0)</f>
        <v/>
      </c>
      <c r="M587">
        <f>M586+IF(AND($E587&lt;&gt;"",$E587&lt;=M$2,$F587&gt;=M$2),1,0)</f>
        <v/>
      </c>
      <c r="N587">
        <f>N586+IF(AND($E587&lt;&gt;"",$E587&lt;=N$2,$F587&gt;=N$2),1,0)</f>
        <v/>
      </c>
      <c r="O587">
        <f>O586+IF(AND($E587&lt;&gt;"",$E587&lt;=O$2,$F587&gt;=O$2),1,0)</f>
        <v/>
      </c>
      <c r="P587">
        <f>P586+IF(AND($E587&lt;&gt;"",$E587&lt;=P$2,$F587&gt;=P$2),1,0)</f>
        <v/>
      </c>
      <c r="Q587">
        <f>Q586+IF(AND($E587&lt;&gt;"",$E587&lt;=Q$2,$F587&gt;=Q$2),1,0)</f>
        <v/>
      </c>
      <c r="R587">
        <f>R586+IF(AND($E587&lt;&gt;"",$E587&lt;=R$2,$F587&gt;=R$2),1,0)</f>
        <v/>
      </c>
      <c r="S587">
        <f>S586+IF(AND($E587&lt;&gt;"",$E587&lt;=S$2,$F587&gt;=S$2),1,0)</f>
        <v/>
      </c>
      <c r="T587">
        <f>T586+IF(AND($E587&lt;&gt;"",$E587&lt;=T$2,$F587&gt;=T$2),1,0)</f>
        <v/>
      </c>
      <c r="U587">
        <f>U586+IF(AND($E587&lt;&gt;"",$E587&lt;=U$2,$F587&gt;=U$2),1,0)</f>
        <v/>
      </c>
      <c r="V587">
        <f>V586+IF(AND($E587&lt;&gt;"",$E587&lt;=V$2,$F587&gt;=V$2),1,0)</f>
        <v/>
      </c>
      <c r="W587">
        <f>W586+IF(AND($E587&lt;&gt;"",$E587&lt;=W$2,$F587&gt;=W$2),1,0)</f>
        <v/>
      </c>
      <c r="X587">
        <f>X586+IF(AND($E587&lt;&gt;"",$E587&lt;=X$2,$F587&gt;=X$2),1,0)</f>
        <v/>
      </c>
      <c r="Y587">
        <f>Y586+IF(AND($E587&lt;&gt;"",$E587&lt;=Y$2,$F587&gt;=Y$2),1,0)</f>
        <v/>
      </c>
      <c r="Z587">
        <f>Z586+IF(AND($E587&lt;&gt;"",$E587&lt;=Z$2,$F587&gt;=Z$2),1,0)</f>
        <v/>
      </c>
      <c r="AA587">
        <f>AA586+IF(AND($E587&lt;&gt;"",$E587&lt;=AA$2,$F587&gt;=AA$2),1,0)</f>
        <v/>
      </c>
      <c r="AB587">
        <f>AB586+IF(AND($E587&lt;&gt;"",$E587&lt;=AB$2,$F587&gt;=AB$2),1,0)</f>
        <v/>
      </c>
      <c r="AC587">
        <f>AC586+IF(AND($E587&lt;&gt;"",$E587&lt;=AC$2,$F587&gt;=AC$2),1,0)</f>
        <v/>
      </c>
      <c r="AD587">
        <f>AD586+IF(AND($E587&lt;&gt;"",$E587&lt;=AD$2,$F587&gt;=AD$2),1,0)</f>
        <v/>
      </c>
      <c r="AE587">
        <f>AE586+IF(AND($E587&lt;&gt;"",$E587&lt;=AE$2,$F587&gt;=AE$2),1,0)</f>
        <v/>
      </c>
      <c r="AF587">
        <f>AF586+IF(AND($E587&lt;&gt;"",$E587&lt;=AF$2,$F587&gt;=AF$2),1,0)</f>
        <v/>
      </c>
      <c r="AG587">
        <f>AG586+IF(AND($E587&lt;&gt;"",$E587&lt;=AG$2,$F587&gt;=AG$2),1,0)</f>
        <v/>
      </c>
      <c r="AH587">
        <f>AH586+IF(AND($E587&lt;&gt;"",$E587&lt;=AH$2,$F587&gt;=AH$2),1,0)</f>
        <v/>
      </c>
      <c r="AI587">
        <f>AI586+IF(AND($E587&lt;&gt;"",$E587&lt;=AI$2,$F587&gt;=AI$2),1,0)</f>
        <v/>
      </c>
      <c r="AJ587">
        <f>AJ586+IF(AND($E587&lt;&gt;"",$E587&lt;=AJ$2,$F587&gt;=AJ$2),1,0)</f>
        <v/>
      </c>
      <c r="AK587">
        <f>AK586+IF(AND($E587&lt;&gt;"",$E587&lt;=AK$2,$F587&gt;=AK$2),1,0)</f>
        <v/>
      </c>
      <c r="AL587">
        <f>AL586+IF(AND($E587&lt;&gt;"",$E587&lt;=AL$2,$F587&gt;=AL$2),1,0)</f>
        <v/>
      </c>
      <c r="AM587">
        <f>AM586+IF(AND($E587&lt;&gt;"",$E587&lt;=AM$2,$F587&gt;=AM$2),1,0)</f>
        <v/>
      </c>
      <c r="AN587">
        <f>AN586+IF(AND($E587&lt;&gt;"",$E587&lt;=AN$2,$F587&gt;=AN$2),1,0)</f>
        <v/>
      </c>
      <c r="AO587">
        <f>AO586+IF(AND($E587&lt;&gt;"",$E587&lt;=AO$2,$F587&gt;=AO$2),1,0)</f>
        <v/>
      </c>
      <c r="AP587">
        <f>AP586+IF(AND($E587&lt;&gt;"",$E587&lt;=AP$2,$F587&gt;=AP$2),1,0)</f>
        <v/>
      </c>
      <c r="AQ587">
        <f>AQ586+IF(AND($E587&lt;&gt;"",$E587&lt;=AQ$2,$F587&gt;=AQ$2),1,0)</f>
        <v/>
      </c>
      <c r="AR587">
        <f>AR586+IF(AND($E587&lt;&gt;"",$E587&lt;=AR$2,$F587&gt;=AR$2),1,0)</f>
        <v/>
      </c>
      <c r="AS587">
        <f>AS586+IF(AND($E587&lt;&gt;"",$E587&lt;=AS$2,$F587&gt;=AS$2),1,0)</f>
        <v/>
      </c>
      <c r="AT587">
        <f>AT586+IF(AND($E587&lt;&gt;"",$E587&lt;=AT$2,$F587&gt;=AT$2),1,0)</f>
        <v/>
      </c>
      <c r="AU587">
        <f>AU586+IF(AND($E587&lt;&gt;"",$E587&lt;=AU$2,$F587&gt;=AU$2),1,0)</f>
        <v/>
      </c>
      <c r="AV587">
        <f>AV586+IF(AND($E587&lt;&gt;"",$E587&lt;=AV$2,$F587&gt;=AV$2),1,0)</f>
        <v/>
      </c>
      <c r="AW587">
        <f>AW586+IF(AND($E587&lt;&gt;"",$E587&lt;=AW$2,$F587&gt;=AW$2),1,0)</f>
        <v/>
      </c>
    </row>
    <row r="588">
      <c r="A588">
        <f>IF(AND(ISNUMBER(Events!$A590),ISNUMBER(Events!$B590)),MAX(0,Events!$B590-Events!$A590),0)</f>
        <v/>
      </c>
      <c r="B588">
        <f>IF(ISNUMBER(Events!$A590),DATE(YEAR($B$1)-1,MONTH(Events!$A590),DAY(Events!$A590)),"")</f>
        <v/>
      </c>
      <c r="C588">
        <f>IF(ISNUMBER(Events!$A590),DATE(YEAR($B$1),MONTH(Events!$A590),DAY(Events!$A590)),"")</f>
        <v/>
      </c>
      <c r="D588">
        <f>IF(ISNUMBER(Events!$A590),DATE(YEAR($B$2),MONTH(Events!$A590),DAY(Events!$A590)),"")</f>
        <v/>
      </c>
      <c r="E588">
        <f>IF(OR(NOT(ISNUMBER(Events!$A590)),Events!$G590="No",Calendar!$H$4="None"),"",IF(OR(Calendar!$H$4="All events",Events!$D590=Calendar!$H$4),IF(Events!$E590="Yes",IF(AND(B588&gt;=Events!$A590,B588&lt;=$B$2,B588+$A588&gt;=$B$1),B588,IF(AND(C588&gt;=Events!$A590,C588&lt;=$B$2,C588+$A588&gt;=$B$1),C588,IF(AND(D588&gt;=Events!$A590,D588&lt;=$B$2,D588+$A588&gt;=$B$1),D588,""))),IF(AND(Events!$A590&lt;=$B$2,Events!$A590+$A588&gt;=$B$1),Events!$A590,"")),""))</f>
        <v/>
      </c>
      <c r="F588">
        <f>IF(E588="","",E588+A588)</f>
        <v/>
      </c>
      <c r="G588">
        <f>IF(E588="","",IF(AND(E588&lt;=EOMONTH(Calendar!$K$2,0),F588&gt;=Calendar!$K$2),E588+585/100000,""))</f>
        <v/>
      </c>
      <c r="H588">
        <f>H587+IF(AND($E588&lt;&gt;"",$E588&lt;=H$2,$F588&gt;=H$2),1,0)</f>
        <v/>
      </c>
      <c r="I588">
        <f>I587+IF(AND($E588&lt;&gt;"",$E588&lt;=I$2,$F588&gt;=I$2),1,0)</f>
        <v/>
      </c>
      <c r="J588">
        <f>J587+IF(AND($E588&lt;&gt;"",$E588&lt;=J$2,$F588&gt;=J$2),1,0)</f>
        <v/>
      </c>
      <c r="K588">
        <f>K587+IF(AND($E588&lt;&gt;"",$E588&lt;=K$2,$F588&gt;=K$2),1,0)</f>
        <v/>
      </c>
      <c r="L588">
        <f>L587+IF(AND($E588&lt;&gt;"",$E588&lt;=L$2,$F588&gt;=L$2),1,0)</f>
        <v/>
      </c>
      <c r="M588">
        <f>M587+IF(AND($E588&lt;&gt;"",$E588&lt;=M$2,$F588&gt;=M$2),1,0)</f>
        <v/>
      </c>
      <c r="N588">
        <f>N587+IF(AND($E588&lt;&gt;"",$E588&lt;=N$2,$F588&gt;=N$2),1,0)</f>
        <v/>
      </c>
      <c r="O588">
        <f>O587+IF(AND($E588&lt;&gt;"",$E588&lt;=O$2,$F588&gt;=O$2),1,0)</f>
        <v/>
      </c>
      <c r="P588">
        <f>P587+IF(AND($E588&lt;&gt;"",$E588&lt;=P$2,$F588&gt;=P$2),1,0)</f>
        <v/>
      </c>
      <c r="Q588">
        <f>Q587+IF(AND($E588&lt;&gt;"",$E588&lt;=Q$2,$F588&gt;=Q$2),1,0)</f>
        <v/>
      </c>
      <c r="R588">
        <f>R587+IF(AND($E588&lt;&gt;"",$E588&lt;=R$2,$F588&gt;=R$2),1,0)</f>
        <v/>
      </c>
      <c r="S588">
        <f>S587+IF(AND($E588&lt;&gt;"",$E588&lt;=S$2,$F588&gt;=S$2),1,0)</f>
        <v/>
      </c>
      <c r="T588">
        <f>T587+IF(AND($E588&lt;&gt;"",$E588&lt;=T$2,$F588&gt;=T$2),1,0)</f>
        <v/>
      </c>
      <c r="U588">
        <f>U587+IF(AND($E588&lt;&gt;"",$E588&lt;=U$2,$F588&gt;=U$2),1,0)</f>
        <v/>
      </c>
      <c r="V588">
        <f>V587+IF(AND($E588&lt;&gt;"",$E588&lt;=V$2,$F588&gt;=V$2),1,0)</f>
        <v/>
      </c>
      <c r="W588">
        <f>W587+IF(AND($E588&lt;&gt;"",$E588&lt;=W$2,$F588&gt;=W$2),1,0)</f>
        <v/>
      </c>
      <c r="X588">
        <f>X587+IF(AND($E588&lt;&gt;"",$E588&lt;=X$2,$F588&gt;=X$2),1,0)</f>
        <v/>
      </c>
      <c r="Y588">
        <f>Y587+IF(AND($E588&lt;&gt;"",$E588&lt;=Y$2,$F588&gt;=Y$2),1,0)</f>
        <v/>
      </c>
      <c r="Z588">
        <f>Z587+IF(AND($E588&lt;&gt;"",$E588&lt;=Z$2,$F588&gt;=Z$2),1,0)</f>
        <v/>
      </c>
      <c r="AA588">
        <f>AA587+IF(AND($E588&lt;&gt;"",$E588&lt;=AA$2,$F588&gt;=AA$2),1,0)</f>
        <v/>
      </c>
      <c r="AB588">
        <f>AB587+IF(AND($E588&lt;&gt;"",$E588&lt;=AB$2,$F588&gt;=AB$2),1,0)</f>
        <v/>
      </c>
      <c r="AC588">
        <f>AC587+IF(AND($E588&lt;&gt;"",$E588&lt;=AC$2,$F588&gt;=AC$2),1,0)</f>
        <v/>
      </c>
      <c r="AD588">
        <f>AD587+IF(AND($E588&lt;&gt;"",$E588&lt;=AD$2,$F588&gt;=AD$2),1,0)</f>
        <v/>
      </c>
      <c r="AE588">
        <f>AE587+IF(AND($E588&lt;&gt;"",$E588&lt;=AE$2,$F588&gt;=AE$2),1,0)</f>
        <v/>
      </c>
      <c r="AF588">
        <f>AF587+IF(AND($E588&lt;&gt;"",$E588&lt;=AF$2,$F588&gt;=AF$2),1,0)</f>
        <v/>
      </c>
      <c r="AG588">
        <f>AG587+IF(AND($E588&lt;&gt;"",$E588&lt;=AG$2,$F588&gt;=AG$2),1,0)</f>
        <v/>
      </c>
      <c r="AH588">
        <f>AH587+IF(AND($E588&lt;&gt;"",$E588&lt;=AH$2,$F588&gt;=AH$2),1,0)</f>
        <v/>
      </c>
      <c r="AI588">
        <f>AI587+IF(AND($E588&lt;&gt;"",$E588&lt;=AI$2,$F588&gt;=AI$2),1,0)</f>
        <v/>
      </c>
      <c r="AJ588">
        <f>AJ587+IF(AND($E588&lt;&gt;"",$E588&lt;=AJ$2,$F588&gt;=AJ$2),1,0)</f>
        <v/>
      </c>
      <c r="AK588">
        <f>AK587+IF(AND($E588&lt;&gt;"",$E588&lt;=AK$2,$F588&gt;=AK$2),1,0)</f>
        <v/>
      </c>
      <c r="AL588">
        <f>AL587+IF(AND($E588&lt;&gt;"",$E588&lt;=AL$2,$F588&gt;=AL$2),1,0)</f>
        <v/>
      </c>
      <c r="AM588">
        <f>AM587+IF(AND($E588&lt;&gt;"",$E588&lt;=AM$2,$F588&gt;=AM$2),1,0)</f>
        <v/>
      </c>
      <c r="AN588">
        <f>AN587+IF(AND($E588&lt;&gt;"",$E588&lt;=AN$2,$F588&gt;=AN$2),1,0)</f>
        <v/>
      </c>
      <c r="AO588">
        <f>AO587+IF(AND($E588&lt;&gt;"",$E588&lt;=AO$2,$F588&gt;=AO$2),1,0)</f>
        <v/>
      </c>
      <c r="AP588">
        <f>AP587+IF(AND($E588&lt;&gt;"",$E588&lt;=AP$2,$F588&gt;=AP$2),1,0)</f>
        <v/>
      </c>
      <c r="AQ588">
        <f>AQ587+IF(AND($E588&lt;&gt;"",$E588&lt;=AQ$2,$F588&gt;=AQ$2),1,0)</f>
        <v/>
      </c>
      <c r="AR588">
        <f>AR587+IF(AND($E588&lt;&gt;"",$E588&lt;=AR$2,$F588&gt;=AR$2),1,0)</f>
        <v/>
      </c>
      <c r="AS588">
        <f>AS587+IF(AND($E588&lt;&gt;"",$E588&lt;=AS$2,$F588&gt;=AS$2),1,0)</f>
        <v/>
      </c>
      <c r="AT588">
        <f>AT587+IF(AND($E588&lt;&gt;"",$E588&lt;=AT$2,$F588&gt;=AT$2),1,0)</f>
        <v/>
      </c>
      <c r="AU588">
        <f>AU587+IF(AND($E588&lt;&gt;"",$E588&lt;=AU$2,$F588&gt;=AU$2),1,0)</f>
        <v/>
      </c>
      <c r="AV588">
        <f>AV587+IF(AND($E588&lt;&gt;"",$E588&lt;=AV$2,$F588&gt;=AV$2),1,0)</f>
        <v/>
      </c>
      <c r="AW588">
        <f>AW587+IF(AND($E588&lt;&gt;"",$E588&lt;=AW$2,$F588&gt;=AW$2),1,0)</f>
        <v/>
      </c>
    </row>
    <row r="589">
      <c r="A589">
        <f>IF(AND(ISNUMBER(Events!$A591),ISNUMBER(Events!$B591)),MAX(0,Events!$B591-Events!$A591),0)</f>
        <v/>
      </c>
      <c r="B589">
        <f>IF(ISNUMBER(Events!$A591),DATE(YEAR($B$1)-1,MONTH(Events!$A591),DAY(Events!$A591)),"")</f>
        <v/>
      </c>
      <c r="C589">
        <f>IF(ISNUMBER(Events!$A591),DATE(YEAR($B$1),MONTH(Events!$A591),DAY(Events!$A591)),"")</f>
        <v/>
      </c>
      <c r="D589">
        <f>IF(ISNUMBER(Events!$A591),DATE(YEAR($B$2),MONTH(Events!$A591),DAY(Events!$A591)),"")</f>
        <v/>
      </c>
      <c r="E589">
        <f>IF(OR(NOT(ISNUMBER(Events!$A591)),Events!$G591="No",Calendar!$H$4="None"),"",IF(OR(Calendar!$H$4="All events",Events!$D591=Calendar!$H$4),IF(Events!$E591="Yes",IF(AND(B589&gt;=Events!$A591,B589&lt;=$B$2,B589+$A589&gt;=$B$1),B589,IF(AND(C589&gt;=Events!$A591,C589&lt;=$B$2,C589+$A589&gt;=$B$1),C589,IF(AND(D589&gt;=Events!$A591,D589&lt;=$B$2,D589+$A589&gt;=$B$1),D589,""))),IF(AND(Events!$A591&lt;=$B$2,Events!$A591+$A589&gt;=$B$1),Events!$A591,"")),""))</f>
        <v/>
      </c>
      <c r="F589">
        <f>IF(E589="","",E589+A589)</f>
        <v/>
      </c>
      <c r="G589">
        <f>IF(E589="","",IF(AND(E589&lt;=EOMONTH(Calendar!$K$2,0),F589&gt;=Calendar!$K$2),E589+586/100000,""))</f>
        <v/>
      </c>
      <c r="H589">
        <f>H588+IF(AND($E589&lt;&gt;"",$E589&lt;=H$2,$F589&gt;=H$2),1,0)</f>
        <v/>
      </c>
      <c r="I589">
        <f>I588+IF(AND($E589&lt;&gt;"",$E589&lt;=I$2,$F589&gt;=I$2),1,0)</f>
        <v/>
      </c>
      <c r="J589">
        <f>J588+IF(AND($E589&lt;&gt;"",$E589&lt;=J$2,$F589&gt;=J$2),1,0)</f>
        <v/>
      </c>
      <c r="K589">
        <f>K588+IF(AND($E589&lt;&gt;"",$E589&lt;=K$2,$F589&gt;=K$2),1,0)</f>
        <v/>
      </c>
      <c r="L589">
        <f>L588+IF(AND($E589&lt;&gt;"",$E589&lt;=L$2,$F589&gt;=L$2),1,0)</f>
        <v/>
      </c>
      <c r="M589">
        <f>M588+IF(AND($E589&lt;&gt;"",$E589&lt;=M$2,$F589&gt;=M$2),1,0)</f>
        <v/>
      </c>
      <c r="N589">
        <f>N588+IF(AND($E589&lt;&gt;"",$E589&lt;=N$2,$F589&gt;=N$2),1,0)</f>
        <v/>
      </c>
      <c r="O589">
        <f>O588+IF(AND($E589&lt;&gt;"",$E589&lt;=O$2,$F589&gt;=O$2),1,0)</f>
        <v/>
      </c>
      <c r="P589">
        <f>P588+IF(AND($E589&lt;&gt;"",$E589&lt;=P$2,$F589&gt;=P$2),1,0)</f>
        <v/>
      </c>
      <c r="Q589">
        <f>Q588+IF(AND($E589&lt;&gt;"",$E589&lt;=Q$2,$F589&gt;=Q$2),1,0)</f>
        <v/>
      </c>
      <c r="R589">
        <f>R588+IF(AND($E589&lt;&gt;"",$E589&lt;=R$2,$F589&gt;=R$2),1,0)</f>
        <v/>
      </c>
      <c r="S589">
        <f>S588+IF(AND($E589&lt;&gt;"",$E589&lt;=S$2,$F589&gt;=S$2),1,0)</f>
        <v/>
      </c>
      <c r="T589">
        <f>T588+IF(AND($E589&lt;&gt;"",$E589&lt;=T$2,$F589&gt;=T$2),1,0)</f>
        <v/>
      </c>
      <c r="U589">
        <f>U588+IF(AND($E589&lt;&gt;"",$E589&lt;=U$2,$F589&gt;=U$2),1,0)</f>
        <v/>
      </c>
      <c r="V589">
        <f>V588+IF(AND($E589&lt;&gt;"",$E589&lt;=V$2,$F589&gt;=V$2),1,0)</f>
        <v/>
      </c>
      <c r="W589">
        <f>W588+IF(AND($E589&lt;&gt;"",$E589&lt;=W$2,$F589&gt;=W$2),1,0)</f>
        <v/>
      </c>
      <c r="X589">
        <f>X588+IF(AND($E589&lt;&gt;"",$E589&lt;=X$2,$F589&gt;=X$2),1,0)</f>
        <v/>
      </c>
      <c r="Y589">
        <f>Y588+IF(AND($E589&lt;&gt;"",$E589&lt;=Y$2,$F589&gt;=Y$2),1,0)</f>
        <v/>
      </c>
      <c r="Z589">
        <f>Z588+IF(AND($E589&lt;&gt;"",$E589&lt;=Z$2,$F589&gt;=Z$2),1,0)</f>
        <v/>
      </c>
      <c r="AA589">
        <f>AA588+IF(AND($E589&lt;&gt;"",$E589&lt;=AA$2,$F589&gt;=AA$2),1,0)</f>
        <v/>
      </c>
      <c r="AB589">
        <f>AB588+IF(AND($E589&lt;&gt;"",$E589&lt;=AB$2,$F589&gt;=AB$2),1,0)</f>
        <v/>
      </c>
      <c r="AC589">
        <f>AC588+IF(AND($E589&lt;&gt;"",$E589&lt;=AC$2,$F589&gt;=AC$2),1,0)</f>
        <v/>
      </c>
      <c r="AD589">
        <f>AD588+IF(AND($E589&lt;&gt;"",$E589&lt;=AD$2,$F589&gt;=AD$2),1,0)</f>
        <v/>
      </c>
      <c r="AE589">
        <f>AE588+IF(AND($E589&lt;&gt;"",$E589&lt;=AE$2,$F589&gt;=AE$2),1,0)</f>
        <v/>
      </c>
      <c r="AF589">
        <f>AF588+IF(AND($E589&lt;&gt;"",$E589&lt;=AF$2,$F589&gt;=AF$2),1,0)</f>
        <v/>
      </c>
      <c r="AG589">
        <f>AG588+IF(AND($E589&lt;&gt;"",$E589&lt;=AG$2,$F589&gt;=AG$2),1,0)</f>
        <v/>
      </c>
      <c r="AH589">
        <f>AH588+IF(AND($E589&lt;&gt;"",$E589&lt;=AH$2,$F589&gt;=AH$2),1,0)</f>
        <v/>
      </c>
      <c r="AI589">
        <f>AI588+IF(AND($E589&lt;&gt;"",$E589&lt;=AI$2,$F589&gt;=AI$2),1,0)</f>
        <v/>
      </c>
      <c r="AJ589">
        <f>AJ588+IF(AND($E589&lt;&gt;"",$E589&lt;=AJ$2,$F589&gt;=AJ$2),1,0)</f>
        <v/>
      </c>
      <c r="AK589">
        <f>AK588+IF(AND($E589&lt;&gt;"",$E589&lt;=AK$2,$F589&gt;=AK$2),1,0)</f>
        <v/>
      </c>
      <c r="AL589">
        <f>AL588+IF(AND($E589&lt;&gt;"",$E589&lt;=AL$2,$F589&gt;=AL$2),1,0)</f>
        <v/>
      </c>
      <c r="AM589">
        <f>AM588+IF(AND($E589&lt;&gt;"",$E589&lt;=AM$2,$F589&gt;=AM$2),1,0)</f>
        <v/>
      </c>
      <c r="AN589">
        <f>AN588+IF(AND($E589&lt;&gt;"",$E589&lt;=AN$2,$F589&gt;=AN$2),1,0)</f>
        <v/>
      </c>
      <c r="AO589">
        <f>AO588+IF(AND($E589&lt;&gt;"",$E589&lt;=AO$2,$F589&gt;=AO$2),1,0)</f>
        <v/>
      </c>
      <c r="AP589">
        <f>AP588+IF(AND($E589&lt;&gt;"",$E589&lt;=AP$2,$F589&gt;=AP$2),1,0)</f>
        <v/>
      </c>
      <c r="AQ589">
        <f>AQ588+IF(AND($E589&lt;&gt;"",$E589&lt;=AQ$2,$F589&gt;=AQ$2),1,0)</f>
        <v/>
      </c>
      <c r="AR589">
        <f>AR588+IF(AND($E589&lt;&gt;"",$E589&lt;=AR$2,$F589&gt;=AR$2),1,0)</f>
        <v/>
      </c>
      <c r="AS589">
        <f>AS588+IF(AND($E589&lt;&gt;"",$E589&lt;=AS$2,$F589&gt;=AS$2),1,0)</f>
        <v/>
      </c>
      <c r="AT589">
        <f>AT588+IF(AND($E589&lt;&gt;"",$E589&lt;=AT$2,$F589&gt;=AT$2),1,0)</f>
        <v/>
      </c>
      <c r="AU589">
        <f>AU588+IF(AND($E589&lt;&gt;"",$E589&lt;=AU$2,$F589&gt;=AU$2),1,0)</f>
        <v/>
      </c>
      <c r="AV589">
        <f>AV588+IF(AND($E589&lt;&gt;"",$E589&lt;=AV$2,$F589&gt;=AV$2),1,0)</f>
        <v/>
      </c>
      <c r="AW589">
        <f>AW588+IF(AND($E589&lt;&gt;"",$E589&lt;=AW$2,$F589&gt;=AW$2),1,0)</f>
        <v/>
      </c>
    </row>
    <row r="590">
      <c r="A590">
        <f>IF(AND(ISNUMBER(Events!$A592),ISNUMBER(Events!$B592)),MAX(0,Events!$B592-Events!$A592),0)</f>
        <v/>
      </c>
      <c r="B590">
        <f>IF(ISNUMBER(Events!$A592),DATE(YEAR($B$1)-1,MONTH(Events!$A592),DAY(Events!$A592)),"")</f>
        <v/>
      </c>
      <c r="C590">
        <f>IF(ISNUMBER(Events!$A592),DATE(YEAR($B$1),MONTH(Events!$A592),DAY(Events!$A592)),"")</f>
        <v/>
      </c>
      <c r="D590">
        <f>IF(ISNUMBER(Events!$A592),DATE(YEAR($B$2),MONTH(Events!$A592),DAY(Events!$A592)),"")</f>
        <v/>
      </c>
      <c r="E590">
        <f>IF(OR(NOT(ISNUMBER(Events!$A592)),Events!$G592="No",Calendar!$H$4="None"),"",IF(OR(Calendar!$H$4="All events",Events!$D592=Calendar!$H$4),IF(Events!$E592="Yes",IF(AND(B590&gt;=Events!$A592,B590&lt;=$B$2,B590+$A590&gt;=$B$1),B590,IF(AND(C590&gt;=Events!$A592,C590&lt;=$B$2,C590+$A590&gt;=$B$1),C590,IF(AND(D590&gt;=Events!$A592,D590&lt;=$B$2,D590+$A590&gt;=$B$1),D590,""))),IF(AND(Events!$A592&lt;=$B$2,Events!$A592+$A590&gt;=$B$1),Events!$A592,"")),""))</f>
        <v/>
      </c>
      <c r="F590">
        <f>IF(E590="","",E590+A590)</f>
        <v/>
      </c>
      <c r="G590">
        <f>IF(E590="","",IF(AND(E590&lt;=EOMONTH(Calendar!$K$2,0),F590&gt;=Calendar!$K$2),E590+587/100000,""))</f>
        <v/>
      </c>
      <c r="H590">
        <f>H589+IF(AND($E590&lt;&gt;"",$E590&lt;=H$2,$F590&gt;=H$2),1,0)</f>
        <v/>
      </c>
      <c r="I590">
        <f>I589+IF(AND($E590&lt;&gt;"",$E590&lt;=I$2,$F590&gt;=I$2),1,0)</f>
        <v/>
      </c>
      <c r="J590">
        <f>J589+IF(AND($E590&lt;&gt;"",$E590&lt;=J$2,$F590&gt;=J$2),1,0)</f>
        <v/>
      </c>
      <c r="K590">
        <f>K589+IF(AND($E590&lt;&gt;"",$E590&lt;=K$2,$F590&gt;=K$2),1,0)</f>
        <v/>
      </c>
      <c r="L590">
        <f>L589+IF(AND($E590&lt;&gt;"",$E590&lt;=L$2,$F590&gt;=L$2),1,0)</f>
        <v/>
      </c>
      <c r="M590">
        <f>M589+IF(AND($E590&lt;&gt;"",$E590&lt;=M$2,$F590&gt;=M$2),1,0)</f>
        <v/>
      </c>
      <c r="N590">
        <f>N589+IF(AND($E590&lt;&gt;"",$E590&lt;=N$2,$F590&gt;=N$2),1,0)</f>
        <v/>
      </c>
      <c r="O590">
        <f>O589+IF(AND($E590&lt;&gt;"",$E590&lt;=O$2,$F590&gt;=O$2),1,0)</f>
        <v/>
      </c>
      <c r="P590">
        <f>P589+IF(AND($E590&lt;&gt;"",$E590&lt;=P$2,$F590&gt;=P$2),1,0)</f>
        <v/>
      </c>
      <c r="Q590">
        <f>Q589+IF(AND($E590&lt;&gt;"",$E590&lt;=Q$2,$F590&gt;=Q$2),1,0)</f>
        <v/>
      </c>
      <c r="R590">
        <f>R589+IF(AND($E590&lt;&gt;"",$E590&lt;=R$2,$F590&gt;=R$2),1,0)</f>
        <v/>
      </c>
      <c r="S590">
        <f>S589+IF(AND($E590&lt;&gt;"",$E590&lt;=S$2,$F590&gt;=S$2),1,0)</f>
        <v/>
      </c>
      <c r="T590">
        <f>T589+IF(AND($E590&lt;&gt;"",$E590&lt;=T$2,$F590&gt;=T$2),1,0)</f>
        <v/>
      </c>
      <c r="U590">
        <f>U589+IF(AND($E590&lt;&gt;"",$E590&lt;=U$2,$F590&gt;=U$2),1,0)</f>
        <v/>
      </c>
      <c r="V590">
        <f>V589+IF(AND($E590&lt;&gt;"",$E590&lt;=V$2,$F590&gt;=V$2),1,0)</f>
        <v/>
      </c>
      <c r="W590">
        <f>W589+IF(AND($E590&lt;&gt;"",$E590&lt;=W$2,$F590&gt;=W$2),1,0)</f>
        <v/>
      </c>
      <c r="X590">
        <f>X589+IF(AND($E590&lt;&gt;"",$E590&lt;=X$2,$F590&gt;=X$2),1,0)</f>
        <v/>
      </c>
      <c r="Y590">
        <f>Y589+IF(AND($E590&lt;&gt;"",$E590&lt;=Y$2,$F590&gt;=Y$2),1,0)</f>
        <v/>
      </c>
      <c r="Z590">
        <f>Z589+IF(AND($E590&lt;&gt;"",$E590&lt;=Z$2,$F590&gt;=Z$2),1,0)</f>
        <v/>
      </c>
      <c r="AA590">
        <f>AA589+IF(AND($E590&lt;&gt;"",$E590&lt;=AA$2,$F590&gt;=AA$2),1,0)</f>
        <v/>
      </c>
      <c r="AB590">
        <f>AB589+IF(AND($E590&lt;&gt;"",$E590&lt;=AB$2,$F590&gt;=AB$2),1,0)</f>
        <v/>
      </c>
      <c r="AC590">
        <f>AC589+IF(AND($E590&lt;&gt;"",$E590&lt;=AC$2,$F590&gt;=AC$2),1,0)</f>
        <v/>
      </c>
      <c r="AD590">
        <f>AD589+IF(AND($E590&lt;&gt;"",$E590&lt;=AD$2,$F590&gt;=AD$2),1,0)</f>
        <v/>
      </c>
      <c r="AE590">
        <f>AE589+IF(AND($E590&lt;&gt;"",$E590&lt;=AE$2,$F590&gt;=AE$2),1,0)</f>
        <v/>
      </c>
      <c r="AF590">
        <f>AF589+IF(AND($E590&lt;&gt;"",$E590&lt;=AF$2,$F590&gt;=AF$2),1,0)</f>
        <v/>
      </c>
      <c r="AG590">
        <f>AG589+IF(AND($E590&lt;&gt;"",$E590&lt;=AG$2,$F590&gt;=AG$2),1,0)</f>
        <v/>
      </c>
      <c r="AH590">
        <f>AH589+IF(AND($E590&lt;&gt;"",$E590&lt;=AH$2,$F590&gt;=AH$2),1,0)</f>
        <v/>
      </c>
      <c r="AI590">
        <f>AI589+IF(AND($E590&lt;&gt;"",$E590&lt;=AI$2,$F590&gt;=AI$2),1,0)</f>
        <v/>
      </c>
      <c r="AJ590">
        <f>AJ589+IF(AND($E590&lt;&gt;"",$E590&lt;=AJ$2,$F590&gt;=AJ$2),1,0)</f>
        <v/>
      </c>
      <c r="AK590">
        <f>AK589+IF(AND($E590&lt;&gt;"",$E590&lt;=AK$2,$F590&gt;=AK$2),1,0)</f>
        <v/>
      </c>
      <c r="AL590">
        <f>AL589+IF(AND($E590&lt;&gt;"",$E590&lt;=AL$2,$F590&gt;=AL$2),1,0)</f>
        <v/>
      </c>
      <c r="AM590">
        <f>AM589+IF(AND($E590&lt;&gt;"",$E590&lt;=AM$2,$F590&gt;=AM$2),1,0)</f>
        <v/>
      </c>
      <c r="AN590">
        <f>AN589+IF(AND($E590&lt;&gt;"",$E590&lt;=AN$2,$F590&gt;=AN$2),1,0)</f>
        <v/>
      </c>
      <c r="AO590">
        <f>AO589+IF(AND($E590&lt;&gt;"",$E590&lt;=AO$2,$F590&gt;=AO$2),1,0)</f>
        <v/>
      </c>
      <c r="AP590">
        <f>AP589+IF(AND($E590&lt;&gt;"",$E590&lt;=AP$2,$F590&gt;=AP$2),1,0)</f>
        <v/>
      </c>
      <c r="AQ590">
        <f>AQ589+IF(AND($E590&lt;&gt;"",$E590&lt;=AQ$2,$F590&gt;=AQ$2),1,0)</f>
        <v/>
      </c>
      <c r="AR590">
        <f>AR589+IF(AND($E590&lt;&gt;"",$E590&lt;=AR$2,$F590&gt;=AR$2),1,0)</f>
        <v/>
      </c>
      <c r="AS590">
        <f>AS589+IF(AND($E590&lt;&gt;"",$E590&lt;=AS$2,$F590&gt;=AS$2),1,0)</f>
        <v/>
      </c>
      <c r="AT590">
        <f>AT589+IF(AND($E590&lt;&gt;"",$E590&lt;=AT$2,$F590&gt;=AT$2),1,0)</f>
        <v/>
      </c>
      <c r="AU590">
        <f>AU589+IF(AND($E590&lt;&gt;"",$E590&lt;=AU$2,$F590&gt;=AU$2),1,0)</f>
        <v/>
      </c>
      <c r="AV590">
        <f>AV589+IF(AND($E590&lt;&gt;"",$E590&lt;=AV$2,$F590&gt;=AV$2),1,0)</f>
        <v/>
      </c>
      <c r="AW590">
        <f>AW589+IF(AND($E590&lt;&gt;"",$E590&lt;=AW$2,$F590&gt;=AW$2),1,0)</f>
        <v/>
      </c>
    </row>
    <row r="591">
      <c r="A591">
        <f>IF(AND(ISNUMBER(Events!$A593),ISNUMBER(Events!$B593)),MAX(0,Events!$B593-Events!$A593),0)</f>
        <v/>
      </c>
      <c r="B591">
        <f>IF(ISNUMBER(Events!$A593),DATE(YEAR($B$1)-1,MONTH(Events!$A593),DAY(Events!$A593)),"")</f>
        <v/>
      </c>
      <c r="C591">
        <f>IF(ISNUMBER(Events!$A593),DATE(YEAR($B$1),MONTH(Events!$A593),DAY(Events!$A593)),"")</f>
        <v/>
      </c>
      <c r="D591">
        <f>IF(ISNUMBER(Events!$A593),DATE(YEAR($B$2),MONTH(Events!$A593),DAY(Events!$A593)),"")</f>
        <v/>
      </c>
      <c r="E591">
        <f>IF(OR(NOT(ISNUMBER(Events!$A593)),Events!$G593="No",Calendar!$H$4="None"),"",IF(OR(Calendar!$H$4="All events",Events!$D593=Calendar!$H$4),IF(Events!$E593="Yes",IF(AND(B591&gt;=Events!$A593,B591&lt;=$B$2,B591+$A591&gt;=$B$1),B591,IF(AND(C591&gt;=Events!$A593,C591&lt;=$B$2,C591+$A591&gt;=$B$1),C591,IF(AND(D591&gt;=Events!$A593,D591&lt;=$B$2,D591+$A591&gt;=$B$1),D591,""))),IF(AND(Events!$A593&lt;=$B$2,Events!$A593+$A591&gt;=$B$1),Events!$A593,"")),""))</f>
        <v/>
      </c>
      <c r="F591">
        <f>IF(E591="","",E591+A591)</f>
        <v/>
      </c>
      <c r="G591">
        <f>IF(E591="","",IF(AND(E591&lt;=EOMONTH(Calendar!$K$2,0),F591&gt;=Calendar!$K$2),E591+588/100000,""))</f>
        <v/>
      </c>
      <c r="H591">
        <f>H590+IF(AND($E591&lt;&gt;"",$E591&lt;=H$2,$F591&gt;=H$2),1,0)</f>
        <v/>
      </c>
      <c r="I591">
        <f>I590+IF(AND($E591&lt;&gt;"",$E591&lt;=I$2,$F591&gt;=I$2),1,0)</f>
        <v/>
      </c>
      <c r="J591">
        <f>J590+IF(AND($E591&lt;&gt;"",$E591&lt;=J$2,$F591&gt;=J$2),1,0)</f>
        <v/>
      </c>
      <c r="K591">
        <f>K590+IF(AND($E591&lt;&gt;"",$E591&lt;=K$2,$F591&gt;=K$2),1,0)</f>
        <v/>
      </c>
      <c r="L591">
        <f>L590+IF(AND($E591&lt;&gt;"",$E591&lt;=L$2,$F591&gt;=L$2),1,0)</f>
        <v/>
      </c>
      <c r="M591">
        <f>M590+IF(AND($E591&lt;&gt;"",$E591&lt;=M$2,$F591&gt;=M$2),1,0)</f>
        <v/>
      </c>
      <c r="N591">
        <f>N590+IF(AND($E591&lt;&gt;"",$E591&lt;=N$2,$F591&gt;=N$2),1,0)</f>
        <v/>
      </c>
      <c r="O591">
        <f>O590+IF(AND($E591&lt;&gt;"",$E591&lt;=O$2,$F591&gt;=O$2),1,0)</f>
        <v/>
      </c>
      <c r="P591">
        <f>P590+IF(AND($E591&lt;&gt;"",$E591&lt;=P$2,$F591&gt;=P$2),1,0)</f>
        <v/>
      </c>
      <c r="Q591">
        <f>Q590+IF(AND($E591&lt;&gt;"",$E591&lt;=Q$2,$F591&gt;=Q$2),1,0)</f>
        <v/>
      </c>
      <c r="R591">
        <f>R590+IF(AND($E591&lt;&gt;"",$E591&lt;=R$2,$F591&gt;=R$2),1,0)</f>
        <v/>
      </c>
      <c r="S591">
        <f>S590+IF(AND($E591&lt;&gt;"",$E591&lt;=S$2,$F591&gt;=S$2),1,0)</f>
        <v/>
      </c>
      <c r="T591">
        <f>T590+IF(AND($E591&lt;&gt;"",$E591&lt;=T$2,$F591&gt;=T$2),1,0)</f>
        <v/>
      </c>
      <c r="U591">
        <f>U590+IF(AND($E591&lt;&gt;"",$E591&lt;=U$2,$F591&gt;=U$2),1,0)</f>
        <v/>
      </c>
      <c r="V591">
        <f>V590+IF(AND($E591&lt;&gt;"",$E591&lt;=V$2,$F591&gt;=V$2),1,0)</f>
        <v/>
      </c>
      <c r="W591">
        <f>W590+IF(AND($E591&lt;&gt;"",$E591&lt;=W$2,$F591&gt;=W$2),1,0)</f>
        <v/>
      </c>
      <c r="X591">
        <f>X590+IF(AND($E591&lt;&gt;"",$E591&lt;=X$2,$F591&gt;=X$2),1,0)</f>
        <v/>
      </c>
      <c r="Y591">
        <f>Y590+IF(AND($E591&lt;&gt;"",$E591&lt;=Y$2,$F591&gt;=Y$2),1,0)</f>
        <v/>
      </c>
      <c r="Z591">
        <f>Z590+IF(AND($E591&lt;&gt;"",$E591&lt;=Z$2,$F591&gt;=Z$2),1,0)</f>
        <v/>
      </c>
      <c r="AA591">
        <f>AA590+IF(AND($E591&lt;&gt;"",$E591&lt;=AA$2,$F591&gt;=AA$2),1,0)</f>
        <v/>
      </c>
      <c r="AB591">
        <f>AB590+IF(AND($E591&lt;&gt;"",$E591&lt;=AB$2,$F591&gt;=AB$2),1,0)</f>
        <v/>
      </c>
      <c r="AC591">
        <f>AC590+IF(AND($E591&lt;&gt;"",$E591&lt;=AC$2,$F591&gt;=AC$2),1,0)</f>
        <v/>
      </c>
      <c r="AD591">
        <f>AD590+IF(AND($E591&lt;&gt;"",$E591&lt;=AD$2,$F591&gt;=AD$2),1,0)</f>
        <v/>
      </c>
      <c r="AE591">
        <f>AE590+IF(AND($E591&lt;&gt;"",$E591&lt;=AE$2,$F591&gt;=AE$2),1,0)</f>
        <v/>
      </c>
      <c r="AF591">
        <f>AF590+IF(AND($E591&lt;&gt;"",$E591&lt;=AF$2,$F591&gt;=AF$2),1,0)</f>
        <v/>
      </c>
      <c r="AG591">
        <f>AG590+IF(AND($E591&lt;&gt;"",$E591&lt;=AG$2,$F591&gt;=AG$2),1,0)</f>
        <v/>
      </c>
      <c r="AH591">
        <f>AH590+IF(AND($E591&lt;&gt;"",$E591&lt;=AH$2,$F591&gt;=AH$2),1,0)</f>
        <v/>
      </c>
      <c r="AI591">
        <f>AI590+IF(AND($E591&lt;&gt;"",$E591&lt;=AI$2,$F591&gt;=AI$2),1,0)</f>
        <v/>
      </c>
      <c r="AJ591">
        <f>AJ590+IF(AND($E591&lt;&gt;"",$E591&lt;=AJ$2,$F591&gt;=AJ$2),1,0)</f>
        <v/>
      </c>
      <c r="AK591">
        <f>AK590+IF(AND($E591&lt;&gt;"",$E591&lt;=AK$2,$F591&gt;=AK$2),1,0)</f>
        <v/>
      </c>
      <c r="AL591">
        <f>AL590+IF(AND($E591&lt;&gt;"",$E591&lt;=AL$2,$F591&gt;=AL$2),1,0)</f>
        <v/>
      </c>
      <c r="AM591">
        <f>AM590+IF(AND($E591&lt;&gt;"",$E591&lt;=AM$2,$F591&gt;=AM$2),1,0)</f>
        <v/>
      </c>
      <c r="AN591">
        <f>AN590+IF(AND($E591&lt;&gt;"",$E591&lt;=AN$2,$F591&gt;=AN$2),1,0)</f>
        <v/>
      </c>
      <c r="AO591">
        <f>AO590+IF(AND($E591&lt;&gt;"",$E591&lt;=AO$2,$F591&gt;=AO$2),1,0)</f>
        <v/>
      </c>
      <c r="AP591">
        <f>AP590+IF(AND($E591&lt;&gt;"",$E591&lt;=AP$2,$F591&gt;=AP$2),1,0)</f>
        <v/>
      </c>
      <c r="AQ591">
        <f>AQ590+IF(AND($E591&lt;&gt;"",$E591&lt;=AQ$2,$F591&gt;=AQ$2),1,0)</f>
        <v/>
      </c>
      <c r="AR591">
        <f>AR590+IF(AND($E591&lt;&gt;"",$E591&lt;=AR$2,$F591&gt;=AR$2),1,0)</f>
        <v/>
      </c>
      <c r="AS591">
        <f>AS590+IF(AND($E591&lt;&gt;"",$E591&lt;=AS$2,$F591&gt;=AS$2),1,0)</f>
        <v/>
      </c>
      <c r="AT591">
        <f>AT590+IF(AND($E591&lt;&gt;"",$E591&lt;=AT$2,$F591&gt;=AT$2),1,0)</f>
        <v/>
      </c>
      <c r="AU591">
        <f>AU590+IF(AND($E591&lt;&gt;"",$E591&lt;=AU$2,$F591&gt;=AU$2),1,0)</f>
        <v/>
      </c>
      <c r="AV591">
        <f>AV590+IF(AND($E591&lt;&gt;"",$E591&lt;=AV$2,$F591&gt;=AV$2),1,0)</f>
        <v/>
      </c>
      <c r="AW591">
        <f>AW590+IF(AND($E591&lt;&gt;"",$E591&lt;=AW$2,$F591&gt;=AW$2),1,0)</f>
        <v/>
      </c>
    </row>
    <row r="592">
      <c r="A592">
        <f>IF(AND(ISNUMBER(Events!$A594),ISNUMBER(Events!$B594)),MAX(0,Events!$B594-Events!$A594),0)</f>
        <v/>
      </c>
      <c r="B592">
        <f>IF(ISNUMBER(Events!$A594),DATE(YEAR($B$1)-1,MONTH(Events!$A594),DAY(Events!$A594)),"")</f>
        <v/>
      </c>
      <c r="C592">
        <f>IF(ISNUMBER(Events!$A594),DATE(YEAR($B$1),MONTH(Events!$A594),DAY(Events!$A594)),"")</f>
        <v/>
      </c>
      <c r="D592">
        <f>IF(ISNUMBER(Events!$A594),DATE(YEAR($B$2),MONTH(Events!$A594),DAY(Events!$A594)),"")</f>
        <v/>
      </c>
      <c r="E592">
        <f>IF(OR(NOT(ISNUMBER(Events!$A594)),Events!$G594="No",Calendar!$H$4="None"),"",IF(OR(Calendar!$H$4="All events",Events!$D594=Calendar!$H$4),IF(Events!$E594="Yes",IF(AND(B592&gt;=Events!$A594,B592&lt;=$B$2,B592+$A592&gt;=$B$1),B592,IF(AND(C592&gt;=Events!$A594,C592&lt;=$B$2,C592+$A592&gt;=$B$1),C592,IF(AND(D592&gt;=Events!$A594,D592&lt;=$B$2,D592+$A592&gt;=$B$1),D592,""))),IF(AND(Events!$A594&lt;=$B$2,Events!$A594+$A592&gt;=$B$1),Events!$A594,"")),""))</f>
        <v/>
      </c>
      <c r="F592">
        <f>IF(E592="","",E592+A592)</f>
        <v/>
      </c>
      <c r="G592">
        <f>IF(E592="","",IF(AND(E592&lt;=EOMONTH(Calendar!$K$2,0),F592&gt;=Calendar!$K$2),E592+589/100000,""))</f>
        <v/>
      </c>
      <c r="H592">
        <f>H591+IF(AND($E592&lt;&gt;"",$E592&lt;=H$2,$F592&gt;=H$2),1,0)</f>
        <v/>
      </c>
      <c r="I592">
        <f>I591+IF(AND($E592&lt;&gt;"",$E592&lt;=I$2,$F592&gt;=I$2),1,0)</f>
        <v/>
      </c>
      <c r="J592">
        <f>J591+IF(AND($E592&lt;&gt;"",$E592&lt;=J$2,$F592&gt;=J$2),1,0)</f>
        <v/>
      </c>
      <c r="K592">
        <f>K591+IF(AND($E592&lt;&gt;"",$E592&lt;=K$2,$F592&gt;=K$2),1,0)</f>
        <v/>
      </c>
      <c r="L592">
        <f>L591+IF(AND($E592&lt;&gt;"",$E592&lt;=L$2,$F592&gt;=L$2),1,0)</f>
        <v/>
      </c>
      <c r="M592">
        <f>M591+IF(AND($E592&lt;&gt;"",$E592&lt;=M$2,$F592&gt;=M$2),1,0)</f>
        <v/>
      </c>
      <c r="N592">
        <f>N591+IF(AND($E592&lt;&gt;"",$E592&lt;=N$2,$F592&gt;=N$2),1,0)</f>
        <v/>
      </c>
      <c r="O592">
        <f>O591+IF(AND($E592&lt;&gt;"",$E592&lt;=O$2,$F592&gt;=O$2),1,0)</f>
        <v/>
      </c>
      <c r="P592">
        <f>P591+IF(AND($E592&lt;&gt;"",$E592&lt;=P$2,$F592&gt;=P$2),1,0)</f>
        <v/>
      </c>
      <c r="Q592">
        <f>Q591+IF(AND($E592&lt;&gt;"",$E592&lt;=Q$2,$F592&gt;=Q$2),1,0)</f>
        <v/>
      </c>
      <c r="R592">
        <f>R591+IF(AND($E592&lt;&gt;"",$E592&lt;=R$2,$F592&gt;=R$2),1,0)</f>
        <v/>
      </c>
      <c r="S592">
        <f>S591+IF(AND($E592&lt;&gt;"",$E592&lt;=S$2,$F592&gt;=S$2),1,0)</f>
        <v/>
      </c>
      <c r="T592">
        <f>T591+IF(AND($E592&lt;&gt;"",$E592&lt;=T$2,$F592&gt;=T$2),1,0)</f>
        <v/>
      </c>
      <c r="U592">
        <f>U591+IF(AND($E592&lt;&gt;"",$E592&lt;=U$2,$F592&gt;=U$2),1,0)</f>
        <v/>
      </c>
      <c r="V592">
        <f>V591+IF(AND($E592&lt;&gt;"",$E592&lt;=V$2,$F592&gt;=V$2),1,0)</f>
        <v/>
      </c>
      <c r="W592">
        <f>W591+IF(AND($E592&lt;&gt;"",$E592&lt;=W$2,$F592&gt;=W$2),1,0)</f>
        <v/>
      </c>
      <c r="X592">
        <f>X591+IF(AND($E592&lt;&gt;"",$E592&lt;=X$2,$F592&gt;=X$2),1,0)</f>
        <v/>
      </c>
      <c r="Y592">
        <f>Y591+IF(AND($E592&lt;&gt;"",$E592&lt;=Y$2,$F592&gt;=Y$2),1,0)</f>
        <v/>
      </c>
      <c r="Z592">
        <f>Z591+IF(AND($E592&lt;&gt;"",$E592&lt;=Z$2,$F592&gt;=Z$2),1,0)</f>
        <v/>
      </c>
      <c r="AA592">
        <f>AA591+IF(AND($E592&lt;&gt;"",$E592&lt;=AA$2,$F592&gt;=AA$2),1,0)</f>
        <v/>
      </c>
      <c r="AB592">
        <f>AB591+IF(AND($E592&lt;&gt;"",$E592&lt;=AB$2,$F592&gt;=AB$2),1,0)</f>
        <v/>
      </c>
      <c r="AC592">
        <f>AC591+IF(AND($E592&lt;&gt;"",$E592&lt;=AC$2,$F592&gt;=AC$2),1,0)</f>
        <v/>
      </c>
      <c r="AD592">
        <f>AD591+IF(AND($E592&lt;&gt;"",$E592&lt;=AD$2,$F592&gt;=AD$2),1,0)</f>
        <v/>
      </c>
      <c r="AE592">
        <f>AE591+IF(AND($E592&lt;&gt;"",$E592&lt;=AE$2,$F592&gt;=AE$2),1,0)</f>
        <v/>
      </c>
      <c r="AF592">
        <f>AF591+IF(AND($E592&lt;&gt;"",$E592&lt;=AF$2,$F592&gt;=AF$2),1,0)</f>
        <v/>
      </c>
      <c r="AG592">
        <f>AG591+IF(AND($E592&lt;&gt;"",$E592&lt;=AG$2,$F592&gt;=AG$2),1,0)</f>
        <v/>
      </c>
      <c r="AH592">
        <f>AH591+IF(AND($E592&lt;&gt;"",$E592&lt;=AH$2,$F592&gt;=AH$2),1,0)</f>
        <v/>
      </c>
      <c r="AI592">
        <f>AI591+IF(AND($E592&lt;&gt;"",$E592&lt;=AI$2,$F592&gt;=AI$2),1,0)</f>
        <v/>
      </c>
      <c r="AJ592">
        <f>AJ591+IF(AND($E592&lt;&gt;"",$E592&lt;=AJ$2,$F592&gt;=AJ$2),1,0)</f>
        <v/>
      </c>
      <c r="AK592">
        <f>AK591+IF(AND($E592&lt;&gt;"",$E592&lt;=AK$2,$F592&gt;=AK$2),1,0)</f>
        <v/>
      </c>
      <c r="AL592">
        <f>AL591+IF(AND($E592&lt;&gt;"",$E592&lt;=AL$2,$F592&gt;=AL$2),1,0)</f>
        <v/>
      </c>
      <c r="AM592">
        <f>AM591+IF(AND($E592&lt;&gt;"",$E592&lt;=AM$2,$F592&gt;=AM$2),1,0)</f>
        <v/>
      </c>
      <c r="AN592">
        <f>AN591+IF(AND($E592&lt;&gt;"",$E592&lt;=AN$2,$F592&gt;=AN$2),1,0)</f>
        <v/>
      </c>
      <c r="AO592">
        <f>AO591+IF(AND($E592&lt;&gt;"",$E592&lt;=AO$2,$F592&gt;=AO$2),1,0)</f>
        <v/>
      </c>
      <c r="AP592">
        <f>AP591+IF(AND($E592&lt;&gt;"",$E592&lt;=AP$2,$F592&gt;=AP$2),1,0)</f>
        <v/>
      </c>
      <c r="AQ592">
        <f>AQ591+IF(AND($E592&lt;&gt;"",$E592&lt;=AQ$2,$F592&gt;=AQ$2),1,0)</f>
        <v/>
      </c>
      <c r="AR592">
        <f>AR591+IF(AND($E592&lt;&gt;"",$E592&lt;=AR$2,$F592&gt;=AR$2),1,0)</f>
        <v/>
      </c>
      <c r="AS592">
        <f>AS591+IF(AND($E592&lt;&gt;"",$E592&lt;=AS$2,$F592&gt;=AS$2),1,0)</f>
        <v/>
      </c>
      <c r="AT592">
        <f>AT591+IF(AND($E592&lt;&gt;"",$E592&lt;=AT$2,$F592&gt;=AT$2),1,0)</f>
        <v/>
      </c>
      <c r="AU592">
        <f>AU591+IF(AND($E592&lt;&gt;"",$E592&lt;=AU$2,$F592&gt;=AU$2),1,0)</f>
        <v/>
      </c>
      <c r="AV592">
        <f>AV591+IF(AND($E592&lt;&gt;"",$E592&lt;=AV$2,$F592&gt;=AV$2),1,0)</f>
        <v/>
      </c>
      <c r="AW592">
        <f>AW591+IF(AND($E592&lt;&gt;"",$E592&lt;=AW$2,$F592&gt;=AW$2),1,0)</f>
        <v/>
      </c>
    </row>
    <row r="593">
      <c r="A593">
        <f>IF(AND(ISNUMBER(Events!$A595),ISNUMBER(Events!$B595)),MAX(0,Events!$B595-Events!$A595),0)</f>
        <v/>
      </c>
      <c r="B593">
        <f>IF(ISNUMBER(Events!$A595),DATE(YEAR($B$1)-1,MONTH(Events!$A595),DAY(Events!$A595)),"")</f>
        <v/>
      </c>
      <c r="C593">
        <f>IF(ISNUMBER(Events!$A595),DATE(YEAR($B$1),MONTH(Events!$A595),DAY(Events!$A595)),"")</f>
        <v/>
      </c>
      <c r="D593">
        <f>IF(ISNUMBER(Events!$A595),DATE(YEAR($B$2),MONTH(Events!$A595),DAY(Events!$A595)),"")</f>
        <v/>
      </c>
      <c r="E593">
        <f>IF(OR(NOT(ISNUMBER(Events!$A595)),Events!$G595="No",Calendar!$H$4="None"),"",IF(OR(Calendar!$H$4="All events",Events!$D595=Calendar!$H$4),IF(Events!$E595="Yes",IF(AND(B593&gt;=Events!$A595,B593&lt;=$B$2,B593+$A593&gt;=$B$1),B593,IF(AND(C593&gt;=Events!$A595,C593&lt;=$B$2,C593+$A593&gt;=$B$1),C593,IF(AND(D593&gt;=Events!$A595,D593&lt;=$B$2,D593+$A593&gt;=$B$1),D593,""))),IF(AND(Events!$A595&lt;=$B$2,Events!$A595+$A593&gt;=$B$1),Events!$A595,"")),""))</f>
        <v/>
      </c>
      <c r="F593">
        <f>IF(E593="","",E593+A593)</f>
        <v/>
      </c>
      <c r="G593">
        <f>IF(E593="","",IF(AND(E593&lt;=EOMONTH(Calendar!$K$2,0),F593&gt;=Calendar!$K$2),E593+590/100000,""))</f>
        <v/>
      </c>
      <c r="H593">
        <f>H592+IF(AND($E593&lt;&gt;"",$E593&lt;=H$2,$F593&gt;=H$2),1,0)</f>
        <v/>
      </c>
      <c r="I593">
        <f>I592+IF(AND($E593&lt;&gt;"",$E593&lt;=I$2,$F593&gt;=I$2),1,0)</f>
        <v/>
      </c>
      <c r="J593">
        <f>J592+IF(AND($E593&lt;&gt;"",$E593&lt;=J$2,$F593&gt;=J$2),1,0)</f>
        <v/>
      </c>
      <c r="K593">
        <f>K592+IF(AND($E593&lt;&gt;"",$E593&lt;=K$2,$F593&gt;=K$2),1,0)</f>
        <v/>
      </c>
      <c r="L593">
        <f>L592+IF(AND($E593&lt;&gt;"",$E593&lt;=L$2,$F593&gt;=L$2),1,0)</f>
        <v/>
      </c>
      <c r="M593">
        <f>M592+IF(AND($E593&lt;&gt;"",$E593&lt;=M$2,$F593&gt;=M$2),1,0)</f>
        <v/>
      </c>
      <c r="N593">
        <f>N592+IF(AND($E593&lt;&gt;"",$E593&lt;=N$2,$F593&gt;=N$2),1,0)</f>
        <v/>
      </c>
      <c r="O593">
        <f>O592+IF(AND($E593&lt;&gt;"",$E593&lt;=O$2,$F593&gt;=O$2),1,0)</f>
        <v/>
      </c>
      <c r="P593">
        <f>P592+IF(AND($E593&lt;&gt;"",$E593&lt;=P$2,$F593&gt;=P$2),1,0)</f>
        <v/>
      </c>
      <c r="Q593">
        <f>Q592+IF(AND($E593&lt;&gt;"",$E593&lt;=Q$2,$F593&gt;=Q$2),1,0)</f>
        <v/>
      </c>
      <c r="R593">
        <f>R592+IF(AND($E593&lt;&gt;"",$E593&lt;=R$2,$F593&gt;=R$2),1,0)</f>
        <v/>
      </c>
      <c r="S593">
        <f>S592+IF(AND($E593&lt;&gt;"",$E593&lt;=S$2,$F593&gt;=S$2),1,0)</f>
        <v/>
      </c>
      <c r="T593">
        <f>T592+IF(AND($E593&lt;&gt;"",$E593&lt;=T$2,$F593&gt;=T$2),1,0)</f>
        <v/>
      </c>
      <c r="U593">
        <f>U592+IF(AND($E593&lt;&gt;"",$E593&lt;=U$2,$F593&gt;=U$2),1,0)</f>
        <v/>
      </c>
      <c r="V593">
        <f>V592+IF(AND($E593&lt;&gt;"",$E593&lt;=V$2,$F593&gt;=V$2),1,0)</f>
        <v/>
      </c>
      <c r="W593">
        <f>W592+IF(AND($E593&lt;&gt;"",$E593&lt;=W$2,$F593&gt;=W$2),1,0)</f>
        <v/>
      </c>
      <c r="X593">
        <f>X592+IF(AND($E593&lt;&gt;"",$E593&lt;=X$2,$F593&gt;=X$2),1,0)</f>
        <v/>
      </c>
      <c r="Y593">
        <f>Y592+IF(AND($E593&lt;&gt;"",$E593&lt;=Y$2,$F593&gt;=Y$2),1,0)</f>
        <v/>
      </c>
      <c r="Z593">
        <f>Z592+IF(AND($E593&lt;&gt;"",$E593&lt;=Z$2,$F593&gt;=Z$2),1,0)</f>
        <v/>
      </c>
      <c r="AA593">
        <f>AA592+IF(AND($E593&lt;&gt;"",$E593&lt;=AA$2,$F593&gt;=AA$2),1,0)</f>
        <v/>
      </c>
      <c r="AB593">
        <f>AB592+IF(AND($E593&lt;&gt;"",$E593&lt;=AB$2,$F593&gt;=AB$2),1,0)</f>
        <v/>
      </c>
      <c r="AC593">
        <f>AC592+IF(AND($E593&lt;&gt;"",$E593&lt;=AC$2,$F593&gt;=AC$2),1,0)</f>
        <v/>
      </c>
      <c r="AD593">
        <f>AD592+IF(AND($E593&lt;&gt;"",$E593&lt;=AD$2,$F593&gt;=AD$2),1,0)</f>
        <v/>
      </c>
      <c r="AE593">
        <f>AE592+IF(AND($E593&lt;&gt;"",$E593&lt;=AE$2,$F593&gt;=AE$2),1,0)</f>
        <v/>
      </c>
      <c r="AF593">
        <f>AF592+IF(AND($E593&lt;&gt;"",$E593&lt;=AF$2,$F593&gt;=AF$2),1,0)</f>
        <v/>
      </c>
      <c r="AG593">
        <f>AG592+IF(AND($E593&lt;&gt;"",$E593&lt;=AG$2,$F593&gt;=AG$2),1,0)</f>
        <v/>
      </c>
      <c r="AH593">
        <f>AH592+IF(AND($E593&lt;&gt;"",$E593&lt;=AH$2,$F593&gt;=AH$2),1,0)</f>
        <v/>
      </c>
      <c r="AI593">
        <f>AI592+IF(AND($E593&lt;&gt;"",$E593&lt;=AI$2,$F593&gt;=AI$2),1,0)</f>
        <v/>
      </c>
      <c r="AJ593">
        <f>AJ592+IF(AND($E593&lt;&gt;"",$E593&lt;=AJ$2,$F593&gt;=AJ$2),1,0)</f>
        <v/>
      </c>
      <c r="AK593">
        <f>AK592+IF(AND($E593&lt;&gt;"",$E593&lt;=AK$2,$F593&gt;=AK$2),1,0)</f>
        <v/>
      </c>
      <c r="AL593">
        <f>AL592+IF(AND($E593&lt;&gt;"",$E593&lt;=AL$2,$F593&gt;=AL$2),1,0)</f>
        <v/>
      </c>
      <c r="AM593">
        <f>AM592+IF(AND($E593&lt;&gt;"",$E593&lt;=AM$2,$F593&gt;=AM$2),1,0)</f>
        <v/>
      </c>
      <c r="AN593">
        <f>AN592+IF(AND($E593&lt;&gt;"",$E593&lt;=AN$2,$F593&gt;=AN$2),1,0)</f>
        <v/>
      </c>
      <c r="AO593">
        <f>AO592+IF(AND($E593&lt;&gt;"",$E593&lt;=AO$2,$F593&gt;=AO$2),1,0)</f>
        <v/>
      </c>
      <c r="AP593">
        <f>AP592+IF(AND($E593&lt;&gt;"",$E593&lt;=AP$2,$F593&gt;=AP$2),1,0)</f>
        <v/>
      </c>
      <c r="AQ593">
        <f>AQ592+IF(AND($E593&lt;&gt;"",$E593&lt;=AQ$2,$F593&gt;=AQ$2),1,0)</f>
        <v/>
      </c>
      <c r="AR593">
        <f>AR592+IF(AND($E593&lt;&gt;"",$E593&lt;=AR$2,$F593&gt;=AR$2),1,0)</f>
        <v/>
      </c>
      <c r="AS593">
        <f>AS592+IF(AND($E593&lt;&gt;"",$E593&lt;=AS$2,$F593&gt;=AS$2),1,0)</f>
        <v/>
      </c>
      <c r="AT593">
        <f>AT592+IF(AND($E593&lt;&gt;"",$E593&lt;=AT$2,$F593&gt;=AT$2),1,0)</f>
        <v/>
      </c>
      <c r="AU593">
        <f>AU592+IF(AND($E593&lt;&gt;"",$E593&lt;=AU$2,$F593&gt;=AU$2),1,0)</f>
        <v/>
      </c>
      <c r="AV593">
        <f>AV592+IF(AND($E593&lt;&gt;"",$E593&lt;=AV$2,$F593&gt;=AV$2),1,0)</f>
        <v/>
      </c>
      <c r="AW593">
        <f>AW592+IF(AND($E593&lt;&gt;"",$E593&lt;=AW$2,$F593&gt;=AW$2),1,0)</f>
        <v/>
      </c>
    </row>
    <row r="594">
      <c r="A594">
        <f>IF(AND(ISNUMBER(Events!$A596),ISNUMBER(Events!$B596)),MAX(0,Events!$B596-Events!$A596),0)</f>
        <v/>
      </c>
      <c r="B594">
        <f>IF(ISNUMBER(Events!$A596),DATE(YEAR($B$1)-1,MONTH(Events!$A596),DAY(Events!$A596)),"")</f>
        <v/>
      </c>
      <c r="C594">
        <f>IF(ISNUMBER(Events!$A596),DATE(YEAR($B$1),MONTH(Events!$A596),DAY(Events!$A596)),"")</f>
        <v/>
      </c>
      <c r="D594">
        <f>IF(ISNUMBER(Events!$A596),DATE(YEAR($B$2),MONTH(Events!$A596),DAY(Events!$A596)),"")</f>
        <v/>
      </c>
      <c r="E594">
        <f>IF(OR(NOT(ISNUMBER(Events!$A596)),Events!$G596="No",Calendar!$H$4="None"),"",IF(OR(Calendar!$H$4="All events",Events!$D596=Calendar!$H$4),IF(Events!$E596="Yes",IF(AND(B594&gt;=Events!$A596,B594&lt;=$B$2,B594+$A594&gt;=$B$1),B594,IF(AND(C594&gt;=Events!$A596,C594&lt;=$B$2,C594+$A594&gt;=$B$1),C594,IF(AND(D594&gt;=Events!$A596,D594&lt;=$B$2,D594+$A594&gt;=$B$1),D594,""))),IF(AND(Events!$A596&lt;=$B$2,Events!$A596+$A594&gt;=$B$1),Events!$A596,"")),""))</f>
        <v/>
      </c>
      <c r="F594">
        <f>IF(E594="","",E594+A594)</f>
        <v/>
      </c>
      <c r="G594">
        <f>IF(E594="","",IF(AND(E594&lt;=EOMONTH(Calendar!$K$2,0),F594&gt;=Calendar!$K$2),E594+591/100000,""))</f>
        <v/>
      </c>
      <c r="H594">
        <f>H593+IF(AND($E594&lt;&gt;"",$E594&lt;=H$2,$F594&gt;=H$2),1,0)</f>
        <v/>
      </c>
      <c r="I594">
        <f>I593+IF(AND($E594&lt;&gt;"",$E594&lt;=I$2,$F594&gt;=I$2),1,0)</f>
        <v/>
      </c>
      <c r="J594">
        <f>J593+IF(AND($E594&lt;&gt;"",$E594&lt;=J$2,$F594&gt;=J$2),1,0)</f>
        <v/>
      </c>
      <c r="K594">
        <f>K593+IF(AND($E594&lt;&gt;"",$E594&lt;=K$2,$F594&gt;=K$2),1,0)</f>
        <v/>
      </c>
      <c r="L594">
        <f>L593+IF(AND($E594&lt;&gt;"",$E594&lt;=L$2,$F594&gt;=L$2),1,0)</f>
        <v/>
      </c>
      <c r="M594">
        <f>M593+IF(AND($E594&lt;&gt;"",$E594&lt;=M$2,$F594&gt;=M$2),1,0)</f>
        <v/>
      </c>
      <c r="N594">
        <f>N593+IF(AND($E594&lt;&gt;"",$E594&lt;=N$2,$F594&gt;=N$2),1,0)</f>
        <v/>
      </c>
      <c r="O594">
        <f>O593+IF(AND($E594&lt;&gt;"",$E594&lt;=O$2,$F594&gt;=O$2),1,0)</f>
        <v/>
      </c>
      <c r="P594">
        <f>P593+IF(AND($E594&lt;&gt;"",$E594&lt;=P$2,$F594&gt;=P$2),1,0)</f>
        <v/>
      </c>
      <c r="Q594">
        <f>Q593+IF(AND($E594&lt;&gt;"",$E594&lt;=Q$2,$F594&gt;=Q$2),1,0)</f>
        <v/>
      </c>
      <c r="R594">
        <f>R593+IF(AND($E594&lt;&gt;"",$E594&lt;=R$2,$F594&gt;=R$2),1,0)</f>
        <v/>
      </c>
      <c r="S594">
        <f>S593+IF(AND($E594&lt;&gt;"",$E594&lt;=S$2,$F594&gt;=S$2),1,0)</f>
        <v/>
      </c>
      <c r="T594">
        <f>T593+IF(AND($E594&lt;&gt;"",$E594&lt;=T$2,$F594&gt;=T$2),1,0)</f>
        <v/>
      </c>
      <c r="U594">
        <f>U593+IF(AND($E594&lt;&gt;"",$E594&lt;=U$2,$F594&gt;=U$2),1,0)</f>
        <v/>
      </c>
      <c r="V594">
        <f>V593+IF(AND($E594&lt;&gt;"",$E594&lt;=V$2,$F594&gt;=V$2),1,0)</f>
        <v/>
      </c>
      <c r="W594">
        <f>W593+IF(AND($E594&lt;&gt;"",$E594&lt;=W$2,$F594&gt;=W$2),1,0)</f>
        <v/>
      </c>
      <c r="X594">
        <f>X593+IF(AND($E594&lt;&gt;"",$E594&lt;=X$2,$F594&gt;=X$2),1,0)</f>
        <v/>
      </c>
      <c r="Y594">
        <f>Y593+IF(AND($E594&lt;&gt;"",$E594&lt;=Y$2,$F594&gt;=Y$2),1,0)</f>
        <v/>
      </c>
      <c r="Z594">
        <f>Z593+IF(AND($E594&lt;&gt;"",$E594&lt;=Z$2,$F594&gt;=Z$2),1,0)</f>
        <v/>
      </c>
      <c r="AA594">
        <f>AA593+IF(AND($E594&lt;&gt;"",$E594&lt;=AA$2,$F594&gt;=AA$2),1,0)</f>
        <v/>
      </c>
      <c r="AB594">
        <f>AB593+IF(AND($E594&lt;&gt;"",$E594&lt;=AB$2,$F594&gt;=AB$2),1,0)</f>
        <v/>
      </c>
      <c r="AC594">
        <f>AC593+IF(AND($E594&lt;&gt;"",$E594&lt;=AC$2,$F594&gt;=AC$2),1,0)</f>
        <v/>
      </c>
      <c r="AD594">
        <f>AD593+IF(AND($E594&lt;&gt;"",$E594&lt;=AD$2,$F594&gt;=AD$2),1,0)</f>
        <v/>
      </c>
      <c r="AE594">
        <f>AE593+IF(AND($E594&lt;&gt;"",$E594&lt;=AE$2,$F594&gt;=AE$2),1,0)</f>
        <v/>
      </c>
      <c r="AF594">
        <f>AF593+IF(AND($E594&lt;&gt;"",$E594&lt;=AF$2,$F594&gt;=AF$2),1,0)</f>
        <v/>
      </c>
      <c r="AG594">
        <f>AG593+IF(AND($E594&lt;&gt;"",$E594&lt;=AG$2,$F594&gt;=AG$2),1,0)</f>
        <v/>
      </c>
      <c r="AH594">
        <f>AH593+IF(AND($E594&lt;&gt;"",$E594&lt;=AH$2,$F594&gt;=AH$2),1,0)</f>
        <v/>
      </c>
      <c r="AI594">
        <f>AI593+IF(AND($E594&lt;&gt;"",$E594&lt;=AI$2,$F594&gt;=AI$2),1,0)</f>
        <v/>
      </c>
      <c r="AJ594">
        <f>AJ593+IF(AND($E594&lt;&gt;"",$E594&lt;=AJ$2,$F594&gt;=AJ$2),1,0)</f>
        <v/>
      </c>
      <c r="AK594">
        <f>AK593+IF(AND($E594&lt;&gt;"",$E594&lt;=AK$2,$F594&gt;=AK$2),1,0)</f>
        <v/>
      </c>
      <c r="AL594">
        <f>AL593+IF(AND($E594&lt;&gt;"",$E594&lt;=AL$2,$F594&gt;=AL$2),1,0)</f>
        <v/>
      </c>
      <c r="AM594">
        <f>AM593+IF(AND($E594&lt;&gt;"",$E594&lt;=AM$2,$F594&gt;=AM$2),1,0)</f>
        <v/>
      </c>
      <c r="AN594">
        <f>AN593+IF(AND($E594&lt;&gt;"",$E594&lt;=AN$2,$F594&gt;=AN$2),1,0)</f>
        <v/>
      </c>
      <c r="AO594">
        <f>AO593+IF(AND($E594&lt;&gt;"",$E594&lt;=AO$2,$F594&gt;=AO$2),1,0)</f>
        <v/>
      </c>
      <c r="AP594">
        <f>AP593+IF(AND($E594&lt;&gt;"",$E594&lt;=AP$2,$F594&gt;=AP$2),1,0)</f>
        <v/>
      </c>
      <c r="AQ594">
        <f>AQ593+IF(AND($E594&lt;&gt;"",$E594&lt;=AQ$2,$F594&gt;=AQ$2),1,0)</f>
        <v/>
      </c>
      <c r="AR594">
        <f>AR593+IF(AND($E594&lt;&gt;"",$E594&lt;=AR$2,$F594&gt;=AR$2),1,0)</f>
        <v/>
      </c>
      <c r="AS594">
        <f>AS593+IF(AND($E594&lt;&gt;"",$E594&lt;=AS$2,$F594&gt;=AS$2),1,0)</f>
        <v/>
      </c>
      <c r="AT594">
        <f>AT593+IF(AND($E594&lt;&gt;"",$E594&lt;=AT$2,$F594&gt;=AT$2),1,0)</f>
        <v/>
      </c>
      <c r="AU594">
        <f>AU593+IF(AND($E594&lt;&gt;"",$E594&lt;=AU$2,$F594&gt;=AU$2),1,0)</f>
        <v/>
      </c>
      <c r="AV594">
        <f>AV593+IF(AND($E594&lt;&gt;"",$E594&lt;=AV$2,$F594&gt;=AV$2),1,0)</f>
        <v/>
      </c>
      <c r="AW594">
        <f>AW593+IF(AND($E594&lt;&gt;"",$E594&lt;=AW$2,$F594&gt;=AW$2),1,0)</f>
        <v/>
      </c>
    </row>
    <row r="595">
      <c r="A595">
        <f>IF(AND(ISNUMBER(Events!$A597),ISNUMBER(Events!$B597)),MAX(0,Events!$B597-Events!$A597),0)</f>
        <v/>
      </c>
      <c r="B595">
        <f>IF(ISNUMBER(Events!$A597),DATE(YEAR($B$1)-1,MONTH(Events!$A597),DAY(Events!$A597)),"")</f>
        <v/>
      </c>
      <c r="C595">
        <f>IF(ISNUMBER(Events!$A597),DATE(YEAR($B$1),MONTH(Events!$A597),DAY(Events!$A597)),"")</f>
        <v/>
      </c>
      <c r="D595">
        <f>IF(ISNUMBER(Events!$A597),DATE(YEAR($B$2),MONTH(Events!$A597),DAY(Events!$A597)),"")</f>
        <v/>
      </c>
      <c r="E595">
        <f>IF(OR(NOT(ISNUMBER(Events!$A597)),Events!$G597="No",Calendar!$H$4="None"),"",IF(OR(Calendar!$H$4="All events",Events!$D597=Calendar!$H$4),IF(Events!$E597="Yes",IF(AND(B595&gt;=Events!$A597,B595&lt;=$B$2,B595+$A595&gt;=$B$1),B595,IF(AND(C595&gt;=Events!$A597,C595&lt;=$B$2,C595+$A595&gt;=$B$1),C595,IF(AND(D595&gt;=Events!$A597,D595&lt;=$B$2,D595+$A595&gt;=$B$1),D595,""))),IF(AND(Events!$A597&lt;=$B$2,Events!$A597+$A595&gt;=$B$1),Events!$A597,"")),""))</f>
        <v/>
      </c>
      <c r="F595">
        <f>IF(E595="","",E595+A595)</f>
        <v/>
      </c>
      <c r="G595">
        <f>IF(E595="","",IF(AND(E595&lt;=EOMONTH(Calendar!$K$2,0),F595&gt;=Calendar!$K$2),E595+592/100000,""))</f>
        <v/>
      </c>
      <c r="H595">
        <f>H594+IF(AND($E595&lt;&gt;"",$E595&lt;=H$2,$F595&gt;=H$2),1,0)</f>
        <v/>
      </c>
      <c r="I595">
        <f>I594+IF(AND($E595&lt;&gt;"",$E595&lt;=I$2,$F595&gt;=I$2),1,0)</f>
        <v/>
      </c>
      <c r="J595">
        <f>J594+IF(AND($E595&lt;&gt;"",$E595&lt;=J$2,$F595&gt;=J$2),1,0)</f>
        <v/>
      </c>
      <c r="K595">
        <f>K594+IF(AND($E595&lt;&gt;"",$E595&lt;=K$2,$F595&gt;=K$2),1,0)</f>
        <v/>
      </c>
      <c r="L595">
        <f>L594+IF(AND($E595&lt;&gt;"",$E595&lt;=L$2,$F595&gt;=L$2),1,0)</f>
        <v/>
      </c>
      <c r="M595">
        <f>M594+IF(AND($E595&lt;&gt;"",$E595&lt;=M$2,$F595&gt;=M$2),1,0)</f>
        <v/>
      </c>
      <c r="N595">
        <f>N594+IF(AND($E595&lt;&gt;"",$E595&lt;=N$2,$F595&gt;=N$2),1,0)</f>
        <v/>
      </c>
      <c r="O595">
        <f>O594+IF(AND($E595&lt;&gt;"",$E595&lt;=O$2,$F595&gt;=O$2),1,0)</f>
        <v/>
      </c>
      <c r="P595">
        <f>P594+IF(AND($E595&lt;&gt;"",$E595&lt;=P$2,$F595&gt;=P$2),1,0)</f>
        <v/>
      </c>
      <c r="Q595">
        <f>Q594+IF(AND($E595&lt;&gt;"",$E595&lt;=Q$2,$F595&gt;=Q$2),1,0)</f>
        <v/>
      </c>
      <c r="R595">
        <f>R594+IF(AND($E595&lt;&gt;"",$E595&lt;=R$2,$F595&gt;=R$2),1,0)</f>
        <v/>
      </c>
      <c r="S595">
        <f>S594+IF(AND($E595&lt;&gt;"",$E595&lt;=S$2,$F595&gt;=S$2),1,0)</f>
        <v/>
      </c>
      <c r="T595">
        <f>T594+IF(AND($E595&lt;&gt;"",$E595&lt;=T$2,$F595&gt;=T$2),1,0)</f>
        <v/>
      </c>
      <c r="U595">
        <f>U594+IF(AND($E595&lt;&gt;"",$E595&lt;=U$2,$F595&gt;=U$2),1,0)</f>
        <v/>
      </c>
      <c r="V595">
        <f>V594+IF(AND($E595&lt;&gt;"",$E595&lt;=V$2,$F595&gt;=V$2),1,0)</f>
        <v/>
      </c>
      <c r="W595">
        <f>W594+IF(AND($E595&lt;&gt;"",$E595&lt;=W$2,$F595&gt;=W$2),1,0)</f>
        <v/>
      </c>
      <c r="X595">
        <f>X594+IF(AND($E595&lt;&gt;"",$E595&lt;=X$2,$F595&gt;=X$2),1,0)</f>
        <v/>
      </c>
      <c r="Y595">
        <f>Y594+IF(AND($E595&lt;&gt;"",$E595&lt;=Y$2,$F595&gt;=Y$2),1,0)</f>
        <v/>
      </c>
      <c r="Z595">
        <f>Z594+IF(AND($E595&lt;&gt;"",$E595&lt;=Z$2,$F595&gt;=Z$2),1,0)</f>
        <v/>
      </c>
      <c r="AA595">
        <f>AA594+IF(AND($E595&lt;&gt;"",$E595&lt;=AA$2,$F595&gt;=AA$2),1,0)</f>
        <v/>
      </c>
      <c r="AB595">
        <f>AB594+IF(AND($E595&lt;&gt;"",$E595&lt;=AB$2,$F595&gt;=AB$2),1,0)</f>
        <v/>
      </c>
      <c r="AC595">
        <f>AC594+IF(AND($E595&lt;&gt;"",$E595&lt;=AC$2,$F595&gt;=AC$2),1,0)</f>
        <v/>
      </c>
      <c r="AD595">
        <f>AD594+IF(AND($E595&lt;&gt;"",$E595&lt;=AD$2,$F595&gt;=AD$2),1,0)</f>
        <v/>
      </c>
      <c r="AE595">
        <f>AE594+IF(AND($E595&lt;&gt;"",$E595&lt;=AE$2,$F595&gt;=AE$2),1,0)</f>
        <v/>
      </c>
      <c r="AF595">
        <f>AF594+IF(AND($E595&lt;&gt;"",$E595&lt;=AF$2,$F595&gt;=AF$2),1,0)</f>
        <v/>
      </c>
      <c r="AG595">
        <f>AG594+IF(AND($E595&lt;&gt;"",$E595&lt;=AG$2,$F595&gt;=AG$2),1,0)</f>
        <v/>
      </c>
      <c r="AH595">
        <f>AH594+IF(AND($E595&lt;&gt;"",$E595&lt;=AH$2,$F595&gt;=AH$2),1,0)</f>
        <v/>
      </c>
      <c r="AI595">
        <f>AI594+IF(AND($E595&lt;&gt;"",$E595&lt;=AI$2,$F595&gt;=AI$2),1,0)</f>
        <v/>
      </c>
      <c r="AJ595">
        <f>AJ594+IF(AND($E595&lt;&gt;"",$E595&lt;=AJ$2,$F595&gt;=AJ$2),1,0)</f>
        <v/>
      </c>
      <c r="AK595">
        <f>AK594+IF(AND($E595&lt;&gt;"",$E595&lt;=AK$2,$F595&gt;=AK$2),1,0)</f>
        <v/>
      </c>
      <c r="AL595">
        <f>AL594+IF(AND($E595&lt;&gt;"",$E595&lt;=AL$2,$F595&gt;=AL$2),1,0)</f>
        <v/>
      </c>
      <c r="AM595">
        <f>AM594+IF(AND($E595&lt;&gt;"",$E595&lt;=AM$2,$F595&gt;=AM$2),1,0)</f>
        <v/>
      </c>
      <c r="AN595">
        <f>AN594+IF(AND($E595&lt;&gt;"",$E595&lt;=AN$2,$F595&gt;=AN$2),1,0)</f>
        <v/>
      </c>
      <c r="AO595">
        <f>AO594+IF(AND($E595&lt;&gt;"",$E595&lt;=AO$2,$F595&gt;=AO$2),1,0)</f>
        <v/>
      </c>
      <c r="AP595">
        <f>AP594+IF(AND($E595&lt;&gt;"",$E595&lt;=AP$2,$F595&gt;=AP$2),1,0)</f>
        <v/>
      </c>
      <c r="AQ595">
        <f>AQ594+IF(AND($E595&lt;&gt;"",$E595&lt;=AQ$2,$F595&gt;=AQ$2),1,0)</f>
        <v/>
      </c>
      <c r="AR595">
        <f>AR594+IF(AND($E595&lt;&gt;"",$E595&lt;=AR$2,$F595&gt;=AR$2),1,0)</f>
        <v/>
      </c>
      <c r="AS595">
        <f>AS594+IF(AND($E595&lt;&gt;"",$E595&lt;=AS$2,$F595&gt;=AS$2),1,0)</f>
        <v/>
      </c>
      <c r="AT595">
        <f>AT594+IF(AND($E595&lt;&gt;"",$E595&lt;=AT$2,$F595&gt;=AT$2),1,0)</f>
        <v/>
      </c>
      <c r="AU595">
        <f>AU594+IF(AND($E595&lt;&gt;"",$E595&lt;=AU$2,$F595&gt;=AU$2),1,0)</f>
        <v/>
      </c>
      <c r="AV595">
        <f>AV594+IF(AND($E595&lt;&gt;"",$E595&lt;=AV$2,$F595&gt;=AV$2),1,0)</f>
        <v/>
      </c>
      <c r="AW595">
        <f>AW594+IF(AND($E595&lt;&gt;"",$E595&lt;=AW$2,$F595&gt;=AW$2),1,0)</f>
        <v/>
      </c>
    </row>
    <row r="596">
      <c r="A596">
        <f>IF(AND(ISNUMBER(Events!$A598),ISNUMBER(Events!$B598)),MAX(0,Events!$B598-Events!$A598),0)</f>
        <v/>
      </c>
      <c r="B596">
        <f>IF(ISNUMBER(Events!$A598),DATE(YEAR($B$1)-1,MONTH(Events!$A598),DAY(Events!$A598)),"")</f>
        <v/>
      </c>
      <c r="C596">
        <f>IF(ISNUMBER(Events!$A598),DATE(YEAR($B$1),MONTH(Events!$A598),DAY(Events!$A598)),"")</f>
        <v/>
      </c>
      <c r="D596">
        <f>IF(ISNUMBER(Events!$A598),DATE(YEAR($B$2),MONTH(Events!$A598),DAY(Events!$A598)),"")</f>
        <v/>
      </c>
      <c r="E596">
        <f>IF(OR(NOT(ISNUMBER(Events!$A598)),Events!$G598="No",Calendar!$H$4="None"),"",IF(OR(Calendar!$H$4="All events",Events!$D598=Calendar!$H$4),IF(Events!$E598="Yes",IF(AND(B596&gt;=Events!$A598,B596&lt;=$B$2,B596+$A596&gt;=$B$1),B596,IF(AND(C596&gt;=Events!$A598,C596&lt;=$B$2,C596+$A596&gt;=$B$1),C596,IF(AND(D596&gt;=Events!$A598,D596&lt;=$B$2,D596+$A596&gt;=$B$1),D596,""))),IF(AND(Events!$A598&lt;=$B$2,Events!$A598+$A596&gt;=$B$1),Events!$A598,"")),""))</f>
        <v/>
      </c>
      <c r="F596">
        <f>IF(E596="","",E596+A596)</f>
        <v/>
      </c>
      <c r="G596">
        <f>IF(E596="","",IF(AND(E596&lt;=EOMONTH(Calendar!$K$2,0),F596&gt;=Calendar!$K$2),E596+593/100000,""))</f>
        <v/>
      </c>
      <c r="H596">
        <f>H595+IF(AND($E596&lt;&gt;"",$E596&lt;=H$2,$F596&gt;=H$2),1,0)</f>
        <v/>
      </c>
      <c r="I596">
        <f>I595+IF(AND($E596&lt;&gt;"",$E596&lt;=I$2,$F596&gt;=I$2),1,0)</f>
        <v/>
      </c>
      <c r="J596">
        <f>J595+IF(AND($E596&lt;&gt;"",$E596&lt;=J$2,$F596&gt;=J$2),1,0)</f>
        <v/>
      </c>
      <c r="K596">
        <f>K595+IF(AND($E596&lt;&gt;"",$E596&lt;=K$2,$F596&gt;=K$2),1,0)</f>
        <v/>
      </c>
      <c r="L596">
        <f>L595+IF(AND($E596&lt;&gt;"",$E596&lt;=L$2,$F596&gt;=L$2),1,0)</f>
        <v/>
      </c>
      <c r="M596">
        <f>M595+IF(AND($E596&lt;&gt;"",$E596&lt;=M$2,$F596&gt;=M$2),1,0)</f>
        <v/>
      </c>
      <c r="N596">
        <f>N595+IF(AND($E596&lt;&gt;"",$E596&lt;=N$2,$F596&gt;=N$2),1,0)</f>
        <v/>
      </c>
      <c r="O596">
        <f>O595+IF(AND($E596&lt;&gt;"",$E596&lt;=O$2,$F596&gt;=O$2),1,0)</f>
        <v/>
      </c>
      <c r="P596">
        <f>P595+IF(AND($E596&lt;&gt;"",$E596&lt;=P$2,$F596&gt;=P$2),1,0)</f>
        <v/>
      </c>
      <c r="Q596">
        <f>Q595+IF(AND($E596&lt;&gt;"",$E596&lt;=Q$2,$F596&gt;=Q$2),1,0)</f>
        <v/>
      </c>
      <c r="R596">
        <f>R595+IF(AND($E596&lt;&gt;"",$E596&lt;=R$2,$F596&gt;=R$2),1,0)</f>
        <v/>
      </c>
      <c r="S596">
        <f>S595+IF(AND($E596&lt;&gt;"",$E596&lt;=S$2,$F596&gt;=S$2),1,0)</f>
        <v/>
      </c>
      <c r="T596">
        <f>T595+IF(AND($E596&lt;&gt;"",$E596&lt;=T$2,$F596&gt;=T$2),1,0)</f>
        <v/>
      </c>
      <c r="U596">
        <f>U595+IF(AND($E596&lt;&gt;"",$E596&lt;=U$2,$F596&gt;=U$2),1,0)</f>
        <v/>
      </c>
      <c r="V596">
        <f>V595+IF(AND($E596&lt;&gt;"",$E596&lt;=V$2,$F596&gt;=V$2),1,0)</f>
        <v/>
      </c>
      <c r="W596">
        <f>W595+IF(AND($E596&lt;&gt;"",$E596&lt;=W$2,$F596&gt;=W$2),1,0)</f>
        <v/>
      </c>
      <c r="X596">
        <f>X595+IF(AND($E596&lt;&gt;"",$E596&lt;=X$2,$F596&gt;=X$2),1,0)</f>
        <v/>
      </c>
      <c r="Y596">
        <f>Y595+IF(AND($E596&lt;&gt;"",$E596&lt;=Y$2,$F596&gt;=Y$2),1,0)</f>
        <v/>
      </c>
      <c r="Z596">
        <f>Z595+IF(AND($E596&lt;&gt;"",$E596&lt;=Z$2,$F596&gt;=Z$2),1,0)</f>
        <v/>
      </c>
      <c r="AA596">
        <f>AA595+IF(AND($E596&lt;&gt;"",$E596&lt;=AA$2,$F596&gt;=AA$2),1,0)</f>
        <v/>
      </c>
      <c r="AB596">
        <f>AB595+IF(AND($E596&lt;&gt;"",$E596&lt;=AB$2,$F596&gt;=AB$2),1,0)</f>
        <v/>
      </c>
      <c r="AC596">
        <f>AC595+IF(AND($E596&lt;&gt;"",$E596&lt;=AC$2,$F596&gt;=AC$2),1,0)</f>
        <v/>
      </c>
      <c r="AD596">
        <f>AD595+IF(AND($E596&lt;&gt;"",$E596&lt;=AD$2,$F596&gt;=AD$2),1,0)</f>
        <v/>
      </c>
      <c r="AE596">
        <f>AE595+IF(AND($E596&lt;&gt;"",$E596&lt;=AE$2,$F596&gt;=AE$2),1,0)</f>
        <v/>
      </c>
      <c r="AF596">
        <f>AF595+IF(AND($E596&lt;&gt;"",$E596&lt;=AF$2,$F596&gt;=AF$2),1,0)</f>
        <v/>
      </c>
      <c r="AG596">
        <f>AG595+IF(AND($E596&lt;&gt;"",$E596&lt;=AG$2,$F596&gt;=AG$2),1,0)</f>
        <v/>
      </c>
      <c r="AH596">
        <f>AH595+IF(AND($E596&lt;&gt;"",$E596&lt;=AH$2,$F596&gt;=AH$2),1,0)</f>
        <v/>
      </c>
      <c r="AI596">
        <f>AI595+IF(AND($E596&lt;&gt;"",$E596&lt;=AI$2,$F596&gt;=AI$2),1,0)</f>
        <v/>
      </c>
      <c r="AJ596">
        <f>AJ595+IF(AND($E596&lt;&gt;"",$E596&lt;=AJ$2,$F596&gt;=AJ$2),1,0)</f>
        <v/>
      </c>
      <c r="AK596">
        <f>AK595+IF(AND($E596&lt;&gt;"",$E596&lt;=AK$2,$F596&gt;=AK$2),1,0)</f>
        <v/>
      </c>
      <c r="AL596">
        <f>AL595+IF(AND($E596&lt;&gt;"",$E596&lt;=AL$2,$F596&gt;=AL$2),1,0)</f>
        <v/>
      </c>
      <c r="AM596">
        <f>AM595+IF(AND($E596&lt;&gt;"",$E596&lt;=AM$2,$F596&gt;=AM$2),1,0)</f>
        <v/>
      </c>
      <c r="AN596">
        <f>AN595+IF(AND($E596&lt;&gt;"",$E596&lt;=AN$2,$F596&gt;=AN$2),1,0)</f>
        <v/>
      </c>
      <c r="AO596">
        <f>AO595+IF(AND($E596&lt;&gt;"",$E596&lt;=AO$2,$F596&gt;=AO$2),1,0)</f>
        <v/>
      </c>
      <c r="AP596">
        <f>AP595+IF(AND($E596&lt;&gt;"",$E596&lt;=AP$2,$F596&gt;=AP$2),1,0)</f>
        <v/>
      </c>
      <c r="AQ596">
        <f>AQ595+IF(AND($E596&lt;&gt;"",$E596&lt;=AQ$2,$F596&gt;=AQ$2),1,0)</f>
        <v/>
      </c>
      <c r="AR596">
        <f>AR595+IF(AND($E596&lt;&gt;"",$E596&lt;=AR$2,$F596&gt;=AR$2),1,0)</f>
        <v/>
      </c>
      <c r="AS596">
        <f>AS595+IF(AND($E596&lt;&gt;"",$E596&lt;=AS$2,$F596&gt;=AS$2),1,0)</f>
        <v/>
      </c>
      <c r="AT596">
        <f>AT595+IF(AND($E596&lt;&gt;"",$E596&lt;=AT$2,$F596&gt;=AT$2),1,0)</f>
        <v/>
      </c>
      <c r="AU596">
        <f>AU595+IF(AND($E596&lt;&gt;"",$E596&lt;=AU$2,$F596&gt;=AU$2),1,0)</f>
        <v/>
      </c>
      <c r="AV596">
        <f>AV595+IF(AND($E596&lt;&gt;"",$E596&lt;=AV$2,$F596&gt;=AV$2),1,0)</f>
        <v/>
      </c>
      <c r="AW596">
        <f>AW595+IF(AND($E596&lt;&gt;"",$E596&lt;=AW$2,$F596&gt;=AW$2),1,0)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2026-10-09T03:15:03Z</dcterms:created>
  <dcterms:modified xmlns:dcterms="http://purl.org/dc/terms/" xmlns:xsi="http://www.w3.org/2001/XMLSchema-instance" xsi:type="dcterms:W3CDTF">2026-10-09T03:15:07Z</dcterms:modified>
</cp:coreProperties>
</file>